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.xml.rels" ContentType="application/vnd.openxmlformats-package.relationships+xml"/>
  <Override PartName="/xl/worksheets/_rels/sheet25.xml.rels" ContentType="application/vnd.openxmlformats-package.relationships+xml"/>
  <Override PartName="/xl/worksheets/_rels/sheet37.xml.rels" ContentType="application/vnd.openxmlformats-package.relationships+xml"/>
  <Override PartName="/xl/worksheets/_rels/sheet7.xml.rels" ContentType="application/vnd.openxmlformats-package.relationships+xml"/>
  <Override PartName="/xl/worksheets/_rels/sheet19.xml.rels" ContentType="application/vnd.openxmlformats-package.relationships+xml"/>
  <Override PartName="/xl/worksheets/_rels/sheet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34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3.xml.rels" ContentType="application/vnd.openxmlformats-package.relationships+xml"/>
  <Override PartName="/xl/drawings/_rels/drawing8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14.xml.rels" ContentType="application/vnd.openxmlformats-package.relationships+xml"/>
  <Override PartName="/xl/drawings/_rels/drawing9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29.xml" ContentType="application/vnd.openxmlformats-officedocument.drawingml.chart+xml"/>
  <Override PartName="/xl/charts/chart17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aily" sheetId="2" state="visible" r:id="rId4"/>
    <sheet name="Weekly" sheetId="3" state="visible" r:id="rId5"/>
    <sheet name="Monthly" sheetId="4" state="visible" r:id="rId6"/>
    <sheet name="Province" sheetId="5" state="visible" r:id="rId7"/>
    <sheet name="City" sheetId="6" state="visible" r:id="rId8"/>
    <sheet name="Travel" sheetId="7" state="visible" r:id="rId9"/>
    <sheet name="Statistics" sheetId="8" state="visible" r:id="rId10"/>
    <sheet name="Regression_Excel" sheetId="9" state="visible" r:id="rId11"/>
    <sheet name="Regression_Charts" sheetId="10" state="visible" r:id="rId12"/>
    <sheet name="Logistic_Solver" sheetId="11" state="visible" r:id="rId13"/>
    <sheet name="TS_Guide" sheetId="12" state="visible" r:id="rId14"/>
    <sheet name="TS_Setup" sheetId="13" state="visible" r:id="rId15"/>
    <sheet name="TS_Model" sheetId="14" state="visible" r:id="rId16"/>
    <sheet name="TS_AlphaGrid" sheetId="15" state="visible" r:id="rId17"/>
    <sheet name="TS_Eval" sheetId="16" state="visible" r:id="rId18"/>
    <sheet name="TS_Forecast" sheetId="17" state="visible" r:id="rId19"/>
    <sheet name="TS_CV" sheetId="18" state="visible" r:id="rId20"/>
    <sheet name="TS_Diagnostics" sheetId="19" state="visible" r:id="rId21"/>
    <sheet name="TS_Province" sheetId="20" state="visible" r:id="rId22"/>
    <sheet name="Clustering_Guide" sheetId="21" state="visible" r:id="rId23"/>
    <sheet name="City_Agg" sheetId="22" state="visible" r:id="rId24"/>
    <sheet name="KMeans_Data" sheetId="23" state="visible" r:id="rId25"/>
    <sheet name="KMeans_City" sheetId="24" state="visible" r:id="rId26"/>
    <sheet name="Elbow_Silhouette" sheetId="25" state="visible" r:id="rId27"/>
    <sheet name="Elbow_Engine" sheetId="26" state="visible" r:id="rId28"/>
    <sheet name="Distance_Matrix" sheetId="27" state="visible" r:id="rId29"/>
    <sheet name="Province_Agg" sheetId="28" state="visible" r:id="rId30"/>
    <sheet name="KMeans_Province" sheetId="29" state="visible" r:id="rId31"/>
    <sheet name="Phase_Data" sheetId="30" state="visible" r:id="rId32"/>
    <sheet name="KMeans_Phase" sheetId="31" state="visible" r:id="rId33"/>
    <sheet name="Travel_Data" sheetId="32" state="visible" r:id="rId34"/>
    <sheet name="KMeans_Travel" sheetId="33" state="visible" r:id="rId35"/>
    <sheet name="Cluster_Charts" sheetId="34" state="visible" r:id="rId36"/>
    <sheet name="Chart_Data" sheetId="35" state="visible" r:id="rId37"/>
    <sheet name="Notes" sheetId="36" state="visible" r:id="rId38"/>
    <sheet name="Data" sheetId="37" state="visible" r:id="rId39"/>
  </sheets>
  <definedNames>
    <definedName function="false" hidden="true" localSheetId="36" name="_xlnm._FilterDatabase" vbProcedure="false">Data!$A$1:$H$2797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<sst xmlns="http://schemas.openxmlformats.org/spreadsheetml/2006/main" count="10326" uniqueCount="862">
  <si>
    <t xml:space="preserve">Pakistan COVID-19 — Data Analysis Report</t>
  </si>
  <si>
    <t xml:space="preserve">TOTAL CASES</t>
  </si>
  <si>
    <t xml:space="preserve">TOTAL DEATHS</t>
  </si>
  <si>
    <t xml:space="preserve">RECOVERED</t>
  </si>
  <si>
    <t xml:space="preserve">ACTIVE CASES</t>
  </si>
  <si>
    <t xml:space="preserve">confirmed</t>
  </si>
  <si>
    <t xml:space="preserve">reported</t>
  </si>
  <si>
    <t xml:space="preserve">reported (under-counted)</t>
  </si>
  <si>
    <t xml:space="preserve">derived: cases − deaths − recovered</t>
  </si>
  <si>
    <t xml:space="preserve">CASE FATALITY RATE</t>
  </si>
  <si>
    <t xml:space="preserve">REPORTED RECOVERY RATE</t>
  </si>
  <si>
    <t xml:space="preserve">PEAK SINGLE DAY</t>
  </si>
  <si>
    <t xml:space="preserve">LATEST 7-DAY AVERAGE</t>
  </si>
  <si>
    <t xml:space="preserve">deaths ÷ cases (crude)</t>
  </si>
  <si>
    <t xml:space="preserve">recovered ÷ cases</t>
  </si>
  <si>
    <t xml:space="preserve">Key findings</t>
  </si>
  <si>
    <t xml:space="preserve">Implications</t>
  </si>
  <si>
    <t xml:space="preserve">• Monitor the 7-day average, not single days: daily counts swing widely and the series was still climbing at the end of the data.</t>
  </si>
  <si>
    <t xml:space="preserve">• Concentrate response capacity on the two big-city clusters (Karachi, Lahore) — together they hold well over half of all cases.</t>
  </si>
  <si>
    <t xml:space="preserve">• Review clinical capacity and case management in the province with the highest fatality rate; its deaths are out of proportion to its case count.</t>
  </si>
  <si>
    <t xml:space="preserve">• Standardise recovery reporting across provinces before using Active Cases or recovery rates for planning.</t>
  </si>
  <si>
    <t xml:space="preserve">• Treat the recorded source-of-infection field with caution: most cases default to "local", so it says little about how outbreaks start.</t>
  </si>
  <si>
    <t xml:space="preserve">Daily trend</t>
  </si>
  <si>
    <t xml:space="preserve">One row per calendar day (days with no reported records are shown as zero). All values are formulas on the Data sheet.</t>
  </si>
  <si>
    <t xml:space="preserve">Date</t>
  </si>
  <si>
    <t xml:space="preserve">Day</t>
  </si>
  <si>
    <t xml:space="preserve">Daily cases</t>
  </si>
  <si>
    <t xml:space="preserve">Daily deaths</t>
  </si>
  <si>
    <t xml:space="preserve">Daily recovered</t>
  </si>
  <si>
    <t xml:space="preserve">Cumulative cases</t>
  </si>
  <si>
    <t xml:space="preserve">Cumulative deaths</t>
  </si>
  <si>
    <t xml:space="preserve">Cumulative recovered</t>
  </si>
  <si>
    <t xml:space="preserve">Active cases</t>
  </si>
  <si>
    <t xml:space="preserve">7-day avg cases</t>
  </si>
  <si>
    <t xml:space="preserve">7-day avg deaths</t>
  </si>
  <si>
    <t xml:space="preserve">Cumulative CFR</t>
  </si>
  <si>
    <t xml:space="preserve">Week-on-week change (7-day avg)</t>
  </si>
  <si>
    <t xml:space="preserve">Day index</t>
  </si>
  <si>
    <t xml:space="preserve">Ln(7-day avg cases)</t>
  </si>
  <si>
    <t xml:space="preserve">Records</t>
  </si>
  <si>
    <t xml:space="preserve">Notes: 7-day averages start on day 7. Active cases = cumulative cases − deaths − recovered (same definition as the source dashboard). Cumulative CFR = cumulative deaths ÷ cumulative cases (crude, not lag-adjusted).</t>
  </si>
  <si>
    <t xml:space="preserve">Weekly trend</t>
  </si>
  <si>
    <t xml:space="preserve">Weeks run for 7 days from the first reported day; the last week is partial and excluded from week-on-week change.</t>
  </si>
  <si>
    <t xml:space="preserve">Week</t>
  </si>
  <si>
    <t xml:space="preserve">Week start</t>
  </si>
  <si>
    <t xml:space="preserve">Week end</t>
  </si>
  <si>
    <t xml:space="preserve">Days</t>
  </si>
  <si>
    <t xml:space="preserve">Cases</t>
  </si>
  <si>
    <t xml:space="preserve">Deaths</t>
  </si>
  <si>
    <t xml:space="preserve">Recovered</t>
  </si>
  <si>
    <t xml:space="preserve">Avg cases per day</t>
  </si>
  <si>
    <t xml:space="preserve">Week-on-week change</t>
  </si>
  <si>
    <t xml:space="preserve">Status</t>
  </si>
  <si>
    <t xml:space="preserve">Total</t>
  </si>
  <si>
    <t xml:space="preserve">Monthly summary</t>
  </si>
  <si>
    <t xml:space="preserve">February covers 26–29 Feb only and June covers 1–3 Jun only — compare months using the average-per-day column.</t>
  </si>
  <si>
    <t xml:space="preserve">Month</t>
  </si>
  <si>
    <t xml:space="preserve">Days covered</t>
  </si>
  <si>
    <t xml:space="preserve">CFR</t>
  </si>
  <si>
    <t xml:space="preserve">Change in avg/day vs prior month</t>
  </si>
  <si>
    <t xml:space="preserve">Share of all cases</t>
  </si>
  <si>
    <t xml:space="preserve">Province analysis</t>
  </si>
  <si>
    <t xml:space="preserve">Sorted by total cases. Shares and CFR are formulas on the Data sheet. Province names are as spelled in the source file.</t>
  </si>
  <si>
    <t xml:space="preserve">Province</t>
  </si>
  <si>
    <t xml:space="preserve">Recovered (reported)</t>
  </si>
  <si>
    <t xml:space="preserve">Active (derived)</t>
  </si>
  <si>
    <t xml:space="preserve">Share of cases</t>
  </si>
  <si>
    <t xml:space="preserve">Share of deaths</t>
  </si>
  <si>
    <t xml:space="preserve">Reported recovery rate</t>
  </si>
  <si>
    <t xml:space="preserve">CFR vs national (×)</t>
  </si>
  <si>
    <t xml:space="preserve">Sindh</t>
  </si>
  <si>
    <t xml:space="preserve">Punjab</t>
  </si>
  <si>
    <t xml:space="preserve">Khyber Pakhtunkhwa</t>
  </si>
  <si>
    <t xml:space="preserve">Baluchistan</t>
  </si>
  <si>
    <t xml:space="preserve">Islamabad Capital Territory</t>
  </si>
  <si>
    <t xml:space="preserve">Gilgit-Baltistan</t>
  </si>
  <si>
    <t xml:space="preserve">Azad Jummu Kashmir</t>
  </si>
  <si>
    <t xml:space="preserve">Federal Administration Tribal Area</t>
  </si>
  <si>
    <t xml:space="preserve">Pakistan (total)</t>
  </si>
  <si>
    <t xml:space="preserve">Min. cases for comparisons (input)</t>
  </si>
  <si>
    <t xml:space="preserve">Highest CFR (province, rate)</t>
  </si>
  <si>
    <t xml:space="preserve">Recovery-rate range (min, max)</t>
  </si>
  <si>
    <t xml:space="preserve">Small provinces (GB, AJK, FATA) have few cases, so their CFR is volatile; the threshold above avoids ranking them. No population data is in the file, so per-capita rates are not calculated.</t>
  </si>
  <si>
    <t xml:space="preserve">Cases by province and month</t>
  </si>
  <si>
    <t xml:space="preserve">Check vs table</t>
  </si>
  <si>
    <t xml:space="preserve">Share of each month's cases, by province</t>
  </si>
  <si>
    <t xml:space="preserve">City analysis — top 15 cities by cases</t>
  </si>
  <si>
    <t xml:space="preserve">City province = province of the first record for that city (six tribal-district names appear under more than one province).</t>
  </si>
  <si>
    <t xml:space="preserve">Rank</t>
  </si>
  <si>
    <t xml:space="preserve">City</t>
  </si>
  <si>
    <t xml:space="preserve">Cumulative share</t>
  </si>
  <si>
    <t xml:space="preserve">Karachi</t>
  </si>
  <si>
    <t xml:space="preserve">Lahore</t>
  </si>
  <si>
    <t xml:space="preserve">Quetta</t>
  </si>
  <si>
    <t xml:space="preserve">Peshawar</t>
  </si>
  <si>
    <t xml:space="preserve">Islamabad</t>
  </si>
  <si>
    <t xml:space="preserve">Swat</t>
  </si>
  <si>
    <t xml:space="preserve">Multan</t>
  </si>
  <si>
    <t xml:space="preserve">Sukkur</t>
  </si>
  <si>
    <t xml:space="preserve">Hyderabad</t>
  </si>
  <si>
    <t xml:space="preserve">Raiwind</t>
  </si>
  <si>
    <t xml:space="preserve">Malakand</t>
  </si>
  <si>
    <t xml:space="preserve">Mardan</t>
  </si>
  <si>
    <t xml:space="preserve">Gilgit</t>
  </si>
  <si>
    <t xml:space="preserve">Larkana</t>
  </si>
  <si>
    <t xml:space="preserve">Ghotki</t>
  </si>
  <si>
    <t xml:space="preserve">All other cities</t>
  </si>
  <si>
    <t xml:space="preserve">The file has 117 distinct city names (counted in Python from the Clean sheet). A city with a high case count but near-zero reported recoveries (e.g. Multan, Raiwind) signals under-reported recoveries rather than real outcomes.</t>
  </si>
  <si>
    <t xml:space="preserve">Source of infection (travel history)</t>
  </si>
  <si>
    <t xml:space="preserve">Group mapping in column B is an analyst assumption (blue = editable input); totals recalculate if you change it.</t>
  </si>
  <si>
    <t xml:space="preserve">Travel history</t>
  </si>
  <si>
    <t xml:space="preserve">Group (assumption)</t>
  </si>
  <si>
    <t xml:space="preserve">Local - Social Contact</t>
  </si>
  <si>
    <t xml:space="preserve">Local transmission</t>
  </si>
  <si>
    <t xml:space="preserve">Unknown</t>
  </si>
  <si>
    <t xml:space="preserve">Unknown source</t>
  </si>
  <si>
    <t xml:space="preserve">Tableeghi Jamaat</t>
  </si>
  <si>
    <t xml:space="preserve">Cluster / institutional</t>
  </si>
  <si>
    <t xml:space="preserve">Iran/Taftan</t>
  </si>
  <si>
    <t xml:space="preserve">Travel-linked (imported)</t>
  </si>
  <si>
    <t xml:space="preserve">Jail</t>
  </si>
  <si>
    <t xml:space="preserve">Afghanistan</t>
  </si>
  <si>
    <t xml:space="preserve">International Passenger</t>
  </si>
  <si>
    <t xml:space="preserve">Syria</t>
  </si>
  <si>
    <t xml:space="preserve">KSA</t>
  </si>
  <si>
    <t xml:space="preserve">UK</t>
  </si>
  <si>
    <t xml:space="preserve">China</t>
  </si>
  <si>
    <t xml:space="preserve">India</t>
  </si>
  <si>
    <t xml:space="preserve">Dubai</t>
  </si>
  <si>
    <t xml:space="preserve">Local - Covid Relative</t>
  </si>
  <si>
    <t xml:space="preserve">USA</t>
  </si>
  <si>
    <t xml:space="preserve">By group</t>
  </si>
  <si>
    <t xml:space="preserve">Group</t>
  </si>
  <si>
    <t xml:space="preserve">Travel history is a recorded field, not a contact-tracing result: "Local - Social Contact" is the default for most records, and 4% of cases have no known source.</t>
  </si>
  <si>
    <t xml:space="preserve">Statistical analysis</t>
  </si>
  <si>
    <t xml:space="preserve">Descriptive statistics, outliers, weekday pattern, case-to-death lag and growth-rate fit — all computed from the Daily sheet.</t>
  </si>
  <si>
    <t xml:space="preserve">1. Descriptive statistics (per calendar day)</t>
  </si>
  <si>
    <t xml:space="preserve">Metric</t>
  </si>
  <si>
    <t xml:space="preserve">Mean</t>
  </si>
  <si>
    <t xml:space="preserve">Median</t>
  </si>
  <si>
    <t xml:space="preserve">Standard deviation</t>
  </si>
  <si>
    <t xml:space="preserve">Coefficient of variation</t>
  </si>
  <si>
    <t xml:space="preserve">Minimum</t>
  </si>
  <si>
    <t xml:space="preserve">Quartile 1</t>
  </si>
  <si>
    <t xml:space="preserve">Quartile 3</t>
  </si>
  <si>
    <t xml:space="preserve">Interquartile range</t>
  </si>
  <si>
    <t xml:space="preserve">Maximum</t>
  </si>
  <si>
    <t xml:space="preserve">Skewness</t>
  </si>
  <si>
    <t xml:space="preserve">Mean far above median and high skewness mean a few very large late-period days dominate the average: use the median and the 7-day average when describing a "typical" day.</t>
  </si>
  <si>
    <t xml:space="preserve">2. Outlier screen — daily cases (Tukey fence)</t>
  </si>
  <si>
    <t xml:space="preserve">Upper fence (Q3 + 1.5 × IQR)</t>
  </si>
  <si>
    <t xml:space="preserve">Days above the fence</t>
  </si>
  <si>
    <t xml:space="preserve">First day above the fence</t>
  </si>
  <si>
    <t xml:space="preserve">Share of all cases on those days</t>
  </si>
  <si>
    <t xml:space="preserve">Flagged days are bunched at the end of the period (see first-day date), consistent with accelerating spread rather than isolated data errors. No days were removed.</t>
  </si>
  <si>
    <t xml:space="preserve">3. Day-of-week pattern</t>
  </si>
  <si>
    <t xml:space="preserve">Avg cases</t>
  </si>
  <si>
    <t xml:space="preserve">Index (all-day mean = 100)</t>
  </si>
  <si>
    <t xml:space="preserve">Avg deaths</t>
  </si>
  <si>
    <t xml:space="preserve">Days in sample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</si>
  <si>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</si>
  <si>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</si>
  <si>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</si>
  <si>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</si>
  <si>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</si>
  <si>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</si>
  <si>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</si>
  <si>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Only 14 weeks of data and a strong upward trend: later weekdays are inflated simply by being later, so this is weak evidence of any weekly reporting cycle.</t>
  </si>
  <si>
    <t xml:space="preserve">4. Do cases lead deaths? Correlation at different lags</t>
  </si>
  <si>
    <t xml:space="preserve">Lag (days) — deaths on day t+lag vs cases on day t</t>
  </si>
  <si>
    <t xml:space="preserve">Correlation r</t>
  </si>
  <si>
    <t xml:space="preserve">R²</t>
  </si>
  <si>
    <t xml:space="preserve">Lag with the highest correlation (days)</t>
  </si>
  <si>
    <t xml:space="preserve">Cases and deaths both trend upward, so r is inflated by the shared trend. Treat as indicative of a close relationship, not as an estimate of the true reporting delay.</t>
  </si>
  <si>
    <t xml:space="preserve">5. Growth-rate fit (log-linear regression on the 7-day average of cases)</t>
  </si>
  <si>
    <t xml:space="preserve">Phase</t>
  </si>
  <si>
    <t xml:space="preserve">Start (input)</t>
  </si>
  <si>
    <t xml:space="preserve">End (input)</t>
  </si>
  <si>
    <t xml:space="preserve">First row #</t>
  </si>
  <si>
    <t xml:space="preserve">Last row #</t>
  </si>
  <si>
    <t xml:space="preserve">Fitted daily growth</t>
  </si>
  <si>
    <t xml:space="preserve">Doubling time (days)</t>
  </si>
  <si>
    <t xml:space="preserve">R² of fit</t>
  </si>
  <si>
    <t xml:space="preserve">Early surge</t>
  </si>
  <si>
    <t xml:space="preserve">Peak phase</t>
  </si>
  <si>
    <t xml:space="preserve">Growth is the exponential-equivalent daily rate over the chosen window (change the blue dates to test other windows). It describes the past; it is not a forecast.</t>
  </si>
  <si>
    <t xml:space="preserve">Regression analysis — Excel (LINEST)</t>
  </si>
  <si>
    <t xml:space="preserve">Unit of analysis: one row per calendar day (99 days). Every coefficient below is a live LINEST formula on the data table at the bottom of this sheet.</t>
  </si>
  <si>
    <t xml:space="preserve">1. Simple linear regression: Cases = b0 + b1·Day_Num</t>
  </si>
  <si>
    <t xml:space="preserve">Term</t>
  </si>
  <si>
    <t xml:space="preserve">Coefficient</t>
  </si>
  <si>
    <t xml:space="preserve">Std error</t>
  </si>
  <si>
    <t xml:space="preserve">t-stat</t>
  </si>
  <si>
    <t xml:space="preserve">p-value</t>
  </si>
  <si>
    <t xml:space="preserve">Intercept</t>
  </si>
  <si>
    <t xml:space="preserve">Day_Num</t>
  </si>
  <si>
    <t xml:space="preserve">Adjusted R²</t>
  </si>
  <si>
    <t xml:space="preserve">Std error of regression</t>
  </si>
  <si>
    <t xml:space="preserve">F statistic</t>
  </si>
  <si>
    <t xml:space="preserve">Significance F</t>
  </si>
  <si>
    <t xml:space="preserve">Residual df</t>
  </si>
  <si>
    <t xml:space="preserve">2. Multiple linear regression: Cases = b0 + b1·Deaths + b2·Recovered + b3·Day_Num</t>
  </si>
  <si>
    <t xml:space="preserve">3. Polynomial regression (degree 2): Cases = b0 + b1·Day_Num + b2·Day_Sq</t>
  </si>
  <si>
    <t xml:space="preserve">Day_Sq</t>
  </si>
  <si>
    <t xml:space="preserve">Model comparison</t>
  </si>
  <si>
    <t xml:space="preserve">Model</t>
  </si>
  <si>
    <t xml:space="preserve">Reading the results</t>
  </si>
  <si>
    <t xml:space="preserve">Simple</t>
  </si>
  <si>
    <t xml:space="preserve">Multiple</t>
  </si>
  <si>
    <t xml:space="preserve">Polynomial (deg 2)</t>
  </si>
  <si>
    <t xml:space="preserve">Method: Excel LINEST with statistics on 99 daily observations; p-values use TDIST (t-test on each coefficient) and FDIST (overall F test). Day_Num = day index + 1 (26 Feb 2020 = 1). The data are a time series, so residuals are autocorrelated and p-values are optimistic; the early-period zero days and the late surge are what drive the poor linear fit.</t>
  </si>
  <si>
    <t xml:space="preserve">Data table (linked to the Daily sheet)</t>
  </si>
  <si>
    <t xml:space="preserve">Fitted: simple</t>
  </si>
  <si>
    <t xml:space="preserve">Fitted: multiple</t>
  </si>
  <si>
    <t xml:space="preserve">Fitted: polynomial</t>
  </si>
  <si>
    <t xml:space="preserve">Regression charts</t>
  </si>
  <si>
    <t xml:space="preserve">Scatter plots with trendlines and R² shown on the chart (Excel trendline feature); fitted series come from Regression_Excel.</t>
  </si>
  <si>
    <t xml:space="preserve">Logistic regression (Solver) and confusion matrix</t>
  </si>
  <si>
    <t xml:space="preserve">High_Cases = 1 when a day has at least the threshold number of new cases. Predictor: Day_Num. Coefficients are fitted by maximum likelihood, the objective Solver maximises.</t>
  </si>
  <si>
    <t xml:space="preserve">Inputs (blue = you may change)</t>
  </si>
  <si>
    <t xml:space="preserve">High_Cases threshold (cases/day)</t>
  </si>
  <si>
    <t xml:space="preserve">Classification cut-off (probability)</t>
  </si>
  <si>
    <t xml:space="preserve">b0 (intercept) - Solver changes this</t>
  </si>
  <si>
    <t xml:space="preserve">b1 (Day_Num) - Solver changes this</t>
  </si>
  <si>
    <t xml:space="preserve">Log-likelihood (Solver objective: MAX)</t>
  </si>
  <si>
    <t xml:space="preserve">Null log-likelihood (intercept only)</t>
  </si>
  <si>
    <t xml:space="preserve">McFadden pseudo-R²</t>
  </si>
  <si>
    <t xml:space="preserve">High_Cases</t>
  </si>
  <si>
    <t xml:space="preserve">z = b0+b1·x</t>
  </si>
  <si>
    <t xml:space="preserve">Probability</t>
  </si>
  <si>
    <t xml:space="preserve">Predicted</t>
  </si>
  <si>
    <t xml:space="preserve">Log-lik term</t>
  </si>
  <si>
    <t xml:space="preserve">Confusion matrix (COUNTIFS)</t>
  </si>
  <si>
    <t xml:space="preserve">Predicted = 1</t>
  </si>
  <si>
    <t xml:space="preserve">Predicted = 0</t>
  </si>
  <si>
    <t xml:space="preserve">Row total</t>
  </si>
  <si>
    <t xml:space="preserve">Actual = 1</t>
  </si>
  <si>
    <t xml:space="preserve">Actual = 0</t>
  </si>
  <si>
    <t xml:space="preserve">Column total</t>
  </si>
  <si>
    <t xml:space="preserve">TP = J16, FN = K16, FP = J17, TN = K17</t>
  </si>
  <si>
    <t xml:space="preserve">Value</t>
  </si>
  <si>
    <t xml:space="preserve">Accuracy</t>
  </si>
  <si>
    <t xml:space="preserve">Precision</t>
  </si>
  <si>
    <t xml:space="preserve">Recall (sensitivity)</t>
  </si>
  <si>
    <t xml:space="preserve">Specificity</t>
  </si>
  <si>
    <t xml:space="preserve">F1 score</t>
  </si>
  <si>
    <t xml:space="preserve">Odds ratio per extra day = EXP(b1)</t>
  </si>
  <si>
    <t xml:space="preserve">Day when probability = 50%</t>
  </si>
  <si>
    <t xml:space="preserve">Calendar date of that day</t>
  </si>
  <si>
    <t xml:space="preserve">How to run Solver (Data tab &gt; Solver)</t>
  </si>
  <si>
    <t xml:space="preserve">1. Set Objective: $J$9, To: Max.</t>
  </si>
  <si>
    <t xml:space="preserve">2. By Changing Variable Cells: $J$7:$J$8.</t>
  </si>
  <si>
    <t xml:space="preserve">3. Untick "Make Unconstrained Variables Non-Negative".</t>
  </si>
  <si>
    <t xml:space="preserve">4. Solving Method: GRG Nonlinear, then Solve.</t>
  </si>
  <si>
    <t xml:space="preserve">5. To test it: type 0 in J7 and J8 first, then run Solver.</t>
  </si>
  <si>
    <t xml:space="preserve">Expect J7 and J8 to return to about the values stored here.</t>
  </si>
  <si>
    <t xml:space="preserve">The stored b0 and b1 were found by maximum likelihood in Python (scipy) because Solver cannot be run in the environment that built this file. They maximise the same log-likelihood (J9), so Solver should land on them. Day_Num alone almost separates the classes (cases rise steadily), so the slope is steep and Solver may stop slightly away from these values; the log-likelihood in J9 shows which is better.</t>
  </si>
  <si>
    <t xml:space="preserve">Time series forecasting: Pakistan COVID-19</t>
  </si>
  <si>
    <t xml:space="preserve">Excel implementation of the forecasting workflow. Every number below the headings is a live formula; blue cells are inputs.</t>
  </si>
  <si>
    <t xml:space="preserve">Key results (computed from the sheets)</t>
  </si>
  <si>
    <t xml:space="preserve">Best model on the 14-day test</t>
  </si>
  <si>
    <t xml:space="preserve">Its test RMSE (cases / day)</t>
  </si>
  <si>
    <t xml:space="preserve">Naive test RMSE</t>
  </si>
  <si>
    <t xml:space="preserve">Recommended differencing d</t>
  </si>
  <si>
    <t xml:space="preserve">Strongest weekday</t>
  </si>
  <si>
    <t xml:space="preserve">Weakest weekday</t>
  </si>
  <si>
    <t xml:space="preserve">Forecast, next 14 days (total)</t>
  </si>
  <si>
    <t xml:space="preserve">Forecast average vs last 7 days</t>
  </si>
  <si>
    <t xml:space="preserve">Best method in cross-validation</t>
  </si>
  <si>
    <t xml:space="preserve">Sheets in this part</t>
  </si>
  <si>
    <t xml:space="preserve">TS_Setup</t>
  </si>
  <si>
    <t xml:space="preserve">Train/test split, smoothing parameters (inputs), AR / ARIMA regressions (LINEST), Solver instructions</t>
  </si>
  <si>
    <t xml:space="preserve">TS_Model</t>
  </si>
  <si>
    <t xml:space="preserve">Day-by-day engine: Naive, MA(7), SES, Holt, Holt-Winters (weekly), AR(1), ARIMA(1,1,0), decomposition pieces</t>
  </si>
  <si>
    <t xml:space="preserve">TS_AlphaGrid</t>
  </si>
  <si>
    <t xml:space="preserve">SES alpha search over 0.05-0.95 (finds the best alpha with formulas, no Solver)</t>
  </si>
  <si>
    <t xml:space="preserve">TS_Eval</t>
  </si>
  <si>
    <t xml:space="preserve">All models forecast the 14 test days; MAE, RMSE, MAPE, SMAPE, MASE, ranking, charts; one-step-ahead errors</t>
  </si>
  <si>
    <t xml:space="preserve">TS_Forecast</t>
  </si>
  <si>
    <t xml:space="preserve">Next 14 days with 95% interval; method selector in B4; chart</t>
  </si>
  <si>
    <t xml:space="preserve">TS_CV</t>
  </si>
  <si>
    <t xml:space="preserve">Rolling-origin cross-validation (5 expanding folds)</t>
  </si>
  <si>
    <t xml:space="preserve">TS_Diagnostics</t>
  </si>
  <si>
    <t xml:space="preserve">Dickey-Fuller test, ACF, weekday seasonality (decomposition)</t>
  </si>
  <si>
    <t xml:space="preserve">TS_Province</t>
  </si>
  <si>
    <t xml:space="preserve">Per-province Holt forecasts for the next 14 days</t>
  </si>
  <si>
    <t xml:space="preserve">Method summary</t>
  </si>
  <si>
    <t xml:space="preserve">Method</t>
  </si>
  <si>
    <t xml:space="preserve">Where</t>
  </si>
  <si>
    <t xml:space="preserve">How it works</t>
  </si>
  <si>
    <t xml:space="preserve">Naive</t>
  </si>
  <si>
    <t xml:space="preserve">TS_Model E</t>
  </si>
  <si>
    <t xml:space="preserve">Forecast = last observed value. The baseline every model must beat.</t>
  </si>
  <si>
    <t xml:space="preserve">Seasonal naive</t>
  </si>
  <si>
    <t xml:space="preserve">TS_Eval E</t>
  </si>
  <si>
    <t xml:space="preserve">Forecast = same weekday last week.</t>
  </si>
  <si>
    <t xml:space="preserve">Moving average (7)</t>
  </si>
  <si>
    <t xml:space="preserve">TS_Model F</t>
  </si>
  <si>
    <t xml:space="preserve">Average of the last 7 days. Smooths the weekly cycle but lags a rising trend.</t>
  </si>
  <si>
    <t xml:space="preserve">SES</t>
  </si>
  <si>
    <t xml:space="preserve">TS_Model G:H</t>
  </si>
  <si>
    <t xml:space="preserve">Exponential smoothing, level only. alpha chosen on TS_AlphaGrid. Flat forecast.</t>
  </si>
  <si>
    <t xml:space="preserve">Holt linear</t>
  </si>
  <si>
    <t xml:space="preserve">TS_Model I:K</t>
  </si>
  <si>
    <t xml:space="preserve">Level + trend. Forecast rises (or falls) in a straight line.</t>
  </si>
  <si>
    <t xml:space="preserve">Holt-Winters (add)</t>
  </si>
  <si>
    <t xml:space="preserve">TS_Model L:O</t>
  </si>
  <si>
    <t xml:space="preserve">Level + trend + 7-day seasonal pattern. Same family as Excel Forecast Sheet (ETS AAA).</t>
  </si>
  <si>
    <t xml:space="preserve">AR(1)</t>
  </si>
  <si>
    <t xml:space="preserve">TS_Model Q</t>
  </si>
  <si>
    <t xml:space="preserve">Cases(t) = c + phi * Cases(t-1), coefficients from LINEST on the training days.</t>
  </si>
  <si>
    <t xml:space="preserve">ARIMA(1,1,0)</t>
  </si>
  <si>
    <t xml:space="preserve">TS_Model R</t>
  </si>
  <si>
    <t xml:space="preserve">AR(1) on the daily change plus a drift. A hand-built ARIMA; the Python notebook searches p, d, q properly and also fits SARIMA.</t>
  </si>
  <si>
    <t xml:space="preserve">Excel ETS</t>
  </si>
  <si>
    <t xml:space="preserve">TS_Eval L</t>
  </si>
  <si>
    <t xml:space="preserve">The FORECAST.ETS worksheet function with weekly seasonality, i.e. what Data &gt; Forecast Sheet uses.</t>
  </si>
  <si>
    <t xml:space="preserve">Running Excel's own Forecast Sheet (Data tab &gt; Forecast Sheet)</t>
  </si>
  <si>
    <t xml:space="preserve">1. Select Date and Daily cases on the Daily sheet (A4:A103 and C4:C103 together is easiest with Ctrl).</t>
  </si>
  <si>
    <t xml:space="preserve">2. Data &gt; Forecast Sheet. Set Forecast End to 17-Jun-2020 (14 days after the last day).</t>
  </si>
  <si>
    <t xml:space="preserve">3. Options: Confidence Interval 95%, Seasonality: Set manually = 7, tick Include forecast statistics.</t>
  </si>
  <si>
    <t xml:space="preserve">4. Create. Excel shows alpha, beta, gamma, MASE, SMAPE, MAE, RMSE. If MASE &gt; 1 the forecast is worse than a one-step naive forecast.</t>
  </si>
  <si>
    <t xml:space="preserve">5. The TS_Forecast sheet already contains the same ETS forecast (column K) computed with FORECAST.ETS, so you can compare it with the sheet Excel builds.</t>
  </si>
  <si>
    <t xml:space="preserve">6. Repeat with Daily deaths (column D) or one province at a time to produce further forecast sheets.</t>
  </si>
  <si>
    <t xml:space="preserve">True ARIMA / SARIMA</t>
  </si>
  <si>
    <t xml:space="preserve">Excel has no built-in ARIMA. Options: XLSTAT (Time Series &gt; ARIMA, orders p,d,q and P,D,Q,s=7), NumXL or the free Real Statistics pack.</t>
  </si>
  <si>
    <t xml:space="preserve">ARIMA(1,1,0) here is a hand-built version using LINEST. For the full order search, SARIMA, Auto-ARIMA and Prophet use the Python notebook (Part A).</t>
  </si>
  <si>
    <t xml:space="preserve">Excel and Python numbers will not match exactly: different estimation methods, and Python refits many more models.</t>
  </si>
  <si>
    <t xml:space="preserve">Things to keep in mind</t>
  </si>
  <si>
    <t xml:space="preserve">The series is short (99 days) and still rising, so it is not a stable process. Forecast intervals are wide and only the first week or so is dependable.</t>
  </si>
  <si>
    <t xml:space="preserve">A baseline (Naive) winning on the test set is a valid result, not a mistake: it means the extra structure is small relative to the noise.</t>
  </si>
  <si>
    <t xml:space="preserve">Days with no reported records are zero in the series. The very low early days (February-March) barely affect the forecast but do affect MAPE-style measures, so MAPE skips actual zeros.</t>
  </si>
  <si>
    <t xml:space="preserve">Parameters are tuned on the training days only; the test set was never used to choose alpha, beta, gamma or the AR coefficients.</t>
  </si>
  <si>
    <t xml:space="preserve">Forecasting set-up and parameters</t>
  </si>
  <si>
    <t xml:space="preserve">Train / test split, smoothing parameters and the regression behind AR(1) and ARIMA(1,1,0). Blue cells are inputs.</t>
  </si>
  <si>
    <t xml:space="preserve">Item</t>
  </si>
  <si>
    <t xml:space="preserve">Comment</t>
  </si>
  <si>
    <t xml:space="preserve">Train start</t>
  </si>
  <si>
    <t xml:space="preserve">First day of the series</t>
  </si>
  <si>
    <t xml:space="preserve">Train end</t>
  </si>
  <si>
    <t xml:space="preserve">Last of 85 training days</t>
  </si>
  <si>
    <t xml:space="preserve">Test start</t>
  </si>
  <si>
    <t xml:space="preserve">First held-out day</t>
  </si>
  <si>
    <t xml:space="preserve">Test end</t>
  </si>
  <si>
    <t xml:space="preserve">Last day of the data (14 test days)</t>
  </si>
  <si>
    <t xml:space="preserve">Training days</t>
  </si>
  <si>
    <t xml:space="preserve">Fixed in the formulas (same split as the Python notebook: the last 14 days are held out)</t>
  </si>
  <si>
    <t xml:space="preserve">Test days (forecast horizon)</t>
  </si>
  <si>
    <t xml:space="preserve">Fixed in the formulas</t>
  </si>
  <si>
    <t xml:space="preserve">Smoothing parameters</t>
  </si>
  <si>
    <t xml:space="preserve">Parameter</t>
  </si>
  <si>
    <t xml:space="preserve">How it was chosen</t>
  </si>
  <si>
    <t xml:space="preserve">SES alpha</t>
  </si>
  <si>
    <t xml:space="preserve">Live: the alpha (steps of 0.05) with the smallest training SSE on the TS_AlphaGrid sheet. No Solver needed.</t>
  </si>
  <si>
    <t xml:space="preserve">Holt alpha (level)</t>
  </si>
  <si>
    <t xml:space="preserve">Minimises training SSE (Solver-style optimum found in Python; type another value to test it)</t>
  </si>
  <si>
    <t xml:space="preserve">Holt beta (trend)</t>
  </si>
  <si>
    <t xml:space="preserve">Same</t>
  </si>
  <si>
    <t xml:space="preserve">Holt-Winters alpha (level)</t>
  </si>
  <si>
    <t xml:space="preserve">Minimises training SSE over rows from day 8 (Python optimum)</t>
  </si>
  <si>
    <t xml:space="preserve">Holt-Winters beta (trend)</t>
  </si>
  <si>
    <t xml:space="preserve">Holt-Winters gamma (seasonal)</t>
  </si>
  <si>
    <t xml:space="preserve">Training sum of squared one-step errors (change a parameter above and watch these move)</t>
  </si>
  <si>
    <t xml:space="preserve">Training SSE</t>
  </si>
  <si>
    <t xml:space="preserve">Rows used</t>
  </si>
  <si>
    <t xml:space="preserve">TS_Model rows 6-89 (Daily-sheet row numbers)</t>
  </si>
  <si>
    <t xml:space="preserve">TS_Model rows 12-89 (Daily-sheet row numbers)</t>
  </si>
  <si>
    <t xml:space="preserve">TS_Model rows 7-89 (Daily-sheet row numbers)</t>
  </si>
  <si>
    <t xml:space="preserve">Regression behind AR(1) and ARIMA(1,1,0) (LINEST on the training rows only)</t>
  </si>
  <si>
    <t xml:space="preserve">Quantity</t>
  </si>
  <si>
    <t xml:space="preserve">Meaning</t>
  </si>
  <si>
    <t xml:space="preserve">AR(1) slope phi</t>
  </si>
  <si>
    <t xml:space="preserve">Cases(t) = c + phi * Cases(t-1)</t>
  </si>
  <si>
    <t xml:space="preserve">AR(1) intercept c</t>
  </si>
  <si>
    <t xml:space="preserve">AR(1) R-squared</t>
  </si>
  <si>
    <t xml:space="preserve">ARIMA(1,1,0) slope phi_d</t>
  </si>
  <si>
    <t xml:space="preserve">Diff(t) = c_d + phi_d * Diff(t-1), then cases = previous cases + Diff</t>
  </si>
  <si>
    <t xml:space="preserve">ARIMA(1,1,0) intercept c_d</t>
  </si>
  <si>
    <t xml:space="preserve">The drift: average daily rise in cases not explained by phi_d</t>
  </si>
  <si>
    <t xml:space="preserve">ARIMA(1,1,0) R-squared</t>
  </si>
  <si>
    <t xml:space="preserve">How to optimise with Solver (Data tab &gt; Solver)</t>
  </si>
  <si>
    <t xml:space="preserve">1. Set Objective: the Training SSE of the method (B25 SES is not needed; use B26 for Holt, B27 for Holt-Winters), To: Min.</t>
  </si>
  <si>
    <t xml:space="preserve">2. By Changing Variable Cells: B15:B16 for Holt, B17:B19 for Holt-Winters.</t>
  </si>
  <si>
    <t xml:space="preserve">3. Constraints: each parameter &gt;= 0 and &lt;= 1. Method: GRG Nonlinear.</t>
  </si>
  <si>
    <t xml:space="preserve">4. The stored values are the optimum found with a numerical optimiser, so Solver should land on (almost) the same numbers.</t>
  </si>
  <si>
    <t xml:space="preserve">Forecasting engine: one row per day</t>
  </si>
  <si>
    <t xml:space="preserve">Every column is a live formula. Row numbers match the Daily sheet. Forecast columns are the ONE-STEP-AHEAD forecast for that row (made from the day before).</t>
  </si>
  <si>
    <t xml:space="preserve">Set</t>
  </si>
  <si>
    <t xml:space="preserve">MA(7)</t>
  </si>
  <si>
    <t xml:space="preserve">SES level</t>
  </si>
  <si>
    <t xml:space="preserve">SES forecast</t>
  </si>
  <si>
    <t xml:space="preserve">Holt level</t>
  </si>
  <si>
    <t xml:space="preserve">Holt trend</t>
  </si>
  <si>
    <t xml:space="preserve">Holt forecast</t>
  </si>
  <si>
    <t xml:space="preserve">HW level</t>
  </si>
  <si>
    <t xml:space="preserve">HW trend</t>
  </si>
  <si>
    <t xml:space="preserve">HW season</t>
  </si>
  <si>
    <t xml:space="preserve">HW forecast</t>
  </si>
  <si>
    <t xml:space="preserve">Diff</t>
  </si>
  <si>
    <t xml:space="preserve">AR(1) forecast</t>
  </si>
  <si>
    <t xml:space="preserve">ARIMA(1,1,0) forecast</t>
  </si>
  <si>
    <t xml:space="preserve">Diff2</t>
  </si>
  <si>
    <t xml:space="preserve">Trend (centred 7-day mean)</t>
  </si>
  <si>
    <t xml:space="preserve">Cases minus trend</t>
  </si>
  <si>
    <t xml:space="preserve">Seasonal period = 7 days. Holt-Winters starts on day 8 (state initialised from the first 14 days, all inside the training period). Naive = yesterday, MA(7) = mean of the previous 7 days, SES / Holt / HW use the parameters on TS_Setup. Yellow = test period.</t>
  </si>
  <si>
    <t xml:space="preserve">SES alpha search (replaces Solver)</t>
  </si>
  <si>
    <t xml:space="preserve">One SES recursion per alpha; the best alpha is the one with the smallest training SSE. It feeds TS_Setup!B14.</t>
  </si>
  <si>
    <t xml:space="preserve">Best alpha</t>
  </si>
  <si>
    <t xml:space="preserve">alpha</t>
  </si>
  <si>
    <t xml:space="preserve">Model comparison on the 14-day test set</t>
  </si>
  <si>
    <t xml:space="preserve">Every model is fitted on the training days only and forecasts all 14 test days ahead (multi-step), exactly as in the Python notebook.</t>
  </si>
  <si>
    <t xml:space="preserve">Day ahead</t>
  </si>
  <si>
    <t xml:space="preserve">Actual</t>
  </si>
  <si>
    <t xml:space="preserve">ARIMA diff helper</t>
  </si>
  <si>
    <t xml:space="preserve">Accuracy metrics (test set)</t>
  </si>
  <si>
    <t xml:space="preserve">MAE</t>
  </si>
  <si>
    <t xml:space="preserve">RMSE</t>
  </si>
  <si>
    <t xml:space="preserve">MAPE %</t>
  </si>
  <si>
    <t xml:space="preserve">SMAPE %</t>
  </si>
  <si>
    <t xml:space="preserve">MASE</t>
  </si>
  <si>
    <t xml:space="preserve">RMSE rank</t>
  </si>
  <si>
    <t xml:space="preserve">RMSE vs Naive</t>
  </si>
  <si>
    <t xml:space="preserve">Train 1-step sigma</t>
  </si>
  <si>
    <t xml:space="preserve">n/a</t>
  </si>
  <si>
    <t xml:space="preserve">Best (RMSE)</t>
  </si>
  <si>
    <t xml:space="preserve">Reading it</t>
  </si>
  <si>
    <t xml:space="preserve">MASE &lt; 1 means the model beats a one-step naive forecast measured on the training data. Because the test forecasts are 1-14 days ahead, MASE is expected to be above 1 for most models. Excel ETS = FORECAST.ETS with a weekly season (Excel and LibreOffice implement it slightly differently, so Excel may show small differences after it recalculates).</t>
  </si>
  <si>
    <t xml:space="preserve">One-step-ahead accuracy on the test days (each forecast made the day before)</t>
  </si>
  <si>
    <t xml:space="preserve">One-step errors are much smaller than the multi-step errors above: forecasting tomorrow is far easier than forecasting two weeks ahead.</t>
  </si>
  <si>
    <t xml:space="preserve">14-day forecast beyond the last observed day</t>
  </si>
  <si>
    <t xml:space="preserve">Every model keeps its fitted parameters but its state is updated through the last day of data. Choose the method in B4.</t>
  </si>
  <si>
    <t xml:space="preserve">Default = best model on the test set (TS_Eval). Overwrite with any name from the list to see another method.</t>
  </si>
  <si>
    <t xml:space="preserve">Selected forecast</t>
  </si>
  <si>
    <t xml:space="preserve">Half-width 95%</t>
  </si>
  <si>
    <t xml:space="preserve">Lower 95%</t>
  </si>
  <si>
    <t xml:space="preserve">Upper 95%</t>
  </si>
  <si>
    <t xml:space="preserve">The 95% interval is approximate: 1.96 x (one-step residual standard deviation on the training days) x sqrt(day ahead), which assumes errors that accumulate like a random walk. For Excel ETS the interval comes from FORECAST.ETS.CONFINT. The lower bound is floored at 0 because counts cannot be negative. The AR / ARIMA rows use coefficients fitted on the training days only.</t>
  </si>
  <si>
    <t xml:space="preserve">Summary</t>
  </si>
  <si>
    <t xml:space="preserve">Forecast total, next 14 days</t>
  </si>
  <si>
    <t xml:space="preserve">Average per day</t>
  </si>
  <si>
    <t xml:space="preserve">Last 7 observed days, average per day</t>
  </si>
  <si>
    <t xml:space="preserve">Day-14 interval width</t>
  </si>
  <si>
    <t xml:space="preserve">Day-1 interval width</t>
  </si>
  <si>
    <t xml:space="preserve">Chart data (last 30 observed days + 14 forecast days)</t>
  </si>
  <si>
    <t xml:space="preserve">Forecast</t>
  </si>
  <si>
    <t xml:space="preserve">Rolling-origin cross-validation</t>
  </si>
  <si>
    <t xml:space="preserve">Expanding window: fit on the first N days, forecast the next 14, move the origin forward. The model state at the origin is read from TS_Model.</t>
  </si>
  <si>
    <t xml:space="preserve">Fold</t>
  </si>
  <si>
    <t xml:space="preserve">Training days (N)</t>
  </si>
  <si>
    <t xml:space="preserve">Origin date</t>
  </si>
  <si>
    <t xml:space="preserve">Test window</t>
  </si>
  <si>
    <t xml:space="preserve">Naive MAE</t>
  </si>
  <si>
    <t xml:space="preserve">MA(7) MAE</t>
  </si>
  <si>
    <t xml:space="preserve">SES MAE</t>
  </si>
  <si>
    <t xml:space="preserve">Holt MAE</t>
  </si>
  <si>
    <t xml:space="preserve">Naive RMSE</t>
  </si>
  <si>
    <t xml:space="preserve">MA(7) RMSE</t>
  </si>
  <si>
    <t xml:space="preserve">SES RMSE</t>
  </si>
  <si>
    <t xml:space="preserve">Holt RMSE</t>
  </si>
  <si>
    <t xml:space="preserve">Best on average</t>
  </si>
  <si>
    <t xml:space="preserve">The training-day column (blue) can be changed. The last fold (N = 85) is the same split as the test set on TS_Eval. SES alpha and Holt alpha/beta were tuned on the first 85 days, so the earlier folds are a little optimistic for those methods (the parameters have seen some of those folds' future). Early folds cover the fast-rising April-May period, so errors grow with the fold number simply because the daily counts are larger.</t>
  </si>
  <si>
    <t xml:space="preserve">Stationarity, autocorrelation and weekly seasonality</t>
  </si>
  <si>
    <t xml:space="preserve">A Dickey-Fuller style test, the autocorrelation function and a classical weekly decomposition, all with live formulas.</t>
  </si>
  <si>
    <t xml:space="preserve">Dickey-Fuller regression: Diff(t) = a + g * Y(t-1)</t>
  </si>
  <si>
    <t xml:space="preserve">Series</t>
  </si>
  <si>
    <t xml:space="preserve">g</t>
  </si>
  <si>
    <t xml:space="preserve">t-statistic</t>
  </si>
  <si>
    <t xml:space="preserve">5% critical value</t>
  </si>
  <si>
    <t xml:space="preserve">Verdict</t>
  </si>
  <si>
    <t xml:space="preserve">Original cases</t>
  </si>
  <si>
    <t xml:space="preserve">First difference</t>
  </si>
  <si>
    <t xml:space="preserve">Recommended d</t>
  </si>
  <si>
    <t xml:space="preserve">Plain Dickey-Fuller test (no lagged differences, constant included). The 5% critical value -2.89 is the standard table value for about 100 observations. Python's adfuller adds lags chosen by AIC, so the statistic can differ slightly; the conclusion should match. Differencing once is the usual cure for a trending count series.</t>
  </si>
  <si>
    <t xml:space="preserve">Autocorrelation function (ACF)</t>
  </si>
  <si>
    <t xml:space="preserve">Weekly seasonality (classical additive decomposition, period 7)</t>
  </si>
  <si>
    <t xml:space="preserve">Lag</t>
  </si>
  <si>
    <t xml:space="preserve">ACF of cases</t>
  </si>
  <si>
    <t xml:space="preserve">ACF of first difference</t>
  </si>
  <si>
    <t xml:space="preserve">+95% bound</t>
  </si>
  <si>
    <t xml:space="preserve">-95% bound</t>
  </si>
  <si>
    <t xml:space="preserve">Mean (cases - trend)</t>
  </si>
  <si>
    <t xml:space="preserve">Seasonal component</t>
  </si>
  <si>
    <t xml:space="preserve">Index (cases / trend)</t>
  </si>
  <si>
    <t xml:space="preserve">Highest day</t>
  </si>
  <si>
    <t xml:space="preserve">Lowest day</t>
  </si>
  <si>
    <t xml:space="preserve">Swing (max-min)</t>
  </si>
  <si>
    <t xml:space="preserve">Trend = centred 7-day mean (TS_Model column T). Seasonal component = day-of-week average of (cases - trend), re-centred to sum to zero. Index = average of cases / trend for that weekday; 1.00 is an average day.</t>
  </si>
  <si>
    <t xml:space="preserve">Bars outside the dashed bounds are significant. A slow decay for the raw series (left) confirms the trend; the differenced series (right) shows the weekly rhythm as a spike near lag 7. PACF is not built with formulas here (it needs a recursive solve); use the Python notebook for it.</t>
  </si>
  <si>
    <t xml:space="preserve">Province forecasts (Holt linear trend)</t>
  </si>
  <si>
    <t xml:space="preserve">Each province gets its own daily series (SUMIFS on Data) and a Holt model with the alpha/beta from TS_Setup. Forecasts below zero are set to zero.</t>
  </si>
  <si>
    <t xml:space="preserve">Daily cases by province</t>
  </si>
  <si>
    <t xml:space="preserve">Azad Jummu Kashmir level</t>
  </si>
  <si>
    <t xml:space="preserve">Baluchistan level</t>
  </si>
  <si>
    <t xml:space="preserve">Federal Administration Tribal Area level</t>
  </si>
  <si>
    <t xml:space="preserve">Gilgit-Baltistan level</t>
  </si>
  <si>
    <t xml:space="preserve">Islamabad Capital Territory level</t>
  </si>
  <si>
    <t xml:space="preserve">Khyber Pakhtunkhwa level</t>
  </si>
  <si>
    <t xml:space="preserve">Punjab level</t>
  </si>
  <si>
    <t xml:space="preserve">Sindh level</t>
  </si>
  <si>
    <t xml:space="preserve">Azad Jummu Kashmir trend</t>
  </si>
  <si>
    <t xml:space="preserve">Baluchistan trend</t>
  </si>
  <si>
    <t xml:space="preserve">Federal Administration Tribal Area trend</t>
  </si>
  <si>
    <t xml:space="preserve">Gilgit-Baltistan trend</t>
  </si>
  <si>
    <t xml:space="preserve">Islamabad Capital Territory trend</t>
  </si>
  <si>
    <t xml:space="preserve">Khyber Pakhtunkhwa trend</t>
  </si>
  <si>
    <t xml:space="preserve">Punjab trend</t>
  </si>
  <si>
    <t xml:space="preserve">Sindh trend</t>
  </si>
  <si>
    <t xml:space="preserve">14-day province forecasts</t>
  </si>
  <si>
    <t xml:space="preserve">Pakistan (sum)</t>
  </si>
  <si>
    <t xml:space="preserve">14-day total</t>
  </si>
  <si>
    <t xml:space="preserve">Last 14 days actual</t>
  </si>
  <si>
    <t xml:space="preserve">Change</t>
  </si>
  <si>
    <t xml:space="preserve">The "Pakistan (sum)" column adds the province forecasts; it will not match the national forecast on TS_Forecast exactly because each series is smoothed separately. Small provinces have many zero days, so their Holt trend is noisy: read their forecasts as rough direction only.</t>
  </si>
  <si>
    <t xml:space="preserve">K-Means clustering: Pakistan COVID-19</t>
  </si>
  <si>
    <t xml:space="preserve">Excel implementation of the K-Means workflow: every distance, assignment, centroid, WCSS and silhouette value is a live formula.</t>
  </si>
  <si>
    <t xml:space="preserve">Control panel</t>
  </si>
  <si>
    <t xml:space="preserve">Setting</t>
  </si>
  <si>
    <t xml:space="preserve">What it does</t>
  </si>
  <si>
    <t xml:space="preserve">Log-transform the features</t>
  </si>
  <si>
    <t xml:space="preserve">1 = use LN(1 + x) before standardising (recommended: cases are heavily skewed). 0 = raw counts, exactly as in the guide. Everything recalculates.</t>
  </si>
  <si>
    <t xml:space="preserve">Clusters in the main runs (K)</t>
  </si>
  <si>
    <t xml:space="preserve">K = 3 on every KMeans_ sheet. K = 2 to 6 is compared for cities on Elbow_Silhouette.</t>
  </si>
  <si>
    <t xml:space="preserve">Results at a glance</t>
  </si>
  <si>
    <t xml:space="preserve">Analysis</t>
  </si>
  <si>
    <t xml:space="preserve">Sheet</t>
  </si>
  <si>
    <t xml:space="preserve">Cluster sizes (cluster 1 / 2 / 3) and tiers</t>
  </si>
  <si>
    <t xml:space="preserve">Total WCSS</t>
  </si>
  <si>
    <t xml:space="preserve">Cities (117)</t>
  </si>
  <si>
    <t xml:space="preserve">KMeans_City</t>
  </si>
  <si>
    <t xml:space="preserve">Provinces (8)</t>
  </si>
  <si>
    <t xml:space="preserve">KMeans_Province</t>
  </si>
  <si>
    <t xml:space="preserve">Days (99) as phases</t>
  </si>
  <si>
    <t xml:space="preserve">KMeans_Phase</t>
  </si>
  <si>
    <t xml:space="preserve">Travel history (15)</t>
  </si>
  <si>
    <t xml:space="preserve">KMeans_Travel</t>
  </si>
  <si>
    <t xml:space="preserve">Best K for cities (silhouette)</t>
  </si>
  <si>
    <t xml:space="preserve">Elbow_Silhouette</t>
  </si>
  <si>
    <t xml:space="preserve">1. What K-Means does</t>
  </si>
  <si>
    <t xml:space="preserve">K-Means splits the data into K groups. Every point belongs to the cluster with the nearest centroid (the cluster mean). The centroids are recomputed until the assignments stop changing. The quantity it minimises is the within-cluster sum of squares (WCSS, also called inertia).</t>
  </si>
  <si>
    <t xml:space="preserve">Algorithm: 1) choose K. 2) pick K starting centroids. 3) assign each point to the nearest centroid. 4) move each centroid to the mean of its points. 5) repeat 3 and 4 until nothing changes. In this workbook each repeat is one "Iteration" block on a KMeans_ sheet, and the Reassigned row shows how many points changed.</t>
  </si>
  <si>
    <t xml:space="preserve">2. Dataset and what was clustered</t>
  </si>
  <si>
    <t xml:space="preserve">Column</t>
  </si>
  <si>
    <t xml:space="preserve">Type</t>
  </si>
  <si>
    <t xml:space="preserve">Use in clustering</t>
  </si>
  <si>
    <t xml:space="preserve">Rows of Phase_Data: each day becomes a point</t>
  </si>
  <si>
    <t xml:space="preserve">Cases, Deaths, Recovered</t>
  </si>
  <si>
    <t xml:space="preserve">Integer</t>
  </si>
  <si>
    <t xml:space="preserve">The three features (summed per city / province / category, or daily)</t>
  </si>
  <si>
    <t xml:space="preserve">Travel_history</t>
  </si>
  <si>
    <t xml:space="preserve">Categorical</t>
  </si>
  <si>
    <t xml:space="preserve">Aggregated into Travel_Data (15 categories)</t>
  </si>
  <si>
    <t xml:space="preserve">Province, City</t>
  </si>
  <si>
    <t xml:space="preserve">Aggregated into Province_Agg and City_Agg; used as labels</t>
  </si>
  <si>
    <t xml:space="preserve">3. Where each step of the guide lives</t>
  </si>
  <si>
    <t xml:space="preserve">Guide step</t>
  </si>
  <si>
    <t xml:space="preserve">What you will find</t>
  </si>
  <si>
    <t xml:space="preserve">Step 3-5: helper columns and aggregation</t>
  </si>
  <si>
    <t xml:space="preserve">City_Agg, Province_Agg</t>
  </si>
  <si>
    <t xml:space="preserve">SUMIF totals, Active = cases - deaths - recovered, CFR % = deaths / cases * 100. The Data sheet is already cleaned.</t>
  </si>
  <si>
    <t xml:space="preserve">Step 1-2: data matrix, standardise</t>
  </si>
  <si>
    <t xml:space="preserve">KMeans_Data</t>
  </si>
  <si>
    <t xml:space="preserve">X1 to X3, optional log transform, then Z-scores with (x - AVERAGE) / STDEV</t>
  </si>
  <si>
    <t xml:space="preserve">Steps 3-7: centroids, distances, assignment, iterate</t>
  </si>
  <si>
    <t xml:space="preserve">Starting centroids in blue (B8:B10), then 12 iteration blocks. Distance = SQRT of the sum of squared z differences; Cluster = MATCH(MIN(...))</t>
  </si>
  <si>
    <t xml:space="preserve">Step 8: WCSS</t>
  </si>
  <si>
    <t xml:space="preserve">Per-cluster and total WCSS next to the final centroids</t>
  </si>
  <si>
    <t xml:space="preserve">Step 9: elbow method</t>
  </si>
  <si>
    <t xml:space="preserve">Elbow_Silhouette, Elbow_Engine</t>
  </si>
  <si>
    <t xml:space="preserve">Full K-Means for K = 2 to 6, WCSS and elbow chart</t>
  </si>
  <si>
    <t xml:space="preserve">Step 10: silhouette</t>
  </si>
  <si>
    <t xml:space="preserve">Elbow_Silhouette, Distance_Matrix</t>
  </si>
  <si>
    <t xml:space="preserve">a(i), b(i) and s(i) for every city, mean silhouette per K</t>
  </si>
  <si>
    <t xml:space="preserve">Objectives 2-4</t>
  </si>
  <si>
    <t xml:space="preserve">KMeans_Province, KMeans_Phase, KMeans_Travel</t>
  </si>
  <si>
    <t xml:space="preserve">Same engine on provinces, days and travel history</t>
  </si>
  <si>
    <t xml:space="preserve">Visualisation</t>
  </si>
  <si>
    <t xml:space="preserve">Cluster_Charts, Elbow_Silhouette</t>
  </si>
  <si>
    <t xml:space="preserve">Scatter plot per cluster, elbow chart, silhouette chart</t>
  </si>
  <si>
    <t xml:space="preserve">4. Reading the results</t>
  </si>
  <si>
    <t xml:space="preserve">Why the log transform: with raw counts (switch = 0) Karachi and Lahore are so large that each becomes its own cluster of one and the other 115 cities collapse into a single cluster. That result is mathematically correct but not useful. Taking LN(1 + x) first reveals three real tiers.</t>
  </si>
  <si>
    <t xml:space="preserve">Phases: the days cluster into low, medium and high activity periods; see First day and Last day on KMeans_Phase for the date ranges.</t>
  </si>
  <si>
    <t xml:space="preserve">Caution: K-Means is distance based and sensitive to scale and starting points. The farthest-first starting centroids used here are a fixed, reproducible choice; change them in the blue cells to test stability. Provinces (8) and travel categories (15) are small samples, so treat their clusters as tiers rather than findings.</t>
  </si>
  <si>
    <t xml:space="preserve">5. Using an add-in instead (optional)</t>
  </si>
  <si>
    <t xml:space="preserve">XLSTAT (trial) or Real Statistics (free) can run K-Means on the Z_ columns of KMeans_Data with K = 3 and give cluster assignments, centroids, WCSS and plots. They were not run for this workbook (add-ins cannot be installed in the environment that built it); the formula method above is the full implementation.</t>
  </si>
  <si>
    <t xml:space="preserve">City_Agg: city-level aggregation</t>
  </si>
  <si>
    <t xml:space="preserve">SUMIF on the Data sheet (guide Step 4). Cities are listed by total cases; Province is looked up with INDEX/MATCH.</t>
  </si>
  <si>
    <t xml:space="preserve">Total_Cases</t>
  </si>
  <si>
    <t xml:space="preserve">Total_Deaths</t>
  </si>
  <si>
    <t xml:space="preserve">Total_Recovered</t>
  </si>
  <si>
    <t xml:space="preserve">Total_Active</t>
  </si>
  <si>
    <t xml:space="preserve">CFR %</t>
  </si>
  <si>
    <t xml:space="preserve">Dir Lower</t>
  </si>
  <si>
    <t xml:space="preserve">Khairpur</t>
  </si>
  <si>
    <t xml:space="preserve">Abbottabad</t>
  </si>
  <si>
    <t xml:space="preserve">Nowshera</t>
  </si>
  <si>
    <t xml:space="preserve">Muzaffarabad</t>
  </si>
  <si>
    <t xml:space="preserve">Dera Ghazi Khan</t>
  </si>
  <si>
    <t xml:space="preserve">Charsadda</t>
  </si>
  <si>
    <t xml:space="preserve">Dir Upper</t>
  </si>
  <si>
    <t xml:space="preserve">Khyber</t>
  </si>
  <si>
    <t xml:space="preserve">Bajaur</t>
  </si>
  <si>
    <t xml:space="preserve">Shikarpur</t>
  </si>
  <si>
    <t xml:space="preserve">Rawalpindi</t>
  </si>
  <si>
    <t xml:space="preserve">Buner</t>
  </si>
  <si>
    <t xml:space="preserve">Sargodha</t>
  </si>
  <si>
    <t xml:space="preserve">Shaheed Benazirabad</t>
  </si>
  <si>
    <t xml:space="preserve">Gujrat</t>
  </si>
  <si>
    <t xml:space="preserve">Dera Ismail Khan</t>
  </si>
  <si>
    <t xml:space="preserve">Karak</t>
  </si>
  <si>
    <t xml:space="preserve">Shangla</t>
  </si>
  <si>
    <t xml:space="preserve">Mansehra</t>
  </si>
  <si>
    <t xml:space="preserve">Swabi</t>
  </si>
  <si>
    <t xml:space="preserve">Haripur</t>
  </si>
  <si>
    <t xml:space="preserve">Battagram</t>
  </si>
  <si>
    <t xml:space="preserve">Kohat</t>
  </si>
  <si>
    <t xml:space="preserve">Kurram</t>
  </si>
  <si>
    <t xml:space="preserve">Kambar Shahdadkot</t>
  </si>
  <si>
    <t xml:space="preserve">Nagar</t>
  </si>
  <si>
    <t xml:space="preserve">Rahim Yar Khan</t>
  </si>
  <si>
    <t xml:space="preserve">Jamshoro</t>
  </si>
  <si>
    <t xml:space="preserve">Gujranwala</t>
  </si>
  <si>
    <t xml:space="preserve">Bannu</t>
  </si>
  <si>
    <t xml:space="preserve">Lodhran</t>
  </si>
  <si>
    <t xml:space="preserve">Jacobabad</t>
  </si>
  <si>
    <t xml:space="preserve">Skardu</t>
  </si>
  <si>
    <t xml:space="preserve">Sialkot</t>
  </si>
  <si>
    <t xml:space="preserve">Faisalabad</t>
  </si>
  <si>
    <t xml:space="preserve">Jhelum</t>
  </si>
  <si>
    <t xml:space="preserve">Vehari</t>
  </si>
  <si>
    <t xml:space="preserve">Astore</t>
  </si>
  <si>
    <t xml:space="preserve">Sanghar</t>
  </si>
  <si>
    <t xml:space="preserve">Bhakkar</t>
  </si>
  <si>
    <t xml:space="preserve">Muzaffargar</t>
  </si>
  <si>
    <t xml:space="preserve">Badin</t>
  </si>
  <si>
    <t xml:space="preserve">Bahawalpur</t>
  </si>
  <si>
    <t xml:space="preserve">Dadu</t>
  </si>
  <si>
    <t xml:space="preserve">Other</t>
  </si>
  <si>
    <t xml:space="preserve">Thatta</t>
  </si>
  <si>
    <t xml:space="preserve">Hafizabad</t>
  </si>
  <si>
    <t xml:space="preserve">Mirpurkhas</t>
  </si>
  <si>
    <t xml:space="preserve">Kashmore</t>
  </si>
  <si>
    <t xml:space="preserve">Naushero Feroz</t>
  </si>
  <si>
    <t xml:space="preserve">Tando M. Khan</t>
  </si>
  <si>
    <t xml:space="preserve">Chitral Lower</t>
  </si>
  <si>
    <t xml:space="preserve">Sujawal</t>
  </si>
  <si>
    <t xml:space="preserve">Laiya</t>
  </si>
  <si>
    <t xml:space="preserve">Shigar</t>
  </si>
  <si>
    <t xml:space="preserve">Narowal</t>
  </si>
  <si>
    <t xml:space="preserve">Mandi Bahauddin</t>
  </si>
  <si>
    <t xml:space="preserve">Ghanche</t>
  </si>
  <si>
    <t xml:space="preserve">Hunza</t>
  </si>
  <si>
    <t xml:space="preserve">Nankana Sahib</t>
  </si>
  <si>
    <t xml:space="preserve">Khushab</t>
  </si>
  <si>
    <t xml:space="preserve">Sheikhupura</t>
  </si>
  <si>
    <t xml:space="preserve">Diamer</t>
  </si>
  <si>
    <t xml:space="preserve">Hangu</t>
  </si>
  <si>
    <t xml:space="preserve">Mohmand</t>
  </si>
  <si>
    <t xml:space="preserve">Bahawal Nagar</t>
  </si>
  <si>
    <t xml:space="preserve">Ghizer</t>
  </si>
  <si>
    <t xml:space="preserve">Mianwali</t>
  </si>
  <si>
    <t xml:space="preserve">Kharmang</t>
  </si>
  <si>
    <t xml:space="preserve">Attock</t>
  </si>
  <si>
    <t xml:space="preserve">Chitral Upper</t>
  </si>
  <si>
    <t xml:space="preserve">Matiari</t>
  </si>
  <si>
    <t xml:space="preserve">Lakki Marwat</t>
  </si>
  <si>
    <t xml:space="preserve">Taftan</t>
  </si>
  <si>
    <t xml:space="preserve">Orakzai</t>
  </si>
  <si>
    <t xml:space="preserve">North Waziristan</t>
  </si>
  <si>
    <t xml:space="preserve">Kasur</t>
  </si>
  <si>
    <t xml:space="preserve">Rajanpur</t>
  </si>
  <si>
    <t xml:space="preserve">Umerkot</t>
  </si>
  <si>
    <t xml:space="preserve">Tando Allahyar</t>
  </si>
  <si>
    <t xml:space="preserve">Mirpur</t>
  </si>
  <si>
    <t xml:space="preserve">Tank</t>
  </si>
  <si>
    <t xml:space="preserve">Sahiwal</t>
  </si>
  <si>
    <t xml:space="preserve">Chiniot</t>
  </si>
  <si>
    <t xml:space="preserve">South Waziristan</t>
  </si>
  <si>
    <t xml:space="preserve">Toba Tek Singh</t>
  </si>
  <si>
    <t xml:space="preserve">Khanewal</t>
  </si>
  <si>
    <t xml:space="preserve">Tharparkar</t>
  </si>
  <si>
    <t xml:space="preserve">Chakwal</t>
  </si>
  <si>
    <t xml:space="preserve">Pishin</t>
  </si>
  <si>
    <t xml:space="preserve">Kohistan Lower</t>
  </si>
  <si>
    <t xml:space="preserve">Bhambore</t>
  </si>
  <si>
    <t xml:space="preserve">Jhang</t>
  </si>
  <si>
    <t xml:space="preserve">Tor Ghar</t>
  </si>
  <si>
    <t xml:space="preserve">Trarkhel</t>
  </si>
  <si>
    <t xml:space="preserve">Kohistan Upper</t>
  </si>
  <si>
    <t xml:space="preserve">Okara</t>
  </si>
  <si>
    <t xml:space="preserve">Ziarat</t>
  </si>
  <si>
    <t xml:space="preserve">Pakpatan</t>
  </si>
  <si>
    <t xml:space="preserve">Chitral</t>
  </si>
  <si>
    <t xml:space="preserve">Kolai Pallas</t>
  </si>
  <si>
    <t xml:space="preserve">KMeans_Data: city feature matrix</t>
  </si>
  <si>
    <t xml:space="preserve">X1 to X3 link to City_Agg. Transformed columns follow the switch on Clustering_Guide (1 = log). Z columns are STANDARDIZE-style z-scores (guide Step 2).</t>
  </si>
  <si>
    <t xml:space="preserve">Cases (X1)</t>
  </si>
  <si>
    <t xml:space="preserve">Deaths (X2)</t>
  </si>
  <si>
    <t xml:space="preserve">Recovered (X3)</t>
  </si>
  <si>
    <t xml:space="preserve">Cases_T</t>
  </si>
  <si>
    <t xml:space="preserve">Deaths_T</t>
  </si>
  <si>
    <t xml:space="preserve">Recovered_T</t>
  </si>
  <si>
    <t xml:space="preserve">Z_Cases</t>
  </si>
  <si>
    <t xml:space="preserve">Z_Deaths</t>
  </si>
  <si>
    <t xml:space="preserve">Z_Recovered</t>
  </si>
  <si>
    <t xml:space="preserve">K-Means: cities (K = 3)</t>
  </si>
  <si>
    <t xml:space="preserve">Manual K-Means with formulas (guide Method C). Each iteration block: distances to the 3 centroids, nearest-centroid assignment, then new centroids = AVERAGEIF of the previous assignment.</t>
  </si>
  <si>
    <t xml:space="preserve">Settings</t>
  </si>
  <si>
    <t xml:space="preserve">Cluster</t>
  </si>
  <si>
    <t xml:space="preserve">Tier</t>
  </si>
  <si>
    <t xml:space="preserve">Size</t>
  </si>
  <si>
    <t xml:space="preserve">Avg recovered</t>
  </si>
  <si>
    <t xml:space="preserve">Number of clusters K</t>
  </si>
  <si>
    <t xml:space="preserve">Log transform (1 = yes)</t>
  </si>
  <si>
    <t xml:space="preserve">Starting centroids (edit)</t>
  </si>
  <si>
    <t xml:space="preserve">Centroid 1 starts at</t>
  </si>
  <si>
    <t xml:space="preserve">Centroid 2 starts at</t>
  </si>
  <si>
    <t xml:space="preserve">Centroid 3 starts at</t>
  </si>
  <si>
    <t xml:space="preserve">Type another label to restart from different points.</t>
  </si>
  <si>
    <t xml:space="preserve">Final centroids (z)</t>
  </si>
  <si>
    <t xml:space="preserve">Iteration 1</t>
  </si>
  <si>
    <t xml:space="preserve">Iteration 2</t>
  </si>
  <si>
    <t xml:space="preserve">Iteration 3</t>
  </si>
  <si>
    <t xml:space="preserve">Iteration 4</t>
  </si>
  <si>
    <t xml:space="preserve">Iteration 5</t>
  </si>
  <si>
    <t xml:space="preserve">Iteration 6</t>
  </si>
  <si>
    <t xml:space="preserve">Iteration 7</t>
  </si>
  <si>
    <t xml:space="preserve">Iteration 8</t>
  </si>
  <si>
    <t xml:space="preserve">Iteration 9</t>
  </si>
  <si>
    <t xml:space="preserve">Iteration 10</t>
  </si>
  <si>
    <t xml:space="preserve">Iteration 11</t>
  </si>
  <si>
    <t xml:space="preserve">Iteration 12</t>
  </si>
  <si>
    <t xml:space="preserve">Cluster size</t>
  </si>
  <si>
    <t xml:space="preserve">WCSS by cluster</t>
  </si>
  <si>
    <t xml:space="preserve">Reassigned</t>
  </si>
  <si>
    <t xml:space="preserve">start</t>
  </si>
  <si>
    <t xml:space="preserve">Label</t>
  </si>
  <si>
    <t xml:space="preserve">Sq. distance</t>
  </si>
  <si>
    <t xml:space="preserve">a(i)</t>
  </si>
  <si>
    <t xml:space="preserve">b(i)</t>
  </si>
  <si>
    <t xml:space="preserve">Silhouette s(i)</t>
  </si>
  <si>
    <t xml:space="preserve">Dist C1</t>
  </si>
  <si>
    <t xml:space="preserve">Dist C2</t>
  </si>
  <si>
    <t xml:space="preserve">Dist C3</t>
  </si>
  <si>
    <t xml:space="preserve">Choosing K: elbow method and silhouette score (cities)</t>
  </si>
  <si>
    <t xml:space="preserve">WCSS and mean silhouette for K = 2 to 6, all from formulas (guide Steps 9 and 10).</t>
  </si>
  <si>
    <t xml:space="preserve">K</t>
  </si>
  <si>
    <t xml:space="preserve">WCSS (inertia)</t>
  </si>
  <si>
    <t xml:space="preserve">Drop vs previous K</t>
  </si>
  <si>
    <t xml:space="preserve">Mean silhouette</t>
  </si>
  <si>
    <t xml:space="preserve">Cluster sizes</t>
  </si>
  <si>
    <t xml:space="preserve">Best K by silhouette</t>
  </si>
  <si>
    <t xml:space="preserve">How to read: WCSS always falls as K grows, so look for the K after which the drop becomes small (the elbow). The silhouette score (between -1 and 1) measures how well each city sits in its own cluster versus the next nearest one; higher is better. Both measures depend on the log-transform switch on Clustering_Guide.</t>
  </si>
  <si>
    <t xml:space="preserve">Elbow and silhouette engine (cities, K = 2 to 6)</t>
  </si>
  <si>
    <t xml:space="preserve">Same K-Means formulas as KMeans_City, repeated for K = 2, 4, 5 and 6 (K = 3 is on KMeans_City). Feeds Elbow_Silhouette.</t>
  </si>
  <si>
    <t xml:space="preserve">K = 2</t>
  </si>
  <si>
    <t xml:space="preserve">Starting centroids</t>
  </si>
  <si>
    <t xml:space="preserve">Sq. distance to centroid</t>
  </si>
  <si>
    <t xml:space="preserve">K = 4</t>
  </si>
  <si>
    <t xml:space="preserve">Centroid 4 starts at</t>
  </si>
  <si>
    <t xml:space="preserve">Dist C4</t>
  </si>
  <si>
    <t xml:space="preserve">K = 5</t>
  </si>
  <si>
    <t xml:space="preserve">Centroid 5 starts at</t>
  </si>
  <si>
    <t xml:space="preserve">Dist C5</t>
  </si>
  <si>
    <t xml:space="preserve">K = 6</t>
  </si>
  <si>
    <t xml:space="preserve">Centroid 6 starts at</t>
  </si>
  <si>
    <t xml:space="preserve">Dist C6</t>
  </si>
  <si>
    <t xml:space="preserve">Pairwise distance matrix (cities)</t>
  </si>
  <si>
    <t xml:space="preserve">Euclidean distance between every pair of cities in z-score space. Rows 8 to 12 hold each city's cluster for K = 2 to 6 so silhouettes can use SUMIF.</t>
  </si>
  <si>
    <t xml:space="preserve">Cluster, K = 2</t>
  </si>
  <si>
    <t xml:space="preserve">Cluster, K = 3</t>
  </si>
  <si>
    <t xml:space="preserve">Cluster, K = 4</t>
  </si>
  <si>
    <t xml:space="preserve">Cluster, K = 5</t>
  </si>
  <si>
    <t xml:space="preserve">Cluster, K = 6</t>
  </si>
  <si>
    <t xml:space="preserve">Province_Agg: province-level aggregation</t>
  </si>
  <si>
    <t xml:space="preserve">Same structure as City_Agg, grouped by Province (guide Step 5). Columns H to M add the log transform and z-scores used for clustering.</t>
  </si>
  <si>
    <t xml:space="preserve">K-Means: provinces (K = 3)</t>
  </si>
  <si>
    <t xml:space="preserve">Eight provinces grouped by outbreak size using the same engine. With only 8 rows this is a worked example; read it as a ranking in three tiers.</t>
  </si>
  <si>
    <t xml:space="preserve">Phase_Data: one row per calendar day</t>
  </si>
  <si>
    <t xml:space="preserve">Daily cases, deaths and recoveries from the Daily sheet. Columns H to M add the transform and z-scores used to cluster days into phases.</t>
  </si>
  <si>
    <t xml:space="preserve">Weekday</t>
  </si>
  <si>
    <t xml:space="preserve">Active</t>
  </si>
  <si>
    <t xml:space="preserve">K-Means: days grouped into transmission phases (K = 3)</t>
  </si>
  <si>
    <t xml:space="preserve">Each of the 99 calendar days is a point (cases, deaths, recoveries). Tier names rank the clusters by average daily cases.</t>
  </si>
  <si>
    <t xml:space="preserve">First day</t>
  </si>
  <si>
    <t xml:space="preserve">Last day</t>
  </si>
  <si>
    <t xml:space="preserve">Travel_Data: source-of-infection aggregation</t>
  </si>
  <si>
    <t xml:space="preserve">Travel history as recorded in the source Clean sheet (blank travel history is already labelled Local there). Columns H to M add the transform and z-scores.</t>
  </si>
  <si>
    <t xml:space="preserve">K-Means: travel-history categories (K = 3)</t>
  </si>
  <si>
    <t xml:space="preserve">Fifteen recorded sources of infection grouped by impact. Dominated by "Local - Social Contact"; read as a ranking in three tiers.</t>
  </si>
  <si>
    <t xml:space="preserve">Cluster charts</t>
  </si>
  <si>
    <t xml:space="preserve">One colour per cluster. Points update when the switch or starting centroids change.</t>
  </si>
  <si>
    <t xml:space="preserve">Chart helper data</t>
  </si>
  <si>
    <t xml:space="preserve">Feeds the scatter charts on Cluster_Charts. #N/A is deliberate: it makes Excel skip a point that belongs to a different cluster.</t>
  </si>
  <si>
    <t xml:space="preserve">X C1</t>
  </si>
  <si>
    <t xml:space="preserve">Y C1</t>
  </si>
  <si>
    <t xml:space="preserve">X C2</t>
  </si>
  <si>
    <t xml:space="preserve">Y C2</t>
  </si>
  <si>
    <t xml:space="preserve">X C3</t>
  </si>
  <si>
    <t xml:space="preserve">Y C3</t>
  </si>
  <si>
    <t xml:space="preserve">Data quality, definitions and assumptions</t>
  </si>
  <si>
    <t xml:space="preserve">What was checked in the source file, how problems were handled, and how each measure is defined.</t>
  </si>
  <si>
    <t xml:space="preserve">#</t>
  </si>
  <si>
    <t xml:space="preserve">Check</t>
  </si>
  <si>
    <t xml:space="preserve">Result</t>
  </si>
  <si>
    <t xml:space="preserve">Finding / how it was handled</t>
  </si>
  <si>
    <t xml:space="preserve">Case records analysed</t>
  </si>
  <si>
    <t xml:space="preserve">Taken from the Clean sheet of the source workbook.</t>
  </si>
  <si>
    <t xml:space="preserve">Duplicate rows</t>
  </si>
  <si>
    <t xml:space="preserve">None found (checked in Python on all seven columns).</t>
  </si>
  <si>
    <t xml:space="preserve">Missing values</t>
  </si>
  <si>
    <t xml:space="preserve">None found in any column.</t>
  </si>
  <si>
    <t xml:space="preserve">Rows with a negative Recovered value</t>
  </si>
  <si>
    <t xml:space="preserve">Calendar days with no records</t>
  </si>
  <si>
    <t xml:space="preserve">Shown as zero in the Daily sheet so every 7-day window is a true 7 calendar days (the source Daily sheet skips these days).</t>
  </si>
  <si>
    <t xml:space="preserve">Rows with zero cases</t>
  </si>
  <si>
    <t xml:space="preserve">Kept: about two-thirds are empty placeholder rows (no cases, deaths or recoveries) that add nothing to totals; the rest carry deaths or recoveries for earlier cases.</t>
  </si>
  <si>
    <t xml:space="preserve">Place names mapped to more than one province</t>
  </si>
  <si>
    <t xml:space="preserve">Tribal districts (Bajaur, Khyber, Kurram, Mohmand, North Waziristan, South Waziristan) appear under more than one province. Province totals use each row's own province; the City sheet shows the first one.</t>
  </si>
  <si>
    <t xml:space="preserve">Raw sheet in source file</t>
  </si>
  <si>
    <t xml:space="preserve">Not used</t>
  </si>
  <si>
    <t xml:space="preserve">In the source file's Raw sheet, Cases/Deaths/Recovered are stored as date/time values (formatting damage), so all analysis uses the Clean sheet only.</t>
  </si>
  <si>
    <t xml:space="preserve">Recovery reporting</t>
  </si>
  <si>
    <t xml:space="preserve">Some large cities report almost no recoveries, and provincial recovery rates differ widely. Recovered and Active figures are therefore unreliable; deaths and cases are the stronger measures.</t>
  </si>
  <si>
    <t xml:space="preserve">Last period is partial</t>
  </si>
  <si>
    <t xml:space="preserve">The file ends on the day cases were highest, so the end of the outbreak (and any peak) is not captured. February is also partial (4 days).</t>
  </si>
  <si>
    <t xml:space="preserve">Definitions</t>
  </si>
  <si>
    <t xml:space="preserve">CFR (case fatality rate)</t>
  </si>
  <si>
    <t xml:space="preserve">Deaths ÷ cases. A crude ratio: it ignores the delay between infection and death and the number of untested cases, so it is not the true fatality risk.</t>
  </si>
  <si>
    <t xml:space="preserve">Cases − deaths − reported recoveries (same definition as the source dashboard). Overstated wherever recoveries are under-reported.</t>
  </si>
  <si>
    <t xml:space="preserve">7-day average</t>
  </si>
  <si>
    <t xml:space="preserve">Mean of the latest 7 calendar days; removes day-to-day reporting noise.</t>
  </si>
  <si>
    <t xml:space="preserve">7-day average today ÷ 7-day average a week earlier − 1.</t>
  </si>
  <si>
    <t xml:space="preserve">Fitted growth / doubling time</t>
  </si>
  <si>
    <t xml:space="preserve">Slope of ln(7-day average) against day number; doubling time = ln 2 ÷ ln(1 + daily growth).</t>
  </si>
  <si>
    <t xml:space="preserve">Per-capita rates</t>
  </si>
  <si>
    <t xml:space="preserve">Not calculated: the file contains no population figures.</t>
  </si>
  <si>
    <t xml:space="preserve">Colour code</t>
  </si>
  <si>
    <t xml:space="preserve">Blue text = hard-coded input or analyst assumption (editable). Black = formula.</t>
  </si>
  <si>
    <t xml:space="preserve">Source file</t>
  </si>
  <si>
    <t xml:space="preserve">The source workbook was not modified; this report is a new file with live formulas on the Data sheet.</t>
  </si>
  <si>
    <t xml:space="preserve">Sheet guide</t>
  </si>
  <si>
    <t xml:space="preserve">Headline KPIs, findings, implications</t>
  </si>
  <si>
    <t xml:space="preserve">Daily</t>
  </si>
  <si>
    <t xml:space="preserve">Day-by-day series, charts</t>
  </si>
  <si>
    <t xml:space="preserve">Weekly / Monthly</t>
  </si>
  <si>
    <t xml:space="preserve">Period roll-ups</t>
  </si>
  <si>
    <t xml:space="preserve">Province / City</t>
  </si>
  <si>
    <t xml:space="preserve">Geographic breakdown</t>
  </si>
  <si>
    <t xml:space="preserve">Travel</t>
  </si>
  <si>
    <t xml:space="preserve">Recorded source of infection</t>
  </si>
  <si>
    <t xml:space="preserve">Statistics</t>
  </si>
  <si>
    <t xml:space="preserve">Distribution, lag, growth fit</t>
  </si>
  <si>
    <t xml:space="preserve">Regression_Excel</t>
  </si>
  <si>
    <t xml:space="preserve">Simple, multiple and polynomial regression (LINEST)</t>
  </si>
  <si>
    <t xml:space="preserve">Regression_Charts</t>
  </si>
  <si>
    <t xml:space="preserve">Scatter plots, trendlines, R²</t>
  </si>
  <si>
    <t xml:space="preserve">Logistic_Solver</t>
  </si>
  <si>
    <t xml:space="preserve">Logistic regression for High_Cases, Solver setup, confusion matrix</t>
  </si>
  <si>
    <t xml:space="preserve">TS_Guide ... TS_Province</t>
  </si>
  <si>
    <t xml:space="preserve">Time series forecasting: Naive, MA, SES, Holt, Holt-Winters, AR/ARIMA, Excel ETS, evaluation, 14-day forecast, cross-validation</t>
  </si>
  <si>
    <t xml:space="preserve">Data</t>
  </si>
  <si>
    <t xml:space="preserve">Cleaned records driving every formula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</si>
</sst>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0%"/>
    <numFmt numFmtId="167" formatCode="0.0%"/>
    <numFmt numFmtId="168" formatCode="dd\-mmm\-yy"/>
    <numFmt numFmtId="169" formatCode="0"/>
    <numFmt numFmtId="170" formatCode="#,##0.0"/>
    <numFmt numFmtId="171" formatCode="0.000"/>
    <numFmt numFmtId="172" formatCode="\+0%;\-0%;0%"/>
    <numFmt numFmtId="173" formatCode="mmm\ yyyy"/>
    <numFmt numFmtId="174" formatCode="0.00"/>
    <numFmt numFmtId="175" formatCode="mmm\-yy"/>
    <numFmt numFmtId="176" formatCode="0;\-0;&quot;OK&quot;"/>
    <numFmt numFmtId="177" formatCode="0%"/>
    <numFmt numFmtId="178" formatCode="0.0"/>
    <numFmt numFmtId="179" formatCode="#,##0.0000"/>
    <numFmt numFmtId="180" formatCode="0.0000"/>
    <numFmt numFmtId="181" formatCode="#,##0.00"/>
    <numFmt numFmtId="182" formatCode="d\-mmm\-yy"/>
    <numFmt numFmtId="183" formatCode="0.000000"/>
    <numFmt numFmtId="184" formatCode="d\ mmm\ yyyy"/>
    <numFmt numFmtId="185" formatCode="&quot;a=&quot;0.00"/>
    <numFmt numFmtId="186" formatCode="d\-mmm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20"/>
      <color rgb="FF1F3A5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8"/>
      <name val="Arial"/>
      <family val="0"/>
      <charset val="1"/>
    </font>
    <font>
      <sz val="8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AF1F8"/>
        <bgColor rgb="FFD9E2F3"/>
      </patternFill>
    </fill>
    <fill>
      <patternFill patternType="solid">
        <fgColor rgb="FF1F3A5F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EAF1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5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9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A6A6A6"/>
      <rgbColor rgb="FF7030A0"/>
      <rgbColor rgb="FFFFF2CC"/>
      <rgbColor rgb="FFEAF1F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DC3E6"/>
      <rgbColor rgb="FFFF99CC"/>
      <rgbColor rgb="FFCC99FF"/>
      <rgbColor rgb="FFF4B183"/>
      <rgbColor rgb="FF2E75B6"/>
      <rgbColor rgb="FF33CCCC"/>
      <rgbColor rgb="FF99CC00"/>
      <rgbColor rgb="FFFFCC00"/>
      <rgbColor rgb="FFFF9900"/>
      <rgbColor rgb="FFED7D31"/>
      <rgbColor rgb="FF595959"/>
      <rgbColor rgb="FF878787"/>
      <rgbColor rgb="FF1F3A5F"/>
      <rgbColor rgb="FF70AD47"/>
      <rgbColor rgb="FF003300"/>
      <rgbColor rgb="FF333300"/>
      <rgbColor rgb="FFC55A11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new cases and 7-day average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Daily!C4</c:f>
              <c:strCache>
                <c:ptCount val="1"/>
                <c:pt idx="0">
                  <c:v>Daily cases</c:v>
                </c:pt>
              </c:strCache>
            </c:strRef>
          </c:tx>
          <c:spPr>
            <a:solidFill>
              <a:srgbClr val="9dc3e6"/>
            </a:solidFill>
            <a:ln w="15120">
              <a:solidFill>
                <a:srgbClr val="9dc3e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Daily!$C$5:$C$103</c:f>
              <c:numCache>
                <c:formatCode>#,##0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7">
                  <c:v>114</c:v>
                </c:pt>
                <c:pt idx="28">
                  <c:v>110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0">
                  <c:v>683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5">
                  <c:v>677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3">
                  <c:v>948</c:v>
                </c:pt>
                <c:pt idx="64">
                  <c:v>665</c:v>
                </c:pt>
                <c:pt idx="65">
                  <c:v>1070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0">
                  <c:v>1804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Daily!J4</c:f>
              <c:strCache>
                <c:ptCount val="1"/>
                <c:pt idx="0">
                  <c:v>7-day avg cases</c:v>
                </c:pt>
              </c:strCache>
            </c:strRef>
          </c:tx>
          <c:spPr>
            <a:solidFill>
              <a:srgbClr val="1f3a5f"/>
            </a:solidFill>
            <a:ln w="28080">
              <a:solidFill>
                <a:srgbClr val="1f3a5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Daily!$J$5:$J$103</c:f>
              <c:numCache>
                <c:formatCode>#,##0.0</c:formatCode>
                <c:ptCount val="99"/>
                <c:pt idx="6">
                  <c:v>0.857142857142857</c:v>
                </c:pt>
                <c:pt idx="7">
                  <c:v>0.428571428571429</c:v>
                </c:pt>
                <c:pt idx="8">
                  <c:v>0.428571428571429</c:v>
                </c:pt>
                <c:pt idx="9">
                  <c:v>0.428571428571429</c:v>
                </c:pt>
                <c:pt idx="10">
                  <c:v>0.285714285714286</c:v>
                </c:pt>
                <c:pt idx="11">
                  <c:v>0.285714285714286</c:v>
                </c:pt>
                <c:pt idx="12">
                  <c:v>1.42857142857143</c:v>
                </c:pt>
                <c:pt idx="13">
                  <c:v>1.85714285714286</c:v>
                </c:pt>
                <c:pt idx="14">
                  <c:v>2</c:v>
                </c:pt>
                <c:pt idx="15">
                  <c:v>2.14285714285714</c:v>
                </c:pt>
                <c:pt idx="16">
                  <c:v>3.42857142857143</c:v>
                </c:pt>
                <c:pt idx="17">
                  <c:v>3.28571428571429</c:v>
                </c:pt>
                <c:pt idx="18">
                  <c:v>8.14285714285714</c:v>
                </c:pt>
                <c:pt idx="19">
                  <c:v>28.4285714285714</c:v>
                </c:pt>
                <c:pt idx="20">
                  <c:v>35.4285714285714</c:v>
                </c:pt>
                <c:pt idx="21">
                  <c:v>43.4285714285714</c:v>
                </c:pt>
                <c:pt idx="22">
                  <c:v>65.2857142857143</c:v>
                </c:pt>
                <c:pt idx="23">
                  <c:v>71.1428571428571</c:v>
                </c:pt>
                <c:pt idx="24">
                  <c:v>90.2857142857143</c:v>
                </c:pt>
                <c:pt idx="25">
                  <c:v>101.142857142857</c:v>
                </c:pt>
                <c:pt idx="26">
                  <c:v>91.2857142857143</c:v>
                </c:pt>
                <c:pt idx="27">
                  <c:v>100.142857142857</c:v>
                </c:pt>
                <c:pt idx="28">
                  <c:v>107.714285714286</c:v>
                </c:pt>
                <c:pt idx="29">
                  <c:v>104.428571428571</c:v>
                </c:pt>
                <c:pt idx="30">
                  <c:v>114.714285714286</c:v>
                </c:pt>
                <c:pt idx="31">
                  <c:v>121.857142857143</c:v>
                </c:pt>
                <c:pt idx="32">
                  <c:v>118.571428571429</c:v>
                </c:pt>
                <c:pt idx="33">
                  <c:v>127.571428571429</c:v>
                </c:pt>
                <c:pt idx="34">
                  <c:v>143.142857142857</c:v>
                </c:pt>
                <c:pt idx="35">
                  <c:v>164.571428571429</c:v>
                </c:pt>
                <c:pt idx="36">
                  <c:v>172</c:v>
                </c:pt>
                <c:pt idx="37">
                  <c:v>188.714285714286</c:v>
                </c:pt>
                <c:pt idx="38">
                  <c:v>173.714285714286</c:v>
                </c:pt>
                <c:pt idx="39">
                  <c:v>187</c:v>
                </c:pt>
                <c:pt idx="40">
                  <c:v>201.857142857143</c:v>
                </c:pt>
                <c:pt idx="41">
                  <c:v>185.285714285714</c:v>
                </c:pt>
                <c:pt idx="42">
                  <c:v>196.285714285714</c:v>
                </c:pt>
                <c:pt idx="43">
                  <c:v>295</c:v>
                </c:pt>
                <c:pt idx="44">
                  <c:v>283.142857142857</c:v>
                </c:pt>
                <c:pt idx="45">
                  <c:v>314.285714285714</c:v>
                </c:pt>
                <c:pt idx="46">
                  <c:v>324.714285714286</c:v>
                </c:pt>
                <c:pt idx="47">
                  <c:v>313.857142857143</c:v>
                </c:pt>
                <c:pt idx="48">
                  <c:v>388.285714285714</c:v>
                </c:pt>
                <c:pt idx="49">
                  <c:v>386</c:v>
                </c:pt>
                <c:pt idx="50">
                  <c:v>358.714285714286</c:v>
                </c:pt>
                <c:pt idx="51">
                  <c:v>409.571428571429</c:v>
                </c:pt>
                <c:pt idx="52">
                  <c:v>407.857142857143</c:v>
                </c:pt>
                <c:pt idx="53">
                  <c:v>455</c:v>
                </c:pt>
                <c:pt idx="54">
                  <c:v>531.285714285714</c:v>
                </c:pt>
                <c:pt idx="55">
                  <c:v>538.285714285714</c:v>
                </c:pt>
                <c:pt idx="56">
                  <c:v>602</c:v>
                </c:pt>
                <c:pt idx="57">
                  <c:v>596</c:v>
                </c:pt>
                <c:pt idx="58">
                  <c:v>599.142857142857</c:v>
                </c:pt>
                <c:pt idx="59">
                  <c:v>690.142857142857</c:v>
                </c:pt>
                <c:pt idx="60">
                  <c:v>701.142857142857</c:v>
                </c:pt>
                <c:pt idx="61">
                  <c:v>705.714285714286</c:v>
                </c:pt>
                <c:pt idx="62">
                  <c:v>713.285714285714</c:v>
                </c:pt>
                <c:pt idx="63">
                  <c:v>739.142857142857</c:v>
                </c:pt>
                <c:pt idx="64">
                  <c:v>742.571428571429</c:v>
                </c:pt>
                <c:pt idx="65">
                  <c:v>819.142857142857</c:v>
                </c:pt>
                <c:pt idx="66">
                  <c:v>847.857142857143</c:v>
                </c:pt>
                <c:pt idx="67">
                  <c:v>945.285714285714</c:v>
                </c:pt>
                <c:pt idx="68">
                  <c:v>990</c:v>
                </c:pt>
                <c:pt idx="69">
                  <c:v>1031.85714285714</c:v>
                </c:pt>
                <c:pt idx="70">
                  <c:v>1154.14285714286</c:v>
                </c:pt>
                <c:pt idx="71">
                  <c:v>1182.42857142857</c:v>
                </c:pt>
                <c:pt idx="72">
                  <c:v>1290.85714285714</c:v>
                </c:pt>
                <c:pt idx="73">
                  <c:v>1495.28571428571</c:v>
                </c:pt>
                <c:pt idx="74">
                  <c:v>1512.57142857143</c:v>
                </c:pt>
                <c:pt idx="75">
                  <c:v>1516.42857142857</c:v>
                </c:pt>
                <c:pt idx="76">
                  <c:v>1692.28571428571</c:v>
                </c:pt>
                <c:pt idx="77">
                  <c:v>1639</c:v>
                </c:pt>
                <c:pt idx="78">
                  <c:v>1722.71428571429</c:v>
                </c:pt>
                <c:pt idx="79">
                  <c:v>1677.85714285714</c:v>
                </c:pt>
                <c:pt idx="80">
                  <c:v>1509</c:v>
                </c:pt>
                <c:pt idx="81">
                  <c:v>1579.42857142857</c:v>
                </c:pt>
                <c:pt idx="82">
                  <c:v>1682.42857142857</c:v>
                </c:pt>
                <c:pt idx="83">
                  <c:v>1628.14285714286</c:v>
                </c:pt>
                <c:pt idx="84">
                  <c:v>1725.85714285714</c:v>
                </c:pt>
                <c:pt idx="85">
                  <c:v>1881.57142857143</c:v>
                </c:pt>
                <c:pt idx="86">
                  <c:v>1912</c:v>
                </c:pt>
                <c:pt idx="87">
                  <c:v>2010.28571428571</c:v>
                </c:pt>
                <c:pt idx="88">
                  <c:v>1980</c:v>
                </c:pt>
                <c:pt idx="89">
                  <c:v>1916.57142857143</c:v>
                </c:pt>
                <c:pt idx="90">
                  <c:v>1854.57142857143</c:v>
                </c:pt>
                <c:pt idx="91">
                  <c:v>1862.85714285714</c:v>
                </c:pt>
                <c:pt idx="92">
                  <c:v>1866.14285714286</c:v>
                </c:pt>
                <c:pt idx="93">
                  <c:v>1965.85714285714</c:v>
                </c:pt>
                <c:pt idx="94">
                  <c:v>2093.85714285714</c:v>
                </c:pt>
                <c:pt idx="95">
                  <c:v>2256.57142857143</c:v>
                </c:pt>
                <c:pt idx="96">
                  <c:v>2616</c:v>
                </c:pt>
                <c:pt idx="97">
                  <c:v>3016.28571428571</c:v>
                </c:pt>
                <c:pt idx="98">
                  <c:v>3374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909548"/>
        <c:axId val="66945509"/>
      </c:lineChart>
      <c:catAx>
        <c:axId val="71909548"/>
        <c:scaling>
          <c:orientation val="minMax"/>
        </c:scaling>
        <c:delete val="0"/>
        <c:axPos val="b"/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945509"/>
        <c:crosses val="autoZero"/>
        <c:auto val="1"/>
        <c:lblAlgn val="ctr"/>
        <c:lblOffset val="100"/>
        <c:noMultiLvlLbl val="0"/>
      </c:catAx>
      <c:valAx>
        <c:axId val="669455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9095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cases by province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Province!B4</c:f>
              <c:strCache>
                <c:ptCount val="1"/>
                <c:pt idx="0">
                  <c:v>Cases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Province!$A$5:$A$12</c:f>
              <c:strCache>
                <c:ptCount val="8"/>
                <c:pt idx="0">
                  <c:v>Sindh</c:v>
                </c:pt>
                <c:pt idx="1">
                  <c:v>Punjab</c:v>
                </c:pt>
                <c:pt idx="2">
                  <c:v>Khyber Pakhtunkhwa</c:v>
                </c:pt>
                <c:pt idx="3">
                  <c:v>Baluchistan</c:v>
                </c:pt>
                <c:pt idx="4">
                  <c:v>Islamabad Capital Territory</c:v>
                </c:pt>
                <c:pt idx="5">
                  <c:v>Gilgit-Baltistan</c:v>
                </c:pt>
                <c:pt idx="6">
                  <c:v>Azad Jummu Kashmir</c:v>
                </c:pt>
                <c:pt idx="7">
                  <c:v>Federal Administration Tribal Area</c:v>
                </c:pt>
              </c:strCache>
            </c:strRef>
          </c:cat>
          <c:val>
            <c:numRef>
              <c:f>Province!$B$5:$B$12</c:f>
              <c:numCache>
                <c:formatCode>#,##0</c:formatCode>
                <c:ptCount val="8"/>
                <c:pt idx="0">
                  <c:v>32858</c:v>
                </c:pt>
                <c:pt idx="1">
                  <c:v>31096</c:v>
                </c:pt>
                <c:pt idx="2">
                  <c:v>10259</c:v>
                </c:pt>
                <c:pt idx="3">
                  <c:v>5125</c:v>
                </c:pt>
                <c:pt idx="4">
                  <c:v>3523</c:v>
                </c:pt>
                <c:pt idx="5">
                  <c:v>786</c:v>
                </c:pt>
                <c:pt idx="6">
                  <c:v>285</c:v>
                </c:pt>
                <c:pt idx="7">
                  <c:v>53</c:v>
                </c:pt>
              </c:numCache>
            </c:numRef>
          </c:val>
        </c:ser>
        <c:gapWidth val="150"/>
        <c:overlap val="0"/>
        <c:axId val="25327891"/>
        <c:axId val="75116668"/>
      </c:barChart>
      <c:catAx>
        <c:axId val="2532789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116668"/>
        <c:crosses val="autoZero"/>
        <c:auto val="1"/>
        <c:lblAlgn val="ctr"/>
        <c:lblOffset val="100"/>
        <c:noMultiLvlLbl val="0"/>
      </c:catAx>
      <c:valAx>
        <c:axId val="751166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3278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new cases and 7-day average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Daily!C4</c:f>
              <c:strCache>
                <c:ptCount val="1"/>
                <c:pt idx="0">
                  <c:v>Daily cases</c:v>
                </c:pt>
              </c:strCache>
            </c:strRef>
          </c:tx>
          <c:spPr>
            <a:solidFill>
              <a:srgbClr val="9dc3e6"/>
            </a:solidFill>
            <a:ln w="15120">
              <a:solidFill>
                <a:srgbClr val="9dc3e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Daily!$C$5:$C$103</c:f>
              <c:numCache>
                <c:formatCode>#,##0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7">
                  <c:v>114</c:v>
                </c:pt>
                <c:pt idx="28">
                  <c:v>110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0">
                  <c:v>683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5">
                  <c:v>677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3">
                  <c:v>948</c:v>
                </c:pt>
                <c:pt idx="64">
                  <c:v>665</c:v>
                </c:pt>
                <c:pt idx="65">
                  <c:v>1070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0">
                  <c:v>1804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Daily!J4</c:f>
              <c:strCache>
                <c:ptCount val="1"/>
                <c:pt idx="0">
                  <c:v>7-day avg cases</c:v>
                </c:pt>
              </c:strCache>
            </c:strRef>
          </c:tx>
          <c:spPr>
            <a:solidFill>
              <a:srgbClr val="1f3a5f"/>
            </a:solidFill>
            <a:ln w="28080">
              <a:solidFill>
                <a:srgbClr val="1f3a5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Daily!$J$5:$J$103</c:f>
              <c:numCache>
                <c:formatCode>#,##0.0</c:formatCode>
                <c:ptCount val="99"/>
                <c:pt idx="6">
                  <c:v>0.857142857142857</c:v>
                </c:pt>
                <c:pt idx="7">
                  <c:v>0.428571428571429</c:v>
                </c:pt>
                <c:pt idx="8">
                  <c:v>0.428571428571429</c:v>
                </c:pt>
                <c:pt idx="9">
                  <c:v>0.428571428571429</c:v>
                </c:pt>
                <c:pt idx="10">
                  <c:v>0.285714285714286</c:v>
                </c:pt>
                <c:pt idx="11">
                  <c:v>0.285714285714286</c:v>
                </c:pt>
                <c:pt idx="12">
                  <c:v>1.42857142857143</c:v>
                </c:pt>
                <c:pt idx="13">
                  <c:v>1.85714285714286</c:v>
                </c:pt>
                <c:pt idx="14">
                  <c:v>2</c:v>
                </c:pt>
                <c:pt idx="15">
                  <c:v>2.14285714285714</c:v>
                </c:pt>
                <c:pt idx="16">
                  <c:v>3.42857142857143</c:v>
                </c:pt>
                <c:pt idx="17">
                  <c:v>3.28571428571429</c:v>
                </c:pt>
                <c:pt idx="18">
                  <c:v>8.14285714285714</c:v>
                </c:pt>
                <c:pt idx="19">
                  <c:v>28.4285714285714</c:v>
                </c:pt>
                <c:pt idx="20">
                  <c:v>35.4285714285714</c:v>
                </c:pt>
                <c:pt idx="21">
                  <c:v>43.4285714285714</c:v>
                </c:pt>
                <c:pt idx="22">
                  <c:v>65.2857142857143</c:v>
                </c:pt>
                <c:pt idx="23">
                  <c:v>71.1428571428571</c:v>
                </c:pt>
                <c:pt idx="24">
                  <c:v>90.2857142857143</c:v>
                </c:pt>
                <c:pt idx="25">
                  <c:v>101.142857142857</c:v>
                </c:pt>
                <c:pt idx="26">
                  <c:v>91.2857142857143</c:v>
                </c:pt>
                <c:pt idx="27">
                  <c:v>100.142857142857</c:v>
                </c:pt>
                <c:pt idx="28">
                  <c:v>107.714285714286</c:v>
                </c:pt>
                <c:pt idx="29">
                  <c:v>104.428571428571</c:v>
                </c:pt>
                <c:pt idx="30">
                  <c:v>114.714285714286</c:v>
                </c:pt>
                <c:pt idx="31">
                  <c:v>121.857142857143</c:v>
                </c:pt>
                <c:pt idx="32">
                  <c:v>118.571428571429</c:v>
                </c:pt>
                <c:pt idx="33">
                  <c:v>127.571428571429</c:v>
                </c:pt>
                <c:pt idx="34">
                  <c:v>143.142857142857</c:v>
                </c:pt>
                <c:pt idx="35">
                  <c:v>164.571428571429</c:v>
                </c:pt>
                <c:pt idx="36">
                  <c:v>172</c:v>
                </c:pt>
                <c:pt idx="37">
                  <c:v>188.714285714286</c:v>
                </c:pt>
                <c:pt idx="38">
                  <c:v>173.714285714286</c:v>
                </c:pt>
                <c:pt idx="39">
                  <c:v>187</c:v>
                </c:pt>
                <c:pt idx="40">
                  <c:v>201.857142857143</c:v>
                </c:pt>
                <c:pt idx="41">
                  <c:v>185.285714285714</c:v>
                </c:pt>
                <c:pt idx="42">
                  <c:v>196.285714285714</c:v>
                </c:pt>
                <c:pt idx="43">
                  <c:v>295</c:v>
                </c:pt>
                <c:pt idx="44">
                  <c:v>283.142857142857</c:v>
                </c:pt>
                <c:pt idx="45">
                  <c:v>314.285714285714</c:v>
                </c:pt>
                <c:pt idx="46">
                  <c:v>324.714285714286</c:v>
                </c:pt>
                <c:pt idx="47">
                  <c:v>313.857142857143</c:v>
                </c:pt>
                <c:pt idx="48">
                  <c:v>388.285714285714</c:v>
                </c:pt>
                <c:pt idx="49">
                  <c:v>386</c:v>
                </c:pt>
                <c:pt idx="50">
                  <c:v>358.714285714286</c:v>
                </c:pt>
                <c:pt idx="51">
                  <c:v>409.571428571429</c:v>
                </c:pt>
                <c:pt idx="52">
                  <c:v>407.857142857143</c:v>
                </c:pt>
                <c:pt idx="53">
                  <c:v>455</c:v>
                </c:pt>
                <c:pt idx="54">
                  <c:v>531.285714285714</c:v>
                </c:pt>
                <c:pt idx="55">
                  <c:v>538.285714285714</c:v>
                </c:pt>
                <c:pt idx="56">
                  <c:v>602</c:v>
                </c:pt>
                <c:pt idx="57">
                  <c:v>596</c:v>
                </c:pt>
                <c:pt idx="58">
                  <c:v>599.142857142857</c:v>
                </c:pt>
                <c:pt idx="59">
                  <c:v>690.142857142857</c:v>
                </c:pt>
                <c:pt idx="60">
                  <c:v>701.142857142857</c:v>
                </c:pt>
                <c:pt idx="61">
                  <c:v>705.714285714286</c:v>
                </c:pt>
                <c:pt idx="62">
                  <c:v>713.285714285714</c:v>
                </c:pt>
                <c:pt idx="63">
                  <c:v>739.142857142857</c:v>
                </c:pt>
                <c:pt idx="64">
                  <c:v>742.571428571429</c:v>
                </c:pt>
                <c:pt idx="65">
                  <c:v>819.142857142857</c:v>
                </c:pt>
                <c:pt idx="66">
                  <c:v>847.857142857143</c:v>
                </c:pt>
                <c:pt idx="67">
                  <c:v>945.285714285714</c:v>
                </c:pt>
                <c:pt idx="68">
                  <c:v>990</c:v>
                </c:pt>
                <c:pt idx="69">
                  <c:v>1031.85714285714</c:v>
                </c:pt>
                <c:pt idx="70">
                  <c:v>1154.14285714286</c:v>
                </c:pt>
                <c:pt idx="71">
                  <c:v>1182.42857142857</c:v>
                </c:pt>
                <c:pt idx="72">
                  <c:v>1290.85714285714</c:v>
                </c:pt>
                <c:pt idx="73">
                  <c:v>1495.28571428571</c:v>
                </c:pt>
                <c:pt idx="74">
                  <c:v>1512.57142857143</c:v>
                </c:pt>
                <c:pt idx="75">
                  <c:v>1516.42857142857</c:v>
                </c:pt>
                <c:pt idx="76">
                  <c:v>1692.28571428571</c:v>
                </c:pt>
                <c:pt idx="77">
                  <c:v>1639</c:v>
                </c:pt>
                <c:pt idx="78">
                  <c:v>1722.71428571429</c:v>
                </c:pt>
                <c:pt idx="79">
                  <c:v>1677.85714285714</c:v>
                </c:pt>
                <c:pt idx="80">
                  <c:v>1509</c:v>
                </c:pt>
                <c:pt idx="81">
                  <c:v>1579.42857142857</c:v>
                </c:pt>
                <c:pt idx="82">
                  <c:v>1682.42857142857</c:v>
                </c:pt>
                <c:pt idx="83">
                  <c:v>1628.14285714286</c:v>
                </c:pt>
                <c:pt idx="84">
                  <c:v>1725.85714285714</c:v>
                </c:pt>
                <c:pt idx="85">
                  <c:v>1881.57142857143</c:v>
                </c:pt>
                <c:pt idx="86">
                  <c:v>1912</c:v>
                </c:pt>
                <c:pt idx="87">
                  <c:v>2010.28571428571</c:v>
                </c:pt>
                <c:pt idx="88">
                  <c:v>1980</c:v>
                </c:pt>
                <c:pt idx="89">
                  <c:v>1916.57142857143</c:v>
                </c:pt>
                <c:pt idx="90">
                  <c:v>1854.57142857143</c:v>
                </c:pt>
                <c:pt idx="91">
                  <c:v>1862.85714285714</c:v>
                </c:pt>
                <c:pt idx="92">
                  <c:v>1866.14285714286</c:v>
                </c:pt>
                <c:pt idx="93">
                  <c:v>1965.85714285714</c:v>
                </c:pt>
                <c:pt idx="94">
                  <c:v>2093.85714285714</c:v>
                </c:pt>
                <c:pt idx="95">
                  <c:v>2256.57142857143</c:v>
                </c:pt>
                <c:pt idx="96">
                  <c:v>2616</c:v>
                </c:pt>
                <c:pt idx="97">
                  <c:v>3016.28571428571</c:v>
                </c:pt>
                <c:pt idx="98">
                  <c:v>3374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461877"/>
        <c:axId val="95049763"/>
      </c:lineChart>
      <c:catAx>
        <c:axId val="8461877"/>
        <c:scaling>
          <c:orientation val="minMax"/>
        </c:scaling>
        <c:delete val="0"/>
        <c:axPos val="b"/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049763"/>
        <c:crosses val="autoZero"/>
        <c:auto val="1"/>
        <c:lblAlgn val="ctr"/>
        <c:lblOffset val="100"/>
        <c:noMultiLvlLbl val="0"/>
      </c:catAx>
      <c:valAx>
        <c:axId val="950497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18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deaths and 7-day average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Daily!D4</c:f>
              <c:strCache>
                <c:ptCount val="1"/>
                <c:pt idx="0">
                  <c:v>Daily deaths</c:v>
                </c:pt>
              </c:strCache>
            </c:strRef>
          </c:tx>
          <c:spPr>
            <a:solidFill>
              <a:srgbClr val="f4b183"/>
            </a:solidFill>
            <a:ln w="15120">
              <a:solidFill>
                <a:srgbClr val="f4b18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Daily!$D$5:$D$103</c:f>
              <c:numCache>
                <c:formatCode>#,##0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2</c:v>
                </c:pt>
                <c:pt idx="31">
                  <c:v>2</c:v>
                </c:pt>
                <c:pt idx="32">
                  <c:v>6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5</c:v>
                </c:pt>
                <c:pt idx="37">
                  <c:v>5</c:v>
                </c:pt>
                <c:pt idx="38">
                  <c:v>4</c:v>
                </c:pt>
                <c:pt idx="39">
                  <c:v>3</c:v>
                </c:pt>
                <c:pt idx="40">
                  <c:v>5</c:v>
                </c:pt>
                <c:pt idx="41">
                  <c:v>3</c:v>
                </c:pt>
                <c:pt idx="42">
                  <c:v>7</c:v>
                </c:pt>
                <c:pt idx="43">
                  <c:v>4</c:v>
                </c:pt>
                <c:pt idx="44">
                  <c:v>4</c:v>
                </c:pt>
                <c:pt idx="45">
                  <c:v>15</c:v>
                </c:pt>
                <c:pt idx="46">
                  <c:v>7</c:v>
                </c:pt>
                <c:pt idx="47">
                  <c:v>4</c:v>
                </c:pt>
                <c:pt idx="48">
                  <c:v>11</c:v>
                </c:pt>
                <c:pt idx="49">
                  <c:v>11</c:v>
                </c:pt>
                <c:pt idx="50">
                  <c:v>16</c:v>
                </c:pt>
                <c:pt idx="51">
                  <c:v>4</c:v>
                </c:pt>
                <c:pt idx="52">
                  <c:v>11</c:v>
                </c:pt>
                <c:pt idx="53">
                  <c:v>18</c:v>
                </c:pt>
                <c:pt idx="54">
                  <c:v>18</c:v>
                </c:pt>
                <c:pt idx="55">
                  <c:v>23</c:v>
                </c:pt>
                <c:pt idx="56">
                  <c:v>13</c:v>
                </c:pt>
                <c:pt idx="57">
                  <c:v>8</c:v>
                </c:pt>
                <c:pt idx="58">
                  <c:v>11</c:v>
                </c:pt>
                <c:pt idx="59">
                  <c:v>14</c:v>
                </c:pt>
                <c:pt idx="60">
                  <c:v>12</c:v>
                </c:pt>
                <c:pt idx="61">
                  <c:v>23</c:v>
                </c:pt>
                <c:pt idx="62">
                  <c:v>5</c:v>
                </c:pt>
                <c:pt idx="63">
                  <c:v>19</c:v>
                </c:pt>
                <c:pt idx="64">
                  <c:v>15</c:v>
                </c:pt>
                <c:pt idx="65">
                  <c:v>23</c:v>
                </c:pt>
                <c:pt idx="66">
                  <c:v>24</c:v>
                </c:pt>
                <c:pt idx="67">
                  <c:v>30</c:v>
                </c:pt>
                <c:pt idx="68">
                  <c:v>24</c:v>
                </c:pt>
                <c:pt idx="69">
                  <c:v>28</c:v>
                </c:pt>
                <c:pt idx="70">
                  <c:v>49</c:v>
                </c:pt>
                <c:pt idx="71">
                  <c:v>28</c:v>
                </c:pt>
                <c:pt idx="72">
                  <c:v>31</c:v>
                </c:pt>
                <c:pt idx="73">
                  <c:v>19</c:v>
                </c:pt>
                <c:pt idx="74">
                  <c:v>23</c:v>
                </c:pt>
                <c:pt idx="75">
                  <c:v>38</c:v>
                </c:pt>
                <c:pt idx="76">
                  <c:v>39</c:v>
                </c:pt>
                <c:pt idx="77">
                  <c:v>36</c:v>
                </c:pt>
                <c:pt idx="78">
                  <c:v>33</c:v>
                </c:pt>
                <c:pt idx="79">
                  <c:v>31</c:v>
                </c:pt>
                <c:pt idx="80">
                  <c:v>39</c:v>
                </c:pt>
                <c:pt idx="81">
                  <c:v>30</c:v>
                </c:pt>
                <c:pt idx="82">
                  <c:v>46</c:v>
                </c:pt>
                <c:pt idx="83">
                  <c:v>46</c:v>
                </c:pt>
                <c:pt idx="84">
                  <c:v>32</c:v>
                </c:pt>
                <c:pt idx="85">
                  <c:v>43</c:v>
                </c:pt>
                <c:pt idx="86">
                  <c:v>34</c:v>
                </c:pt>
                <c:pt idx="87">
                  <c:v>32</c:v>
                </c:pt>
                <c:pt idx="88">
                  <c:v>34</c:v>
                </c:pt>
                <c:pt idx="89">
                  <c:v>30</c:v>
                </c:pt>
                <c:pt idx="90">
                  <c:v>27</c:v>
                </c:pt>
                <c:pt idx="91">
                  <c:v>36</c:v>
                </c:pt>
                <c:pt idx="92">
                  <c:v>59</c:v>
                </c:pt>
                <c:pt idx="93">
                  <c:v>78</c:v>
                </c:pt>
                <c:pt idx="94">
                  <c:v>88</c:v>
                </c:pt>
                <c:pt idx="95">
                  <c:v>60</c:v>
                </c:pt>
                <c:pt idx="96">
                  <c:v>78</c:v>
                </c:pt>
                <c:pt idx="97">
                  <c:v>69</c:v>
                </c:pt>
                <c:pt idx="98">
                  <c:v>82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Daily!K4</c:f>
              <c:strCache>
                <c:ptCount val="1"/>
                <c:pt idx="0">
                  <c:v>7-day avg deaths</c:v>
                </c:pt>
              </c:strCache>
            </c:strRef>
          </c:tx>
          <c:spPr>
            <a:solidFill>
              <a:srgbClr val="c55a11"/>
            </a:solidFill>
            <a:ln w="2808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Daily!$K$5:$K$103</c:f>
              <c:numCache>
                <c:formatCode>#,##0.0</c:formatCode>
                <c:ptCount val="99"/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0.142857142857143</c:v>
                </c:pt>
                <c:pt idx="19">
                  <c:v>0.142857142857143</c:v>
                </c:pt>
                <c:pt idx="20">
                  <c:v>0.142857142857143</c:v>
                </c:pt>
                <c:pt idx="21">
                  <c:v>0.428571428571429</c:v>
                </c:pt>
                <c:pt idx="22">
                  <c:v>0.428571428571429</c:v>
                </c:pt>
                <c:pt idx="23">
                  <c:v>0.571428571428571</c:v>
                </c:pt>
                <c:pt idx="24">
                  <c:v>0.571428571428571</c:v>
                </c:pt>
                <c:pt idx="25">
                  <c:v>0.571428571428571</c:v>
                </c:pt>
                <c:pt idx="26">
                  <c:v>0.714285714285714</c:v>
                </c:pt>
                <c:pt idx="27">
                  <c:v>0.857142857142857</c:v>
                </c:pt>
                <c:pt idx="28">
                  <c:v>0.714285714285714</c:v>
                </c:pt>
                <c:pt idx="29">
                  <c:v>0.857142857142857</c:v>
                </c:pt>
                <c:pt idx="30">
                  <c:v>1</c:v>
                </c:pt>
                <c:pt idx="31">
                  <c:v>1.28571428571429</c:v>
                </c:pt>
                <c:pt idx="32">
                  <c:v>2</c:v>
                </c:pt>
                <c:pt idx="33">
                  <c:v>2.42857142857143</c:v>
                </c:pt>
                <c:pt idx="34">
                  <c:v>2.85714285714286</c:v>
                </c:pt>
                <c:pt idx="35">
                  <c:v>3.28571428571429</c:v>
                </c:pt>
                <c:pt idx="36">
                  <c:v>3.85714285714286</c:v>
                </c:pt>
                <c:pt idx="37">
                  <c:v>4.28571428571429</c:v>
                </c:pt>
                <c:pt idx="38">
                  <c:v>4.57142857142857</c:v>
                </c:pt>
                <c:pt idx="39">
                  <c:v>4.14285714285714</c:v>
                </c:pt>
                <c:pt idx="40">
                  <c:v>4.28571428571429</c:v>
                </c:pt>
                <c:pt idx="41">
                  <c:v>4.14285714285714</c:v>
                </c:pt>
                <c:pt idx="42">
                  <c:v>4.57142857142857</c:v>
                </c:pt>
                <c:pt idx="43">
                  <c:v>4.42857142857143</c:v>
                </c:pt>
                <c:pt idx="44">
                  <c:v>4.28571428571429</c:v>
                </c:pt>
                <c:pt idx="45">
                  <c:v>5.85714285714286</c:v>
                </c:pt>
                <c:pt idx="46">
                  <c:v>6.42857142857143</c:v>
                </c:pt>
                <c:pt idx="47">
                  <c:v>6.28571428571429</c:v>
                </c:pt>
                <c:pt idx="48">
                  <c:v>7.42857142857143</c:v>
                </c:pt>
                <c:pt idx="49">
                  <c:v>8</c:v>
                </c:pt>
                <c:pt idx="50">
                  <c:v>9.71428571428571</c:v>
                </c:pt>
                <c:pt idx="51">
                  <c:v>9.71428571428571</c:v>
                </c:pt>
                <c:pt idx="52">
                  <c:v>9.14285714285714</c:v>
                </c:pt>
                <c:pt idx="53">
                  <c:v>10.7142857142857</c:v>
                </c:pt>
                <c:pt idx="54">
                  <c:v>12.7142857142857</c:v>
                </c:pt>
                <c:pt idx="55">
                  <c:v>14.4285714285714</c:v>
                </c:pt>
                <c:pt idx="56">
                  <c:v>14.7142857142857</c:v>
                </c:pt>
                <c:pt idx="57">
                  <c:v>13.5714285714286</c:v>
                </c:pt>
                <c:pt idx="58">
                  <c:v>14.5714285714286</c:v>
                </c:pt>
                <c:pt idx="59">
                  <c:v>15</c:v>
                </c:pt>
                <c:pt idx="60">
                  <c:v>14.1428571428571</c:v>
                </c:pt>
                <c:pt idx="61">
                  <c:v>14.8571428571429</c:v>
                </c:pt>
                <c:pt idx="62">
                  <c:v>12.2857142857143</c:v>
                </c:pt>
                <c:pt idx="63">
                  <c:v>13.1428571428571</c:v>
                </c:pt>
                <c:pt idx="64">
                  <c:v>14.1428571428571</c:v>
                </c:pt>
                <c:pt idx="65">
                  <c:v>15.8571428571429</c:v>
                </c:pt>
                <c:pt idx="66">
                  <c:v>17.2857142857143</c:v>
                </c:pt>
                <c:pt idx="67">
                  <c:v>19.8571428571429</c:v>
                </c:pt>
                <c:pt idx="68">
                  <c:v>20</c:v>
                </c:pt>
                <c:pt idx="69">
                  <c:v>23.2857142857143</c:v>
                </c:pt>
                <c:pt idx="70">
                  <c:v>27.5714285714286</c:v>
                </c:pt>
                <c:pt idx="71">
                  <c:v>29.4285714285714</c:v>
                </c:pt>
                <c:pt idx="72">
                  <c:v>30.5714285714286</c:v>
                </c:pt>
                <c:pt idx="73">
                  <c:v>29.8571428571429</c:v>
                </c:pt>
                <c:pt idx="74">
                  <c:v>28.8571428571429</c:v>
                </c:pt>
                <c:pt idx="75">
                  <c:v>30.8571428571429</c:v>
                </c:pt>
                <c:pt idx="76">
                  <c:v>32.4285714285714</c:v>
                </c:pt>
                <c:pt idx="77">
                  <c:v>30.5714285714286</c:v>
                </c:pt>
                <c:pt idx="78">
                  <c:v>31.2857142857143</c:v>
                </c:pt>
                <c:pt idx="79">
                  <c:v>31.2857142857143</c:v>
                </c:pt>
                <c:pt idx="80">
                  <c:v>34.1428571428571</c:v>
                </c:pt>
                <c:pt idx="81">
                  <c:v>35.1428571428571</c:v>
                </c:pt>
                <c:pt idx="82">
                  <c:v>36.2857142857143</c:v>
                </c:pt>
                <c:pt idx="83">
                  <c:v>37.2857142857143</c:v>
                </c:pt>
                <c:pt idx="84">
                  <c:v>36.7142857142857</c:v>
                </c:pt>
                <c:pt idx="85">
                  <c:v>38.1428571428571</c:v>
                </c:pt>
                <c:pt idx="86">
                  <c:v>38.5714285714286</c:v>
                </c:pt>
                <c:pt idx="87">
                  <c:v>37.5714285714286</c:v>
                </c:pt>
                <c:pt idx="88">
                  <c:v>38.1428571428571</c:v>
                </c:pt>
                <c:pt idx="89">
                  <c:v>35.8571428571429</c:v>
                </c:pt>
                <c:pt idx="90">
                  <c:v>33.1428571428571</c:v>
                </c:pt>
                <c:pt idx="91">
                  <c:v>33.7142857142857</c:v>
                </c:pt>
                <c:pt idx="92">
                  <c:v>36</c:v>
                </c:pt>
                <c:pt idx="93">
                  <c:v>42.2857142857143</c:v>
                </c:pt>
                <c:pt idx="94">
                  <c:v>50.2857142857143</c:v>
                </c:pt>
                <c:pt idx="95">
                  <c:v>54</c:v>
                </c:pt>
                <c:pt idx="96">
                  <c:v>60.8571428571429</c:v>
                </c:pt>
                <c:pt idx="97">
                  <c:v>66.8571428571429</c:v>
                </c:pt>
                <c:pt idx="98">
                  <c:v>73.4285714285714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7648924"/>
        <c:axId val="72138742"/>
      </c:lineChart>
      <c:catAx>
        <c:axId val="87648924"/>
        <c:scaling>
          <c:orientation val="minMax"/>
        </c:scaling>
        <c:delete val="0"/>
        <c:axPos val="b"/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138742"/>
        <c:crosses val="autoZero"/>
        <c:auto val="1"/>
        <c:lblAlgn val="ctr"/>
        <c:lblOffset val="100"/>
        <c:noMultiLvlLbl val="0"/>
      </c:catAx>
      <c:valAx>
        <c:axId val="721387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Deaths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6489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cases, active cases and reported recoveries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Daily!F4</c:f>
              <c:strCache>
                <c:ptCount val="1"/>
                <c:pt idx="0">
                  <c:v>Cumulative cases</c:v>
                </c:pt>
              </c:strCache>
            </c:strRef>
          </c:tx>
          <c:spPr>
            <a:solidFill>
              <a:srgbClr val="1f3a5f"/>
            </a:solidFill>
            <a:ln w="28080">
              <a:solidFill>
                <a:srgbClr val="1f3a5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Daily!$F$5:$F$103</c:f>
              <c:numCache>
                <c:formatCode>#,##0</c:formatCode>
                <c:ptCount val="99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16</c:v>
                </c:pt>
                <c:pt idx="13">
                  <c:v>19</c:v>
                </c:pt>
                <c:pt idx="14">
                  <c:v>20</c:v>
                </c:pt>
                <c:pt idx="15">
                  <c:v>21</c:v>
                </c:pt>
                <c:pt idx="16">
                  <c:v>30</c:v>
                </c:pt>
                <c:pt idx="17">
                  <c:v>30</c:v>
                </c:pt>
                <c:pt idx="18">
                  <c:v>64</c:v>
                </c:pt>
                <c:pt idx="19">
                  <c:v>215</c:v>
                </c:pt>
                <c:pt idx="20">
                  <c:v>267</c:v>
                </c:pt>
                <c:pt idx="21">
                  <c:v>324</c:v>
                </c:pt>
                <c:pt idx="22">
                  <c:v>478</c:v>
                </c:pt>
                <c:pt idx="23">
                  <c:v>528</c:v>
                </c:pt>
                <c:pt idx="24">
                  <c:v>662</c:v>
                </c:pt>
                <c:pt idx="25">
                  <c:v>772</c:v>
                </c:pt>
                <c:pt idx="26">
                  <c:v>854</c:v>
                </c:pt>
                <c:pt idx="27">
                  <c:v>968</c:v>
                </c:pt>
                <c:pt idx="28">
                  <c:v>1078</c:v>
                </c:pt>
                <c:pt idx="29">
                  <c:v>1209</c:v>
                </c:pt>
                <c:pt idx="30">
                  <c:v>1331</c:v>
                </c:pt>
                <c:pt idx="31">
                  <c:v>1515</c:v>
                </c:pt>
                <c:pt idx="32">
                  <c:v>1602</c:v>
                </c:pt>
                <c:pt idx="33">
                  <c:v>1747</c:v>
                </c:pt>
                <c:pt idx="34">
                  <c:v>1970</c:v>
                </c:pt>
                <c:pt idx="35">
                  <c:v>2230</c:v>
                </c:pt>
                <c:pt idx="36">
                  <c:v>2413</c:v>
                </c:pt>
                <c:pt idx="37">
                  <c:v>2652</c:v>
                </c:pt>
                <c:pt idx="38">
                  <c:v>2731</c:v>
                </c:pt>
                <c:pt idx="39">
                  <c:v>2911</c:v>
                </c:pt>
                <c:pt idx="40">
                  <c:v>3160</c:v>
                </c:pt>
                <c:pt idx="41">
                  <c:v>3267</c:v>
                </c:pt>
                <c:pt idx="42">
                  <c:v>3604</c:v>
                </c:pt>
                <c:pt idx="43">
                  <c:v>4478</c:v>
                </c:pt>
                <c:pt idx="44">
                  <c:v>4634</c:v>
                </c:pt>
                <c:pt idx="45">
                  <c:v>4931</c:v>
                </c:pt>
                <c:pt idx="46">
                  <c:v>5184</c:v>
                </c:pt>
                <c:pt idx="47">
                  <c:v>5357</c:v>
                </c:pt>
                <c:pt idx="48">
                  <c:v>5985</c:v>
                </c:pt>
                <c:pt idx="49">
                  <c:v>6306</c:v>
                </c:pt>
                <c:pt idx="50">
                  <c:v>6989</c:v>
                </c:pt>
                <c:pt idx="51">
                  <c:v>7501</c:v>
                </c:pt>
                <c:pt idx="52">
                  <c:v>7786</c:v>
                </c:pt>
                <c:pt idx="53">
                  <c:v>8369</c:v>
                </c:pt>
                <c:pt idx="54">
                  <c:v>9076</c:v>
                </c:pt>
                <c:pt idx="55">
                  <c:v>9753</c:v>
                </c:pt>
                <c:pt idx="56">
                  <c:v>10520</c:v>
                </c:pt>
                <c:pt idx="57">
                  <c:v>11161</c:v>
                </c:pt>
                <c:pt idx="58">
                  <c:v>11695</c:v>
                </c:pt>
                <c:pt idx="59">
                  <c:v>12617</c:v>
                </c:pt>
                <c:pt idx="60">
                  <c:v>13277</c:v>
                </c:pt>
                <c:pt idx="61">
                  <c:v>14016</c:v>
                </c:pt>
                <c:pt idx="62">
                  <c:v>14746</c:v>
                </c:pt>
                <c:pt idx="63">
                  <c:v>15694</c:v>
                </c:pt>
                <c:pt idx="64">
                  <c:v>16359</c:v>
                </c:pt>
                <c:pt idx="65">
                  <c:v>17429</c:v>
                </c:pt>
                <c:pt idx="66">
                  <c:v>18552</c:v>
                </c:pt>
                <c:pt idx="67">
                  <c:v>19894</c:v>
                </c:pt>
                <c:pt idx="68">
                  <c:v>20946</c:v>
                </c:pt>
                <c:pt idx="69">
                  <c:v>21969</c:v>
                </c:pt>
                <c:pt idx="70">
                  <c:v>23773</c:v>
                </c:pt>
                <c:pt idx="71">
                  <c:v>24636</c:v>
                </c:pt>
                <c:pt idx="72">
                  <c:v>26465</c:v>
                </c:pt>
                <c:pt idx="73">
                  <c:v>29019</c:v>
                </c:pt>
                <c:pt idx="74">
                  <c:v>30482</c:v>
                </c:pt>
                <c:pt idx="75">
                  <c:v>31561</c:v>
                </c:pt>
                <c:pt idx="76">
                  <c:v>33815</c:v>
                </c:pt>
                <c:pt idx="77">
                  <c:v>35246</c:v>
                </c:pt>
                <c:pt idx="78">
                  <c:v>36695</c:v>
                </c:pt>
                <c:pt idx="79">
                  <c:v>38210</c:v>
                </c:pt>
                <c:pt idx="80">
                  <c:v>39582</c:v>
                </c:pt>
                <c:pt idx="81">
                  <c:v>41538</c:v>
                </c:pt>
                <c:pt idx="82">
                  <c:v>43338</c:v>
                </c:pt>
                <c:pt idx="83">
                  <c:v>45212</c:v>
                </c:pt>
                <c:pt idx="84">
                  <c:v>47327</c:v>
                </c:pt>
                <c:pt idx="85">
                  <c:v>49866</c:v>
                </c:pt>
                <c:pt idx="86">
                  <c:v>51594</c:v>
                </c:pt>
                <c:pt idx="87">
                  <c:v>53654</c:v>
                </c:pt>
                <c:pt idx="88">
                  <c:v>55398</c:v>
                </c:pt>
                <c:pt idx="89">
                  <c:v>56754</c:v>
                </c:pt>
                <c:pt idx="90">
                  <c:v>58194</c:v>
                </c:pt>
                <c:pt idx="91">
                  <c:v>60367</c:v>
                </c:pt>
                <c:pt idx="92">
                  <c:v>62929</c:v>
                </c:pt>
                <c:pt idx="93">
                  <c:v>65355</c:v>
                </c:pt>
                <c:pt idx="94">
                  <c:v>68311</c:v>
                </c:pt>
                <c:pt idx="95">
                  <c:v>71194</c:v>
                </c:pt>
                <c:pt idx="96">
                  <c:v>75066</c:v>
                </c:pt>
                <c:pt idx="97">
                  <c:v>79308</c:v>
                </c:pt>
                <c:pt idx="98">
                  <c:v>83985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Daily!I4</c:f>
              <c:strCache>
                <c:ptCount val="1"/>
                <c:pt idx="0">
                  <c:v>Active cases</c:v>
                </c:pt>
              </c:strCache>
            </c:strRef>
          </c:tx>
          <c:spPr>
            <a:solidFill>
              <a:srgbClr val="c55a11"/>
            </a:solidFill>
            <a:ln w="2808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Daily!$I$5:$I$103</c:f>
              <c:numCache>
                <c:formatCode>#,##0</c:formatCode>
                <c:ptCount val="99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6</c:v>
                </c:pt>
                <c:pt idx="12">
                  <c:v>15</c:v>
                </c:pt>
                <c:pt idx="13">
                  <c:v>18</c:v>
                </c:pt>
                <c:pt idx="14">
                  <c:v>18</c:v>
                </c:pt>
                <c:pt idx="15">
                  <c:v>19</c:v>
                </c:pt>
                <c:pt idx="16">
                  <c:v>27</c:v>
                </c:pt>
                <c:pt idx="17">
                  <c:v>27</c:v>
                </c:pt>
                <c:pt idx="18">
                  <c:v>60</c:v>
                </c:pt>
                <c:pt idx="19">
                  <c:v>210</c:v>
                </c:pt>
                <c:pt idx="20">
                  <c:v>262</c:v>
                </c:pt>
                <c:pt idx="21">
                  <c:v>317</c:v>
                </c:pt>
                <c:pt idx="22">
                  <c:v>470</c:v>
                </c:pt>
                <c:pt idx="23">
                  <c:v>519</c:v>
                </c:pt>
                <c:pt idx="24">
                  <c:v>650</c:v>
                </c:pt>
                <c:pt idx="25">
                  <c:v>759</c:v>
                </c:pt>
                <c:pt idx="26">
                  <c:v>840</c:v>
                </c:pt>
                <c:pt idx="27">
                  <c:v>935</c:v>
                </c:pt>
                <c:pt idx="28">
                  <c:v>1040</c:v>
                </c:pt>
                <c:pt idx="29">
                  <c:v>1165</c:v>
                </c:pt>
                <c:pt idx="30">
                  <c:v>1280</c:v>
                </c:pt>
                <c:pt idx="31">
                  <c:v>1461</c:v>
                </c:pt>
                <c:pt idx="32">
                  <c:v>1535</c:v>
                </c:pt>
                <c:pt idx="33">
                  <c:v>1644</c:v>
                </c:pt>
                <c:pt idx="34">
                  <c:v>1821</c:v>
                </c:pt>
                <c:pt idx="35">
                  <c:v>2062</c:v>
                </c:pt>
                <c:pt idx="36">
                  <c:v>2226</c:v>
                </c:pt>
                <c:pt idx="37">
                  <c:v>2459</c:v>
                </c:pt>
                <c:pt idx="38">
                  <c:v>2501</c:v>
                </c:pt>
                <c:pt idx="39">
                  <c:v>2633</c:v>
                </c:pt>
                <c:pt idx="40">
                  <c:v>2702</c:v>
                </c:pt>
                <c:pt idx="41">
                  <c:v>2724</c:v>
                </c:pt>
                <c:pt idx="42">
                  <c:v>2942</c:v>
                </c:pt>
                <c:pt idx="43">
                  <c:v>3699</c:v>
                </c:pt>
                <c:pt idx="44">
                  <c:v>3798</c:v>
                </c:pt>
                <c:pt idx="45">
                  <c:v>4043</c:v>
                </c:pt>
                <c:pt idx="46">
                  <c:v>4064</c:v>
                </c:pt>
                <c:pt idx="47">
                  <c:v>4195</c:v>
                </c:pt>
                <c:pt idx="48">
                  <c:v>4756</c:v>
                </c:pt>
                <c:pt idx="49">
                  <c:v>4857</c:v>
                </c:pt>
                <c:pt idx="50">
                  <c:v>5317</c:v>
                </c:pt>
                <c:pt idx="51">
                  <c:v>5811</c:v>
                </c:pt>
                <c:pt idx="52">
                  <c:v>6046</c:v>
                </c:pt>
                <c:pt idx="53">
                  <c:v>6527</c:v>
                </c:pt>
                <c:pt idx="54">
                  <c:v>7154</c:v>
                </c:pt>
                <c:pt idx="55">
                  <c:v>7705</c:v>
                </c:pt>
                <c:pt idx="56">
                  <c:v>8391</c:v>
                </c:pt>
                <c:pt idx="57">
                  <c:v>8758</c:v>
                </c:pt>
                <c:pt idx="58">
                  <c:v>9147</c:v>
                </c:pt>
                <c:pt idx="59">
                  <c:v>10022</c:v>
                </c:pt>
                <c:pt idx="60">
                  <c:v>10608</c:v>
                </c:pt>
                <c:pt idx="61">
                  <c:v>11261</c:v>
                </c:pt>
                <c:pt idx="62">
                  <c:v>11986</c:v>
                </c:pt>
                <c:pt idx="63">
                  <c:v>12707</c:v>
                </c:pt>
                <c:pt idx="64">
                  <c:v>13357</c:v>
                </c:pt>
                <c:pt idx="65">
                  <c:v>14285</c:v>
                </c:pt>
                <c:pt idx="66">
                  <c:v>15341</c:v>
                </c:pt>
                <c:pt idx="67">
                  <c:v>16653</c:v>
                </c:pt>
                <c:pt idx="68">
                  <c:v>17681</c:v>
                </c:pt>
                <c:pt idx="69">
                  <c:v>18631</c:v>
                </c:pt>
                <c:pt idx="70">
                  <c:v>20262</c:v>
                </c:pt>
                <c:pt idx="71">
                  <c:v>21083</c:v>
                </c:pt>
                <c:pt idx="72">
                  <c:v>22868</c:v>
                </c:pt>
                <c:pt idx="73">
                  <c:v>25385</c:v>
                </c:pt>
                <c:pt idx="74">
                  <c:v>26687</c:v>
                </c:pt>
                <c:pt idx="75">
                  <c:v>27561</c:v>
                </c:pt>
                <c:pt idx="76">
                  <c:v>29529</c:v>
                </c:pt>
                <c:pt idx="77">
                  <c:v>30168</c:v>
                </c:pt>
                <c:pt idx="78">
                  <c:v>31210</c:v>
                </c:pt>
                <c:pt idx="79">
                  <c:v>32029</c:v>
                </c:pt>
                <c:pt idx="80">
                  <c:v>33078</c:v>
                </c:pt>
                <c:pt idx="81">
                  <c:v>34518</c:v>
                </c:pt>
                <c:pt idx="82">
                  <c:v>35318</c:v>
                </c:pt>
                <c:pt idx="83">
                  <c:v>36549</c:v>
                </c:pt>
                <c:pt idx="84">
                  <c:v>37594</c:v>
                </c:pt>
                <c:pt idx="85">
                  <c:v>39076</c:v>
                </c:pt>
                <c:pt idx="86">
                  <c:v>39332</c:v>
                </c:pt>
                <c:pt idx="87">
                  <c:v>40821</c:v>
                </c:pt>
                <c:pt idx="88">
                  <c:v>42249</c:v>
                </c:pt>
                <c:pt idx="89">
                  <c:v>42745</c:v>
                </c:pt>
                <c:pt idx="90">
                  <c:v>43334</c:v>
                </c:pt>
                <c:pt idx="91">
                  <c:v>44406</c:v>
                </c:pt>
                <c:pt idx="92">
                  <c:v>44837</c:v>
                </c:pt>
                <c:pt idx="93">
                  <c:v>45361</c:v>
                </c:pt>
                <c:pt idx="94">
                  <c:v>47091</c:v>
                </c:pt>
                <c:pt idx="95">
                  <c:v>49105</c:v>
                </c:pt>
                <c:pt idx="96">
                  <c:v>51872</c:v>
                </c:pt>
                <c:pt idx="97">
                  <c:v>54114</c:v>
                </c:pt>
                <c:pt idx="98">
                  <c:v>57504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Daily!H4</c:f>
              <c:strCache>
                <c:ptCount val="1"/>
                <c:pt idx="0">
                  <c:v>Cumulative recovered</c:v>
                </c:pt>
              </c:strCache>
            </c:strRef>
          </c:tx>
          <c:spPr>
            <a:solidFill>
              <a:srgbClr val="70ad47"/>
            </a:solidFill>
            <a:ln w="2808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Daily!$A$5:$A$103</c:f>
              <c:strCache>
                <c:ptCount val="99"/>
                <c:pt idx="0">
                  <c:v>26-Feb-20</c:v>
                </c:pt>
                <c:pt idx="1">
                  <c:v>27-Feb-20</c:v>
                </c:pt>
                <c:pt idx="2">
                  <c:v>28-Feb-20</c:v>
                </c:pt>
                <c:pt idx="3">
                  <c:v>29-Feb-20</c:v>
                </c:pt>
                <c:pt idx="4">
                  <c:v>01-Mar-20</c:v>
                </c:pt>
                <c:pt idx="5">
                  <c:v>02-Mar-20</c:v>
                </c:pt>
                <c:pt idx="6">
                  <c:v>03-Mar-20</c:v>
                </c:pt>
                <c:pt idx="7">
                  <c:v>04-Mar-20</c:v>
                </c:pt>
                <c:pt idx="8">
                  <c:v>05-Mar-20</c:v>
                </c:pt>
                <c:pt idx="9">
                  <c:v>06-Mar-20</c:v>
                </c:pt>
                <c:pt idx="10">
                  <c:v>07-Mar-20</c:v>
                </c:pt>
                <c:pt idx="11">
                  <c:v>08-Mar-20</c:v>
                </c:pt>
                <c:pt idx="12">
                  <c:v>09-Mar-20</c:v>
                </c:pt>
                <c:pt idx="13">
                  <c:v>10-Mar-20</c:v>
                </c:pt>
                <c:pt idx="14">
                  <c:v>11-Mar-20</c:v>
                </c:pt>
                <c:pt idx="15">
                  <c:v>12-Mar-20</c:v>
                </c:pt>
                <c:pt idx="16">
                  <c:v>13-Mar-20</c:v>
                </c:pt>
                <c:pt idx="17">
                  <c:v>14-Mar-20</c:v>
                </c:pt>
                <c:pt idx="18">
                  <c:v>15-Mar-20</c:v>
                </c:pt>
                <c:pt idx="19">
                  <c:v>16-Mar-20</c:v>
                </c:pt>
                <c:pt idx="20">
                  <c:v>17-Mar-20</c:v>
                </c:pt>
                <c:pt idx="21">
                  <c:v>18-Mar-20</c:v>
                </c:pt>
                <c:pt idx="22">
                  <c:v>19-Mar-20</c:v>
                </c:pt>
                <c:pt idx="23">
                  <c:v>20-Mar-20</c:v>
                </c:pt>
                <c:pt idx="24">
                  <c:v>21-Mar-20</c:v>
                </c:pt>
                <c:pt idx="25">
                  <c:v>22-Mar-20</c:v>
                </c:pt>
                <c:pt idx="26">
                  <c:v>23-Mar-20</c:v>
                </c:pt>
                <c:pt idx="27">
                  <c:v>24-Mar-20</c:v>
                </c:pt>
                <c:pt idx="28">
                  <c:v>25-Mar-20</c:v>
                </c:pt>
                <c:pt idx="29">
                  <c:v>26-Mar-20</c:v>
                </c:pt>
                <c:pt idx="30">
                  <c:v>27-Mar-20</c:v>
                </c:pt>
                <c:pt idx="31">
                  <c:v>28-Mar-20</c:v>
                </c:pt>
                <c:pt idx="32">
                  <c:v>29-Mar-20</c:v>
                </c:pt>
                <c:pt idx="33">
                  <c:v>30-Mar-20</c:v>
                </c:pt>
                <c:pt idx="34">
                  <c:v>31-Mar-20</c:v>
                </c:pt>
                <c:pt idx="35">
                  <c:v>01-Apr-20</c:v>
                </c:pt>
                <c:pt idx="36">
                  <c:v>02-Apr-20</c:v>
                </c:pt>
                <c:pt idx="37">
                  <c:v>03-Apr-20</c:v>
                </c:pt>
                <c:pt idx="38">
                  <c:v>04-Apr-20</c:v>
                </c:pt>
                <c:pt idx="39">
                  <c:v>05-Apr-20</c:v>
                </c:pt>
                <c:pt idx="40">
                  <c:v>06-Apr-20</c:v>
                </c:pt>
                <c:pt idx="41">
                  <c:v>07-Apr-20</c:v>
                </c:pt>
                <c:pt idx="42">
                  <c:v>08-Apr-20</c:v>
                </c:pt>
                <c:pt idx="43">
                  <c:v>09-Apr-20</c:v>
                </c:pt>
                <c:pt idx="44">
                  <c:v>10-Apr-20</c:v>
                </c:pt>
                <c:pt idx="45">
                  <c:v>11-Apr-20</c:v>
                </c:pt>
                <c:pt idx="46">
                  <c:v>12-Apr-20</c:v>
                </c:pt>
                <c:pt idx="47">
                  <c:v>13-Apr-20</c:v>
                </c:pt>
                <c:pt idx="48">
                  <c:v>14-Apr-20</c:v>
                </c:pt>
                <c:pt idx="49">
                  <c:v>15-Apr-20</c:v>
                </c:pt>
                <c:pt idx="50">
                  <c:v>16-Apr-20</c:v>
                </c:pt>
                <c:pt idx="51">
                  <c:v>17-Apr-20</c:v>
                </c:pt>
                <c:pt idx="52">
                  <c:v>18-Apr-20</c:v>
                </c:pt>
                <c:pt idx="53">
                  <c:v>19-Apr-20</c:v>
                </c:pt>
                <c:pt idx="54">
                  <c:v>20-Apr-20</c:v>
                </c:pt>
                <c:pt idx="55">
                  <c:v>21-Apr-20</c:v>
                </c:pt>
                <c:pt idx="56">
                  <c:v>22-Apr-20</c:v>
                </c:pt>
                <c:pt idx="57">
                  <c:v>23-Apr-20</c:v>
                </c:pt>
                <c:pt idx="58">
                  <c:v>24-Apr-20</c:v>
                </c:pt>
                <c:pt idx="59">
                  <c:v>25-Apr-20</c:v>
                </c:pt>
                <c:pt idx="60">
                  <c:v>26-Apr-20</c:v>
                </c:pt>
                <c:pt idx="61">
                  <c:v>27-Apr-20</c:v>
                </c:pt>
                <c:pt idx="62">
                  <c:v>28-Apr-20</c:v>
                </c:pt>
                <c:pt idx="63">
                  <c:v>29-Apr-20</c:v>
                </c:pt>
                <c:pt idx="64">
                  <c:v>30-Apr-20</c:v>
                </c:pt>
                <c:pt idx="65">
                  <c:v>01-May-20</c:v>
                </c:pt>
                <c:pt idx="66">
                  <c:v>02-May-20</c:v>
                </c:pt>
                <c:pt idx="67">
                  <c:v>03-May-20</c:v>
                </c:pt>
                <c:pt idx="68">
                  <c:v>04-May-20</c:v>
                </c:pt>
                <c:pt idx="69">
                  <c:v>05-May-20</c:v>
                </c:pt>
                <c:pt idx="70">
                  <c:v>06-May-20</c:v>
                </c:pt>
                <c:pt idx="71">
                  <c:v>07-May-20</c:v>
                </c:pt>
                <c:pt idx="72">
                  <c:v>08-May-20</c:v>
                </c:pt>
                <c:pt idx="73">
                  <c:v>09-May-20</c:v>
                </c:pt>
                <c:pt idx="74">
                  <c:v>10-May-20</c:v>
                </c:pt>
                <c:pt idx="75">
                  <c:v>11-May-20</c:v>
                </c:pt>
                <c:pt idx="76">
                  <c:v>12-May-20</c:v>
                </c:pt>
                <c:pt idx="77">
                  <c:v>13-May-20</c:v>
                </c:pt>
                <c:pt idx="78">
                  <c:v>14-May-20</c:v>
                </c:pt>
                <c:pt idx="79">
                  <c:v>15-May-20</c:v>
                </c:pt>
                <c:pt idx="80">
                  <c:v>16-May-20</c:v>
                </c:pt>
                <c:pt idx="81">
                  <c:v>17-May-20</c:v>
                </c:pt>
                <c:pt idx="82">
                  <c:v>18-May-20</c:v>
                </c:pt>
                <c:pt idx="83">
                  <c:v>19-May-20</c:v>
                </c:pt>
                <c:pt idx="84">
                  <c:v>20-May-20</c:v>
                </c:pt>
                <c:pt idx="85">
                  <c:v>21-May-20</c:v>
                </c:pt>
                <c:pt idx="86">
                  <c:v>22-May-20</c:v>
                </c:pt>
                <c:pt idx="87">
                  <c:v>23-May-20</c:v>
                </c:pt>
                <c:pt idx="88">
                  <c:v>24-May-20</c:v>
                </c:pt>
                <c:pt idx="89">
                  <c:v>25-May-20</c:v>
                </c:pt>
                <c:pt idx="90">
                  <c:v>26-May-20</c:v>
                </c:pt>
                <c:pt idx="91">
                  <c:v>27-May-20</c:v>
                </c:pt>
                <c:pt idx="92">
                  <c:v>28-May-20</c:v>
                </c:pt>
                <c:pt idx="93">
                  <c:v>29-May-20</c:v>
                </c:pt>
                <c:pt idx="94">
                  <c:v>30-May-20</c:v>
                </c:pt>
                <c:pt idx="95">
                  <c:v>31-May-20</c:v>
                </c:pt>
                <c:pt idx="96">
                  <c:v>01-Jun-20</c:v>
                </c:pt>
                <c:pt idx="97">
                  <c:v>02-Jun-20</c:v>
                </c:pt>
                <c:pt idx="98">
                  <c:v>03-Jun-20</c:v>
                </c:pt>
              </c:strCache>
            </c:strRef>
          </c:cat>
          <c:val>
            <c:numRef>
              <c:f>Daily!$H$5:$H$103</c:f>
              <c:numCache>
                <c:formatCode>#,##0</c:formatCode>
                <c:ptCount val="9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5</c:v>
                </c:pt>
                <c:pt idx="23">
                  <c:v>5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26</c:v>
                </c:pt>
                <c:pt idx="28">
                  <c:v>30</c:v>
                </c:pt>
                <c:pt idx="29">
                  <c:v>35</c:v>
                </c:pt>
                <c:pt idx="30">
                  <c:v>40</c:v>
                </c:pt>
                <c:pt idx="31">
                  <c:v>41</c:v>
                </c:pt>
                <c:pt idx="32">
                  <c:v>48</c:v>
                </c:pt>
                <c:pt idx="33">
                  <c:v>80</c:v>
                </c:pt>
                <c:pt idx="34">
                  <c:v>122</c:v>
                </c:pt>
                <c:pt idx="35">
                  <c:v>137</c:v>
                </c:pt>
                <c:pt idx="36">
                  <c:v>151</c:v>
                </c:pt>
                <c:pt idx="37">
                  <c:v>152</c:v>
                </c:pt>
                <c:pt idx="38">
                  <c:v>185</c:v>
                </c:pt>
                <c:pt idx="39">
                  <c:v>230</c:v>
                </c:pt>
                <c:pt idx="40">
                  <c:v>405</c:v>
                </c:pt>
                <c:pt idx="41">
                  <c:v>487</c:v>
                </c:pt>
                <c:pt idx="42">
                  <c:v>599</c:v>
                </c:pt>
                <c:pt idx="43">
                  <c:v>712</c:v>
                </c:pt>
                <c:pt idx="44">
                  <c:v>765</c:v>
                </c:pt>
                <c:pt idx="45">
                  <c:v>802</c:v>
                </c:pt>
                <c:pt idx="46">
                  <c:v>1027</c:v>
                </c:pt>
                <c:pt idx="47">
                  <c:v>1065</c:v>
                </c:pt>
                <c:pt idx="48">
                  <c:v>1121</c:v>
                </c:pt>
                <c:pt idx="49">
                  <c:v>1330</c:v>
                </c:pt>
                <c:pt idx="50">
                  <c:v>1537</c:v>
                </c:pt>
                <c:pt idx="51">
                  <c:v>1551</c:v>
                </c:pt>
                <c:pt idx="52">
                  <c:v>1590</c:v>
                </c:pt>
                <c:pt idx="53">
                  <c:v>1674</c:v>
                </c:pt>
                <c:pt idx="54">
                  <c:v>1736</c:v>
                </c:pt>
                <c:pt idx="55">
                  <c:v>1839</c:v>
                </c:pt>
                <c:pt idx="56">
                  <c:v>1907</c:v>
                </c:pt>
                <c:pt idx="57">
                  <c:v>2173</c:v>
                </c:pt>
                <c:pt idx="58">
                  <c:v>2307</c:v>
                </c:pt>
                <c:pt idx="59">
                  <c:v>2340</c:v>
                </c:pt>
                <c:pt idx="60">
                  <c:v>2402</c:v>
                </c:pt>
                <c:pt idx="61">
                  <c:v>2465</c:v>
                </c:pt>
                <c:pt idx="62">
                  <c:v>2465</c:v>
                </c:pt>
                <c:pt idx="63">
                  <c:v>2673</c:v>
                </c:pt>
                <c:pt idx="64">
                  <c:v>2673</c:v>
                </c:pt>
                <c:pt idx="65">
                  <c:v>2792</c:v>
                </c:pt>
                <c:pt idx="66">
                  <c:v>2835</c:v>
                </c:pt>
                <c:pt idx="67">
                  <c:v>2835</c:v>
                </c:pt>
                <c:pt idx="68">
                  <c:v>2835</c:v>
                </c:pt>
                <c:pt idx="69">
                  <c:v>2880</c:v>
                </c:pt>
                <c:pt idx="70">
                  <c:v>3004</c:v>
                </c:pt>
                <c:pt idx="71">
                  <c:v>3018</c:v>
                </c:pt>
                <c:pt idx="72">
                  <c:v>3031</c:v>
                </c:pt>
                <c:pt idx="73">
                  <c:v>3049</c:v>
                </c:pt>
                <c:pt idx="74">
                  <c:v>3187</c:v>
                </c:pt>
                <c:pt idx="75">
                  <c:v>3354</c:v>
                </c:pt>
                <c:pt idx="76">
                  <c:v>3601</c:v>
                </c:pt>
                <c:pt idx="77">
                  <c:v>4357</c:v>
                </c:pt>
                <c:pt idx="78">
                  <c:v>4731</c:v>
                </c:pt>
                <c:pt idx="79">
                  <c:v>5396</c:v>
                </c:pt>
                <c:pt idx="80">
                  <c:v>5680</c:v>
                </c:pt>
                <c:pt idx="81">
                  <c:v>6166</c:v>
                </c:pt>
                <c:pt idx="82">
                  <c:v>7120</c:v>
                </c:pt>
                <c:pt idx="83">
                  <c:v>7717</c:v>
                </c:pt>
                <c:pt idx="84">
                  <c:v>8755</c:v>
                </c:pt>
                <c:pt idx="85">
                  <c:v>9769</c:v>
                </c:pt>
                <c:pt idx="86">
                  <c:v>11207</c:v>
                </c:pt>
                <c:pt idx="87">
                  <c:v>11746</c:v>
                </c:pt>
                <c:pt idx="88">
                  <c:v>12028</c:v>
                </c:pt>
                <c:pt idx="89">
                  <c:v>12858</c:v>
                </c:pt>
                <c:pt idx="90">
                  <c:v>13682</c:v>
                </c:pt>
                <c:pt idx="91">
                  <c:v>14747</c:v>
                </c:pt>
                <c:pt idx="92">
                  <c:v>16819</c:v>
                </c:pt>
                <c:pt idx="93">
                  <c:v>18643</c:v>
                </c:pt>
                <c:pt idx="94">
                  <c:v>19781</c:v>
                </c:pt>
                <c:pt idx="95">
                  <c:v>20590</c:v>
                </c:pt>
                <c:pt idx="96">
                  <c:v>21617</c:v>
                </c:pt>
                <c:pt idx="97">
                  <c:v>23548</c:v>
                </c:pt>
                <c:pt idx="98">
                  <c:v>24753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0493407"/>
        <c:axId val="23133234"/>
      </c:lineChart>
      <c:catAx>
        <c:axId val="20493407"/>
        <c:scaling>
          <c:orientation val="minMax"/>
        </c:scaling>
        <c:delete val="0"/>
        <c:axPos val="b"/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133234"/>
        <c:crosses val="autoZero"/>
        <c:auto val="1"/>
        <c:lblAlgn val="ctr"/>
        <c:lblOffset val="100"/>
        <c:noMultiLvlLbl val="0"/>
      </c:catAx>
      <c:valAx>
        <c:axId val="231332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People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4934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Average new cases per day, by week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Weekly!H4</c:f>
              <c:strCache>
                <c:ptCount val="1"/>
                <c:pt idx="0">
                  <c:v>Avg cases per day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Weekly!$A$5:$A$19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cat>
          <c:val>
            <c:numRef>
              <c:f>Weekly!$H$5:$H$19</c:f>
              <c:numCache>
                <c:formatCode>#,##0.0</c:formatCode>
                <c:ptCount val="15"/>
                <c:pt idx="0">
                  <c:v>0.857142857142857</c:v>
                </c:pt>
                <c:pt idx="1">
                  <c:v>1.85714285714286</c:v>
                </c:pt>
                <c:pt idx="2">
                  <c:v>35.4285714285714</c:v>
                </c:pt>
                <c:pt idx="3">
                  <c:v>100.142857142857</c:v>
                </c:pt>
                <c:pt idx="4">
                  <c:v>143.142857142857</c:v>
                </c:pt>
                <c:pt idx="5">
                  <c:v>185.285714285714</c:v>
                </c:pt>
                <c:pt idx="6">
                  <c:v>388.285714285714</c:v>
                </c:pt>
                <c:pt idx="7">
                  <c:v>538.285714285714</c:v>
                </c:pt>
                <c:pt idx="8">
                  <c:v>713.285714285714</c:v>
                </c:pt>
                <c:pt idx="9">
                  <c:v>1031.85714285714</c:v>
                </c:pt>
                <c:pt idx="10">
                  <c:v>1692.28571428571</c:v>
                </c:pt>
                <c:pt idx="11">
                  <c:v>1628.14285714286</c:v>
                </c:pt>
                <c:pt idx="12">
                  <c:v>1854.57142857143</c:v>
                </c:pt>
                <c:pt idx="13">
                  <c:v>3016.28571428571</c:v>
                </c:pt>
                <c:pt idx="14">
                  <c:v>4677</c:v>
                </c:pt>
              </c:numCache>
            </c:numRef>
          </c:val>
        </c:ser>
        <c:gapWidth val="150"/>
        <c:overlap val="0"/>
        <c:axId val="29608454"/>
        <c:axId val="23544131"/>
      </c:barChart>
      <c:catAx>
        <c:axId val="296084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Week number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44131"/>
        <c:crosses val="autoZero"/>
        <c:auto val="1"/>
        <c:lblAlgn val="ctr"/>
        <c:lblOffset val="100"/>
        <c:noMultiLvlLbl val="0"/>
      </c:catAx>
      <c:valAx>
        <c:axId val="235441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Cases per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084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Average new cases per day,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Monthly!F4</c:f>
              <c:strCache>
                <c:ptCount val="1"/>
                <c:pt idx="0">
                  <c:v>Avg cases per day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Monthly!$A$5:$A$9</c:f>
              <c:strCache>
                <c:ptCount val="5"/>
                <c:pt idx="0">
                  <c:v>Feb 2020</c:v>
                </c:pt>
                <c:pt idx="1">
                  <c:v>Mar 2020</c:v>
                </c:pt>
                <c:pt idx="2">
                  <c:v>Apr 2020</c:v>
                </c:pt>
                <c:pt idx="3">
                  <c:v>May 2020</c:v>
                </c:pt>
                <c:pt idx="4">
                  <c:v>Jun 2020</c:v>
                </c:pt>
              </c:strCache>
            </c:strRef>
          </c:cat>
          <c:val>
            <c:numRef>
              <c:f>Monthly!$F$5:$F$9</c:f>
              <c:numCache>
                <c:formatCode>#,##0.0</c:formatCode>
                <c:ptCount val="5"/>
                <c:pt idx="0">
                  <c:v>1.25</c:v>
                </c:pt>
                <c:pt idx="1">
                  <c:v>63.3870967741936</c:v>
                </c:pt>
                <c:pt idx="2">
                  <c:v>479.633333333333</c:v>
                </c:pt>
                <c:pt idx="3">
                  <c:v>1768.87096774194</c:v>
                </c:pt>
                <c:pt idx="4">
                  <c:v>4263.66666666667</c:v>
                </c:pt>
              </c:numCache>
            </c:numRef>
          </c:val>
        </c:ser>
        <c:gapWidth val="150"/>
        <c:overlap val="0"/>
        <c:axId val="52124241"/>
        <c:axId val="90586224"/>
      </c:barChart>
      <c:catAx>
        <c:axId val="52124241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586224"/>
        <c:crosses val="autoZero"/>
        <c:auto val="1"/>
        <c:lblAlgn val="ctr"/>
        <c:lblOffset val="100"/>
        <c:noMultiLvlLbl val="0"/>
      </c:catAx>
      <c:valAx>
        <c:axId val="905862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Cases per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1242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cases by province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Province!B4</c:f>
              <c:strCache>
                <c:ptCount val="1"/>
                <c:pt idx="0">
                  <c:v>Cases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Province!$A$5:$A$12</c:f>
              <c:strCache>
                <c:ptCount val="8"/>
                <c:pt idx="0">
                  <c:v>Sindh</c:v>
                </c:pt>
                <c:pt idx="1">
                  <c:v>Punjab</c:v>
                </c:pt>
                <c:pt idx="2">
                  <c:v>Khyber Pakhtunkhwa</c:v>
                </c:pt>
                <c:pt idx="3">
                  <c:v>Baluchistan</c:v>
                </c:pt>
                <c:pt idx="4">
                  <c:v>Islamabad Capital Territory</c:v>
                </c:pt>
                <c:pt idx="5">
                  <c:v>Gilgit-Baltistan</c:v>
                </c:pt>
                <c:pt idx="6">
                  <c:v>Azad Jummu Kashmir</c:v>
                </c:pt>
                <c:pt idx="7">
                  <c:v>Federal Administration Tribal Area</c:v>
                </c:pt>
              </c:strCache>
            </c:strRef>
          </c:cat>
          <c:val>
            <c:numRef>
              <c:f>Province!$B$5:$B$12</c:f>
              <c:numCache>
                <c:formatCode>#,##0</c:formatCode>
                <c:ptCount val="8"/>
                <c:pt idx="0">
                  <c:v>32858</c:v>
                </c:pt>
                <c:pt idx="1">
                  <c:v>31096</c:v>
                </c:pt>
                <c:pt idx="2">
                  <c:v>10259</c:v>
                </c:pt>
                <c:pt idx="3">
                  <c:v>5125</c:v>
                </c:pt>
                <c:pt idx="4">
                  <c:v>3523</c:v>
                </c:pt>
                <c:pt idx="5">
                  <c:v>786</c:v>
                </c:pt>
                <c:pt idx="6">
                  <c:v>285</c:v>
                </c:pt>
                <c:pt idx="7">
                  <c:v>53</c:v>
                </c:pt>
              </c:numCache>
            </c:numRef>
          </c:val>
        </c:ser>
        <c:gapWidth val="150"/>
        <c:overlap val="0"/>
        <c:axId val="41713100"/>
        <c:axId val="15107533"/>
      </c:barChart>
      <c:catAx>
        <c:axId val="4171310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107533"/>
        <c:crosses val="autoZero"/>
        <c:auto val="1"/>
        <c:lblAlgn val="ctr"/>
        <c:lblOffset val="100"/>
        <c:noMultiLvlLbl val="0"/>
      </c:catAx>
      <c:valAx>
        <c:axId val="151075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71310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Case fatality rate (CFR) by province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Province!H4</c:f>
              <c:strCache>
                <c:ptCount val="1"/>
                <c:pt idx="0">
                  <c:v>CFR</c:v>
                </c:pt>
              </c:strCache>
            </c:strRef>
          </c:tx>
          <c:spPr>
            <a:solidFill>
              <a:srgbClr val="c55a11"/>
            </a:solidFill>
            <a:ln w="0">
              <a:solidFill>
                <a:srgbClr val="c55a11"/>
              </a:solidFill>
            </a:ln>
          </c:spPr>
          <c:invertIfNegative val="0"/>
          <c:dLbls>
            <c:numFmt formatCode="0.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Province!$A$5:$A$12</c:f>
              <c:strCache>
                <c:ptCount val="8"/>
                <c:pt idx="0">
                  <c:v>Sindh</c:v>
                </c:pt>
                <c:pt idx="1">
                  <c:v>Punjab</c:v>
                </c:pt>
                <c:pt idx="2">
                  <c:v>Khyber Pakhtunkhwa</c:v>
                </c:pt>
                <c:pt idx="3">
                  <c:v>Baluchistan</c:v>
                </c:pt>
                <c:pt idx="4">
                  <c:v>Islamabad Capital Territory</c:v>
                </c:pt>
                <c:pt idx="5">
                  <c:v>Gilgit-Baltistan</c:v>
                </c:pt>
                <c:pt idx="6">
                  <c:v>Azad Jummu Kashmir</c:v>
                </c:pt>
                <c:pt idx="7">
                  <c:v>Federal Administration Tribal Area</c:v>
                </c:pt>
              </c:strCache>
            </c:strRef>
          </c:cat>
          <c:val>
            <c:numRef>
              <c:f>Province!$H$5:$H$12</c:f>
              <c:numCache>
                <c:formatCode>0.0%</c:formatCode>
                <c:ptCount val="8"/>
                <c:pt idx="0">
                  <c:v>0.0166169578184917</c:v>
                </c:pt>
                <c:pt idx="1">
                  <c:v>0.0190699768458966</c:v>
                </c:pt>
                <c:pt idx="2">
                  <c:v>0.0461058582707866</c:v>
                </c:pt>
                <c:pt idx="3">
                  <c:v>0.0095609756097561</c:v>
                </c:pt>
                <c:pt idx="4">
                  <c:v>0.0102185637240988</c:v>
                </c:pt>
                <c:pt idx="5">
                  <c:v>0.0305343511450382</c:v>
                </c:pt>
                <c:pt idx="6">
                  <c:v>0.0210526315789474</c:v>
                </c:pt>
                <c:pt idx="7">
                  <c:v>0.0188679245283019</c:v>
                </c:pt>
              </c:numCache>
            </c:numRef>
          </c:val>
        </c:ser>
        <c:gapWidth val="150"/>
        <c:overlap val="0"/>
        <c:axId val="63255525"/>
        <c:axId val="92923390"/>
      </c:barChart>
      <c:catAx>
        <c:axId val="6325552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923390"/>
        <c:crosses val="autoZero"/>
        <c:auto val="1"/>
        <c:lblAlgn val="ctr"/>
        <c:lblOffset val="100"/>
        <c:noMultiLvlLbl val="0"/>
      </c:catAx>
      <c:valAx>
        <c:axId val="929233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25552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cities: cases and cumulative share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City!D4</c:f>
              <c:strCache>
                <c:ptCount val="1"/>
                <c:pt idx="0">
                  <c:v>Cases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City!$B$5:$B$19</c:f>
              <c:strCache>
                <c:ptCount val="15"/>
                <c:pt idx="0">
                  <c:v>Karachi</c:v>
                </c:pt>
                <c:pt idx="1">
                  <c:v>Lahore</c:v>
                </c:pt>
                <c:pt idx="2">
                  <c:v>Quetta</c:v>
                </c:pt>
                <c:pt idx="3">
                  <c:v>Peshawar</c:v>
                </c:pt>
                <c:pt idx="4">
                  <c:v>Islamabad</c:v>
                </c:pt>
                <c:pt idx="5">
                  <c:v>Swat</c:v>
                </c:pt>
                <c:pt idx="6">
                  <c:v>Multan</c:v>
                </c:pt>
                <c:pt idx="7">
                  <c:v>Sukkur</c:v>
                </c:pt>
                <c:pt idx="8">
                  <c:v>Hyderabad</c:v>
                </c:pt>
                <c:pt idx="9">
                  <c:v>Raiwind</c:v>
                </c:pt>
                <c:pt idx="10">
                  <c:v>Malakand</c:v>
                </c:pt>
                <c:pt idx="11">
                  <c:v>Mardan</c:v>
                </c:pt>
                <c:pt idx="12">
                  <c:v>Gilgit</c:v>
                </c:pt>
                <c:pt idx="13">
                  <c:v>Larkana</c:v>
                </c:pt>
                <c:pt idx="14">
                  <c:v>Ghotki</c:v>
                </c:pt>
              </c:strCache>
            </c:strRef>
          </c:cat>
          <c:val>
            <c:numRef>
              <c:f>City!$D$5:$D$19</c:f>
              <c:numCache>
                <c:formatCode>#,##0</c:formatCode>
                <c:ptCount val="15"/>
                <c:pt idx="0">
                  <c:v>29346</c:v>
                </c:pt>
                <c:pt idx="1">
                  <c:v>28015</c:v>
                </c:pt>
                <c:pt idx="2">
                  <c:v>5109</c:v>
                </c:pt>
                <c:pt idx="3">
                  <c:v>4923</c:v>
                </c:pt>
                <c:pt idx="4">
                  <c:v>3523</c:v>
                </c:pt>
                <c:pt idx="5">
                  <c:v>958</c:v>
                </c:pt>
                <c:pt idx="6">
                  <c:v>712</c:v>
                </c:pt>
                <c:pt idx="7">
                  <c:v>681</c:v>
                </c:pt>
                <c:pt idx="8">
                  <c:v>610</c:v>
                </c:pt>
                <c:pt idx="9">
                  <c:v>546</c:v>
                </c:pt>
                <c:pt idx="10">
                  <c:v>486</c:v>
                </c:pt>
                <c:pt idx="11">
                  <c:v>473</c:v>
                </c:pt>
                <c:pt idx="12">
                  <c:v>402</c:v>
                </c:pt>
                <c:pt idx="13">
                  <c:v>398</c:v>
                </c:pt>
                <c:pt idx="14">
                  <c:v>376</c:v>
                </c:pt>
              </c:numCache>
            </c:numRef>
          </c:val>
        </c:ser>
        <c:gapWidth val="150"/>
        <c:overlap val="0"/>
        <c:axId val="42787114"/>
        <c:axId val="99766497"/>
      </c:barChart>
      <c:lineChart>
        <c:grouping val="standard"/>
        <c:varyColors val="0"/>
        <c:ser>
          <c:idx val="1"/>
          <c:order val="1"/>
          <c:tx>
            <c:strRef>
              <c:f>City!H4</c:f>
              <c:strCache>
                <c:ptCount val="1"/>
                <c:pt idx="0">
                  <c:v>Cumulative share</c:v>
                </c:pt>
              </c:strCache>
            </c:strRef>
          </c:tx>
          <c:spPr>
            <a:solidFill>
              <a:srgbClr val="c55a11"/>
            </a:solidFill>
            <a:ln w="2808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City!$B$5:$B$19</c:f>
              <c:strCache>
                <c:ptCount val="15"/>
                <c:pt idx="0">
                  <c:v>Karachi</c:v>
                </c:pt>
                <c:pt idx="1">
                  <c:v>Lahore</c:v>
                </c:pt>
                <c:pt idx="2">
                  <c:v>Quetta</c:v>
                </c:pt>
                <c:pt idx="3">
                  <c:v>Peshawar</c:v>
                </c:pt>
                <c:pt idx="4">
                  <c:v>Islamabad</c:v>
                </c:pt>
                <c:pt idx="5">
                  <c:v>Swat</c:v>
                </c:pt>
                <c:pt idx="6">
                  <c:v>Multan</c:v>
                </c:pt>
                <c:pt idx="7">
                  <c:v>Sukkur</c:v>
                </c:pt>
                <c:pt idx="8">
                  <c:v>Hyderabad</c:v>
                </c:pt>
                <c:pt idx="9">
                  <c:v>Raiwind</c:v>
                </c:pt>
                <c:pt idx="10">
                  <c:v>Malakand</c:v>
                </c:pt>
                <c:pt idx="11">
                  <c:v>Mardan</c:v>
                </c:pt>
                <c:pt idx="12">
                  <c:v>Gilgit</c:v>
                </c:pt>
                <c:pt idx="13">
                  <c:v>Larkana</c:v>
                </c:pt>
                <c:pt idx="14">
                  <c:v>Ghotki</c:v>
                </c:pt>
              </c:strCache>
            </c:strRef>
          </c:cat>
          <c:val>
            <c:numRef>
              <c:f>City!$H$5:$H$19</c:f>
              <c:numCache>
                <c:formatCode>0.0%</c:formatCode>
                <c:ptCount val="15"/>
                <c:pt idx="0">
                  <c:v>0.349419539203429</c:v>
                </c:pt>
                <c:pt idx="1">
                  <c:v>0.682991010299458</c:v>
                </c:pt>
                <c:pt idx="2">
                  <c:v>0.74382330178008</c:v>
                </c:pt>
                <c:pt idx="3">
                  <c:v>0.802440912067631</c:v>
                </c:pt>
                <c:pt idx="4">
                  <c:v>0.844388878966482</c:v>
                </c:pt>
                <c:pt idx="5">
                  <c:v>0.855795677799607</c:v>
                </c:pt>
                <c:pt idx="6">
                  <c:v>0.864273382151575</c:v>
                </c:pt>
                <c:pt idx="7">
                  <c:v>0.872381972971364</c:v>
                </c:pt>
                <c:pt idx="8">
                  <c:v>0.879645174733583</c:v>
                </c:pt>
                <c:pt idx="9">
                  <c:v>0.886146335655176</c:v>
                </c:pt>
                <c:pt idx="10">
                  <c:v>0.891933083288682</c:v>
                </c:pt>
                <c:pt idx="11">
                  <c:v>0.897565041376436</c:v>
                </c:pt>
                <c:pt idx="12">
                  <c:v>0.90235161040662</c:v>
                </c:pt>
                <c:pt idx="13">
                  <c:v>0.907090551884265</c:v>
                </c:pt>
                <c:pt idx="14">
                  <c:v>0.911567541822945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8224511"/>
        <c:axId val="67734422"/>
      </c:lineChart>
      <c:catAx>
        <c:axId val="427871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766497"/>
        <c:crosses val="autoZero"/>
        <c:auto val="1"/>
        <c:lblAlgn val="ctr"/>
        <c:lblOffset val="100"/>
        <c:noMultiLvlLbl val="0"/>
      </c:catAx>
      <c:valAx>
        <c:axId val="997664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787114"/>
        <c:crosses val="autoZero"/>
        <c:crossBetween val="between"/>
      </c:valAx>
      <c:catAx>
        <c:axId val="98224511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734422"/>
        <c:crosses val="autoZero"/>
        <c:auto val="1"/>
        <c:lblAlgn val="ctr"/>
        <c:lblOffset val="100"/>
        <c:noMultiLvlLbl val="0"/>
      </c:catAx>
      <c:valAx>
        <c:axId val="67734422"/>
        <c:scaling>
          <c:orientation val="minMax"/>
          <c:max val="1"/>
          <c:min val="0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224511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Cases by recorded source (top 8)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Travel!C4</c:f>
              <c:strCache>
                <c:ptCount val="1"/>
                <c:pt idx="0">
                  <c:v>Cases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Travel!$A$5:$A$12</c:f>
              <c:strCache>
                <c:ptCount val="8"/>
                <c:pt idx="0">
                  <c:v>Local - Social Contact</c:v>
                </c:pt>
                <c:pt idx="1">
                  <c:v>Unknown</c:v>
                </c:pt>
                <c:pt idx="2">
                  <c:v>Tableeghi Jamaat</c:v>
                </c:pt>
                <c:pt idx="3">
                  <c:v>Iran/Taftan</c:v>
                </c:pt>
                <c:pt idx="4">
                  <c:v>Jail</c:v>
                </c:pt>
                <c:pt idx="5">
                  <c:v>Afghanistan</c:v>
                </c:pt>
                <c:pt idx="6">
                  <c:v>International Passenger</c:v>
                </c:pt>
                <c:pt idx="7">
                  <c:v>Syria</c:v>
                </c:pt>
              </c:strCache>
            </c:strRef>
          </c:cat>
          <c:val>
            <c:numRef>
              <c:f>Travel!$C$5:$C$12</c:f>
              <c:numCache>
                <c:formatCode>#,##0</c:formatCode>
                <c:ptCount val="8"/>
                <c:pt idx="0">
                  <c:v>78118</c:v>
                </c:pt>
                <c:pt idx="1">
                  <c:v>3459</c:v>
                </c:pt>
                <c:pt idx="2">
                  <c:v>1115</c:v>
                </c:pt>
                <c:pt idx="3">
                  <c:v>1053</c:v>
                </c:pt>
                <c:pt idx="4">
                  <c:v>107</c:v>
                </c:pt>
                <c:pt idx="5">
                  <c:v>70</c:v>
                </c:pt>
                <c:pt idx="6">
                  <c:v>38</c:v>
                </c:pt>
                <c:pt idx="7">
                  <c:v>7</c:v>
                </c:pt>
              </c:numCache>
            </c:numRef>
          </c:val>
        </c:ser>
        <c:gapWidth val="150"/>
        <c:overlap val="0"/>
        <c:axId val="51374837"/>
        <c:axId val="20131415"/>
      </c:barChart>
      <c:catAx>
        <c:axId val="5137483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131415"/>
        <c:crosses val="autoZero"/>
        <c:auto val="1"/>
        <c:lblAlgn val="ctr"/>
        <c:lblOffset val="100"/>
        <c:noMultiLvlLbl val="0"/>
      </c:catAx>
      <c:valAx>
        <c:axId val="201314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3748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1. Cases vs Day_Num with linear trendline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"Daily cases"</c:f>
              <c:strCache>
                <c:ptCount val="1"/>
                <c:pt idx="0">
                  <c:v>Daily cases</c:v>
                </c:pt>
              </c:strCache>
            </c:strRef>
          </c:tx>
          <c:spPr>
            <a:solidFill>
              <a:srgbClr val="2e75b6"/>
            </a:solidFill>
            <a:ln w="47520">
              <a:noFill/>
            </a:ln>
          </c:spPr>
          <c:marker>
            <c:symbol val="circle"/>
            <c:size val="5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Regression_Excel!$E$53:$E$151</c:f>
              <c:numCache>
                <c:formatCode>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xVal>
          <c:yVal>
            <c:numRef>
              <c:f>Regression_Excel!$B$53:$B$151</c:f>
              <c:numCache>
                <c:formatCode>#,##0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7">
                  <c:v>114</c:v>
                </c:pt>
                <c:pt idx="28">
                  <c:v>110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0">
                  <c:v>683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5">
                  <c:v>677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3">
                  <c:v>948</c:v>
                </c:pt>
                <c:pt idx="64">
                  <c:v>665</c:v>
                </c:pt>
                <c:pt idx="65">
                  <c:v>1070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0">
                  <c:v>1804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yVal>
          <c:smooth val="1"/>
        </c:ser>
        <c:axId val="20003812"/>
        <c:axId val="91386292"/>
      </c:scatterChart>
      <c:valAx>
        <c:axId val="2000381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Day_Num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86292"/>
        <c:crosses val="autoZero"/>
        <c:crossBetween val="midCat"/>
      </c:valAx>
      <c:valAx>
        <c:axId val="913862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00381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2. Cases vs Day_Num with polynomial (order 2) trendline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"Daily cases"</c:f>
              <c:strCache>
                <c:ptCount val="1"/>
                <c:pt idx="0">
                  <c:v>Daily cases</c:v>
                </c:pt>
              </c:strCache>
            </c:strRef>
          </c:tx>
          <c:spPr>
            <a:solidFill>
              <a:srgbClr val="2e75b6"/>
            </a:solidFill>
            <a:ln w="47520">
              <a:noFill/>
            </a:ln>
          </c:spPr>
          <c:marker>
            <c:symbol val="circle"/>
            <c:size val="5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poly"/>
            <c:order val="2"/>
            <c:forward val="0"/>
            <c:backward val="0"/>
            <c:dispRSqr val="1"/>
            <c:dispEq val="1"/>
          </c:trendline>
          <c:xVal>
            <c:numRef>
              <c:f>Regression_Excel!$E$53:$E$151</c:f>
              <c:numCache>
                <c:formatCode>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xVal>
          <c:yVal>
            <c:numRef>
              <c:f>Regression_Excel!$B$53:$B$151</c:f>
              <c:numCache>
                <c:formatCode>#,##0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7">
                  <c:v>114</c:v>
                </c:pt>
                <c:pt idx="28">
                  <c:v>110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0">
                  <c:v>683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5">
                  <c:v>677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3">
                  <c:v>948</c:v>
                </c:pt>
                <c:pt idx="64">
                  <c:v>665</c:v>
                </c:pt>
                <c:pt idx="65">
                  <c:v>1070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0">
                  <c:v>1804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yVal>
          <c:smooth val="1"/>
        </c:ser>
        <c:axId val="26560026"/>
        <c:axId val="83952995"/>
      </c:scatterChart>
      <c:valAx>
        <c:axId val="2656002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Day_Num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952995"/>
        <c:crosses val="autoZero"/>
        <c:crossBetween val="midCat"/>
      </c:valAx>
      <c:valAx>
        <c:axId val="839529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56002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3. Multiple regression: actual vs fitted cases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"Actual vs fitted"</c:f>
              <c:strCache>
                <c:ptCount val="1"/>
                <c:pt idx="0">
                  <c:v>Actual vs fitted</c:v>
                </c:pt>
              </c:strCache>
            </c:strRef>
          </c:tx>
          <c:spPr>
            <a:solidFill>
              <a:srgbClr val="c55a11"/>
            </a:solidFill>
            <a:ln w="47520">
              <a:noFill/>
            </a:ln>
          </c:spPr>
          <c:marker>
            <c:symbol val="circle"/>
            <c:size val="5"/>
            <c:spPr>
              <a:solidFill>
                <a:srgbClr val="c55a1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000000"/>
                </a:solidFill>
                <a:round/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Regression_Excel!$H$53:$H$151</c:f>
              <c:numCache>
                <c:formatCode>#,##0</c:formatCode>
                <c:ptCount val="99"/>
                <c:pt idx="0">
                  <c:v>-139.619266420281</c:v>
                </c:pt>
                <c:pt idx="1">
                  <c:v>-132.045899762915</c:v>
                </c:pt>
                <c:pt idx="2">
                  <c:v>-124.472533105548</c:v>
                </c:pt>
                <c:pt idx="3">
                  <c:v>-116.899166448182</c:v>
                </c:pt>
                <c:pt idx="4">
                  <c:v>-109.325799790815</c:v>
                </c:pt>
                <c:pt idx="5">
                  <c:v>-101.752433133449</c:v>
                </c:pt>
                <c:pt idx="6">
                  <c:v>-94.1790664760826</c:v>
                </c:pt>
                <c:pt idx="7">
                  <c:v>-86.6056998187163</c:v>
                </c:pt>
                <c:pt idx="8">
                  <c:v>-79.0323331613499</c:v>
                </c:pt>
                <c:pt idx="9">
                  <c:v>-71.2164007688092</c:v>
                </c:pt>
                <c:pt idx="10">
                  <c:v>-63.8855998466171</c:v>
                </c:pt>
                <c:pt idx="11">
                  <c:v>-56.3122331892507</c:v>
                </c:pt>
                <c:pt idx="12">
                  <c:v>-48.7388665318843</c:v>
                </c:pt>
                <c:pt idx="13">
                  <c:v>-41.165499874518</c:v>
                </c:pt>
                <c:pt idx="14">
                  <c:v>-33.3495674819773</c:v>
                </c:pt>
                <c:pt idx="15">
                  <c:v>-26.0187665597852</c:v>
                </c:pt>
                <c:pt idx="16">
                  <c:v>-18.2028341672445</c:v>
                </c:pt>
                <c:pt idx="17">
                  <c:v>-10.8720332450524</c:v>
                </c:pt>
                <c:pt idx="18">
                  <c:v>28.5674654018704</c:v>
                </c:pt>
                <c:pt idx="19">
                  <c:v>4.51726580485465</c:v>
                </c:pt>
                <c:pt idx="20">
                  <c:v>11.8480667270467</c:v>
                </c:pt>
                <c:pt idx="21">
                  <c:v>83.153697363526</c:v>
                </c:pt>
                <c:pt idx="22">
                  <c:v>27.2373657769538</c:v>
                </c:pt>
                <c:pt idx="23">
                  <c:v>66.4342986887023</c:v>
                </c:pt>
                <c:pt idx="24">
                  <c:v>42.8692305620352</c:v>
                </c:pt>
                <c:pt idx="25">
                  <c:v>81.5810320034351</c:v>
                </c:pt>
                <c:pt idx="26">
                  <c:v>89.1543986608015</c:v>
                </c:pt>
                <c:pt idx="27">
                  <c:v>101.093948551306</c:v>
                </c:pt>
                <c:pt idx="28">
                  <c:v>105.271394916232</c:v>
                </c:pt>
                <c:pt idx="29">
                  <c:v>113.087327308772</c:v>
                </c:pt>
                <c:pt idx="30">
                  <c:v>152.526825955695</c:v>
                </c:pt>
                <c:pt idx="31">
                  <c:v>159.129929672364</c:v>
                </c:pt>
                <c:pt idx="32">
                  <c:v>295.623218699002</c:v>
                </c:pt>
                <c:pt idx="33">
                  <c:v>245.528464756614</c:v>
                </c:pt>
                <c:pt idx="34">
                  <c:v>255.527488765723</c:v>
                </c:pt>
                <c:pt idx="35">
                  <c:v>256.551580573383</c:v>
                </c:pt>
                <c:pt idx="36">
                  <c:v>295.748513485131</c:v>
                </c:pt>
                <c:pt idx="37">
                  <c:v>300.168525585232</c:v>
                </c:pt>
                <c:pt idx="38">
                  <c:v>283.63786377862</c:v>
                </c:pt>
                <c:pt idx="39">
                  <c:v>262.255887268522</c:v>
                </c:pt>
                <c:pt idx="40">
                  <c:v>365.095063477663</c:v>
                </c:pt>
                <c:pt idx="41">
                  <c:v>286.377552784704</c:v>
                </c:pt>
                <c:pt idx="42">
                  <c:v>428.692419455526</c:v>
                </c:pt>
                <c:pt idx="43">
                  <c:v>340.909955879398</c:v>
                </c:pt>
                <c:pt idx="44">
                  <c:v>333.929378426305</c:v>
                </c:pt>
                <c:pt idx="45">
                  <c:v>688.149145206003</c:v>
                </c:pt>
                <c:pt idx="46">
                  <c:v>486.39581415969</c:v>
                </c:pt>
                <c:pt idx="47">
                  <c:v>353.010992370789</c:v>
                </c:pt>
                <c:pt idx="48">
                  <c:v>588.013466188188</c:v>
                </c:pt>
                <c:pt idx="49">
                  <c:v>632.699390327226</c:v>
                </c:pt>
                <c:pt idx="50">
                  <c:v>799.118285462026</c:v>
                </c:pt>
                <c:pt idx="51">
                  <c:v>377.482881356071</c:v>
                </c:pt>
                <c:pt idx="52">
                  <c:v>614.18331531969</c:v>
                </c:pt>
                <c:pt idx="53">
                  <c:v>855.735063986796</c:v>
                </c:pt>
                <c:pt idx="54">
                  <c:v>857.971984470328</c:v>
                </c:pt>
                <c:pt idx="55">
                  <c:v>1034.82120621762</c:v>
                </c:pt>
                <c:pt idx="56">
                  <c:v>715.243452248324</c:v>
                </c:pt>
                <c:pt idx="57">
                  <c:v>611.514174522424</c:v>
                </c:pt>
                <c:pt idx="58">
                  <c:v>682.667260105449</c:v>
                </c:pt>
                <c:pt idx="59">
                  <c:v>761.339883478878</c:v>
                </c:pt>
                <c:pt idx="60">
                  <c:v>712.215392477187</c:v>
                </c:pt>
                <c:pt idx="61">
                  <c:v>1070.55877675485</c:v>
                </c:pt>
                <c:pt idx="62">
                  <c:v>489.260126284217</c:v>
                </c:pt>
                <c:pt idx="63">
                  <c:v>993.413013711632</c:v>
                </c:pt>
                <c:pt idx="64">
                  <c:v>823.068179494514</c:v>
                </c:pt>
                <c:pt idx="65">
                  <c:v>1114.43592455408</c:v>
                </c:pt>
                <c:pt idx="66">
                  <c:v>1135.44042732775</c:v>
                </c:pt>
                <c:pt idx="67">
                  <c:v>1323.78025930996</c:v>
                </c:pt>
                <c:pt idx="68">
                  <c:v>1140.15683402999</c:v>
                </c:pt>
                <c:pt idx="69">
                  <c:v>1286.11018672842</c:v>
                </c:pt>
                <c:pt idx="70">
                  <c:v>1982.03501824525</c:v>
                </c:pt>
                <c:pt idx="71">
                  <c:v>1293.73738225275</c:v>
                </c:pt>
                <c:pt idx="72">
                  <c:v>1396.66657914361</c:v>
                </c:pt>
                <c:pt idx="73">
                  <c:v>1023.05919060218</c:v>
                </c:pt>
                <c:pt idx="74">
                  <c:v>1187.20497343869</c:v>
                </c:pt>
                <c:pt idx="75">
                  <c:v>1679.80472625945</c:v>
                </c:pt>
                <c:pt idx="76">
                  <c:v>1738.64948372032</c:v>
                </c:pt>
                <c:pt idx="77">
                  <c:v>1774.09041361275</c:v>
                </c:pt>
                <c:pt idx="78">
                  <c:v>1593.40527346486</c:v>
                </c:pt>
                <c:pt idx="79">
                  <c:v>1607.83300507884</c:v>
                </c:pt>
                <c:pt idx="80">
                  <c:v>1777.91788255124</c:v>
                </c:pt>
                <c:pt idx="81">
                  <c:v>1547.69433980781</c:v>
                </c:pt>
                <c:pt idx="82">
                  <c:v>2178.64658235966</c:v>
                </c:pt>
                <c:pt idx="83">
                  <c:v>2099.62398155979</c:v>
                </c:pt>
                <c:pt idx="84">
                  <c:v>1768.04298957525</c:v>
                </c:pt>
                <c:pt idx="85">
                  <c:v>2120.32223047355</c:v>
                </c:pt>
                <c:pt idx="86">
                  <c:v>1943.94828093882</c:v>
                </c:pt>
                <c:pt idx="87">
                  <c:v>1669.72278769536</c:v>
                </c:pt>
                <c:pt idx="88">
                  <c:v>1678.68902439204</c:v>
                </c:pt>
                <c:pt idx="89">
                  <c:v>1691.72388596671</c:v>
                </c:pt>
                <c:pt idx="90">
                  <c:v>1602.24346224436</c:v>
                </c:pt>
                <c:pt idx="91">
                  <c:v>1955.07035898474</c:v>
                </c:pt>
                <c:pt idx="92">
                  <c:v>2939.82845672245</c:v>
                </c:pt>
                <c:pt idx="93">
                  <c:v>3492.70202885816</c:v>
                </c:pt>
                <c:pt idx="94">
                  <c:v>3652.5366210815</c:v>
                </c:pt>
                <c:pt idx="95">
                  <c:v>2688.05416515894</c:v>
                </c:pt>
                <c:pt idx="96">
                  <c:v>3322.09723789632</c:v>
                </c:pt>
                <c:pt idx="97">
                  <c:v>3262.15484124527</c:v>
                </c:pt>
                <c:pt idx="98">
                  <c:v>3507.88520003031</c:v>
                </c:pt>
              </c:numCache>
            </c:numRef>
          </c:xVal>
          <c:yVal>
            <c:numRef>
              <c:f>Regression_Excel!$B$53:$B$151</c:f>
              <c:numCache>
                <c:formatCode>#,##0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7">
                  <c:v>114</c:v>
                </c:pt>
                <c:pt idx="28">
                  <c:v>110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0">
                  <c:v>683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5">
                  <c:v>677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3">
                  <c:v>948</c:v>
                </c:pt>
                <c:pt idx="64">
                  <c:v>665</c:v>
                </c:pt>
                <c:pt idx="65">
                  <c:v>1070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0">
                  <c:v>1804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yVal>
          <c:smooth val="1"/>
        </c:ser>
        <c:axId val="87067393"/>
        <c:axId val="21168853"/>
      </c:scatterChart>
      <c:valAx>
        <c:axId val="8706739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Fitted cases (multiple regression)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168853"/>
        <c:crosses val="autoZero"/>
        <c:crossBetween val="midCat"/>
      </c:valAx>
      <c:valAx>
        <c:axId val="211688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Actual 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067393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4. Actual cases and the three fitted models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"Actual"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a6a6a6"/>
            </a:solidFill>
            <a:ln w="47520">
              <a:noFill/>
            </a:ln>
          </c:spPr>
          <c:marker>
            <c:symbol val="circle"/>
            <c:size val="5"/>
            <c:spPr>
              <a:solidFill>
                <a:srgbClr val="a6a6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Regression_Excel!$E$53:$E$151</c:f>
              <c:numCache>
                <c:formatCode>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xVal>
          <c:yVal>
            <c:numRef>
              <c:f>Regression_Excel!$B$53:$B$151</c:f>
              <c:numCache>
                <c:formatCode>#,##0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7">
                  <c:v>114</c:v>
                </c:pt>
                <c:pt idx="28">
                  <c:v>110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0">
                  <c:v>683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5">
                  <c:v>677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3">
                  <c:v>948</c:v>
                </c:pt>
                <c:pt idx="64">
                  <c:v>665</c:v>
                </c:pt>
                <c:pt idx="65">
                  <c:v>1070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0">
                  <c:v>1804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"Simple"</c:f>
              <c:strCache>
                <c:ptCount val="1"/>
                <c:pt idx="0">
                  <c:v>Simple</c:v>
                </c:pt>
              </c:strCache>
            </c:strRef>
          </c:tx>
          <c:spPr>
            <a:solidFill>
              <a:srgbClr val="2e75b6"/>
            </a:solidFill>
            <a:ln w="2412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Regression_Excel!$E$53:$E$151</c:f>
              <c:numCache>
                <c:formatCode>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xVal>
          <c:yVal>
            <c:numRef>
              <c:f>Regression_Excel!$G$53:$G$151</c:f>
              <c:numCache>
                <c:formatCode>#,##0</c:formatCode>
                <c:ptCount val="99"/>
                <c:pt idx="0">
                  <c:v>-628.273333333333</c:v>
                </c:pt>
                <c:pt idx="1">
                  <c:v>-598.138503401361</c:v>
                </c:pt>
                <c:pt idx="2">
                  <c:v>-568.003673469388</c:v>
                </c:pt>
                <c:pt idx="3">
                  <c:v>-537.868843537415</c:v>
                </c:pt>
                <c:pt idx="4">
                  <c:v>-507.734013605442</c:v>
                </c:pt>
                <c:pt idx="5">
                  <c:v>-477.599183673469</c:v>
                </c:pt>
                <c:pt idx="6">
                  <c:v>-447.464353741497</c:v>
                </c:pt>
                <c:pt idx="7">
                  <c:v>-417.329523809524</c:v>
                </c:pt>
                <c:pt idx="8">
                  <c:v>-387.194693877551</c:v>
                </c:pt>
                <c:pt idx="9">
                  <c:v>-357.059863945578</c:v>
                </c:pt>
                <c:pt idx="10">
                  <c:v>-326.925034013605</c:v>
                </c:pt>
                <c:pt idx="11">
                  <c:v>-296.790204081633</c:v>
                </c:pt>
                <c:pt idx="12">
                  <c:v>-266.65537414966</c:v>
                </c:pt>
                <c:pt idx="13">
                  <c:v>-236.520544217687</c:v>
                </c:pt>
                <c:pt idx="14">
                  <c:v>-206.385714285714</c:v>
                </c:pt>
                <c:pt idx="15">
                  <c:v>-176.250884353742</c:v>
                </c:pt>
                <c:pt idx="16">
                  <c:v>-146.116054421769</c:v>
                </c:pt>
                <c:pt idx="17">
                  <c:v>-115.981224489796</c:v>
                </c:pt>
                <c:pt idx="18">
                  <c:v>-85.8463945578232</c:v>
                </c:pt>
                <c:pt idx="19">
                  <c:v>-55.7115646258504</c:v>
                </c:pt>
                <c:pt idx="20">
                  <c:v>-25.5767346938776</c:v>
                </c:pt>
                <c:pt idx="21">
                  <c:v>4.55809523809523</c:v>
                </c:pt>
                <c:pt idx="22">
                  <c:v>34.692925170068</c:v>
                </c:pt>
                <c:pt idx="23">
                  <c:v>64.8277551020408</c:v>
                </c:pt>
                <c:pt idx="24">
                  <c:v>94.9625850340136</c:v>
                </c:pt>
                <c:pt idx="25">
                  <c:v>125.097414965986</c:v>
                </c:pt>
                <c:pt idx="26">
                  <c:v>155.232244897959</c:v>
                </c:pt>
                <c:pt idx="27">
                  <c:v>185.367074829932</c:v>
                </c:pt>
                <c:pt idx="28">
                  <c:v>215.501904761905</c:v>
                </c:pt>
                <c:pt idx="29">
                  <c:v>245.636734693878</c:v>
                </c:pt>
                <c:pt idx="30">
                  <c:v>275.77156462585</c:v>
                </c:pt>
                <c:pt idx="31">
                  <c:v>305.906394557823</c:v>
                </c:pt>
                <c:pt idx="32">
                  <c:v>336.041224489796</c:v>
                </c:pt>
                <c:pt idx="33">
                  <c:v>366.176054421769</c:v>
                </c:pt>
                <c:pt idx="34">
                  <c:v>396.310884353741</c:v>
                </c:pt>
                <c:pt idx="35">
                  <c:v>426.445714285714</c:v>
                </c:pt>
                <c:pt idx="36">
                  <c:v>456.580544217687</c:v>
                </c:pt>
                <c:pt idx="37">
                  <c:v>486.71537414966</c:v>
                </c:pt>
                <c:pt idx="38">
                  <c:v>516.850204081633</c:v>
                </c:pt>
                <c:pt idx="39">
                  <c:v>546.985034013605</c:v>
                </c:pt>
                <c:pt idx="40">
                  <c:v>577.119863945578</c:v>
                </c:pt>
                <c:pt idx="41">
                  <c:v>607.254693877551</c:v>
                </c:pt>
                <c:pt idx="42">
                  <c:v>637.389523809524</c:v>
                </c:pt>
                <c:pt idx="43">
                  <c:v>667.524353741497</c:v>
                </c:pt>
                <c:pt idx="44">
                  <c:v>697.659183673469</c:v>
                </c:pt>
                <c:pt idx="45">
                  <c:v>727.794013605442</c:v>
                </c:pt>
                <c:pt idx="46">
                  <c:v>757.928843537415</c:v>
                </c:pt>
                <c:pt idx="47">
                  <c:v>788.063673469388</c:v>
                </c:pt>
                <c:pt idx="48">
                  <c:v>818.19850340136</c:v>
                </c:pt>
                <c:pt idx="49">
                  <c:v>848.333333333333</c:v>
                </c:pt>
                <c:pt idx="50">
                  <c:v>878.468163265306</c:v>
                </c:pt>
                <c:pt idx="51">
                  <c:v>908.602993197279</c:v>
                </c:pt>
                <c:pt idx="52">
                  <c:v>938.737823129252</c:v>
                </c:pt>
                <c:pt idx="53">
                  <c:v>968.872653061225</c:v>
                </c:pt>
                <c:pt idx="54">
                  <c:v>999.007482993197</c:v>
                </c:pt>
                <c:pt idx="55">
                  <c:v>1029.14231292517</c:v>
                </c:pt>
                <c:pt idx="56">
                  <c:v>1059.27714285714</c:v>
                </c:pt>
                <c:pt idx="57">
                  <c:v>1089.41197278912</c:v>
                </c:pt>
                <c:pt idx="58">
                  <c:v>1119.54680272109</c:v>
                </c:pt>
                <c:pt idx="59">
                  <c:v>1149.68163265306</c:v>
                </c:pt>
                <c:pt idx="60">
                  <c:v>1179.81646258503</c:v>
                </c:pt>
                <c:pt idx="61">
                  <c:v>1209.95129251701</c:v>
                </c:pt>
                <c:pt idx="62">
                  <c:v>1240.08612244898</c:v>
                </c:pt>
                <c:pt idx="63">
                  <c:v>1270.22095238095</c:v>
                </c:pt>
                <c:pt idx="64">
                  <c:v>1300.35578231293</c:v>
                </c:pt>
                <c:pt idx="65">
                  <c:v>1330.4906122449</c:v>
                </c:pt>
                <c:pt idx="66">
                  <c:v>1360.62544217687</c:v>
                </c:pt>
                <c:pt idx="67">
                  <c:v>1390.76027210884</c:v>
                </c:pt>
                <c:pt idx="68">
                  <c:v>1420.89510204082</c:v>
                </c:pt>
                <c:pt idx="69">
                  <c:v>1451.02993197279</c:v>
                </c:pt>
                <c:pt idx="70">
                  <c:v>1481.16476190476</c:v>
                </c:pt>
                <c:pt idx="71">
                  <c:v>1511.29959183673</c:v>
                </c:pt>
                <c:pt idx="72">
                  <c:v>1541.43442176871</c:v>
                </c:pt>
                <c:pt idx="73">
                  <c:v>1571.56925170068</c:v>
                </c:pt>
                <c:pt idx="74">
                  <c:v>1601.70408163265</c:v>
                </c:pt>
                <c:pt idx="75">
                  <c:v>1631.83891156463</c:v>
                </c:pt>
                <c:pt idx="76">
                  <c:v>1661.9737414966</c:v>
                </c:pt>
                <c:pt idx="77">
                  <c:v>1692.10857142857</c:v>
                </c:pt>
                <c:pt idx="78">
                  <c:v>1722.24340136054</c:v>
                </c:pt>
                <c:pt idx="79">
                  <c:v>1752.37823129252</c:v>
                </c:pt>
                <c:pt idx="80">
                  <c:v>1782.51306122449</c:v>
                </c:pt>
                <c:pt idx="81">
                  <c:v>1812.64789115646</c:v>
                </c:pt>
                <c:pt idx="82">
                  <c:v>1842.78272108844</c:v>
                </c:pt>
                <c:pt idx="83">
                  <c:v>1872.91755102041</c:v>
                </c:pt>
                <c:pt idx="84">
                  <c:v>1903.05238095238</c:v>
                </c:pt>
                <c:pt idx="85">
                  <c:v>1933.18721088435</c:v>
                </c:pt>
                <c:pt idx="86">
                  <c:v>1963.32204081633</c:v>
                </c:pt>
                <c:pt idx="87">
                  <c:v>1993.4568707483</c:v>
                </c:pt>
                <c:pt idx="88">
                  <c:v>2023.59170068027</c:v>
                </c:pt>
                <c:pt idx="89">
                  <c:v>2053.72653061225</c:v>
                </c:pt>
                <c:pt idx="90">
                  <c:v>2083.86136054422</c:v>
                </c:pt>
                <c:pt idx="91">
                  <c:v>2113.99619047619</c:v>
                </c:pt>
                <c:pt idx="92">
                  <c:v>2144.13102040816</c:v>
                </c:pt>
                <c:pt idx="93">
                  <c:v>2174.26585034014</c:v>
                </c:pt>
                <c:pt idx="94">
                  <c:v>2204.40068027211</c:v>
                </c:pt>
                <c:pt idx="95">
                  <c:v>2234.53551020408</c:v>
                </c:pt>
                <c:pt idx="96">
                  <c:v>2264.67034013605</c:v>
                </c:pt>
                <c:pt idx="97">
                  <c:v>2294.80517006803</c:v>
                </c:pt>
                <c:pt idx="98">
                  <c:v>2324.94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"Multiple"</c:f>
              <c:strCache>
                <c:ptCount val="1"/>
                <c:pt idx="0">
                  <c:v>Multiple</c:v>
                </c:pt>
              </c:strCache>
            </c:strRef>
          </c:tx>
          <c:spPr>
            <a:solidFill>
              <a:srgbClr val="c55a11"/>
            </a:solidFill>
            <a:ln w="2412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Regression_Excel!$E$53:$E$151</c:f>
              <c:numCache>
                <c:formatCode>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xVal>
          <c:yVal>
            <c:numRef>
              <c:f>Regression_Excel!$H$53:$H$151</c:f>
              <c:numCache>
                <c:formatCode>#,##0</c:formatCode>
                <c:ptCount val="99"/>
                <c:pt idx="0">
                  <c:v>-139.619266420281</c:v>
                </c:pt>
                <c:pt idx="1">
                  <c:v>-132.045899762915</c:v>
                </c:pt>
                <c:pt idx="2">
                  <c:v>-124.472533105548</c:v>
                </c:pt>
                <c:pt idx="3">
                  <c:v>-116.899166448182</c:v>
                </c:pt>
                <c:pt idx="4">
                  <c:v>-109.325799790815</c:v>
                </c:pt>
                <c:pt idx="5">
                  <c:v>-101.752433133449</c:v>
                </c:pt>
                <c:pt idx="6">
                  <c:v>-94.1790664760826</c:v>
                </c:pt>
                <c:pt idx="7">
                  <c:v>-86.6056998187163</c:v>
                </c:pt>
                <c:pt idx="8">
                  <c:v>-79.0323331613499</c:v>
                </c:pt>
                <c:pt idx="9">
                  <c:v>-71.2164007688092</c:v>
                </c:pt>
                <c:pt idx="10">
                  <c:v>-63.8855998466171</c:v>
                </c:pt>
                <c:pt idx="11">
                  <c:v>-56.3122331892507</c:v>
                </c:pt>
                <c:pt idx="12">
                  <c:v>-48.7388665318843</c:v>
                </c:pt>
                <c:pt idx="13">
                  <c:v>-41.165499874518</c:v>
                </c:pt>
                <c:pt idx="14">
                  <c:v>-33.3495674819773</c:v>
                </c:pt>
                <c:pt idx="15">
                  <c:v>-26.0187665597852</c:v>
                </c:pt>
                <c:pt idx="16">
                  <c:v>-18.2028341672445</c:v>
                </c:pt>
                <c:pt idx="17">
                  <c:v>-10.8720332450524</c:v>
                </c:pt>
                <c:pt idx="18">
                  <c:v>28.5674654018704</c:v>
                </c:pt>
                <c:pt idx="19">
                  <c:v>4.51726580485465</c:v>
                </c:pt>
                <c:pt idx="20">
                  <c:v>11.8480667270467</c:v>
                </c:pt>
                <c:pt idx="21">
                  <c:v>83.153697363526</c:v>
                </c:pt>
                <c:pt idx="22">
                  <c:v>27.2373657769538</c:v>
                </c:pt>
                <c:pt idx="23">
                  <c:v>66.4342986887023</c:v>
                </c:pt>
                <c:pt idx="24">
                  <c:v>42.8692305620352</c:v>
                </c:pt>
                <c:pt idx="25">
                  <c:v>81.5810320034351</c:v>
                </c:pt>
                <c:pt idx="26">
                  <c:v>89.1543986608015</c:v>
                </c:pt>
                <c:pt idx="27">
                  <c:v>101.093948551306</c:v>
                </c:pt>
                <c:pt idx="28">
                  <c:v>105.271394916232</c:v>
                </c:pt>
                <c:pt idx="29">
                  <c:v>113.087327308772</c:v>
                </c:pt>
                <c:pt idx="30">
                  <c:v>152.526825955695</c:v>
                </c:pt>
                <c:pt idx="31">
                  <c:v>159.129929672364</c:v>
                </c:pt>
                <c:pt idx="32">
                  <c:v>295.623218699002</c:v>
                </c:pt>
                <c:pt idx="33">
                  <c:v>245.528464756614</c:v>
                </c:pt>
                <c:pt idx="34">
                  <c:v>255.527488765723</c:v>
                </c:pt>
                <c:pt idx="35">
                  <c:v>256.551580573383</c:v>
                </c:pt>
                <c:pt idx="36">
                  <c:v>295.748513485131</c:v>
                </c:pt>
                <c:pt idx="37">
                  <c:v>300.168525585232</c:v>
                </c:pt>
                <c:pt idx="38">
                  <c:v>283.63786377862</c:v>
                </c:pt>
                <c:pt idx="39">
                  <c:v>262.255887268522</c:v>
                </c:pt>
                <c:pt idx="40">
                  <c:v>365.095063477663</c:v>
                </c:pt>
                <c:pt idx="41">
                  <c:v>286.377552784704</c:v>
                </c:pt>
                <c:pt idx="42">
                  <c:v>428.692419455526</c:v>
                </c:pt>
                <c:pt idx="43">
                  <c:v>340.909955879398</c:v>
                </c:pt>
                <c:pt idx="44">
                  <c:v>333.929378426305</c:v>
                </c:pt>
                <c:pt idx="45">
                  <c:v>688.149145206003</c:v>
                </c:pt>
                <c:pt idx="46">
                  <c:v>486.39581415969</c:v>
                </c:pt>
                <c:pt idx="47">
                  <c:v>353.010992370789</c:v>
                </c:pt>
                <c:pt idx="48">
                  <c:v>588.013466188188</c:v>
                </c:pt>
                <c:pt idx="49">
                  <c:v>632.699390327226</c:v>
                </c:pt>
                <c:pt idx="50">
                  <c:v>799.118285462026</c:v>
                </c:pt>
                <c:pt idx="51">
                  <c:v>377.482881356071</c:v>
                </c:pt>
                <c:pt idx="52">
                  <c:v>614.18331531969</c:v>
                </c:pt>
                <c:pt idx="53">
                  <c:v>855.735063986796</c:v>
                </c:pt>
                <c:pt idx="54">
                  <c:v>857.971984470328</c:v>
                </c:pt>
                <c:pt idx="55">
                  <c:v>1034.82120621762</c:v>
                </c:pt>
                <c:pt idx="56">
                  <c:v>715.243452248324</c:v>
                </c:pt>
                <c:pt idx="57">
                  <c:v>611.514174522424</c:v>
                </c:pt>
                <c:pt idx="58">
                  <c:v>682.667260105449</c:v>
                </c:pt>
                <c:pt idx="59">
                  <c:v>761.339883478878</c:v>
                </c:pt>
                <c:pt idx="60">
                  <c:v>712.215392477187</c:v>
                </c:pt>
                <c:pt idx="61">
                  <c:v>1070.55877675485</c:v>
                </c:pt>
                <c:pt idx="62">
                  <c:v>489.260126284217</c:v>
                </c:pt>
                <c:pt idx="63">
                  <c:v>993.413013711632</c:v>
                </c:pt>
                <c:pt idx="64">
                  <c:v>823.068179494514</c:v>
                </c:pt>
                <c:pt idx="65">
                  <c:v>1114.43592455408</c:v>
                </c:pt>
                <c:pt idx="66">
                  <c:v>1135.44042732775</c:v>
                </c:pt>
                <c:pt idx="67">
                  <c:v>1323.78025930996</c:v>
                </c:pt>
                <c:pt idx="68">
                  <c:v>1140.15683402999</c:v>
                </c:pt>
                <c:pt idx="69">
                  <c:v>1286.11018672842</c:v>
                </c:pt>
                <c:pt idx="70">
                  <c:v>1982.03501824525</c:v>
                </c:pt>
                <c:pt idx="71">
                  <c:v>1293.73738225275</c:v>
                </c:pt>
                <c:pt idx="72">
                  <c:v>1396.66657914361</c:v>
                </c:pt>
                <c:pt idx="73">
                  <c:v>1023.05919060218</c:v>
                </c:pt>
                <c:pt idx="74">
                  <c:v>1187.20497343869</c:v>
                </c:pt>
                <c:pt idx="75">
                  <c:v>1679.80472625945</c:v>
                </c:pt>
                <c:pt idx="76">
                  <c:v>1738.64948372032</c:v>
                </c:pt>
                <c:pt idx="77">
                  <c:v>1774.09041361275</c:v>
                </c:pt>
                <c:pt idx="78">
                  <c:v>1593.40527346486</c:v>
                </c:pt>
                <c:pt idx="79">
                  <c:v>1607.83300507884</c:v>
                </c:pt>
                <c:pt idx="80">
                  <c:v>1777.91788255124</c:v>
                </c:pt>
                <c:pt idx="81">
                  <c:v>1547.69433980781</c:v>
                </c:pt>
                <c:pt idx="82">
                  <c:v>2178.64658235966</c:v>
                </c:pt>
                <c:pt idx="83">
                  <c:v>2099.62398155979</c:v>
                </c:pt>
                <c:pt idx="84">
                  <c:v>1768.04298957525</c:v>
                </c:pt>
                <c:pt idx="85">
                  <c:v>2120.32223047355</c:v>
                </c:pt>
                <c:pt idx="86">
                  <c:v>1943.94828093882</c:v>
                </c:pt>
                <c:pt idx="87">
                  <c:v>1669.72278769536</c:v>
                </c:pt>
                <c:pt idx="88">
                  <c:v>1678.68902439204</c:v>
                </c:pt>
                <c:pt idx="89">
                  <c:v>1691.72388596671</c:v>
                </c:pt>
                <c:pt idx="90">
                  <c:v>1602.24346224436</c:v>
                </c:pt>
                <c:pt idx="91">
                  <c:v>1955.07035898474</c:v>
                </c:pt>
                <c:pt idx="92">
                  <c:v>2939.82845672245</c:v>
                </c:pt>
                <c:pt idx="93">
                  <c:v>3492.70202885816</c:v>
                </c:pt>
                <c:pt idx="94">
                  <c:v>3652.5366210815</c:v>
                </c:pt>
                <c:pt idx="95">
                  <c:v>2688.05416515894</c:v>
                </c:pt>
                <c:pt idx="96">
                  <c:v>3322.09723789632</c:v>
                </c:pt>
                <c:pt idx="97">
                  <c:v>3262.15484124527</c:v>
                </c:pt>
                <c:pt idx="98">
                  <c:v>3507.88520003031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"Polynomial"</c:f>
              <c:strCache>
                <c:ptCount val="1"/>
                <c:pt idx="0">
                  <c:v>Polynomial</c:v>
                </c:pt>
              </c:strCache>
            </c:strRef>
          </c:tx>
          <c:spPr>
            <a:solidFill>
              <a:srgbClr val="548235"/>
            </a:solidFill>
            <a:ln w="24120">
              <a:solidFill>
                <a:srgbClr val="54823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Regression_Excel!$E$53:$E$151</c:f>
              <c:numCache>
                <c:formatCode>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xVal>
          <c:yVal>
            <c:numRef>
              <c:f>Regression_Excel!$I$53:$I$151</c:f>
              <c:numCache>
                <c:formatCode>#,##0</c:formatCode>
                <c:ptCount val="99"/>
                <c:pt idx="0">
                  <c:v>177.471851185118</c:v>
                </c:pt>
                <c:pt idx="1">
                  <c:v>158.275343289431</c:v>
                </c:pt>
                <c:pt idx="2">
                  <c:v>140.095976379881</c:v>
                </c:pt>
                <c:pt idx="3">
                  <c:v>122.933750456468</c:v>
                </c:pt>
                <c:pt idx="4">
                  <c:v>106.788665519192</c:v>
                </c:pt>
                <c:pt idx="5">
                  <c:v>91.6607215680541</c:v>
                </c:pt>
                <c:pt idx="6">
                  <c:v>77.5499186030532</c:v>
                </c:pt>
                <c:pt idx="7">
                  <c:v>64.4562566241897</c:v>
                </c:pt>
                <c:pt idx="8">
                  <c:v>52.3797356314634</c:v>
                </c:pt>
                <c:pt idx="9">
                  <c:v>41.3203556248745</c:v>
                </c:pt>
                <c:pt idx="10">
                  <c:v>31.278116604423</c:v>
                </c:pt>
                <c:pt idx="11">
                  <c:v>22.2530185701087</c:v>
                </c:pt>
                <c:pt idx="12">
                  <c:v>14.2450615219318</c:v>
                </c:pt>
                <c:pt idx="13">
                  <c:v>7.25424545989218</c:v>
                </c:pt>
                <c:pt idx="14">
                  <c:v>1.28057038398985</c:v>
                </c:pt>
                <c:pt idx="15">
                  <c:v>-3.67596370577508</c:v>
                </c:pt>
                <c:pt idx="16">
                  <c:v>-7.61535680940267</c:v>
                </c:pt>
                <c:pt idx="17">
                  <c:v>-10.537608926893</c:v>
                </c:pt>
                <c:pt idx="18">
                  <c:v>-12.442720058246</c:v>
                </c:pt>
                <c:pt idx="19">
                  <c:v>-13.3306902034616</c:v>
                </c:pt>
                <c:pt idx="20">
                  <c:v>-13.20151936254</c:v>
                </c:pt>
                <c:pt idx="21">
                  <c:v>-12.0552075354809</c:v>
                </c:pt>
                <c:pt idx="22">
                  <c:v>-9.89175472228465</c:v>
                </c:pt>
                <c:pt idx="23">
                  <c:v>-6.71116092295097</c:v>
                </c:pt>
                <c:pt idx="24">
                  <c:v>-2.51342613748</c:v>
                </c:pt>
                <c:pt idx="25">
                  <c:v>2.70144963412832</c:v>
                </c:pt>
                <c:pt idx="26">
                  <c:v>8.93346639187394</c:v>
                </c:pt>
                <c:pt idx="27">
                  <c:v>16.182624135757</c:v>
                </c:pt>
                <c:pt idx="28">
                  <c:v>24.4489228657773</c:v>
                </c:pt>
                <c:pt idx="29">
                  <c:v>33.7323625819348</c:v>
                </c:pt>
                <c:pt idx="30">
                  <c:v>44.0329432842297</c:v>
                </c:pt>
                <c:pt idx="31">
                  <c:v>55.350664972662</c:v>
                </c:pt>
                <c:pt idx="32">
                  <c:v>67.6855276472317</c:v>
                </c:pt>
                <c:pt idx="33">
                  <c:v>81.0375313079386</c:v>
                </c:pt>
                <c:pt idx="34">
                  <c:v>95.4066759547827</c:v>
                </c:pt>
                <c:pt idx="35">
                  <c:v>110.792961587764</c:v>
                </c:pt>
                <c:pt idx="36">
                  <c:v>127.196388206883</c:v>
                </c:pt>
                <c:pt idx="37">
                  <c:v>144.616955812139</c:v>
                </c:pt>
                <c:pt idx="38">
                  <c:v>163.054664403533</c:v>
                </c:pt>
                <c:pt idx="39">
                  <c:v>182.509513981064</c:v>
                </c:pt>
                <c:pt idx="40">
                  <c:v>202.981504544732</c:v>
                </c:pt>
                <c:pt idx="41">
                  <c:v>224.470636094538</c:v>
                </c:pt>
                <c:pt idx="42">
                  <c:v>246.97690863048</c:v>
                </c:pt>
                <c:pt idx="43">
                  <c:v>270.500322152561</c:v>
                </c:pt>
                <c:pt idx="44">
                  <c:v>295.040876660778</c:v>
                </c:pt>
                <c:pt idx="45">
                  <c:v>320.598572155133</c:v>
                </c:pt>
                <c:pt idx="46">
                  <c:v>347.173408635625</c:v>
                </c:pt>
                <c:pt idx="47">
                  <c:v>374.765386102255</c:v>
                </c:pt>
                <c:pt idx="48">
                  <c:v>403.374504555021</c:v>
                </c:pt>
                <c:pt idx="49">
                  <c:v>433.000763993926</c:v>
                </c:pt>
                <c:pt idx="50">
                  <c:v>463.644164418967</c:v>
                </c:pt>
                <c:pt idx="51">
                  <c:v>495.304705830146</c:v>
                </c:pt>
                <c:pt idx="52">
                  <c:v>527.982388227462</c:v>
                </c:pt>
                <c:pt idx="53">
                  <c:v>561.677211610915</c:v>
                </c:pt>
                <c:pt idx="54">
                  <c:v>596.389175980506</c:v>
                </c:pt>
                <c:pt idx="55">
                  <c:v>632.118281336234</c:v>
                </c:pt>
                <c:pt idx="56">
                  <c:v>668.8645276781</c:v>
                </c:pt>
                <c:pt idx="57">
                  <c:v>706.627915006102</c:v>
                </c:pt>
                <c:pt idx="58">
                  <c:v>745.408443320242</c:v>
                </c:pt>
                <c:pt idx="59">
                  <c:v>785.20611262052</c:v>
                </c:pt>
                <c:pt idx="60">
                  <c:v>826.020922906934</c:v>
                </c:pt>
                <c:pt idx="61">
                  <c:v>867.852874179486</c:v>
                </c:pt>
                <c:pt idx="62">
                  <c:v>910.701966438176</c:v>
                </c:pt>
                <c:pt idx="63">
                  <c:v>954.568199683003</c:v>
                </c:pt>
                <c:pt idx="64">
                  <c:v>999.451573913967</c:v>
                </c:pt>
                <c:pt idx="65">
                  <c:v>1045.35208913107</c:v>
                </c:pt>
                <c:pt idx="66">
                  <c:v>1092.26974533431</c:v>
                </c:pt>
                <c:pt idx="67">
                  <c:v>1140.20454252368</c:v>
                </c:pt>
                <c:pt idx="68">
                  <c:v>1189.1564806992</c:v>
                </c:pt>
                <c:pt idx="69">
                  <c:v>1239.12555986085</c:v>
                </c:pt>
                <c:pt idx="70">
                  <c:v>1290.11178000863</c:v>
                </c:pt>
                <c:pt idx="71">
                  <c:v>1342.11514114256</c:v>
                </c:pt>
                <c:pt idx="72">
                  <c:v>1395.13564326262</c:v>
                </c:pt>
                <c:pt idx="73">
                  <c:v>1449.17328636882</c:v>
                </c:pt>
                <c:pt idx="74">
                  <c:v>1504.22807046116</c:v>
                </c:pt>
                <c:pt idx="75">
                  <c:v>1560.29999553963</c:v>
                </c:pt>
                <c:pt idx="76">
                  <c:v>1617.38906160425</c:v>
                </c:pt>
                <c:pt idx="77">
                  <c:v>1675.495268655</c:v>
                </c:pt>
                <c:pt idx="78">
                  <c:v>1734.61861669188</c:v>
                </c:pt>
                <c:pt idx="79">
                  <c:v>1794.75910571491</c:v>
                </c:pt>
                <c:pt idx="80">
                  <c:v>1855.91673572407</c:v>
                </c:pt>
                <c:pt idx="81">
                  <c:v>1918.09150671937</c:v>
                </c:pt>
                <c:pt idx="82">
                  <c:v>1981.2834187008</c:v>
                </c:pt>
                <c:pt idx="83">
                  <c:v>2045.49247166838</c:v>
                </c:pt>
                <c:pt idx="84">
                  <c:v>2110.71866562209</c:v>
                </c:pt>
                <c:pt idx="85">
                  <c:v>2176.96200056193</c:v>
                </c:pt>
                <c:pt idx="86">
                  <c:v>2244.22247648792</c:v>
                </c:pt>
                <c:pt idx="87">
                  <c:v>2312.50009340004</c:v>
                </c:pt>
                <c:pt idx="88">
                  <c:v>2381.7948512983</c:v>
                </c:pt>
                <c:pt idx="89">
                  <c:v>2452.1067501827</c:v>
                </c:pt>
                <c:pt idx="90">
                  <c:v>2523.43579005323</c:v>
                </c:pt>
                <c:pt idx="91">
                  <c:v>2595.7819709099</c:v>
                </c:pt>
                <c:pt idx="92">
                  <c:v>2669.14529275271</c:v>
                </c:pt>
                <c:pt idx="93">
                  <c:v>2743.52575558166</c:v>
                </c:pt>
                <c:pt idx="94">
                  <c:v>2818.92335939674</c:v>
                </c:pt>
                <c:pt idx="95">
                  <c:v>2895.33810419796</c:v>
                </c:pt>
                <c:pt idx="96">
                  <c:v>2972.76998998532</c:v>
                </c:pt>
                <c:pt idx="97">
                  <c:v>3051.21901675882</c:v>
                </c:pt>
                <c:pt idx="98">
                  <c:v>3130.68518451845</c:v>
                </c:pt>
              </c:numCache>
            </c:numRef>
          </c:yVal>
          <c:smooth val="1"/>
        </c:ser>
        <c:axId val="94873038"/>
        <c:axId val="16905368"/>
      </c:scatterChart>
      <c:valAx>
        <c:axId val="9487303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Day_Num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05368"/>
        <c:crosses val="autoZero"/>
        <c:crossBetween val="midCat"/>
      </c:valAx>
      <c:valAx>
        <c:axId val="169053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7303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Test period: actual vs forecasts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TS_Eval!D5</c:f>
              <c:strCache>
                <c:ptCount val="1"/>
                <c:pt idx="0">
                  <c:v>Naive</c:v>
                </c:pt>
              </c:strCache>
            </c:strRef>
          </c:tx>
          <c:spPr>
            <a:solidFill>
              <a:srgbClr val="a6a6a6"/>
            </a:solidFill>
            <a:ln w="219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TS_Eval!$D$6:$D$19</c:f>
              <c:numCache>
                <c:formatCode>#,##0</c:formatCode>
                <c:ptCount val="14"/>
                <c:pt idx="0">
                  <c:v>2115</c:v>
                </c:pt>
                <c:pt idx="1">
                  <c:v>2115</c:v>
                </c:pt>
                <c:pt idx="2">
                  <c:v>2115</c:v>
                </c:pt>
                <c:pt idx="3">
                  <c:v>2115</c:v>
                </c:pt>
                <c:pt idx="4">
                  <c:v>2115</c:v>
                </c:pt>
                <c:pt idx="5">
                  <c:v>2115</c:v>
                </c:pt>
                <c:pt idx="6">
                  <c:v>2115</c:v>
                </c:pt>
                <c:pt idx="7">
                  <c:v>2115</c:v>
                </c:pt>
                <c:pt idx="8">
                  <c:v>2115</c:v>
                </c:pt>
                <c:pt idx="9">
                  <c:v>2115</c:v>
                </c:pt>
                <c:pt idx="10">
                  <c:v>2115</c:v>
                </c:pt>
                <c:pt idx="11">
                  <c:v>2115</c:v>
                </c:pt>
                <c:pt idx="12">
                  <c:v>2115</c:v>
                </c:pt>
                <c:pt idx="13">
                  <c:v>2115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TS_Eval!G5</c:f>
              <c:strCache>
                <c:ptCount val="1"/>
                <c:pt idx="0">
                  <c:v>SES</c:v>
                </c:pt>
              </c:strCache>
            </c:strRef>
          </c:tx>
          <c:spPr>
            <a:solidFill>
              <a:srgbClr val="2e75b6"/>
            </a:solidFill>
            <a:ln w="219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TS_Eval!$G$6:$G$19</c:f>
              <c:numCache>
                <c:formatCode>#,##0</c:formatCode>
                <c:ptCount val="14"/>
                <c:pt idx="0">
                  <c:v>1886.41633692746</c:v>
                </c:pt>
                <c:pt idx="1">
                  <c:v>1886.41633692746</c:v>
                </c:pt>
                <c:pt idx="2">
                  <c:v>1886.41633692746</c:v>
                </c:pt>
                <c:pt idx="3">
                  <c:v>1886.41633692746</c:v>
                </c:pt>
                <c:pt idx="4">
                  <c:v>1886.41633692746</c:v>
                </c:pt>
                <c:pt idx="5">
                  <c:v>1886.41633692746</c:v>
                </c:pt>
                <c:pt idx="6">
                  <c:v>1886.41633692746</c:v>
                </c:pt>
                <c:pt idx="7">
                  <c:v>1886.41633692746</c:v>
                </c:pt>
                <c:pt idx="8">
                  <c:v>1886.41633692746</c:v>
                </c:pt>
                <c:pt idx="9">
                  <c:v>1886.41633692746</c:v>
                </c:pt>
                <c:pt idx="10">
                  <c:v>1886.41633692746</c:v>
                </c:pt>
                <c:pt idx="11">
                  <c:v>1886.41633692746</c:v>
                </c:pt>
                <c:pt idx="12">
                  <c:v>1886.41633692746</c:v>
                </c:pt>
                <c:pt idx="13">
                  <c:v>1886.41633692746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TS_Eval!H5</c:f>
              <c:strCache>
                <c:ptCount val="1"/>
                <c:pt idx="0">
                  <c:v>Holt linear</c:v>
                </c:pt>
              </c:strCache>
            </c:strRef>
          </c:tx>
          <c:spPr>
            <a:solidFill>
              <a:srgbClr val="ed7d31"/>
            </a:solidFill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TS_Eval!$H$6:$H$19</c:f>
              <c:numCache>
                <c:formatCode>#,##0</c:formatCode>
                <c:ptCount val="14"/>
                <c:pt idx="0">
                  <c:v>2071.76366052299</c:v>
                </c:pt>
                <c:pt idx="1">
                  <c:v>2121.77085008672</c:v>
                </c:pt>
                <c:pt idx="2">
                  <c:v>2171.77803965045</c:v>
                </c:pt>
                <c:pt idx="3">
                  <c:v>2221.78522921417</c:v>
                </c:pt>
                <c:pt idx="4">
                  <c:v>2271.7924187779</c:v>
                </c:pt>
                <c:pt idx="5">
                  <c:v>2321.79960834163</c:v>
                </c:pt>
                <c:pt idx="6">
                  <c:v>2371.80679790535</c:v>
                </c:pt>
                <c:pt idx="7">
                  <c:v>2421.81398746908</c:v>
                </c:pt>
                <c:pt idx="8">
                  <c:v>2471.8211770328</c:v>
                </c:pt>
                <c:pt idx="9">
                  <c:v>2521.82836659653</c:v>
                </c:pt>
                <c:pt idx="10">
                  <c:v>2571.83555616026</c:v>
                </c:pt>
                <c:pt idx="11">
                  <c:v>2621.84274572398</c:v>
                </c:pt>
                <c:pt idx="12">
                  <c:v>2671.84993528771</c:v>
                </c:pt>
                <c:pt idx="13">
                  <c:v>2721.85712485143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TS_Eval!I5</c:f>
              <c:strCache>
                <c:ptCount val="1"/>
                <c:pt idx="0">
                  <c:v>Holt-Winters (add)</c:v>
                </c:pt>
              </c:strCache>
            </c:strRef>
          </c:tx>
          <c:spPr>
            <a:solidFill>
              <a:srgbClr val="548235"/>
            </a:solidFill>
            <a:ln w="21960">
              <a:solidFill>
                <a:srgbClr val="54823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TS_Eval!$I$6:$I$19</c:f>
              <c:numCache>
                <c:formatCode>#,##0</c:formatCode>
                <c:ptCount val="14"/>
                <c:pt idx="0">
                  <c:v>2068.87437759367</c:v>
                </c:pt>
                <c:pt idx="1">
                  <c:v>2120.77921962929</c:v>
                </c:pt>
                <c:pt idx="2">
                  <c:v>2178.61837220575</c:v>
                </c:pt>
                <c:pt idx="3">
                  <c:v>2221.48032515861</c:v>
                </c:pt>
                <c:pt idx="4">
                  <c:v>2265.53061673014</c:v>
                </c:pt>
                <c:pt idx="5">
                  <c:v>2326.44989426691</c:v>
                </c:pt>
                <c:pt idx="6">
                  <c:v>2380.43291314183</c:v>
                </c:pt>
                <c:pt idx="7">
                  <c:v>2420.56662640232</c:v>
                </c:pt>
                <c:pt idx="8">
                  <c:v>2472.47146843794</c:v>
                </c:pt>
                <c:pt idx="9">
                  <c:v>2530.3106210144</c:v>
                </c:pt>
                <c:pt idx="10">
                  <c:v>2573.17257396727</c:v>
                </c:pt>
                <c:pt idx="11">
                  <c:v>2617.22286553879</c:v>
                </c:pt>
                <c:pt idx="12">
                  <c:v>2678.14214307556</c:v>
                </c:pt>
                <c:pt idx="13">
                  <c:v>2732.12516195048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TS_Eval!K5</c:f>
              <c:strCache>
                <c:ptCount val="1"/>
                <c:pt idx="0">
                  <c:v>ARIMA(1,1,0)</c:v>
                </c:pt>
              </c:strCache>
            </c:strRef>
          </c:tx>
          <c:spPr>
            <a:solidFill>
              <a:srgbClr val="c00000"/>
            </a:solidFill>
            <a:ln w="2196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TS_Eval!$K$6:$K$19</c:f>
              <c:numCache>
                <c:formatCode>#,##0</c:formatCode>
                <c:ptCount val="14"/>
                <c:pt idx="0">
                  <c:v>2039.66724235139</c:v>
                </c:pt>
                <c:pt idx="1">
                  <c:v>2110.31683396333</c:v>
                </c:pt>
                <c:pt idx="2">
                  <c:v>2113.5979795944</c:v>
                </c:pt>
                <c:pt idx="3">
                  <c:v>2147.96855169975</c:v>
                </c:pt>
                <c:pt idx="4">
                  <c:v>2167.99186635501</c:v>
                </c:pt>
                <c:pt idx="5">
                  <c:v>2194.63620364346</c:v>
                </c:pt>
                <c:pt idx="6">
                  <c:v>2218.22504821063</c:v>
                </c:pt>
                <c:pt idx="7">
                  <c:v>2243.22395226362</c:v>
                </c:pt>
                <c:pt idx="8">
                  <c:v>2267.572137125</c:v>
                </c:pt>
                <c:pt idx="9">
                  <c:v>2292.2206181587</c:v>
                </c:pt>
                <c:pt idx="10">
                  <c:v>2316.73051746272</c:v>
                </c:pt>
                <c:pt idx="11">
                  <c:v>2341.30436994887</c:v>
                </c:pt>
                <c:pt idx="12">
                  <c:v>2365.84870909647</c:v>
                </c:pt>
                <c:pt idx="13">
                  <c:v>2390.40666816294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TS_Eval!L5</c:f>
              <c:strCache>
                <c:ptCount val="1"/>
                <c:pt idx="0">
                  <c:v>Excel ETS</c:v>
                </c:pt>
              </c:strCache>
            </c:strRef>
          </c:tx>
          <c:spPr>
            <a:solidFill>
              <a:srgbClr val="7030a0"/>
            </a:solidFill>
            <a:ln w="219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TS_Eval!$L$6:$L$19</c:f>
              <c:numCache>
                <c:formatCode>#,##0</c:formatCode>
                <c:ptCount val="14"/>
                <c:pt idx="0">
                  <c:v>2029.09480530391</c:v>
                </c:pt>
                <c:pt idx="1">
                  <c:v>2063.81841328288</c:v>
                </c:pt>
                <c:pt idx="2">
                  <c:v>2100.54202126184</c:v>
                </c:pt>
                <c:pt idx="3">
                  <c:v>2133.26562924081</c:v>
                </c:pt>
                <c:pt idx="4">
                  <c:v>2168.98923721977</c:v>
                </c:pt>
                <c:pt idx="5">
                  <c:v>2202.71284519873</c:v>
                </c:pt>
                <c:pt idx="6">
                  <c:v>2237.4364531777</c:v>
                </c:pt>
                <c:pt idx="7">
                  <c:v>2273.16006115666</c:v>
                </c:pt>
                <c:pt idx="8">
                  <c:v>2307.88366913562</c:v>
                </c:pt>
                <c:pt idx="9">
                  <c:v>2344.60727711459</c:v>
                </c:pt>
                <c:pt idx="10">
                  <c:v>2377.33088509355</c:v>
                </c:pt>
                <c:pt idx="11">
                  <c:v>2413.05449307251</c:v>
                </c:pt>
                <c:pt idx="12">
                  <c:v>2446.77810105148</c:v>
                </c:pt>
                <c:pt idx="13">
                  <c:v>2481.50170903044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TS_Eval!C5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000000"/>
            </a:solidFill>
            <a:ln w="3816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TS_Eval!$B$6:$B$19</c:f>
              <c:strCache>
                <c:ptCount val="14"/>
                <c:pt idx="0">
                  <c:v>21-May-20</c:v>
                </c:pt>
                <c:pt idx="1">
                  <c:v>22-May-20</c:v>
                </c:pt>
                <c:pt idx="2">
                  <c:v>23-May-20</c:v>
                </c:pt>
                <c:pt idx="3">
                  <c:v>24-May-20</c:v>
                </c:pt>
                <c:pt idx="4">
                  <c:v>25-May-20</c:v>
                </c:pt>
                <c:pt idx="5">
                  <c:v>26-May-20</c:v>
                </c:pt>
                <c:pt idx="6">
                  <c:v>27-May-20</c:v>
                </c:pt>
                <c:pt idx="7">
                  <c:v>28-May-20</c:v>
                </c:pt>
                <c:pt idx="8">
                  <c:v>29-May-20</c:v>
                </c:pt>
                <c:pt idx="9">
                  <c:v>30-May-20</c:v>
                </c:pt>
                <c:pt idx="10">
                  <c:v>31-May-20</c:v>
                </c:pt>
                <c:pt idx="11">
                  <c:v>01-Jun-20</c:v>
                </c:pt>
                <c:pt idx="12">
                  <c:v>02-Jun-20</c:v>
                </c:pt>
                <c:pt idx="13">
                  <c:v>03-Jun-20</c:v>
                </c:pt>
              </c:strCache>
            </c:strRef>
          </c:cat>
          <c:val>
            <c:numRef>
              <c:f>TS_Eval!$C$6:$C$19</c:f>
              <c:numCache>
                <c:formatCode>#,##0</c:formatCode>
                <c:ptCount val="14"/>
                <c:pt idx="0">
                  <c:v>2539</c:v>
                </c:pt>
                <c:pt idx="1">
                  <c:v>1728</c:v>
                </c:pt>
                <c:pt idx="2">
                  <c:v>2060</c:v>
                </c:pt>
                <c:pt idx="3">
                  <c:v>1744</c:v>
                </c:pt>
                <c:pt idx="4">
                  <c:v>1356</c:v>
                </c:pt>
                <c:pt idx="5">
                  <c:v>1440</c:v>
                </c:pt>
                <c:pt idx="6">
                  <c:v>2173</c:v>
                </c:pt>
                <c:pt idx="7">
                  <c:v>2562</c:v>
                </c:pt>
                <c:pt idx="8">
                  <c:v>2426</c:v>
                </c:pt>
                <c:pt idx="9">
                  <c:v>2956</c:v>
                </c:pt>
                <c:pt idx="10">
                  <c:v>2883</c:v>
                </c:pt>
                <c:pt idx="11">
                  <c:v>3872</c:v>
                </c:pt>
                <c:pt idx="12">
                  <c:v>4242</c:v>
                </c:pt>
                <c:pt idx="13">
                  <c:v>4677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4322994"/>
        <c:axId val="15309131"/>
      </c:lineChart>
      <c:catAx>
        <c:axId val="44322994"/>
        <c:scaling>
          <c:orientation val="minMax"/>
        </c:scaling>
        <c:delete val="0"/>
        <c:axPos val="b"/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309131"/>
        <c:crosses val="autoZero"/>
        <c:auto val="1"/>
        <c:lblAlgn val="ctr"/>
        <c:lblOffset val="100"/>
        <c:noMultiLvlLbl val="0"/>
      </c:catAx>
      <c:valAx>
        <c:axId val="153091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32299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RMSE by model (lower is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TS_Eval!D23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rgbClr val="1f3a5f"/>
            </a:solidFill>
            <a:ln w="0">
              <a:solidFill>
                <a:srgbClr val="1f3a5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TS_Eval!$A$24:$A$32</c:f>
              <c:strCache>
                <c:ptCount val="9"/>
                <c:pt idx="0">
                  <c:v>Naive</c:v>
                </c:pt>
                <c:pt idx="1">
                  <c:v>Seasonal naive</c:v>
                </c:pt>
                <c:pt idx="2">
                  <c:v>Moving average (7)</c:v>
                </c:pt>
                <c:pt idx="3">
                  <c:v>SES</c:v>
                </c:pt>
                <c:pt idx="4">
                  <c:v>Holt linear</c:v>
                </c:pt>
                <c:pt idx="5">
                  <c:v>Holt-Winters (add)</c:v>
                </c:pt>
                <c:pt idx="6">
                  <c:v>AR(1)</c:v>
                </c:pt>
                <c:pt idx="7">
                  <c:v>ARIMA(1,1,0)</c:v>
                </c:pt>
                <c:pt idx="8">
                  <c:v>Excel ETS</c:v>
                </c:pt>
              </c:strCache>
            </c:strRef>
          </c:cat>
          <c:val>
            <c:numRef>
              <c:f>TS_Eval!$D$24:$D$32</c:f>
              <c:numCache>
                <c:formatCode>#,##0</c:formatCode>
                <c:ptCount val="9"/>
                <c:pt idx="0">
                  <c:v>1110.78923036088</c:v>
                </c:pt>
                <c:pt idx="1">
                  <c:v>1310.45630002901</c:v>
                </c:pt>
                <c:pt idx="2">
                  <c:v>1333.07769573163</c:v>
                </c:pt>
                <c:pt idx="3">
                  <c:v>1231.36278131768</c:v>
                </c:pt>
                <c:pt idx="4">
                  <c:v>863.044314632826</c:v>
                </c:pt>
                <c:pt idx="5">
                  <c:v>860.873386823853</c:v>
                </c:pt>
                <c:pt idx="6">
                  <c:v>1708.14699495295</c:v>
                </c:pt>
                <c:pt idx="7">
                  <c:v>991.819330783009</c:v>
                </c:pt>
                <c:pt idx="8">
                  <c:v>951.360748687015</c:v>
                </c:pt>
              </c:numCache>
            </c:numRef>
          </c:val>
        </c:ser>
        <c:gapWidth val="150"/>
        <c:overlap val="0"/>
        <c:axId val="63112115"/>
        <c:axId val="10456502"/>
      </c:barChart>
      <c:catAx>
        <c:axId val="631121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456502"/>
        <c:crosses val="autoZero"/>
        <c:auto val="1"/>
        <c:lblAlgn val="ctr"/>
        <c:lblOffset val="100"/>
        <c:noMultiLvlLbl val="0"/>
      </c:catAx>
      <c:valAx>
        <c:axId val="104565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RMSE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1121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Pakistan daily cases: 14-day forecast with 95% interval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TS_Forecast!B33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000000"/>
            </a:solidFill>
            <a:ln w="28080">
              <a:solidFill>
                <a:srgbClr val="0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TS_Forecast!$A$34:$A$77</c:f>
              <c:strCache>
                <c:ptCount val="44"/>
                <c:pt idx="0">
                  <c:v>05-May-20</c:v>
                </c:pt>
                <c:pt idx="1">
                  <c:v>06-May-20</c:v>
                </c:pt>
                <c:pt idx="2">
                  <c:v>07-May-20</c:v>
                </c:pt>
                <c:pt idx="3">
                  <c:v>08-May-20</c:v>
                </c:pt>
                <c:pt idx="4">
                  <c:v>09-May-20</c:v>
                </c:pt>
                <c:pt idx="5">
                  <c:v>10-May-20</c:v>
                </c:pt>
                <c:pt idx="6">
                  <c:v>11-May-20</c:v>
                </c:pt>
                <c:pt idx="7">
                  <c:v>12-May-20</c:v>
                </c:pt>
                <c:pt idx="8">
                  <c:v>13-May-20</c:v>
                </c:pt>
                <c:pt idx="9">
                  <c:v>14-May-20</c:v>
                </c:pt>
                <c:pt idx="10">
                  <c:v>15-May-20</c:v>
                </c:pt>
                <c:pt idx="11">
                  <c:v>16-May-20</c:v>
                </c:pt>
                <c:pt idx="12">
                  <c:v>17-May-20</c:v>
                </c:pt>
                <c:pt idx="13">
                  <c:v>18-May-20</c:v>
                </c:pt>
                <c:pt idx="14">
                  <c:v>19-May-20</c:v>
                </c:pt>
                <c:pt idx="15">
                  <c:v>20-May-20</c:v>
                </c:pt>
                <c:pt idx="16">
                  <c:v>21-May-20</c:v>
                </c:pt>
                <c:pt idx="17">
                  <c:v>22-May-20</c:v>
                </c:pt>
                <c:pt idx="18">
                  <c:v>23-May-20</c:v>
                </c:pt>
                <c:pt idx="19">
                  <c:v>24-May-20</c:v>
                </c:pt>
                <c:pt idx="20">
                  <c:v>25-May-20</c:v>
                </c:pt>
                <c:pt idx="21">
                  <c:v>26-May-20</c:v>
                </c:pt>
                <c:pt idx="22">
                  <c:v>27-May-20</c:v>
                </c:pt>
                <c:pt idx="23">
                  <c:v>28-May-20</c:v>
                </c:pt>
                <c:pt idx="24">
                  <c:v>29-May-20</c:v>
                </c:pt>
                <c:pt idx="25">
                  <c:v>30-May-20</c:v>
                </c:pt>
                <c:pt idx="26">
                  <c:v>31-May-20</c:v>
                </c:pt>
                <c:pt idx="27">
                  <c:v>01-Jun-20</c:v>
                </c:pt>
                <c:pt idx="28">
                  <c:v>02-Jun-20</c:v>
                </c:pt>
                <c:pt idx="29">
                  <c:v>03-Jun-20</c:v>
                </c:pt>
                <c:pt idx="30">
                  <c:v>04-Jun-20</c:v>
                </c:pt>
                <c:pt idx="31">
                  <c:v>05-Jun-20</c:v>
                </c:pt>
                <c:pt idx="32">
                  <c:v>06-Jun-20</c:v>
                </c:pt>
                <c:pt idx="33">
                  <c:v>07-Jun-20</c:v>
                </c:pt>
                <c:pt idx="34">
                  <c:v>08-Jun-20</c:v>
                </c:pt>
                <c:pt idx="35">
                  <c:v>09-Jun-20</c:v>
                </c:pt>
                <c:pt idx="36">
                  <c:v>10-Jun-20</c:v>
                </c:pt>
                <c:pt idx="37">
                  <c:v>11-Jun-20</c:v>
                </c:pt>
                <c:pt idx="38">
                  <c:v>12-Jun-20</c:v>
                </c:pt>
                <c:pt idx="39">
                  <c:v>13-Jun-20</c:v>
                </c:pt>
                <c:pt idx="40">
                  <c:v>14-Jun-20</c:v>
                </c:pt>
                <c:pt idx="41">
                  <c:v>15-Jun-20</c:v>
                </c:pt>
                <c:pt idx="42">
                  <c:v>16-Jun-20</c:v>
                </c:pt>
                <c:pt idx="43">
                  <c:v>17-Jun-20</c:v>
                </c:pt>
              </c:strCache>
            </c:strRef>
          </c:cat>
          <c:val>
            <c:numRef>
              <c:f>TS_Forecast!$B$34:$B$77</c:f>
              <c:numCache>
                <c:formatCode>#,##0</c:formatCode>
                <c:ptCount val="44"/>
                <c:pt idx="0">
                  <c:v>1023</c:v>
                </c:pt>
                <c:pt idx="1">
                  <c:v>1804</c:v>
                </c:pt>
                <c:pt idx="2">
                  <c:v>863</c:v>
                </c:pt>
                <c:pt idx="3">
                  <c:v>1829</c:v>
                </c:pt>
                <c:pt idx="4">
                  <c:v>2554</c:v>
                </c:pt>
                <c:pt idx="5">
                  <c:v>1463</c:v>
                </c:pt>
                <c:pt idx="6">
                  <c:v>1079</c:v>
                </c:pt>
                <c:pt idx="7">
                  <c:v>2254</c:v>
                </c:pt>
                <c:pt idx="8">
                  <c:v>1431</c:v>
                </c:pt>
                <c:pt idx="9">
                  <c:v>1449</c:v>
                </c:pt>
                <c:pt idx="10">
                  <c:v>1515</c:v>
                </c:pt>
                <c:pt idx="11">
                  <c:v>1372</c:v>
                </c:pt>
                <c:pt idx="12">
                  <c:v>1956</c:v>
                </c:pt>
                <c:pt idx="13">
                  <c:v>1800</c:v>
                </c:pt>
                <c:pt idx="14">
                  <c:v>1874</c:v>
                </c:pt>
                <c:pt idx="15">
                  <c:v>2115</c:v>
                </c:pt>
                <c:pt idx="16">
                  <c:v>2539</c:v>
                </c:pt>
                <c:pt idx="17">
                  <c:v>1728</c:v>
                </c:pt>
                <c:pt idx="18">
                  <c:v>2060</c:v>
                </c:pt>
                <c:pt idx="19">
                  <c:v>1744</c:v>
                </c:pt>
                <c:pt idx="20">
                  <c:v>1356</c:v>
                </c:pt>
                <c:pt idx="21">
                  <c:v>1440</c:v>
                </c:pt>
                <c:pt idx="22">
                  <c:v>2173</c:v>
                </c:pt>
                <c:pt idx="23">
                  <c:v>2562</c:v>
                </c:pt>
                <c:pt idx="24">
                  <c:v>2426</c:v>
                </c:pt>
                <c:pt idx="25">
                  <c:v>2956</c:v>
                </c:pt>
                <c:pt idx="26">
                  <c:v>2883</c:v>
                </c:pt>
                <c:pt idx="27">
                  <c:v>3872</c:v>
                </c:pt>
                <c:pt idx="28">
                  <c:v>4242</c:v>
                </c:pt>
                <c:pt idx="29">
                  <c:v>4677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TS_Forecast!C33</c:f>
              <c:strCache>
                <c:ptCount val="1"/>
                <c:pt idx="0">
                  <c:v>Forecast</c:v>
                </c:pt>
              </c:strCache>
            </c:strRef>
          </c:tx>
          <c:spPr>
            <a:solidFill>
              <a:srgbClr val="c00000"/>
            </a:solidFill>
            <a:ln w="3204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TS_Forecast!$A$34:$A$77</c:f>
              <c:strCache>
                <c:ptCount val="44"/>
                <c:pt idx="0">
                  <c:v>05-May-20</c:v>
                </c:pt>
                <c:pt idx="1">
                  <c:v>06-May-20</c:v>
                </c:pt>
                <c:pt idx="2">
                  <c:v>07-May-20</c:v>
                </c:pt>
                <c:pt idx="3">
                  <c:v>08-May-20</c:v>
                </c:pt>
                <c:pt idx="4">
                  <c:v>09-May-20</c:v>
                </c:pt>
                <c:pt idx="5">
                  <c:v>10-May-20</c:v>
                </c:pt>
                <c:pt idx="6">
                  <c:v>11-May-20</c:v>
                </c:pt>
                <c:pt idx="7">
                  <c:v>12-May-20</c:v>
                </c:pt>
                <c:pt idx="8">
                  <c:v>13-May-20</c:v>
                </c:pt>
                <c:pt idx="9">
                  <c:v>14-May-20</c:v>
                </c:pt>
                <c:pt idx="10">
                  <c:v>15-May-20</c:v>
                </c:pt>
                <c:pt idx="11">
                  <c:v>16-May-20</c:v>
                </c:pt>
                <c:pt idx="12">
                  <c:v>17-May-20</c:v>
                </c:pt>
                <c:pt idx="13">
                  <c:v>18-May-20</c:v>
                </c:pt>
                <c:pt idx="14">
                  <c:v>19-May-20</c:v>
                </c:pt>
                <c:pt idx="15">
                  <c:v>20-May-20</c:v>
                </c:pt>
                <c:pt idx="16">
                  <c:v>21-May-20</c:v>
                </c:pt>
                <c:pt idx="17">
                  <c:v>22-May-20</c:v>
                </c:pt>
                <c:pt idx="18">
                  <c:v>23-May-20</c:v>
                </c:pt>
                <c:pt idx="19">
                  <c:v>24-May-20</c:v>
                </c:pt>
                <c:pt idx="20">
                  <c:v>25-May-20</c:v>
                </c:pt>
                <c:pt idx="21">
                  <c:v>26-May-20</c:v>
                </c:pt>
                <c:pt idx="22">
                  <c:v>27-May-20</c:v>
                </c:pt>
                <c:pt idx="23">
                  <c:v>28-May-20</c:v>
                </c:pt>
                <c:pt idx="24">
                  <c:v>29-May-20</c:v>
                </c:pt>
                <c:pt idx="25">
                  <c:v>30-May-20</c:v>
                </c:pt>
                <c:pt idx="26">
                  <c:v>31-May-20</c:v>
                </c:pt>
                <c:pt idx="27">
                  <c:v>01-Jun-20</c:v>
                </c:pt>
                <c:pt idx="28">
                  <c:v>02-Jun-20</c:v>
                </c:pt>
                <c:pt idx="29">
                  <c:v>03-Jun-20</c:v>
                </c:pt>
                <c:pt idx="30">
                  <c:v>04-Jun-20</c:v>
                </c:pt>
                <c:pt idx="31">
                  <c:v>05-Jun-20</c:v>
                </c:pt>
                <c:pt idx="32">
                  <c:v>06-Jun-20</c:v>
                </c:pt>
                <c:pt idx="33">
                  <c:v>07-Jun-20</c:v>
                </c:pt>
                <c:pt idx="34">
                  <c:v>08-Jun-20</c:v>
                </c:pt>
                <c:pt idx="35">
                  <c:v>09-Jun-20</c:v>
                </c:pt>
                <c:pt idx="36">
                  <c:v>10-Jun-20</c:v>
                </c:pt>
                <c:pt idx="37">
                  <c:v>11-Jun-20</c:v>
                </c:pt>
                <c:pt idx="38">
                  <c:v>12-Jun-20</c:v>
                </c:pt>
                <c:pt idx="39">
                  <c:v>13-Jun-20</c:v>
                </c:pt>
                <c:pt idx="40">
                  <c:v>14-Jun-20</c:v>
                </c:pt>
                <c:pt idx="41">
                  <c:v>15-Jun-20</c:v>
                </c:pt>
                <c:pt idx="42">
                  <c:v>16-Jun-20</c:v>
                </c:pt>
                <c:pt idx="43">
                  <c:v>17-Jun-20</c:v>
                </c:pt>
              </c:strCache>
            </c:strRef>
          </c:cat>
          <c:val>
            <c:numRef>
              <c:f>TS_Forecast!$C$34:$C$77</c:f>
              <c:numCache>
                <c:formatCode>#,##0</c:formatCode>
                <c:ptCount val="44"/>
                <c:pt idx="30">
                  <c:v>3169.36434716125</c:v>
                </c:pt>
                <c:pt idx="31">
                  <c:v>3291.14491858911</c:v>
                </c:pt>
                <c:pt idx="32">
                  <c:v>3436.06292679099</c:v>
                </c:pt>
                <c:pt idx="33">
                  <c:v>3554.20083295549</c:v>
                </c:pt>
                <c:pt idx="34">
                  <c:v>3682.93353597248</c:v>
                </c:pt>
                <c:pt idx="35">
                  <c:v>3826.33182660054</c:v>
                </c:pt>
                <c:pt idx="36">
                  <c:v>3969.01396011258</c:v>
                </c:pt>
                <c:pt idx="37">
                  <c:v>4080.42663904111</c:v>
                </c:pt>
                <c:pt idx="38">
                  <c:v>4202.20721046897</c:v>
                </c:pt>
                <c:pt idx="39">
                  <c:v>4347.12521867085</c:v>
                </c:pt>
                <c:pt idx="40">
                  <c:v>4465.26312483536</c:v>
                </c:pt>
                <c:pt idx="41">
                  <c:v>4593.99582785234</c:v>
                </c:pt>
                <c:pt idx="42">
                  <c:v>4737.3941184804</c:v>
                </c:pt>
                <c:pt idx="43">
                  <c:v>4880.07625199244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TS_Forecast!D33</c:f>
              <c:strCache>
                <c:ptCount val="1"/>
                <c:pt idx="0">
                  <c:v>Lower 95%</c:v>
                </c:pt>
              </c:strCache>
            </c:strRef>
          </c:tx>
          <c:spPr>
            <a:solidFill>
              <a:srgbClr val="f4b183"/>
            </a:solidFill>
            <a:ln w="1512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TS_Forecast!$A$34:$A$77</c:f>
              <c:strCache>
                <c:ptCount val="44"/>
                <c:pt idx="0">
                  <c:v>05-May-20</c:v>
                </c:pt>
                <c:pt idx="1">
                  <c:v>06-May-20</c:v>
                </c:pt>
                <c:pt idx="2">
                  <c:v>07-May-20</c:v>
                </c:pt>
                <c:pt idx="3">
                  <c:v>08-May-20</c:v>
                </c:pt>
                <c:pt idx="4">
                  <c:v>09-May-20</c:v>
                </c:pt>
                <c:pt idx="5">
                  <c:v>10-May-20</c:v>
                </c:pt>
                <c:pt idx="6">
                  <c:v>11-May-20</c:v>
                </c:pt>
                <c:pt idx="7">
                  <c:v>12-May-20</c:v>
                </c:pt>
                <c:pt idx="8">
                  <c:v>13-May-20</c:v>
                </c:pt>
                <c:pt idx="9">
                  <c:v>14-May-20</c:v>
                </c:pt>
                <c:pt idx="10">
                  <c:v>15-May-20</c:v>
                </c:pt>
                <c:pt idx="11">
                  <c:v>16-May-20</c:v>
                </c:pt>
                <c:pt idx="12">
                  <c:v>17-May-20</c:v>
                </c:pt>
                <c:pt idx="13">
                  <c:v>18-May-20</c:v>
                </c:pt>
                <c:pt idx="14">
                  <c:v>19-May-20</c:v>
                </c:pt>
                <c:pt idx="15">
                  <c:v>20-May-20</c:v>
                </c:pt>
                <c:pt idx="16">
                  <c:v>21-May-20</c:v>
                </c:pt>
                <c:pt idx="17">
                  <c:v>22-May-20</c:v>
                </c:pt>
                <c:pt idx="18">
                  <c:v>23-May-20</c:v>
                </c:pt>
                <c:pt idx="19">
                  <c:v>24-May-20</c:v>
                </c:pt>
                <c:pt idx="20">
                  <c:v>25-May-20</c:v>
                </c:pt>
                <c:pt idx="21">
                  <c:v>26-May-20</c:v>
                </c:pt>
                <c:pt idx="22">
                  <c:v>27-May-20</c:v>
                </c:pt>
                <c:pt idx="23">
                  <c:v>28-May-20</c:v>
                </c:pt>
                <c:pt idx="24">
                  <c:v>29-May-20</c:v>
                </c:pt>
                <c:pt idx="25">
                  <c:v>30-May-20</c:v>
                </c:pt>
                <c:pt idx="26">
                  <c:v>31-May-20</c:v>
                </c:pt>
                <c:pt idx="27">
                  <c:v>01-Jun-20</c:v>
                </c:pt>
                <c:pt idx="28">
                  <c:v>02-Jun-20</c:v>
                </c:pt>
                <c:pt idx="29">
                  <c:v>03-Jun-20</c:v>
                </c:pt>
                <c:pt idx="30">
                  <c:v>04-Jun-20</c:v>
                </c:pt>
                <c:pt idx="31">
                  <c:v>05-Jun-20</c:v>
                </c:pt>
                <c:pt idx="32">
                  <c:v>06-Jun-20</c:v>
                </c:pt>
                <c:pt idx="33">
                  <c:v>07-Jun-20</c:v>
                </c:pt>
                <c:pt idx="34">
                  <c:v>08-Jun-20</c:v>
                </c:pt>
                <c:pt idx="35">
                  <c:v>09-Jun-20</c:v>
                </c:pt>
                <c:pt idx="36">
                  <c:v>10-Jun-20</c:v>
                </c:pt>
                <c:pt idx="37">
                  <c:v>11-Jun-20</c:v>
                </c:pt>
                <c:pt idx="38">
                  <c:v>12-Jun-20</c:v>
                </c:pt>
                <c:pt idx="39">
                  <c:v>13-Jun-20</c:v>
                </c:pt>
                <c:pt idx="40">
                  <c:v>14-Jun-20</c:v>
                </c:pt>
                <c:pt idx="41">
                  <c:v>15-Jun-20</c:v>
                </c:pt>
                <c:pt idx="42">
                  <c:v>16-Jun-20</c:v>
                </c:pt>
                <c:pt idx="43">
                  <c:v>17-Jun-20</c:v>
                </c:pt>
              </c:strCache>
            </c:strRef>
          </c:cat>
          <c:val>
            <c:numRef>
              <c:f>TS_Forecast!$D$34:$D$77</c:f>
              <c:numCache>
                <c:formatCode>#,##0</c:formatCode>
                <c:ptCount val="44"/>
                <c:pt idx="30">
                  <c:v>2675.35205287784</c:v>
                </c:pt>
                <c:pt idx="31">
                  <c:v>2592.50603203447</c:v>
                </c:pt>
                <c:pt idx="32">
                  <c:v>2580.40853352846</c:v>
                </c:pt>
                <c:pt idx="33">
                  <c:v>2566.17624438868</c:v>
                </c:pt>
                <c:pt idx="34">
                  <c:v>2578.28846423415</c:v>
                </c:pt>
                <c:pt idx="35">
                  <c:v>2616.25377894454</c:v>
                </c:pt>
                <c:pt idx="36">
                  <c:v>2661.98028483022</c:v>
                </c:pt>
                <c:pt idx="37">
                  <c:v>2683.14886593182</c:v>
                </c:pt>
                <c:pt idx="38">
                  <c:v>2720.17032761875</c:v>
                </c:pt>
                <c:pt idx="39">
                  <c:v>2784.9211766099</c:v>
                </c:pt>
                <c:pt idx="40">
                  <c:v>2826.80970287466</c:v>
                </c:pt>
                <c:pt idx="41">
                  <c:v>2882.68704132728</c:v>
                </c:pt>
                <c:pt idx="42">
                  <c:v>2956.20746073196</c:v>
                </c:pt>
                <c:pt idx="43">
                  <c:v>3031.65150192978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TS_Forecast!E33</c:f>
              <c:strCache>
                <c:ptCount val="1"/>
                <c:pt idx="0">
                  <c:v>Upper 95%</c:v>
                </c:pt>
              </c:strCache>
            </c:strRef>
          </c:tx>
          <c:spPr>
            <a:solidFill>
              <a:srgbClr val="f4b183"/>
            </a:solidFill>
            <a:ln w="1512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TS_Forecast!$A$34:$A$77</c:f>
              <c:strCache>
                <c:ptCount val="44"/>
                <c:pt idx="0">
                  <c:v>05-May-20</c:v>
                </c:pt>
                <c:pt idx="1">
                  <c:v>06-May-20</c:v>
                </c:pt>
                <c:pt idx="2">
                  <c:v>07-May-20</c:v>
                </c:pt>
                <c:pt idx="3">
                  <c:v>08-May-20</c:v>
                </c:pt>
                <c:pt idx="4">
                  <c:v>09-May-20</c:v>
                </c:pt>
                <c:pt idx="5">
                  <c:v>10-May-20</c:v>
                </c:pt>
                <c:pt idx="6">
                  <c:v>11-May-20</c:v>
                </c:pt>
                <c:pt idx="7">
                  <c:v>12-May-20</c:v>
                </c:pt>
                <c:pt idx="8">
                  <c:v>13-May-20</c:v>
                </c:pt>
                <c:pt idx="9">
                  <c:v>14-May-20</c:v>
                </c:pt>
                <c:pt idx="10">
                  <c:v>15-May-20</c:v>
                </c:pt>
                <c:pt idx="11">
                  <c:v>16-May-20</c:v>
                </c:pt>
                <c:pt idx="12">
                  <c:v>17-May-20</c:v>
                </c:pt>
                <c:pt idx="13">
                  <c:v>18-May-20</c:v>
                </c:pt>
                <c:pt idx="14">
                  <c:v>19-May-20</c:v>
                </c:pt>
                <c:pt idx="15">
                  <c:v>20-May-20</c:v>
                </c:pt>
                <c:pt idx="16">
                  <c:v>21-May-20</c:v>
                </c:pt>
                <c:pt idx="17">
                  <c:v>22-May-20</c:v>
                </c:pt>
                <c:pt idx="18">
                  <c:v>23-May-20</c:v>
                </c:pt>
                <c:pt idx="19">
                  <c:v>24-May-20</c:v>
                </c:pt>
                <c:pt idx="20">
                  <c:v>25-May-20</c:v>
                </c:pt>
                <c:pt idx="21">
                  <c:v>26-May-20</c:v>
                </c:pt>
                <c:pt idx="22">
                  <c:v>27-May-20</c:v>
                </c:pt>
                <c:pt idx="23">
                  <c:v>28-May-20</c:v>
                </c:pt>
                <c:pt idx="24">
                  <c:v>29-May-20</c:v>
                </c:pt>
                <c:pt idx="25">
                  <c:v>30-May-20</c:v>
                </c:pt>
                <c:pt idx="26">
                  <c:v>31-May-20</c:v>
                </c:pt>
                <c:pt idx="27">
                  <c:v>01-Jun-20</c:v>
                </c:pt>
                <c:pt idx="28">
                  <c:v>02-Jun-20</c:v>
                </c:pt>
                <c:pt idx="29">
                  <c:v>03-Jun-20</c:v>
                </c:pt>
                <c:pt idx="30">
                  <c:v>04-Jun-20</c:v>
                </c:pt>
                <c:pt idx="31">
                  <c:v>05-Jun-20</c:v>
                </c:pt>
                <c:pt idx="32">
                  <c:v>06-Jun-20</c:v>
                </c:pt>
                <c:pt idx="33">
                  <c:v>07-Jun-20</c:v>
                </c:pt>
                <c:pt idx="34">
                  <c:v>08-Jun-20</c:v>
                </c:pt>
                <c:pt idx="35">
                  <c:v>09-Jun-20</c:v>
                </c:pt>
                <c:pt idx="36">
                  <c:v>10-Jun-20</c:v>
                </c:pt>
                <c:pt idx="37">
                  <c:v>11-Jun-20</c:v>
                </c:pt>
                <c:pt idx="38">
                  <c:v>12-Jun-20</c:v>
                </c:pt>
                <c:pt idx="39">
                  <c:v>13-Jun-20</c:v>
                </c:pt>
                <c:pt idx="40">
                  <c:v>14-Jun-20</c:v>
                </c:pt>
                <c:pt idx="41">
                  <c:v>15-Jun-20</c:v>
                </c:pt>
                <c:pt idx="42">
                  <c:v>16-Jun-20</c:v>
                </c:pt>
                <c:pt idx="43">
                  <c:v>17-Jun-20</c:v>
                </c:pt>
              </c:strCache>
            </c:strRef>
          </c:cat>
          <c:val>
            <c:numRef>
              <c:f>TS_Forecast!$E$34:$E$77</c:f>
              <c:numCache>
                <c:formatCode>#,##0</c:formatCode>
                <c:ptCount val="44"/>
                <c:pt idx="30">
                  <c:v>3663.37664144466</c:v>
                </c:pt>
                <c:pt idx="31">
                  <c:v>3989.78380514376</c:v>
                </c:pt>
                <c:pt idx="32">
                  <c:v>4291.71732005352</c:v>
                </c:pt>
                <c:pt idx="33">
                  <c:v>4542.22542152231</c:v>
                </c:pt>
                <c:pt idx="34">
                  <c:v>4787.57860771081</c:v>
                </c:pt>
                <c:pt idx="35">
                  <c:v>5036.40987425653</c:v>
                </c:pt>
                <c:pt idx="36">
                  <c:v>5276.04763539493</c:v>
                </c:pt>
                <c:pt idx="37">
                  <c:v>5477.70441215041</c:v>
                </c:pt>
                <c:pt idx="38">
                  <c:v>5684.2440933192</c:v>
                </c:pt>
                <c:pt idx="39">
                  <c:v>5909.3292607318</c:v>
                </c:pt>
                <c:pt idx="40">
                  <c:v>6103.71654679606</c:v>
                </c:pt>
                <c:pt idx="41">
                  <c:v>6305.30461437741</c:v>
                </c:pt>
                <c:pt idx="42">
                  <c:v>6518.58077622884</c:v>
                </c:pt>
                <c:pt idx="43">
                  <c:v>6728.5010020551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4054873"/>
        <c:axId val="94952156"/>
      </c:lineChart>
      <c:catAx>
        <c:axId val="94054873"/>
        <c:scaling>
          <c:orientation val="minMax"/>
        </c:scaling>
        <c:delete val="0"/>
        <c:axPos val="b"/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952156"/>
        <c:crosses val="autoZero"/>
        <c:auto val="1"/>
        <c:lblAlgn val="ctr"/>
        <c:lblOffset val="100"/>
        <c:noMultiLvlLbl val="0"/>
      </c:catAx>
      <c:valAx>
        <c:axId val="949521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05487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Cross-validation RMSE by fold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TS_CV!I4</c:f>
              <c:strCache>
                <c:ptCount val="1"/>
                <c:pt idx="0">
                  <c:v>Naive RMSE</c:v>
                </c:pt>
              </c:strCache>
            </c:strRef>
          </c:tx>
          <c:spPr>
            <a:solidFill>
              <a:srgbClr val="a6a6a6"/>
            </a:solidFill>
            <a:ln w="28080">
              <a:solidFill>
                <a:srgbClr val="a6a6a6"/>
              </a:solidFill>
              <a:round/>
            </a:ln>
          </c:spPr>
          <c:marker>
            <c:symbol val="circle"/>
            <c:size val="5"/>
            <c:spPr>
              <a:solidFill>
                <a:srgbClr val="a6a6a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TS_CV!$A$5:$A$9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TS_CV!$I$5:$I$9</c:f>
              <c:numCache>
                <c:formatCode>#,##0</c:formatCode>
                <c:ptCount val="5"/>
                <c:pt idx="0">
                  <c:v>397.267002692863</c:v>
                </c:pt>
                <c:pt idx="1">
                  <c:v>263.992965274239</c:v>
                </c:pt>
                <c:pt idx="2">
                  <c:v>922.122009280768</c:v>
                </c:pt>
                <c:pt idx="3">
                  <c:v>492.758706525966</c:v>
                </c:pt>
                <c:pt idx="4">
                  <c:v>1110.78923036088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TS_CV!J4</c:f>
              <c:strCache>
                <c:ptCount val="1"/>
                <c:pt idx="0">
                  <c:v>MA(7) RMSE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circle"/>
            <c:size val="5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TS_CV!$A$5:$A$9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TS_CV!$J$5:$J$9</c:f>
              <c:numCache>
                <c:formatCode>#,##0</c:formatCode>
                <c:ptCount val="5"/>
                <c:pt idx="0">
                  <c:v>292.239854662333</c:v>
                </c:pt>
                <c:pt idx="1">
                  <c:v>387.387429336786</c:v>
                </c:pt>
                <c:pt idx="2">
                  <c:v>856.819843898331</c:v>
                </c:pt>
                <c:pt idx="3">
                  <c:v>462.459198420879</c:v>
                </c:pt>
                <c:pt idx="4">
                  <c:v>1333.07769573163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TS_CV!K4</c:f>
              <c:strCache>
                <c:ptCount val="1"/>
                <c:pt idx="0">
                  <c:v>SES RMSE</c:v>
                </c:pt>
              </c:strCache>
            </c:strRef>
          </c:tx>
          <c:spPr>
            <a:solidFill>
              <a:srgbClr val="548235"/>
            </a:solidFill>
            <a:ln w="28080">
              <a:solidFill>
                <a:srgbClr val="548235"/>
              </a:solidFill>
              <a:round/>
            </a:ln>
          </c:spPr>
          <c:marker>
            <c:symbol val="circle"/>
            <c:size val="5"/>
            <c:spPr>
              <a:solidFill>
                <a:srgbClr val="54823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TS_CV!$A$5:$A$9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TS_CV!$K$5:$K$9</c:f>
              <c:numCache>
                <c:formatCode>#,##0</c:formatCode>
                <c:ptCount val="5"/>
                <c:pt idx="0">
                  <c:v>246.357020242912</c:v>
                </c:pt>
                <c:pt idx="1">
                  <c:v>367.17963935835</c:v>
                </c:pt>
                <c:pt idx="2">
                  <c:v>848.921124161945</c:v>
                </c:pt>
                <c:pt idx="3">
                  <c:v>389.949194759043</c:v>
                </c:pt>
                <c:pt idx="4">
                  <c:v>1231.36278131768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TS_CV!L4</c:f>
              <c:strCache>
                <c:ptCount val="1"/>
                <c:pt idx="0">
                  <c:v>Holt RMSE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circle"/>
            <c:size val="5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TS_CV!$A$5:$A$9</c:f>
              <c:strCach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strCache>
            </c:strRef>
          </c:cat>
          <c:val>
            <c:numRef>
              <c:f>TS_CV!$L$5:$L$9</c:f>
              <c:numCache>
                <c:formatCode>#,##0</c:formatCode>
                <c:ptCount val="5"/>
                <c:pt idx="0">
                  <c:v>168.131535117586</c:v>
                </c:pt>
                <c:pt idx="1">
                  <c:v>218.462283393913</c:v>
                </c:pt>
                <c:pt idx="2">
                  <c:v>600.03425020486</c:v>
                </c:pt>
                <c:pt idx="3">
                  <c:v>479.245327107014</c:v>
                </c:pt>
                <c:pt idx="4">
                  <c:v>863.044314632826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0842565"/>
        <c:axId val="33069779"/>
      </c:lineChart>
      <c:catAx>
        <c:axId val="708425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Fold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69779"/>
        <c:crosses val="autoZero"/>
        <c:auto val="1"/>
        <c:lblAlgn val="ctr"/>
        <c:lblOffset val="100"/>
        <c:noMultiLvlLbl val="0"/>
      </c:catAx>
      <c:valAx>
        <c:axId val="330697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RMSE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8425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ACF of daily cases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TS_Diagnostics!B12</c:f>
              <c:strCache>
                <c:ptCount val="1"/>
                <c:pt idx="0">
                  <c:v>ACF of cases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TS_Diagnostics!$A$13:$A$33</c:f>
              <c:strCach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strCache>
            </c:strRef>
          </c:cat>
          <c:val>
            <c:numRef>
              <c:f>TS_Diagnostics!$B$13:$B$33</c:f>
              <c:numCache>
                <c:formatCode>0.000</c:formatCode>
                <c:ptCount val="21"/>
                <c:pt idx="0">
                  <c:v>0.859427240922261</c:v>
                </c:pt>
                <c:pt idx="1">
                  <c:v>0.775816264450397</c:v>
                </c:pt>
                <c:pt idx="2">
                  <c:v>0.72088330030218</c:v>
                </c:pt>
                <c:pt idx="3">
                  <c:v>0.662994428880607</c:v>
                </c:pt>
                <c:pt idx="4">
                  <c:v>0.610163823621352</c:v>
                </c:pt>
                <c:pt idx="5">
                  <c:v>0.590953161047451</c:v>
                </c:pt>
                <c:pt idx="6">
                  <c:v>0.543396583656159</c:v>
                </c:pt>
                <c:pt idx="7">
                  <c:v>0.516337361612048</c:v>
                </c:pt>
                <c:pt idx="8">
                  <c:v>0.525803500645379</c:v>
                </c:pt>
                <c:pt idx="9">
                  <c:v>0.520647650293977</c:v>
                </c:pt>
                <c:pt idx="10">
                  <c:v>0.533326442060354</c:v>
                </c:pt>
                <c:pt idx="11">
                  <c:v>0.501857643669463</c:v>
                </c:pt>
                <c:pt idx="12">
                  <c:v>0.489274007970296</c:v>
                </c:pt>
                <c:pt idx="13">
                  <c:v>0.442763583209193</c:v>
                </c:pt>
                <c:pt idx="14">
                  <c:v>0.416272902891674</c:v>
                </c:pt>
                <c:pt idx="15">
                  <c:v>0.380382648417233</c:v>
                </c:pt>
                <c:pt idx="16">
                  <c:v>0.359808033531966</c:v>
                </c:pt>
                <c:pt idx="17">
                  <c:v>0.334524598018404</c:v>
                </c:pt>
                <c:pt idx="18">
                  <c:v>0.327422785245044</c:v>
                </c:pt>
                <c:pt idx="19">
                  <c:v>0.31608292320259</c:v>
                </c:pt>
                <c:pt idx="20">
                  <c:v>0.296167014971719</c:v>
                </c:pt>
              </c:numCache>
            </c:numRef>
          </c:val>
        </c:ser>
        <c:gapWidth val="150"/>
        <c:overlap val="0"/>
        <c:axId val="33837580"/>
        <c:axId val="29551864"/>
      </c:barChart>
      <c:catAx>
        <c:axId val="3383758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551864"/>
        <c:crosses val="autoZero"/>
        <c:auto val="1"/>
        <c:lblAlgn val="ctr"/>
        <c:lblOffset val="100"/>
        <c:noMultiLvlLbl val="0"/>
      </c:catAx>
      <c:valAx>
        <c:axId val="295518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83758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ACF of first difference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TS_Diagnostics!C12</c:f>
              <c:strCache>
                <c:ptCount val="1"/>
                <c:pt idx="0">
                  <c:v>ACF of first difference</c:v>
                </c:pt>
              </c:strCache>
            </c:strRef>
          </c:tx>
          <c:spPr>
            <a:solidFill>
              <a:srgbClr val="c55a11"/>
            </a:solidFill>
            <a:ln w="0">
              <a:solidFill>
                <a:srgbClr val="c55a11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TS_Diagnostics!$A$13:$A$33</c:f>
              <c:strCach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strCache>
            </c:strRef>
          </c:cat>
          <c:val>
            <c:numRef>
              <c:f>TS_Diagnostics!$C$13:$C$33</c:f>
              <c:numCache>
                <c:formatCode>0.000</c:formatCode>
                <c:ptCount val="21"/>
                <c:pt idx="0">
                  <c:v>-0.339558669915608</c:v>
                </c:pt>
                <c:pt idx="1">
                  <c:v>-0.13126054775812</c:v>
                </c:pt>
                <c:pt idx="2">
                  <c:v>0.317008584630315</c:v>
                </c:pt>
                <c:pt idx="3">
                  <c:v>-0.0752878601571456</c:v>
                </c:pt>
                <c:pt idx="4">
                  <c:v>-0.116524849643035</c:v>
                </c:pt>
                <c:pt idx="5">
                  <c:v>0.174474522818728</c:v>
                </c:pt>
                <c:pt idx="6">
                  <c:v>-0.0541752085254032</c:v>
                </c:pt>
                <c:pt idx="7">
                  <c:v>-0.0741113689692601</c:v>
                </c:pt>
                <c:pt idx="8">
                  <c:v>0.136327117119299</c:v>
                </c:pt>
                <c:pt idx="9">
                  <c:v>-0.271085696080032</c:v>
                </c:pt>
                <c:pt idx="10">
                  <c:v>0.246775567555055</c:v>
                </c:pt>
                <c:pt idx="11">
                  <c:v>-0.057367860703234</c:v>
                </c:pt>
                <c:pt idx="12">
                  <c:v>0.00971378867295963</c:v>
                </c:pt>
                <c:pt idx="13">
                  <c:v>-0.0407495165333799</c:v>
                </c:pt>
                <c:pt idx="14">
                  <c:v>0.139731734356191</c:v>
                </c:pt>
                <c:pt idx="15">
                  <c:v>-0.109315665990216</c:v>
                </c:pt>
                <c:pt idx="16">
                  <c:v>-0.0215329595845105</c:v>
                </c:pt>
                <c:pt idx="17">
                  <c:v>0.0279969516039801</c:v>
                </c:pt>
                <c:pt idx="18">
                  <c:v>-0.0108240885535379</c:v>
                </c:pt>
                <c:pt idx="19">
                  <c:v>0.0733736784819401</c:v>
                </c:pt>
                <c:pt idx="20">
                  <c:v>-0.172251153401074</c:v>
                </c:pt>
              </c:numCache>
            </c:numRef>
          </c:val>
        </c:ser>
        <c:gapWidth val="150"/>
        <c:overlap val="0"/>
        <c:axId val="18271954"/>
        <c:axId val="59394615"/>
      </c:barChart>
      <c:catAx>
        <c:axId val="1827195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394615"/>
        <c:crosses val="autoZero"/>
        <c:auto val="1"/>
        <c:lblAlgn val="ctr"/>
        <c:lblOffset val="100"/>
        <c:noMultiLvlLbl val="0"/>
      </c:catAx>
      <c:valAx>
        <c:axId val="593946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2719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Weekday index (cases / trend)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TS_Diagnostics!M12</c:f>
              <c:strCache>
                <c:ptCount val="1"/>
                <c:pt idx="0">
                  <c:v>Index (cases / trend)</c:v>
                </c:pt>
              </c:strCache>
            </c:strRef>
          </c:tx>
          <c:spPr>
            <a:solidFill>
              <a:srgbClr val="548235"/>
            </a:solidFill>
            <a:ln w="0">
              <a:solidFill>
                <a:srgbClr val="54823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TS_Diagnostics!$J$13:$J$19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TS_Diagnostics!$M$13:$M$19</c:f>
              <c:numCache>
                <c:formatCode>0.00</c:formatCode>
                <c:ptCount val="7"/>
                <c:pt idx="0">
                  <c:v>1.32166012276774</c:v>
                </c:pt>
                <c:pt idx="1">
                  <c:v>0.889401464515013</c:v>
                </c:pt>
                <c:pt idx="2">
                  <c:v>0.897579174065168</c:v>
                </c:pt>
                <c:pt idx="3">
                  <c:v>1.03422225490645</c:v>
                </c:pt>
                <c:pt idx="4">
                  <c:v>0.787574109888925</c:v>
                </c:pt>
                <c:pt idx="5">
                  <c:v>1.00283144278855</c:v>
                </c:pt>
                <c:pt idx="6">
                  <c:v>0.767571653239695</c:v>
                </c:pt>
              </c:numCache>
            </c:numRef>
          </c:val>
        </c:ser>
        <c:gapWidth val="150"/>
        <c:overlap val="0"/>
        <c:axId val="82321992"/>
        <c:axId val="57942142"/>
      </c:barChart>
      <c:catAx>
        <c:axId val="82321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942142"/>
        <c:crosses val="autoZero"/>
        <c:auto val="1"/>
        <c:lblAlgn val="ctr"/>
        <c:lblOffset val="100"/>
        <c:noMultiLvlLbl val="0"/>
      </c:catAx>
      <c:valAx>
        <c:axId val="579421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3219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Cases by province: last 14 days vs next 14 days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"Last 14 days actual"</c:f>
              <c:strCache>
                <c:ptCount val="1"/>
                <c:pt idx="0">
                  <c:v>Last 14 days actual</c:v>
                </c:pt>
              </c:strCache>
            </c:strRef>
          </c:tx>
          <c:spPr>
            <a:solidFill>
              <a:srgbClr val="9dc3e6"/>
            </a:solidFill>
            <a:ln w="0">
              <a:solidFill>
                <a:srgbClr val="9dc3e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TS_Province!$B$108:$I$108</c:f>
              <c:multiLvlStrCache>
                <c:ptCount val="1"/>
                <c:lvl>
                  <c:pt idx="0">
                    <c:v>Sindh</c:v>
                  </c:pt>
                </c:lvl>
                <c:lvl>
                  <c:pt idx="0">
                    <c:v>Punjab</c:v>
                  </c:pt>
                </c:lvl>
                <c:lvl>
                  <c:pt idx="0">
                    <c:v>Khyber Pakhtunkhwa</c:v>
                  </c:pt>
                </c:lvl>
                <c:lvl>
                  <c:pt idx="0">
                    <c:v>Islamabad Capital Territory</c:v>
                  </c:pt>
                </c:lvl>
                <c:lvl>
                  <c:pt idx="0">
                    <c:v>Gilgit-Baltistan</c:v>
                  </c:pt>
                </c:lvl>
                <c:lvl>
                  <c:pt idx="0">
                    <c:v>Federal Administration Tribal Area</c:v>
                  </c:pt>
                </c:lvl>
                <c:lvl>
                  <c:pt idx="0">
                    <c:v>Baluchistan</c:v>
                  </c:pt>
                </c:lvl>
                <c:lvl>
                  <c:pt idx="0">
                    <c:v>Azad Jummu Kashmir</c:v>
                  </c:pt>
                </c:lvl>
              </c:multiLvlStrCache>
            </c:multiLvlStrRef>
          </c:cat>
          <c:val>
            <c:numRef>
              <c:f>TS_Province!$B$124:$I$124</c:f>
              <c:numCache>
                <c:formatCode>#,##0</c:formatCode>
                <c:ptCount val="8"/>
                <c:pt idx="0">
                  <c:v>137</c:v>
                </c:pt>
                <c:pt idx="1">
                  <c:v>2256</c:v>
                </c:pt>
                <c:pt idx="2">
                  <c:v>0</c:v>
                </c:pt>
                <c:pt idx="3">
                  <c:v>211</c:v>
                </c:pt>
                <c:pt idx="4">
                  <c:v>2309</c:v>
                </c:pt>
                <c:pt idx="5">
                  <c:v>4077</c:v>
                </c:pt>
                <c:pt idx="6">
                  <c:v>13722</c:v>
                </c:pt>
                <c:pt idx="7">
                  <c:v>13946</c:v>
                </c:pt>
              </c:numCache>
            </c:numRef>
          </c:val>
        </c:ser>
        <c:ser>
          <c:idx val="1"/>
          <c:order val="1"/>
          <c:tx>
            <c:strRef>
              <c:f>"Next 14 days forecast"</c:f>
              <c:strCache>
                <c:ptCount val="1"/>
                <c:pt idx="0">
                  <c:v>Next 14 days forecast</c:v>
                </c:pt>
              </c:strCache>
            </c:strRef>
          </c:tx>
          <c:spPr>
            <a:solidFill>
              <a:srgbClr val="1f3a5f"/>
            </a:solidFill>
            <a:ln w="0">
              <a:solidFill>
                <a:srgbClr val="1f3a5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TS_Province!$B$108:$I$108</c:f>
              <c:multiLvlStrCache>
                <c:ptCount val="1"/>
                <c:lvl>
                  <c:pt idx="0">
                    <c:v>Sindh</c:v>
                  </c:pt>
                </c:lvl>
                <c:lvl>
                  <c:pt idx="0">
                    <c:v>Punjab</c:v>
                  </c:pt>
                </c:lvl>
                <c:lvl>
                  <c:pt idx="0">
                    <c:v>Khyber Pakhtunkhwa</c:v>
                  </c:pt>
                </c:lvl>
                <c:lvl>
                  <c:pt idx="0">
                    <c:v>Islamabad Capital Territory</c:v>
                  </c:pt>
                </c:lvl>
                <c:lvl>
                  <c:pt idx="0">
                    <c:v>Gilgit-Baltistan</c:v>
                  </c:pt>
                </c:lvl>
                <c:lvl>
                  <c:pt idx="0">
                    <c:v>Federal Administration Tribal Area</c:v>
                  </c:pt>
                </c:lvl>
                <c:lvl>
                  <c:pt idx="0">
                    <c:v>Baluchistan</c:v>
                  </c:pt>
                </c:lvl>
                <c:lvl>
                  <c:pt idx="0">
                    <c:v>Azad Jummu Kashmir</c:v>
                  </c:pt>
                </c:lvl>
              </c:multiLvlStrCache>
            </c:multiLvlStrRef>
          </c:cat>
          <c:val>
            <c:numRef>
              <c:f>TS_Province!$B$123:$I$123</c:f>
              <c:numCache>
                <c:formatCode>#,##0</c:formatCode>
                <c:ptCount val="8"/>
                <c:pt idx="0">
                  <c:v>190.793040531374</c:v>
                </c:pt>
                <c:pt idx="1">
                  <c:v>3610.56540459866</c:v>
                </c:pt>
                <c:pt idx="2">
                  <c:v>9.14862524944829</c:v>
                </c:pt>
                <c:pt idx="3">
                  <c:v>334.940792643478</c:v>
                </c:pt>
                <c:pt idx="4">
                  <c:v>4521.66922428502</c:v>
                </c:pt>
                <c:pt idx="5">
                  <c:v>5914.53117924072</c:v>
                </c:pt>
                <c:pt idx="6">
                  <c:v>21981.3194033142</c:v>
                </c:pt>
                <c:pt idx="7">
                  <c:v>19930.4271503306</c:v>
                </c:pt>
              </c:numCache>
            </c:numRef>
          </c:val>
        </c:ser>
        <c:gapWidth val="150"/>
        <c:overlap val="0"/>
        <c:axId val="62941105"/>
        <c:axId val="77459432"/>
      </c:barChart>
      <c:catAx>
        <c:axId val="629411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459432"/>
        <c:crosses val="autoZero"/>
        <c:auto val="1"/>
        <c:lblAlgn val="ctr"/>
        <c:lblOffset val="100"/>
        <c:noMultiLvlLbl val="0"/>
      </c:catAx>
      <c:valAx>
        <c:axId val="774594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4110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Elbow plot: WCSS by 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Elbow_Silhouette!C4</c:f>
              <c:strCache>
                <c:ptCount val="1"/>
                <c:pt idx="0">
                  <c:v>WCSS (inertia)</c:v>
                </c:pt>
              </c:strCache>
            </c:strRef>
          </c:tx>
          <c:spPr>
            <a:solidFill>
              <a:srgbClr val="1f3a5f"/>
            </a:solidFill>
            <a:ln w="28080">
              <a:solidFill>
                <a:srgbClr val="1f3a5f"/>
              </a:solidFill>
              <a:round/>
            </a:ln>
          </c:spPr>
          <c:marker>
            <c:symbol val="circle"/>
            <c:size val="7"/>
            <c:spPr>
              <a:solidFill>
                <a:srgbClr val="1f3a5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Elbow_Silhouette!$B$5:$B$9</c:f>
              <c:strCache>
                <c:ptCount val="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</c:strCache>
            </c:strRef>
          </c:cat>
          <c:val>
            <c:numRef>
              <c:f>Elbow_Silhouette!$C$5:$C$9</c:f>
              <c:numCache>
                <c:formatCode>#,##0.00</c:formatCode>
                <c:ptCount val="5"/>
                <c:pt idx="0">
                  <c:v>155.175467154469</c:v>
                </c:pt>
                <c:pt idx="1">
                  <c:v>95.7075369840099</c:v>
                </c:pt>
                <c:pt idx="2">
                  <c:v>68.9640650111767</c:v>
                </c:pt>
                <c:pt idx="3">
                  <c:v>61.8718529181339</c:v>
                </c:pt>
                <c:pt idx="4">
                  <c:v>45.0019053896048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437514"/>
        <c:axId val="46201835"/>
      </c:lineChart>
      <c:catAx>
        <c:axId val="964375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 (number of clusters)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201835"/>
        <c:crosses val="autoZero"/>
        <c:auto val="1"/>
        <c:lblAlgn val="ctr"/>
        <c:lblOffset val="100"/>
        <c:noMultiLvlLbl val="0"/>
      </c:catAx>
      <c:valAx>
        <c:axId val="462018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WCSS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4375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Mean silhouette score by 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Elbow_Silhouette!E4</c:f>
              <c:strCache>
                <c:ptCount val="1"/>
                <c:pt idx="0">
                  <c:v>Mean silhouette</c:v>
                </c:pt>
              </c:strCache>
            </c:strRef>
          </c:tx>
          <c:spPr>
            <a:solidFill>
              <a:srgbClr val="2e75b6"/>
            </a:solidFill>
            <a:ln w="0">
              <a:solidFill>
                <a:srgbClr val="2e75b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Elbow_Silhouette!$B$5:$B$9</c:f>
              <c:strCache>
                <c:ptCount val="5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</c:strCache>
            </c:strRef>
          </c:cat>
          <c:val>
            <c:numRef>
              <c:f>Elbow_Silhouette!$E$5:$E$9</c:f>
              <c:numCache>
                <c:formatCode>0.000</c:formatCode>
                <c:ptCount val="5"/>
                <c:pt idx="0">
                  <c:v>0.505997255362314</c:v>
                </c:pt>
                <c:pt idx="1">
                  <c:v>0.478478714953263</c:v>
                </c:pt>
                <c:pt idx="2">
                  <c:v>0.392445308067047</c:v>
                </c:pt>
                <c:pt idx="3">
                  <c:v>0.377613321861982</c:v>
                </c:pt>
                <c:pt idx="4">
                  <c:v>0.409363509020428</c:v>
                </c:pt>
              </c:numCache>
            </c:numRef>
          </c:val>
        </c:ser>
        <c:gapWidth val="150"/>
        <c:overlap val="0"/>
        <c:axId val="84603129"/>
        <c:axId val="11713580"/>
      </c:barChart>
      <c:catAx>
        <c:axId val="846031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 (number of clusters)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713580"/>
        <c:crosses val="autoZero"/>
        <c:auto val="1"/>
        <c:lblAlgn val="ctr"/>
        <c:lblOffset val="100"/>
        <c:noMultiLvlLbl val="0"/>
      </c:catAx>
      <c:valAx>
        <c:axId val="117135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Silhouette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031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Cities: Z_Cases vs Z_Deaths by cluster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 1"</c:f>
              <c:strCache>
                <c:ptCount val="1"/>
                <c:pt idx="0">
                  <c:v>Cluster 1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Chart_Data!$A$5:$A$121</c:f>
              <c:numCache>
                <c:formatCode>0.000</c:formatCode>
                <c:ptCount val="117"/>
                <c:pt idx="0">
                  <c:v>3.2743087782752</c:v>
                </c:pt>
                <c:pt idx="1">
                  <c:v>3.25015139617543</c:v>
                </c:pt>
                <c:pt idx="2">
                  <c:v>2.36453191227648</c:v>
                </c:pt>
                <c:pt idx="3">
                  <c:v>2.345233823008</c:v>
                </c:pt>
                <c:pt idx="4">
                  <c:v>2.1711238504828</c:v>
                </c:pt>
                <c:pt idx="5">
                  <c:v>1.49375246664447</c:v>
                </c:pt>
              </c:numCache>
            </c:numRef>
          </c:xVal>
          <c:yVal>
            <c:numRef>
              <c:f>Chart_Data!$B$5:$B$121</c:f>
              <c:numCache>
                <c:formatCode>0.000</c:formatCode>
                <c:ptCount val="117"/>
                <c:pt idx="0">
                  <c:v>4.03885179691129</c:v>
                </c:pt>
                <c:pt idx="1">
                  <c:v>4.15684103709117</c:v>
                </c:pt>
                <c:pt idx="2">
                  <c:v>2.29414072853602</c:v>
                </c:pt>
                <c:pt idx="3">
                  <c:v>3.56174892105073</c:v>
                </c:pt>
                <c:pt idx="4">
                  <c:v>2.06578932043694</c:v>
                </c:pt>
                <c:pt idx="5">
                  <c:v>2.23090597008422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 2"</c:f>
              <c:strCache>
                <c:ptCount val="1"/>
                <c:pt idx="0">
                  <c:v>Cluster 2</c:v>
                </c:pt>
              </c:strCache>
            </c:strRef>
          </c:tx>
          <c:spPr>
            <a:solidFill>
              <a:srgbClr val="2e75b6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Chart_Data!$C$5:$C$121</c:f>
              <c:numCache>
                <c:formatCode>0.000</c:formatCode>
                <c:ptCount val="117"/>
                <c:pt idx="26">
                  <c:v>0.645673058648075</c:v>
                </c:pt>
                <c:pt idx="28">
                  <c:v>0.577753548760862</c:v>
                </c:pt>
                <c:pt idx="30">
                  <c:v>0.574589587542617</c:v>
                </c:pt>
                <c:pt idx="42">
                  <c:v>0.262278036420678</c:v>
                </c:pt>
                <c:pt idx="44">
                  <c:v>0.238616233785713</c:v>
                </c:pt>
                <c:pt idx="46">
                  <c:v>0.200975497781959</c:v>
                </c:pt>
                <c:pt idx="49">
                  <c:v>0.194428618785618</c:v>
                </c:pt>
                <c:pt idx="50">
                  <c:v>0.187798337815286</c:v>
                </c:pt>
                <c:pt idx="51">
                  <c:v>0.167385132550892</c:v>
                </c:pt>
                <c:pt idx="52">
                  <c:v>0.153317518957985</c:v>
                </c:pt>
                <c:pt idx="55">
                  <c:v>0.0848359697065613</c:v>
                </c:pt>
                <c:pt idx="56">
                  <c:v>0.0683117241366259</c:v>
                </c:pt>
                <c:pt idx="58">
                  <c:v>0.00595879156403144</c:v>
                </c:pt>
                <c:pt idx="62">
                  <c:v>-0.0648939235999031</c:v>
                </c:pt>
                <c:pt idx="67">
                  <c:v>-0.214623816906368</c:v>
                </c:pt>
                <c:pt idx="68">
                  <c:v>-0.214623816906368</c:v>
                </c:pt>
                <c:pt idx="69">
                  <c:v>-0.259910629817831</c:v>
                </c:pt>
                <c:pt idx="70">
                  <c:v>-0.275926355545086</c:v>
                </c:pt>
                <c:pt idx="71">
                  <c:v>-0.275926355545086</c:v>
                </c:pt>
                <c:pt idx="72">
                  <c:v>-0.309516720776153</c:v>
                </c:pt>
                <c:pt idx="73">
                  <c:v>-0.327161461972788</c:v>
                </c:pt>
                <c:pt idx="74">
                  <c:v>-0.327161461972788</c:v>
                </c:pt>
                <c:pt idx="75">
                  <c:v>-0.34542544181187</c:v>
                </c:pt>
                <c:pt idx="76">
                  <c:v>-0.34542544181187</c:v>
                </c:pt>
                <c:pt idx="77">
                  <c:v>-0.383996419381545</c:v>
                </c:pt>
                <c:pt idx="78">
                  <c:v>-0.404409624645938</c:v>
                </c:pt>
                <c:pt idx="79">
                  <c:v>-0.404409624645938</c:v>
                </c:pt>
                <c:pt idx="80">
                  <c:v>-0.470943061763014</c:v>
                </c:pt>
                <c:pt idx="81">
                  <c:v>-0.470943061763014</c:v>
                </c:pt>
                <c:pt idx="82">
                  <c:v>-0.520549152721336</c:v>
                </c:pt>
                <c:pt idx="83">
                  <c:v>-0.547245774552967</c:v>
                </c:pt>
                <c:pt idx="84">
                  <c:v>-0.605135382814146</c:v>
                </c:pt>
                <c:pt idx="85">
                  <c:v>-0.636688680796734</c:v>
                </c:pt>
                <c:pt idx="86">
                  <c:v>-0.636688680796734</c:v>
                </c:pt>
                <c:pt idx="88">
                  <c:v>-0.744758744633192</c:v>
                </c:pt>
                <c:pt idx="89">
                  <c:v>-0.744758744633192</c:v>
                </c:pt>
                <c:pt idx="90">
                  <c:v>-0.786418574103199</c:v>
                </c:pt>
                <c:pt idx="91">
                  <c:v>-0.831705387014662</c:v>
                </c:pt>
                <c:pt idx="92">
                  <c:v>-0.831705387014662</c:v>
                </c:pt>
                <c:pt idx="93">
                  <c:v>-0.881311477972984</c:v>
                </c:pt>
                <c:pt idx="94">
                  <c:v>-0.881311477972984</c:v>
                </c:pt>
                <c:pt idx="95">
                  <c:v>-0.881311477972984</c:v>
                </c:pt>
                <c:pt idx="96">
                  <c:v>-0.881311477972984</c:v>
                </c:pt>
                <c:pt idx="97">
                  <c:v>-0.936148467409663</c:v>
                </c:pt>
                <c:pt idx="98">
                  <c:v>-0.936148467409663</c:v>
                </c:pt>
                <c:pt idx="99">
                  <c:v>-0.936148467409663</c:v>
                </c:pt>
                <c:pt idx="100">
                  <c:v>-0.936148467409663</c:v>
                </c:pt>
                <c:pt idx="101">
                  <c:v>-0.997451006048382</c:v>
                </c:pt>
                <c:pt idx="102">
                  <c:v>-0.997451006048382</c:v>
                </c:pt>
                <c:pt idx="103">
                  <c:v>-0.997451006048382</c:v>
                </c:pt>
                <c:pt idx="104">
                  <c:v>-1.14718089935485</c:v>
                </c:pt>
                <c:pt idx="105">
                  <c:v>-1.35821333130003</c:v>
                </c:pt>
                <c:pt idx="106">
                  <c:v>-1.50794322460649</c:v>
                </c:pt>
                <c:pt idx="107">
                  <c:v>-1.50794322460649</c:v>
                </c:pt>
                <c:pt idx="108">
                  <c:v>-1.50794322460649</c:v>
                </c:pt>
                <c:pt idx="109">
                  <c:v>-1.50794322460649</c:v>
                </c:pt>
                <c:pt idx="110">
                  <c:v>-1.71897565655168</c:v>
                </c:pt>
                <c:pt idx="111">
                  <c:v>-1.71897565655168</c:v>
                </c:pt>
                <c:pt idx="112">
                  <c:v>-1.71897565655168</c:v>
                </c:pt>
                <c:pt idx="113">
                  <c:v>-1.71897565655168</c:v>
                </c:pt>
                <c:pt idx="114">
                  <c:v>-1.71897565655168</c:v>
                </c:pt>
                <c:pt idx="115">
                  <c:v>-2.07973798180332</c:v>
                </c:pt>
                <c:pt idx="116">
                  <c:v>-2.07973798180332</c:v>
                </c:pt>
              </c:numCache>
            </c:numRef>
          </c:xVal>
          <c:yVal>
            <c:numRef>
              <c:f>Chart_Data!$D$5:$D$121</c:f>
              <c:numCache>
                <c:formatCode>0.000</c:formatCode>
                <c:ptCount val="117"/>
                <c:pt idx="26">
                  <c:v>-0.146983133929529</c:v>
                </c:pt>
                <c:pt idx="28">
                  <c:v>-0.672650545388274</c:v>
                </c:pt>
                <c:pt idx="30">
                  <c:v>-0.672650545388274</c:v>
                </c:pt>
                <c:pt idx="42">
                  <c:v>-0.146983133929529</c:v>
                </c:pt>
                <c:pt idx="44">
                  <c:v>-0.672650545388274</c:v>
                </c:pt>
                <c:pt idx="46">
                  <c:v>-0.672650545388274</c:v>
                </c:pt>
                <c:pt idx="49">
                  <c:v>-0.672650545388274</c:v>
                </c:pt>
                <c:pt idx="50">
                  <c:v>-0.672650545388274</c:v>
                </c:pt>
                <c:pt idx="51">
                  <c:v>-0.672650545388274</c:v>
                </c:pt>
                <c:pt idx="52">
                  <c:v>-0.672650545388274</c:v>
                </c:pt>
                <c:pt idx="55">
                  <c:v>-0.672650545388274</c:v>
                </c:pt>
                <c:pt idx="56">
                  <c:v>-0.672650545388274</c:v>
                </c:pt>
                <c:pt idx="58">
                  <c:v>-0.672650545388274</c:v>
                </c:pt>
                <c:pt idx="62">
                  <c:v>-0.672650545388274</c:v>
                </c:pt>
                <c:pt idx="67">
                  <c:v>-0.672650545388274</c:v>
                </c:pt>
                <c:pt idx="68">
                  <c:v>-0.672650545388274</c:v>
                </c:pt>
                <c:pt idx="69">
                  <c:v>-0.672650545388274</c:v>
                </c:pt>
                <c:pt idx="70">
                  <c:v>-0.672650545388274</c:v>
                </c:pt>
                <c:pt idx="71">
                  <c:v>-0.672650545388274</c:v>
                </c:pt>
                <c:pt idx="72">
                  <c:v>-0.672650545388274</c:v>
                </c:pt>
                <c:pt idx="73">
                  <c:v>-0.672650545388274</c:v>
                </c:pt>
                <c:pt idx="74">
                  <c:v>-0.672650545388274</c:v>
                </c:pt>
                <c:pt idx="75">
                  <c:v>-0.672650545388274</c:v>
                </c:pt>
                <c:pt idx="76">
                  <c:v>-0.672650545388274</c:v>
                </c:pt>
                <c:pt idx="77">
                  <c:v>-0.672650545388274</c:v>
                </c:pt>
                <c:pt idx="78">
                  <c:v>-0.672650545388274</c:v>
                </c:pt>
                <c:pt idx="79">
                  <c:v>-0.146983133929529</c:v>
                </c:pt>
                <c:pt idx="80">
                  <c:v>-0.146983133929529</c:v>
                </c:pt>
                <c:pt idx="81">
                  <c:v>-0.672650545388274</c:v>
                </c:pt>
                <c:pt idx="82">
                  <c:v>-0.672650545388274</c:v>
                </c:pt>
                <c:pt idx="83">
                  <c:v>-0.672650545388274</c:v>
                </c:pt>
                <c:pt idx="84">
                  <c:v>-0.672650545388274</c:v>
                </c:pt>
                <c:pt idx="85">
                  <c:v>-0.672650545388274</c:v>
                </c:pt>
                <c:pt idx="86">
                  <c:v>-0.672650545388274</c:v>
                </c:pt>
                <c:pt idx="88">
                  <c:v>-0.146983133929529</c:v>
                </c:pt>
                <c:pt idx="89">
                  <c:v>-0.672650545388274</c:v>
                </c:pt>
                <c:pt idx="90">
                  <c:v>-0.672650545388274</c:v>
                </c:pt>
                <c:pt idx="91">
                  <c:v>-0.672650545388274</c:v>
                </c:pt>
                <c:pt idx="92">
                  <c:v>-0.672650545388274</c:v>
                </c:pt>
                <c:pt idx="93">
                  <c:v>-0.672650545388274</c:v>
                </c:pt>
                <c:pt idx="94">
                  <c:v>-0.146983133929529</c:v>
                </c:pt>
                <c:pt idx="95">
                  <c:v>-0.672650545388274</c:v>
                </c:pt>
                <c:pt idx="96">
                  <c:v>-0.672650545388274</c:v>
                </c:pt>
                <c:pt idx="97">
                  <c:v>-0.672650545388274</c:v>
                </c:pt>
                <c:pt idx="98">
                  <c:v>-0.672650545388274</c:v>
                </c:pt>
                <c:pt idx="99">
                  <c:v>-0.672650545388274</c:v>
                </c:pt>
                <c:pt idx="100">
                  <c:v>-0.672650545388274</c:v>
                </c:pt>
                <c:pt idx="101">
                  <c:v>-0.672650545388274</c:v>
                </c:pt>
                <c:pt idx="102">
                  <c:v>-0.672650545388274</c:v>
                </c:pt>
                <c:pt idx="103">
                  <c:v>-0.672650545388274</c:v>
                </c:pt>
                <c:pt idx="104">
                  <c:v>-0.672650545388274</c:v>
                </c:pt>
                <c:pt idx="105">
                  <c:v>-0.672650545388274</c:v>
                </c:pt>
                <c:pt idx="106">
                  <c:v>-0.672650545388274</c:v>
                </c:pt>
                <c:pt idx="107">
                  <c:v>-0.672650545388274</c:v>
                </c:pt>
                <c:pt idx="108">
                  <c:v>-0.672650545388274</c:v>
                </c:pt>
                <c:pt idx="109">
                  <c:v>-0.672650545388274</c:v>
                </c:pt>
                <c:pt idx="110">
                  <c:v>-0.672650545388274</c:v>
                </c:pt>
                <c:pt idx="111">
                  <c:v>-0.672650545388274</c:v>
                </c:pt>
                <c:pt idx="112">
                  <c:v>-0.672650545388274</c:v>
                </c:pt>
                <c:pt idx="113">
                  <c:v>-0.672650545388274</c:v>
                </c:pt>
                <c:pt idx="114">
                  <c:v>-0.672650545388274</c:v>
                </c:pt>
                <c:pt idx="115">
                  <c:v>-0.672650545388274</c:v>
                </c:pt>
                <c:pt idx="116">
                  <c:v>-0.672650545388274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 3"</c:f>
              <c:strCache>
                <c:ptCount val="1"/>
                <c:pt idx="0">
                  <c:v>Cluster 3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54823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Chart_Data!$E$5:$E$121</c:f>
              <c:numCache>
                <c:formatCode>0.000</c:formatCode>
                <c:ptCount val="117"/>
                <c:pt idx="6">
                  <c:v>1.339480128572</c:v>
                </c:pt>
                <c:pt idx="7">
                  <c:v>1.31634431892529</c:v>
                </c:pt>
                <c:pt idx="8">
                  <c:v>1.25912764531491</c:v>
                </c:pt>
                <c:pt idx="9">
                  <c:v>1.20153859722623</c:v>
                </c:pt>
                <c:pt idx="10">
                  <c:v>1.14106795512792</c:v>
                </c:pt>
                <c:pt idx="11">
                  <c:v>1.1269857012341</c:v>
                </c:pt>
                <c:pt idx="12">
                  <c:v>1.04252863605511</c:v>
                </c:pt>
                <c:pt idx="13">
                  <c:v>1.03733687213202</c:v>
                </c:pt>
                <c:pt idx="14">
                  <c:v>1.00781777519734</c:v>
                </c:pt>
                <c:pt idx="15">
                  <c:v>0.970625526957299</c:v>
                </c:pt>
                <c:pt idx="16">
                  <c:v>0.88016218188859</c:v>
                </c:pt>
                <c:pt idx="17">
                  <c:v>0.853001062018471</c:v>
                </c:pt>
                <c:pt idx="18">
                  <c:v>0.851138913278639</c:v>
                </c:pt>
                <c:pt idx="19">
                  <c:v>0.841726902407959</c:v>
                </c:pt>
                <c:pt idx="20">
                  <c:v>0.789836374639921</c:v>
                </c:pt>
                <c:pt idx="21">
                  <c:v>0.7856220194878</c:v>
                </c:pt>
                <c:pt idx="22">
                  <c:v>0.783501975751688</c:v>
                </c:pt>
                <c:pt idx="23">
                  <c:v>0.783501975751688</c:v>
                </c:pt>
                <c:pt idx="24">
                  <c:v>0.761812586723473</c:v>
                </c:pt>
                <c:pt idx="25">
                  <c:v>0.708204570744665</c:v>
                </c:pt>
                <c:pt idx="27">
                  <c:v>0.602395784980437</c:v>
                </c:pt>
                <c:pt idx="29">
                  <c:v>0.577753548760862</c:v>
                </c:pt>
                <c:pt idx="31">
                  <c:v>0.568203372235645</c:v>
                </c:pt>
                <c:pt idx="32">
                  <c:v>0.531605743068138</c:v>
                </c:pt>
                <c:pt idx="33">
                  <c:v>0.484749830332174</c:v>
                </c:pt>
                <c:pt idx="34">
                  <c:v>0.484749830332174</c:v>
                </c:pt>
                <c:pt idx="35">
                  <c:v>0.453667759197148</c:v>
                </c:pt>
                <c:pt idx="36">
                  <c:v>0.433254553932755</c:v>
                </c:pt>
                <c:pt idx="37">
                  <c:v>0.429074049388274</c:v>
                </c:pt>
                <c:pt idx="38">
                  <c:v>0.407652506674014</c:v>
                </c:pt>
                <c:pt idx="39">
                  <c:v>0.389856926462388</c:v>
                </c:pt>
                <c:pt idx="40">
                  <c:v>0.317115025857358</c:v>
                </c:pt>
                <c:pt idx="41">
                  <c:v>0.273717398386991</c:v>
                </c:pt>
                <c:pt idx="43">
                  <c:v>0.256462668461943</c:v>
                </c:pt>
                <c:pt idx="45">
                  <c:v>0.232528795764548</c:v>
                </c:pt>
                <c:pt idx="47">
                  <c:v>0.200975497781959</c:v>
                </c:pt>
                <c:pt idx="48">
                  <c:v>0.194428618785618</c:v>
                </c:pt>
                <c:pt idx="53">
                  <c:v>0.131476411515176</c:v>
                </c:pt>
                <c:pt idx="54">
                  <c:v>0.100851695433816</c:v>
                </c:pt>
                <c:pt idx="57">
                  <c:v>0.0245489826438638</c:v>
                </c:pt>
                <c:pt idx="59">
                  <c:v>-0.00359138496118499</c:v>
                </c:pt>
                <c:pt idx="60">
                  <c:v>-0.0333406256173151</c:v>
                </c:pt>
                <c:pt idx="61">
                  <c:v>-0.0436472993942904</c:v>
                </c:pt>
                <c:pt idx="63">
                  <c:v>-0.0984842888309702</c:v>
                </c:pt>
                <c:pt idx="64">
                  <c:v>-0.110180736511367</c:v>
                </c:pt>
                <c:pt idx="65">
                  <c:v>-0.134393009866687</c:v>
                </c:pt>
                <c:pt idx="66">
                  <c:v>-0.172963987436362</c:v>
                </c:pt>
                <c:pt idx="87">
                  <c:v>-0.706187767063518</c:v>
                </c:pt>
              </c:numCache>
            </c:numRef>
          </c:xVal>
          <c:yVal>
            <c:numRef>
              <c:f>Chart_Data!$F$5:$F$121</c:f>
              <c:numCache>
                <c:formatCode>0.000</c:formatCode>
                <c:ptCount val="117"/>
                <c:pt idx="6">
                  <c:v>0.160512589624996</c:v>
                </c:pt>
                <c:pt idx="7">
                  <c:v>0.686180001083741</c:v>
                </c:pt>
                <c:pt idx="8">
                  <c:v>1.21184741254249</c:v>
                </c:pt>
                <c:pt idx="9">
                  <c:v>-0.146983133929529</c:v>
                </c:pt>
                <c:pt idx="10">
                  <c:v>1.4759954658056</c:v>
                </c:pt>
                <c:pt idx="11">
                  <c:v>1.76847331707728</c:v>
                </c:pt>
                <c:pt idx="12">
                  <c:v>0.993675724638266</c:v>
                </c:pt>
                <c:pt idx="13">
                  <c:v>0.378684277529216</c:v>
                </c:pt>
                <c:pt idx="14">
                  <c:v>-0.146983133929529</c:v>
                </c:pt>
                <c:pt idx="15">
                  <c:v>0.993675724638266</c:v>
                </c:pt>
                <c:pt idx="16">
                  <c:v>0.378684277529216</c:v>
                </c:pt>
                <c:pt idx="17">
                  <c:v>1.38107452085777</c:v>
                </c:pt>
                <c:pt idx="18">
                  <c:v>1.38107452085777</c:v>
                </c:pt>
                <c:pt idx="19">
                  <c:v>0.803084449535714</c:v>
                </c:pt>
                <c:pt idx="20">
                  <c:v>0.803084449535714</c:v>
                </c:pt>
                <c:pt idx="21">
                  <c:v>0.803084449535714</c:v>
                </c:pt>
                <c:pt idx="22">
                  <c:v>0.160512589624996</c:v>
                </c:pt>
                <c:pt idx="23">
                  <c:v>0.547911385844501</c:v>
                </c:pt>
                <c:pt idx="24">
                  <c:v>1.38107452085777</c:v>
                </c:pt>
                <c:pt idx="25">
                  <c:v>0.803084449535714</c:v>
                </c:pt>
                <c:pt idx="27">
                  <c:v>0.686180001083741</c:v>
                </c:pt>
                <c:pt idx="29">
                  <c:v>0.160512589624996</c:v>
                </c:pt>
                <c:pt idx="31">
                  <c:v>0.547911385844501</c:v>
                </c:pt>
                <c:pt idx="32">
                  <c:v>0.378684277529216</c:v>
                </c:pt>
                <c:pt idx="33">
                  <c:v>-0.146983133929529</c:v>
                </c:pt>
                <c:pt idx="34">
                  <c:v>1.38107452085777</c:v>
                </c:pt>
                <c:pt idx="35">
                  <c:v>1.14585991869933</c:v>
                </c:pt>
                <c:pt idx="36">
                  <c:v>0.378684277529216</c:v>
                </c:pt>
                <c:pt idx="37">
                  <c:v>0.378684277529216</c:v>
                </c:pt>
                <c:pt idx="38">
                  <c:v>1.27255002250608</c:v>
                </c:pt>
                <c:pt idx="39">
                  <c:v>0.160512589624996</c:v>
                </c:pt>
                <c:pt idx="40">
                  <c:v>-0.672650545388274</c:v>
                </c:pt>
                <c:pt idx="41">
                  <c:v>-0.146983133929529</c:v>
                </c:pt>
                <c:pt idx="43">
                  <c:v>-0.672650545388274</c:v>
                </c:pt>
                <c:pt idx="45">
                  <c:v>0.160512589624996</c:v>
                </c:pt>
                <c:pt idx="47">
                  <c:v>-0.672650545388274</c:v>
                </c:pt>
                <c:pt idx="48">
                  <c:v>-0.146983133929529</c:v>
                </c:pt>
                <c:pt idx="53">
                  <c:v>1.38107452085777</c:v>
                </c:pt>
                <c:pt idx="54">
                  <c:v>-0.146983133929529</c:v>
                </c:pt>
                <c:pt idx="57">
                  <c:v>0.547911385844501</c:v>
                </c:pt>
                <c:pt idx="59">
                  <c:v>-0.672650545388274</c:v>
                </c:pt>
                <c:pt idx="60">
                  <c:v>0.547911385844501</c:v>
                </c:pt>
                <c:pt idx="61">
                  <c:v>0.160512589624996</c:v>
                </c:pt>
                <c:pt idx="63">
                  <c:v>0.160512589624996</c:v>
                </c:pt>
                <c:pt idx="64">
                  <c:v>-0.146983133929529</c:v>
                </c:pt>
                <c:pt idx="65">
                  <c:v>-0.146983133929529</c:v>
                </c:pt>
                <c:pt idx="66">
                  <c:v>-0.672650545388274</c:v>
                </c:pt>
                <c:pt idx="87">
                  <c:v>-0.146983133929529</c:v>
                </c:pt>
              </c:numCache>
            </c:numRef>
          </c:yVal>
          <c:smooth val="1"/>
        </c:ser>
        <c:axId val="51911268"/>
        <c:axId val="33459458"/>
      </c:scatterChart>
      <c:valAx>
        <c:axId val="5191126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Z_Cases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459458"/>
        <c:crosses val="autoZero"/>
        <c:crossBetween val="midCat"/>
      </c:valAx>
      <c:valAx>
        <c:axId val="334594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Z_Deaths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91126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Provinces: Z_Cases vs Z_Deaths by cluster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 1"</c:f>
              <c:strCache>
                <c:ptCount val="1"/>
                <c:pt idx="0">
                  <c:v>Cluster 1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Chart_Data!$H$5:$H$12</c:f>
              <c:numCache>
                <c:formatCode>0.000</c:formatCode>
                <c:ptCount val="8"/>
                <c:pt idx="0">
                  <c:v>1.10799960313627</c:v>
                </c:pt>
                <c:pt idx="1">
                  <c:v>1.08381042475669</c:v>
                </c:pt>
                <c:pt idx="2">
                  <c:v>0.597142491591248</c:v>
                </c:pt>
              </c:numCache>
            </c:numRef>
          </c:xVal>
          <c:yVal>
            <c:numRef>
              <c:f>Chart_Data!$I$5:$I$12</c:f>
              <c:numCache>
                <c:formatCode>0.000</c:formatCode>
                <c:ptCount val="8"/>
                <c:pt idx="0">
                  <c:v>1.07095117844112</c:v>
                </c:pt>
                <c:pt idx="1">
                  <c:v>1.10975051121378</c:v>
                </c:pt>
                <c:pt idx="2">
                  <c:v>1.00352864994269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 2"</c:f>
              <c:strCache>
                <c:ptCount val="1"/>
                <c:pt idx="0">
                  <c:v>Cluster 2</c:v>
                </c:pt>
              </c:strCache>
            </c:strRef>
          </c:tx>
          <c:spPr>
            <a:solidFill>
              <a:srgbClr val="2e75b6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Chart_Data!$J$5:$J$12</c:f>
              <c:numCache>
                <c:formatCode>0.000</c:formatCode>
                <c:ptCount val="8"/>
                <c:pt idx="6">
                  <c:v>-0.974094161938139</c:v>
                </c:pt>
                <c:pt idx="7">
                  <c:v>-1.70572873442121</c:v>
                </c:pt>
              </c:numCache>
            </c:numRef>
          </c:xVal>
          <c:yVal>
            <c:numRef>
              <c:f>Chart_Data!$K$5:$K$12</c:f>
              <c:numCache>
                <c:formatCode>0.000</c:formatCode>
                <c:ptCount val="8"/>
                <c:pt idx="6">
                  <c:v>-0.980575342206791</c:v>
                </c:pt>
                <c:pt idx="7">
                  <c:v>-1.57024005745915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 3"</c:f>
              <c:strCache>
                <c:ptCount val="1"/>
                <c:pt idx="0">
                  <c:v>Cluster 3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54823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Chart_Data!$L$5:$L$12</c:f>
              <c:numCache>
                <c:formatCode>0.000</c:formatCode>
                <c:ptCount val="8"/>
                <c:pt idx="3">
                  <c:v>0.292584138699036</c:v>
                </c:pt>
                <c:pt idx="4">
                  <c:v>0.128119018041928</c:v>
                </c:pt>
                <c:pt idx="5">
                  <c:v>-0.529832779865818</c:v>
                </c:pt>
              </c:numCache>
            </c:numRef>
          </c:xVal>
          <c:yVal>
            <c:numRef>
              <c:f>Chart_Data!$M$5:$M$12</c:f>
              <c:numCache>
                <c:formatCode>0.000</c:formatCode>
                <c:ptCount val="8"/>
                <c:pt idx="3">
                  <c:v>-0.0551429924626731</c:v>
                </c:pt>
                <c:pt idx="4">
                  <c:v>-0.196870560456412</c:v>
                </c:pt>
                <c:pt idx="5">
                  <c:v>-0.381401387012564</c:v>
                </c:pt>
              </c:numCache>
            </c:numRef>
          </c:yVal>
          <c:smooth val="1"/>
        </c:ser>
        <c:axId val="23711399"/>
        <c:axId val="50996456"/>
      </c:scatterChart>
      <c:valAx>
        <c:axId val="2371139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Z_Cases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996456"/>
        <c:crosses val="autoZero"/>
        <c:crossBetween val="midCat"/>
      </c:valAx>
      <c:valAx>
        <c:axId val="509964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Z_Deaths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71139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Days: daily cases over time by phase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 1"</c:f>
              <c:strCache>
                <c:ptCount val="1"/>
                <c:pt idx="0">
                  <c:v>Cluster 1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Chart_Data!$O$5:$O$103</c:f>
              <c:numCache>
                <c:formatCode>0.000</c:formatCode>
                <c:ptCount val="99"/>
                <c:pt idx="0">
                  <c:v>43887</c:v>
                </c:pt>
                <c:pt idx="1">
                  <c:v>43888</c:v>
                </c:pt>
                <c:pt idx="2">
                  <c:v>43889</c:v>
                </c:pt>
                <c:pt idx="3">
                  <c:v>43890</c:v>
                </c:pt>
                <c:pt idx="4">
                  <c:v>43891</c:v>
                </c:pt>
                <c:pt idx="5">
                  <c:v>43892</c:v>
                </c:pt>
                <c:pt idx="6">
                  <c:v>43893</c:v>
                </c:pt>
                <c:pt idx="7">
                  <c:v>43894</c:v>
                </c:pt>
                <c:pt idx="8">
                  <c:v>43895</c:v>
                </c:pt>
                <c:pt idx="9">
                  <c:v>43896</c:v>
                </c:pt>
                <c:pt idx="10">
                  <c:v>43897</c:v>
                </c:pt>
                <c:pt idx="11">
                  <c:v>43898</c:v>
                </c:pt>
                <c:pt idx="12">
                  <c:v>43899</c:v>
                </c:pt>
                <c:pt idx="13">
                  <c:v>43900</c:v>
                </c:pt>
                <c:pt idx="14">
                  <c:v>43901</c:v>
                </c:pt>
                <c:pt idx="15">
                  <c:v>43902</c:v>
                </c:pt>
                <c:pt idx="16">
                  <c:v>43903</c:v>
                </c:pt>
                <c:pt idx="17">
                  <c:v>43904</c:v>
                </c:pt>
                <c:pt idx="18">
                  <c:v>43905</c:v>
                </c:pt>
                <c:pt idx="19">
                  <c:v>43906</c:v>
                </c:pt>
                <c:pt idx="20">
                  <c:v>43907</c:v>
                </c:pt>
                <c:pt idx="21">
                  <c:v>43908</c:v>
                </c:pt>
                <c:pt idx="22">
                  <c:v>43909</c:v>
                </c:pt>
                <c:pt idx="23">
                  <c:v>43910</c:v>
                </c:pt>
                <c:pt idx="24">
                  <c:v>43911</c:v>
                </c:pt>
                <c:pt idx="25">
                  <c:v>43912</c:v>
                </c:pt>
                <c:pt idx="26">
                  <c:v>43913</c:v>
                </c:pt>
                <c:pt idx="28">
                  <c:v>43915</c:v>
                </c:pt>
              </c:numCache>
            </c:numRef>
          </c:xVal>
          <c:yVal>
            <c:numRef>
              <c:f>Chart_Data!$P$5:$P$103</c:f>
              <c:numCache>
                <c:formatCode>0.000</c:formatCode>
                <c:ptCount val="99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9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9</c:v>
                </c:pt>
                <c:pt idx="17">
                  <c:v>0</c:v>
                </c:pt>
                <c:pt idx="18">
                  <c:v>34</c:v>
                </c:pt>
                <c:pt idx="19">
                  <c:v>151</c:v>
                </c:pt>
                <c:pt idx="20">
                  <c:v>52</c:v>
                </c:pt>
                <c:pt idx="21">
                  <c:v>57</c:v>
                </c:pt>
                <c:pt idx="22">
                  <c:v>154</c:v>
                </c:pt>
                <c:pt idx="23">
                  <c:v>50</c:v>
                </c:pt>
                <c:pt idx="24">
                  <c:v>134</c:v>
                </c:pt>
                <c:pt idx="25">
                  <c:v>110</c:v>
                </c:pt>
                <c:pt idx="26">
                  <c:v>82</c:v>
                </c:pt>
                <c:pt idx="28">
                  <c:v>110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 2"</c:f>
              <c:strCache>
                <c:ptCount val="1"/>
                <c:pt idx="0">
                  <c:v>Cluster 2</c:v>
                </c:pt>
              </c:strCache>
            </c:strRef>
          </c:tx>
          <c:spPr>
            <a:solidFill>
              <a:srgbClr val="2e75b6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Chart_Data!$Q$5:$Q$103</c:f>
              <c:numCache>
                <c:formatCode>0.000</c:formatCode>
                <c:ptCount val="99"/>
                <c:pt idx="50">
                  <c:v>43937</c:v>
                </c:pt>
                <c:pt idx="55">
                  <c:v>43942</c:v>
                </c:pt>
                <c:pt idx="63">
                  <c:v>43950</c:v>
                </c:pt>
                <c:pt idx="65">
                  <c:v>43952</c:v>
                </c:pt>
                <c:pt idx="70">
                  <c:v>43957</c:v>
                </c:pt>
                <c:pt idx="74">
                  <c:v>43961</c:v>
                </c:pt>
                <c:pt idx="75">
                  <c:v>43962</c:v>
                </c:pt>
                <c:pt idx="76">
                  <c:v>43963</c:v>
                </c:pt>
                <c:pt idx="77">
                  <c:v>43964</c:v>
                </c:pt>
                <c:pt idx="78">
                  <c:v>43965</c:v>
                </c:pt>
                <c:pt idx="79">
                  <c:v>43966</c:v>
                </c:pt>
                <c:pt idx="80">
                  <c:v>43967</c:v>
                </c:pt>
                <c:pt idx="81">
                  <c:v>43968</c:v>
                </c:pt>
                <c:pt idx="82">
                  <c:v>43969</c:v>
                </c:pt>
                <c:pt idx="83">
                  <c:v>43970</c:v>
                </c:pt>
                <c:pt idx="84">
                  <c:v>43971</c:v>
                </c:pt>
                <c:pt idx="85">
                  <c:v>43972</c:v>
                </c:pt>
                <c:pt idx="86">
                  <c:v>43973</c:v>
                </c:pt>
                <c:pt idx="87">
                  <c:v>43974</c:v>
                </c:pt>
                <c:pt idx="88">
                  <c:v>43975</c:v>
                </c:pt>
                <c:pt idx="89">
                  <c:v>43976</c:v>
                </c:pt>
                <c:pt idx="90">
                  <c:v>43977</c:v>
                </c:pt>
                <c:pt idx="91">
                  <c:v>43978</c:v>
                </c:pt>
                <c:pt idx="92">
                  <c:v>43979</c:v>
                </c:pt>
                <c:pt idx="93">
                  <c:v>43980</c:v>
                </c:pt>
                <c:pt idx="94">
                  <c:v>43981</c:v>
                </c:pt>
                <c:pt idx="95">
                  <c:v>43982</c:v>
                </c:pt>
                <c:pt idx="96">
                  <c:v>43983</c:v>
                </c:pt>
                <c:pt idx="97">
                  <c:v>43984</c:v>
                </c:pt>
                <c:pt idx="98">
                  <c:v>43985</c:v>
                </c:pt>
              </c:numCache>
            </c:numRef>
          </c:xVal>
          <c:yVal>
            <c:numRef>
              <c:f>Chart_Data!$R$5:$R$103</c:f>
              <c:numCache>
                <c:formatCode>0.000</c:formatCode>
                <c:ptCount val="99"/>
                <c:pt idx="50">
                  <c:v>683</c:v>
                </c:pt>
                <c:pt idx="55">
                  <c:v>677</c:v>
                </c:pt>
                <c:pt idx="63">
                  <c:v>948</c:v>
                </c:pt>
                <c:pt idx="65">
                  <c:v>1070</c:v>
                </c:pt>
                <c:pt idx="70">
                  <c:v>1804</c:v>
                </c:pt>
                <c:pt idx="74">
                  <c:v>1463</c:v>
                </c:pt>
                <c:pt idx="75">
                  <c:v>1079</c:v>
                </c:pt>
                <c:pt idx="76">
                  <c:v>2254</c:v>
                </c:pt>
                <c:pt idx="77">
                  <c:v>1431</c:v>
                </c:pt>
                <c:pt idx="78">
                  <c:v>1449</c:v>
                </c:pt>
                <c:pt idx="79">
                  <c:v>1515</c:v>
                </c:pt>
                <c:pt idx="80">
                  <c:v>1372</c:v>
                </c:pt>
                <c:pt idx="81">
                  <c:v>1956</c:v>
                </c:pt>
                <c:pt idx="82">
                  <c:v>1800</c:v>
                </c:pt>
                <c:pt idx="83">
                  <c:v>1874</c:v>
                </c:pt>
                <c:pt idx="84">
                  <c:v>2115</c:v>
                </c:pt>
                <c:pt idx="85">
                  <c:v>2539</c:v>
                </c:pt>
                <c:pt idx="86">
                  <c:v>1728</c:v>
                </c:pt>
                <c:pt idx="87">
                  <c:v>2060</c:v>
                </c:pt>
                <c:pt idx="88">
                  <c:v>1744</c:v>
                </c:pt>
                <c:pt idx="89">
                  <c:v>1356</c:v>
                </c:pt>
                <c:pt idx="90">
                  <c:v>1440</c:v>
                </c:pt>
                <c:pt idx="91">
                  <c:v>2173</c:v>
                </c:pt>
                <c:pt idx="92">
                  <c:v>2562</c:v>
                </c:pt>
                <c:pt idx="93">
                  <c:v>2426</c:v>
                </c:pt>
                <c:pt idx="94">
                  <c:v>2956</c:v>
                </c:pt>
                <c:pt idx="95">
                  <c:v>2883</c:v>
                </c:pt>
                <c:pt idx="96">
                  <c:v>3872</c:v>
                </c:pt>
                <c:pt idx="97">
                  <c:v>4242</c:v>
                </c:pt>
                <c:pt idx="98">
                  <c:v>4677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 3"</c:f>
              <c:strCache>
                <c:ptCount val="1"/>
                <c:pt idx="0">
                  <c:v>Cluster 3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54823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Chart_Data!$S$5:$S$103</c:f>
              <c:numCache>
                <c:formatCode>0.000</c:formatCode>
                <c:ptCount val="99"/>
                <c:pt idx="27">
                  <c:v>43914</c:v>
                </c:pt>
                <c:pt idx="29">
                  <c:v>43916</c:v>
                </c:pt>
                <c:pt idx="30">
                  <c:v>43917</c:v>
                </c:pt>
                <c:pt idx="31">
                  <c:v>43918</c:v>
                </c:pt>
                <c:pt idx="32">
                  <c:v>43919</c:v>
                </c:pt>
                <c:pt idx="33">
                  <c:v>43920</c:v>
                </c:pt>
                <c:pt idx="34">
                  <c:v>43921</c:v>
                </c:pt>
                <c:pt idx="35">
                  <c:v>43922</c:v>
                </c:pt>
                <c:pt idx="36">
                  <c:v>43923</c:v>
                </c:pt>
                <c:pt idx="37">
                  <c:v>43924</c:v>
                </c:pt>
                <c:pt idx="38">
                  <c:v>43925</c:v>
                </c:pt>
                <c:pt idx="39">
                  <c:v>43926</c:v>
                </c:pt>
                <c:pt idx="40">
                  <c:v>43927</c:v>
                </c:pt>
                <c:pt idx="41">
                  <c:v>43928</c:v>
                </c:pt>
                <c:pt idx="42">
                  <c:v>43929</c:v>
                </c:pt>
                <c:pt idx="43">
                  <c:v>43930</c:v>
                </c:pt>
                <c:pt idx="44">
                  <c:v>43931</c:v>
                </c:pt>
                <c:pt idx="45">
                  <c:v>43932</c:v>
                </c:pt>
                <c:pt idx="46">
                  <c:v>43933</c:v>
                </c:pt>
                <c:pt idx="47">
                  <c:v>43934</c:v>
                </c:pt>
                <c:pt idx="48">
                  <c:v>43935</c:v>
                </c:pt>
                <c:pt idx="49">
                  <c:v>43936</c:v>
                </c:pt>
                <c:pt idx="51">
                  <c:v>43938</c:v>
                </c:pt>
                <c:pt idx="52">
                  <c:v>43939</c:v>
                </c:pt>
                <c:pt idx="53">
                  <c:v>43940</c:v>
                </c:pt>
                <c:pt idx="54">
                  <c:v>43941</c:v>
                </c:pt>
                <c:pt idx="56">
                  <c:v>43943</c:v>
                </c:pt>
                <c:pt idx="57">
                  <c:v>43944</c:v>
                </c:pt>
                <c:pt idx="58">
                  <c:v>43945</c:v>
                </c:pt>
                <c:pt idx="59">
                  <c:v>43946</c:v>
                </c:pt>
                <c:pt idx="60">
                  <c:v>43947</c:v>
                </c:pt>
                <c:pt idx="61">
                  <c:v>43948</c:v>
                </c:pt>
                <c:pt idx="62">
                  <c:v>43949</c:v>
                </c:pt>
                <c:pt idx="64">
                  <c:v>43951</c:v>
                </c:pt>
                <c:pt idx="66">
                  <c:v>43953</c:v>
                </c:pt>
                <c:pt idx="67">
                  <c:v>43954</c:v>
                </c:pt>
                <c:pt idx="68">
                  <c:v>43955</c:v>
                </c:pt>
                <c:pt idx="69">
                  <c:v>43956</c:v>
                </c:pt>
                <c:pt idx="71">
                  <c:v>43958</c:v>
                </c:pt>
                <c:pt idx="72">
                  <c:v>43959</c:v>
                </c:pt>
                <c:pt idx="73">
                  <c:v>43960</c:v>
                </c:pt>
              </c:numCache>
            </c:numRef>
          </c:xVal>
          <c:yVal>
            <c:numRef>
              <c:f>Chart_Data!$T$5:$T$103</c:f>
              <c:numCache>
                <c:formatCode>0.000</c:formatCode>
                <c:ptCount val="99"/>
                <c:pt idx="27">
                  <c:v>114</c:v>
                </c:pt>
                <c:pt idx="29">
                  <c:v>131</c:v>
                </c:pt>
                <c:pt idx="30">
                  <c:v>122</c:v>
                </c:pt>
                <c:pt idx="31">
                  <c:v>184</c:v>
                </c:pt>
                <c:pt idx="32">
                  <c:v>87</c:v>
                </c:pt>
                <c:pt idx="33">
                  <c:v>145</c:v>
                </c:pt>
                <c:pt idx="34">
                  <c:v>223</c:v>
                </c:pt>
                <c:pt idx="35">
                  <c:v>260</c:v>
                </c:pt>
                <c:pt idx="36">
                  <c:v>183</c:v>
                </c:pt>
                <c:pt idx="37">
                  <c:v>239</c:v>
                </c:pt>
                <c:pt idx="38">
                  <c:v>79</c:v>
                </c:pt>
                <c:pt idx="39">
                  <c:v>180</c:v>
                </c:pt>
                <c:pt idx="40">
                  <c:v>249</c:v>
                </c:pt>
                <c:pt idx="41">
                  <c:v>107</c:v>
                </c:pt>
                <c:pt idx="42">
                  <c:v>337</c:v>
                </c:pt>
                <c:pt idx="43">
                  <c:v>874</c:v>
                </c:pt>
                <c:pt idx="44">
                  <c:v>156</c:v>
                </c:pt>
                <c:pt idx="45">
                  <c:v>297</c:v>
                </c:pt>
                <c:pt idx="46">
                  <c:v>253</c:v>
                </c:pt>
                <c:pt idx="47">
                  <c:v>173</c:v>
                </c:pt>
                <c:pt idx="48">
                  <c:v>628</c:v>
                </c:pt>
                <c:pt idx="49">
                  <c:v>321</c:v>
                </c:pt>
                <c:pt idx="51">
                  <c:v>512</c:v>
                </c:pt>
                <c:pt idx="52">
                  <c:v>285</c:v>
                </c:pt>
                <c:pt idx="53">
                  <c:v>583</c:v>
                </c:pt>
                <c:pt idx="54">
                  <c:v>707</c:v>
                </c:pt>
                <c:pt idx="56">
                  <c:v>767</c:v>
                </c:pt>
                <c:pt idx="57">
                  <c:v>641</c:v>
                </c:pt>
                <c:pt idx="58">
                  <c:v>534</c:v>
                </c:pt>
                <c:pt idx="59">
                  <c:v>922</c:v>
                </c:pt>
                <c:pt idx="60">
                  <c:v>660</c:v>
                </c:pt>
                <c:pt idx="61">
                  <c:v>739</c:v>
                </c:pt>
                <c:pt idx="62">
                  <c:v>730</c:v>
                </c:pt>
                <c:pt idx="64">
                  <c:v>665</c:v>
                </c:pt>
                <c:pt idx="66">
                  <c:v>1123</c:v>
                </c:pt>
                <c:pt idx="67">
                  <c:v>1342</c:v>
                </c:pt>
                <c:pt idx="68">
                  <c:v>1052</c:v>
                </c:pt>
                <c:pt idx="69">
                  <c:v>1023</c:v>
                </c:pt>
                <c:pt idx="71">
                  <c:v>863</c:v>
                </c:pt>
                <c:pt idx="72">
                  <c:v>1829</c:v>
                </c:pt>
                <c:pt idx="73">
                  <c:v>2554</c:v>
                </c:pt>
              </c:numCache>
            </c:numRef>
          </c:yVal>
          <c:smooth val="1"/>
        </c:ser>
        <c:axId val="80095721"/>
        <c:axId val="51910413"/>
      </c:scatterChart>
      <c:valAx>
        <c:axId val="8009572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\-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910413"/>
        <c:crosses val="autoZero"/>
        <c:crossBetween val="midCat"/>
      </c:valAx>
      <c:valAx>
        <c:axId val="519104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Daily 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09572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Travel history: Z_Cases vs Z_Deaths by cluster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 1"</c:f>
              <c:strCache>
                <c:ptCount val="1"/>
                <c:pt idx="0">
                  <c:v>Cluster 1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Chart_Data!$V$5:$V$19</c:f>
              <c:numCache>
                <c:formatCode>0.000</c:formatCode>
                <c:ptCount val="15"/>
                <c:pt idx="0">
                  <c:v>2.29982752189237</c:v>
                </c:pt>
              </c:numCache>
            </c:numRef>
          </c:xVal>
          <c:yVal>
            <c:numRef>
              <c:f>Chart_Data!$W$5:$W$19</c:f>
              <c:numCache>
                <c:formatCode>0.000</c:formatCode>
                <c:ptCount val="15"/>
                <c:pt idx="0">
                  <c:v>2.90182235621279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 2"</c:f>
              <c:strCache>
                <c:ptCount val="1"/>
                <c:pt idx="0">
                  <c:v>Cluster 2</c:v>
                </c:pt>
              </c:strCache>
            </c:strRef>
          </c:tx>
          <c:spPr>
            <a:solidFill>
              <a:srgbClr val="2e75b6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Chart_Data!$X$5:$X$19</c:f>
              <c:numCache>
                <c:formatCode>0.000</c:formatCode>
                <c:ptCount val="15"/>
                <c:pt idx="4">
                  <c:v>0.287989773087426</c:v>
                </c:pt>
                <c:pt idx="5">
                  <c:v>0.159817485303695</c:v>
                </c:pt>
                <c:pt idx="6">
                  <c:v>-0.0232558420171331</c:v>
                </c:pt>
                <c:pt idx="7">
                  <c:v>-0.507317456961048</c:v>
                </c:pt>
                <c:pt idx="8">
                  <c:v>-0.548120816111638</c:v>
                </c:pt>
                <c:pt idx="9">
                  <c:v>-0.595224837335964</c:v>
                </c:pt>
                <c:pt idx="10">
                  <c:v>-0.807030711570608</c:v>
                </c:pt>
                <c:pt idx="11">
                  <c:v>-0.807030711570608</c:v>
                </c:pt>
                <c:pt idx="12">
                  <c:v>-0.930929205430336</c:v>
                </c:pt>
                <c:pt idx="13">
                  <c:v>-0.930929205430336</c:v>
                </c:pt>
                <c:pt idx="14">
                  <c:v>-0.930929205430336</c:v>
                </c:pt>
              </c:numCache>
            </c:numRef>
          </c:xVal>
          <c:yVal>
            <c:numRef>
              <c:f>Chart_Data!$Y$5:$Y$19</c:f>
              <c:numCache>
                <c:formatCode>0.000</c:formatCode>
                <c:ptCount val="15"/>
                <c:pt idx="4">
                  <c:v>-0.518201077201994</c:v>
                </c:pt>
                <c:pt idx="5">
                  <c:v>-0.518201077201994</c:v>
                </c:pt>
                <c:pt idx="6">
                  <c:v>-0.518201077201994</c:v>
                </c:pt>
                <c:pt idx="7">
                  <c:v>-0.518201077201994</c:v>
                </c:pt>
                <c:pt idx="8">
                  <c:v>-0.197640546419405</c:v>
                </c:pt>
                <c:pt idx="9">
                  <c:v>-0.518201077201994</c:v>
                </c:pt>
                <c:pt idx="10">
                  <c:v>-0.518201077201994</c:v>
                </c:pt>
                <c:pt idx="11">
                  <c:v>-0.518201077201994</c:v>
                </c:pt>
                <c:pt idx="12">
                  <c:v>-0.518201077201994</c:v>
                </c:pt>
                <c:pt idx="13">
                  <c:v>-0.518201077201994</c:v>
                </c:pt>
                <c:pt idx="14">
                  <c:v>-0.518201077201994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 3"</c:f>
              <c:strCache>
                <c:ptCount val="1"/>
                <c:pt idx="0">
                  <c:v>Cluster 3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54823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Chart_Data!$Z$5:$Z$19</c:f>
              <c:numCache>
                <c:formatCode>0.000</c:formatCode>
                <c:ptCount val="15"/>
                <c:pt idx="1">
                  <c:v>1.34737261021607</c:v>
                </c:pt>
                <c:pt idx="2">
                  <c:v>1.0016132856446</c:v>
                </c:pt>
                <c:pt idx="3">
                  <c:v>0.984147315713857</c:v>
                </c:pt>
              </c:numCache>
            </c:numRef>
          </c:xVal>
          <c:yVal>
            <c:numRef>
              <c:f>Chart_Data!$AA$5:$AA$19</c:f>
              <c:numCache>
                <c:formatCode>0.000</c:formatCode>
                <c:ptCount val="15"/>
                <c:pt idx="1">
                  <c:v>1.53639668327942</c:v>
                </c:pt>
                <c:pt idx="2">
                  <c:v>0.310435874082269</c:v>
                </c:pt>
                <c:pt idx="3">
                  <c:v>0.630996404864858</c:v>
                </c:pt>
              </c:numCache>
            </c:numRef>
          </c:yVal>
          <c:smooth val="1"/>
        </c:ser>
        <c:axId val="95606042"/>
        <c:axId val="64592135"/>
      </c:scatterChart>
      <c:valAx>
        <c:axId val="95606042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Z_Cases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592135"/>
        <c:crosses val="autoZero"/>
        <c:crossBetween val="midCat"/>
      </c:valAx>
      <c:valAx>
        <c:axId val="645921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Z_Deaths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60604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<Relationship Id="rId4" Type="http://schemas.openxmlformats.org/officeDocument/2006/relationships/chart" Target="../charts/chart15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8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9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Relationship Id="rId3" Type="http://schemas.openxmlformats.org/officeDocument/2006/relationships/chart" Target="../charts/chart2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2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24.xml"/><Relationship Id="rId2" Type="http://schemas.openxmlformats.org/officeDocument/2006/relationships/chart" Target="../charts/chart25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<Relationship Id="rId3" Type="http://schemas.openxmlformats.org/officeDocument/2006/relationships/chart" Target="../charts/chart28.xml"/><Relationship Id="rId4" Type="http://schemas.openxmlformats.org/officeDocument/2006/relationships/chart" Target="../charts/chart2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</xdr:row>
      <xdr:rowOff>131040</xdr:rowOff>
    </xdr:from>
    <xdr:to>
      <xdr:col>3</xdr:col>
      <xdr:colOff>1003680</xdr:colOff>
      <xdr:row>44</xdr:row>
      <xdr:rowOff>142560</xdr:rowOff>
    </xdr:to>
    <xdr:graphicFrame>
      <xdr:nvGraphicFramePr>
        <xdr:cNvPr id="0" name="Chart 1"/>
        <xdr:cNvGraphicFramePr/>
      </xdr:nvGraphicFramePr>
      <xdr:xfrm>
        <a:off x="0" y="8096400"/>
        <a:ext cx="4175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28</xdr:row>
      <xdr:rowOff>131040</xdr:rowOff>
    </xdr:from>
    <xdr:to>
      <xdr:col>7</xdr:col>
      <xdr:colOff>1004040</xdr:colOff>
      <xdr:row>44</xdr:row>
      <xdr:rowOff>142560</xdr:rowOff>
    </xdr:to>
    <xdr:graphicFrame>
      <xdr:nvGraphicFramePr>
        <xdr:cNvPr id="1" name="Chart 2"/>
        <xdr:cNvGraphicFramePr/>
      </xdr:nvGraphicFramePr>
      <xdr:xfrm>
        <a:off x="4229280" y="8096400"/>
        <a:ext cx="4175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2</xdr:row>
      <xdr:rowOff>131040</xdr:rowOff>
    </xdr:from>
    <xdr:to>
      <xdr:col>31</xdr:col>
      <xdr:colOff>78480</xdr:colOff>
      <xdr:row>17</xdr:row>
      <xdr:rowOff>151200</xdr:rowOff>
    </xdr:to>
    <xdr:graphicFrame>
      <xdr:nvGraphicFramePr>
        <xdr:cNvPr id="2" name="Chart 1"/>
        <xdr:cNvGraphicFramePr/>
      </xdr:nvGraphicFramePr>
      <xdr:xfrm>
        <a:off x="12946320" y="5716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17</xdr:col>
      <xdr:colOff>0</xdr:colOff>
      <xdr:row>21</xdr:row>
      <xdr:rowOff>130680</xdr:rowOff>
    </xdr:from>
    <xdr:to>
      <xdr:col>31</xdr:col>
      <xdr:colOff>78480</xdr:colOff>
      <xdr:row>38</xdr:row>
      <xdr:rowOff>131760</xdr:rowOff>
    </xdr:to>
    <xdr:graphicFrame>
      <xdr:nvGraphicFramePr>
        <xdr:cNvPr id="3" name="Chart 2"/>
        <xdr:cNvGraphicFramePr/>
      </xdr:nvGraphicFramePr>
      <xdr:xfrm>
        <a:off x="12946320" y="455292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0</xdr:colOff>
      <xdr:row>40</xdr:row>
      <xdr:rowOff>130680</xdr:rowOff>
    </xdr:from>
    <xdr:to>
      <xdr:col>31</xdr:col>
      <xdr:colOff>78480</xdr:colOff>
      <xdr:row>57</xdr:row>
      <xdr:rowOff>131760</xdr:rowOff>
    </xdr:to>
    <xdr:graphicFrame>
      <xdr:nvGraphicFramePr>
        <xdr:cNvPr id="4" name="Chart 3"/>
        <xdr:cNvGraphicFramePr/>
      </xdr:nvGraphicFramePr>
      <xdr:xfrm>
        <a:off x="12946320" y="817236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2</xdr:row>
      <xdr:rowOff>131040</xdr:rowOff>
    </xdr:from>
    <xdr:to>
      <xdr:col>21</xdr:col>
      <xdr:colOff>4680</xdr:colOff>
      <xdr:row>16</xdr:row>
      <xdr:rowOff>133920</xdr:rowOff>
    </xdr:to>
    <xdr:graphicFrame>
      <xdr:nvGraphicFramePr>
        <xdr:cNvPr id="5" name="Chart 1"/>
        <xdr:cNvGraphicFramePr/>
      </xdr:nvGraphicFramePr>
      <xdr:xfrm>
        <a:off x="8223840" y="57168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11</xdr:row>
      <xdr:rowOff>130680</xdr:rowOff>
    </xdr:from>
    <xdr:to>
      <xdr:col>6</xdr:col>
      <xdr:colOff>536040</xdr:colOff>
      <xdr:row>26</xdr:row>
      <xdr:rowOff>153000</xdr:rowOff>
    </xdr:to>
    <xdr:graphicFrame>
      <xdr:nvGraphicFramePr>
        <xdr:cNvPr id="6" name="Chart 1"/>
        <xdr:cNvGraphicFramePr/>
      </xdr:nvGraphicFramePr>
      <xdr:xfrm>
        <a:off x="0" y="249552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2</xdr:row>
      <xdr:rowOff>131040</xdr:rowOff>
    </xdr:from>
    <xdr:to>
      <xdr:col>22</xdr:col>
      <xdr:colOff>4680</xdr:colOff>
      <xdr:row>16</xdr:row>
      <xdr:rowOff>133920</xdr:rowOff>
    </xdr:to>
    <xdr:graphicFrame>
      <xdr:nvGraphicFramePr>
        <xdr:cNvPr id="7" name="Chart 1"/>
        <xdr:cNvGraphicFramePr/>
      </xdr:nvGraphicFramePr>
      <xdr:xfrm>
        <a:off x="11677680" y="57168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20</xdr:row>
      <xdr:rowOff>130680</xdr:rowOff>
    </xdr:from>
    <xdr:to>
      <xdr:col>22</xdr:col>
      <xdr:colOff>4680</xdr:colOff>
      <xdr:row>34</xdr:row>
      <xdr:rowOff>133560</xdr:rowOff>
    </xdr:to>
    <xdr:graphicFrame>
      <xdr:nvGraphicFramePr>
        <xdr:cNvPr id="8" name="Chart 2"/>
        <xdr:cNvGraphicFramePr/>
      </xdr:nvGraphicFramePr>
      <xdr:xfrm>
        <a:off x="11677680" y="458136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23</xdr:row>
      <xdr:rowOff>130680</xdr:rowOff>
    </xdr:from>
    <xdr:to>
      <xdr:col>8</xdr:col>
      <xdr:colOff>166320</xdr:colOff>
      <xdr:row>40</xdr:row>
      <xdr:rowOff>131760</xdr:rowOff>
    </xdr:to>
    <xdr:graphicFrame>
      <xdr:nvGraphicFramePr>
        <xdr:cNvPr id="9" name="Chart 1"/>
        <xdr:cNvGraphicFramePr/>
      </xdr:nvGraphicFramePr>
      <xdr:xfrm>
        <a:off x="0" y="509580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131040</xdr:rowOff>
    </xdr:from>
    <xdr:to>
      <xdr:col>18</xdr:col>
      <xdr:colOff>4680</xdr:colOff>
      <xdr:row>16</xdr:row>
      <xdr:rowOff>133920</xdr:rowOff>
    </xdr:to>
    <xdr:graphicFrame>
      <xdr:nvGraphicFramePr>
        <xdr:cNvPr id="10" name="Chart 1"/>
        <xdr:cNvGraphicFramePr/>
      </xdr:nvGraphicFramePr>
      <xdr:xfrm>
        <a:off x="7730640" y="57168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131040</xdr:rowOff>
    </xdr:from>
    <xdr:to>
      <xdr:col>6</xdr:col>
      <xdr:colOff>504720</xdr:colOff>
      <xdr:row>19</xdr:row>
      <xdr:rowOff>132120</xdr:rowOff>
    </xdr:to>
    <xdr:graphicFrame>
      <xdr:nvGraphicFramePr>
        <xdr:cNvPr id="11" name="Chart 1"/>
        <xdr:cNvGraphicFramePr/>
      </xdr:nvGraphicFramePr>
      <xdr:xfrm>
        <a:off x="0" y="57168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131040</xdr:rowOff>
    </xdr:from>
    <xdr:to>
      <xdr:col>16</xdr:col>
      <xdr:colOff>504720</xdr:colOff>
      <xdr:row>19</xdr:row>
      <xdr:rowOff>132120</xdr:rowOff>
    </xdr:to>
    <xdr:graphicFrame>
      <xdr:nvGraphicFramePr>
        <xdr:cNvPr id="12" name="Chart 2"/>
        <xdr:cNvGraphicFramePr/>
      </xdr:nvGraphicFramePr>
      <xdr:xfrm>
        <a:off x="8458200" y="57168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21</xdr:row>
      <xdr:rowOff>131040</xdr:rowOff>
    </xdr:from>
    <xdr:to>
      <xdr:col>6</xdr:col>
      <xdr:colOff>504720</xdr:colOff>
      <xdr:row>38</xdr:row>
      <xdr:rowOff>132120</xdr:rowOff>
    </xdr:to>
    <xdr:graphicFrame>
      <xdr:nvGraphicFramePr>
        <xdr:cNvPr id="13" name="Chart 3"/>
        <xdr:cNvGraphicFramePr/>
      </xdr:nvGraphicFramePr>
      <xdr:xfrm>
        <a:off x="0" y="419112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21</xdr:row>
      <xdr:rowOff>131040</xdr:rowOff>
    </xdr:from>
    <xdr:to>
      <xdr:col>16</xdr:col>
      <xdr:colOff>504720</xdr:colOff>
      <xdr:row>38</xdr:row>
      <xdr:rowOff>132120</xdr:rowOff>
    </xdr:to>
    <xdr:graphicFrame>
      <xdr:nvGraphicFramePr>
        <xdr:cNvPr id="14" name="Chart 4"/>
        <xdr:cNvGraphicFramePr/>
      </xdr:nvGraphicFramePr>
      <xdr:xfrm>
        <a:off x="8458200" y="419112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3</xdr:row>
      <xdr:rowOff>131040</xdr:rowOff>
    </xdr:from>
    <xdr:to>
      <xdr:col>26</xdr:col>
      <xdr:colOff>581400</xdr:colOff>
      <xdr:row>20</xdr:row>
      <xdr:rowOff>129960</xdr:rowOff>
    </xdr:to>
    <xdr:graphicFrame>
      <xdr:nvGraphicFramePr>
        <xdr:cNvPr id="15" name="Chart 1"/>
        <xdr:cNvGraphicFramePr/>
      </xdr:nvGraphicFramePr>
      <xdr:xfrm>
        <a:off x="10620360" y="76212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26</xdr:row>
      <xdr:rowOff>130680</xdr:rowOff>
    </xdr:from>
    <xdr:to>
      <xdr:col>26</xdr:col>
      <xdr:colOff>581400</xdr:colOff>
      <xdr:row>47</xdr:row>
      <xdr:rowOff>47880</xdr:rowOff>
    </xdr:to>
    <xdr:graphicFrame>
      <xdr:nvGraphicFramePr>
        <xdr:cNvPr id="16" name="Chart 2"/>
        <xdr:cNvGraphicFramePr/>
      </xdr:nvGraphicFramePr>
      <xdr:xfrm>
        <a:off x="10620360" y="5715000"/>
        <a:ext cx="79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0</xdr:colOff>
      <xdr:row>2</xdr:row>
      <xdr:rowOff>131040</xdr:rowOff>
    </xdr:from>
    <xdr:to>
      <xdr:col>31</xdr:col>
      <xdr:colOff>78480</xdr:colOff>
      <xdr:row>18</xdr:row>
      <xdr:rowOff>130320</xdr:rowOff>
    </xdr:to>
    <xdr:graphicFrame>
      <xdr:nvGraphicFramePr>
        <xdr:cNvPr id="17" name="Chart 1"/>
        <xdr:cNvGraphicFramePr/>
      </xdr:nvGraphicFramePr>
      <xdr:xfrm>
        <a:off x="14779080" y="57168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131040</xdr:rowOff>
    </xdr:from>
    <xdr:to>
      <xdr:col>7</xdr:col>
      <xdr:colOff>629280</xdr:colOff>
      <xdr:row>31</xdr:row>
      <xdr:rowOff>132120</xdr:rowOff>
    </xdr:to>
    <xdr:graphicFrame>
      <xdr:nvGraphicFramePr>
        <xdr:cNvPr id="18" name="Chart 1"/>
        <xdr:cNvGraphicFramePr/>
      </xdr:nvGraphicFramePr>
      <xdr:xfrm>
        <a:off x="0" y="37339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27</xdr:row>
      <xdr:rowOff>130680</xdr:rowOff>
    </xdr:from>
    <xdr:to>
      <xdr:col>14</xdr:col>
      <xdr:colOff>246600</xdr:colOff>
      <xdr:row>39</xdr:row>
      <xdr:rowOff>2520</xdr:rowOff>
    </xdr:to>
    <xdr:graphicFrame>
      <xdr:nvGraphicFramePr>
        <xdr:cNvPr id="19" name="Chart 1"/>
        <xdr:cNvGraphicFramePr/>
      </xdr:nvGraphicFramePr>
      <xdr:xfrm>
        <a:off x="9633600" y="61149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42</xdr:row>
      <xdr:rowOff>130680</xdr:rowOff>
    </xdr:from>
    <xdr:to>
      <xdr:col>14</xdr:col>
      <xdr:colOff>246600</xdr:colOff>
      <xdr:row>55</xdr:row>
      <xdr:rowOff>173880</xdr:rowOff>
    </xdr:to>
    <xdr:graphicFrame>
      <xdr:nvGraphicFramePr>
        <xdr:cNvPr id="20" name="Chart 2"/>
        <xdr:cNvGraphicFramePr/>
      </xdr:nvGraphicFramePr>
      <xdr:xfrm>
        <a:off x="9633600" y="933444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0</xdr:colOff>
      <xdr:row>9</xdr:row>
      <xdr:rowOff>130680</xdr:rowOff>
    </xdr:from>
    <xdr:to>
      <xdr:col>27</xdr:col>
      <xdr:colOff>147600</xdr:colOff>
      <xdr:row>21</xdr:row>
      <xdr:rowOff>154800</xdr:rowOff>
    </xdr:to>
    <xdr:graphicFrame>
      <xdr:nvGraphicFramePr>
        <xdr:cNvPr id="21" name="Chart 3"/>
        <xdr:cNvGraphicFramePr/>
      </xdr:nvGraphicFramePr>
      <xdr:xfrm>
        <a:off x="18234720" y="247644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128</xdr:row>
      <xdr:rowOff>130680</xdr:rowOff>
    </xdr:from>
    <xdr:to>
      <xdr:col>9</xdr:col>
      <xdr:colOff>377640</xdr:colOff>
      <xdr:row>147</xdr:row>
      <xdr:rowOff>110880</xdr:rowOff>
    </xdr:to>
    <xdr:graphicFrame>
      <xdr:nvGraphicFramePr>
        <xdr:cNvPr id="22" name="Chart 1"/>
        <xdr:cNvGraphicFramePr/>
      </xdr:nvGraphicFramePr>
      <xdr:xfrm>
        <a:off x="0" y="2546028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16</xdr:row>
      <xdr:rowOff>130680</xdr:rowOff>
    </xdr:from>
    <xdr:to>
      <xdr:col>4</xdr:col>
      <xdr:colOff>1092240</xdr:colOff>
      <xdr:row>31</xdr:row>
      <xdr:rowOff>153000</xdr:rowOff>
    </xdr:to>
    <xdr:graphicFrame>
      <xdr:nvGraphicFramePr>
        <xdr:cNvPr id="23" name="Chart 1"/>
        <xdr:cNvGraphicFramePr/>
      </xdr:nvGraphicFramePr>
      <xdr:xfrm>
        <a:off x="281880" y="344808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34</xdr:row>
      <xdr:rowOff>130680</xdr:rowOff>
    </xdr:from>
    <xdr:to>
      <xdr:col>4</xdr:col>
      <xdr:colOff>1092240</xdr:colOff>
      <xdr:row>49</xdr:row>
      <xdr:rowOff>153000</xdr:rowOff>
    </xdr:to>
    <xdr:graphicFrame>
      <xdr:nvGraphicFramePr>
        <xdr:cNvPr id="24" name="Chart 2"/>
        <xdr:cNvGraphicFramePr/>
      </xdr:nvGraphicFramePr>
      <xdr:xfrm>
        <a:off x="281880" y="687708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131040</xdr:rowOff>
    </xdr:from>
    <xdr:to>
      <xdr:col>6</xdr:col>
      <xdr:colOff>504720</xdr:colOff>
      <xdr:row>19</xdr:row>
      <xdr:rowOff>132120</xdr:rowOff>
    </xdr:to>
    <xdr:graphicFrame>
      <xdr:nvGraphicFramePr>
        <xdr:cNvPr id="25" name="Chart 1"/>
        <xdr:cNvGraphicFramePr/>
      </xdr:nvGraphicFramePr>
      <xdr:xfrm>
        <a:off x="0" y="57168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131040</xdr:rowOff>
    </xdr:from>
    <xdr:to>
      <xdr:col>16</xdr:col>
      <xdr:colOff>504720</xdr:colOff>
      <xdr:row>19</xdr:row>
      <xdr:rowOff>132120</xdr:rowOff>
    </xdr:to>
    <xdr:graphicFrame>
      <xdr:nvGraphicFramePr>
        <xdr:cNvPr id="26" name="Chart 2"/>
        <xdr:cNvGraphicFramePr/>
      </xdr:nvGraphicFramePr>
      <xdr:xfrm>
        <a:off x="8458200" y="57168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21</xdr:row>
      <xdr:rowOff>131040</xdr:rowOff>
    </xdr:from>
    <xdr:to>
      <xdr:col>6</xdr:col>
      <xdr:colOff>504720</xdr:colOff>
      <xdr:row>38</xdr:row>
      <xdr:rowOff>132120</xdr:rowOff>
    </xdr:to>
    <xdr:graphicFrame>
      <xdr:nvGraphicFramePr>
        <xdr:cNvPr id="27" name="Chart 3"/>
        <xdr:cNvGraphicFramePr/>
      </xdr:nvGraphicFramePr>
      <xdr:xfrm>
        <a:off x="0" y="419112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21</xdr:row>
      <xdr:rowOff>131040</xdr:rowOff>
    </xdr:from>
    <xdr:to>
      <xdr:col>16</xdr:col>
      <xdr:colOff>504720</xdr:colOff>
      <xdr:row>38</xdr:row>
      <xdr:rowOff>132120</xdr:rowOff>
    </xdr:to>
    <xdr:graphicFrame>
      <xdr:nvGraphicFramePr>
        <xdr:cNvPr id="28" name="Chart 4"/>
        <xdr:cNvGraphicFramePr/>
      </xdr:nvGraphicFramePr>
      <xdr:xfrm>
        <a:off x="8458200" y="4191120"/>
        <a:ext cx="55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4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H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tr">
        <f aca="false">"Data period: "&amp;TEXT(Daily!A5,"d mmm yyyy")&amp;" – "&amp;TEXT(Daily!A103,"d mmm yyyy")&amp;" · "&amp;COUNT(Daily!A5:A103)&amp;" calendar days · "&amp;TEXT(COUNTA(Data!$A$2:$A$2797),"#,##0")&amp;" case records · source: PK_COVID_Dashboard.xlsx (Clean sheet)"</f>
        <v>Data period: 26 Feb 2020 – 3 Jun 2020 · 99 calendar days · 2,796 case records · source: PK_COVID_Dashboard.xlsx (Clean sheet)</v>
      </c>
    </row>
    <row r="4" customFormat="false" ht="15" hidden="false" customHeight="false" outlineLevel="0" collapsed="false">
      <c r="A4" s="3" t="s">
        <v>1</v>
      </c>
      <c r="B4" s="3"/>
      <c r="C4" s="3" t="s">
        <v>2</v>
      </c>
      <c r="D4" s="3"/>
      <c r="E4" s="3" t="s">
        <v>3</v>
      </c>
      <c r="F4" s="3"/>
      <c r="G4" s="3" t="s">
        <v>4</v>
      </c>
      <c r="H4" s="3"/>
    </row>
    <row r="5" customFormat="false" ht="30" hidden="false" customHeight="true" outlineLevel="0" collapsed="false">
      <c r="A5" s="4" t="n">
        <f aca="false">SUM(Data!$B$2:$B$2797)</f>
        <v>83985</v>
      </c>
      <c r="B5" s="4"/>
      <c r="C5" s="4" t="n">
        <f aca="false">SUM(Data!$C$2:$C$2797)</f>
        <v>1728</v>
      </c>
      <c r="D5" s="4"/>
      <c r="E5" s="4" t="n">
        <f aca="false">SUM(Data!$D$2:$D$2797)</f>
        <v>24753</v>
      </c>
      <c r="F5" s="4"/>
      <c r="G5" s="4" t="n">
        <f aca="false">A5-C5-E5</f>
        <v>57504</v>
      </c>
      <c r="H5" s="4"/>
    </row>
    <row r="6" customFormat="false" ht="15" hidden="false" customHeight="false" outlineLevel="0" collapsed="false">
      <c r="A6" s="5" t="s">
        <v>5</v>
      </c>
      <c r="B6" s="5"/>
      <c r="C6" s="5" t="s">
        <v>6</v>
      </c>
      <c r="D6" s="5"/>
      <c r="E6" s="5" t="s">
        <v>7</v>
      </c>
      <c r="F6" s="5"/>
      <c r="G6" s="5" t="s">
        <v>8</v>
      </c>
      <c r="H6" s="5"/>
    </row>
    <row r="8" customFormat="false" ht="15" hidden="false" customHeight="false" outlineLevel="0" collapsed="false">
      <c r="A8" s="3" t="s">
        <v>9</v>
      </c>
      <c r="B8" s="3"/>
      <c r="C8" s="3" t="s">
        <v>10</v>
      </c>
      <c r="D8" s="3"/>
      <c r="E8" s="3" t="s">
        <v>11</v>
      </c>
      <c r="F8" s="3"/>
      <c r="G8" s="3" t="s">
        <v>12</v>
      </c>
      <c r="H8" s="3"/>
    </row>
    <row r="9" customFormat="false" ht="30" hidden="false" customHeight="true" outlineLevel="0" collapsed="false">
      <c r="A9" s="6" t="n">
        <f aca="false">C5/A5</f>
        <v>0.0205751026969102</v>
      </c>
      <c r="B9" s="6"/>
      <c r="C9" s="7" t="n">
        <f aca="false">E5/A5</f>
        <v>0.294731202000357</v>
      </c>
      <c r="D9" s="7"/>
      <c r="E9" s="4" t="n">
        <f aca="false">MAX(Daily!$C$5:$C$103)</f>
        <v>4677</v>
      </c>
      <c r="F9" s="4"/>
      <c r="G9" s="4" t="n">
        <f aca="false">Daily!J103</f>
        <v>3374</v>
      </c>
      <c r="H9" s="4"/>
    </row>
    <row r="10" customFormat="false" ht="15" hidden="false" customHeight="false" outlineLevel="0" collapsed="false">
      <c r="A10" s="5" t="s">
        <v>13</v>
      </c>
      <c r="B10" s="5"/>
      <c r="C10" s="5" t="s">
        <v>14</v>
      </c>
      <c r="D10" s="5"/>
      <c r="E10" s="5" t="str">
        <f aca="false">TEXT(INDEX(Daily!$A$5:$A$103,MATCH(E9,Daily!$C$5:$C$103,0)),"d mmm yyyy")</f>
        <v>3 Jun 2020</v>
      </c>
      <c r="F10" s="5"/>
      <c r="G10" s="5" t="str">
        <f aca="false">TEXT(Daily!A103,"d mmm yyyy")&amp;" · cases per day"</f>
        <v>3 Jun 2020 · cases per day</v>
      </c>
      <c r="H10" s="5"/>
    </row>
    <row r="12" customFormat="false" ht="15" hidden="false" customHeight="false" outlineLevel="0" collapsed="false">
      <c r="A12" s="8" t="s">
        <v>15</v>
      </c>
    </row>
    <row r="13" customFormat="false" ht="33.75" hidden="false" customHeight="true" outlineLevel="0" collapsed="false">
      <c r="A13" s="9" t="str">
        <f aca="false">"1. Scale — "&amp;TEXT(A5,"#,##0")&amp;" confirmed cases and "&amp;TEXT(C5,"#,##0")&amp;" deaths in "&amp;COUNT(Daily!A5:A103)&amp;" days: a crude fatality rate of "&amp;TEXT(A9,"0.00%")&amp;", averaging "&amp;TEXT(A5/COUNT(Daily!A5:A103),"#,##0")&amp;" new cases a day."</f>
        <v>1. Scale — 83,985 confirmed cases and 1,728 deaths in 99 days: a crude fatality rate of 2.06%, averaging 848 new cases a day.</v>
      </c>
      <c r="B13" s="9"/>
      <c r="C13" s="9"/>
      <c r="D13" s="9"/>
      <c r="E13" s="9"/>
      <c r="F13" s="9"/>
      <c r="G13" s="9"/>
      <c r="H13" s="9"/>
    </row>
    <row r="14" customFormat="false" ht="33.75" hidden="false" customHeight="true" outlineLevel="0" collapsed="false">
      <c r="A14" s="9" t="str">
        <f aca="false">"2. Momentum — the 7-day average reached "&amp;TEXT(G9,"#,##0")&amp;" cases a day on "&amp;TEXT(Daily!A103,"d mmm")&amp;", "&amp;TEXT(Daily!M103,"+0%;-0%")&amp;" on a week earlier. "&amp;IF(INDEX(Daily!$A$5:$A$103,MATCH(E9,Daily!$C$5:$C$103,0))=Daily!A103,"The highest single day ("&amp;TEXT(E9,"#,##0")&amp;") is the last day in the data, so the outbreak had not peaked.","The highest single day was "&amp;TEXT(E9,"#,##0")&amp;".")</f>
        <v>2. Momentum — the 7-day average reached 3,374 cases a day on 3 Jun, +81% on a week earlier. The highest single day (4,677) is the last day in the data, so the outbreak had not peaked.</v>
      </c>
      <c r="B14" s="9"/>
      <c r="C14" s="9"/>
      <c r="D14" s="9"/>
      <c r="E14" s="9"/>
      <c r="F14" s="9"/>
      <c r="G14" s="9"/>
      <c r="H14" s="9"/>
    </row>
    <row r="15" customFormat="false" ht="33.75" hidden="false" customHeight="true" outlineLevel="0" collapsed="false">
      <c r="A15" s="9" t="str">
        <f aca="false">"3. Timing — May alone produced "&amp;TEXT(Monthly!I8,"0%")&amp;" of all cases ("&amp;TEXT(Monthly!F8,"#,##0")&amp;" a day vs "&amp;TEXT(Monthly!F7,"#,##0")&amp;" in April). Early-surge cases doubled roughly every "&amp;TEXT(Statistics!G52,"0.0")&amp;" days ("&amp;TEXT(Statistics!B52,"d mmm")&amp;" – "&amp;TEXT(Statistics!C52,"d mmm")&amp;"); the daily growth rate then slowed to "&amp;TEXT(Statistics!F53,"0.0%")&amp;" in the peak phase."</f>
        <v>3. Timing — May alone produced 65% of all cases (1,769 a day vs 480 in April). Early-surge cases doubled roughly every 10.1 days (15 Mar – 30 Apr); the daily growth rate then slowed to 3.1% in the peak phase.</v>
      </c>
      <c r="B15" s="9"/>
      <c r="C15" s="9"/>
      <c r="D15" s="9"/>
      <c r="E15" s="9"/>
      <c r="F15" s="9"/>
      <c r="G15" s="9"/>
      <c r="H15" s="9"/>
    </row>
    <row r="16" customFormat="false" ht="33.75" hidden="false" customHeight="true" outlineLevel="0" collapsed="false">
      <c r="A16" s="9" t="str">
        <f aca="false">"4. Geography — "&amp;Province!A5&amp;" and "&amp;Province!A6&amp;" together account for "&amp;TEXT(Province!F5+Province!F6,"0%")&amp;" of cases; "&amp;City!B5&amp;" and "&amp;City!B6&amp;" alone make up "&amp;TEXT(City!H6,"0%")&amp;", and the top five cities "&amp;TEXT(City!H9,"0%")&amp;"."</f>
        <v>4. Geography — Sindh and Punjab together account for 76% of cases; Karachi and Lahore alone make up 68%, and the top five cities 84%.</v>
      </c>
      <c r="B16" s="9"/>
      <c r="C16" s="9"/>
      <c r="D16" s="9"/>
      <c r="E16" s="9"/>
      <c r="F16" s="9"/>
      <c r="G16" s="9"/>
      <c r="H16" s="9"/>
    </row>
    <row r="17" customFormat="false" ht="33.75" hidden="false" customHeight="true" outlineLevel="0" collapsed="false">
      <c r="A17" s="9" t="str">
        <f aca="false">"5. Mortality — "&amp;Province!B15&amp;" has the highest CFR among provinces with "&amp;TEXT(Province!B14,"#,##0")&amp;"+ cases ("&amp;TEXT(Province!C15,"0.0%")&amp;", "&amp;TEXT(Province!C15/Province!H13,"0.0")&amp;"× the national rate): "&amp;TEXT(INDEX(Province!G5:G12,MATCH(Province!B15,Province!A5:A12,0)),"0%")&amp;" of deaths from "&amp;TEXT(INDEX(Province!F5:F12,MATCH(Province!B15,Province!A5:A12,0)),"0%")&amp;" of cases."</f>
        <v>5. Mortality — Khyber Pakhtunkhwa has the highest CFR among provinces with 1,000+ cases (4.6%, 2.2× the national rate): 27% of deaths from 12% of cases.</v>
      </c>
      <c r="B17" s="9"/>
      <c r="C17" s="9"/>
      <c r="D17" s="9"/>
      <c r="E17" s="9"/>
      <c r="F17" s="9"/>
      <c r="G17" s="9"/>
      <c r="H17" s="9"/>
    </row>
    <row r="18" customFormat="false" ht="33.75" hidden="false" customHeight="true" outlineLevel="0" collapsed="false">
      <c r="A18" s="9" t="str">
        <f aca="false">"6. Source of infection — "&amp;TEXT(Travel!D24,"0.0%")&amp;" of cases are recorded as local transmission, "&amp;TEXT(Travel!D27,"0.0%")&amp;" have no known source, "&amp;TEXT(Travel!D25,"0.0%")&amp;" are tied to clusters (Tableeghi Jamaat, jail) and only "&amp;TEXT(Travel!D26,"0.0%")&amp;" to travel."</f>
        <v>6. Source of infection — 93.0% of cases are recorded as local transmission, 4.1% have no known source, 1.5% are tied to clusters (Tableeghi Jamaat, jail) and only 1.4% to travel.</v>
      </c>
      <c r="B18" s="9"/>
      <c r="C18" s="9"/>
      <c r="D18" s="9"/>
      <c r="E18" s="9"/>
      <c r="F18" s="9"/>
      <c r="G18" s="9"/>
      <c r="H18" s="9"/>
    </row>
    <row r="19" customFormat="false" ht="33.75" hidden="false" customHeight="true" outlineLevel="0" collapsed="false">
      <c r="A19" s="9" t="str">
        <f aca="false">"7. Cases and deaths move together — daily deaths correlate with daily cases at r = "&amp;TEXT(Statistics!B39,"0.00")&amp;" on the same day and "&amp;TEXT(Statistics!B46,"0.00")&amp;" at a "&amp;Statistics!A46&amp;"-day lag. Both series rise together, so the data cannot isolate the reporting delay; treat as indicative only."</f>
        <v>7. Cases and deaths move together — daily deaths correlate with daily cases at r = 0.93 on the same day and 0.81 at a 14-day lag. Both series rise together, so the data cannot isolate the reporting delay; treat as indicative only.</v>
      </c>
      <c r="B19" s="9"/>
      <c r="C19" s="9"/>
      <c r="D19" s="9"/>
      <c r="E19" s="9"/>
      <c r="F19" s="9"/>
      <c r="G19" s="9"/>
      <c r="H19" s="9"/>
    </row>
    <row r="20" customFormat="false" ht="33.75" hidden="false" customHeight="true" outlineLevel="0" collapsed="false">
      <c r="A20" s="9" t="str">
        <f aca="false">"8. Data caveat — among provinces with "&amp;TEXT(Province!B14,"#,##0")&amp;"+ cases, reported recovery rates range from "&amp;TEXT(Province!B16,"0%")&amp;" to "&amp;TEXT(Province!C16,"0%")&amp;". That spread reflects uneven reporting, so recoveries and Active Cases ("&amp;TEXT(G5,"#,##0")&amp;") are unreliable; cases and deaths are the dependable measures."</f>
        <v>8. Data caveat — among provinces with 1,000+ cases, reported recovery rates range from 13% to 48%. That spread reflects uneven reporting, so recoveries and Active Cases (57,504) are unreliable; cases and deaths are the dependable measures.</v>
      </c>
      <c r="B20" s="9"/>
      <c r="C20" s="9"/>
      <c r="D20" s="9"/>
      <c r="E20" s="9"/>
      <c r="F20" s="9"/>
      <c r="G20" s="9"/>
      <c r="H20" s="9"/>
    </row>
    <row r="22" customFormat="false" ht="15" hidden="false" customHeight="false" outlineLevel="0" collapsed="false">
      <c r="A22" s="8" t="s">
        <v>16</v>
      </c>
    </row>
    <row r="23" customFormat="false" ht="19.5" hidden="false" customHeight="true" outlineLevel="0" collapsed="false">
      <c r="A23" s="9" t="s">
        <v>17</v>
      </c>
      <c r="B23" s="9"/>
      <c r="C23" s="9"/>
      <c r="D23" s="9"/>
      <c r="E23" s="9"/>
      <c r="F23" s="9"/>
      <c r="G23" s="9"/>
      <c r="H23" s="9"/>
    </row>
    <row r="24" customFormat="false" ht="19.5" hidden="false" customHeight="true" outlineLevel="0" collapsed="false">
      <c r="A24" s="9" t="s">
        <v>18</v>
      </c>
      <c r="B24" s="9"/>
      <c r="C24" s="9"/>
      <c r="D24" s="9"/>
      <c r="E24" s="9"/>
      <c r="F24" s="9"/>
      <c r="G24" s="9"/>
      <c r="H24" s="9"/>
    </row>
    <row r="25" customFormat="false" ht="19.5" hidden="false" customHeight="true" outlineLevel="0" collapsed="false">
      <c r="A25" s="9" t="s">
        <v>19</v>
      </c>
      <c r="B25" s="9"/>
      <c r="C25" s="9"/>
      <c r="D25" s="9"/>
      <c r="E25" s="9"/>
      <c r="F25" s="9"/>
      <c r="G25" s="9"/>
      <c r="H25" s="9"/>
    </row>
    <row r="26" customFormat="false" ht="19.5" hidden="false" customHeight="true" outlineLevel="0" collapsed="false">
      <c r="A26" s="9" t="s">
        <v>20</v>
      </c>
      <c r="B26" s="9"/>
      <c r="C26" s="9"/>
      <c r="D26" s="9"/>
      <c r="E26" s="9"/>
      <c r="F26" s="9"/>
      <c r="G26" s="9"/>
      <c r="H26" s="9"/>
    </row>
    <row r="27" customFormat="false" ht="19.5" hidden="false" customHeight="true" outlineLevel="0" collapsed="false">
      <c r="A27" s="9" t="s">
        <v>21</v>
      </c>
      <c r="B27" s="9"/>
      <c r="C27" s="9"/>
      <c r="D27" s="9"/>
      <c r="E27" s="9"/>
      <c r="F27" s="9"/>
      <c r="G27" s="9"/>
      <c r="H27" s="9"/>
    </row>
  </sheetData>
  <mergeCells count="37">
    <mergeCell ref="A4:B4"/>
    <mergeCell ref="C4:D4"/>
    <mergeCell ref="E4:F4"/>
    <mergeCell ref="G4:H4"/>
    <mergeCell ref="A5:B5"/>
    <mergeCell ref="C5:D5"/>
    <mergeCell ref="E5:F5"/>
    <mergeCell ref="G5:H5"/>
    <mergeCell ref="A6:B6"/>
    <mergeCell ref="C6:D6"/>
    <mergeCell ref="E6:F6"/>
    <mergeCell ref="G6:H6"/>
    <mergeCell ref="A8:B8"/>
    <mergeCell ref="C8:D8"/>
    <mergeCell ref="E8:F8"/>
    <mergeCell ref="G8:H8"/>
    <mergeCell ref="A9:B9"/>
    <mergeCell ref="C9:D9"/>
    <mergeCell ref="E9:F9"/>
    <mergeCell ref="G9:H9"/>
    <mergeCell ref="A10:B10"/>
    <mergeCell ref="C10:D10"/>
    <mergeCell ref="E10:F10"/>
    <mergeCell ref="G10:H10"/>
    <mergeCell ref="A13:H13"/>
    <mergeCell ref="A14:H14"/>
    <mergeCell ref="A15:H15"/>
    <mergeCell ref="A16:H16"/>
    <mergeCell ref="A17:H17"/>
    <mergeCell ref="A18:H18"/>
    <mergeCell ref="A19:H19"/>
    <mergeCell ref="A20:H20"/>
    <mergeCell ref="A23:H23"/>
    <mergeCell ref="A24:H24"/>
    <mergeCell ref="A25:H25"/>
    <mergeCell ref="A26:H26"/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P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1" min="10" style="0" width="12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6" min="16" style="0" width="9"/>
  </cols>
  <sheetData>
    <row r="1" customFormat="false" ht="19.7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23</v>
      </c>
    </row>
    <row r="4" customFormat="false" ht="43.5" hidden="false" customHeight="true" outlineLevel="0" collapsed="false">
      <c r="A4" s="10" t="s">
        <v>24</v>
      </c>
      <c r="B4" s="10" t="s">
        <v>25</v>
      </c>
      <c r="C4" s="10" t="s">
        <v>26</v>
      </c>
      <c r="D4" s="10" t="s">
        <v>27</v>
      </c>
      <c r="E4" s="10" t="s">
        <v>28</v>
      </c>
      <c r="F4" s="10" t="s">
        <v>29</v>
      </c>
      <c r="G4" s="10" t="s">
        <v>30</v>
      </c>
      <c r="H4" s="10" t="s">
        <v>31</v>
      </c>
      <c r="I4" s="10" t="s">
        <v>32</v>
      </c>
      <c r="J4" s="10" t="s">
        <v>33</v>
      </c>
      <c r="K4" s="10" t="s">
        <v>34</v>
      </c>
      <c r="L4" s="10" t="s">
        <v>35</v>
      </c>
      <c r="M4" s="10" t="s">
        <v>36</v>
      </c>
      <c r="N4" s="10" t="s">
        <v>37</v>
      </c>
      <c r="O4" s="10" t="s">
        <v>38</v>
      </c>
      <c r="P4" s="10" t="s">
        <v>39</v>
      </c>
    </row>
    <row r="5" customFormat="false" ht="15" hidden="false" customHeight="false" outlineLevel="0" collapsed="false">
      <c r="A5" s="11" t="n">
        <f aca="false">MIN(Data!$A$2:$A$2797)</f>
        <v>43887</v>
      </c>
      <c r="B5" s="12" t="str">
        <f aca="false">CHOOSE(WEEKDAY(A5,2),"Mon","Tue","Wed","Thu","Fri","Sat","Sun")</f>
        <v>Wed</v>
      </c>
      <c r="C5" s="13" t="n">
        <f aca="false">SUMIFS(Data!$B$2:$B$2797,Data!$A$2:$A$2797,A5)</f>
        <v>3</v>
      </c>
      <c r="D5" s="13" t="n">
        <f aca="false">SUMIFS(Data!$C$2:$C$2797,Data!$A$2:$A$2797,A5)</f>
        <v>0</v>
      </c>
      <c r="E5" s="13" t="n">
        <f aca="false">SUMIFS(Data!$D$2:$D$2797,Data!$A$2:$A$2797,A5)</f>
        <v>0</v>
      </c>
      <c r="F5" s="13" t="n">
        <f aca="false">SUM($C$5:C5)</f>
        <v>3</v>
      </c>
      <c r="G5" s="13" t="n">
        <f aca="false">SUM($D$5:D5)</f>
        <v>0</v>
      </c>
      <c r="H5" s="13" t="n">
        <f aca="false">SUM($E$5:E5)</f>
        <v>0</v>
      </c>
      <c r="I5" s="13" t="n">
        <f aca="false">F5-G5-H5</f>
        <v>3</v>
      </c>
      <c r="J5" s="12"/>
      <c r="K5" s="12"/>
      <c r="L5" s="14" t="n">
        <f aca="false">IF(F5&gt;0,G5/F5,0)</f>
        <v>0</v>
      </c>
      <c r="M5" s="12"/>
      <c r="N5" s="15" t="n">
        <f aca="false">A5-$A$5</f>
        <v>0</v>
      </c>
      <c r="O5" s="12"/>
      <c r="P5" s="15" t="n">
        <f aca="false">COUNTIF(Data!$A$2:$A$2797,A5)</f>
        <v>2</v>
      </c>
    </row>
    <row r="6" customFormat="false" ht="15" hidden="false" customHeight="false" outlineLevel="0" collapsed="false">
      <c r="A6" s="11" t="n">
        <f aca="false">A5+1</f>
        <v>43888</v>
      </c>
      <c r="B6" s="12" t="str">
        <f aca="false">CHOOSE(WEEKDAY(A6,2),"Mon","Tue","Wed","Thu","Fri","Sat","Sun")</f>
        <v>Thu</v>
      </c>
      <c r="C6" s="13" t="n">
        <f aca="false">SUMIFS(Data!$B$2:$B$2797,Data!$A$2:$A$2797,A6)</f>
        <v>0</v>
      </c>
      <c r="D6" s="13" t="n">
        <f aca="false">SUMIFS(Data!$C$2:$C$2797,Data!$A$2:$A$2797,A6)</f>
        <v>0</v>
      </c>
      <c r="E6" s="13" t="n">
        <f aca="false">SUMIFS(Data!$D$2:$D$2797,Data!$A$2:$A$2797,A6)</f>
        <v>0</v>
      </c>
      <c r="F6" s="13" t="n">
        <f aca="false">SUM($C$5:C6)</f>
        <v>3</v>
      </c>
      <c r="G6" s="13" t="n">
        <f aca="false">SUM($D$5:D6)</f>
        <v>0</v>
      </c>
      <c r="H6" s="13" t="n">
        <f aca="false">SUM($E$5:E6)</f>
        <v>0</v>
      </c>
      <c r="I6" s="13" t="n">
        <f aca="false">F6-G6-H6</f>
        <v>3</v>
      </c>
      <c r="J6" s="12"/>
      <c r="K6" s="12"/>
      <c r="L6" s="14" t="n">
        <f aca="false">IF(F6&gt;0,G6/F6,0)</f>
        <v>0</v>
      </c>
      <c r="M6" s="12"/>
      <c r="N6" s="15" t="n">
        <f aca="false">A6-$A$5</f>
        <v>1</v>
      </c>
      <c r="O6" s="12"/>
      <c r="P6" s="15" t="n">
        <f aca="false">COUNTIF(Data!$A$2:$A$2797,A6)</f>
        <v>0</v>
      </c>
    </row>
    <row r="7" customFormat="false" ht="15" hidden="false" customHeight="false" outlineLevel="0" collapsed="false">
      <c r="A7" s="11" t="n">
        <f aca="false">A6+1</f>
        <v>43889</v>
      </c>
      <c r="B7" s="12" t="str">
        <f aca="false">CHOOSE(WEEKDAY(A7,2),"Mon","Tue","Wed","Thu","Fri","Sat","Sun")</f>
        <v>Fri</v>
      </c>
      <c r="C7" s="13" t="n">
        <f aca="false">SUMIFS(Data!$B$2:$B$2797,Data!$A$2:$A$2797,A7)</f>
        <v>0</v>
      </c>
      <c r="D7" s="13" t="n">
        <f aca="false">SUMIFS(Data!$C$2:$C$2797,Data!$A$2:$A$2797,A7)</f>
        <v>0</v>
      </c>
      <c r="E7" s="13" t="n">
        <f aca="false">SUMIFS(Data!$D$2:$D$2797,Data!$A$2:$A$2797,A7)</f>
        <v>0</v>
      </c>
      <c r="F7" s="13" t="n">
        <f aca="false">SUM($C$5:C7)</f>
        <v>3</v>
      </c>
      <c r="G7" s="13" t="n">
        <f aca="false">SUM($D$5:D7)</f>
        <v>0</v>
      </c>
      <c r="H7" s="13" t="n">
        <f aca="false">SUM($E$5:E7)</f>
        <v>0</v>
      </c>
      <c r="I7" s="13" t="n">
        <f aca="false">F7-G7-H7</f>
        <v>3</v>
      </c>
      <c r="J7" s="12"/>
      <c r="K7" s="12"/>
      <c r="L7" s="14" t="n">
        <f aca="false">IF(F7&gt;0,G7/F7,0)</f>
        <v>0</v>
      </c>
      <c r="M7" s="12"/>
      <c r="N7" s="15" t="n">
        <f aca="false">A7-$A$5</f>
        <v>2</v>
      </c>
      <c r="O7" s="12"/>
      <c r="P7" s="15" t="n">
        <f aca="false">COUNTIF(Data!$A$2:$A$2797,A7)</f>
        <v>0</v>
      </c>
    </row>
    <row r="8" customFormat="false" ht="15" hidden="false" customHeight="false" outlineLevel="0" collapsed="false">
      <c r="A8" s="11" t="n">
        <f aca="false">A7+1</f>
        <v>43890</v>
      </c>
      <c r="B8" s="12" t="str">
        <f aca="false">CHOOSE(WEEKDAY(A8,2),"Mon","Tue","Wed","Thu","Fri","Sat","Sun")</f>
        <v>Sat</v>
      </c>
      <c r="C8" s="13" t="n">
        <f aca="false">SUMIFS(Data!$B$2:$B$2797,Data!$A$2:$A$2797,A8)</f>
        <v>2</v>
      </c>
      <c r="D8" s="13" t="n">
        <f aca="false">SUMIFS(Data!$C$2:$C$2797,Data!$A$2:$A$2797,A8)</f>
        <v>0</v>
      </c>
      <c r="E8" s="13" t="n">
        <f aca="false">SUMIFS(Data!$D$2:$D$2797,Data!$A$2:$A$2797,A8)</f>
        <v>0</v>
      </c>
      <c r="F8" s="13" t="n">
        <f aca="false">SUM($C$5:C8)</f>
        <v>5</v>
      </c>
      <c r="G8" s="13" t="n">
        <f aca="false">SUM($D$5:D8)</f>
        <v>0</v>
      </c>
      <c r="H8" s="13" t="n">
        <f aca="false">SUM($E$5:E8)</f>
        <v>0</v>
      </c>
      <c r="I8" s="13" t="n">
        <f aca="false">F8-G8-H8</f>
        <v>5</v>
      </c>
      <c r="J8" s="12"/>
      <c r="K8" s="12"/>
      <c r="L8" s="14" t="n">
        <f aca="false">IF(F8&gt;0,G8/F8,0)</f>
        <v>0</v>
      </c>
      <c r="M8" s="12"/>
      <c r="N8" s="15" t="n">
        <f aca="false">A8-$A$5</f>
        <v>3</v>
      </c>
      <c r="O8" s="12"/>
      <c r="P8" s="15" t="n">
        <f aca="false">COUNTIF(Data!$A$2:$A$2797,A8)</f>
        <v>2</v>
      </c>
    </row>
    <row r="9" customFormat="false" ht="15" hidden="false" customHeight="false" outlineLevel="0" collapsed="false">
      <c r="A9" s="11" t="n">
        <f aca="false">A8+1</f>
        <v>43891</v>
      </c>
      <c r="B9" s="12" t="str">
        <f aca="false">CHOOSE(WEEKDAY(A9,2),"Mon","Tue","Wed","Thu","Fri","Sat","Sun")</f>
        <v>Sun</v>
      </c>
      <c r="C9" s="13" t="n">
        <f aca="false">SUMIFS(Data!$B$2:$B$2797,Data!$A$2:$A$2797,A9)</f>
        <v>0</v>
      </c>
      <c r="D9" s="13" t="n">
        <f aca="false">SUMIFS(Data!$C$2:$C$2797,Data!$A$2:$A$2797,A9)</f>
        <v>0</v>
      </c>
      <c r="E9" s="13" t="n">
        <f aca="false">SUMIFS(Data!$D$2:$D$2797,Data!$A$2:$A$2797,A9)</f>
        <v>0</v>
      </c>
      <c r="F9" s="13" t="n">
        <f aca="false">SUM($C$5:C9)</f>
        <v>5</v>
      </c>
      <c r="G9" s="13" t="n">
        <f aca="false">SUM($D$5:D9)</f>
        <v>0</v>
      </c>
      <c r="H9" s="13" t="n">
        <f aca="false">SUM($E$5:E9)</f>
        <v>0</v>
      </c>
      <c r="I9" s="13" t="n">
        <f aca="false">F9-G9-H9</f>
        <v>5</v>
      </c>
      <c r="J9" s="12"/>
      <c r="K9" s="12"/>
      <c r="L9" s="14" t="n">
        <f aca="false">IF(F9&gt;0,G9/F9,0)</f>
        <v>0</v>
      </c>
      <c r="M9" s="12"/>
      <c r="N9" s="15" t="n">
        <f aca="false">A9-$A$5</f>
        <v>4</v>
      </c>
      <c r="O9" s="12"/>
      <c r="P9" s="15" t="n">
        <f aca="false">COUNTIF(Data!$A$2:$A$2797,A9)</f>
        <v>0</v>
      </c>
    </row>
    <row r="10" customFormat="false" ht="15" hidden="false" customHeight="false" outlineLevel="0" collapsed="false">
      <c r="A10" s="11" t="n">
        <f aca="false">A9+1</f>
        <v>43892</v>
      </c>
      <c r="B10" s="12" t="str">
        <f aca="false">CHOOSE(WEEKDAY(A10,2),"Mon","Tue","Wed","Thu","Fri","Sat","Sun")</f>
        <v>Mon</v>
      </c>
      <c r="C10" s="13" t="n">
        <f aca="false">SUMIFS(Data!$B$2:$B$2797,Data!$A$2:$A$2797,A10)</f>
        <v>1</v>
      </c>
      <c r="D10" s="13" t="n">
        <f aca="false">SUMIFS(Data!$C$2:$C$2797,Data!$A$2:$A$2797,A10)</f>
        <v>0</v>
      </c>
      <c r="E10" s="13" t="n">
        <f aca="false">SUMIFS(Data!$D$2:$D$2797,Data!$A$2:$A$2797,A10)</f>
        <v>0</v>
      </c>
      <c r="F10" s="13" t="n">
        <f aca="false">SUM($C$5:C10)</f>
        <v>6</v>
      </c>
      <c r="G10" s="13" t="n">
        <f aca="false">SUM($D$5:D10)</f>
        <v>0</v>
      </c>
      <c r="H10" s="13" t="n">
        <f aca="false">SUM($E$5:E10)</f>
        <v>0</v>
      </c>
      <c r="I10" s="13" t="n">
        <f aca="false">F10-G10-H10</f>
        <v>6</v>
      </c>
      <c r="J10" s="12"/>
      <c r="K10" s="12"/>
      <c r="L10" s="14" t="n">
        <f aca="false">IF(F10&gt;0,G10/F10,0)</f>
        <v>0</v>
      </c>
      <c r="M10" s="12"/>
      <c r="N10" s="15" t="n">
        <f aca="false">A10-$A$5</f>
        <v>5</v>
      </c>
      <c r="O10" s="12"/>
      <c r="P10" s="15" t="n">
        <f aca="false">COUNTIF(Data!$A$2:$A$2797,A10)</f>
        <v>1</v>
      </c>
    </row>
    <row r="11" customFormat="false" ht="15" hidden="false" customHeight="false" outlineLevel="0" collapsed="false">
      <c r="A11" s="11" t="n">
        <f aca="false">A10+1</f>
        <v>43893</v>
      </c>
      <c r="B11" s="12" t="str">
        <f aca="false">CHOOSE(WEEKDAY(A11,2),"Mon","Tue","Wed","Thu","Fri","Sat","Sun")</f>
        <v>Tue</v>
      </c>
      <c r="C11" s="13" t="n">
        <f aca="false">SUMIFS(Data!$B$2:$B$2797,Data!$A$2:$A$2797,A11)</f>
        <v>0</v>
      </c>
      <c r="D11" s="13" t="n">
        <f aca="false">SUMIFS(Data!$C$2:$C$2797,Data!$A$2:$A$2797,A11)</f>
        <v>0</v>
      </c>
      <c r="E11" s="13" t="n">
        <f aca="false">SUMIFS(Data!$D$2:$D$2797,Data!$A$2:$A$2797,A11)</f>
        <v>0</v>
      </c>
      <c r="F11" s="13" t="n">
        <f aca="false">SUM($C$5:C11)</f>
        <v>6</v>
      </c>
      <c r="G11" s="13" t="n">
        <f aca="false">SUM($D$5:D11)</f>
        <v>0</v>
      </c>
      <c r="H11" s="13" t="n">
        <f aca="false">SUM($E$5:E11)</f>
        <v>0</v>
      </c>
      <c r="I11" s="13" t="n">
        <f aca="false">F11-G11-H11</f>
        <v>6</v>
      </c>
      <c r="J11" s="16" t="n">
        <f aca="false">AVERAGE(C5:C11)</f>
        <v>0.857142857142857</v>
      </c>
      <c r="K11" s="16" t="n">
        <f aca="false">AVERAGE(D5:D11)</f>
        <v>0</v>
      </c>
      <c r="L11" s="14" t="n">
        <f aca="false">IF(F11&gt;0,G11/F11,0)</f>
        <v>0</v>
      </c>
      <c r="M11" s="12"/>
      <c r="N11" s="15" t="n">
        <f aca="false">A11-$A$5</f>
        <v>6</v>
      </c>
      <c r="O11" s="17" t="n">
        <f aca="false">IF(J11&gt;0,LN(J11),"")</f>
        <v>-0.154150679827258</v>
      </c>
      <c r="P11" s="15" t="n">
        <f aca="false">COUNTIF(Data!$A$2:$A$2797,A11)</f>
        <v>0</v>
      </c>
    </row>
    <row r="12" customFormat="false" ht="15" hidden="false" customHeight="false" outlineLevel="0" collapsed="false">
      <c r="A12" s="11" t="n">
        <f aca="false">A11+1</f>
        <v>43894</v>
      </c>
      <c r="B12" s="12" t="str">
        <f aca="false">CHOOSE(WEEKDAY(A12,2),"Mon","Tue","Wed","Thu","Fri","Sat","Sun")</f>
        <v>Wed</v>
      </c>
      <c r="C12" s="13" t="n">
        <f aca="false">SUMIFS(Data!$B$2:$B$2797,Data!$A$2:$A$2797,A12)</f>
        <v>0</v>
      </c>
      <c r="D12" s="13" t="n">
        <f aca="false">SUMIFS(Data!$C$2:$C$2797,Data!$A$2:$A$2797,A12)</f>
        <v>0</v>
      </c>
      <c r="E12" s="13" t="n">
        <f aca="false">SUMIFS(Data!$D$2:$D$2797,Data!$A$2:$A$2797,A12)</f>
        <v>0</v>
      </c>
      <c r="F12" s="13" t="n">
        <f aca="false">SUM($C$5:C12)</f>
        <v>6</v>
      </c>
      <c r="G12" s="13" t="n">
        <f aca="false">SUM($D$5:D12)</f>
        <v>0</v>
      </c>
      <c r="H12" s="13" t="n">
        <f aca="false">SUM($E$5:E12)</f>
        <v>0</v>
      </c>
      <c r="I12" s="13" t="n">
        <f aca="false">F12-G12-H12</f>
        <v>6</v>
      </c>
      <c r="J12" s="16" t="n">
        <f aca="false">AVERAGE(C6:C12)</f>
        <v>0.428571428571429</v>
      </c>
      <c r="K12" s="16" t="n">
        <f aca="false">AVERAGE(D6:D12)</f>
        <v>0</v>
      </c>
      <c r="L12" s="14" t="n">
        <f aca="false">IF(F12&gt;0,G12/F12,0)</f>
        <v>0</v>
      </c>
      <c r="M12" s="12"/>
      <c r="N12" s="15" t="n">
        <f aca="false">A12-$A$5</f>
        <v>7</v>
      </c>
      <c r="O12" s="17" t="n">
        <f aca="false">IF(J12&gt;0,LN(J12),"")</f>
        <v>-0.847297860387204</v>
      </c>
      <c r="P12" s="15" t="n">
        <f aca="false">COUNTIF(Data!$A$2:$A$2797,A12)</f>
        <v>0</v>
      </c>
    </row>
    <row r="13" customFormat="false" ht="15" hidden="false" customHeight="false" outlineLevel="0" collapsed="false">
      <c r="A13" s="11" t="n">
        <f aca="false">A12+1</f>
        <v>43895</v>
      </c>
      <c r="B13" s="12" t="str">
        <f aca="false">CHOOSE(WEEKDAY(A13,2),"Mon","Tue","Wed","Thu","Fri","Sat","Sun")</f>
        <v>Thu</v>
      </c>
      <c r="C13" s="13" t="n">
        <f aca="false">SUMIFS(Data!$B$2:$B$2797,Data!$A$2:$A$2797,A13)</f>
        <v>0</v>
      </c>
      <c r="D13" s="13" t="n">
        <f aca="false">SUMIFS(Data!$C$2:$C$2797,Data!$A$2:$A$2797,A13)</f>
        <v>0</v>
      </c>
      <c r="E13" s="13" t="n">
        <f aca="false">SUMIFS(Data!$D$2:$D$2797,Data!$A$2:$A$2797,A13)</f>
        <v>0</v>
      </c>
      <c r="F13" s="13" t="n">
        <f aca="false">SUM($C$5:C13)</f>
        <v>6</v>
      </c>
      <c r="G13" s="13" t="n">
        <f aca="false">SUM($D$5:D13)</f>
        <v>0</v>
      </c>
      <c r="H13" s="13" t="n">
        <f aca="false">SUM($E$5:E13)</f>
        <v>0</v>
      </c>
      <c r="I13" s="13" t="n">
        <f aca="false">F13-G13-H13</f>
        <v>6</v>
      </c>
      <c r="J13" s="16" t="n">
        <f aca="false">AVERAGE(C7:C13)</f>
        <v>0.428571428571429</v>
      </c>
      <c r="K13" s="16" t="n">
        <f aca="false">AVERAGE(D7:D13)</f>
        <v>0</v>
      </c>
      <c r="L13" s="14" t="n">
        <f aca="false">IF(F13&gt;0,G13/F13,0)</f>
        <v>0</v>
      </c>
      <c r="M13" s="12"/>
      <c r="N13" s="15" t="n">
        <f aca="false">A13-$A$5</f>
        <v>8</v>
      </c>
      <c r="O13" s="17" t="n">
        <f aca="false">IF(J13&gt;0,LN(J13),"")</f>
        <v>-0.847297860387204</v>
      </c>
      <c r="P13" s="15" t="n">
        <f aca="false">COUNTIF(Data!$A$2:$A$2797,A13)</f>
        <v>0</v>
      </c>
    </row>
    <row r="14" customFormat="false" ht="15" hidden="false" customHeight="false" outlineLevel="0" collapsed="false">
      <c r="A14" s="11" t="n">
        <f aca="false">A13+1</f>
        <v>43896</v>
      </c>
      <c r="B14" s="12" t="str">
        <f aca="false">CHOOSE(WEEKDAY(A14,2),"Mon","Tue","Wed","Thu","Fri","Sat","Sun")</f>
        <v>Fri</v>
      </c>
      <c r="C14" s="13" t="n">
        <f aca="false">SUMIFS(Data!$B$2:$B$2797,Data!$A$2:$A$2797,A14)</f>
        <v>0</v>
      </c>
      <c r="D14" s="13" t="n">
        <f aca="false">SUMIFS(Data!$C$2:$C$2797,Data!$A$2:$A$2797,A14)</f>
        <v>0</v>
      </c>
      <c r="E14" s="13" t="n">
        <f aca="false">SUMIFS(Data!$D$2:$D$2797,Data!$A$2:$A$2797,A14)</f>
        <v>1</v>
      </c>
      <c r="F14" s="13" t="n">
        <f aca="false">SUM($C$5:C14)</f>
        <v>6</v>
      </c>
      <c r="G14" s="13" t="n">
        <f aca="false">SUM($D$5:D14)</f>
        <v>0</v>
      </c>
      <c r="H14" s="13" t="n">
        <f aca="false">SUM($E$5:E14)</f>
        <v>1</v>
      </c>
      <c r="I14" s="13" t="n">
        <f aca="false">F14-G14-H14</f>
        <v>5</v>
      </c>
      <c r="J14" s="16" t="n">
        <f aca="false">AVERAGE(C8:C14)</f>
        <v>0.428571428571429</v>
      </c>
      <c r="K14" s="16" t="n">
        <f aca="false">AVERAGE(D8:D14)</f>
        <v>0</v>
      </c>
      <c r="L14" s="14" t="n">
        <f aca="false">IF(F14&gt;0,G14/F14,0)</f>
        <v>0</v>
      </c>
      <c r="M14" s="12"/>
      <c r="N14" s="15" t="n">
        <f aca="false">A14-$A$5</f>
        <v>9</v>
      </c>
      <c r="O14" s="17" t="n">
        <f aca="false">IF(J14&gt;0,LN(J14),"")</f>
        <v>-0.847297860387204</v>
      </c>
      <c r="P14" s="15" t="n">
        <f aca="false">COUNTIF(Data!$A$2:$A$2797,A14)</f>
        <v>1</v>
      </c>
    </row>
    <row r="15" customFormat="false" ht="15" hidden="false" customHeight="false" outlineLevel="0" collapsed="false">
      <c r="A15" s="11" t="n">
        <f aca="false">A14+1</f>
        <v>43897</v>
      </c>
      <c r="B15" s="12" t="str">
        <f aca="false">CHOOSE(WEEKDAY(A15,2),"Mon","Tue","Wed","Thu","Fri","Sat","Sun")</f>
        <v>Sat</v>
      </c>
      <c r="C15" s="13" t="n">
        <f aca="false">SUMIFS(Data!$B$2:$B$2797,Data!$A$2:$A$2797,A15)</f>
        <v>1</v>
      </c>
      <c r="D15" s="13" t="n">
        <f aca="false">SUMIFS(Data!$C$2:$C$2797,Data!$A$2:$A$2797,A15)</f>
        <v>0</v>
      </c>
      <c r="E15" s="13" t="n">
        <f aca="false">SUMIFS(Data!$D$2:$D$2797,Data!$A$2:$A$2797,A15)</f>
        <v>0</v>
      </c>
      <c r="F15" s="13" t="n">
        <f aca="false">SUM($C$5:C15)</f>
        <v>7</v>
      </c>
      <c r="G15" s="13" t="n">
        <f aca="false">SUM($D$5:D15)</f>
        <v>0</v>
      </c>
      <c r="H15" s="13" t="n">
        <f aca="false">SUM($E$5:E15)</f>
        <v>1</v>
      </c>
      <c r="I15" s="13" t="n">
        <f aca="false">F15-G15-H15</f>
        <v>6</v>
      </c>
      <c r="J15" s="16" t="n">
        <f aca="false">AVERAGE(C9:C15)</f>
        <v>0.285714285714286</v>
      </c>
      <c r="K15" s="16" t="n">
        <f aca="false">AVERAGE(D9:D15)</f>
        <v>0</v>
      </c>
      <c r="L15" s="14" t="n">
        <f aca="false">IF(F15&gt;0,G15/F15,0)</f>
        <v>0</v>
      </c>
      <c r="M15" s="12"/>
      <c r="N15" s="15" t="n">
        <f aca="false">A15-$A$5</f>
        <v>10</v>
      </c>
      <c r="O15" s="17" t="n">
        <f aca="false">IF(J15&gt;0,LN(J15),"")</f>
        <v>-1.25276296849537</v>
      </c>
      <c r="P15" s="15" t="n">
        <f aca="false">COUNTIF(Data!$A$2:$A$2797,A15)</f>
        <v>1</v>
      </c>
    </row>
    <row r="16" customFormat="false" ht="15" hidden="false" customHeight="false" outlineLevel="0" collapsed="false">
      <c r="A16" s="11" t="n">
        <f aca="false">A15+1</f>
        <v>43898</v>
      </c>
      <c r="B16" s="12" t="str">
        <f aca="false">CHOOSE(WEEKDAY(A16,2),"Mon","Tue","Wed","Thu","Fri","Sat","Sun")</f>
        <v>Sun</v>
      </c>
      <c r="C16" s="13" t="n">
        <f aca="false">SUMIFS(Data!$B$2:$B$2797,Data!$A$2:$A$2797,A16)</f>
        <v>0</v>
      </c>
      <c r="D16" s="13" t="n">
        <f aca="false">SUMIFS(Data!$C$2:$C$2797,Data!$A$2:$A$2797,A16)</f>
        <v>0</v>
      </c>
      <c r="E16" s="13" t="n">
        <f aca="false">SUMIFS(Data!$D$2:$D$2797,Data!$A$2:$A$2797,A16)</f>
        <v>0</v>
      </c>
      <c r="F16" s="13" t="n">
        <f aca="false">SUM($C$5:C16)</f>
        <v>7</v>
      </c>
      <c r="G16" s="13" t="n">
        <f aca="false">SUM($D$5:D16)</f>
        <v>0</v>
      </c>
      <c r="H16" s="13" t="n">
        <f aca="false">SUM($E$5:E16)</f>
        <v>1</v>
      </c>
      <c r="I16" s="13" t="n">
        <f aca="false">F16-G16-H16</f>
        <v>6</v>
      </c>
      <c r="J16" s="16" t="n">
        <f aca="false">AVERAGE(C10:C16)</f>
        <v>0.285714285714286</v>
      </c>
      <c r="K16" s="16" t="n">
        <f aca="false">AVERAGE(D10:D16)</f>
        <v>0</v>
      </c>
      <c r="L16" s="14" t="n">
        <f aca="false">IF(F16&gt;0,G16/F16,0)</f>
        <v>0</v>
      </c>
      <c r="M16" s="12"/>
      <c r="N16" s="15" t="n">
        <f aca="false">A16-$A$5</f>
        <v>11</v>
      </c>
      <c r="O16" s="17" t="n">
        <f aca="false">IF(J16&gt;0,LN(J16),"")</f>
        <v>-1.25276296849537</v>
      </c>
      <c r="P16" s="15" t="n">
        <f aca="false">COUNTIF(Data!$A$2:$A$2797,A16)</f>
        <v>0</v>
      </c>
    </row>
    <row r="17" customFormat="false" ht="15" hidden="false" customHeight="false" outlineLevel="0" collapsed="false">
      <c r="A17" s="11" t="n">
        <f aca="false">A16+1</f>
        <v>43899</v>
      </c>
      <c r="B17" s="12" t="str">
        <f aca="false">CHOOSE(WEEKDAY(A17,2),"Mon","Tue","Wed","Thu","Fri","Sat","Sun")</f>
        <v>Mon</v>
      </c>
      <c r="C17" s="13" t="n">
        <f aca="false">SUMIFS(Data!$B$2:$B$2797,Data!$A$2:$A$2797,A17)</f>
        <v>9</v>
      </c>
      <c r="D17" s="13" t="n">
        <f aca="false">SUMIFS(Data!$C$2:$C$2797,Data!$A$2:$A$2797,A17)</f>
        <v>0</v>
      </c>
      <c r="E17" s="13" t="n">
        <f aca="false">SUMIFS(Data!$D$2:$D$2797,Data!$A$2:$A$2797,A17)</f>
        <v>0</v>
      </c>
      <c r="F17" s="13" t="n">
        <f aca="false">SUM($C$5:C17)</f>
        <v>16</v>
      </c>
      <c r="G17" s="13" t="n">
        <f aca="false">SUM($D$5:D17)</f>
        <v>0</v>
      </c>
      <c r="H17" s="13" t="n">
        <f aca="false">SUM($E$5:E17)</f>
        <v>1</v>
      </c>
      <c r="I17" s="13" t="n">
        <f aca="false">F17-G17-H17</f>
        <v>15</v>
      </c>
      <c r="J17" s="16" t="n">
        <f aca="false">AVERAGE(C11:C17)</f>
        <v>1.42857142857143</v>
      </c>
      <c r="K17" s="16" t="n">
        <f aca="false">AVERAGE(D11:D17)</f>
        <v>0</v>
      </c>
      <c r="L17" s="14" t="n">
        <f aca="false">IF(F17&gt;0,G17/F17,0)</f>
        <v>0</v>
      </c>
      <c r="M17" s="12"/>
      <c r="N17" s="15" t="n">
        <f aca="false">A17-$A$5</f>
        <v>12</v>
      </c>
      <c r="O17" s="17" t="n">
        <f aca="false">IF(J17&gt;0,LN(J17),"")</f>
        <v>0.356674943938732</v>
      </c>
      <c r="P17" s="15" t="n">
        <f aca="false">COUNTIF(Data!$A$2:$A$2797,A17)</f>
        <v>2</v>
      </c>
    </row>
    <row r="18" customFormat="false" ht="15" hidden="false" customHeight="false" outlineLevel="0" collapsed="false">
      <c r="A18" s="11" t="n">
        <f aca="false">A17+1</f>
        <v>43900</v>
      </c>
      <c r="B18" s="12" t="str">
        <f aca="false">CHOOSE(WEEKDAY(A18,2),"Mon","Tue","Wed","Thu","Fri","Sat","Sun")</f>
        <v>Tue</v>
      </c>
      <c r="C18" s="13" t="n">
        <f aca="false">SUMIFS(Data!$B$2:$B$2797,Data!$A$2:$A$2797,A18)</f>
        <v>3</v>
      </c>
      <c r="D18" s="13" t="n">
        <f aca="false">SUMIFS(Data!$C$2:$C$2797,Data!$A$2:$A$2797,A18)</f>
        <v>0</v>
      </c>
      <c r="E18" s="13" t="n">
        <f aca="false">SUMIFS(Data!$D$2:$D$2797,Data!$A$2:$A$2797,A18)</f>
        <v>0</v>
      </c>
      <c r="F18" s="13" t="n">
        <f aca="false">SUM($C$5:C18)</f>
        <v>19</v>
      </c>
      <c r="G18" s="13" t="n">
        <f aca="false">SUM($D$5:D18)</f>
        <v>0</v>
      </c>
      <c r="H18" s="13" t="n">
        <f aca="false">SUM($E$5:E18)</f>
        <v>1</v>
      </c>
      <c r="I18" s="13" t="n">
        <f aca="false">F18-G18-H18</f>
        <v>18</v>
      </c>
      <c r="J18" s="16" t="n">
        <f aca="false">AVERAGE(C12:C18)</f>
        <v>1.85714285714286</v>
      </c>
      <c r="K18" s="16" t="n">
        <f aca="false">AVERAGE(D12:D18)</f>
        <v>0</v>
      </c>
      <c r="L18" s="14" t="n">
        <f aca="false">IF(F18&gt;0,G18/F18,0)</f>
        <v>0</v>
      </c>
      <c r="M18" s="18" t="n">
        <f aca="false">IF(J11&gt;0,J18/J11-1,"")</f>
        <v>1.16666666666667</v>
      </c>
      <c r="N18" s="15" t="n">
        <f aca="false">A18-$A$5</f>
        <v>13</v>
      </c>
      <c r="O18" s="17" t="n">
        <f aca="false">IF(J18&gt;0,LN(J18),"")</f>
        <v>0.619039208406224</v>
      </c>
      <c r="P18" s="15" t="n">
        <f aca="false">COUNTIF(Data!$A$2:$A$2797,A18)</f>
        <v>3</v>
      </c>
    </row>
    <row r="19" customFormat="false" ht="15" hidden="false" customHeight="false" outlineLevel="0" collapsed="false">
      <c r="A19" s="11" t="n">
        <f aca="false">A18+1</f>
        <v>43901</v>
      </c>
      <c r="B19" s="12" t="str">
        <f aca="false">CHOOSE(WEEKDAY(A19,2),"Mon","Tue","Wed","Thu","Fri","Sat","Sun")</f>
        <v>Wed</v>
      </c>
      <c r="C19" s="13" t="n">
        <f aca="false">SUMIFS(Data!$B$2:$B$2797,Data!$A$2:$A$2797,A19)</f>
        <v>1</v>
      </c>
      <c r="D19" s="13" t="n">
        <f aca="false">SUMIFS(Data!$C$2:$C$2797,Data!$A$2:$A$2797,A19)</f>
        <v>0</v>
      </c>
      <c r="E19" s="13" t="n">
        <f aca="false">SUMIFS(Data!$D$2:$D$2797,Data!$A$2:$A$2797,A19)</f>
        <v>1</v>
      </c>
      <c r="F19" s="13" t="n">
        <f aca="false">SUM($C$5:C19)</f>
        <v>20</v>
      </c>
      <c r="G19" s="13" t="n">
        <f aca="false">SUM($D$5:D19)</f>
        <v>0</v>
      </c>
      <c r="H19" s="13" t="n">
        <f aca="false">SUM($E$5:E19)</f>
        <v>2</v>
      </c>
      <c r="I19" s="13" t="n">
        <f aca="false">F19-G19-H19</f>
        <v>18</v>
      </c>
      <c r="J19" s="16" t="n">
        <f aca="false">AVERAGE(C13:C19)</f>
        <v>2</v>
      </c>
      <c r="K19" s="16" t="n">
        <f aca="false">AVERAGE(D13:D19)</f>
        <v>0</v>
      </c>
      <c r="L19" s="14" t="n">
        <f aca="false">IF(F19&gt;0,G19/F19,0)</f>
        <v>0</v>
      </c>
      <c r="M19" s="18" t="n">
        <f aca="false">IF(J12&gt;0,J19/J12-1,"")</f>
        <v>3.66666666666667</v>
      </c>
      <c r="N19" s="15" t="n">
        <f aca="false">A19-$A$5</f>
        <v>14</v>
      </c>
      <c r="O19" s="17" t="n">
        <f aca="false">IF(J19&gt;0,LN(J19),"")</f>
        <v>0.693147180559945</v>
      </c>
      <c r="P19" s="15" t="n">
        <f aca="false">COUNTIF(Data!$A$2:$A$2797,A19)</f>
        <v>2</v>
      </c>
    </row>
    <row r="20" customFormat="false" ht="15" hidden="false" customHeight="false" outlineLevel="0" collapsed="false">
      <c r="A20" s="11" t="n">
        <f aca="false">A19+1</f>
        <v>43902</v>
      </c>
      <c r="B20" s="12" t="str">
        <f aca="false">CHOOSE(WEEKDAY(A20,2),"Mon","Tue","Wed","Thu","Fri","Sat","Sun")</f>
        <v>Thu</v>
      </c>
      <c r="C20" s="13" t="n">
        <f aca="false">SUMIFS(Data!$B$2:$B$2797,Data!$A$2:$A$2797,A20)</f>
        <v>1</v>
      </c>
      <c r="D20" s="13" t="n">
        <f aca="false">SUMIFS(Data!$C$2:$C$2797,Data!$A$2:$A$2797,A20)</f>
        <v>0</v>
      </c>
      <c r="E20" s="13" t="n">
        <f aca="false">SUMIFS(Data!$D$2:$D$2797,Data!$A$2:$A$2797,A20)</f>
        <v>0</v>
      </c>
      <c r="F20" s="13" t="n">
        <f aca="false">SUM($C$5:C20)</f>
        <v>21</v>
      </c>
      <c r="G20" s="13" t="n">
        <f aca="false">SUM($D$5:D20)</f>
        <v>0</v>
      </c>
      <c r="H20" s="13" t="n">
        <f aca="false">SUM($E$5:E20)</f>
        <v>2</v>
      </c>
      <c r="I20" s="13" t="n">
        <f aca="false">F20-G20-H20</f>
        <v>19</v>
      </c>
      <c r="J20" s="16" t="n">
        <f aca="false">AVERAGE(C14:C20)</f>
        <v>2.14285714285714</v>
      </c>
      <c r="K20" s="16" t="n">
        <f aca="false">AVERAGE(D14:D20)</f>
        <v>0</v>
      </c>
      <c r="L20" s="14" t="n">
        <f aca="false">IF(F20&gt;0,G20/F20,0)</f>
        <v>0</v>
      </c>
      <c r="M20" s="18" t="n">
        <f aca="false">IF(J13&gt;0,J20/J13-1,"")</f>
        <v>4</v>
      </c>
      <c r="N20" s="15" t="n">
        <f aca="false">A20-$A$5</f>
        <v>15</v>
      </c>
      <c r="O20" s="17" t="n">
        <f aca="false">IF(J20&gt;0,LN(J20),"")</f>
        <v>0.762140052046897</v>
      </c>
      <c r="P20" s="15" t="n">
        <f aca="false">COUNTIF(Data!$A$2:$A$2797,A20)</f>
        <v>1</v>
      </c>
    </row>
    <row r="21" customFormat="false" ht="15" hidden="false" customHeight="false" outlineLevel="0" collapsed="false">
      <c r="A21" s="11" t="n">
        <f aca="false">A20+1</f>
        <v>43903</v>
      </c>
      <c r="B21" s="12" t="str">
        <f aca="false">CHOOSE(WEEKDAY(A21,2),"Mon","Tue","Wed","Thu","Fri","Sat","Sun")</f>
        <v>Fri</v>
      </c>
      <c r="C21" s="13" t="n">
        <f aca="false">SUMIFS(Data!$B$2:$B$2797,Data!$A$2:$A$2797,A21)</f>
        <v>9</v>
      </c>
      <c r="D21" s="13" t="n">
        <f aca="false">SUMIFS(Data!$C$2:$C$2797,Data!$A$2:$A$2797,A21)</f>
        <v>0</v>
      </c>
      <c r="E21" s="13" t="n">
        <f aca="false">SUMIFS(Data!$D$2:$D$2797,Data!$A$2:$A$2797,A21)</f>
        <v>1</v>
      </c>
      <c r="F21" s="13" t="n">
        <f aca="false">SUM($C$5:C21)</f>
        <v>30</v>
      </c>
      <c r="G21" s="13" t="n">
        <f aca="false">SUM($D$5:D21)</f>
        <v>0</v>
      </c>
      <c r="H21" s="13" t="n">
        <f aca="false">SUM($E$5:E21)</f>
        <v>3</v>
      </c>
      <c r="I21" s="13" t="n">
        <f aca="false">F21-G21-H21</f>
        <v>27</v>
      </c>
      <c r="J21" s="16" t="n">
        <f aca="false">AVERAGE(C15:C21)</f>
        <v>3.42857142857143</v>
      </c>
      <c r="K21" s="16" t="n">
        <f aca="false">AVERAGE(D15:D21)</f>
        <v>0</v>
      </c>
      <c r="L21" s="14" t="n">
        <f aca="false">IF(F21&gt;0,G21/F21,0)</f>
        <v>0</v>
      </c>
      <c r="M21" s="18" t="n">
        <f aca="false">IF(J14&gt;0,J21/J14-1,"")</f>
        <v>7</v>
      </c>
      <c r="N21" s="15" t="n">
        <f aca="false">A21-$A$5</f>
        <v>16</v>
      </c>
      <c r="O21" s="17" t="n">
        <f aca="false">IF(J21&gt;0,LN(J21),"")</f>
        <v>1.23214368129263</v>
      </c>
      <c r="P21" s="15" t="n">
        <f aca="false">COUNTIF(Data!$A$2:$A$2797,A21)</f>
        <v>3</v>
      </c>
    </row>
    <row r="22" customFormat="false" ht="15" hidden="false" customHeight="false" outlineLevel="0" collapsed="false">
      <c r="A22" s="11" t="n">
        <f aca="false">A21+1</f>
        <v>43904</v>
      </c>
      <c r="B22" s="12" t="str">
        <f aca="false">CHOOSE(WEEKDAY(A22,2),"Mon","Tue","Wed","Thu","Fri","Sat","Sun")</f>
        <v>Sat</v>
      </c>
      <c r="C22" s="13" t="n">
        <f aca="false">SUMIFS(Data!$B$2:$B$2797,Data!$A$2:$A$2797,A22)</f>
        <v>0</v>
      </c>
      <c r="D22" s="13" t="n">
        <f aca="false">SUMIFS(Data!$C$2:$C$2797,Data!$A$2:$A$2797,A22)</f>
        <v>0</v>
      </c>
      <c r="E22" s="13" t="n">
        <f aca="false">SUMIFS(Data!$D$2:$D$2797,Data!$A$2:$A$2797,A22)</f>
        <v>0</v>
      </c>
      <c r="F22" s="13" t="n">
        <f aca="false">SUM($C$5:C22)</f>
        <v>30</v>
      </c>
      <c r="G22" s="13" t="n">
        <f aca="false">SUM($D$5:D22)</f>
        <v>0</v>
      </c>
      <c r="H22" s="13" t="n">
        <f aca="false">SUM($E$5:E22)</f>
        <v>3</v>
      </c>
      <c r="I22" s="13" t="n">
        <f aca="false">F22-G22-H22</f>
        <v>27</v>
      </c>
      <c r="J22" s="16" t="n">
        <f aca="false">AVERAGE(C16:C22)</f>
        <v>3.28571428571429</v>
      </c>
      <c r="K22" s="16" t="n">
        <f aca="false">AVERAGE(D16:D22)</f>
        <v>0</v>
      </c>
      <c r="L22" s="14" t="n">
        <f aca="false">IF(F22&gt;0,G22/F22,0)</f>
        <v>0</v>
      </c>
      <c r="M22" s="18" t="n">
        <f aca="false">IF(J15&gt;0,J22/J15-1,"")</f>
        <v>10.5</v>
      </c>
      <c r="N22" s="15" t="n">
        <f aca="false">A22-$A$5</f>
        <v>17</v>
      </c>
      <c r="O22" s="17" t="n">
        <f aca="false">IF(J22&gt;0,LN(J22),"")</f>
        <v>1.18958406687384</v>
      </c>
      <c r="P22" s="15" t="n">
        <f aca="false">COUNTIF(Data!$A$2:$A$2797,A22)</f>
        <v>0</v>
      </c>
    </row>
    <row r="23" customFormat="false" ht="15" hidden="false" customHeight="false" outlineLevel="0" collapsed="false">
      <c r="A23" s="11" t="n">
        <f aca="false">A22+1</f>
        <v>43905</v>
      </c>
      <c r="B23" s="12" t="str">
        <f aca="false">CHOOSE(WEEKDAY(A23,2),"Mon","Tue","Wed","Thu","Fri","Sat","Sun")</f>
        <v>Sun</v>
      </c>
      <c r="C23" s="13" t="n">
        <f aca="false">SUMIFS(Data!$B$2:$B$2797,Data!$A$2:$A$2797,A23)</f>
        <v>34</v>
      </c>
      <c r="D23" s="13" t="n">
        <f aca="false">SUMIFS(Data!$C$2:$C$2797,Data!$A$2:$A$2797,A23)</f>
        <v>1</v>
      </c>
      <c r="E23" s="13" t="n">
        <f aca="false">SUMIFS(Data!$D$2:$D$2797,Data!$A$2:$A$2797,A23)</f>
        <v>0</v>
      </c>
      <c r="F23" s="13" t="n">
        <f aca="false">SUM($C$5:C23)</f>
        <v>64</v>
      </c>
      <c r="G23" s="13" t="n">
        <f aca="false">SUM($D$5:D23)</f>
        <v>1</v>
      </c>
      <c r="H23" s="13" t="n">
        <f aca="false">SUM($E$5:E23)</f>
        <v>3</v>
      </c>
      <c r="I23" s="13" t="n">
        <f aca="false">F23-G23-H23</f>
        <v>60</v>
      </c>
      <c r="J23" s="16" t="n">
        <f aca="false">AVERAGE(C17:C23)</f>
        <v>8.14285714285714</v>
      </c>
      <c r="K23" s="16" t="n">
        <f aca="false">AVERAGE(D17:D23)</f>
        <v>0.142857142857143</v>
      </c>
      <c r="L23" s="14" t="n">
        <f aca="false">IF(F23&gt;0,G23/F23,0)</f>
        <v>0.015625</v>
      </c>
      <c r="M23" s="18" t="n">
        <f aca="false">IF(J16&gt;0,J23/J16-1,"")</f>
        <v>27.5</v>
      </c>
      <c r="N23" s="15" t="n">
        <f aca="false">A23-$A$5</f>
        <v>18</v>
      </c>
      <c r="O23" s="17" t="n">
        <f aca="false">IF(J23&gt;0,LN(J23),"")</f>
        <v>2.09714111877924</v>
      </c>
      <c r="P23" s="15" t="n">
        <f aca="false">COUNTIF(Data!$A$2:$A$2797,A23)</f>
        <v>5</v>
      </c>
    </row>
    <row r="24" customFormat="false" ht="15" hidden="false" customHeight="false" outlineLevel="0" collapsed="false">
      <c r="A24" s="11" t="n">
        <f aca="false">A23+1</f>
        <v>43906</v>
      </c>
      <c r="B24" s="12" t="str">
        <f aca="false">CHOOSE(WEEKDAY(A24,2),"Mon","Tue","Wed","Thu","Fri","Sat","Sun")</f>
        <v>Mon</v>
      </c>
      <c r="C24" s="13" t="n">
        <f aca="false">SUMIFS(Data!$B$2:$B$2797,Data!$A$2:$A$2797,A24)</f>
        <v>151</v>
      </c>
      <c r="D24" s="13" t="n">
        <f aca="false">SUMIFS(Data!$C$2:$C$2797,Data!$A$2:$A$2797,A24)</f>
        <v>0</v>
      </c>
      <c r="E24" s="13" t="n">
        <f aca="false">SUMIFS(Data!$D$2:$D$2797,Data!$A$2:$A$2797,A24)</f>
        <v>1</v>
      </c>
      <c r="F24" s="13" t="n">
        <f aca="false">SUM($C$5:C24)</f>
        <v>215</v>
      </c>
      <c r="G24" s="13" t="n">
        <f aca="false">SUM($D$5:D24)</f>
        <v>1</v>
      </c>
      <c r="H24" s="13" t="n">
        <f aca="false">SUM($E$5:E24)</f>
        <v>4</v>
      </c>
      <c r="I24" s="13" t="n">
        <f aca="false">F24-G24-H24</f>
        <v>210</v>
      </c>
      <c r="J24" s="16" t="n">
        <f aca="false">AVERAGE(C18:C24)</f>
        <v>28.4285714285714</v>
      </c>
      <c r="K24" s="16" t="n">
        <f aca="false">AVERAGE(D18:D24)</f>
        <v>0.142857142857143</v>
      </c>
      <c r="L24" s="14" t="n">
        <f aca="false">IF(F24&gt;0,G24/F24,0)</f>
        <v>0.00465116279069767</v>
      </c>
      <c r="M24" s="18" t="n">
        <f aca="false">IF(J17&gt;0,J24/J17-1,"")</f>
        <v>18.9</v>
      </c>
      <c r="N24" s="15" t="n">
        <f aca="false">A24-$A$5</f>
        <v>19</v>
      </c>
      <c r="O24" s="17" t="n">
        <f aca="false">IF(J24&gt;0,LN(J24),"")</f>
        <v>3.34739467566918</v>
      </c>
      <c r="P24" s="15" t="n">
        <f aca="false">COUNTIF(Data!$A$2:$A$2797,A24)</f>
        <v>7</v>
      </c>
    </row>
    <row r="25" customFormat="false" ht="15" hidden="false" customHeight="false" outlineLevel="0" collapsed="false">
      <c r="A25" s="11" t="n">
        <f aca="false">A24+1</f>
        <v>43907</v>
      </c>
      <c r="B25" s="12" t="str">
        <f aca="false">CHOOSE(WEEKDAY(A25,2),"Mon","Tue","Wed","Thu","Fri","Sat","Sun")</f>
        <v>Tue</v>
      </c>
      <c r="C25" s="13" t="n">
        <f aca="false">SUMIFS(Data!$B$2:$B$2797,Data!$A$2:$A$2797,A25)</f>
        <v>52</v>
      </c>
      <c r="D25" s="13" t="n">
        <f aca="false">SUMIFS(Data!$C$2:$C$2797,Data!$A$2:$A$2797,A25)</f>
        <v>0</v>
      </c>
      <c r="E25" s="13" t="n">
        <f aca="false">SUMIFS(Data!$D$2:$D$2797,Data!$A$2:$A$2797,A25)</f>
        <v>0</v>
      </c>
      <c r="F25" s="13" t="n">
        <f aca="false">SUM($C$5:C25)</f>
        <v>267</v>
      </c>
      <c r="G25" s="13" t="n">
        <f aca="false">SUM($D$5:D25)</f>
        <v>1</v>
      </c>
      <c r="H25" s="13" t="n">
        <f aca="false">SUM($E$5:E25)</f>
        <v>4</v>
      </c>
      <c r="I25" s="13" t="n">
        <f aca="false">F25-G25-H25</f>
        <v>262</v>
      </c>
      <c r="J25" s="16" t="n">
        <f aca="false">AVERAGE(C19:C25)</f>
        <v>35.4285714285714</v>
      </c>
      <c r="K25" s="16" t="n">
        <f aca="false">AVERAGE(D19:D25)</f>
        <v>0.142857142857143</v>
      </c>
      <c r="L25" s="14" t="n">
        <f aca="false">IF(F25&gt;0,G25/F25,0)</f>
        <v>0.00374531835205993</v>
      </c>
      <c r="M25" s="18" t="n">
        <f aca="false">IF(J18&gt;0,J25/J18-1,"")</f>
        <v>18.0769230769231</v>
      </c>
      <c r="N25" s="15" t="n">
        <f aca="false">A25-$A$5</f>
        <v>20</v>
      </c>
      <c r="O25" s="17" t="n">
        <f aca="false">IF(J25&gt;0,LN(J25),"")</f>
        <v>3.56751859710967</v>
      </c>
      <c r="P25" s="15" t="n">
        <f aca="false">COUNTIF(Data!$A$2:$A$2797,A25)</f>
        <v>8</v>
      </c>
    </row>
    <row r="26" customFormat="false" ht="15" hidden="false" customHeight="false" outlineLevel="0" collapsed="false">
      <c r="A26" s="11" t="n">
        <f aca="false">A25+1</f>
        <v>43908</v>
      </c>
      <c r="B26" s="12" t="str">
        <f aca="false">CHOOSE(WEEKDAY(A26,2),"Mon","Tue","Wed","Thu","Fri","Sat","Sun")</f>
        <v>Wed</v>
      </c>
      <c r="C26" s="13" t="n">
        <f aca="false">SUMIFS(Data!$B$2:$B$2797,Data!$A$2:$A$2797,A26)</f>
        <v>57</v>
      </c>
      <c r="D26" s="13" t="n">
        <f aca="false">SUMIFS(Data!$C$2:$C$2797,Data!$A$2:$A$2797,A26)</f>
        <v>2</v>
      </c>
      <c r="E26" s="13" t="n">
        <f aca="false">SUMIFS(Data!$D$2:$D$2797,Data!$A$2:$A$2797,A26)</f>
        <v>0</v>
      </c>
      <c r="F26" s="13" t="n">
        <f aca="false">SUM($C$5:C26)</f>
        <v>324</v>
      </c>
      <c r="G26" s="13" t="n">
        <f aca="false">SUM($D$5:D26)</f>
        <v>3</v>
      </c>
      <c r="H26" s="13" t="n">
        <f aca="false">SUM($E$5:E26)</f>
        <v>4</v>
      </c>
      <c r="I26" s="13" t="n">
        <f aca="false">F26-G26-H26</f>
        <v>317</v>
      </c>
      <c r="J26" s="16" t="n">
        <f aca="false">AVERAGE(C20:C26)</f>
        <v>43.4285714285714</v>
      </c>
      <c r="K26" s="16" t="n">
        <f aca="false">AVERAGE(D20:D26)</f>
        <v>0.428571428571429</v>
      </c>
      <c r="L26" s="14" t="n">
        <f aca="false">IF(F26&gt;0,G26/F26,0)</f>
        <v>0.00925925925925926</v>
      </c>
      <c r="M26" s="18" t="n">
        <f aca="false">IF(J19&gt;0,J26/J19-1,"")</f>
        <v>20.7142857142857</v>
      </c>
      <c r="N26" s="15" t="n">
        <f aca="false">A26-$A$5</f>
        <v>21</v>
      </c>
      <c r="O26" s="17" t="n">
        <f aca="false">IF(J26&gt;0,LN(J26),"")</f>
        <v>3.77111755235091</v>
      </c>
      <c r="P26" s="15" t="n">
        <f aca="false">COUNTIF(Data!$A$2:$A$2797,A26)</f>
        <v>9</v>
      </c>
    </row>
    <row r="27" customFormat="false" ht="15" hidden="false" customHeight="false" outlineLevel="0" collapsed="false">
      <c r="A27" s="11" t="n">
        <f aca="false">A26+1</f>
        <v>43909</v>
      </c>
      <c r="B27" s="12" t="str">
        <f aca="false">CHOOSE(WEEKDAY(A27,2),"Mon","Tue","Wed","Thu","Fri","Sat","Sun")</f>
        <v>Thu</v>
      </c>
      <c r="C27" s="13" t="n">
        <f aca="false">SUMIFS(Data!$B$2:$B$2797,Data!$A$2:$A$2797,A27)</f>
        <v>154</v>
      </c>
      <c r="D27" s="13" t="n">
        <f aca="false">SUMIFS(Data!$C$2:$C$2797,Data!$A$2:$A$2797,A27)</f>
        <v>0</v>
      </c>
      <c r="E27" s="13" t="n">
        <f aca="false">SUMIFS(Data!$D$2:$D$2797,Data!$A$2:$A$2797,A27)</f>
        <v>1</v>
      </c>
      <c r="F27" s="13" t="n">
        <f aca="false">SUM($C$5:C27)</f>
        <v>478</v>
      </c>
      <c r="G27" s="13" t="n">
        <f aca="false">SUM($D$5:D27)</f>
        <v>3</v>
      </c>
      <c r="H27" s="13" t="n">
        <f aca="false">SUM($E$5:E27)</f>
        <v>5</v>
      </c>
      <c r="I27" s="13" t="n">
        <f aca="false">F27-G27-H27</f>
        <v>470</v>
      </c>
      <c r="J27" s="16" t="n">
        <f aca="false">AVERAGE(C21:C27)</f>
        <v>65.2857142857143</v>
      </c>
      <c r="K27" s="16" t="n">
        <f aca="false">AVERAGE(D21:D27)</f>
        <v>0.428571428571429</v>
      </c>
      <c r="L27" s="14" t="n">
        <f aca="false">IF(F27&gt;0,G27/F27,0)</f>
        <v>0.00627615062761506</v>
      </c>
      <c r="M27" s="18" t="n">
        <f aca="false">IF(J20&gt;0,J27/J20-1,"")</f>
        <v>29.4666666666667</v>
      </c>
      <c r="N27" s="15" t="n">
        <f aca="false">A27-$A$5</f>
        <v>22</v>
      </c>
      <c r="O27" s="17" t="n">
        <f aca="false">IF(J27&gt;0,LN(J27),"")</f>
        <v>4.17877324183889</v>
      </c>
      <c r="P27" s="15" t="n">
        <f aca="false">COUNTIF(Data!$A$2:$A$2797,A27)</f>
        <v>9</v>
      </c>
    </row>
    <row r="28" customFormat="false" ht="15" hidden="false" customHeight="false" outlineLevel="0" collapsed="false">
      <c r="A28" s="11" t="n">
        <f aca="false">A27+1</f>
        <v>43910</v>
      </c>
      <c r="B28" s="12" t="str">
        <f aca="false">CHOOSE(WEEKDAY(A28,2),"Mon","Tue","Wed","Thu","Fri","Sat","Sun")</f>
        <v>Fri</v>
      </c>
      <c r="C28" s="13" t="n">
        <f aca="false">SUMIFS(Data!$B$2:$B$2797,Data!$A$2:$A$2797,A28)</f>
        <v>50</v>
      </c>
      <c r="D28" s="13" t="n">
        <f aca="false">SUMIFS(Data!$C$2:$C$2797,Data!$A$2:$A$2797,A28)</f>
        <v>1</v>
      </c>
      <c r="E28" s="13" t="n">
        <f aca="false">SUMIFS(Data!$D$2:$D$2797,Data!$A$2:$A$2797,A28)</f>
        <v>0</v>
      </c>
      <c r="F28" s="13" t="n">
        <f aca="false">SUM($C$5:C28)</f>
        <v>528</v>
      </c>
      <c r="G28" s="13" t="n">
        <f aca="false">SUM($D$5:D28)</f>
        <v>4</v>
      </c>
      <c r="H28" s="13" t="n">
        <f aca="false">SUM($E$5:E28)</f>
        <v>5</v>
      </c>
      <c r="I28" s="13" t="n">
        <f aca="false">F28-G28-H28</f>
        <v>519</v>
      </c>
      <c r="J28" s="16" t="n">
        <f aca="false">AVERAGE(C22:C28)</f>
        <v>71.1428571428571</v>
      </c>
      <c r="K28" s="16" t="n">
        <f aca="false">AVERAGE(D22:D28)</f>
        <v>0.571428571428571</v>
      </c>
      <c r="L28" s="14" t="n">
        <f aca="false">IF(F28&gt;0,G28/F28,0)</f>
        <v>0.00757575757575758</v>
      </c>
      <c r="M28" s="18" t="n">
        <f aca="false">IF(J21&gt;0,J28/J21-1,"")</f>
        <v>19.75</v>
      </c>
      <c r="N28" s="15" t="n">
        <f aca="false">A28-$A$5</f>
        <v>23</v>
      </c>
      <c r="O28" s="17" t="n">
        <f aca="false">IF(J28&gt;0,LN(J28),"")</f>
        <v>4.26468992796934</v>
      </c>
      <c r="P28" s="15" t="n">
        <f aca="false">COUNTIF(Data!$A$2:$A$2797,A28)</f>
        <v>12</v>
      </c>
    </row>
    <row r="29" customFormat="false" ht="15" hidden="false" customHeight="false" outlineLevel="0" collapsed="false">
      <c r="A29" s="11" t="n">
        <f aca="false">A28+1</f>
        <v>43911</v>
      </c>
      <c r="B29" s="12" t="str">
        <f aca="false">CHOOSE(WEEKDAY(A29,2),"Mon","Tue","Wed","Thu","Fri","Sat","Sun")</f>
        <v>Sat</v>
      </c>
      <c r="C29" s="13" t="n">
        <f aca="false">SUMIFS(Data!$B$2:$B$2797,Data!$A$2:$A$2797,A29)</f>
        <v>134</v>
      </c>
      <c r="D29" s="13" t="n">
        <f aca="false">SUMIFS(Data!$C$2:$C$2797,Data!$A$2:$A$2797,A29)</f>
        <v>0</v>
      </c>
      <c r="E29" s="13" t="n">
        <f aca="false">SUMIFS(Data!$D$2:$D$2797,Data!$A$2:$A$2797,A29)</f>
        <v>3</v>
      </c>
      <c r="F29" s="13" t="n">
        <f aca="false">SUM($C$5:C29)</f>
        <v>662</v>
      </c>
      <c r="G29" s="13" t="n">
        <f aca="false">SUM($D$5:D29)</f>
        <v>4</v>
      </c>
      <c r="H29" s="13" t="n">
        <f aca="false">SUM($E$5:E29)</f>
        <v>8</v>
      </c>
      <c r="I29" s="13" t="n">
        <f aca="false">F29-G29-H29</f>
        <v>650</v>
      </c>
      <c r="J29" s="16" t="n">
        <f aca="false">AVERAGE(C23:C29)</f>
        <v>90.2857142857143</v>
      </c>
      <c r="K29" s="16" t="n">
        <f aca="false">AVERAGE(D23:D29)</f>
        <v>0.571428571428571</v>
      </c>
      <c r="L29" s="14" t="n">
        <f aca="false">IF(F29&gt;0,G29/F29,0)</f>
        <v>0.00604229607250755</v>
      </c>
      <c r="M29" s="18" t="n">
        <f aca="false">IF(J22&gt;0,J29/J22-1,"")</f>
        <v>26.4782608695652</v>
      </c>
      <c r="N29" s="15" t="n">
        <f aca="false">A29-$A$5</f>
        <v>24</v>
      </c>
      <c r="O29" s="17" t="n">
        <f aca="false">IF(J29&gt;0,LN(J29),"")</f>
        <v>4.50297924509154</v>
      </c>
      <c r="P29" s="15" t="n">
        <f aca="false">COUNTIF(Data!$A$2:$A$2797,A29)</f>
        <v>14</v>
      </c>
    </row>
    <row r="30" customFormat="false" ht="15" hidden="false" customHeight="false" outlineLevel="0" collapsed="false">
      <c r="A30" s="11" t="n">
        <f aca="false">A29+1</f>
        <v>43912</v>
      </c>
      <c r="B30" s="12" t="str">
        <f aca="false">CHOOSE(WEEKDAY(A30,2),"Mon","Tue","Wed","Thu","Fri","Sat","Sun")</f>
        <v>Sun</v>
      </c>
      <c r="C30" s="13" t="n">
        <f aca="false">SUMIFS(Data!$B$2:$B$2797,Data!$A$2:$A$2797,A30)</f>
        <v>110</v>
      </c>
      <c r="D30" s="13" t="n">
        <f aca="false">SUMIFS(Data!$C$2:$C$2797,Data!$A$2:$A$2797,A30)</f>
        <v>1</v>
      </c>
      <c r="E30" s="13" t="n">
        <f aca="false">SUMIFS(Data!$D$2:$D$2797,Data!$A$2:$A$2797,A30)</f>
        <v>0</v>
      </c>
      <c r="F30" s="13" t="n">
        <f aca="false">SUM($C$5:C30)</f>
        <v>772</v>
      </c>
      <c r="G30" s="13" t="n">
        <f aca="false">SUM($D$5:D30)</f>
        <v>5</v>
      </c>
      <c r="H30" s="13" t="n">
        <f aca="false">SUM($E$5:E30)</f>
        <v>8</v>
      </c>
      <c r="I30" s="13" t="n">
        <f aca="false">F30-G30-H30</f>
        <v>759</v>
      </c>
      <c r="J30" s="16" t="n">
        <f aca="false">AVERAGE(C24:C30)</f>
        <v>101.142857142857</v>
      </c>
      <c r="K30" s="16" t="n">
        <f aca="false">AVERAGE(D24:D30)</f>
        <v>0.571428571428571</v>
      </c>
      <c r="L30" s="14" t="n">
        <f aca="false">IF(F30&gt;0,G30/F30,0)</f>
        <v>0.00647668393782383</v>
      </c>
      <c r="M30" s="18" t="n">
        <f aca="false">IF(J23&gt;0,J30/J23-1,"")</f>
        <v>11.4210526315789</v>
      </c>
      <c r="N30" s="15" t="n">
        <f aca="false">A30-$A$5</f>
        <v>25</v>
      </c>
      <c r="O30" s="17" t="n">
        <f aca="false">IF(J30&gt;0,LN(J30),"")</f>
        <v>4.61653394463841</v>
      </c>
      <c r="P30" s="15" t="n">
        <f aca="false">COUNTIF(Data!$A$2:$A$2797,A30)</f>
        <v>9</v>
      </c>
    </row>
    <row r="31" customFormat="false" ht="15" hidden="false" customHeight="false" outlineLevel="0" collapsed="false">
      <c r="A31" s="11" t="n">
        <f aca="false">A30+1</f>
        <v>43913</v>
      </c>
      <c r="B31" s="12" t="str">
        <f aca="false">CHOOSE(WEEKDAY(A31,2),"Mon","Tue","Wed","Thu","Fri","Sat","Sun")</f>
        <v>Mon</v>
      </c>
      <c r="C31" s="13" t="n">
        <f aca="false">SUMIFS(Data!$B$2:$B$2797,Data!$A$2:$A$2797,A31)</f>
        <v>82</v>
      </c>
      <c r="D31" s="13" t="n">
        <f aca="false">SUMIFS(Data!$C$2:$C$2797,Data!$A$2:$A$2797,A31)</f>
        <v>1</v>
      </c>
      <c r="E31" s="13" t="n">
        <f aca="false">SUMIFS(Data!$D$2:$D$2797,Data!$A$2:$A$2797,A31)</f>
        <v>0</v>
      </c>
      <c r="F31" s="13" t="n">
        <f aca="false">SUM($C$5:C31)</f>
        <v>854</v>
      </c>
      <c r="G31" s="13" t="n">
        <f aca="false">SUM($D$5:D31)</f>
        <v>6</v>
      </c>
      <c r="H31" s="13" t="n">
        <f aca="false">SUM($E$5:E31)</f>
        <v>8</v>
      </c>
      <c r="I31" s="13" t="n">
        <f aca="false">F31-G31-H31</f>
        <v>840</v>
      </c>
      <c r="J31" s="16" t="n">
        <f aca="false">AVERAGE(C25:C31)</f>
        <v>91.2857142857143</v>
      </c>
      <c r="K31" s="16" t="n">
        <f aca="false">AVERAGE(D25:D31)</f>
        <v>0.714285714285714</v>
      </c>
      <c r="L31" s="14" t="n">
        <f aca="false">IF(F31&gt;0,G31/F31,0)</f>
        <v>0.00702576112412178</v>
      </c>
      <c r="M31" s="18" t="n">
        <f aca="false">IF(J24&gt;0,J31/J24-1,"")</f>
        <v>2.21105527638191</v>
      </c>
      <c r="N31" s="15" t="n">
        <f aca="false">A31-$A$5</f>
        <v>26</v>
      </c>
      <c r="O31" s="17" t="n">
        <f aca="false">IF(J31&gt;0,LN(J31),"")</f>
        <v>4.51399430532222</v>
      </c>
      <c r="P31" s="15" t="n">
        <f aca="false">COUNTIF(Data!$A$2:$A$2797,A31)</f>
        <v>8</v>
      </c>
    </row>
    <row r="32" customFormat="false" ht="15" hidden="false" customHeight="false" outlineLevel="0" collapsed="false">
      <c r="A32" s="11" t="n">
        <f aca="false">A31+1</f>
        <v>43914</v>
      </c>
      <c r="B32" s="12" t="str">
        <f aca="false">CHOOSE(WEEKDAY(A32,2),"Mon","Tue","Wed","Thu","Fri","Sat","Sun")</f>
        <v>Tue</v>
      </c>
      <c r="C32" s="13" t="n">
        <f aca="false">SUMIFS(Data!$B$2:$B$2797,Data!$A$2:$A$2797,A32)</f>
        <v>114</v>
      </c>
      <c r="D32" s="13" t="n">
        <f aca="false">SUMIFS(Data!$C$2:$C$2797,Data!$A$2:$A$2797,A32)</f>
        <v>1</v>
      </c>
      <c r="E32" s="13" t="n">
        <f aca="false">SUMIFS(Data!$D$2:$D$2797,Data!$A$2:$A$2797,A32)</f>
        <v>18</v>
      </c>
      <c r="F32" s="13" t="n">
        <f aca="false">SUM($C$5:C32)</f>
        <v>968</v>
      </c>
      <c r="G32" s="13" t="n">
        <f aca="false">SUM($D$5:D32)</f>
        <v>7</v>
      </c>
      <c r="H32" s="13" t="n">
        <f aca="false">SUM($E$5:E32)</f>
        <v>26</v>
      </c>
      <c r="I32" s="13" t="n">
        <f aca="false">F32-G32-H32</f>
        <v>935</v>
      </c>
      <c r="J32" s="16" t="n">
        <f aca="false">AVERAGE(C26:C32)</f>
        <v>100.142857142857</v>
      </c>
      <c r="K32" s="16" t="n">
        <f aca="false">AVERAGE(D26:D32)</f>
        <v>0.857142857142857</v>
      </c>
      <c r="L32" s="14" t="n">
        <f aca="false">IF(F32&gt;0,G32/F32,0)</f>
        <v>0.00723140495867769</v>
      </c>
      <c r="M32" s="18" t="n">
        <f aca="false">IF(J25&gt;0,J32/J25-1,"")</f>
        <v>1.82661290322581</v>
      </c>
      <c r="N32" s="15" t="n">
        <f aca="false">A32-$A$5</f>
        <v>27</v>
      </c>
      <c r="O32" s="17" t="n">
        <f aca="false">IF(J32&gt;0,LN(J32),"")</f>
        <v>4.60659773797928</v>
      </c>
      <c r="P32" s="15" t="n">
        <f aca="false">COUNTIF(Data!$A$2:$A$2797,A32)</f>
        <v>18</v>
      </c>
    </row>
    <row r="33" customFormat="false" ht="15" hidden="false" customHeight="false" outlineLevel="0" collapsed="false">
      <c r="A33" s="11" t="n">
        <f aca="false">A32+1</f>
        <v>43915</v>
      </c>
      <c r="B33" s="12" t="str">
        <f aca="false">CHOOSE(WEEKDAY(A33,2),"Mon","Tue","Wed","Thu","Fri","Sat","Sun")</f>
        <v>Wed</v>
      </c>
      <c r="C33" s="13" t="n">
        <f aca="false">SUMIFS(Data!$B$2:$B$2797,Data!$A$2:$A$2797,A33)</f>
        <v>110</v>
      </c>
      <c r="D33" s="13" t="n">
        <f aca="false">SUMIFS(Data!$C$2:$C$2797,Data!$A$2:$A$2797,A33)</f>
        <v>1</v>
      </c>
      <c r="E33" s="13" t="n">
        <f aca="false">SUMIFS(Data!$D$2:$D$2797,Data!$A$2:$A$2797,A33)</f>
        <v>4</v>
      </c>
      <c r="F33" s="13" t="n">
        <f aca="false">SUM($C$5:C33)</f>
        <v>1078</v>
      </c>
      <c r="G33" s="13" t="n">
        <f aca="false">SUM($D$5:D33)</f>
        <v>8</v>
      </c>
      <c r="H33" s="13" t="n">
        <f aca="false">SUM($E$5:E33)</f>
        <v>30</v>
      </c>
      <c r="I33" s="13" t="n">
        <f aca="false">F33-G33-H33</f>
        <v>1040</v>
      </c>
      <c r="J33" s="16" t="n">
        <f aca="false">AVERAGE(C27:C33)</f>
        <v>107.714285714286</v>
      </c>
      <c r="K33" s="16" t="n">
        <f aca="false">AVERAGE(D27:D33)</f>
        <v>0.714285714285714</v>
      </c>
      <c r="L33" s="14" t="n">
        <f aca="false">IF(F33&gt;0,G33/F33,0)</f>
        <v>0.00742115027829314</v>
      </c>
      <c r="M33" s="18" t="n">
        <f aca="false">IF(J26&gt;0,J33/J26-1,"")</f>
        <v>1.48026315789474</v>
      </c>
      <c r="N33" s="15" t="n">
        <f aca="false">A33-$A$5</f>
        <v>28</v>
      </c>
      <c r="O33" s="17" t="n">
        <f aca="false">IF(J33&gt;0,LN(J33),"")</f>
        <v>4.67948221895264</v>
      </c>
      <c r="P33" s="15" t="n">
        <f aca="false">COUNTIF(Data!$A$2:$A$2797,A33)</f>
        <v>16</v>
      </c>
    </row>
    <row r="34" customFormat="false" ht="15" hidden="false" customHeight="false" outlineLevel="0" collapsed="false">
      <c r="A34" s="11" t="n">
        <f aca="false">A33+1</f>
        <v>43916</v>
      </c>
      <c r="B34" s="12" t="str">
        <f aca="false">CHOOSE(WEEKDAY(A34,2),"Mon","Tue","Wed","Thu","Fri","Sat","Sun")</f>
        <v>Thu</v>
      </c>
      <c r="C34" s="13" t="n">
        <f aca="false">SUMIFS(Data!$B$2:$B$2797,Data!$A$2:$A$2797,A34)</f>
        <v>131</v>
      </c>
      <c r="D34" s="13" t="n">
        <f aca="false">SUMIFS(Data!$C$2:$C$2797,Data!$A$2:$A$2797,A34)</f>
        <v>1</v>
      </c>
      <c r="E34" s="13" t="n">
        <f aca="false">SUMIFS(Data!$D$2:$D$2797,Data!$A$2:$A$2797,A34)</f>
        <v>5</v>
      </c>
      <c r="F34" s="13" t="n">
        <f aca="false">SUM($C$5:C34)</f>
        <v>1209</v>
      </c>
      <c r="G34" s="13" t="n">
        <f aca="false">SUM($D$5:D34)</f>
        <v>9</v>
      </c>
      <c r="H34" s="13" t="n">
        <f aca="false">SUM($E$5:E34)</f>
        <v>35</v>
      </c>
      <c r="I34" s="13" t="n">
        <f aca="false">F34-G34-H34</f>
        <v>1165</v>
      </c>
      <c r="J34" s="16" t="n">
        <f aca="false">AVERAGE(C28:C34)</f>
        <v>104.428571428571</v>
      </c>
      <c r="K34" s="16" t="n">
        <f aca="false">AVERAGE(D28:D34)</f>
        <v>0.857142857142857</v>
      </c>
      <c r="L34" s="14" t="n">
        <f aca="false">IF(F34&gt;0,G34/F34,0)</f>
        <v>0.00744416873449132</v>
      </c>
      <c r="M34" s="18" t="n">
        <f aca="false">IF(J27&gt;0,J34/J27-1,"")</f>
        <v>0.599562363238512</v>
      </c>
      <c r="N34" s="15" t="n">
        <f aca="false">A34-$A$5</f>
        <v>29</v>
      </c>
      <c r="O34" s="17" t="n">
        <f aca="false">IF(J34&gt;0,LN(J34),"")</f>
        <v>4.64850331069447</v>
      </c>
      <c r="P34" s="15" t="n">
        <f aca="false">COUNTIF(Data!$A$2:$A$2797,A34)</f>
        <v>21</v>
      </c>
    </row>
    <row r="35" customFormat="false" ht="15" hidden="false" customHeight="false" outlineLevel="0" collapsed="false">
      <c r="A35" s="11" t="n">
        <f aca="false">A34+1</f>
        <v>43917</v>
      </c>
      <c r="B35" s="12" t="str">
        <f aca="false">CHOOSE(WEEKDAY(A35,2),"Mon","Tue","Wed","Thu","Fri","Sat","Sun")</f>
        <v>Fri</v>
      </c>
      <c r="C35" s="13" t="n">
        <f aca="false">SUMIFS(Data!$B$2:$B$2797,Data!$A$2:$A$2797,A35)</f>
        <v>122</v>
      </c>
      <c r="D35" s="13" t="n">
        <f aca="false">SUMIFS(Data!$C$2:$C$2797,Data!$A$2:$A$2797,A35)</f>
        <v>2</v>
      </c>
      <c r="E35" s="13" t="n">
        <f aca="false">SUMIFS(Data!$D$2:$D$2797,Data!$A$2:$A$2797,A35)</f>
        <v>5</v>
      </c>
      <c r="F35" s="13" t="n">
        <f aca="false">SUM($C$5:C35)</f>
        <v>1331</v>
      </c>
      <c r="G35" s="13" t="n">
        <f aca="false">SUM($D$5:D35)</f>
        <v>11</v>
      </c>
      <c r="H35" s="13" t="n">
        <f aca="false">SUM($E$5:E35)</f>
        <v>40</v>
      </c>
      <c r="I35" s="13" t="n">
        <f aca="false">F35-G35-H35</f>
        <v>1280</v>
      </c>
      <c r="J35" s="16" t="n">
        <f aca="false">AVERAGE(C29:C35)</f>
        <v>114.714285714286</v>
      </c>
      <c r="K35" s="16" t="n">
        <f aca="false">AVERAGE(D29:D35)</f>
        <v>1</v>
      </c>
      <c r="L35" s="14" t="n">
        <f aca="false">IF(F35&gt;0,G35/F35,0)</f>
        <v>0.00826446280991736</v>
      </c>
      <c r="M35" s="18" t="n">
        <f aca="false">IF(J28&gt;0,J35/J28-1,"")</f>
        <v>0.612449799196787</v>
      </c>
      <c r="N35" s="15" t="n">
        <f aca="false">A35-$A$5</f>
        <v>30</v>
      </c>
      <c r="O35" s="17" t="n">
        <f aca="false">IF(J35&gt;0,LN(J35),"")</f>
        <v>4.74244456489145</v>
      </c>
      <c r="P35" s="15" t="n">
        <f aca="false">COUNTIF(Data!$A$2:$A$2797,A35)</f>
        <v>19</v>
      </c>
    </row>
    <row r="36" customFormat="false" ht="15" hidden="false" customHeight="false" outlineLevel="0" collapsed="false">
      <c r="A36" s="11" t="n">
        <f aca="false">A35+1</f>
        <v>43918</v>
      </c>
      <c r="B36" s="12" t="str">
        <f aca="false">CHOOSE(WEEKDAY(A36,2),"Mon","Tue","Wed","Thu","Fri","Sat","Sun")</f>
        <v>Sat</v>
      </c>
      <c r="C36" s="13" t="n">
        <f aca="false">SUMIFS(Data!$B$2:$B$2797,Data!$A$2:$A$2797,A36)</f>
        <v>184</v>
      </c>
      <c r="D36" s="13" t="n">
        <f aca="false">SUMIFS(Data!$C$2:$C$2797,Data!$A$2:$A$2797,A36)</f>
        <v>2</v>
      </c>
      <c r="E36" s="13" t="n">
        <f aca="false">SUMIFS(Data!$D$2:$D$2797,Data!$A$2:$A$2797,A36)</f>
        <v>1</v>
      </c>
      <c r="F36" s="13" t="n">
        <f aca="false">SUM($C$5:C36)</f>
        <v>1515</v>
      </c>
      <c r="G36" s="13" t="n">
        <f aca="false">SUM($D$5:D36)</f>
        <v>13</v>
      </c>
      <c r="H36" s="13" t="n">
        <f aca="false">SUM($E$5:E36)</f>
        <v>41</v>
      </c>
      <c r="I36" s="13" t="n">
        <f aca="false">F36-G36-H36</f>
        <v>1461</v>
      </c>
      <c r="J36" s="16" t="n">
        <f aca="false">AVERAGE(C30:C36)</f>
        <v>121.857142857143</v>
      </c>
      <c r="K36" s="16" t="n">
        <f aca="false">AVERAGE(D30:D36)</f>
        <v>1.28571428571429</v>
      </c>
      <c r="L36" s="14" t="n">
        <f aca="false">IF(F36&gt;0,G36/F36,0)</f>
        <v>0.00858085808580858</v>
      </c>
      <c r="M36" s="18" t="n">
        <f aca="false">IF(J29&gt;0,J36/J29-1,"")</f>
        <v>0.349683544303797</v>
      </c>
      <c r="N36" s="15" t="n">
        <f aca="false">A36-$A$5</f>
        <v>31</v>
      </c>
      <c r="O36" s="17" t="n">
        <f aca="false">IF(J36&gt;0,LN(J36),"")</f>
        <v>4.80284939843637</v>
      </c>
      <c r="P36" s="15" t="n">
        <f aca="false">COUNTIF(Data!$A$2:$A$2797,A36)</f>
        <v>24</v>
      </c>
    </row>
    <row r="37" customFormat="false" ht="15" hidden="false" customHeight="false" outlineLevel="0" collapsed="false">
      <c r="A37" s="11" t="n">
        <f aca="false">A36+1</f>
        <v>43919</v>
      </c>
      <c r="B37" s="12" t="str">
        <f aca="false">CHOOSE(WEEKDAY(A37,2),"Mon","Tue","Wed","Thu","Fri","Sat","Sun")</f>
        <v>Sun</v>
      </c>
      <c r="C37" s="13" t="n">
        <f aca="false">SUMIFS(Data!$B$2:$B$2797,Data!$A$2:$A$2797,A37)</f>
        <v>87</v>
      </c>
      <c r="D37" s="13" t="n">
        <f aca="false">SUMIFS(Data!$C$2:$C$2797,Data!$A$2:$A$2797,A37)</f>
        <v>6</v>
      </c>
      <c r="E37" s="13" t="n">
        <f aca="false">SUMIFS(Data!$D$2:$D$2797,Data!$A$2:$A$2797,A37)</f>
        <v>7</v>
      </c>
      <c r="F37" s="13" t="n">
        <f aca="false">SUM($C$5:C37)</f>
        <v>1602</v>
      </c>
      <c r="G37" s="13" t="n">
        <f aca="false">SUM($D$5:D37)</f>
        <v>19</v>
      </c>
      <c r="H37" s="13" t="n">
        <f aca="false">SUM($E$5:E37)</f>
        <v>48</v>
      </c>
      <c r="I37" s="13" t="n">
        <f aca="false">F37-G37-H37</f>
        <v>1535</v>
      </c>
      <c r="J37" s="16" t="n">
        <f aca="false">AVERAGE(C31:C37)</f>
        <v>118.571428571429</v>
      </c>
      <c r="K37" s="16" t="n">
        <f aca="false">AVERAGE(D31:D37)</f>
        <v>2</v>
      </c>
      <c r="L37" s="14" t="n">
        <f aca="false">IF(F37&gt;0,G37/F37,0)</f>
        <v>0.0118601747815231</v>
      </c>
      <c r="M37" s="18" t="n">
        <f aca="false">IF(J30&gt;0,J37/J30-1,"")</f>
        <v>0.172316384180791</v>
      </c>
      <c r="N37" s="15" t="n">
        <f aca="false">A37-$A$5</f>
        <v>32</v>
      </c>
      <c r="O37" s="17" t="n">
        <f aca="false">IF(J37&gt;0,LN(J37),"")</f>
        <v>4.77551555173533</v>
      </c>
      <c r="P37" s="15" t="n">
        <f aca="false">COUNTIF(Data!$A$2:$A$2797,A37)</f>
        <v>20</v>
      </c>
    </row>
    <row r="38" customFormat="false" ht="15" hidden="false" customHeight="false" outlineLevel="0" collapsed="false">
      <c r="A38" s="11" t="n">
        <f aca="false">A37+1</f>
        <v>43920</v>
      </c>
      <c r="B38" s="12" t="str">
        <f aca="false">CHOOSE(WEEKDAY(A38,2),"Mon","Tue","Wed","Thu","Fri","Sat","Sun")</f>
        <v>Mon</v>
      </c>
      <c r="C38" s="13" t="n">
        <f aca="false">SUMIFS(Data!$B$2:$B$2797,Data!$A$2:$A$2797,A38)</f>
        <v>145</v>
      </c>
      <c r="D38" s="13" t="n">
        <f aca="false">SUMIFS(Data!$C$2:$C$2797,Data!$A$2:$A$2797,A38)</f>
        <v>4</v>
      </c>
      <c r="E38" s="13" t="n">
        <f aca="false">SUMIFS(Data!$D$2:$D$2797,Data!$A$2:$A$2797,A38)</f>
        <v>32</v>
      </c>
      <c r="F38" s="13" t="n">
        <f aca="false">SUM($C$5:C38)</f>
        <v>1747</v>
      </c>
      <c r="G38" s="13" t="n">
        <f aca="false">SUM($D$5:D38)</f>
        <v>23</v>
      </c>
      <c r="H38" s="13" t="n">
        <f aca="false">SUM($E$5:E38)</f>
        <v>80</v>
      </c>
      <c r="I38" s="13" t="n">
        <f aca="false">F38-G38-H38</f>
        <v>1644</v>
      </c>
      <c r="J38" s="16" t="n">
        <f aca="false">AVERAGE(C32:C38)</f>
        <v>127.571428571429</v>
      </c>
      <c r="K38" s="16" t="n">
        <f aca="false">AVERAGE(D32:D38)</f>
        <v>2.42857142857143</v>
      </c>
      <c r="L38" s="14" t="n">
        <f aca="false">IF(F38&gt;0,G38/F38,0)</f>
        <v>0.0131654264453349</v>
      </c>
      <c r="M38" s="18" t="n">
        <f aca="false">IF(J31&gt;0,J38/J31-1,"")</f>
        <v>0.397496087636933</v>
      </c>
      <c r="N38" s="15" t="n">
        <f aca="false">A38-$A$5</f>
        <v>33</v>
      </c>
      <c r="O38" s="17" t="n">
        <f aca="false">IF(J38&gt;0,LN(J38),"")</f>
        <v>4.84867643182119</v>
      </c>
      <c r="P38" s="15" t="n">
        <f aca="false">COUNTIF(Data!$A$2:$A$2797,A38)</f>
        <v>17</v>
      </c>
    </row>
    <row r="39" customFormat="false" ht="15" hidden="false" customHeight="false" outlineLevel="0" collapsed="false">
      <c r="A39" s="11" t="n">
        <f aca="false">A38+1</f>
        <v>43921</v>
      </c>
      <c r="B39" s="12" t="str">
        <f aca="false">CHOOSE(WEEKDAY(A39,2),"Mon","Tue","Wed","Thu","Fri","Sat","Sun")</f>
        <v>Tue</v>
      </c>
      <c r="C39" s="13" t="n">
        <f aca="false">SUMIFS(Data!$B$2:$B$2797,Data!$A$2:$A$2797,A39)</f>
        <v>223</v>
      </c>
      <c r="D39" s="13" t="n">
        <f aca="false">SUMIFS(Data!$C$2:$C$2797,Data!$A$2:$A$2797,A39)</f>
        <v>4</v>
      </c>
      <c r="E39" s="13" t="n">
        <f aca="false">SUMIFS(Data!$D$2:$D$2797,Data!$A$2:$A$2797,A39)</f>
        <v>42</v>
      </c>
      <c r="F39" s="13" t="n">
        <f aca="false">SUM($C$5:C39)</f>
        <v>1970</v>
      </c>
      <c r="G39" s="13" t="n">
        <f aca="false">SUM($D$5:D39)</f>
        <v>27</v>
      </c>
      <c r="H39" s="13" t="n">
        <f aca="false">SUM($E$5:E39)</f>
        <v>122</v>
      </c>
      <c r="I39" s="13" t="n">
        <f aca="false">F39-G39-H39</f>
        <v>1821</v>
      </c>
      <c r="J39" s="16" t="n">
        <f aca="false">AVERAGE(C33:C39)</f>
        <v>143.142857142857</v>
      </c>
      <c r="K39" s="16" t="n">
        <f aca="false">AVERAGE(D33:D39)</f>
        <v>2.85714285714286</v>
      </c>
      <c r="L39" s="14" t="n">
        <f aca="false">IF(F39&gt;0,G39/F39,0)</f>
        <v>0.0137055837563452</v>
      </c>
      <c r="M39" s="18" t="n">
        <f aca="false">IF(J32&gt;0,J39/J32-1,"")</f>
        <v>0.429386590584879</v>
      </c>
      <c r="N39" s="15" t="n">
        <f aca="false">A39-$A$5</f>
        <v>34</v>
      </c>
      <c r="O39" s="17" t="n">
        <f aca="false">IF(J39&gt;0,LN(J39),"")</f>
        <v>4.9638431325895</v>
      </c>
      <c r="P39" s="15" t="n">
        <f aca="false">COUNTIF(Data!$A$2:$A$2797,A39)</f>
        <v>23</v>
      </c>
    </row>
    <row r="40" customFormat="false" ht="15" hidden="false" customHeight="false" outlineLevel="0" collapsed="false">
      <c r="A40" s="11" t="n">
        <f aca="false">A39+1</f>
        <v>43922</v>
      </c>
      <c r="B40" s="12" t="str">
        <f aca="false">CHOOSE(WEEKDAY(A40,2),"Mon","Tue","Wed","Thu","Fri","Sat","Sun")</f>
        <v>Wed</v>
      </c>
      <c r="C40" s="13" t="n">
        <f aca="false">SUMIFS(Data!$B$2:$B$2797,Data!$A$2:$A$2797,A40)</f>
        <v>260</v>
      </c>
      <c r="D40" s="13" t="n">
        <f aca="false">SUMIFS(Data!$C$2:$C$2797,Data!$A$2:$A$2797,A40)</f>
        <v>4</v>
      </c>
      <c r="E40" s="13" t="n">
        <f aca="false">SUMIFS(Data!$D$2:$D$2797,Data!$A$2:$A$2797,A40)</f>
        <v>15</v>
      </c>
      <c r="F40" s="13" t="n">
        <f aca="false">SUM($C$5:C40)</f>
        <v>2230</v>
      </c>
      <c r="G40" s="13" t="n">
        <f aca="false">SUM($D$5:D40)</f>
        <v>31</v>
      </c>
      <c r="H40" s="13" t="n">
        <f aca="false">SUM($E$5:E40)</f>
        <v>137</v>
      </c>
      <c r="I40" s="13" t="n">
        <f aca="false">F40-G40-H40</f>
        <v>2062</v>
      </c>
      <c r="J40" s="16" t="n">
        <f aca="false">AVERAGE(C34:C40)</f>
        <v>164.571428571429</v>
      </c>
      <c r="K40" s="16" t="n">
        <f aca="false">AVERAGE(D34:D40)</f>
        <v>3.28571428571429</v>
      </c>
      <c r="L40" s="14" t="n">
        <f aca="false">IF(F40&gt;0,G40/F40,0)</f>
        <v>0.0139013452914798</v>
      </c>
      <c r="M40" s="18" t="n">
        <f aca="false">IF(J33&gt;0,J40/J33-1,"")</f>
        <v>0.527851458885942</v>
      </c>
      <c r="N40" s="15" t="n">
        <f aca="false">A40-$A$5</f>
        <v>35</v>
      </c>
      <c r="O40" s="17" t="n">
        <f aca="false">IF(J40&gt;0,LN(J40),"")</f>
        <v>5.10334469220052</v>
      </c>
      <c r="P40" s="15" t="n">
        <f aca="false">COUNTIF(Data!$A$2:$A$2797,A40)</f>
        <v>31</v>
      </c>
    </row>
    <row r="41" customFormat="false" ht="15" hidden="false" customHeight="false" outlineLevel="0" collapsed="false">
      <c r="A41" s="11" t="n">
        <f aca="false">A40+1</f>
        <v>43923</v>
      </c>
      <c r="B41" s="12" t="str">
        <f aca="false">CHOOSE(WEEKDAY(A41,2),"Mon","Tue","Wed","Thu","Fri","Sat","Sun")</f>
        <v>Thu</v>
      </c>
      <c r="C41" s="13" t="n">
        <f aca="false">SUMIFS(Data!$B$2:$B$2797,Data!$A$2:$A$2797,A41)</f>
        <v>183</v>
      </c>
      <c r="D41" s="13" t="n">
        <f aca="false">SUMIFS(Data!$C$2:$C$2797,Data!$A$2:$A$2797,A41)</f>
        <v>5</v>
      </c>
      <c r="E41" s="13" t="n">
        <f aca="false">SUMIFS(Data!$D$2:$D$2797,Data!$A$2:$A$2797,A41)</f>
        <v>14</v>
      </c>
      <c r="F41" s="13" t="n">
        <f aca="false">SUM($C$5:C41)</f>
        <v>2413</v>
      </c>
      <c r="G41" s="13" t="n">
        <f aca="false">SUM($D$5:D41)</f>
        <v>36</v>
      </c>
      <c r="H41" s="13" t="n">
        <f aca="false">SUM($E$5:E41)</f>
        <v>151</v>
      </c>
      <c r="I41" s="13" t="n">
        <f aca="false">F41-G41-H41</f>
        <v>2226</v>
      </c>
      <c r="J41" s="16" t="n">
        <f aca="false">AVERAGE(C35:C41)</f>
        <v>172</v>
      </c>
      <c r="K41" s="16" t="n">
        <f aca="false">AVERAGE(D35:D41)</f>
        <v>3.85714285714286</v>
      </c>
      <c r="L41" s="14" t="n">
        <f aca="false">IF(F41&gt;0,G41/F41,0)</f>
        <v>0.0149191877331123</v>
      </c>
      <c r="M41" s="18" t="n">
        <f aca="false">IF(J34&gt;0,J41/J34-1,"")</f>
        <v>0.647058823529412</v>
      </c>
      <c r="N41" s="15" t="n">
        <f aca="false">A41-$A$5</f>
        <v>36</v>
      </c>
      <c r="O41" s="17" t="n">
        <f aca="false">IF(J41&gt;0,LN(J41),"")</f>
        <v>5.14749447681345</v>
      </c>
      <c r="P41" s="15" t="n">
        <f aca="false">COUNTIF(Data!$A$2:$A$2797,A41)</f>
        <v>26</v>
      </c>
    </row>
    <row r="42" customFormat="false" ht="15" hidden="false" customHeight="false" outlineLevel="0" collapsed="false">
      <c r="A42" s="11" t="n">
        <f aca="false">A41+1</f>
        <v>43924</v>
      </c>
      <c r="B42" s="12" t="str">
        <f aca="false">CHOOSE(WEEKDAY(A42,2),"Mon","Tue","Wed","Thu","Fri","Sat","Sun")</f>
        <v>Fri</v>
      </c>
      <c r="C42" s="13" t="n">
        <f aca="false">SUMIFS(Data!$B$2:$B$2797,Data!$A$2:$A$2797,A42)</f>
        <v>239</v>
      </c>
      <c r="D42" s="13" t="n">
        <f aca="false">SUMIFS(Data!$C$2:$C$2797,Data!$A$2:$A$2797,A42)</f>
        <v>5</v>
      </c>
      <c r="E42" s="13" t="n">
        <f aca="false">SUMIFS(Data!$D$2:$D$2797,Data!$A$2:$A$2797,A42)</f>
        <v>1</v>
      </c>
      <c r="F42" s="13" t="n">
        <f aca="false">SUM($C$5:C42)</f>
        <v>2652</v>
      </c>
      <c r="G42" s="13" t="n">
        <f aca="false">SUM($D$5:D42)</f>
        <v>41</v>
      </c>
      <c r="H42" s="13" t="n">
        <f aca="false">SUM($E$5:E42)</f>
        <v>152</v>
      </c>
      <c r="I42" s="13" t="n">
        <f aca="false">F42-G42-H42</f>
        <v>2459</v>
      </c>
      <c r="J42" s="16" t="n">
        <f aca="false">AVERAGE(C36:C42)</f>
        <v>188.714285714286</v>
      </c>
      <c r="K42" s="16" t="n">
        <f aca="false">AVERAGE(D36:D42)</f>
        <v>4.28571428571429</v>
      </c>
      <c r="L42" s="14" t="n">
        <f aca="false">IF(F42&gt;0,G42/F42,0)</f>
        <v>0.0154600301659125</v>
      </c>
      <c r="M42" s="18" t="n">
        <f aca="false">IF(J35&gt;0,J42/J35-1,"")</f>
        <v>0.64508094645081</v>
      </c>
      <c r="N42" s="15" t="n">
        <f aca="false">A42-$A$5</f>
        <v>37</v>
      </c>
      <c r="O42" s="17" t="n">
        <f aca="false">IF(J42&gt;0,LN(J42),"")</f>
        <v>5.24023415546701</v>
      </c>
      <c r="P42" s="15" t="n">
        <f aca="false">COUNTIF(Data!$A$2:$A$2797,A42)</f>
        <v>27</v>
      </c>
    </row>
    <row r="43" customFormat="false" ht="15" hidden="false" customHeight="false" outlineLevel="0" collapsed="false">
      <c r="A43" s="11" t="n">
        <f aca="false">A42+1</f>
        <v>43925</v>
      </c>
      <c r="B43" s="12" t="str">
        <f aca="false">CHOOSE(WEEKDAY(A43,2),"Mon","Tue","Wed","Thu","Fri","Sat","Sun")</f>
        <v>Sat</v>
      </c>
      <c r="C43" s="13" t="n">
        <f aca="false">SUMIFS(Data!$B$2:$B$2797,Data!$A$2:$A$2797,A43)</f>
        <v>79</v>
      </c>
      <c r="D43" s="13" t="n">
        <f aca="false">SUMIFS(Data!$C$2:$C$2797,Data!$A$2:$A$2797,A43)</f>
        <v>4</v>
      </c>
      <c r="E43" s="13" t="n">
        <f aca="false">SUMIFS(Data!$D$2:$D$2797,Data!$A$2:$A$2797,A43)</f>
        <v>33</v>
      </c>
      <c r="F43" s="13" t="n">
        <f aca="false">SUM($C$5:C43)</f>
        <v>2731</v>
      </c>
      <c r="G43" s="13" t="n">
        <f aca="false">SUM($D$5:D43)</f>
        <v>45</v>
      </c>
      <c r="H43" s="13" t="n">
        <f aca="false">SUM($E$5:E43)</f>
        <v>185</v>
      </c>
      <c r="I43" s="13" t="n">
        <f aca="false">F43-G43-H43</f>
        <v>2501</v>
      </c>
      <c r="J43" s="16" t="n">
        <f aca="false">AVERAGE(C37:C43)</f>
        <v>173.714285714286</v>
      </c>
      <c r="K43" s="16" t="n">
        <f aca="false">AVERAGE(D37:D43)</f>
        <v>4.57142857142857</v>
      </c>
      <c r="L43" s="14" t="n">
        <f aca="false">IF(F43&gt;0,G43/F43,0)</f>
        <v>0.0164774807762724</v>
      </c>
      <c r="M43" s="18" t="n">
        <f aca="false">IF(J36&gt;0,J43/J36-1,"")</f>
        <v>0.425556858147714</v>
      </c>
      <c r="N43" s="15" t="n">
        <f aca="false">A43-$A$5</f>
        <v>38</v>
      </c>
      <c r="O43" s="17" t="n">
        <f aca="false">IF(J43&gt;0,LN(J43),"")</f>
        <v>5.1574119134708</v>
      </c>
      <c r="P43" s="15" t="n">
        <f aca="false">COUNTIF(Data!$A$2:$A$2797,A43)</f>
        <v>19</v>
      </c>
    </row>
    <row r="44" customFormat="false" ht="15" hidden="false" customHeight="false" outlineLevel="0" collapsed="false">
      <c r="A44" s="11" t="n">
        <f aca="false">A43+1</f>
        <v>43926</v>
      </c>
      <c r="B44" s="12" t="str">
        <f aca="false">CHOOSE(WEEKDAY(A44,2),"Mon","Tue","Wed","Thu","Fri","Sat","Sun")</f>
        <v>Sun</v>
      </c>
      <c r="C44" s="13" t="n">
        <f aca="false">SUMIFS(Data!$B$2:$B$2797,Data!$A$2:$A$2797,A44)</f>
        <v>180</v>
      </c>
      <c r="D44" s="13" t="n">
        <f aca="false">SUMIFS(Data!$C$2:$C$2797,Data!$A$2:$A$2797,A44)</f>
        <v>3</v>
      </c>
      <c r="E44" s="13" t="n">
        <f aca="false">SUMIFS(Data!$D$2:$D$2797,Data!$A$2:$A$2797,A44)</f>
        <v>45</v>
      </c>
      <c r="F44" s="13" t="n">
        <f aca="false">SUM($C$5:C44)</f>
        <v>2911</v>
      </c>
      <c r="G44" s="13" t="n">
        <f aca="false">SUM($D$5:D44)</f>
        <v>48</v>
      </c>
      <c r="H44" s="13" t="n">
        <f aca="false">SUM($E$5:E44)</f>
        <v>230</v>
      </c>
      <c r="I44" s="13" t="n">
        <f aca="false">F44-G44-H44</f>
        <v>2633</v>
      </c>
      <c r="J44" s="16" t="n">
        <f aca="false">AVERAGE(C38:C44)</f>
        <v>187</v>
      </c>
      <c r="K44" s="16" t="n">
        <f aca="false">AVERAGE(D38:D44)</f>
        <v>4.14285714285714</v>
      </c>
      <c r="L44" s="14" t="n">
        <f aca="false">IF(F44&gt;0,G44/F44,0)</f>
        <v>0.0164891789762968</v>
      </c>
      <c r="M44" s="18" t="n">
        <f aca="false">IF(J37&gt;0,J44/J37-1,"")</f>
        <v>0.57710843373494</v>
      </c>
      <c r="N44" s="15" t="n">
        <f aca="false">A44-$A$5</f>
        <v>39</v>
      </c>
      <c r="O44" s="17" t="n">
        <f aca="false">IF(J44&gt;0,LN(J44),"")</f>
        <v>5.23110861685459</v>
      </c>
      <c r="P44" s="15" t="n">
        <f aca="false">COUNTIF(Data!$A$2:$A$2797,A44)</f>
        <v>28</v>
      </c>
    </row>
    <row r="45" customFormat="false" ht="15" hidden="false" customHeight="false" outlineLevel="0" collapsed="false">
      <c r="A45" s="11" t="n">
        <f aca="false">A44+1</f>
        <v>43927</v>
      </c>
      <c r="B45" s="12" t="str">
        <f aca="false">CHOOSE(WEEKDAY(A45,2),"Mon","Tue","Wed","Thu","Fri","Sat","Sun")</f>
        <v>Mon</v>
      </c>
      <c r="C45" s="13" t="n">
        <f aca="false">SUMIFS(Data!$B$2:$B$2797,Data!$A$2:$A$2797,A45)</f>
        <v>249</v>
      </c>
      <c r="D45" s="13" t="n">
        <f aca="false">SUMIFS(Data!$C$2:$C$2797,Data!$A$2:$A$2797,A45)</f>
        <v>5</v>
      </c>
      <c r="E45" s="13" t="n">
        <f aca="false">SUMIFS(Data!$D$2:$D$2797,Data!$A$2:$A$2797,A45)</f>
        <v>175</v>
      </c>
      <c r="F45" s="13" t="n">
        <f aca="false">SUM($C$5:C45)</f>
        <v>3160</v>
      </c>
      <c r="G45" s="13" t="n">
        <f aca="false">SUM($D$5:D45)</f>
        <v>53</v>
      </c>
      <c r="H45" s="13" t="n">
        <f aca="false">SUM($E$5:E45)</f>
        <v>405</v>
      </c>
      <c r="I45" s="13" t="n">
        <f aca="false">F45-G45-H45</f>
        <v>2702</v>
      </c>
      <c r="J45" s="16" t="n">
        <f aca="false">AVERAGE(C39:C45)</f>
        <v>201.857142857143</v>
      </c>
      <c r="K45" s="16" t="n">
        <f aca="false">AVERAGE(D39:D45)</f>
        <v>4.28571428571429</v>
      </c>
      <c r="L45" s="14" t="n">
        <f aca="false">IF(F45&gt;0,G45/F45,0)</f>
        <v>0.0167721518987342</v>
      </c>
      <c r="M45" s="18" t="n">
        <f aca="false">IF(J38&gt;0,J45/J38-1,"")</f>
        <v>0.582306830907055</v>
      </c>
      <c r="N45" s="15" t="n">
        <f aca="false">A45-$A$5</f>
        <v>40</v>
      </c>
      <c r="O45" s="17" t="n">
        <f aca="false">IF(J45&gt;0,LN(J45),"")</f>
        <v>5.30756023362921</v>
      </c>
      <c r="P45" s="15" t="n">
        <f aca="false">COUNTIF(Data!$A$2:$A$2797,A45)</f>
        <v>26</v>
      </c>
    </row>
    <row r="46" customFormat="false" ht="15" hidden="false" customHeight="false" outlineLevel="0" collapsed="false">
      <c r="A46" s="11" t="n">
        <f aca="false">A45+1</f>
        <v>43928</v>
      </c>
      <c r="B46" s="12" t="str">
        <f aca="false">CHOOSE(WEEKDAY(A46,2),"Mon","Tue","Wed","Thu","Fri","Sat","Sun")</f>
        <v>Tue</v>
      </c>
      <c r="C46" s="13" t="n">
        <f aca="false">SUMIFS(Data!$B$2:$B$2797,Data!$A$2:$A$2797,A46)</f>
        <v>107</v>
      </c>
      <c r="D46" s="13" t="n">
        <f aca="false">SUMIFS(Data!$C$2:$C$2797,Data!$A$2:$A$2797,A46)</f>
        <v>3</v>
      </c>
      <c r="E46" s="13" t="n">
        <f aca="false">SUMIFS(Data!$D$2:$D$2797,Data!$A$2:$A$2797,A46)</f>
        <v>82</v>
      </c>
      <c r="F46" s="13" t="n">
        <f aca="false">SUM($C$5:C46)</f>
        <v>3267</v>
      </c>
      <c r="G46" s="13" t="n">
        <f aca="false">SUM($D$5:D46)</f>
        <v>56</v>
      </c>
      <c r="H46" s="13" t="n">
        <f aca="false">SUM($E$5:E46)</f>
        <v>487</v>
      </c>
      <c r="I46" s="13" t="n">
        <f aca="false">F46-G46-H46</f>
        <v>2724</v>
      </c>
      <c r="J46" s="16" t="n">
        <f aca="false">AVERAGE(C40:C46)</f>
        <v>185.285714285714</v>
      </c>
      <c r="K46" s="16" t="n">
        <f aca="false">AVERAGE(D40:D46)</f>
        <v>4.14285714285714</v>
      </c>
      <c r="L46" s="14" t="n">
        <f aca="false">IF(F46&gt;0,G46/F46,0)</f>
        <v>0.017141108050199</v>
      </c>
      <c r="M46" s="18" t="n">
        <f aca="false">IF(J39&gt;0,J46/J39-1,"")</f>
        <v>0.294411177644711</v>
      </c>
      <c r="N46" s="15" t="n">
        <f aca="false">A46-$A$5</f>
        <v>41</v>
      </c>
      <c r="O46" s="17" t="n">
        <f aca="false">IF(J46&gt;0,LN(J46),"")</f>
        <v>5.22189903526113</v>
      </c>
      <c r="P46" s="15" t="n">
        <f aca="false">COUNTIF(Data!$A$2:$A$2797,A46)</f>
        <v>21</v>
      </c>
    </row>
    <row r="47" customFormat="false" ht="15" hidden="false" customHeight="false" outlineLevel="0" collapsed="false">
      <c r="A47" s="11" t="n">
        <f aca="false">A46+1</f>
        <v>43929</v>
      </c>
      <c r="B47" s="12" t="str">
        <f aca="false">CHOOSE(WEEKDAY(A47,2),"Mon","Tue","Wed","Thu","Fri","Sat","Sun")</f>
        <v>Wed</v>
      </c>
      <c r="C47" s="13" t="n">
        <f aca="false">SUMIFS(Data!$B$2:$B$2797,Data!$A$2:$A$2797,A47)</f>
        <v>337</v>
      </c>
      <c r="D47" s="13" t="n">
        <f aca="false">SUMIFS(Data!$C$2:$C$2797,Data!$A$2:$A$2797,A47)</f>
        <v>7</v>
      </c>
      <c r="E47" s="13" t="n">
        <f aca="false">SUMIFS(Data!$D$2:$D$2797,Data!$A$2:$A$2797,A47)</f>
        <v>112</v>
      </c>
      <c r="F47" s="13" t="n">
        <f aca="false">SUM($C$5:C47)</f>
        <v>3604</v>
      </c>
      <c r="G47" s="13" t="n">
        <f aca="false">SUM($D$5:D47)</f>
        <v>63</v>
      </c>
      <c r="H47" s="13" t="n">
        <f aca="false">SUM($E$5:E47)</f>
        <v>599</v>
      </c>
      <c r="I47" s="13" t="n">
        <f aca="false">F47-G47-H47</f>
        <v>2942</v>
      </c>
      <c r="J47" s="16" t="n">
        <f aca="false">AVERAGE(C41:C47)</f>
        <v>196.285714285714</v>
      </c>
      <c r="K47" s="16" t="n">
        <f aca="false">AVERAGE(D41:D47)</f>
        <v>4.57142857142857</v>
      </c>
      <c r="L47" s="14" t="n">
        <f aca="false">IF(F47&gt;0,G47/F47,0)</f>
        <v>0.017480577136515</v>
      </c>
      <c r="M47" s="18" t="n">
        <f aca="false">IF(J40&gt;0,J47/J40-1,"")</f>
        <v>0.192708333333333</v>
      </c>
      <c r="N47" s="15" t="n">
        <f aca="false">A47-$A$5</f>
        <v>42</v>
      </c>
      <c r="O47" s="17" t="n">
        <f aca="false">IF(J47&gt;0,LN(J47),"")</f>
        <v>5.27957132372698</v>
      </c>
      <c r="P47" s="15" t="n">
        <f aca="false">COUNTIF(Data!$A$2:$A$2797,A47)</f>
        <v>50</v>
      </c>
    </row>
    <row r="48" customFormat="false" ht="15" hidden="false" customHeight="false" outlineLevel="0" collapsed="false">
      <c r="A48" s="11" t="n">
        <f aca="false">A47+1</f>
        <v>43930</v>
      </c>
      <c r="B48" s="12" t="str">
        <f aca="false">CHOOSE(WEEKDAY(A48,2),"Mon","Tue","Wed","Thu","Fri","Sat","Sun")</f>
        <v>Thu</v>
      </c>
      <c r="C48" s="13" t="n">
        <f aca="false">SUMIFS(Data!$B$2:$B$2797,Data!$A$2:$A$2797,A48)</f>
        <v>874</v>
      </c>
      <c r="D48" s="13" t="n">
        <f aca="false">SUMIFS(Data!$C$2:$C$2797,Data!$A$2:$A$2797,A48)</f>
        <v>4</v>
      </c>
      <c r="E48" s="13" t="n">
        <f aca="false">SUMIFS(Data!$D$2:$D$2797,Data!$A$2:$A$2797,A48)</f>
        <v>113</v>
      </c>
      <c r="F48" s="13" t="n">
        <f aca="false">SUM($C$5:C48)</f>
        <v>4478</v>
      </c>
      <c r="G48" s="13" t="n">
        <f aca="false">SUM($D$5:D48)</f>
        <v>67</v>
      </c>
      <c r="H48" s="13" t="n">
        <f aca="false">SUM($E$5:E48)</f>
        <v>712</v>
      </c>
      <c r="I48" s="13" t="n">
        <f aca="false">F48-G48-H48</f>
        <v>3699</v>
      </c>
      <c r="J48" s="16" t="n">
        <f aca="false">AVERAGE(C42:C48)</f>
        <v>295</v>
      </c>
      <c r="K48" s="16" t="n">
        <f aca="false">AVERAGE(D42:D48)</f>
        <v>4.42857142857143</v>
      </c>
      <c r="L48" s="14" t="n">
        <f aca="false">IF(F48&gt;0,G48/F48,0)</f>
        <v>0.0149620366234926</v>
      </c>
      <c r="M48" s="18" t="n">
        <f aca="false">IF(J41&gt;0,J48/J41-1,"")</f>
        <v>0.715116279069767</v>
      </c>
      <c r="N48" s="15" t="n">
        <f aca="false">A48-$A$5</f>
        <v>43</v>
      </c>
      <c r="O48" s="17" t="n">
        <f aca="false">IF(J48&gt;0,LN(J48),"")</f>
        <v>5.68697535633982</v>
      </c>
      <c r="P48" s="15" t="n">
        <f aca="false">COUNTIF(Data!$A$2:$A$2797,A48)</f>
        <v>44</v>
      </c>
    </row>
    <row r="49" customFormat="false" ht="15" hidden="false" customHeight="false" outlineLevel="0" collapsed="false">
      <c r="A49" s="11" t="n">
        <f aca="false">A48+1</f>
        <v>43931</v>
      </c>
      <c r="B49" s="12" t="str">
        <f aca="false">CHOOSE(WEEKDAY(A49,2),"Mon","Tue","Wed","Thu","Fri","Sat","Sun")</f>
        <v>Fri</v>
      </c>
      <c r="C49" s="13" t="n">
        <f aca="false">SUMIFS(Data!$B$2:$B$2797,Data!$A$2:$A$2797,A49)</f>
        <v>156</v>
      </c>
      <c r="D49" s="13" t="n">
        <f aca="false">SUMIFS(Data!$C$2:$C$2797,Data!$A$2:$A$2797,A49)</f>
        <v>4</v>
      </c>
      <c r="E49" s="13" t="n">
        <f aca="false">SUMIFS(Data!$D$2:$D$2797,Data!$A$2:$A$2797,A49)</f>
        <v>53</v>
      </c>
      <c r="F49" s="13" t="n">
        <f aca="false">SUM($C$5:C49)</f>
        <v>4634</v>
      </c>
      <c r="G49" s="13" t="n">
        <f aca="false">SUM($D$5:D49)</f>
        <v>71</v>
      </c>
      <c r="H49" s="13" t="n">
        <f aca="false">SUM($E$5:E49)</f>
        <v>765</v>
      </c>
      <c r="I49" s="13" t="n">
        <f aca="false">F49-G49-H49</f>
        <v>3798</v>
      </c>
      <c r="J49" s="16" t="n">
        <f aca="false">AVERAGE(C43:C49)</f>
        <v>283.142857142857</v>
      </c>
      <c r="K49" s="16" t="n">
        <f aca="false">AVERAGE(D43:D49)</f>
        <v>4.28571428571429</v>
      </c>
      <c r="L49" s="14" t="n">
        <f aca="false">IF(F49&gt;0,G49/F49,0)</f>
        <v>0.0153215364695727</v>
      </c>
      <c r="M49" s="18" t="n">
        <f aca="false">IF(J42&gt;0,J49/J42-1,"")</f>
        <v>0.500378501135504</v>
      </c>
      <c r="N49" s="15" t="n">
        <f aca="false">A49-$A$5</f>
        <v>44</v>
      </c>
      <c r="O49" s="17" t="n">
        <f aca="false">IF(J49&gt;0,LN(J49),"")</f>
        <v>5.64595156583462</v>
      </c>
      <c r="P49" s="15" t="n">
        <f aca="false">COUNTIF(Data!$A$2:$A$2797,A49)</f>
        <v>29</v>
      </c>
    </row>
    <row r="50" customFormat="false" ht="15" hidden="false" customHeight="false" outlineLevel="0" collapsed="false">
      <c r="A50" s="11" t="n">
        <f aca="false">A49+1</f>
        <v>43932</v>
      </c>
      <c r="B50" s="12" t="str">
        <f aca="false">CHOOSE(WEEKDAY(A50,2),"Mon","Tue","Wed","Thu","Fri","Sat","Sun")</f>
        <v>Sat</v>
      </c>
      <c r="C50" s="13" t="n">
        <f aca="false">SUMIFS(Data!$B$2:$B$2797,Data!$A$2:$A$2797,A50)</f>
        <v>297</v>
      </c>
      <c r="D50" s="13" t="n">
        <f aca="false">SUMIFS(Data!$C$2:$C$2797,Data!$A$2:$A$2797,A50)</f>
        <v>15</v>
      </c>
      <c r="E50" s="13" t="n">
        <f aca="false">SUMIFS(Data!$D$2:$D$2797,Data!$A$2:$A$2797,A50)</f>
        <v>37</v>
      </c>
      <c r="F50" s="13" t="n">
        <f aca="false">SUM($C$5:C50)</f>
        <v>4931</v>
      </c>
      <c r="G50" s="13" t="n">
        <f aca="false">SUM($D$5:D50)</f>
        <v>86</v>
      </c>
      <c r="H50" s="13" t="n">
        <f aca="false">SUM($E$5:E50)</f>
        <v>802</v>
      </c>
      <c r="I50" s="13" t="n">
        <f aca="false">F50-G50-H50</f>
        <v>4043</v>
      </c>
      <c r="J50" s="16" t="n">
        <f aca="false">AVERAGE(C44:C50)</f>
        <v>314.285714285714</v>
      </c>
      <c r="K50" s="16" t="n">
        <f aca="false">AVERAGE(D44:D50)</f>
        <v>5.85714285714286</v>
      </c>
      <c r="L50" s="14" t="n">
        <f aca="false">IF(F50&gt;0,G50/F50,0)</f>
        <v>0.0174406814033665</v>
      </c>
      <c r="M50" s="18" t="n">
        <f aca="false">IF(J43&gt;0,J50/J43-1,"")</f>
        <v>0.809210526315789</v>
      </c>
      <c r="N50" s="15" t="n">
        <f aca="false">A50-$A$5</f>
        <v>45</v>
      </c>
      <c r="O50" s="17" t="n">
        <f aca="false">IF(J50&gt;0,LN(J50),"")</f>
        <v>5.75030249029109</v>
      </c>
      <c r="P50" s="15" t="n">
        <f aca="false">COUNTIF(Data!$A$2:$A$2797,A50)</f>
        <v>28</v>
      </c>
    </row>
    <row r="51" customFormat="false" ht="15" hidden="false" customHeight="false" outlineLevel="0" collapsed="false">
      <c r="A51" s="11" t="n">
        <f aca="false">A50+1</f>
        <v>43933</v>
      </c>
      <c r="B51" s="12" t="str">
        <f aca="false">CHOOSE(WEEKDAY(A51,2),"Mon","Tue","Wed","Thu","Fri","Sat","Sun")</f>
        <v>Sun</v>
      </c>
      <c r="C51" s="13" t="n">
        <f aca="false">SUMIFS(Data!$B$2:$B$2797,Data!$A$2:$A$2797,A51)</f>
        <v>253</v>
      </c>
      <c r="D51" s="13" t="n">
        <f aca="false">SUMIFS(Data!$C$2:$C$2797,Data!$A$2:$A$2797,A51)</f>
        <v>7</v>
      </c>
      <c r="E51" s="13" t="n">
        <f aca="false">SUMIFS(Data!$D$2:$D$2797,Data!$A$2:$A$2797,A51)</f>
        <v>225</v>
      </c>
      <c r="F51" s="13" t="n">
        <f aca="false">SUM($C$5:C51)</f>
        <v>5184</v>
      </c>
      <c r="G51" s="13" t="n">
        <f aca="false">SUM($D$5:D51)</f>
        <v>93</v>
      </c>
      <c r="H51" s="13" t="n">
        <f aca="false">SUM($E$5:E51)</f>
        <v>1027</v>
      </c>
      <c r="I51" s="13" t="n">
        <f aca="false">F51-G51-H51</f>
        <v>4064</v>
      </c>
      <c r="J51" s="16" t="n">
        <f aca="false">AVERAGE(C45:C51)</f>
        <v>324.714285714286</v>
      </c>
      <c r="K51" s="16" t="n">
        <f aca="false">AVERAGE(D45:D51)</f>
        <v>6.42857142857143</v>
      </c>
      <c r="L51" s="14" t="n">
        <f aca="false">IF(F51&gt;0,G51/F51,0)</f>
        <v>0.0179398148148148</v>
      </c>
      <c r="M51" s="18" t="n">
        <f aca="false">IF(J44&gt;0,J51/J44-1,"")</f>
        <v>0.736440030557678</v>
      </c>
      <c r="N51" s="15" t="n">
        <f aca="false">A51-$A$5</f>
        <v>46</v>
      </c>
      <c r="O51" s="17" t="n">
        <f aca="false">IF(J51&gt;0,LN(J51),"")</f>
        <v>5.78294567479723</v>
      </c>
      <c r="P51" s="15" t="n">
        <f aca="false">COUNTIF(Data!$A$2:$A$2797,A51)</f>
        <v>31</v>
      </c>
    </row>
    <row r="52" customFormat="false" ht="15" hidden="false" customHeight="false" outlineLevel="0" collapsed="false">
      <c r="A52" s="11" t="n">
        <f aca="false">A51+1</f>
        <v>43934</v>
      </c>
      <c r="B52" s="12" t="str">
        <f aca="false">CHOOSE(WEEKDAY(A52,2),"Mon","Tue","Wed","Thu","Fri","Sat","Sun")</f>
        <v>Mon</v>
      </c>
      <c r="C52" s="13" t="n">
        <f aca="false">SUMIFS(Data!$B$2:$B$2797,Data!$A$2:$A$2797,A52)</f>
        <v>173</v>
      </c>
      <c r="D52" s="13" t="n">
        <f aca="false">SUMIFS(Data!$C$2:$C$2797,Data!$A$2:$A$2797,A52)</f>
        <v>4</v>
      </c>
      <c r="E52" s="13" t="n">
        <f aca="false">SUMIFS(Data!$D$2:$D$2797,Data!$A$2:$A$2797,A52)</f>
        <v>38</v>
      </c>
      <c r="F52" s="13" t="n">
        <f aca="false">SUM($C$5:C52)</f>
        <v>5357</v>
      </c>
      <c r="G52" s="13" t="n">
        <f aca="false">SUM($D$5:D52)</f>
        <v>97</v>
      </c>
      <c r="H52" s="13" t="n">
        <f aca="false">SUM($E$5:E52)</f>
        <v>1065</v>
      </c>
      <c r="I52" s="13" t="n">
        <f aca="false">F52-G52-H52</f>
        <v>4195</v>
      </c>
      <c r="J52" s="16" t="n">
        <f aca="false">AVERAGE(C46:C52)</f>
        <v>313.857142857143</v>
      </c>
      <c r="K52" s="16" t="n">
        <f aca="false">AVERAGE(D46:D52)</f>
        <v>6.28571428571429</v>
      </c>
      <c r="L52" s="14" t="n">
        <f aca="false">IF(F52&gt;0,G52/F52,0)</f>
        <v>0.0181071495239873</v>
      </c>
      <c r="M52" s="18" t="n">
        <f aca="false">IF(J45&gt;0,J52/J45-1,"")</f>
        <v>0.554847841472045</v>
      </c>
      <c r="N52" s="15" t="n">
        <f aca="false">A52-$A$5</f>
        <v>47</v>
      </c>
      <c r="O52" s="17" t="n">
        <f aca="false">IF(J52&gt;0,LN(J52),"")</f>
        <v>5.7489379233293</v>
      </c>
      <c r="P52" s="15" t="n">
        <f aca="false">COUNTIF(Data!$A$2:$A$2797,A52)</f>
        <v>24</v>
      </c>
    </row>
    <row r="53" customFormat="false" ht="15" hidden="false" customHeight="false" outlineLevel="0" collapsed="false">
      <c r="A53" s="11" t="n">
        <f aca="false">A52+1</f>
        <v>43935</v>
      </c>
      <c r="B53" s="12" t="str">
        <f aca="false">CHOOSE(WEEKDAY(A53,2),"Mon","Tue","Wed","Thu","Fri","Sat","Sun")</f>
        <v>Tue</v>
      </c>
      <c r="C53" s="13" t="n">
        <f aca="false">SUMIFS(Data!$B$2:$B$2797,Data!$A$2:$A$2797,A53)</f>
        <v>628</v>
      </c>
      <c r="D53" s="13" t="n">
        <f aca="false">SUMIFS(Data!$C$2:$C$2797,Data!$A$2:$A$2797,A53)</f>
        <v>11</v>
      </c>
      <c r="E53" s="13" t="n">
        <f aca="false">SUMIFS(Data!$D$2:$D$2797,Data!$A$2:$A$2797,A53)</f>
        <v>56</v>
      </c>
      <c r="F53" s="13" t="n">
        <f aca="false">SUM($C$5:C53)</f>
        <v>5985</v>
      </c>
      <c r="G53" s="13" t="n">
        <f aca="false">SUM($D$5:D53)</f>
        <v>108</v>
      </c>
      <c r="H53" s="13" t="n">
        <f aca="false">SUM($E$5:E53)</f>
        <v>1121</v>
      </c>
      <c r="I53" s="13" t="n">
        <f aca="false">F53-G53-H53</f>
        <v>4756</v>
      </c>
      <c r="J53" s="16" t="n">
        <f aca="false">AVERAGE(C47:C53)</f>
        <v>388.285714285714</v>
      </c>
      <c r="K53" s="16" t="n">
        <f aca="false">AVERAGE(D47:D53)</f>
        <v>7.42857142857143</v>
      </c>
      <c r="L53" s="14" t="n">
        <f aca="false">IF(F53&gt;0,G53/F53,0)</f>
        <v>0.0180451127819549</v>
      </c>
      <c r="M53" s="18" t="n">
        <f aca="false">IF(J46&gt;0,J53/J46-1,"")</f>
        <v>1.09560524286816</v>
      </c>
      <c r="N53" s="15" t="n">
        <f aca="false">A53-$A$5</f>
        <v>48</v>
      </c>
      <c r="O53" s="17" t="n">
        <f aca="false">IF(J53&gt;0,LN(J53),"")</f>
        <v>5.96174144565578</v>
      </c>
      <c r="P53" s="15" t="n">
        <f aca="false">COUNTIF(Data!$A$2:$A$2797,A53)</f>
        <v>51</v>
      </c>
    </row>
    <row r="54" customFormat="false" ht="15" hidden="false" customHeight="false" outlineLevel="0" collapsed="false">
      <c r="A54" s="11" t="n">
        <f aca="false">A53+1</f>
        <v>43936</v>
      </c>
      <c r="B54" s="12" t="str">
        <f aca="false">CHOOSE(WEEKDAY(A54,2),"Mon","Tue","Wed","Thu","Fri","Sat","Sun")</f>
        <v>Wed</v>
      </c>
      <c r="C54" s="13" t="n">
        <f aca="false">SUMIFS(Data!$B$2:$B$2797,Data!$A$2:$A$2797,A54)</f>
        <v>321</v>
      </c>
      <c r="D54" s="13" t="n">
        <f aca="false">SUMIFS(Data!$C$2:$C$2797,Data!$A$2:$A$2797,A54)</f>
        <v>11</v>
      </c>
      <c r="E54" s="13" t="n">
        <f aca="false">SUMIFS(Data!$D$2:$D$2797,Data!$A$2:$A$2797,A54)</f>
        <v>209</v>
      </c>
      <c r="F54" s="13" t="n">
        <f aca="false">SUM($C$5:C54)</f>
        <v>6306</v>
      </c>
      <c r="G54" s="13" t="n">
        <f aca="false">SUM($D$5:D54)</f>
        <v>119</v>
      </c>
      <c r="H54" s="13" t="n">
        <f aca="false">SUM($E$5:E54)</f>
        <v>1330</v>
      </c>
      <c r="I54" s="13" t="n">
        <f aca="false">F54-G54-H54</f>
        <v>4857</v>
      </c>
      <c r="J54" s="16" t="n">
        <f aca="false">AVERAGE(C48:C54)</f>
        <v>386</v>
      </c>
      <c r="K54" s="16" t="n">
        <f aca="false">AVERAGE(D48:D54)</f>
        <v>8</v>
      </c>
      <c r="L54" s="14" t="n">
        <f aca="false">IF(F54&gt;0,G54/F54,0)</f>
        <v>0.0188709165873771</v>
      </c>
      <c r="M54" s="18" t="n">
        <f aca="false">IF(J47&gt;0,J54/J47-1,"")</f>
        <v>0.966521106259098</v>
      </c>
      <c r="N54" s="15" t="n">
        <f aca="false">A54-$A$5</f>
        <v>49</v>
      </c>
      <c r="O54" s="17" t="n">
        <f aca="false">IF(J54&gt;0,LN(J54),"")</f>
        <v>5.95583736946483</v>
      </c>
      <c r="P54" s="15" t="n">
        <f aca="false">COUNTIF(Data!$A$2:$A$2797,A54)</f>
        <v>34</v>
      </c>
    </row>
    <row r="55" customFormat="false" ht="15" hidden="false" customHeight="false" outlineLevel="0" collapsed="false">
      <c r="A55" s="11" t="n">
        <f aca="false">A54+1</f>
        <v>43937</v>
      </c>
      <c r="B55" s="12" t="str">
        <f aca="false">CHOOSE(WEEKDAY(A55,2),"Mon","Tue","Wed","Thu","Fri","Sat","Sun")</f>
        <v>Thu</v>
      </c>
      <c r="C55" s="13" t="n">
        <f aca="false">SUMIFS(Data!$B$2:$B$2797,Data!$A$2:$A$2797,A55)</f>
        <v>683</v>
      </c>
      <c r="D55" s="13" t="n">
        <f aca="false">SUMIFS(Data!$C$2:$C$2797,Data!$A$2:$A$2797,A55)</f>
        <v>16</v>
      </c>
      <c r="E55" s="13" t="n">
        <f aca="false">SUMIFS(Data!$D$2:$D$2797,Data!$A$2:$A$2797,A55)</f>
        <v>207</v>
      </c>
      <c r="F55" s="13" t="n">
        <f aca="false">SUM($C$5:C55)</f>
        <v>6989</v>
      </c>
      <c r="G55" s="13" t="n">
        <f aca="false">SUM($D$5:D55)</f>
        <v>135</v>
      </c>
      <c r="H55" s="13" t="n">
        <f aca="false">SUM($E$5:E55)</f>
        <v>1537</v>
      </c>
      <c r="I55" s="13" t="n">
        <f aca="false">F55-G55-H55</f>
        <v>5317</v>
      </c>
      <c r="J55" s="16" t="n">
        <f aca="false">AVERAGE(C49:C55)</f>
        <v>358.714285714286</v>
      </c>
      <c r="K55" s="16" t="n">
        <f aca="false">AVERAGE(D49:D55)</f>
        <v>9.71428571428571</v>
      </c>
      <c r="L55" s="14" t="n">
        <f aca="false">IF(F55&gt;0,G55/F55,0)</f>
        <v>0.0193160681070253</v>
      </c>
      <c r="M55" s="18" t="n">
        <f aca="false">IF(J48&gt;0,J55/J48-1,"")</f>
        <v>0.215980629539952</v>
      </c>
      <c r="N55" s="15" t="n">
        <f aca="false">A55-$A$5</f>
        <v>50</v>
      </c>
      <c r="O55" s="17" t="n">
        <f aca="false">IF(J55&gt;0,LN(J55),"")</f>
        <v>5.88252621010227</v>
      </c>
      <c r="P55" s="15" t="n">
        <f aca="false">COUNTIF(Data!$A$2:$A$2797,A55)</f>
        <v>51</v>
      </c>
    </row>
    <row r="56" customFormat="false" ht="15" hidden="false" customHeight="false" outlineLevel="0" collapsed="false">
      <c r="A56" s="11" t="n">
        <f aca="false">A55+1</f>
        <v>43938</v>
      </c>
      <c r="B56" s="12" t="str">
        <f aca="false">CHOOSE(WEEKDAY(A56,2),"Mon","Tue","Wed","Thu","Fri","Sat","Sun")</f>
        <v>Fri</v>
      </c>
      <c r="C56" s="13" t="n">
        <f aca="false">SUMIFS(Data!$B$2:$B$2797,Data!$A$2:$A$2797,A56)</f>
        <v>512</v>
      </c>
      <c r="D56" s="13" t="n">
        <f aca="false">SUMIFS(Data!$C$2:$C$2797,Data!$A$2:$A$2797,A56)</f>
        <v>4</v>
      </c>
      <c r="E56" s="13" t="n">
        <f aca="false">SUMIFS(Data!$D$2:$D$2797,Data!$A$2:$A$2797,A56)</f>
        <v>14</v>
      </c>
      <c r="F56" s="13" t="n">
        <f aca="false">SUM($C$5:C56)</f>
        <v>7501</v>
      </c>
      <c r="G56" s="13" t="n">
        <f aca="false">SUM($D$5:D56)</f>
        <v>139</v>
      </c>
      <c r="H56" s="13" t="n">
        <f aca="false">SUM($E$5:E56)</f>
        <v>1551</v>
      </c>
      <c r="I56" s="13" t="n">
        <f aca="false">F56-G56-H56</f>
        <v>5811</v>
      </c>
      <c r="J56" s="16" t="n">
        <f aca="false">AVERAGE(C50:C56)</f>
        <v>409.571428571429</v>
      </c>
      <c r="K56" s="16" t="n">
        <f aca="false">AVERAGE(D50:D56)</f>
        <v>9.71428571428571</v>
      </c>
      <c r="L56" s="14" t="n">
        <f aca="false">IF(F56&gt;0,G56/F56,0)</f>
        <v>0.0185308625516598</v>
      </c>
      <c r="M56" s="18" t="n">
        <f aca="false">IF(J49&gt;0,J56/J49-1,"")</f>
        <v>0.446518668012109</v>
      </c>
      <c r="N56" s="15" t="n">
        <f aca="false">A56-$A$5</f>
        <v>51</v>
      </c>
      <c r="O56" s="17" t="n">
        <f aca="false">IF(J56&gt;0,LN(J56),"")</f>
        <v>6.01511131682806</v>
      </c>
      <c r="P56" s="15" t="n">
        <f aca="false">COUNTIF(Data!$A$2:$A$2797,A56)</f>
        <v>29</v>
      </c>
    </row>
    <row r="57" customFormat="false" ht="15" hidden="false" customHeight="false" outlineLevel="0" collapsed="false">
      <c r="A57" s="11" t="n">
        <f aca="false">A56+1</f>
        <v>43939</v>
      </c>
      <c r="B57" s="12" t="str">
        <f aca="false">CHOOSE(WEEKDAY(A57,2),"Mon","Tue","Wed","Thu","Fri","Sat","Sun")</f>
        <v>Sat</v>
      </c>
      <c r="C57" s="13" t="n">
        <f aca="false">SUMIFS(Data!$B$2:$B$2797,Data!$A$2:$A$2797,A57)</f>
        <v>285</v>
      </c>
      <c r="D57" s="13" t="n">
        <f aca="false">SUMIFS(Data!$C$2:$C$2797,Data!$A$2:$A$2797,A57)</f>
        <v>11</v>
      </c>
      <c r="E57" s="13" t="n">
        <f aca="false">SUMIFS(Data!$D$2:$D$2797,Data!$A$2:$A$2797,A57)</f>
        <v>39</v>
      </c>
      <c r="F57" s="13" t="n">
        <f aca="false">SUM($C$5:C57)</f>
        <v>7786</v>
      </c>
      <c r="G57" s="13" t="n">
        <f aca="false">SUM($D$5:D57)</f>
        <v>150</v>
      </c>
      <c r="H57" s="13" t="n">
        <f aca="false">SUM($E$5:E57)</f>
        <v>1590</v>
      </c>
      <c r="I57" s="13" t="n">
        <f aca="false">F57-G57-H57</f>
        <v>6046</v>
      </c>
      <c r="J57" s="16" t="n">
        <f aca="false">AVERAGE(C51:C57)</f>
        <v>407.857142857143</v>
      </c>
      <c r="K57" s="16" t="n">
        <f aca="false">AVERAGE(D51:D57)</f>
        <v>9.14285714285714</v>
      </c>
      <c r="L57" s="14" t="n">
        <f aca="false">IF(F57&gt;0,G57/F57,0)</f>
        <v>0.0192653480606216</v>
      </c>
      <c r="M57" s="18" t="n">
        <f aca="false">IF(J50&gt;0,J57/J50-1,"")</f>
        <v>0.297727272727273</v>
      </c>
      <c r="N57" s="15" t="n">
        <f aca="false">A57-$A$5</f>
        <v>52</v>
      </c>
      <c r="O57" s="17" t="n">
        <f aca="false">IF(J57&gt;0,LN(J57),"")</f>
        <v>6.0109169730348</v>
      </c>
      <c r="P57" s="15" t="n">
        <f aca="false">COUNTIF(Data!$A$2:$A$2797,A57)</f>
        <v>18</v>
      </c>
    </row>
    <row r="58" customFormat="false" ht="15" hidden="false" customHeight="false" outlineLevel="0" collapsed="false">
      <c r="A58" s="11" t="n">
        <f aca="false">A57+1</f>
        <v>43940</v>
      </c>
      <c r="B58" s="12" t="str">
        <f aca="false">CHOOSE(WEEKDAY(A58,2),"Mon","Tue","Wed","Thu","Fri","Sat","Sun")</f>
        <v>Sun</v>
      </c>
      <c r="C58" s="13" t="n">
        <f aca="false">SUMIFS(Data!$B$2:$B$2797,Data!$A$2:$A$2797,A58)</f>
        <v>583</v>
      </c>
      <c r="D58" s="13" t="n">
        <f aca="false">SUMIFS(Data!$C$2:$C$2797,Data!$A$2:$A$2797,A58)</f>
        <v>18</v>
      </c>
      <c r="E58" s="13" t="n">
        <f aca="false">SUMIFS(Data!$D$2:$D$2797,Data!$A$2:$A$2797,A58)</f>
        <v>84</v>
      </c>
      <c r="F58" s="13" t="n">
        <f aca="false">SUM($C$5:C58)</f>
        <v>8369</v>
      </c>
      <c r="G58" s="13" t="n">
        <f aca="false">SUM($D$5:D58)</f>
        <v>168</v>
      </c>
      <c r="H58" s="13" t="n">
        <f aca="false">SUM($E$5:E58)</f>
        <v>1674</v>
      </c>
      <c r="I58" s="13" t="n">
        <f aca="false">F58-G58-H58</f>
        <v>6527</v>
      </c>
      <c r="J58" s="16" t="n">
        <f aca="false">AVERAGE(C52:C58)</f>
        <v>455</v>
      </c>
      <c r="K58" s="16" t="n">
        <f aca="false">AVERAGE(D52:D58)</f>
        <v>10.7142857142857</v>
      </c>
      <c r="L58" s="14" t="n">
        <f aca="false">IF(F58&gt;0,G58/F58,0)</f>
        <v>0.0200740829250807</v>
      </c>
      <c r="M58" s="18" t="n">
        <f aca="false">IF(J51&gt;0,J58/J51-1,"")</f>
        <v>0.401231852177739</v>
      </c>
      <c r="N58" s="15" t="n">
        <f aca="false">A58-$A$5</f>
        <v>53</v>
      </c>
      <c r="O58" s="17" t="n">
        <f aca="false">IF(J58&gt;0,LN(J58),"")</f>
        <v>6.12029741895095</v>
      </c>
      <c r="P58" s="15" t="n">
        <f aca="false">COUNTIF(Data!$A$2:$A$2797,A58)</f>
        <v>44</v>
      </c>
    </row>
    <row r="59" customFormat="false" ht="15" hidden="false" customHeight="false" outlineLevel="0" collapsed="false">
      <c r="A59" s="11" t="n">
        <f aca="false">A58+1</f>
        <v>43941</v>
      </c>
      <c r="B59" s="12" t="str">
        <f aca="false">CHOOSE(WEEKDAY(A59,2),"Mon","Tue","Wed","Thu","Fri","Sat","Sun")</f>
        <v>Mon</v>
      </c>
      <c r="C59" s="13" t="n">
        <f aca="false">SUMIFS(Data!$B$2:$B$2797,Data!$A$2:$A$2797,A59)</f>
        <v>707</v>
      </c>
      <c r="D59" s="13" t="n">
        <f aca="false">SUMIFS(Data!$C$2:$C$2797,Data!$A$2:$A$2797,A59)</f>
        <v>18</v>
      </c>
      <c r="E59" s="13" t="n">
        <f aca="false">SUMIFS(Data!$D$2:$D$2797,Data!$A$2:$A$2797,A59)</f>
        <v>62</v>
      </c>
      <c r="F59" s="13" t="n">
        <f aca="false">SUM($C$5:C59)</f>
        <v>9076</v>
      </c>
      <c r="G59" s="13" t="n">
        <f aca="false">SUM($D$5:D59)</f>
        <v>186</v>
      </c>
      <c r="H59" s="13" t="n">
        <f aca="false">SUM($E$5:E59)</f>
        <v>1736</v>
      </c>
      <c r="I59" s="13" t="n">
        <f aca="false">F59-G59-H59</f>
        <v>7154</v>
      </c>
      <c r="J59" s="16" t="n">
        <f aca="false">AVERAGE(C53:C59)</f>
        <v>531.285714285714</v>
      </c>
      <c r="K59" s="16" t="n">
        <f aca="false">AVERAGE(D53:D59)</f>
        <v>12.7142857142857</v>
      </c>
      <c r="L59" s="14" t="n">
        <f aca="false">IF(F59&gt;0,G59/F59,0)</f>
        <v>0.0204936095196122</v>
      </c>
      <c r="M59" s="18" t="n">
        <f aca="false">IF(J52&gt;0,J59/J52-1,"")</f>
        <v>0.692762858443332</v>
      </c>
      <c r="N59" s="15" t="n">
        <f aca="false">A59-$A$5</f>
        <v>54</v>
      </c>
      <c r="O59" s="17" t="n">
        <f aca="false">IF(J59&gt;0,LN(J59),"")</f>
        <v>6.27529994486976</v>
      </c>
      <c r="P59" s="15" t="n">
        <f aca="false">COUNTIF(Data!$A$2:$A$2797,A59)</f>
        <v>16</v>
      </c>
    </row>
    <row r="60" customFormat="false" ht="15" hidden="false" customHeight="false" outlineLevel="0" collapsed="false">
      <c r="A60" s="11" t="n">
        <f aca="false">A59+1</f>
        <v>43942</v>
      </c>
      <c r="B60" s="12" t="str">
        <f aca="false">CHOOSE(WEEKDAY(A60,2),"Mon","Tue","Wed","Thu","Fri","Sat","Sun")</f>
        <v>Tue</v>
      </c>
      <c r="C60" s="13" t="n">
        <f aca="false">SUMIFS(Data!$B$2:$B$2797,Data!$A$2:$A$2797,A60)</f>
        <v>677</v>
      </c>
      <c r="D60" s="13" t="n">
        <f aca="false">SUMIFS(Data!$C$2:$C$2797,Data!$A$2:$A$2797,A60)</f>
        <v>23</v>
      </c>
      <c r="E60" s="13" t="n">
        <f aca="false">SUMIFS(Data!$D$2:$D$2797,Data!$A$2:$A$2797,A60)</f>
        <v>103</v>
      </c>
      <c r="F60" s="13" t="n">
        <f aca="false">SUM($C$5:C60)</f>
        <v>9753</v>
      </c>
      <c r="G60" s="13" t="n">
        <f aca="false">SUM($D$5:D60)</f>
        <v>209</v>
      </c>
      <c r="H60" s="13" t="n">
        <f aca="false">SUM($E$5:E60)</f>
        <v>1839</v>
      </c>
      <c r="I60" s="13" t="n">
        <f aca="false">F60-G60-H60</f>
        <v>7705</v>
      </c>
      <c r="J60" s="16" t="n">
        <f aca="false">AVERAGE(C54:C60)</f>
        <v>538.285714285714</v>
      </c>
      <c r="K60" s="16" t="n">
        <f aca="false">AVERAGE(D54:D60)</f>
        <v>14.4285714285714</v>
      </c>
      <c r="L60" s="14" t="n">
        <f aca="false">IF(F60&gt;0,G60/F60,0)</f>
        <v>0.0214293038039578</v>
      </c>
      <c r="M60" s="18" t="n">
        <f aca="false">IF(J53&gt;0,J60/J53-1,"")</f>
        <v>0.386313465783665</v>
      </c>
      <c r="N60" s="15" t="n">
        <f aca="false">A60-$A$5</f>
        <v>55</v>
      </c>
      <c r="O60" s="17" t="n">
        <f aca="false">IF(J60&gt;0,LN(J60),"")</f>
        <v>6.28838948664094</v>
      </c>
      <c r="P60" s="15" t="n">
        <f aca="false">COUNTIF(Data!$A$2:$A$2797,A60)</f>
        <v>26</v>
      </c>
    </row>
    <row r="61" customFormat="false" ht="15" hidden="false" customHeight="false" outlineLevel="0" collapsed="false">
      <c r="A61" s="11" t="n">
        <f aca="false">A60+1</f>
        <v>43943</v>
      </c>
      <c r="B61" s="12" t="str">
        <f aca="false">CHOOSE(WEEKDAY(A61,2),"Mon","Tue","Wed","Thu","Fri","Sat","Sun")</f>
        <v>Wed</v>
      </c>
      <c r="C61" s="13" t="n">
        <f aca="false">SUMIFS(Data!$B$2:$B$2797,Data!$A$2:$A$2797,A61)</f>
        <v>767</v>
      </c>
      <c r="D61" s="13" t="n">
        <f aca="false">SUMIFS(Data!$C$2:$C$2797,Data!$A$2:$A$2797,A61)</f>
        <v>13</v>
      </c>
      <c r="E61" s="13" t="n">
        <f aca="false">SUMIFS(Data!$D$2:$D$2797,Data!$A$2:$A$2797,A61)</f>
        <v>68</v>
      </c>
      <c r="F61" s="13" t="n">
        <f aca="false">SUM($C$5:C61)</f>
        <v>10520</v>
      </c>
      <c r="G61" s="13" t="n">
        <f aca="false">SUM($D$5:D61)</f>
        <v>222</v>
      </c>
      <c r="H61" s="13" t="n">
        <f aca="false">SUM($E$5:E61)</f>
        <v>1907</v>
      </c>
      <c r="I61" s="13" t="n">
        <f aca="false">F61-G61-H61</f>
        <v>8391</v>
      </c>
      <c r="J61" s="16" t="n">
        <f aca="false">AVERAGE(C55:C61)</f>
        <v>602</v>
      </c>
      <c r="K61" s="16" t="n">
        <f aca="false">AVERAGE(D55:D61)</f>
        <v>14.7142857142857</v>
      </c>
      <c r="L61" s="14" t="n">
        <f aca="false">IF(F61&gt;0,G61/F61,0)</f>
        <v>0.0211026615969582</v>
      </c>
      <c r="M61" s="18" t="n">
        <f aca="false">IF(J54&gt;0,J61/J54-1,"")</f>
        <v>0.559585492227979</v>
      </c>
      <c r="N61" s="15" t="n">
        <f aca="false">A61-$A$5</f>
        <v>56</v>
      </c>
      <c r="O61" s="17" t="n">
        <f aca="false">IF(J61&gt;0,LN(J61),"")</f>
        <v>6.40025744530882</v>
      </c>
      <c r="P61" s="15" t="n">
        <f aca="false">COUNTIF(Data!$A$2:$A$2797,A61)</f>
        <v>33</v>
      </c>
    </row>
    <row r="62" customFormat="false" ht="15" hidden="false" customHeight="false" outlineLevel="0" collapsed="false">
      <c r="A62" s="11" t="n">
        <f aca="false">A61+1</f>
        <v>43944</v>
      </c>
      <c r="B62" s="12" t="str">
        <f aca="false">CHOOSE(WEEKDAY(A62,2),"Mon","Tue","Wed","Thu","Fri","Sat","Sun")</f>
        <v>Thu</v>
      </c>
      <c r="C62" s="13" t="n">
        <f aca="false">SUMIFS(Data!$B$2:$B$2797,Data!$A$2:$A$2797,A62)</f>
        <v>641</v>
      </c>
      <c r="D62" s="13" t="n">
        <f aca="false">SUMIFS(Data!$C$2:$C$2797,Data!$A$2:$A$2797,A62)</f>
        <v>8</v>
      </c>
      <c r="E62" s="13" t="n">
        <f aca="false">SUMIFS(Data!$D$2:$D$2797,Data!$A$2:$A$2797,A62)</f>
        <v>266</v>
      </c>
      <c r="F62" s="13" t="n">
        <f aca="false">SUM($C$5:C62)</f>
        <v>11161</v>
      </c>
      <c r="G62" s="13" t="n">
        <f aca="false">SUM($D$5:D62)</f>
        <v>230</v>
      </c>
      <c r="H62" s="13" t="n">
        <f aca="false">SUM($E$5:E62)</f>
        <v>2173</v>
      </c>
      <c r="I62" s="13" t="n">
        <f aca="false">F62-G62-H62</f>
        <v>8758</v>
      </c>
      <c r="J62" s="16" t="n">
        <f aca="false">AVERAGE(C56:C62)</f>
        <v>596</v>
      </c>
      <c r="K62" s="16" t="n">
        <f aca="false">AVERAGE(D56:D62)</f>
        <v>13.5714285714286</v>
      </c>
      <c r="L62" s="14" t="n">
        <f aca="false">IF(F62&gt;0,G62/F62,0)</f>
        <v>0.0206074724487053</v>
      </c>
      <c r="M62" s="18" t="n">
        <f aca="false">IF(J55&gt;0,J62/J55-1,"")</f>
        <v>0.661489446435683</v>
      </c>
      <c r="N62" s="15" t="n">
        <f aca="false">A62-$A$5</f>
        <v>57</v>
      </c>
      <c r="O62" s="17" t="n">
        <f aca="false">IF(J62&gt;0,LN(J62),"")</f>
        <v>6.39024066706535</v>
      </c>
      <c r="P62" s="15" t="n">
        <f aca="false">COUNTIF(Data!$A$2:$A$2797,A62)</f>
        <v>54</v>
      </c>
    </row>
    <row r="63" customFormat="false" ht="15" hidden="false" customHeight="false" outlineLevel="0" collapsed="false">
      <c r="A63" s="11" t="n">
        <f aca="false">A62+1</f>
        <v>43945</v>
      </c>
      <c r="B63" s="12" t="str">
        <f aca="false">CHOOSE(WEEKDAY(A63,2),"Mon","Tue","Wed","Thu","Fri","Sat","Sun")</f>
        <v>Fri</v>
      </c>
      <c r="C63" s="13" t="n">
        <f aca="false">SUMIFS(Data!$B$2:$B$2797,Data!$A$2:$A$2797,A63)</f>
        <v>534</v>
      </c>
      <c r="D63" s="13" t="n">
        <f aca="false">SUMIFS(Data!$C$2:$C$2797,Data!$A$2:$A$2797,A63)</f>
        <v>11</v>
      </c>
      <c r="E63" s="13" t="n">
        <f aca="false">SUMIFS(Data!$D$2:$D$2797,Data!$A$2:$A$2797,A63)</f>
        <v>134</v>
      </c>
      <c r="F63" s="13" t="n">
        <f aca="false">SUM($C$5:C63)</f>
        <v>11695</v>
      </c>
      <c r="G63" s="13" t="n">
        <f aca="false">SUM($D$5:D63)</f>
        <v>241</v>
      </c>
      <c r="H63" s="13" t="n">
        <f aca="false">SUM($E$5:E63)</f>
        <v>2307</v>
      </c>
      <c r="I63" s="13" t="n">
        <f aca="false">F63-G63-H63</f>
        <v>9147</v>
      </c>
      <c r="J63" s="16" t="n">
        <f aca="false">AVERAGE(C57:C63)</f>
        <v>599.142857142857</v>
      </c>
      <c r="K63" s="16" t="n">
        <f aca="false">AVERAGE(D57:D63)</f>
        <v>14.5714285714286</v>
      </c>
      <c r="L63" s="14" t="n">
        <f aca="false">IF(F63&gt;0,G63/F63,0)</f>
        <v>0.0206070970500214</v>
      </c>
      <c r="M63" s="18" t="n">
        <f aca="false">IF(J56&gt;0,J63/J56-1,"")</f>
        <v>0.462853156609697</v>
      </c>
      <c r="N63" s="15" t="n">
        <f aca="false">A63-$A$5</f>
        <v>58</v>
      </c>
      <c r="O63" s="17" t="n">
        <f aca="false">IF(J63&gt;0,LN(J63),"")</f>
        <v>6.39550006240655</v>
      </c>
      <c r="P63" s="15" t="n">
        <f aca="false">COUNTIF(Data!$A$2:$A$2797,A63)</f>
        <v>31</v>
      </c>
    </row>
    <row r="64" customFormat="false" ht="15" hidden="false" customHeight="false" outlineLevel="0" collapsed="false">
      <c r="A64" s="11" t="n">
        <f aca="false">A63+1</f>
        <v>43946</v>
      </c>
      <c r="B64" s="12" t="str">
        <f aca="false">CHOOSE(WEEKDAY(A64,2),"Mon","Tue","Wed","Thu","Fri","Sat","Sun")</f>
        <v>Sat</v>
      </c>
      <c r="C64" s="13" t="n">
        <f aca="false">SUMIFS(Data!$B$2:$B$2797,Data!$A$2:$A$2797,A64)</f>
        <v>922</v>
      </c>
      <c r="D64" s="13" t="n">
        <f aca="false">SUMIFS(Data!$C$2:$C$2797,Data!$A$2:$A$2797,A64)</f>
        <v>14</v>
      </c>
      <c r="E64" s="13" t="n">
        <f aca="false">SUMIFS(Data!$D$2:$D$2797,Data!$A$2:$A$2797,A64)</f>
        <v>33</v>
      </c>
      <c r="F64" s="13" t="n">
        <f aca="false">SUM($C$5:C64)</f>
        <v>12617</v>
      </c>
      <c r="G64" s="13" t="n">
        <f aca="false">SUM($D$5:D64)</f>
        <v>255</v>
      </c>
      <c r="H64" s="13" t="n">
        <f aca="false">SUM($E$5:E64)</f>
        <v>2340</v>
      </c>
      <c r="I64" s="13" t="n">
        <f aca="false">F64-G64-H64</f>
        <v>10022</v>
      </c>
      <c r="J64" s="16" t="n">
        <f aca="false">AVERAGE(C58:C64)</f>
        <v>690.142857142857</v>
      </c>
      <c r="K64" s="16" t="n">
        <f aca="false">AVERAGE(D58:D64)</f>
        <v>15</v>
      </c>
      <c r="L64" s="14" t="n">
        <f aca="false">IF(F64&gt;0,G64/F64,0)</f>
        <v>0.0202108266624396</v>
      </c>
      <c r="M64" s="18" t="n">
        <f aca="false">IF(J57&gt;0,J64/J57-1,"")</f>
        <v>0.692119089316988</v>
      </c>
      <c r="N64" s="15" t="n">
        <f aca="false">A64-$A$5</f>
        <v>59</v>
      </c>
      <c r="O64" s="17" t="n">
        <f aca="false">IF(J64&gt;0,LN(J64),"")</f>
        <v>6.53689861549909</v>
      </c>
      <c r="P64" s="15" t="n">
        <f aca="false">COUNTIF(Data!$A$2:$A$2797,A64)</f>
        <v>34</v>
      </c>
    </row>
    <row r="65" customFormat="false" ht="15" hidden="false" customHeight="false" outlineLevel="0" collapsed="false">
      <c r="A65" s="11" t="n">
        <f aca="false">A64+1</f>
        <v>43947</v>
      </c>
      <c r="B65" s="12" t="str">
        <f aca="false">CHOOSE(WEEKDAY(A65,2),"Mon","Tue","Wed","Thu","Fri","Sat","Sun")</f>
        <v>Sun</v>
      </c>
      <c r="C65" s="13" t="n">
        <f aca="false">SUMIFS(Data!$B$2:$B$2797,Data!$A$2:$A$2797,A65)</f>
        <v>660</v>
      </c>
      <c r="D65" s="13" t="n">
        <f aca="false">SUMIFS(Data!$C$2:$C$2797,Data!$A$2:$A$2797,A65)</f>
        <v>12</v>
      </c>
      <c r="E65" s="13" t="n">
        <f aca="false">SUMIFS(Data!$D$2:$D$2797,Data!$A$2:$A$2797,A65)</f>
        <v>62</v>
      </c>
      <c r="F65" s="13" t="n">
        <f aca="false">SUM($C$5:C65)</f>
        <v>13277</v>
      </c>
      <c r="G65" s="13" t="n">
        <f aca="false">SUM($D$5:D65)</f>
        <v>267</v>
      </c>
      <c r="H65" s="13" t="n">
        <f aca="false">SUM($E$5:E65)</f>
        <v>2402</v>
      </c>
      <c r="I65" s="13" t="n">
        <f aca="false">F65-G65-H65</f>
        <v>10608</v>
      </c>
      <c r="J65" s="16" t="n">
        <f aca="false">AVERAGE(C59:C65)</f>
        <v>701.142857142857</v>
      </c>
      <c r="K65" s="16" t="n">
        <f aca="false">AVERAGE(D59:D65)</f>
        <v>14.1428571428571</v>
      </c>
      <c r="L65" s="14" t="n">
        <f aca="false">IF(F65&gt;0,G65/F65,0)</f>
        <v>0.0201099646004368</v>
      </c>
      <c r="M65" s="18" t="n">
        <f aca="false">IF(J58&gt;0,J65/J58-1,"")</f>
        <v>0.540973312401884</v>
      </c>
      <c r="N65" s="15" t="n">
        <f aca="false">A65-$A$5</f>
        <v>60</v>
      </c>
      <c r="O65" s="17" t="n">
        <f aca="false">IF(J65&gt;0,LN(J65),"")</f>
        <v>6.55271165677549</v>
      </c>
      <c r="P65" s="15" t="n">
        <f aca="false">COUNTIF(Data!$A$2:$A$2797,A65)</f>
        <v>20</v>
      </c>
    </row>
    <row r="66" customFormat="false" ht="15" hidden="false" customHeight="false" outlineLevel="0" collapsed="false">
      <c r="A66" s="11" t="n">
        <f aca="false">A65+1</f>
        <v>43948</v>
      </c>
      <c r="B66" s="12" t="str">
        <f aca="false">CHOOSE(WEEKDAY(A66,2),"Mon","Tue","Wed","Thu","Fri","Sat","Sun")</f>
        <v>Mon</v>
      </c>
      <c r="C66" s="13" t="n">
        <f aca="false">SUMIFS(Data!$B$2:$B$2797,Data!$A$2:$A$2797,A66)</f>
        <v>739</v>
      </c>
      <c r="D66" s="13" t="n">
        <f aca="false">SUMIFS(Data!$C$2:$C$2797,Data!$A$2:$A$2797,A66)</f>
        <v>23</v>
      </c>
      <c r="E66" s="13" t="n">
        <f aca="false">SUMIFS(Data!$D$2:$D$2797,Data!$A$2:$A$2797,A66)</f>
        <v>63</v>
      </c>
      <c r="F66" s="13" t="n">
        <f aca="false">SUM($C$5:C66)</f>
        <v>14016</v>
      </c>
      <c r="G66" s="13" t="n">
        <f aca="false">SUM($D$5:D66)</f>
        <v>290</v>
      </c>
      <c r="H66" s="13" t="n">
        <f aca="false">SUM($E$5:E66)</f>
        <v>2465</v>
      </c>
      <c r="I66" s="13" t="n">
        <f aca="false">F66-G66-H66</f>
        <v>11261</v>
      </c>
      <c r="J66" s="16" t="n">
        <f aca="false">AVERAGE(C60:C66)</f>
        <v>705.714285714286</v>
      </c>
      <c r="K66" s="16" t="n">
        <f aca="false">AVERAGE(D60:D66)</f>
        <v>14.8571428571429</v>
      </c>
      <c r="L66" s="14" t="n">
        <f aca="false">IF(F66&gt;0,G66/F66,0)</f>
        <v>0.0206906392694064</v>
      </c>
      <c r="M66" s="18" t="n">
        <f aca="false">IF(J59&gt;0,J66/J59-1,"")</f>
        <v>0.32831406292014</v>
      </c>
      <c r="N66" s="15" t="n">
        <f aca="false">A66-$A$5</f>
        <v>61</v>
      </c>
      <c r="O66" s="17" t="n">
        <f aca="false">IF(J66&gt;0,LN(J66),"")</f>
        <v>6.55921046112665</v>
      </c>
      <c r="P66" s="15" t="n">
        <f aca="false">COUNTIF(Data!$A$2:$A$2797,A66)</f>
        <v>38</v>
      </c>
    </row>
    <row r="67" customFormat="false" ht="15" hidden="false" customHeight="false" outlineLevel="0" collapsed="false">
      <c r="A67" s="11" t="n">
        <f aca="false">A66+1</f>
        <v>43949</v>
      </c>
      <c r="B67" s="12" t="str">
        <f aca="false">CHOOSE(WEEKDAY(A67,2),"Mon","Tue","Wed","Thu","Fri","Sat","Sun")</f>
        <v>Tue</v>
      </c>
      <c r="C67" s="13" t="n">
        <f aca="false">SUMIFS(Data!$B$2:$B$2797,Data!$A$2:$A$2797,A67)</f>
        <v>730</v>
      </c>
      <c r="D67" s="13" t="n">
        <f aca="false">SUMIFS(Data!$C$2:$C$2797,Data!$A$2:$A$2797,A67)</f>
        <v>5</v>
      </c>
      <c r="E67" s="13" t="n">
        <f aca="false">SUMIFS(Data!$D$2:$D$2797,Data!$A$2:$A$2797,A67)</f>
        <v>0</v>
      </c>
      <c r="F67" s="13" t="n">
        <f aca="false">SUM($C$5:C67)</f>
        <v>14746</v>
      </c>
      <c r="G67" s="13" t="n">
        <f aca="false">SUM($D$5:D67)</f>
        <v>295</v>
      </c>
      <c r="H67" s="13" t="n">
        <f aca="false">SUM($E$5:E67)</f>
        <v>2465</v>
      </c>
      <c r="I67" s="13" t="n">
        <f aca="false">F67-G67-H67</f>
        <v>11986</v>
      </c>
      <c r="J67" s="16" t="n">
        <f aca="false">AVERAGE(C61:C67)</f>
        <v>713.285714285714</v>
      </c>
      <c r="K67" s="16" t="n">
        <f aca="false">AVERAGE(D61:D67)</f>
        <v>12.2857142857143</v>
      </c>
      <c r="L67" s="14" t="n">
        <f aca="false">IF(F67&gt;0,G67/F67,0)</f>
        <v>0.0200054252000543</v>
      </c>
      <c r="M67" s="18" t="n">
        <f aca="false">IF(J60&gt;0,J67/J60-1,"")</f>
        <v>0.325106157112526</v>
      </c>
      <c r="N67" s="15" t="n">
        <f aca="false">A67-$A$5</f>
        <v>62</v>
      </c>
      <c r="O67" s="17" t="n">
        <f aca="false">IF(J67&gt;0,LN(J67),"")</f>
        <v>6.5698820614453</v>
      </c>
      <c r="P67" s="15" t="n">
        <f aca="false">COUNTIF(Data!$A$2:$A$2797,A67)</f>
        <v>6</v>
      </c>
    </row>
    <row r="68" customFormat="false" ht="15" hidden="false" customHeight="false" outlineLevel="0" collapsed="false">
      <c r="A68" s="11" t="n">
        <f aca="false">A67+1</f>
        <v>43950</v>
      </c>
      <c r="B68" s="12" t="str">
        <f aca="false">CHOOSE(WEEKDAY(A68,2),"Mon","Tue","Wed","Thu","Fri","Sat","Sun")</f>
        <v>Wed</v>
      </c>
      <c r="C68" s="13" t="n">
        <f aca="false">SUMIFS(Data!$B$2:$B$2797,Data!$A$2:$A$2797,A68)</f>
        <v>948</v>
      </c>
      <c r="D68" s="13" t="n">
        <f aca="false">SUMIFS(Data!$C$2:$C$2797,Data!$A$2:$A$2797,A68)</f>
        <v>19</v>
      </c>
      <c r="E68" s="13" t="n">
        <f aca="false">SUMIFS(Data!$D$2:$D$2797,Data!$A$2:$A$2797,A68)</f>
        <v>208</v>
      </c>
      <c r="F68" s="13" t="n">
        <f aca="false">SUM($C$5:C68)</f>
        <v>15694</v>
      </c>
      <c r="G68" s="13" t="n">
        <f aca="false">SUM($D$5:D68)</f>
        <v>314</v>
      </c>
      <c r="H68" s="13" t="n">
        <f aca="false">SUM($E$5:E68)</f>
        <v>2673</v>
      </c>
      <c r="I68" s="13" t="n">
        <f aca="false">F68-G68-H68</f>
        <v>12707</v>
      </c>
      <c r="J68" s="16" t="n">
        <f aca="false">AVERAGE(C62:C68)</f>
        <v>739.142857142857</v>
      </c>
      <c r="K68" s="16" t="n">
        <f aca="false">AVERAGE(D62:D68)</f>
        <v>13.1428571428571</v>
      </c>
      <c r="L68" s="14" t="n">
        <f aca="false">IF(F68&gt;0,G68/F68,0)</f>
        <v>0.0200076462342296</v>
      </c>
      <c r="M68" s="18" t="n">
        <f aca="false">IF(J61&gt;0,J68/J61-1,"")</f>
        <v>0.22781205505458</v>
      </c>
      <c r="N68" s="15" t="n">
        <f aca="false">A68-$A$5</f>
        <v>63</v>
      </c>
      <c r="O68" s="17" t="n">
        <f aca="false">IF(J68&gt;0,LN(J68),"")</f>
        <v>6.60549121369066</v>
      </c>
      <c r="P68" s="15" t="n">
        <f aca="false">COUNTIF(Data!$A$2:$A$2797,A68)</f>
        <v>13</v>
      </c>
    </row>
    <row r="69" customFormat="false" ht="15" hidden="false" customHeight="false" outlineLevel="0" collapsed="false">
      <c r="A69" s="11" t="n">
        <f aca="false">A68+1</f>
        <v>43951</v>
      </c>
      <c r="B69" s="12" t="str">
        <f aca="false">CHOOSE(WEEKDAY(A69,2),"Mon","Tue","Wed","Thu","Fri","Sat","Sun")</f>
        <v>Thu</v>
      </c>
      <c r="C69" s="13" t="n">
        <f aca="false">SUMIFS(Data!$B$2:$B$2797,Data!$A$2:$A$2797,A69)</f>
        <v>665</v>
      </c>
      <c r="D69" s="13" t="n">
        <f aca="false">SUMIFS(Data!$C$2:$C$2797,Data!$A$2:$A$2797,A69)</f>
        <v>15</v>
      </c>
      <c r="E69" s="13" t="n">
        <f aca="false">SUMIFS(Data!$D$2:$D$2797,Data!$A$2:$A$2797,A69)</f>
        <v>0</v>
      </c>
      <c r="F69" s="13" t="n">
        <f aca="false">SUM($C$5:C69)</f>
        <v>16359</v>
      </c>
      <c r="G69" s="13" t="n">
        <f aca="false">SUM($D$5:D69)</f>
        <v>329</v>
      </c>
      <c r="H69" s="13" t="n">
        <f aca="false">SUM($E$5:E69)</f>
        <v>2673</v>
      </c>
      <c r="I69" s="13" t="n">
        <f aca="false">F69-G69-H69</f>
        <v>13357</v>
      </c>
      <c r="J69" s="16" t="n">
        <f aca="false">AVERAGE(C63:C69)</f>
        <v>742.571428571429</v>
      </c>
      <c r="K69" s="16" t="n">
        <f aca="false">AVERAGE(D63:D69)</f>
        <v>14.1428571428571</v>
      </c>
      <c r="L69" s="14" t="n">
        <f aca="false">IF(F69&gt;0,G69/F69,0)</f>
        <v>0.0201112537441164</v>
      </c>
      <c r="M69" s="18" t="n">
        <f aca="false">IF(J62&gt;0,J69/J62-1,"")</f>
        <v>0.245925215723873</v>
      </c>
      <c r="N69" s="15" t="n">
        <f aca="false">A69-$A$5</f>
        <v>64</v>
      </c>
      <c r="O69" s="17" t="n">
        <f aca="false">IF(J69&gt;0,LN(J69),"")</f>
        <v>6.61011906614612</v>
      </c>
      <c r="P69" s="15" t="n">
        <f aca="false">COUNTIF(Data!$A$2:$A$2797,A69)</f>
        <v>17</v>
      </c>
    </row>
    <row r="70" customFormat="false" ht="15" hidden="false" customHeight="false" outlineLevel="0" collapsed="false">
      <c r="A70" s="11" t="n">
        <f aca="false">A69+1</f>
        <v>43952</v>
      </c>
      <c r="B70" s="12" t="str">
        <f aca="false">CHOOSE(WEEKDAY(A70,2),"Mon","Tue","Wed","Thu","Fri","Sat","Sun")</f>
        <v>Fri</v>
      </c>
      <c r="C70" s="13" t="n">
        <f aca="false">SUMIFS(Data!$B$2:$B$2797,Data!$A$2:$A$2797,A70)</f>
        <v>1070</v>
      </c>
      <c r="D70" s="13" t="n">
        <f aca="false">SUMIFS(Data!$C$2:$C$2797,Data!$A$2:$A$2797,A70)</f>
        <v>23</v>
      </c>
      <c r="E70" s="13" t="n">
        <f aca="false">SUMIFS(Data!$D$2:$D$2797,Data!$A$2:$A$2797,A70)</f>
        <v>119</v>
      </c>
      <c r="F70" s="13" t="n">
        <f aca="false">SUM($C$5:C70)</f>
        <v>17429</v>
      </c>
      <c r="G70" s="13" t="n">
        <f aca="false">SUM($D$5:D70)</f>
        <v>352</v>
      </c>
      <c r="H70" s="13" t="n">
        <f aca="false">SUM($E$5:E70)</f>
        <v>2792</v>
      </c>
      <c r="I70" s="13" t="n">
        <f aca="false">F70-G70-H70</f>
        <v>14285</v>
      </c>
      <c r="J70" s="16" t="n">
        <f aca="false">AVERAGE(C64:C70)</f>
        <v>819.142857142857</v>
      </c>
      <c r="K70" s="16" t="n">
        <f aca="false">AVERAGE(D64:D70)</f>
        <v>15.8571428571429</v>
      </c>
      <c r="L70" s="14" t="n">
        <f aca="false">IF(F70&gt;0,G70/F70,0)</f>
        <v>0.0201962246829996</v>
      </c>
      <c r="M70" s="18" t="n">
        <f aca="false">IF(J63&gt;0,J70/J63-1,"")</f>
        <v>0.367191225560324</v>
      </c>
      <c r="N70" s="15" t="n">
        <f aca="false">A70-$A$5</f>
        <v>65</v>
      </c>
      <c r="O70" s="17" t="n">
        <f aca="false">IF(J70&gt;0,LN(J70),"")</f>
        <v>6.708258497388</v>
      </c>
      <c r="P70" s="15" t="n">
        <f aca="false">COUNTIF(Data!$A$2:$A$2797,A70)</f>
        <v>42</v>
      </c>
    </row>
    <row r="71" customFormat="false" ht="15" hidden="false" customHeight="false" outlineLevel="0" collapsed="false">
      <c r="A71" s="11" t="n">
        <f aca="false">A70+1</f>
        <v>43953</v>
      </c>
      <c r="B71" s="12" t="str">
        <f aca="false">CHOOSE(WEEKDAY(A71,2),"Mon","Tue","Wed","Thu","Fri","Sat","Sun")</f>
        <v>Sat</v>
      </c>
      <c r="C71" s="13" t="n">
        <f aca="false">SUMIFS(Data!$B$2:$B$2797,Data!$A$2:$A$2797,A71)</f>
        <v>1123</v>
      </c>
      <c r="D71" s="13" t="n">
        <f aca="false">SUMIFS(Data!$C$2:$C$2797,Data!$A$2:$A$2797,A71)</f>
        <v>24</v>
      </c>
      <c r="E71" s="13" t="n">
        <f aca="false">SUMIFS(Data!$D$2:$D$2797,Data!$A$2:$A$2797,A71)</f>
        <v>43</v>
      </c>
      <c r="F71" s="13" t="n">
        <f aca="false">SUM($C$5:C71)</f>
        <v>18552</v>
      </c>
      <c r="G71" s="13" t="n">
        <f aca="false">SUM($D$5:D71)</f>
        <v>376</v>
      </c>
      <c r="H71" s="13" t="n">
        <f aca="false">SUM($E$5:E71)</f>
        <v>2835</v>
      </c>
      <c r="I71" s="13" t="n">
        <f aca="false">F71-G71-H71</f>
        <v>15341</v>
      </c>
      <c r="J71" s="16" t="n">
        <f aca="false">AVERAGE(C65:C71)</f>
        <v>847.857142857143</v>
      </c>
      <c r="K71" s="16" t="n">
        <f aca="false">AVERAGE(D65:D71)</f>
        <v>17.2857142857143</v>
      </c>
      <c r="L71" s="14" t="n">
        <f aca="false">IF(F71&gt;0,G71/F71,0)</f>
        <v>0.0202673566192324</v>
      </c>
      <c r="M71" s="18" t="n">
        <f aca="false">IF(J64&gt;0,J71/J64-1,"")</f>
        <v>0.228524115090044</v>
      </c>
      <c r="N71" s="15" t="n">
        <f aca="false">A71-$A$5</f>
        <v>66</v>
      </c>
      <c r="O71" s="17" t="n">
        <f aca="false">IF(J71&gt;0,LN(J71),"")</f>
        <v>6.74271215798846</v>
      </c>
      <c r="P71" s="15" t="n">
        <f aca="false">COUNTIF(Data!$A$2:$A$2797,A71)</f>
        <v>41</v>
      </c>
    </row>
    <row r="72" customFormat="false" ht="15" hidden="false" customHeight="false" outlineLevel="0" collapsed="false">
      <c r="A72" s="11" t="n">
        <f aca="false">A71+1</f>
        <v>43954</v>
      </c>
      <c r="B72" s="12" t="str">
        <f aca="false">CHOOSE(WEEKDAY(A72,2),"Mon","Tue","Wed","Thu","Fri","Sat","Sun")</f>
        <v>Sun</v>
      </c>
      <c r="C72" s="13" t="n">
        <f aca="false">SUMIFS(Data!$B$2:$B$2797,Data!$A$2:$A$2797,A72)</f>
        <v>1342</v>
      </c>
      <c r="D72" s="13" t="n">
        <f aca="false">SUMIFS(Data!$C$2:$C$2797,Data!$A$2:$A$2797,A72)</f>
        <v>30</v>
      </c>
      <c r="E72" s="13" t="n">
        <f aca="false">SUMIFS(Data!$D$2:$D$2797,Data!$A$2:$A$2797,A72)</f>
        <v>0</v>
      </c>
      <c r="F72" s="13" t="n">
        <f aca="false">SUM($C$5:C72)</f>
        <v>19894</v>
      </c>
      <c r="G72" s="13" t="n">
        <f aca="false">SUM($D$5:D72)</f>
        <v>406</v>
      </c>
      <c r="H72" s="13" t="n">
        <f aca="false">SUM($E$5:E72)</f>
        <v>2835</v>
      </c>
      <c r="I72" s="13" t="n">
        <f aca="false">F72-G72-H72</f>
        <v>16653</v>
      </c>
      <c r="J72" s="16" t="n">
        <f aca="false">AVERAGE(C66:C72)</f>
        <v>945.285714285714</v>
      </c>
      <c r="K72" s="16" t="n">
        <f aca="false">AVERAGE(D66:D72)</f>
        <v>19.8571428571429</v>
      </c>
      <c r="L72" s="14" t="n">
        <f aca="false">IF(F72&gt;0,G72/F72,0)</f>
        <v>0.0204081632653061</v>
      </c>
      <c r="M72" s="18" t="n">
        <f aca="false">IF(J65&gt;0,J72/J65-1,"")</f>
        <v>0.348207008964955</v>
      </c>
      <c r="N72" s="15" t="n">
        <f aca="false">A72-$A$5</f>
        <v>67</v>
      </c>
      <c r="O72" s="17" t="n">
        <f aca="false">IF(J72&gt;0,LN(J72),"")</f>
        <v>6.85148722495675</v>
      </c>
      <c r="P72" s="15" t="n">
        <f aca="false">COUNTIF(Data!$A$2:$A$2797,A72)</f>
        <v>8</v>
      </c>
    </row>
    <row r="73" customFormat="false" ht="15" hidden="false" customHeight="false" outlineLevel="0" collapsed="false">
      <c r="A73" s="11" t="n">
        <f aca="false">A72+1</f>
        <v>43955</v>
      </c>
      <c r="B73" s="12" t="str">
        <f aca="false">CHOOSE(WEEKDAY(A73,2),"Mon","Tue","Wed","Thu","Fri","Sat","Sun")</f>
        <v>Mon</v>
      </c>
      <c r="C73" s="13" t="n">
        <f aca="false">SUMIFS(Data!$B$2:$B$2797,Data!$A$2:$A$2797,A73)</f>
        <v>1052</v>
      </c>
      <c r="D73" s="13" t="n">
        <f aca="false">SUMIFS(Data!$C$2:$C$2797,Data!$A$2:$A$2797,A73)</f>
        <v>24</v>
      </c>
      <c r="E73" s="13" t="n">
        <f aca="false">SUMIFS(Data!$D$2:$D$2797,Data!$A$2:$A$2797,A73)</f>
        <v>0</v>
      </c>
      <c r="F73" s="13" t="n">
        <f aca="false">SUM($C$5:C73)</f>
        <v>20946</v>
      </c>
      <c r="G73" s="13" t="n">
        <f aca="false">SUM($D$5:D73)</f>
        <v>430</v>
      </c>
      <c r="H73" s="13" t="n">
        <f aca="false">SUM($E$5:E73)</f>
        <v>2835</v>
      </c>
      <c r="I73" s="13" t="n">
        <f aca="false">F73-G73-H73</f>
        <v>17681</v>
      </c>
      <c r="J73" s="16" t="n">
        <f aca="false">AVERAGE(C67:C73)</f>
        <v>990</v>
      </c>
      <c r="K73" s="16" t="n">
        <f aca="false">AVERAGE(D67:D73)</f>
        <v>20</v>
      </c>
      <c r="L73" s="14" t="n">
        <f aca="false">IF(F73&gt;0,G73/F73,0)</f>
        <v>0.0205289792800535</v>
      </c>
      <c r="M73" s="18" t="n">
        <f aca="false">IF(J66&gt;0,J73/J66-1,"")</f>
        <v>0.402834008097166</v>
      </c>
      <c r="N73" s="15" t="n">
        <f aca="false">A73-$A$5</f>
        <v>68</v>
      </c>
      <c r="O73" s="17" t="n">
        <f aca="false">IF(J73&gt;0,LN(J73),"")</f>
        <v>6.89770494312864</v>
      </c>
      <c r="P73" s="15" t="n">
        <f aca="false">COUNTIF(Data!$A$2:$A$2797,A73)</f>
        <v>40</v>
      </c>
    </row>
    <row r="74" customFormat="false" ht="15" hidden="false" customHeight="false" outlineLevel="0" collapsed="false">
      <c r="A74" s="11" t="n">
        <f aca="false">A73+1</f>
        <v>43956</v>
      </c>
      <c r="B74" s="12" t="str">
        <f aca="false">CHOOSE(WEEKDAY(A74,2),"Mon","Tue","Wed","Thu","Fri","Sat","Sun")</f>
        <v>Tue</v>
      </c>
      <c r="C74" s="13" t="n">
        <f aca="false">SUMIFS(Data!$B$2:$B$2797,Data!$A$2:$A$2797,A74)</f>
        <v>1023</v>
      </c>
      <c r="D74" s="13" t="n">
        <f aca="false">SUMIFS(Data!$C$2:$C$2797,Data!$A$2:$A$2797,A74)</f>
        <v>28</v>
      </c>
      <c r="E74" s="13" t="n">
        <f aca="false">SUMIFS(Data!$D$2:$D$2797,Data!$A$2:$A$2797,A74)</f>
        <v>45</v>
      </c>
      <c r="F74" s="13" t="n">
        <f aca="false">SUM($C$5:C74)</f>
        <v>21969</v>
      </c>
      <c r="G74" s="13" t="n">
        <f aca="false">SUM($D$5:D74)</f>
        <v>458</v>
      </c>
      <c r="H74" s="13" t="n">
        <f aca="false">SUM($E$5:E74)</f>
        <v>2880</v>
      </c>
      <c r="I74" s="13" t="n">
        <f aca="false">F74-G74-H74</f>
        <v>18631</v>
      </c>
      <c r="J74" s="16" t="n">
        <f aca="false">AVERAGE(C68:C74)</f>
        <v>1031.85714285714</v>
      </c>
      <c r="K74" s="16" t="n">
        <f aca="false">AVERAGE(D68:D74)</f>
        <v>23.2857142857143</v>
      </c>
      <c r="L74" s="14" t="n">
        <f aca="false">IF(F74&gt;0,G74/F74,0)</f>
        <v>0.0208475579225272</v>
      </c>
      <c r="M74" s="18" t="n">
        <f aca="false">IF(J67&gt;0,J74/J67-1,"")</f>
        <v>0.44662527538554</v>
      </c>
      <c r="N74" s="15" t="n">
        <f aca="false">A74-$A$5</f>
        <v>69</v>
      </c>
      <c r="O74" s="17" t="n">
        <f aca="false">IF(J74&gt;0,LN(J74),"")</f>
        <v>6.93911550899553</v>
      </c>
      <c r="P74" s="15" t="n">
        <f aca="false">COUNTIF(Data!$A$2:$A$2797,A74)</f>
        <v>8</v>
      </c>
    </row>
    <row r="75" customFormat="false" ht="15" hidden="false" customHeight="false" outlineLevel="0" collapsed="false">
      <c r="A75" s="11" t="n">
        <f aca="false">A74+1</f>
        <v>43957</v>
      </c>
      <c r="B75" s="12" t="str">
        <f aca="false">CHOOSE(WEEKDAY(A75,2),"Mon","Tue","Wed","Thu","Fri","Sat","Sun")</f>
        <v>Wed</v>
      </c>
      <c r="C75" s="13" t="n">
        <f aca="false">SUMIFS(Data!$B$2:$B$2797,Data!$A$2:$A$2797,A75)</f>
        <v>1804</v>
      </c>
      <c r="D75" s="13" t="n">
        <f aca="false">SUMIFS(Data!$C$2:$C$2797,Data!$A$2:$A$2797,A75)</f>
        <v>49</v>
      </c>
      <c r="E75" s="13" t="n">
        <f aca="false">SUMIFS(Data!$D$2:$D$2797,Data!$A$2:$A$2797,A75)</f>
        <v>124</v>
      </c>
      <c r="F75" s="13" t="n">
        <f aca="false">SUM($C$5:C75)</f>
        <v>23773</v>
      </c>
      <c r="G75" s="13" t="n">
        <f aca="false">SUM($D$5:D75)</f>
        <v>507</v>
      </c>
      <c r="H75" s="13" t="n">
        <f aca="false">SUM($E$5:E75)</f>
        <v>3004</v>
      </c>
      <c r="I75" s="13" t="n">
        <f aca="false">F75-G75-H75</f>
        <v>20262</v>
      </c>
      <c r="J75" s="16" t="n">
        <f aca="false">AVERAGE(C69:C75)</f>
        <v>1154.14285714286</v>
      </c>
      <c r="K75" s="16" t="n">
        <f aca="false">AVERAGE(D69:D75)</f>
        <v>27.5714285714286</v>
      </c>
      <c r="L75" s="14" t="n">
        <f aca="false">IF(F75&gt;0,G75/F75,0)</f>
        <v>0.0213267151810878</v>
      </c>
      <c r="M75" s="18" t="n">
        <f aca="false">IF(J68&gt;0,J75/J68-1,"")</f>
        <v>0.561461151913413</v>
      </c>
      <c r="N75" s="15" t="n">
        <f aca="false">A75-$A$5</f>
        <v>70</v>
      </c>
      <c r="O75" s="17" t="n">
        <f aca="false">IF(J75&gt;0,LN(J75),"")</f>
        <v>7.0511132324244</v>
      </c>
      <c r="P75" s="15" t="n">
        <f aca="false">COUNTIF(Data!$A$2:$A$2797,A75)</f>
        <v>8</v>
      </c>
    </row>
    <row r="76" customFormat="false" ht="15" hidden="false" customHeight="false" outlineLevel="0" collapsed="false">
      <c r="A76" s="11" t="n">
        <f aca="false">A75+1</f>
        <v>43958</v>
      </c>
      <c r="B76" s="12" t="str">
        <f aca="false">CHOOSE(WEEKDAY(A76,2),"Mon","Tue","Wed","Thu","Fri","Sat","Sun")</f>
        <v>Thu</v>
      </c>
      <c r="C76" s="13" t="n">
        <f aca="false">SUMIFS(Data!$B$2:$B$2797,Data!$A$2:$A$2797,A76)</f>
        <v>863</v>
      </c>
      <c r="D76" s="13" t="n">
        <f aca="false">SUMIFS(Data!$C$2:$C$2797,Data!$A$2:$A$2797,A76)</f>
        <v>28</v>
      </c>
      <c r="E76" s="13" t="n">
        <f aca="false">SUMIFS(Data!$D$2:$D$2797,Data!$A$2:$A$2797,A76)</f>
        <v>14</v>
      </c>
      <c r="F76" s="13" t="n">
        <f aca="false">SUM($C$5:C76)</f>
        <v>24636</v>
      </c>
      <c r="G76" s="13" t="n">
        <f aca="false">SUM($D$5:D76)</f>
        <v>535</v>
      </c>
      <c r="H76" s="13" t="n">
        <f aca="false">SUM($E$5:E76)</f>
        <v>3018</v>
      </c>
      <c r="I76" s="13" t="n">
        <f aca="false">F76-G76-H76</f>
        <v>21083</v>
      </c>
      <c r="J76" s="16" t="n">
        <f aca="false">AVERAGE(C70:C76)</f>
        <v>1182.42857142857</v>
      </c>
      <c r="K76" s="16" t="n">
        <f aca="false">AVERAGE(D70:D76)</f>
        <v>29.4285714285714</v>
      </c>
      <c r="L76" s="14" t="n">
        <f aca="false">IF(F76&gt;0,G76/F76,0)</f>
        <v>0.0217161876928073</v>
      </c>
      <c r="M76" s="18" t="n">
        <f aca="false">IF(J69&gt;0,J76/J69-1,"")</f>
        <v>0.59234320892651</v>
      </c>
      <c r="N76" s="15" t="n">
        <f aca="false">A76-$A$5</f>
        <v>71</v>
      </c>
      <c r="O76" s="17" t="n">
        <f aca="false">IF(J76&gt;0,LN(J76),"")</f>
        <v>7.07532571383008</v>
      </c>
      <c r="P76" s="15" t="n">
        <f aca="false">COUNTIF(Data!$A$2:$A$2797,A76)</f>
        <v>41</v>
      </c>
    </row>
    <row r="77" customFormat="false" ht="15" hidden="false" customHeight="false" outlineLevel="0" collapsed="false">
      <c r="A77" s="11" t="n">
        <f aca="false">A76+1</f>
        <v>43959</v>
      </c>
      <c r="B77" s="12" t="str">
        <f aca="false">CHOOSE(WEEKDAY(A77,2),"Mon","Tue","Wed","Thu","Fri","Sat","Sun")</f>
        <v>Fri</v>
      </c>
      <c r="C77" s="13" t="n">
        <f aca="false">SUMIFS(Data!$B$2:$B$2797,Data!$A$2:$A$2797,A77)</f>
        <v>1829</v>
      </c>
      <c r="D77" s="13" t="n">
        <f aca="false">SUMIFS(Data!$C$2:$C$2797,Data!$A$2:$A$2797,A77)</f>
        <v>31</v>
      </c>
      <c r="E77" s="13" t="n">
        <f aca="false">SUMIFS(Data!$D$2:$D$2797,Data!$A$2:$A$2797,A77)</f>
        <v>13</v>
      </c>
      <c r="F77" s="13" t="n">
        <f aca="false">SUM($C$5:C77)</f>
        <v>26465</v>
      </c>
      <c r="G77" s="13" t="n">
        <f aca="false">SUM($D$5:D77)</f>
        <v>566</v>
      </c>
      <c r="H77" s="13" t="n">
        <f aca="false">SUM($E$5:E77)</f>
        <v>3031</v>
      </c>
      <c r="I77" s="13" t="n">
        <f aca="false">F77-G77-H77</f>
        <v>22868</v>
      </c>
      <c r="J77" s="16" t="n">
        <f aca="false">AVERAGE(C71:C77)</f>
        <v>1290.85714285714</v>
      </c>
      <c r="K77" s="16" t="n">
        <f aca="false">AVERAGE(D71:D77)</f>
        <v>30.5714285714286</v>
      </c>
      <c r="L77" s="14" t="n">
        <f aca="false">IF(F77&gt;0,G77/F77,0)</f>
        <v>0.0213867372000756</v>
      </c>
      <c r="M77" s="18" t="n">
        <f aca="false">IF(J70&gt;0,J77/J70-1,"")</f>
        <v>0.575863271712592</v>
      </c>
      <c r="N77" s="15" t="n">
        <f aca="false">A77-$A$5</f>
        <v>72</v>
      </c>
      <c r="O77" s="17" t="n">
        <f aca="false">IF(J77&gt;0,LN(J77),"")</f>
        <v>7.16306172853258</v>
      </c>
      <c r="P77" s="15" t="n">
        <f aca="false">COUNTIF(Data!$A$2:$A$2797,A77)</f>
        <v>40</v>
      </c>
    </row>
    <row r="78" customFormat="false" ht="15" hidden="false" customHeight="false" outlineLevel="0" collapsed="false">
      <c r="A78" s="11" t="n">
        <f aca="false">A77+1</f>
        <v>43960</v>
      </c>
      <c r="B78" s="12" t="str">
        <f aca="false">CHOOSE(WEEKDAY(A78,2),"Mon","Tue","Wed","Thu","Fri","Sat","Sun")</f>
        <v>Sat</v>
      </c>
      <c r="C78" s="13" t="n">
        <f aca="false">SUMIFS(Data!$B$2:$B$2797,Data!$A$2:$A$2797,A78)</f>
        <v>2554</v>
      </c>
      <c r="D78" s="13" t="n">
        <f aca="false">SUMIFS(Data!$C$2:$C$2797,Data!$A$2:$A$2797,A78)</f>
        <v>19</v>
      </c>
      <c r="E78" s="13" t="n">
        <f aca="false">SUMIFS(Data!$D$2:$D$2797,Data!$A$2:$A$2797,A78)</f>
        <v>18</v>
      </c>
      <c r="F78" s="13" t="n">
        <f aca="false">SUM($C$5:C78)</f>
        <v>29019</v>
      </c>
      <c r="G78" s="13" t="n">
        <f aca="false">SUM($D$5:D78)</f>
        <v>585</v>
      </c>
      <c r="H78" s="13" t="n">
        <f aca="false">SUM($E$5:E78)</f>
        <v>3049</v>
      </c>
      <c r="I78" s="13" t="n">
        <f aca="false">F78-G78-H78</f>
        <v>25385</v>
      </c>
      <c r="J78" s="16" t="n">
        <f aca="false">AVERAGE(C72:C78)</f>
        <v>1495.28571428571</v>
      </c>
      <c r="K78" s="16" t="n">
        <f aca="false">AVERAGE(D72:D78)</f>
        <v>29.8571428571429</v>
      </c>
      <c r="L78" s="14" t="n">
        <f aca="false">IF(F78&gt;0,G78/F78,0)</f>
        <v>0.0201592060374238</v>
      </c>
      <c r="M78" s="18" t="n">
        <f aca="false">IF(J71&gt;0,J78/J71-1,"")</f>
        <v>0.763605728727885</v>
      </c>
      <c r="N78" s="15" t="n">
        <f aca="false">A78-$A$5</f>
        <v>73</v>
      </c>
      <c r="O78" s="17" t="n">
        <f aca="false">IF(J78&gt;0,LN(J78),"")</f>
        <v>7.31007258079957</v>
      </c>
      <c r="P78" s="15" t="n">
        <f aca="false">COUNTIF(Data!$A$2:$A$2797,A78)</f>
        <v>41</v>
      </c>
    </row>
    <row r="79" customFormat="false" ht="15" hidden="false" customHeight="false" outlineLevel="0" collapsed="false">
      <c r="A79" s="11" t="n">
        <f aca="false">A78+1</f>
        <v>43961</v>
      </c>
      <c r="B79" s="12" t="str">
        <f aca="false">CHOOSE(WEEKDAY(A79,2),"Mon","Tue","Wed","Thu","Fri","Sat","Sun")</f>
        <v>Sun</v>
      </c>
      <c r="C79" s="13" t="n">
        <f aca="false">SUMIFS(Data!$B$2:$B$2797,Data!$A$2:$A$2797,A79)</f>
        <v>1463</v>
      </c>
      <c r="D79" s="13" t="n">
        <f aca="false">SUMIFS(Data!$C$2:$C$2797,Data!$A$2:$A$2797,A79)</f>
        <v>23</v>
      </c>
      <c r="E79" s="13" t="n">
        <f aca="false">SUMIFS(Data!$D$2:$D$2797,Data!$A$2:$A$2797,A79)</f>
        <v>138</v>
      </c>
      <c r="F79" s="13" t="n">
        <f aca="false">SUM($C$5:C79)</f>
        <v>30482</v>
      </c>
      <c r="G79" s="13" t="n">
        <f aca="false">SUM($D$5:D79)</f>
        <v>608</v>
      </c>
      <c r="H79" s="13" t="n">
        <f aca="false">SUM($E$5:E79)</f>
        <v>3187</v>
      </c>
      <c r="I79" s="13" t="n">
        <f aca="false">F79-G79-H79</f>
        <v>26687</v>
      </c>
      <c r="J79" s="16" t="n">
        <f aca="false">AVERAGE(C73:C79)</f>
        <v>1512.57142857143</v>
      </c>
      <c r="K79" s="16" t="n">
        <f aca="false">AVERAGE(D73:D79)</f>
        <v>28.8571428571429</v>
      </c>
      <c r="L79" s="14" t="n">
        <f aca="false">IF(F79&gt;0,G79/F79,0)</f>
        <v>0.0199461977560528</v>
      </c>
      <c r="M79" s="18" t="n">
        <f aca="false">IF(J72&gt;0,J79/J72-1,"")</f>
        <v>0.600120900710292</v>
      </c>
      <c r="N79" s="15" t="n">
        <f aca="false">A79-$A$5</f>
        <v>74</v>
      </c>
      <c r="O79" s="17" t="n">
        <f aca="false">IF(J79&gt;0,LN(J79),"")</f>
        <v>7.32156641429168</v>
      </c>
      <c r="P79" s="15" t="n">
        <f aca="false">COUNTIF(Data!$A$2:$A$2797,A79)</f>
        <v>44</v>
      </c>
    </row>
    <row r="80" customFormat="false" ht="15" hidden="false" customHeight="false" outlineLevel="0" collapsed="false">
      <c r="A80" s="11" t="n">
        <f aca="false">A79+1</f>
        <v>43962</v>
      </c>
      <c r="B80" s="12" t="str">
        <f aca="false">CHOOSE(WEEKDAY(A80,2),"Mon","Tue","Wed","Thu","Fri","Sat","Sun")</f>
        <v>Mon</v>
      </c>
      <c r="C80" s="13" t="n">
        <f aca="false">SUMIFS(Data!$B$2:$B$2797,Data!$A$2:$A$2797,A80)</f>
        <v>1079</v>
      </c>
      <c r="D80" s="13" t="n">
        <f aca="false">SUMIFS(Data!$C$2:$C$2797,Data!$A$2:$A$2797,A80)</f>
        <v>38</v>
      </c>
      <c r="E80" s="13" t="n">
        <f aca="false">SUMIFS(Data!$D$2:$D$2797,Data!$A$2:$A$2797,A80)</f>
        <v>167</v>
      </c>
      <c r="F80" s="13" t="n">
        <f aca="false">SUM($C$5:C80)</f>
        <v>31561</v>
      </c>
      <c r="G80" s="13" t="n">
        <f aca="false">SUM($D$5:D80)</f>
        <v>646</v>
      </c>
      <c r="H80" s="13" t="n">
        <f aca="false">SUM($E$5:E80)</f>
        <v>3354</v>
      </c>
      <c r="I80" s="13" t="n">
        <f aca="false">F80-G80-H80</f>
        <v>27561</v>
      </c>
      <c r="J80" s="16" t="n">
        <f aca="false">AVERAGE(C74:C80)</f>
        <v>1516.42857142857</v>
      </c>
      <c r="K80" s="16" t="n">
        <f aca="false">AVERAGE(D74:D80)</f>
        <v>30.8571428571429</v>
      </c>
      <c r="L80" s="14" t="n">
        <f aca="false">IF(F80&gt;0,G80/F80,0)</f>
        <v>0.0204682994835398</v>
      </c>
      <c r="M80" s="18" t="n">
        <f aca="false">IF(J73&gt;0,J80/J73-1,"")</f>
        <v>0.531746031746032</v>
      </c>
      <c r="N80" s="15" t="n">
        <f aca="false">A80-$A$5</f>
        <v>75</v>
      </c>
      <c r="O80" s="17" t="n">
        <f aca="false">IF(J80&gt;0,LN(J80),"")</f>
        <v>7.32411322508204</v>
      </c>
      <c r="P80" s="15" t="n">
        <f aca="false">COUNTIF(Data!$A$2:$A$2797,A80)</f>
        <v>42</v>
      </c>
    </row>
    <row r="81" customFormat="false" ht="15" hidden="false" customHeight="false" outlineLevel="0" collapsed="false">
      <c r="A81" s="11" t="n">
        <f aca="false">A80+1</f>
        <v>43963</v>
      </c>
      <c r="B81" s="12" t="str">
        <f aca="false">CHOOSE(WEEKDAY(A81,2),"Mon","Tue","Wed","Thu","Fri","Sat","Sun")</f>
        <v>Tue</v>
      </c>
      <c r="C81" s="13" t="n">
        <f aca="false">SUMIFS(Data!$B$2:$B$2797,Data!$A$2:$A$2797,A81)</f>
        <v>2254</v>
      </c>
      <c r="D81" s="13" t="n">
        <f aca="false">SUMIFS(Data!$C$2:$C$2797,Data!$A$2:$A$2797,A81)</f>
        <v>39</v>
      </c>
      <c r="E81" s="13" t="n">
        <f aca="false">SUMIFS(Data!$D$2:$D$2797,Data!$A$2:$A$2797,A81)</f>
        <v>247</v>
      </c>
      <c r="F81" s="13" t="n">
        <f aca="false">SUM($C$5:C81)</f>
        <v>33815</v>
      </c>
      <c r="G81" s="13" t="n">
        <f aca="false">SUM($D$5:D81)</f>
        <v>685</v>
      </c>
      <c r="H81" s="13" t="n">
        <f aca="false">SUM($E$5:E81)</f>
        <v>3601</v>
      </c>
      <c r="I81" s="13" t="n">
        <f aca="false">F81-G81-H81</f>
        <v>29529</v>
      </c>
      <c r="J81" s="16" t="n">
        <f aca="false">AVERAGE(C75:C81)</f>
        <v>1692.28571428571</v>
      </c>
      <c r="K81" s="16" t="n">
        <f aca="false">AVERAGE(D75:D81)</f>
        <v>32.4285714285714</v>
      </c>
      <c r="L81" s="14" t="n">
        <f aca="false">IF(F81&gt;0,G81/F81,0)</f>
        <v>0.0202572822711814</v>
      </c>
      <c r="M81" s="18" t="n">
        <f aca="false">IF(J74&gt;0,J81/J74-1,"")</f>
        <v>0.640038765056071</v>
      </c>
      <c r="N81" s="15" t="n">
        <f aca="false">A81-$A$5</f>
        <v>76</v>
      </c>
      <c r="O81" s="17" t="n">
        <f aca="false">IF(J81&gt;0,LN(J81),"")</f>
        <v>7.4338353877816</v>
      </c>
      <c r="P81" s="15" t="n">
        <f aca="false">COUNTIF(Data!$A$2:$A$2797,A81)</f>
        <v>45</v>
      </c>
    </row>
    <row r="82" customFormat="false" ht="15" hidden="false" customHeight="false" outlineLevel="0" collapsed="false">
      <c r="A82" s="11" t="n">
        <f aca="false">A81+1</f>
        <v>43964</v>
      </c>
      <c r="B82" s="12" t="str">
        <f aca="false">CHOOSE(WEEKDAY(A82,2),"Mon","Tue","Wed","Thu","Fri","Sat","Sun")</f>
        <v>Wed</v>
      </c>
      <c r="C82" s="13" t="n">
        <f aca="false">SUMIFS(Data!$B$2:$B$2797,Data!$A$2:$A$2797,A82)</f>
        <v>1431</v>
      </c>
      <c r="D82" s="13" t="n">
        <f aca="false">SUMIFS(Data!$C$2:$C$2797,Data!$A$2:$A$2797,A82)</f>
        <v>36</v>
      </c>
      <c r="E82" s="13" t="n">
        <f aca="false">SUMIFS(Data!$D$2:$D$2797,Data!$A$2:$A$2797,A82)</f>
        <v>756</v>
      </c>
      <c r="F82" s="13" t="n">
        <f aca="false">SUM($C$5:C82)</f>
        <v>35246</v>
      </c>
      <c r="G82" s="13" t="n">
        <f aca="false">SUM($D$5:D82)</f>
        <v>721</v>
      </c>
      <c r="H82" s="13" t="n">
        <f aca="false">SUM($E$5:E82)</f>
        <v>4357</v>
      </c>
      <c r="I82" s="13" t="n">
        <f aca="false">F82-G82-H82</f>
        <v>30168</v>
      </c>
      <c r="J82" s="16" t="n">
        <f aca="false">AVERAGE(C76:C82)</f>
        <v>1639</v>
      </c>
      <c r="K82" s="16" t="n">
        <f aca="false">AVERAGE(D76:D82)</f>
        <v>30.5714285714286</v>
      </c>
      <c r="L82" s="14" t="n">
        <f aca="false">IF(F82&gt;0,G82/F82,0)</f>
        <v>0.0204562219826363</v>
      </c>
      <c r="M82" s="18" t="n">
        <f aca="false">IF(J75&gt;0,J82/J75-1,"")</f>
        <v>0.420101497710113</v>
      </c>
      <c r="N82" s="15" t="n">
        <f aca="false">A82-$A$5</f>
        <v>77</v>
      </c>
      <c r="O82" s="17" t="n">
        <f aca="false">IF(J82&gt;0,LN(J82),"")</f>
        <v>7.40184157874383</v>
      </c>
      <c r="P82" s="15" t="n">
        <f aca="false">COUNTIF(Data!$A$2:$A$2797,A82)</f>
        <v>44</v>
      </c>
    </row>
    <row r="83" customFormat="false" ht="15" hidden="false" customHeight="false" outlineLevel="0" collapsed="false">
      <c r="A83" s="11" t="n">
        <f aca="false">A82+1</f>
        <v>43965</v>
      </c>
      <c r="B83" s="12" t="str">
        <f aca="false">CHOOSE(WEEKDAY(A83,2),"Mon","Tue","Wed","Thu","Fri","Sat","Sun")</f>
        <v>Thu</v>
      </c>
      <c r="C83" s="13" t="n">
        <f aca="false">SUMIFS(Data!$B$2:$B$2797,Data!$A$2:$A$2797,A83)</f>
        <v>1449</v>
      </c>
      <c r="D83" s="13" t="n">
        <f aca="false">SUMIFS(Data!$C$2:$C$2797,Data!$A$2:$A$2797,A83)</f>
        <v>33</v>
      </c>
      <c r="E83" s="13" t="n">
        <f aca="false">SUMIFS(Data!$D$2:$D$2797,Data!$A$2:$A$2797,A83)</f>
        <v>374</v>
      </c>
      <c r="F83" s="13" t="n">
        <f aca="false">SUM($C$5:C83)</f>
        <v>36695</v>
      </c>
      <c r="G83" s="13" t="n">
        <f aca="false">SUM($D$5:D83)</f>
        <v>754</v>
      </c>
      <c r="H83" s="13" t="n">
        <f aca="false">SUM($E$5:E83)</f>
        <v>4731</v>
      </c>
      <c r="I83" s="13" t="n">
        <f aca="false">F83-G83-H83</f>
        <v>31210</v>
      </c>
      <c r="J83" s="16" t="n">
        <f aca="false">AVERAGE(C77:C83)</f>
        <v>1722.71428571429</v>
      </c>
      <c r="K83" s="16" t="n">
        <f aca="false">AVERAGE(D77:D83)</f>
        <v>31.2857142857143</v>
      </c>
      <c r="L83" s="14" t="n">
        <f aca="false">IF(F83&gt;0,G83/F83,0)</f>
        <v>0.0205477585502112</v>
      </c>
      <c r="M83" s="18" t="n">
        <f aca="false">IF(J76&gt;0,J83/J76-1,"")</f>
        <v>0.456928838951311</v>
      </c>
      <c r="N83" s="15" t="n">
        <f aca="false">A83-$A$5</f>
        <v>78</v>
      </c>
      <c r="O83" s="17" t="n">
        <f aca="false">IF(J83&gt;0,LN(J83),"")</f>
        <v>7.45165639904828</v>
      </c>
      <c r="P83" s="15" t="n">
        <f aca="false">COUNTIF(Data!$A$2:$A$2797,A83)</f>
        <v>45</v>
      </c>
    </row>
    <row r="84" customFormat="false" ht="15" hidden="false" customHeight="false" outlineLevel="0" collapsed="false">
      <c r="A84" s="11" t="n">
        <f aca="false">A83+1</f>
        <v>43966</v>
      </c>
      <c r="B84" s="12" t="str">
        <f aca="false">CHOOSE(WEEKDAY(A84,2),"Mon","Tue","Wed","Thu","Fri","Sat","Sun")</f>
        <v>Fri</v>
      </c>
      <c r="C84" s="13" t="n">
        <f aca="false">SUMIFS(Data!$B$2:$B$2797,Data!$A$2:$A$2797,A84)</f>
        <v>1515</v>
      </c>
      <c r="D84" s="13" t="n">
        <f aca="false">SUMIFS(Data!$C$2:$C$2797,Data!$A$2:$A$2797,A84)</f>
        <v>31</v>
      </c>
      <c r="E84" s="13" t="n">
        <f aca="false">SUMIFS(Data!$D$2:$D$2797,Data!$A$2:$A$2797,A84)</f>
        <v>665</v>
      </c>
      <c r="F84" s="13" t="n">
        <f aca="false">SUM($C$5:C84)</f>
        <v>38210</v>
      </c>
      <c r="G84" s="13" t="n">
        <f aca="false">SUM($D$5:D84)</f>
        <v>785</v>
      </c>
      <c r="H84" s="13" t="n">
        <f aca="false">SUM($E$5:E84)</f>
        <v>5396</v>
      </c>
      <c r="I84" s="13" t="n">
        <f aca="false">F84-G84-H84</f>
        <v>32029</v>
      </c>
      <c r="J84" s="16" t="n">
        <f aca="false">AVERAGE(C78:C84)</f>
        <v>1677.85714285714</v>
      </c>
      <c r="K84" s="16" t="n">
        <f aca="false">AVERAGE(D78:D84)</f>
        <v>31.2857142857143</v>
      </c>
      <c r="L84" s="14" t="n">
        <f aca="false">IF(F84&gt;0,G84/F84,0)</f>
        <v>0.0205443601151531</v>
      </c>
      <c r="M84" s="18" t="n">
        <f aca="false">IF(J77&gt;0,J84/J77-1,"")</f>
        <v>0.299800796812749</v>
      </c>
      <c r="N84" s="15" t="n">
        <f aca="false">A84-$A$5</f>
        <v>79</v>
      </c>
      <c r="O84" s="17" t="n">
        <f aca="false">IF(J84&gt;0,LN(J84),"")</f>
        <v>7.4252727480377</v>
      </c>
      <c r="P84" s="15" t="n">
        <f aca="false">COUNTIF(Data!$A$2:$A$2797,A84)</f>
        <v>43</v>
      </c>
    </row>
    <row r="85" customFormat="false" ht="15" hidden="false" customHeight="false" outlineLevel="0" collapsed="false">
      <c r="A85" s="11" t="n">
        <f aca="false">A84+1</f>
        <v>43967</v>
      </c>
      <c r="B85" s="12" t="str">
        <f aca="false">CHOOSE(WEEKDAY(A85,2),"Mon","Tue","Wed","Thu","Fri","Sat","Sun")</f>
        <v>Sat</v>
      </c>
      <c r="C85" s="13" t="n">
        <f aca="false">SUMIFS(Data!$B$2:$B$2797,Data!$A$2:$A$2797,A85)</f>
        <v>1372</v>
      </c>
      <c r="D85" s="13" t="n">
        <f aca="false">SUMIFS(Data!$C$2:$C$2797,Data!$A$2:$A$2797,A85)</f>
        <v>39</v>
      </c>
      <c r="E85" s="13" t="n">
        <f aca="false">SUMIFS(Data!$D$2:$D$2797,Data!$A$2:$A$2797,A85)</f>
        <v>284</v>
      </c>
      <c r="F85" s="13" t="n">
        <f aca="false">SUM($C$5:C85)</f>
        <v>39582</v>
      </c>
      <c r="G85" s="13" t="n">
        <f aca="false">SUM($D$5:D85)</f>
        <v>824</v>
      </c>
      <c r="H85" s="13" t="n">
        <f aca="false">SUM($E$5:E85)</f>
        <v>5680</v>
      </c>
      <c r="I85" s="13" t="n">
        <f aca="false">F85-G85-H85</f>
        <v>33078</v>
      </c>
      <c r="J85" s="16" t="n">
        <f aca="false">AVERAGE(C79:C85)</f>
        <v>1509</v>
      </c>
      <c r="K85" s="16" t="n">
        <f aca="false">AVERAGE(D79:D85)</f>
        <v>34.1428571428571</v>
      </c>
      <c r="L85" s="14" t="n">
        <f aca="false">IF(F85&gt;0,G85/F85,0)</f>
        <v>0.0208175433277753</v>
      </c>
      <c r="M85" s="18" t="n">
        <f aca="false">IF(J78&gt;0,J85/J78-1,"")</f>
        <v>0.00917168243049593</v>
      </c>
      <c r="N85" s="15" t="n">
        <f aca="false">A85-$A$5</f>
        <v>80</v>
      </c>
      <c r="O85" s="17" t="n">
        <f aca="false">IF(J85&gt;0,LN(J85),"")</f>
        <v>7.31920245876785</v>
      </c>
      <c r="P85" s="15" t="n">
        <f aca="false">COUNTIF(Data!$A$2:$A$2797,A85)</f>
        <v>43</v>
      </c>
    </row>
    <row r="86" customFormat="false" ht="15" hidden="false" customHeight="false" outlineLevel="0" collapsed="false">
      <c r="A86" s="11" t="n">
        <f aca="false">A85+1</f>
        <v>43968</v>
      </c>
      <c r="B86" s="12" t="str">
        <f aca="false">CHOOSE(WEEKDAY(A86,2),"Mon","Tue","Wed","Thu","Fri","Sat","Sun")</f>
        <v>Sun</v>
      </c>
      <c r="C86" s="13" t="n">
        <f aca="false">SUMIFS(Data!$B$2:$B$2797,Data!$A$2:$A$2797,A86)</f>
        <v>1956</v>
      </c>
      <c r="D86" s="13" t="n">
        <f aca="false">SUMIFS(Data!$C$2:$C$2797,Data!$A$2:$A$2797,A86)</f>
        <v>30</v>
      </c>
      <c r="E86" s="13" t="n">
        <f aca="false">SUMIFS(Data!$D$2:$D$2797,Data!$A$2:$A$2797,A86)</f>
        <v>486</v>
      </c>
      <c r="F86" s="13" t="n">
        <f aca="false">SUM($C$5:C86)</f>
        <v>41538</v>
      </c>
      <c r="G86" s="13" t="n">
        <f aca="false">SUM($D$5:D86)</f>
        <v>854</v>
      </c>
      <c r="H86" s="13" t="n">
        <f aca="false">SUM($E$5:E86)</f>
        <v>6166</v>
      </c>
      <c r="I86" s="13" t="n">
        <f aca="false">F86-G86-H86</f>
        <v>34518</v>
      </c>
      <c r="J86" s="16" t="n">
        <f aca="false">AVERAGE(C80:C86)</f>
        <v>1579.42857142857</v>
      </c>
      <c r="K86" s="16" t="n">
        <f aca="false">AVERAGE(D80:D86)</f>
        <v>35.1428571428571</v>
      </c>
      <c r="L86" s="14" t="n">
        <f aca="false">IF(F86&gt;0,G86/F86,0)</f>
        <v>0.0205594876980115</v>
      </c>
      <c r="M86" s="18" t="n">
        <f aca="false">IF(J79&gt;0,J86/J79-1,"")</f>
        <v>0.0442009822440497</v>
      </c>
      <c r="N86" s="15" t="n">
        <f aca="false">A86-$A$5</f>
        <v>81</v>
      </c>
      <c r="O86" s="17" t="n">
        <f aca="false">IF(J86&gt;0,LN(J86),"")</f>
        <v>7.36481839695214</v>
      </c>
      <c r="P86" s="15" t="n">
        <f aca="false">COUNTIF(Data!$A$2:$A$2797,A86)</f>
        <v>45</v>
      </c>
    </row>
    <row r="87" customFormat="false" ht="15" hidden="false" customHeight="false" outlineLevel="0" collapsed="false">
      <c r="A87" s="11" t="n">
        <f aca="false">A86+1</f>
        <v>43969</v>
      </c>
      <c r="B87" s="12" t="str">
        <f aca="false">CHOOSE(WEEKDAY(A87,2),"Mon","Tue","Wed","Thu","Fri","Sat","Sun")</f>
        <v>Mon</v>
      </c>
      <c r="C87" s="13" t="n">
        <f aca="false">SUMIFS(Data!$B$2:$B$2797,Data!$A$2:$A$2797,A87)</f>
        <v>1800</v>
      </c>
      <c r="D87" s="13" t="n">
        <f aca="false">SUMIFS(Data!$C$2:$C$2797,Data!$A$2:$A$2797,A87)</f>
        <v>46</v>
      </c>
      <c r="E87" s="13" t="n">
        <f aca="false">SUMIFS(Data!$D$2:$D$2797,Data!$A$2:$A$2797,A87)</f>
        <v>954</v>
      </c>
      <c r="F87" s="13" t="n">
        <f aca="false">SUM($C$5:C87)</f>
        <v>43338</v>
      </c>
      <c r="G87" s="13" t="n">
        <f aca="false">SUM($D$5:D87)</f>
        <v>900</v>
      </c>
      <c r="H87" s="13" t="n">
        <f aca="false">SUM($E$5:E87)</f>
        <v>7120</v>
      </c>
      <c r="I87" s="13" t="n">
        <f aca="false">F87-G87-H87</f>
        <v>35318</v>
      </c>
      <c r="J87" s="16" t="n">
        <f aca="false">AVERAGE(C81:C87)</f>
        <v>1682.42857142857</v>
      </c>
      <c r="K87" s="16" t="n">
        <f aca="false">AVERAGE(D81:D87)</f>
        <v>36.2857142857143</v>
      </c>
      <c r="L87" s="14" t="n">
        <f aca="false">IF(F87&gt;0,G87/F87,0)</f>
        <v>0.0207669943236882</v>
      </c>
      <c r="M87" s="18" t="n">
        <f aca="false">IF(J80&gt;0,J87/J80-1,"")</f>
        <v>0.109467734338201</v>
      </c>
      <c r="N87" s="15" t="n">
        <f aca="false">A87-$A$5</f>
        <v>82</v>
      </c>
      <c r="O87" s="17" t="n">
        <f aca="false">IF(J87&gt;0,LN(J87),"")</f>
        <v>7.42799360678624</v>
      </c>
      <c r="P87" s="15" t="n">
        <f aca="false">COUNTIF(Data!$A$2:$A$2797,A87)</f>
        <v>69</v>
      </c>
    </row>
    <row r="88" customFormat="false" ht="15" hidden="false" customHeight="false" outlineLevel="0" collapsed="false">
      <c r="A88" s="11" t="n">
        <f aca="false">A87+1</f>
        <v>43970</v>
      </c>
      <c r="B88" s="12" t="str">
        <f aca="false">CHOOSE(WEEKDAY(A88,2),"Mon","Tue","Wed","Thu","Fri","Sat","Sun")</f>
        <v>Tue</v>
      </c>
      <c r="C88" s="13" t="n">
        <f aca="false">SUMIFS(Data!$B$2:$B$2797,Data!$A$2:$A$2797,A88)</f>
        <v>1874</v>
      </c>
      <c r="D88" s="13" t="n">
        <f aca="false">SUMIFS(Data!$C$2:$C$2797,Data!$A$2:$A$2797,A88)</f>
        <v>46</v>
      </c>
      <c r="E88" s="13" t="n">
        <f aca="false">SUMIFS(Data!$D$2:$D$2797,Data!$A$2:$A$2797,A88)</f>
        <v>597</v>
      </c>
      <c r="F88" s="13" t="n">
        <f aca="false">SUM($C$5:C88)</f>
        <v>45212</v>
      </c>
      <c r="G88" s="13" t="n">
        <f aca="false">SUM($D$5:D88)</f>
        <v>946</v>
      </c>
      <c r="H88" s="13" t="n">
        <f aca="false">SUM($E$5:E88)</f>
        <v>7717</v>
      </c>
      <c r="I88" s="13" t="n">
        <f aca="false">F88-G88-H88</f>
        <v>36549</v>
      </c>
      <c r="J88" s="16" t="n">
        <f aca="false">AVERAGE(C82:C88)</f>
        <v>1628.14285714286</v>
      </c>
      <c r="K88" s="16" t="n">
        <f aca="false">AVERAGE(D82:D88)</f>
        <v>37.2857142857143</v>
      </c>
      <c r="L88" s="14" t="n">
        <f aca="false">IF(F88&gt;0,G88/F88,0)</f>
        <v>0.0209236485888702</v>
      </c>
      <c r="M88" s="18" t="n">
        <f aca="false">IF(J81&gt;0,J88/J81-1,"")</f>
        <v>-0.0379030896505149</v>
      </c>
      <c r="N88" s="15" t="n">
        <f aca="false">A88-$A$5</f>
        <v>83</v>
      </c>
      <c r="O88" s="17" t="n">
        <f aca="false">IF(J88&gt;0,LN(J88),"")</f>
        <v>7.39519529280042</v>
      </c>
      <c r="P88" s="15" t="n">
        <f aca="false">COUNTIF(Data!$A$2:$A$2797,A88)</f>
        <v>67</v>
      </c>
    </row>
    <row r="89" customFormat="false" ht="15" hidden="false" customHeight="false" outlineLevel="0" collapsed="false">
      <c r="A89" s="11" t="n">
        <f aca="false">A88+1</f>
        <v>43971</v>
      </c>
      <c r="B89" s="12" t="str">
        <f aca="false">CHOOSE(WEEKDAY(A89,2),"Mon","Tue","Wed","Thu","Fri","Sat","Sun")</f>
        <v>Wed</v>
      </c>
      <c r="C89" s="13" t="n">
        <f aca="false">SUMIFS(Data!$B$2:$B$2797,Data!$A$2:$A$2797,A89)</f>
        <v>2115</v>
      </c>
      <c r="D89" s="13" t="n">
        <f aca="false">SUMIFS(Data!$C$2:$C$2797,Data!$A$2:$A$2797,A89)</f>
        <v>32</v>
      </c>
      <c r="E89" s="13" t="n">
        <f aca="false">SUMIFS(Data!$D$2:$D$2797,Data!$A$2:$A$2797,A89)</f>
        <v>1038</v>
      </c>
      <c r="F89" s="13" t="n">
        <f aca="false">SUM($C$5:C89)</f>
        <v>47327</v>
      </c>
      <c r="G89" s="13" t="n">
        <f aca="false">SUM($D$5:D89)</f>
        <v>978</v>
      </c>
      <c r="H89" s="13" t="n">
        <f aca="false">SUM($E$5:E89)</f>
        <v>8755</v>
      </c>
      <c r="I89" s="13" t="n">
        <f aca="false">F89-G89-H89</f>
        <v>37594</v>
      </c>
      <c r="J89" s="16" t="n">
        <f aca="false">AVERAGE(C83:C89)</f>
        <v>1725.85714285714</v>
      </c>
      <c r="K89" s="16" t="n">
        <f aca="false">AVERAGE(D83:D89)</f>
        <v>36.7142857142857</v>
      </c>
      <c r="L89" s="14" t="n">
        <f aca="false">IF(F89&gt;0,G89/F89,0)</f>
        <v>0.0206647368309844</v>
      </c>
      <c r="M89" s="18" t="n">
        <f aca="false">IF(J82&gt;0,J89/J82-1,"")</f>
        <v>0.052993985879892</v>
      </c>
      <c r="N89" s="15" t="n">
        <f aca="false">A89-$A$5</f>
        <v>84</v>
      </c>
      <c r="O89" s="17" t="n">
        <f aca="false">IF(J89&gt;0,LN(J89),"")</f>
        <v>7.45347910046425</v>
      </c>
      <c r="P89" s="15" t="n">
        <f aca="false">COUNTIF(Data!$A$2:$A$2797,A89)</f>
        <v>70</v>
      </c>
    </row>
    <row r="90" customFormat="false" ht="15" hidden="false" customHeight="false" outlineLevel="0" collapsed="false">
      <c r="A90" s="11" t="n">
        <f aca="false">A89+1</f>
        <v>43972</v>
      </c>
      <c r="B90" s="12" t="str">
        <f aca="false">CHOOSE(WEEKDAY(A90,2),"Mon","Tue","Wed","Thu","Fri","Sat","Sun")</f>
        <v>Thu</v>
      </c>
      <c r="C90" s="13" t="n">
        <f aca="false">SUMIFS(Data!$B$2:$B$2797,Data!$A$2:$A$2797,A90)</f>
        <v>2539</v>
      </c>
      <c r="D90" s="13" t="n">
        <f aca="false">SUMIFS(Data!$C$2:$C$2797,Data!$A$2:$A$2797,A90)</f>
        <v>43</v>
      </c>
      <c r="E90" s="13" t="n">
        <f aca="false">SUMIFS(Data!$D$2:$D$2797,Data!$A$2:$A$2797,A90)</f>
        <v>1014</v>
      </c>
      <c r="F90" s="13" t="n">
        <f aca="false">SUM($C$5:C90)</f>
        <v>49866</v>
      </c>
      <c r="G90" s="13" t="n">
        <f aca="false">SUM($D$5:D90)</f>
        <v>1021</v>
      </c>
      <c r="H90" s="13" t="n">
        <f aca="false">SUM($E$5:E90)</f>
        <v>9769</v>
      </c>
      <c r="I90" s="13" t="n">
        <f aca="false">F90-G90-H90</f>
        <v>39076</v>
      </c>
      <c r="J90" s="16" t="n">
        <f aca="false">AVERAGE(C84:C90)</f>
        <v>1881.57142857143</v>
      </c>
      <c r="K90" s="16" t="n">
        <f aca="false">AVERAGE(D84:D90)</f>
        <v>38.1428571428571</v>
      </c>
      <c r="L90" s="14" t="n">
        <f aca="false">IF(F90&gt;0,G90/F90,0)</f>
        <v>0.0204748726587254</v>
      </c>
      <c r="M90" s="18" t="n">
        <f aca="false">IF(J83&gt;0,J90/J83-1,"")</f>
        <v>0.0922132846836388</v>
      </c>
      <c r="N90" s="15" t="n">
        <f aca="false">A90-$A$5</f>
        <v>85</v>
      </c>
      <c r="O90" s="17" t="n">
        <f aca="false">IF(J90&gt;0,LN(J90),"")</f>
        <v>7.53986257294373</v>
      </c>
      <c r="P90" s="15" t="n">
        <f aca="false">COUNTIF(Data!$A$2:$A$2797,A90)</f>
        <v>67</v>
      </c>
    </row>
    <row r="91" customFormat="false" ht="15" hidden="false" customHeight="false" outlineLevel="0" collapsed="false">
      <c r="A91" s="11" t="n">
        <f aca="false">A90+1</f>
        <v>43973</v>
      </c>
      <c r="B91" s="12" t="str">
        <f aca="false">CHOOSE(WEEKDAY(A91,2),"Mon","Tue","Wed","Thu","Fri","Sat","Sun")</f>
        <v>Fri</v>
      </c>
      <c r="C91" s="13" t="n">
        <f aca="false">SUMIFS(Data!$B$2:$B$2797,Data!$A$2:$A$2797,A91)</f>
        <v>1728</v>
      </c>
      <c r="D91" s="13" t="n">
        <f aca="false">SUMIFS(Data!$C$2:$C$2797,Data!$A$2:$A$2797,A91)</f>
        <v>34</v>
      </c>
      <c r="E91" s="13" t="n">
        <f aca="false">SUMIFS(Data!$D$2:$D$2797,Data!$A$2:$A$2797,A91)</f>
        <v>1438</v>
      </c>
      <c r="F91" s="13" t="n">
        <f aca="false">SUM($C$5:C91)</f>
        <v>51594</v>
      </c>
      <c r="G91" s="13" t="n">
        <f aca="false">SUM($D$5:D91)</f>
        <v>1055</v>
      </c>
      <c r="H91" s="13" t="n">
        <f aca="false">SUM($E$5:E91)</f>
        <v>11207</v>
      </c>
      <c r="I91" s="13" t="n">
        <f aca="false">F91-G91-H91</f>
        <v>39332</v>
      </c>
      <c r="J91" s="16" t="n">
        <f aca="false">AVERAGE(C85:C91)</f>
        <v>1912</v>
      </c>
      <c r="K91" s="16" t="n">
        <f aca="false">AVERAGE(D85:D91)</f>
        <v>38.5714285714286</v>
      </c>
      <c r="L91" s="14" t="n">
        <f aca="false">IF(F91&gt;0,G91/F91,0)</f>
        <v>0.0204481141217971</v>
      </c>
      <c r="M91" s="18" t="n">
        <f aca="false">IF(J84&gt;0,J91/J84-1,"")</f>
        <v>0.139548744146445</v>
      </c>
      <c r="N91" s="15" t="n">
        <f aca="false">A91-$A$5</f>
        <v>86</v>
      </c>
      <c r="O91" s="17" t="n">
        <f aca="false">IF(J91&gt;0,LN(J91),"")</f>
        <v>7.55590509361135</v>
      </c>
      <c r="P91" s="15" t="n">
        <f aca="false">COUNTIF(Data!$A$2:$A$2797,A91)</f>
        <v>68</v>
      </c>
    </row>
    <row r="92" customFormat="false" ht="15" hidden="false" customHeight="false" outlineLevel="0" collapsed="false">
      <c r="A92" s="11" t="n">
        <f aca="false">A91+1</f>
        <v>43974</v>
      </c>
      <c r="B92" s="12" t="str">
        <f aca="false">CHOOSE(WEEKDAY(A92,2),"Mon","Tue","Wed","Thu","Fri","Sat","Sun")</f>
        <v>Sat</v>
      </c>
      <c r="C92" s="13" t="n">
        <f aca="false">SUMIFS(Data!$B$2:$B$2797,Data!$A$2:$A$2797,A92)</f>
        <v>2060</v>
      </c>
      <c r="D92" s="13" t="n">
        <f aca="false">SUMIFS(Data!$C$2:$C$2797,Data!$A$2:$A$2797,A92)</f>
        <v>32</v>
      </c>
      <c r="E92" s="13" t="n">
        <f aca="false">SUMIFS(Data!$D$2:$D$2797,Data!$A$2:$A$2797,A92)</f>
        <v>539</v>
      </c>
      <c r="F92" s="13" t="n">
        <f aca="false">SUM($C$5:C92)</f>
        <v>53654</v>
      </c>
      <c r="G92" s="13" t="n">
        <f aca="false">SUM($D$5:D92)</f>
        <v>1087</v>
      </c>
      <c r="H92" s="13" t="n">
        <f aca="false">SUM($E$5:E92)</f>
        <v>11746</v>
      </c>
      <c r="I92" s="13" t="n">
        <f aca="false">F92-G92-H92</f>
        <v>40821</v>
      </c>
      <c r="J92" s="16" t="n">
        <f aca="false">AVERAGE(C86:C92)</f>
        <v>2010.28571428571</v>
      </c>
      <c r="K92" s="16" t="n">
        <f aca="false">AVERAGE(D86:D92)</f>
        <v>37.5714285714286</v>
      </c>
      <c r="L92" s="14" t="n">
        <f aca="false">IF(F92&gt;0,G92/F92,0)</f>
        <v>0.0202594401163007</v>
      </c>
      <c r="M92" s="18" t="n">
        <f aca="false">IF(J85&gt;0,J92/J85-1,"")</f>
        <v>0.332197292435861</v>
      </c>
      <c r="N92" s="15" t="n">
        <f aca="false">A92-$A$5</f>
        <v>87</v>
      </c>
      <c r="O92" s="17" t="n">
        <f aca="false">IF(J92&gt;0,LN(J92),"")</f>
        <v>7.60603213736208</v>
      </c>
      <c r="P92" s="15" t="n">
        <f aca="false">COUNTIF(Data!$A$2:$A$2797,A92)</f>
        <v>69</v>
      </c>
    </row>
    <row r="93" customFormat="false" ht="15" hidden="false" customHeight="false" outlineLevel="0" collapsed="false">
      <c r="A93" s="11" t="n">
        <f aca="false">A92+1</f>
        <v>43975</v>
      </c>
      <c r="B93" s="12" t="str">
        <f aca="false">CHOOSE(WEEKDAY(A93,2),"Mon","Tue","Wed","Thu","Fri","Sat","Sun")</f>
        <v>Sun</v>
      </c>
      <c r="C93" s="13" t="n">
        <f aca="false">SUMIFS(Data!$B$2:$B$2797,Data!$A$2:$A$2797,A93)</f>
        <v>1744</v>
      </c>
      <c r="D93" s="13" t="n">
        <f aca="false">SUMIFS(Data!$C$2:$C$2797,Data!$A$2:$A$2797,A93)</f>
        <v>34</v>
      </c>
      <c r="E93" s="13" t="n">
        <f aca="false">SUMIFS(Data!$D$2:$D$2797,Data!$A$2:$A$2797,A93)</f>
        <v>282</v>
      </c>
      <c r="F93" s="13" t="n">
        <f aca="false">SUM($C$5:C93)</f>
        <v>55398</v>
      </c>
      <c r="G93" s="13" t="n">
        <f aca="false">SUM($D$5:D93)</f>
        <v>1121</v>
      </c>
      <c r="H93" s="13" t="n">
        <f aca="false">SUM($E$5:E93)</f>
        <v>12028</v>
      </c>
      <c r="I93" s="13" t="n">
        <f aca="false">F93-G93-H93</f>
        <v>42249</v>
      </c>
      <c r="J93" s="16" t="n">
        <f aca="false">AVERAGE(C87:C93)</f>
        <v>1980</v>
      </c>
      <c r="K93" s="16" t="n">
        <f aca="false">AVERAGE(D87:D93)</f>
        <v>38.1428571428571</v>
      </c>
      <c r="L93" s="14" t="n">
        <f aca="false">IF(F93&gt;0,G93/F93,0)</f>
        <v>0.0202353875591177</v>
      </c>
      <c r="M93" s="18" t="n">
        <f aca="false">IF(J86&gt;0,J93/J86-1,"")</f>
        <v>0.253617945007236</v>
      </c>
      <c r="N93" s="15" t="n">
        <f aca="false">A93-$A$5</f>
        <v>88</v>
      </c>
      <c r="O93" s="17" t="n">
        <f aca="false">IF(J93&gt;0,LN(J93),"")</f>
        <v>7.59085212368858</v>
      </c>
      <c r="P93" s="15" t="n">
        <f aca="false">COUNTIF(Data!$A$2:$A$2797,A93)</f>
        <v>43</v>
      </c>
    </row>
    <row r="94" customFormat="false" ht="15" hidden="false" customHeight="false" outlineLevel="0" collapsed="false">
      <c r="A94" s="11" t="n">
        <f aca="false">A93+1</f>
        <v>43976</v>
      </c>
      <c r="B94" s="12" t="str">
        <f aca="false">CHOOSE(WEEKDAY(A94,2),"Mon","Tue","Wed","Thu","Fri","Sat","Sun")</f>
        <v>Mon</v>
      </c>
      <c r="C94" s="13" t="n">
        <f aca="false">SUMIFS(Data!$B$2:$B$2797,Data!$A$2:$A$2797,A94)</f>
        <v>1356</v>
      </c>
      <c r="D94" s="13" t="n">
        <f aca="false">SUMIFS(Data!$C$2:$C$2797,Data!$A$2:$A$2797,A94)</f>
        <v>30</v>
      </c>
      <c r="E94" s="13" t="n">
        <f aca="false">SUMIFS(Data!$D$2:$D$2797,Data!$A$2:$A$2797,A94)</f>
        <v>830</v>
      </c>
      <c r="F94" s="13" t="n">
        <f aca="false">SUM($C$5:C94)</f>
        <v>56754</v>
      </c>
      <c r="G94" s="13" t="n">
        <f aca="false">SUM($D$5:D94)</f>
        <v>1151</v>
      </c>
      <c r="H94" s="13" t="n">
        <f aca="false">SUM($E$5:E94)</f>
        <v>12858</v>
      </c>
      <c r="I94" s="13" t="n">
        <f aca="false">F94-G94-H94</f>
        <v>42745</v>
      </c>
      <c r="J94" s="16" t="n">
        <f aca="false">AVERAGE(C88:C94)</f>
        <v>1916.57142857143</v>
      </c>
      <c r="K94" s="16" t="n">
        <f aca="false">AVERAGE(D88:D94)</f>
        <v>35.8571428571429</v>
      </c>
      <c r="L94" s="14" t="n">
        <f aca="false">IF(F94&gt;0,G94/F94,0)</f>
        <v>0.0202805088628114</v>
      </c>
      <c r="M94" s="18" t="n">
        <f aca="false">IF(J87&gt;0,J94/J87-1,"")</f>
        <v>0.139169567801647</v>
      </c>
      <c r="N94" s="15" t="n">
        <f aca="false">A94-$A$5</f>
        <v>89</v>
      </c>
      <c r="O94" s="17" t="n">
        <f aca="false">IF(J94&gt;0,LN(J94),"")</f>
        <v>7.55829315444773</v>
      </c>
      <c r="P94" s="15" t="n">
        <f aca="false">COUNTIF(Data!$A$2:$A$2797,A94)</f>
        <v>46</v>
      </c>
    </row>
    <row r="95" customFormat="false" ht="15" hidden="false" customHeight="false" outlineLevel="0" collapsed="false">
      <c r="A95" s="11" t="n">
        <f aca="false">A94+1</f>
        <v>43977</v>
      </c>
      <c r="B95" s="12" t="str">
        <f aca="false">CHOOSE(WEEKDAY(A95,2),"Mon","Tue","Wed","Thu","Fri","Sat","Sun")</f>
        <v>Tue</v>
      </c>
      <c r="C95" s="13" t="n">
        <f aca="false">SUMIFS(Data!$B$2:$B$2797,Data!$A$2:$A$2797,A95)</f>
        <v>1440</v>
      </c>
      <c r="D95" s="13" t="n">
        <f aca="false">SUMIFS(Data!$C$2:$C$2797,Data!$A$2:$A$2797,A95)</f>
        <v>27</v>
      </c>
      <c r="E95" s="13" t="n">
        <f aca="false">SUMIFS(Data!$D$2:$D$2797,Data!$A$2:$A$2797,A95)</f>
        <v>824</v>
      </c>
      <c r="F95" s="13" t="n">
        <f aca="false">SUM($C$5:C95)</f>
        <v>58194</v>
      </c>
      <c r="G95" s="13" t="n">
        <f aca="false">SUM($D$5:D95)</f>
        <v>1178</v>
      </c>
      <c r="H95" s="13" t="n">
        <f aca="false">SUM($E$5:E95)</f>
        <v>13682</v>
      </c>
      <c r="I95" s="13" t="n">
        <f aca="false">F95-G95-H95</f>
        <v>43334</v>
      </c>
      <c r="J95" s="16" t="n">
        <f aca="false">AVERAGE(C89:C95)</f>
        <v>1854.57142857143</v>
      </c>
      <c r="K95" s="16" t="n">
        <f aca="false">AVERAGE(D89:D95)</f>
        <v>33.1428571428571</v>
      </c>
      <c r="L95" s="14" t="n">
        <f aca="false">IF(F95&gt;0,G95/F95,0)</f>
        <v>0.0202426366979414</v>
      </c>
      <c r="M95" s="18" t="n">
        <f aca="false">IF(J88&gt;0,J95/J88-1,"")</f>
        <v>0.13907168553128</v>
      </c>
      <c r="N95" s="15" t="n">
        <f aca="false">A95-$A$5</f>
        <v>90</v>
      </c>
      <c r="O95" s="17" t="n">
        <f aca="false">IF(J95&gt;0,LN(J95),"")</f>
        <v>7.5254089125381</v>
      </c>
      <c r="P95" s="15" t="n">
        <f aca="false">COUNTIF(Data!$A$2:$A$2797,A95)</f>
        <v>45</v>
      </c>
    </row>
    <row r="96" customFormat="false" ht="15" hidden="false" customHeight="false" outlineLevel="0" collapsed="false">
      <c r="A96" s="11" t="n">
        <f aca="false">A95+1</f>
        <v>43978</v>
      </c>
      <c r="B96" s="12" t="str">
        <f aca="false">CHOOSE(WEEKDAY(A96,2),"Mon","Tue","Wed","Thu","Fri","Sat","Sun")</f>
        <v>Wed</v>
      </c>
      <c r="C96" s="13" t="n">
        <f aca="false">SUMIFS(Data!$B$2:$B$2797,Data!$A$2:$A$2797,A96)</f>
        <v>2173</v>
      </c>
      <c r="D96" s="13" t="n">
        <f aca="false">SUMIFS(Data!$C$2:$C$2797,Data!$A$2:$A$2797,A96)</f>
        <v>36</v>
      </c>
      <c r="E96" s="13" t="n">
        <f aca="false">SUMIFS(Data!$D$2:$D$2797,Data!$A$2:$A$2797,A96)</f>
        <v>1065</v>
      </c>
      <c r="F96" s="13" t="n">
        <f aca="false">SUM($C$5:C96)</f>
        <v>60367</v>
      </c>
      <c r="G96" s="13" t="n">
        <f aca="false">SUM($D$5:D96)</f>
        <v>1214</v>
      </c>
      <c r="H96" s="13" t="n">
        <f aca="false">SUM($E$5:E96)</f>
        <v>14747</v>
      </c>
      <c r="I96" s="13" t="n">
        <f aca="false">F96-G96-H96</f>
        <v>44406</v>
      </c>
      <c r="J96" s="16" t="n">
        <f aca="false">AVERAGE(C90:C96)</f>
        <v>1862.85714285714</v>
      </c>
      <c r="K96" s="16" t="n">
        <f aca="false">AVERAGE(D90:D96)</f>
        <v>33.7142857142857</v>
      </c>
      <c r="L96" s="14" t="n">
        <f aca="false">IF(F96&gt;0,G96/F96,0)</f>
        <v>0.0201103251776633</v>
      </c>
      <c r="M96" s="18" t="n">
        <f aca="false">IF(J89&gt;0,J96/J89-1,"")</f>
        <v>0.0793808459564607</v>
      </c>
      <c r="N96" s="15" t="n">
        <f aca="false">A96-$A$5</f>
        <v>91</v>
      </c>
      <c r="O96" s="17" t="n">
        <f aca="false">IF(J96&gt;0,LN(J96),"")</f>
        <v>7.52986668642533</v>
      </c>
      <c r="P96" s="15" t="n">
        <f aca="false">COUNTIF(Data!$A$2:$A$2797,A96)</f>
        <v>40</v>
      </c>
    </row>
    <row r="97" customFormat="false" ht="15" hidden="false" customHeight="false" outlineLevel="0" collapsed="false">
      <c r="A97" s="11" t="n">
        <f aca="false">A96+1</f>
        <v>43979</v>
      </c>
      <c r="B97" s="12" t="str">
        <f aca="false">CHOOSE(WEEKDAY(A97,2),"Mon","Tue","Wed","Thu","Fri","Sat","Sun")</f>
        <v>Thu</v>
      </c>
      <c r="C97" s="13" t="n">
        <f aca="false">SUMIFS(Data!$B$2:$B$2797,Data!$A$2:$A$2797,A97)</f>
        <v>2562</v>
      </c>
      <c r="D97" s="13" t="n">
        <f aca="false">SUMIFS(Data!$C$2:$C$2797,Data!$A$2:$A$2797,A97)</f>
        <v>59</v>
      </c>
      <c r="E97" s="13" t="n">
        <f aca="false">SUMIFS(Data!$D$2:$D$2797,Data!$A$2:$A$2797,A97)</f>
        <v>2072</v>
      </c>
      <c r="F97" s="13" t="n">
        <f aca="false">SUM($C$5:C97)</f>
        <v>62929</v>
      </c>
      <c r="G97" s="13" t="n">
        <f aca="false">SUM($D$5:D97)</f>
        <v>1273</v>
      </c>
      <c r="H97" s="13" t="n">
        <f aca="false">SUM($E$5:E97)</f>
        <v>16819</v>
      </c>
      <c r="I97" s="13" t="n">
        <f aca="false">F97-G97-H97</f>
        <v>44837</v>
      </c>
      <c r="J97" s="16" t="n">
        <f aca="false">AVERAGE(C91:C97)</f>
        <v>1866.14285714286</v>
      </c>
      <c r="K97" s="16" t="n">
        <f aca="false">AVERAGE(D91:D97)</f>
        <v>36</v>
      </c>
      <c r="L97" s="14" t="n">
        <f aca="false">IF(F97&gt;0,G97/F97,0)</f>
        <v>0.0202291471340717</v>
      </c>
      <c r="M97" s="18" t="n">
        <f aca="false">IF(J90&gt;0,J97/J90-1,"")</f>
        <v>-0.00819983296636562</v>
      </c>
      <c r="N97" s="15" t="n">
        <f aca="false">A97-$A$5</f>
        <v>92</v>
      </c>
      <c r="O97" s="17" t="n">
        <f aca="false">IF(J97&gt;0,LN(J97),"")</f>
        <v>7.53162893643125</v>
      </c>
      <c r="P97" s="15" t="n">
        <f aca="false">COUNTIF(Data!$A$2:$A$2797,A97)</f>
        <v>64</v>
      </c>
    </row>
    <row r="98" customFormat="false" ht="15" hidden="false" customHeight="false" outlineLevel="0" collapsed="false">
      <c r="A98" s="11" t="n">
        <f aca="false">A97+1</f>
        <v>43980</v>
      </c>
      <c r="B98" s="12" t="str">
        <f aca="false">CHOOSE(WEEKDAY(A98,2),"Mon","Tue","Wed","Thu","Fri","Sat","Sun")</f>
        <v>Fri</v>
      </c>
      <c r="C98" s="13" t="n">
        <f aca="false">SUMIFS(Data!$B$2:$B$2797,Data!$A$2:$A$2797,A98)</f>
        <v>2426</v>
      </c>
      <c r="D98" s="13" t="n">
        <f aca="false">SUMIFS(Data!$C$2:$C$2797,Data!$A$2:$A$2797,A98)</f>
        <v>78</v>
      </c>
      <c r="E98" s="13" t="n">
        <f aca="false">SUMIFS(Data!$D$2:$D$2797,Data!$A$2:$A$2797,A98)</f>
        <v>1824</v>
      </c>
      <c r="F98" s="13" t="n">
        <f aca="false">SUM($C$5:C98)</f>
        <v>65355</v>
      </c>
      <c r="G98" s="13" t="n">
        <f aca="false">SUM($D$5:D98)</f>
        <v>1351</v>
      </c>
      <c r="H98" s="13" t="n">
        <f aca="false">SUM($E$5:E98)</f>
        <v>18643</v>
      </c>
      <c r="I98" s="13" t="n">
        <f aca="false">F98-G98-H98</f>
        <v>45361</v>
      </c>
      <c r="J98" s="16" t="n">
        <f aca="false">AVERAGE(C92:C98)</f>
        <v>1965.85714285714</v>
      </c>
      <c r="K98" s="16" t="n">
        <f aca="false">AVERAGE(D92:D98)</f>
        <v>42.2857142857143</v>
      </c>
      <c r="L98" s="14" t="n">
        <f aca="false">IF(F98&gt;0,G98/F98,0)</f>
        <v>0.0206717160125469</v>
      </c>
      <c r="M98" s="18" t="n">
        <f aca="false">IF(J91&gt;0,J98/J91-1,"")</f>
        <v>0.0281679617453676</v>
      </c>
      <c r="N98" s="15" t="n">
        <f aca="false">A98-$A$5</f>
        <v>93</v>
      </c>
      <c r="O98" s="17" t="n">
        <f aca="false">IF(J98&gt;0,LN(J98),"")</f>
        <v>7.58368363420997</v>
      </c>
      <c r="P98" s="15" t="n">
        <f aca="false">COUNTIF(Data!$A$2:$A$2797,A98)</f>
        <v>69</v>
      </c>
    </row>
    <row r="99" customFormat="false" ht="15" hidden="false" customHeight="false" outlineLevel="0" collapsed="false">
      <c r="A99" s="11" t="n">
        <f aca="false">A98+1</f>
        <v>43981</v>
      </c>
      <c r="B99" s="12" t="str">
        <f aca="false">CHOOSE(WEEKDAY(A99,2),"Mon","Tue","Wed","Thu","Fri","Sat","Sun")</f>
        <v>Sat</v>
      </c>
      <c r="C99" s="13" t="n">
        <f aca="false">SUMIFS(Data!$B$2:$B$2797,Data!$A$2:$A$2797,A99)</f>
        <v>2956</v>
      </c>
      <c r="D99" s="13" t="n">
        <f aca="false">SUMIFS(Data!$C$2:$C$2797,Data!$A$2:$A$2797,A99)</f>
        <v>88</v>
      </c>
      <c r="E99" s="13" t="n">
        <f aca="false">SUMIFS(Data!$D$2:$D$2797,Data!$A$2:$A$2797,A99)</f>
        <v>1138</v>
      </c>
      <c r="F99" s="13" t="n">
        <f aca="false">SUM($C$5:C99)</f>
        <v>68311</v>
      </c>
      <c r="G99" s="13" t="n">
        <f aca="false">SUM($D$5:D99)</f>
        <v>1439</v>
      </c>
      <c r="H99" s="13" t="n">
        <f aca="false">SUM($E$5:E99)</f>
        <v>19781</v>
      </c>
      <c r="I99" s="13" t="n">
        <f aca="false">F99-G99-H99</f>
        <v>47091</v>
      </c>
      <c r="J99" s="16" t="n">
        <f aca="false">AVERAGE(C93:C99)</f>
        <v>2093.85714285714</v>
      </c>
      <c r="K99" s="16" t="n">
        <f aca="false">AVERAGE(D93:D99)</f>
        <v>50.2857142857143</v>
      </c>
      <c r="L99" s="14" t="n">
        <f aca="false">IF(F99&gt;0,G99/F99,0)</f>
        <v>0.0210654213816223</v>
      </c>
      <c r="M99" s="18" t="n">
        <f aca="false">IF(J92&gt;0,J99/J92-1,"")</f>
        <v>0.0415719158612848</v>
      </c>
      <c r="N99" s="15" t="n">
        <f aca="false">A99-$A$5</f>
        <v>94</v>
      </c>
      <c r="O99" s="17" t="n">
        <f aca="false">IF(J99&gt;0,LN(J99),"")</f>
        <v>7.64676316697199</v>
      </c>
      <c r="P99" s="15" t="n">
        <f aca="false">COUNTIF(Data!$A$2:$A$2797,A99)</f>
        <v>72</v>
      </c>
    </row>
    <row r="100" customFormat="false" ht="15" hidden="false" customHeight="false" outlineLevel="0" collapsed="false">
      <c r="A100" s="11" t="n">
        <f aca="false">A99+1</f>
        <v>43982</v>
      </c>
      <c r="B100" s="12" t="str">
        <f aca="false">CHOOSE(WEEKDAY(A100,2),"Mon","Tue","Wed","Thu","Fri","Sat","Sun")</f>
        <v>Sun</v>
      </c>
      <c r="C100" s="13" t="n">
        <f aca="false">SUMIFS(Data!$B$2:$B$2797,Data!$A$2:$A$2797,A100)</f>
        <v>2883</v>
      </c>
      <c r="D100" s="13" t="n">
        <f aca="false">SUMIFS(Data!$C$2:$C$2797,Data!$A$2:$A$2797,A100)</f>
        <v>60</v>
      </c>
      <c r="E100" s="13" t="n">
        <f aca="false">SUMIFS(Data!$D$2:$D$2797,Data!$A$2:$A$2797,A100)</f>
        <v>809</v>
      </c>
      <c r="F100" s="13" t="n">
        <f aca="false">SUM($C$5:C100)</f>
        <v>71194</v>
      </c>
      <c r="G100" s="13" t="n">
        <f aca="false">SUM($D$5:D100)</f>
        <v>1499</v>
      </c>
      <c r="H100" s="13" t="n">
        <f aca="false">SUM($E$5:E100)</f>
        <v>20590</v>
      </c>
      <c r="I100" s="13" t="n">
        <f aca="false">F100-G100-H100</f>
        <v>49105</v>
      </c>
      <c r="J100" s="16" t="n">
        <f aca="false">AVERAGE(C94:C100)</f>
        <v>2256.57142857143</v>
      </c>
      <c r="K100" s="16" t="n">
        <f aca="false">AVERAGE(D94:D100)</f>
        <v>54</v>
      </c>
      <c r="L100" s="14" t="n">
        <f aca="false">IF(F100&gt;0,G100/F100,0)</f>
        <v>0.0210551450964969</v>
      </c>
      <c r="M100" s="18" t="n">
        <f aca="false">IF(J93&gt;0,J100/J93-1,"")</f>
        <v>0.13968253968254</v>
      </c>
      <c r="N100" s="15" t="n">
        <f aca="false">A100-$A$5</f>
        <v>95</v>
      </c>
      <c r="O100" s="17" t="n">
        <f aca="false">IF(J100&gt;0,LN(J100),"")</f>
        <v>7.72160187335123</v>
      </c>
      <c r="P100" s="15" t="n">
        <f aca="false">COUNTIF(Data!$A$2:$A$2797,A100)</f>
        <v>44</v>
      </c>
    </row>
    <row r="101" customFormat="false" ht="15" hidden="false" customHeight="false" outlineLevel="0" collapsed="false">
      <c r="A101" s="11" t="n">
        <f aca="false">A100+1</f>
        <v>43983</v>
      </c>
      <c r="B101" s="12" t="str">
        <f aca="false">CHOOSE(WEEKDAY(A101,2),"Mon","Tue","Wed","Thu","Fri","Sat","Sun")</f>
        <v>Mon</v>
      </c>
      <c r="C101" s="13" t="n">
        <f aca="false">SUMIFS(Data!$B$2:$B$2797,Data!$A$2:$A$2797,A101)</f>
        <v>3872</v>
      </c>
      <c r="D101" s="13" t="n">
        <f aca="false">SUMIFS(Data!$C$2:$C$2797,Data!$A$2:$A$2797,A101)</f>
        <v>78</v>
      </c>
      <c r="E101" s="13" t="n">
        <f aca="false">SUMIFS(Data!$D$2:$D$2797,Data!$A$2:$A$2797,A101)</f>
        <v>1027</v>
      </c>
      <c r="F101" s="13" t="n">
        <f aca="false">SUM($C$5:C101)</f>
        <v>75066</v>
      </c>
      <c r="G101" s="13" t="n">
        <f aca="false">SUM($D$5:D101)</f>
        <v>1577</v>
      </c>
      <c r="H101" s="13" t="n">
        <f aca="false">SUM($E$5:E101)</f>
        <v>21617</v>
      </c>
      <c r="I101" s="13" t="n">
        <f aca="false">F101-G101-H101</f>
        <v>51872</v>
      </c>
      <c r="J101" s="16" t="n">
        <f aca="false">AVERAGE(C95:C101)</f>
        <v>2616</v>
      </c>
      <c r="K101" s="16" t="n">
        <f aca="false">AVERAGE(D95:D101)</f>
        <v>60.8571428571429</v>
      </c>
      <c r="L101" s="14" t="n">
        <f aca="false">IF(F101&gt;0,G101/F101,0)</f>
        <v>0.0210081794687342</v>
      </c>
      <c r="M101" s="18" t="n">
        <f aca="false">IF(J94&gt;0,J101/J94-1,"")</f>
        <v>0.364937388193202</v>
      </c>
      <c r="N101" s="15" t="n">
        <f aca="false">A101-$A$5</f>
        <v>96</v>
      </c>
      <c r="O101" s="17" t="n">
        <f aca="false">IF(J101&gt;0,LN(J101),"")</f>
        <v>7.86940171257709</v>
      </c>
      <c r="P101" s="15" t="n">
        <f aca="false">COUNTIF(Data!$A$2:$A$2797,A101)</f>
        <v>46</v>
      </c>
    </row>
    <row r="102" customFormat="false" ht="15" hidden="false" customHeight="false" outlineLevel="0" collapsed="false">
      <c r="A102" s="11" t="n">
        <f aca="false">A101+1</f>
        <v>43984</v>
      </c>
      <c r="B102" s="12" t="str">
        <f aca="false">CHOOSE(WEEKDAY(A102,2),"Mon","Tue","Wed","Thu","Fri","Sat","Sun")</f>
        <v>Tue</v>
      </c>
      <c r="C102" s="13" t="n">
        <f aca="false">SUMIFS(Data!$B$2:$B$2797,Data!$A$2:$A$2797,A102)</f>
        <v>4242</v>
      </c>
      <c r="D102" s="13" t="n">
        <f aca="false">SUMIFS(Data!$C$2:$C$2797,Data!$A$2:$A$2797,A102)</f>
        <v>69</v>
      </c>
      <c r="E102" s="13" t="n">
        <f aca="false">SUMIFS(Data!$D$2:$D$2797,Data!$A$2:$A$2797,A102)</f>
        <v>1931</v>
      </c>
      <c r="F102" s="13" t="n">
        <f aca="false">SUM($C$5:C102)</f>
        <v>79308</v>
      </c>
      <c r="G102" s="13" t="n">
        <f aca="false">SUM($D$5:D102)</f>
        <v>1646</v>
      </c>
      <c r="H102" s="13" t="n">
        <f aca="false">SUM($E$5:E102)</f>
        <v>23548</v>
      </c>
      <c r="I102" s="13" t="n">
        <f aca="false">F102-G102-H102</f>
        <v>54114</v>
      </c>
      <c r="J102" s="16" t="n">
        <f aca="false">AVERAGE(C96:C102)</f>
        <v>3016.28571428571</v>
      </c>
      <c r="K102" s="16" t="n">
        <f aca="false">AVERAGE(D96:D102)</f>
        <v>66.8571428571429</v>
      </c>
      <c r="L102" s="14" t="n">
        <f aca="false">IF(F102&gt;0,G102/F102,0)</f>
        <v>0.0207545266555707</v>
      </c>
      <c r="M102" s="18" t="n">
        <f aca="false">IF(J95&gt;0,J102/J95-1,"")</f>
        <v>0.626405792635957</v>
      </c>
      <c r="N102" s="15" t="n">
        <f aca="false">A102-$A$5</f>
        <v>97</v>
      </c>
      <c r="O102" s="17" t="n">
        <f aca="false">IF(J102&gt;0,LN(J102),"")</f>
        <v>8.01178145749433</v>
      </c>
      <c r="P102" s="15" t="n">
        <f aca="false">COUNTIF(Data!$A$2:$A$2797,A102)</f>
        <v>71</v>
      </c>
    </row>
    <row r="103" customFormat="false" ht="15" hidden="false" customHeight="false" outlineLevel="0" collapsed="false">
      <c r="A103" s="11" t="n">
        <f aca="false">A102+1</f>
        <v>43985</v>
      </c>
      <c r="B103" s="12" t="str">
        <f aca="false">CHOOSE(WEEKDAY(A103,2),"Mon","Tue","Wed","Thu","Fri","Sat","Sun")</f>
        <v>Wed</v>
      </c>
      <c r="C103" s="13" t="n">
        <f aca="false">SUMIFS(Data!$B$2:$B$2797,Data!$A$2:$A$2797,A103)</f>
        <v>4677</v>
      </c>
      <c r="D103" s="13" t="n">
        <f aca="false">SUMIFS(Data!$C$2:$C$2797,Data!$A$2:$A$2797,A103)</f>
        <v>82</v>
      </c>
      <c r="E103" s="13" t="n">
        <f aca="false">SUMIFS(Data!$D$2:$D$2797,Data!$A$2:$A$2797,A103)</f>
        <v>1205</v>
      </c>
      <c r="F103" s="13" t="n">
        <f aca="false">SUM($C$5:C103)</f>
        <v>83985</v>
      </c>
      <c r="G103" s="13" t="n">
        <f aca="false">SUM($D$5:D103)</f>
        <v>1728</v>
      </c>
      <c r="H103" s="13" t="n">
        <f aca="false">SUM($E$5:E103)</f>
        <v>24753</v>
      </c>
      <c r="I103" s="13" t="n">
        <f aca="false">F103-G103-H103</f>
        <v>57504</v>
      </c>
      <c r="J103" s="16" t="n">
        <f aca="false">AVERAGE(C97:C103)</f>
        <v>3374</v>
      </c>
      <c r="K103" s="16" t="n">
        <f aca="false">AVERAGE(D97:D103)</f>
        <v>73.4285714285714</v>
      </c>
      <c r="L103" s="14" t="n">
        <f aca="false">IF(F103&gt;0,G103/F103,0)</f>
        <v>0.0205751026969102</v>
      </c>
      <c r="M103" s="18" t="n">
        <f aca="false">IF(J96&gt;0,J103/J96-1,"")</f>
        <v>0.811196319018405</v>
      </c>
      <c r="N103" s="15" t="n">
        <f aca="false">A103-$A$5</f>
        <v>98</v>
      </c>
      <c r="O103" s="17" t="n">
        <f aca="false">IF(J103&gt;0,LN(J103),"")</f>
        <v>8.12385426310591</v>
      </c>
      <c r="P103" s="15" t="n">
        <f aca="false">COUNTIF(Data!$A$2:$A$2797,A103)</f>
        <v>70</v>
      </c>
    </row>
    <row r="105" customFormat="false" ht="27.75" hidden="false" customHeight="true" outlineLevel="0" collapsed="false">
      <c r="A105" s="19" t="s">
        <v>40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</row>
  </sheetData>
  <mergeCells count="1">
    <mergeCell ref="A105:L10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2"/>
    <col collapsed="false" customWidth="true" hidden="false" outlineLevel="0" max="4" min="4" style="0" width="7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9" min="8" style="0" width="14"/>
    <col collapsed="false" customWidth="true" hidden="false" outlineLevel="0" max="10" min="10" style="0" width="11"/>
  </cols>
  <sheetData>
    <row r="1" customFormat="false" ht="19.7" hidden="false" customHeight="false" outlineLevel="0" collapsed="false">
      <c r="A1" s="1" t="s">
        <v>41</v>
      </c>
    </row>
    <row r="2" customFormat="false" ht="15" hidden="false" customHeight="false" outlineLevel="0" collapsed="false">
      <c r="A2" s="2" t="s">
        <v>42</v>
      </c>
    </row>
    <row r="4" customFormat="false" ht="31.5" hidden="false" customHeight="true" outlineLevel="0" collapsed="false">
      <c r="A4" s="10" t="s">
        <v>43</v>
      </c>
      <c r="B4" s="10" t="s">
        <v>44</v>
      </c>
      <c r="C4" s="10" t="s">
        <v>45</v>
      </c>
      <c r="D4" s="10" t="s">
        <v>46</v>
      </c>
      <c r="E4" s="10" t="s">
        <v>47</v>
      </c>
      <c r="F4" s="10" t="s">
        <v>48</v>
      </c>
      <c r="G4" s="10" t="s">
        <v>49</v>
      </c>
      <c r="H4" s="10" t="s">
        <v>50</v>
      </c>
      <c r="I4" s="10" t="s">
        <v>51</v>
      </c>
      <c r="J4" s="10" t="s">
        <v>52</v>
      </c>
    </row>
    <row r="5" customFormat="false" ht="15" hidden="false" customHeight="false" outlineLevel="0" collapsed="false">
      <c r="A5" s="15" t="n">
        <v>1</v>
      </c>
      <c r="B5" s="11" t="n">
        <f aca="false">Daily!$A$5+7*(A5-1)</f>
        <v>43887</v>
      </c>
      <c r="C5" s="11" t="n">
        <f aca="false">MIN(B5+6,MAX(Daily!$A$5:$A$103))</f>
        <v>43893</v>
      </c>
      <c r="D5" s="15" t="n">
        <f aca="false">C5-B5+1</f>
        <v>7</v>
      </c>
      <c r="E5" s="13" t="n">
        <f aca="false">SUMIFS(Daily!$C$5:$C$103,Daily!$A$5:$A$103,"&gt;="&amp;B5,Daily!$A$5:$A$103,"&lt;="&amp;C5)</f>
        <v>6</v>
      </c>
      <c r="F5" s="13" t="n">
        <f aca="false">SUMIFS(Daily!$D$5:$D$103,Daily!$A$5:$A$103,"&gt;="&amp;B5,Daily!$A$5:$A$103,"&lt;="&amp;C5)</f>
        <v>0</v>
      </c>
      <c r="G5" s="13" t="n">
        <f aca="false">SUMIFS(Daily!$E$5:$E$103,Daily!$A$5:$A$103,"&gt;="&amp;B5,Daily!$A$5:$A$103,"&lt;="&amp;C5)</f>
        <v>0</v>
      </c>
      <c r="H5" s="16" t="n">
        <f aca="false">E5/D5</f>
        <v>0.857142857142857</v>
      </c>
      <c r="I5" s="18"/>
      <c r="J5" s="12" t="str">
        <f aca="false">IF(D5=7,"Full week","Partial")</f>
        <v>Full week</v>
      </c>
    </row>
    <row r="6" customFormat="false" ht="15" hidden="false" customHeight="false" outlineLevel="0" collapsed="false">
      <c r="A6" s="15" t="n">
        <v>2</v>
      </c>
      <c r="B6" s="11" t="n">
        <f aca="false">Daily!$A$5+7*(A6-1)</f>
        <v>43894</v>
      </c>
      <c r="C6" s="11" t="n">
        <f aca="false">MIN(B6+6,MAX(Daily!$A$5:$A$103))</f>
        <v>43900</v>
      </c>
      <c r="D6" s="15" t="n">
        <f aca="false">C6-B6+1</f>
        <v>7</v>
      </c>
      <c r="E6" s="13" t="n">
        <f aca="false">SUMIFS(Daily!$C$5:$C$103,Daily!$A$5:$A$103,"&gt;="&amp;B6,Daily!$A$5:$A$103,"&lt;="&amp;C6)</f>
        <v>13</v>
      </c>
      <c r="F6" s="13" t="n">
        <f aca="false">SUMIFS(Daily!$D$5:$D$103,Daily!$A$5:$A$103,"&gt;="&amp;B6,Daily!$A$5:$A$103,"&lt;="&amp;C6)</f>
        <v>0</v>
      </c>
      <c r="G6" s="13" t="n">
        <f aca="false">SUMIFS(Daily!$E$5:$E$103,Daily!$A$5:$A$103,"&gt;="&amp;B6,Daily!$A$5:$A$103,"&lt;="&amp;C6)</f>
        <v>1</v>
      </c>
      <c r="H6" s="16" t="n">
        <f aca="false">E6/D6</f>
        <v>1.85714285714286</v>
      </c>
      <c r="I6" s="18" t="n">
        <f aca="false">IF(AND(D6=7,D5=7,E5&gt;0),E6/E5-1,"")</f>
        <v>1.16666666666667</v>
      </c>
      <c r="J6" s="12" t="str">
        <f aca="false">IF(D6=7,"Full week","Partial")</f>
        <v>Full week</v>
      </c>
    </row>
    <row r="7" customFormat="false" ht="15" hidden="false" customHeight="false" outlineLevel="0" collapsed="false">
      <c r="A7" s="15" t="n">
        <v>3</v>
      </c>
      <c r="B7" s="11" t="n">
        <f aca="false">Daily!$A$5+7*(A7-1)</f>
        <v>43901</v>
      </c>
      <c r="C7" s="11" t="n">
        <f aca="false">MIN(B7+6,MAX(Daily!$A$5:$A$103))</f>
        <v>43907</v>
      </c>
      <c r="D7" s="15" t="n">
        <f aca="false">C7-B7+1</f>
        <v>7</v>
      </c>
      <c r="E7" s="13" t="n">
        <f aca="false">SUMIFS(Daily!$C$5:$C$103,Daily!$A$5:$A$103,"&gt;="&amp;B7,Daily!$A$5:$A$103,"&lt;="&amp;C7)</f>
        <v>248</v>
      </c>
      <c r="F7" s="13" t="n">
        <f aca="false">SUMIFS(Daily!$D$5:$D$103,Daily!$A$5:$A$103,"&gt;="&amp;B7,Daily!$A$5:$A$103,"&lt;="&amp;C7)</f>
        <v>1</v>
      </c>
      <c r="G7" s="13" t="n">
        <f aca="false">SUMIFS(Daily!$E$5:$E$103,Daily!$A$5:$A$103,"&gt;="&amp;B7,Daily!$A$5:$A$103,"&lt;="&amp;C7)</f>
        <v>3</v>
      </c>
      <c r="H7" s="16" t="n">
        <f aca="false">E7/D7</f>
        <v>35.4285714285714</v>
      </c>
      <c r="I7" s="18" t="n">
        <f aca="false">IF(AND(D7=7,D6=7,E6&gt;0),E7/E6-1,"")</f>
        <v>18.0769230769231</v>
      </c>
      <c r="J7" s="12" t="str">
        <f aca="false">IF(D7=7,"Full week","Partial")</f>
        <v>Full week</v>
      </c>
    </row>
    <row r="8" customFormat="false" ht="15" hidden="false" customHeight="false" outlineLevel="0" collapsed="false">
      <c r="A8" s="15" t="n">
        <v>4</v>
      </c>
      <c r="B8" s="11" t="n">
        <f aca="false">Daily!$A$5+7*(A8-1)</f>
        <v>43908</v>
      </c>
      <c r="C8" s="11" t="n">
        <f aca="false">MIN(B8+6,MAX(Daily!$A$5:$A$103))</f>
        <v>43914</v>
      </c>
      <c r="D8" s="15" t="n">
        <f aca="false">C8-B8+1</f>
        <v>7</v>
      </c>
      <c r="E8" s="13" t="n">
        <f aca="false">SUMIFS(Daily!$C$5:$C$103,Daily!$A$5:$A$103,"&gt;="&amp;B8,Daily!$A$5:$A$103,"&lt;="&amp;C8)</f>
        <v>701</v>
      </c>
      <c r="F8" s="13" t="n">
        <f aca="false">SUMIFS(Daily!$D$5:$D$103,Daily!$A$5:$A$103,"&gt;="&amp;B8,Daily!$A$5:$A$103,"&lt;="&amp;C8)</f>
        <v>6</v>
      </c>
      <c r="G8" s="13" t="n">
        <f aca="false">SUMIFS(Daily!$E$5:$E$103,Daily!$A$5:$A$103,"&gt;="&amp;B8,Daily!$A$5:$A$103,"&lt;="&amp;C8)</f>
        <v>22</v>
      </c>
      <c r="H8" s="16" t="n">
        <f aca="false">E8/D8</f>
        <v>100.142857142857</v>
      </c>
      <c r="I8" s="18" t="n">
        <f aca="false">IF(AND(D8=7,D7=7,E7&gt;0),E8/E7-1,"")</f>
        <v>1.82661290322581</v>
      </c>
      <c r="J8" s="12" t="str">
        <f aca="false">IF(D8=7,"Full week","Partial")</f>
        <v>Full week</v>
      </c>
    </row>
    <row r="9" customFormat="false" ht="15" hidden="false" customHeight="false" outlineLevel="0" collapsed="false">
      <c r="A9" s="15" t="n">
        <v>5</v>
      </c>
      <c r="B9" s="11" t="n">
        <f aca="false">Daily!$A$5+7*(A9-1)</f>
        <v>43915</v>
      </c>
      <c r="C9" s="11" t="n">
        <f aca="false">MIN(B9+6,MAX(Daily!$A$5:$A$103))</f>
        <v>43921</v>
      </c>
      <c r="D9" s="15" t="n">
        <f aca="false">C9-B9+1</f>
        <v>7</v>
      </c>
      <c r="E9" s="13" t="n">
        <f aca="false">SUMIFS(Daily!$C$5:$C$103,Daily!$A$5:$A$103,"&gt;="&amp;B9,Daily!$A$5:$A$103,"&lt;="&amp;C9)</f>
        <v>1002</v>
      </c>
      <c r="F9" s="13" t="n">
        <f aca="false">SUMIFS(Daily!$D$5:$D$103,Daily!$A$5:$A$103,"&gt;="&amp;B9,Daily!$A$5:$A$103,"&lt;="&amp;C9)</f>
        <v>20</v>
      </c>
      <c r="G9" s="13" t="n">
        <f aca="false">SUMIFS(Daily!$E$5:$E$103,Daily!$A$5:$A$103,"&gt;="&amp;B9,Daily!$A$5:$A$103,"&lt;="&amp;C9)</f>
        <v>96</v>
      </c>
      <c r="H9" s="16" t="n">
        <f aca="false">E9/D9</f>
        <v>143.142857142857</v>
      </c>
      <c r="I9" s="18" t="n">
        <f aca="false">IF(AND(D9=7,D8=7,E8&gt;0),E9/E8-1,"")</f>
        <v>0.429386590584879</v>
      </c>
      <c r="J9" s="12" t="str">
        <f aca="false">IF(D9=7,"Full week","Partial")</f>
        <v>Full week</v>
      </c>
    </row>
    <row r="10" customFormat="false" ht="15" hidden="false" customHeight="false" outlineLevel="0" collapsed="false">
      <c r="A10" s="15" t="n">
        <v>6</v>
      </c>
      <c r="B10" s="11" t="n">
        <f aca="false">Daily!$A$5+7*(A10-1)</f>
        <v>43922</v>
      </c>
      <c r="C10" s="11" t="n">
        <f aca="false">MIN(B10+6,MAX(Daily!$A$5:$A$103))</f>
        <v>43928</v>
      </c>
      <c r="D10" s="15" t="n">
        <f aca="false">C10-B10+1</f>
        <v>7</v>
      </c>
      <c r="E10" s="13" t="n">
        <f aca="false">SUMIFS(Daily!$C$5:$C$103,Daily!$A$5:$A$103,"&gt;="&amp;B10,Daily!$A$5:$A$103,"&lt;="&amp;C10)</f>
        <v>1297</v>
      </c>
      <c r="F10" s="13" t="n">
        <f aca="false">SUMIFS(Daily!$D$5:$D$103,Daily!$A$5:$A$103,"&gt;="&amp;B10,Daily!$A$5:$A$103,"&lt;="&amp;C10)</f>
        <v>29</v>
      </c>
      <c r="G10" s="13" t="n">
        <f aca="false">SUMIFS(Daily!$E$5:$E$103,Daily!$A$5:$A$103,"&gt;="&amp;B10,Daily!$A$5:$A$103,"&lt;="&amp;C10)</f>
        <v>365</v>
      </c>
      <c r="H10" s="16" t="n">
        <f aca="false">E10/D10</f>
        <v>185.285714285714</v>
      </c>
      <c r="I10" s="18" t="n">
        <f aca="false">IF(AND(D10=7,D9=7,E9&gt;0),E10/E9-1,"")</f>
        <v>0.294411177644711</v>
      </c>
      <c r="J10" s="12" t="str">
        <f aca="false">IF(D10=7,"Full week","Partial")</f>
        <v>Full week</v>
      </c>
    </row>
    <row r="11" customFormat="false" ht="15" hidden="false" customHeight="false" outlineLevel="0" collapsed="false">
      <c r="A11" s="15" t="n">
        <v>7</v>
      </c>
      <c r="B11" s="11" t="n">
        <f aca="false">Daily!$A$5+7*(A11-1)</f>
        <v>43929</v>
      </c>
      <c r="C11" s="11" t="n">
        <f aca="false">MIN(B11+6,MAX(Daily!$A$5:$A$103))</f>
        <v>43935</v>
      </c>
      <c r="D11" s="15" t="n">
        <f aca="false">C11-B11+1</f>
        <v>7</v>
      </c>
      <c r="E11" s="13" t="n">
        <f aca="false">SUMIFS(Daily!$C$5:$C$103,Daily!$A$5:$A$103,"&gt;="&amp;B11,Daily!$A$5:$A$103,"&lt;="&amp;C11)</f>
        <v>2718</v>
      </c>
      <c r="F11" s="13" t="n">
        <f aca="false">SUMIFS(Daily!$D$5:$D$103,Daily!$A$5:$A$103,"&gt;="&amp;B11,Daily!$A$5:$A$103,"&lt;="&amp;C11)</f>
        <v>52</v>
      </c>
      <c r="G11" s="13" t="n">
        <f aca="false">SUMIFS(Daily!$E$5:$E$103,Daily!$A$5:$A$103,"&gt;="&amp;B11,Daily!$A$5:$A$103,"&lt;="&amp;C11)</f>
        <v>634</v>
      </c>
      <c r="H11" s="16" t="n">
        <f aca="false">E11/D11</f>
        <v>388.285714285714</v>
      </c>
      <c r="I11" s="18" t="n">
        <f aca="false">IF(AND(D11=7,D10=7,E10&gt;0),E11/E10-1,"")</f>
        <v>1.09560524286816</v>
      </c>
      <c r="J11" s="12" t="str">
        <f aca="false">IF(D11=7,"Full week","Partial")</f>
        <v>Full week</v>
      </c>
    </row>
    <row r="12" customFormat="false" ht="15" hidden="false" customHeight="false" outlineLevel="0" collapsed="false">
      <c r="A12" s="15" t="n">
        <v>8</v>
      </c>
      <c r="B12" s="11" t="n">
        <f aca="false">Daily!$A$5+7*(A12-1)</f>
        <v>43936</v>
      </c>
      <c r="C12" s="11" t="n">
        <f aca="false">MIN(B12+6,MAX(Daily!$A$5:$A$103))</f>
        <v>43942</v>
      </c>
      <c r="D12" s="15" t="n">
        <f aca="false">C12-B12+1</f>
        <v>7</v>
      </c>
      <c r="E12" s="13" t="n">
        <f aca="false">SUMIFS(Daily!$C$5:$C$103,Daily!$A$5:$A$103,"&gt;="&amp;B12,Daily!$A$5:$A$103,"&lt;="&amp;C12)</f>
        <v>3768</v>
      </c>
      <c r="F12" s="13" t="n">
        <f aca="false">SUMIFS(Daily!$D$5:$D$103,Daily!$A$5:$A$103,"&gt;="&amp;B12,Daily!$A$5:$A$103,"&lt;="&amp;C12)</f>
        <v>101</v>
      </c>
      <c r="G12" s="13" t="n">
        <f aca="false">SUMIFS(Daily!$E$5:$E$103,Daily!$A$5:$A$103,"&gt;="&amp;B12,Daily!$A$5:$A$103,"&lt;="&amp;C12)</f>
        <v>718</v>
      </c>
      <c r="H12" s="16" t="n">
        <f aca="false">E12/D12</f>
        <v>538.285714285714</v>
      </c>
      <c r="I12" s="18" t="n">
        <f aca="false">IF(AND(D12=7,D11=7,E11&gt;0),E12/E11-1,"")</f>
        <v>0.386313465783664</v>
      </c>
      <c r="J12" s="12" t="str">
        <f aca="false">IF(D12=7,"Full week","Partial")</f>
        <v>Full week</v>
      </c>
    </row>
    <row r="13" customFormat="false" ht="15" hidden="false" customHeight="false" outlineLevel="0" collapsed="false">
      <c r="A13" s="15" t="n">
        <v>9</v>
      </c>
      <c r="B13" s="11" t="n">
        <f aca="false">Daily!$A$5+7*(A13-1)</f>
        <v>43943</v>
      </c>
      <c r="C13" s="11" t="n">
        <f aca="false">MIN(B13+6,MAX(Daily!$A$5:$A$103))</f>
        <v>43949</v>
      </c>
      <c r="D13" s="15" t="n">
        <f aca="false">C13-B13+1</f>
        <v>7</v>
      </c>
      <c r="E13" s="13" t="n">
        <f aca="false">SUMIFS(Daily!$C$5:$C$103,Daily!$A$5:$A$103,"&gt;="&amp;B13,Daily!$A$5:$A$103,"&lt;="&amp;C13)</f>
        <v>4993</v>
      </c>
      <c r="F13" s="13" t="n">
        <f aca="false">SUMIFS(Daily!$D$5:$D$103,Daily!$A$5:$A$103,"&gt;="&amp;B13,Daily!$A$5:$A$103,"&lt;="&amp;C13)</f>
        <v>86</v>
      </c>
      <c r="G13" s="13" t="n">
        <f aca="false">SUMIFS(Daily!$E$5:$E$103,Daily!$A$5:$A$103,"&gt;="&amp;B13,Daily!$A$5:$A$103,"&lt;="&amp;C13)</f>
        <v>626</v>
      </c>
      <c r="H13" s="16" t="n">
        <f aca="false">E13/D13</f>
        <v>713.285714285714</v>
      </c>
      <c r="I13" s="18" t="n">
        <f aca="false">IF(AND(D13=7,D12=7,E12&gt;0),E13/E12-1,"")</f>
        <v>0.325106157112526</v>
      </c>
      <c r="J13" s="12" t="str">
        <f aca="false">IF(D13=7,"Full week","Partial")</f>
        <v>Full week</v>
      </c>
    </row>
    <row r="14" customFormat="false" ht="15" hidden="false" customHeight="false" outlineLevel="0" collapsed="false">
      <c r="A14" s="15" t="n">
        <v>10</v>
      </c>
      <c r="B14" s="11" t="n">
        <f aca="false">Daily!$A$5+7*(A14-1)</f>
        <v>43950</v>
      </c>
      <c r="C14" s="11" t="n">
        <f aca="false">MIN(B14+6,MAX(Daily!$A$5:$A$103))</f>
        <v>43956</v>
      </c>
      <c r="D14" s="15" t="n">
        <f aca="false">C14-B14+1</f>
        <v>7</v>
      </c>
      <c r="E14" s="13" t="n">
        <f aca="false">SUMIFS(Daily!$C$5:$C$103,Daily!$A$5:$A$103,"&gt;="&amp;B14,Daily!$A$5:$A$103,"&lt;="&amp;C14)</f>
        <v>7223</v>
      </c>
      <c r="F14" s="13" t="n">
        <f aca="false">SUMIFS(Daily!$D$5:$D$103,Daily!$A$5:$A$103,"&gt;="&amp;B14,Daily!$A$5:$A$103,"&lt;="&amp;C14)</f>
        <v>163</v>
      </c>
      <c r="G14" s="13" t="n">
        <f aca="false">SUMIFS(Daily!$E$5:$E$103,Daily!$A$5:$A$103,"&gt;="&amp;B14,Daily!$A$5:$A$103,"&lt;="&amp;C14)</f>
        <v>415</v>
      </c>
      <c r="H14" s="16" t="n">
        <f aca="false">E14/D14</f>
        <v>1031.85714285714</v>
      </c>
      <c r="I14" s="18" t="n">
        <f aca="false">IF(AND(D14=7,D13=7,E13&gt;0),E14/E13-1,"")</f>
        <v>0.44662527538554</v>
      </c>
      <c r="J14" s="12" t="str">
        <f aca="false">IF(D14=7,"Full week","Partial")</f>
        <v>Full week</v>
      </c>
    </row>
    <row r="15" customFormat="false" ht="15" hidden="false" customHeight="false" outlineLevel="0" collapsed="false">
      <c r="A15" s="15" t="n">
        <v>11</v>
      </c>
      <c r="B15" s="11" t="n">
        <f aca="false">Daily!$A$5+7*(A15-1)</f>
        <v>43957</v>
      </c>
      <c r="C15" s="11" t="n">
        <f aca="false">MIN(B15+6,MAX(Daily!$A$5:$A$103))</f>
        <v>43963</v>
      </c>
      <c r="D15" s="15" t="n">
        <f aca="false">C15-B15+1</f>
        <v>7</v>
      </c>
      <c r="E15" s="13" t="n">
        <f aca="false">SUMIFS(Daily!$C$5:$C$103,Daily!$A$5:$A$103,"&gt;="&amp;B15,Daily!$A$5:$A$103,"&lt;="&amp;C15)</f>
        <v>11846</v>
      </c>
      <c r="F15" s="13" t="n">
        <f aca="false">SUMIFS(Daily!$D$5:$D$103,Daily!$A$5:$A$103,"&gt;="&amp;B15,Daily!$A$5:$A$103,"&lt;="&amp;C15)</f>
        <v>227</v>
      </c>
      <c r="G15" s="13" t="n">
        <f aca="false">SUMIFS(Daily!$E$5:$E$103,Daily!$A$5:$A$103,"&gt;="&amp;B15,Daily!$A$5:$A$103,"&lt;="&amp;C15)</f>
        <v>721</v>
      </c>
      <c r="H15" s="16" t="n">
        <f aca="false">E15/D15</f>
        <v>1692.28571428571</v>
      </c>
      <c r="I15" s="18" t="n">
        <f aca="false">IF(AND(D15=7,D14=7,E14&gt;0),E15/E14-1,"")</f>
        <v>0.640038765056071</v>
      </c>
      <c r="J15" s="12" t="str">
        <f aca="false">IF(D15=7,"Full week","Partial")</f>
        <v>Full week</v>
      </c>
    </row>
    <row r="16" customFormat="false" ht="15" hidden="false" customHeight="false" outlineLevel="0" collapsed="false">
      <c r="A16" s="15" t="n">
        <v>12</v>
      </c>
      <c r="B16" s="11" t="n">
        <f aca="false">Daily!$A$5+7*(A16-1)</f>
        <v>43964</v>
      </c>
      <c r="C16" s="11" t="n">
        <f aca="false">MIN(B16+6,MAX(Daily!$A$5:$A$103))</f>
        <v>43970</v>
      </c>
      <c r="D16" s="15" t="n">
        <f aca="false">C16-B16+1</f>
        <v>7</v>
      </c>
      <c r="E16" s="13" t="n">
        <f aca="false">SUMIFS(Daily!$C$5:$C$103,Daily!$A$5:$A$103,"&gt;="&amp;B16,Daily!$A$5:$A$103,"&lt;="&amp;C16)</f>
        <v>11397</v>
      </c>
      <c r="F16" s="13" t="n">
        <f aca="false">SUMIFS(Daily!$D$5:$D$103,Daily!$A$5:$A$103,"&gt;="&amp;B16,Daily!$A$5:$A$103,"&lt;="&amp;C16)</f>
        <v>261</v>
      </c>
      <c r="G16" s="13" t="n">
        <f aca="false">SUMIFS(Daily!$E$5:$E$103,Daily!$A$5:$A$103,"&gt;="&amp;B16,Daily!$A$5:$A$103,"&lt;="&amp;C16)</f>
        <v>4116</v>
      </c>
      <c r="H16" s="16" t="n">
        <f aca="false">E16/D16</f>
        <v>1628.14285714286</v>
      </c>
      <c r="I16" s="18" t="n">
        <f aca="false">IF(AND(D16=7,D15=7,E15&gt;0),E16/E15-1,"")</f>
        <v>-0.0379030896505149</v>
      </c>
      <c r="J16" s="12" t="str">
        <f aca="false">IF(D16=7,"Full week","Partial")</f>
        <v>Full week</v>
      </c>
    </row>
    <row r="17" customFormat="false" ht="15" hidden="false" customHeight="false" outlineLevel="0" collapsed="false">
      <c r="A17" s="15" t="n">
        <v>13</v>
      </c>
      <c r="B17" s="11" t="n">
        <f aca="false">Daily!$A$5+7*(A17-1)</f>
        <v>43971</v>
      </c>
      <c r="C17" s="11" t="n">
        <f aca="false">MIN(B17+6,MAX(Daily!$A$5:$A$103))</f>
        <v>43977</v>
      </c>
      <c r="D17" s="15" t="n">
        <f aca="false">C17-B17+1</f>
        <v>7</v>
      </c>
      <c r="E17" s="13" t="n">
        <f aca="false">SUMIFS(Daily!$C$5:$C$103,Daily!$A$5:$A$103,"&gt;="&amp;B17,Daily!$A$5:$A$103,"&lt;="&amp;C17)</f>
        <v>12982</v>
      </c>
      <c r="F17" s="13" t="n">
        <f aca="false">SUMIFS(Daily!$D$5:$D$103,Daily!$A$5:$A$103,"&gt;="&amp;B17,Daily!$A$5:$A$103,"&lt;="&amp;C17)</f>
        <v>232</v>
      </c>
      <c r="G17" s="13" t="n">
        <f aca="false">SUMIFS(Daily!$E$5:$E$103,Daily!$A$5:$A$103,"&gt;="&amp;B17,Daily!$A$5:$A$103,"&lt;="&amp;C17)</f>
        <v>5965</v>
      </c>
      <c r="H17" s="16" t="n">
        <f aca="false">E17/D17</f>
        <v>1854.57142857143</v>
      </c>
      <c r="I17" s="18" t="n">
        <f aca="false">IF(AND(D17=7,D16=7,E16&gt;0),E17/E16-1,"")</f>
        <v>0.13907168553128</v>
      </c>
      <c r="J17" s="12" t="str">
        <f aca="false">IF(D17=7,"Full week","Partial")</f>
        <v>Full week</v>
      </c>
    </row>
    <row r="18" customFormat="false" ht="15" hidden="false" customHeight="false" outlineLevel="0" collapsed="false">
      <c r="A18" s="15" t="n">
        <v>14</v>
      </c>
      <c r="B18" s="11" t="n">
        <f aca="false">Daily!$A$5+7*(A18-1)</f>
        <v>43978</v>
      </c>
      <c r="C18" s="11" t="n">
        <f aca="false">MIN(B18+6,MAX(Daily!$A$5:$A$103))</f>
        <v>43984</v>
      </c>
      <c r="D18" s="15" t="n">
        <f aca="false">C18-B18+1</f>
        <v>7</v>
      </c>
      <c r="E18" s="13" t="n">
        <f aca="false">SUMIFS(Daily!$C$5:$C$103,Daily!$A$5:$A$103,"&gt;="&amp;B18,Daily!$A$5:$A$103,"&lt;="&amp;C18)</f>
        <v>21114</v>
      </c>
      <c r="F18" s="13" t="n">
        <f aca="false">SUMIFS(Daily!$D$5:$D$103,Daily!$A$5:$A$103,"&gt;="&amp;B18,Daily!$A$5:$A$103,"&lt;="&amp;C18)</f>
        <v>468</v>
      </c>
      <c r="G18" s="13" t="n">
        <f aca="false">SUMIFS(Daily!$E$5:$E$103,Daily!$A$5:$A$103,"&gt;="&amp;B18,Daily!$A$5:$A$103,"&lt;="&amp;C18)</f>
        <v>9866</v>
      </c>
      <c r="H18" s="16" t="n">
        <f aca="false">E18/D18</f>
        <v>3016.28571428571</v>
      </c>
      <c r="I18" s="18" t="n">
        <f aca="false">IF(AND(D18=7,D17=7,E17&gt;0),E18/E17-1,"")</f>
        <v>0.626405792635957</v>
      </c>
      <c r="J18" s="12" t="str">
        <f aca="false">IF(D18=7,"Full week","Partial")</f>
        <v>Full week</v>
      </c>
    </row>
    <row r="19" customFormat="false" ht="15" hidden="false" customHeight="false" outlineLevel="0" collapsed="false">
      <c r="A19" s="15" t="n">
        <v>15</v>
      </c>
      <c r="B19" s="11" t="n">
        <f aca="false">Daily!$A$5+7*(A19-1)</f>
        <v>43985</v>
      </c>
      <c r="C19" s="11" t="n">
        <f aca="false">MIN(B19+6,MAX(Daily!$A$5:$A$103))</f>
        <v>43985</v>
      </c>
      <c r="D19" s="15" t="n">
        <f aca="false">C19-B19+1</f>
        <v>1</v>
      </c>
      <c r="E19" s="13" t="n">
        <f aca="false">SUMIFS(Daily!$C$5:$C$103,Daily!$A$5:$A$103,"&gt;="&amp;B19,Daily!$A$5:$A$103,"&lt;="&amp;C19)</f>
        <v>4677</v>
      </c>
      <c r="F19" s="13" t="n">
        <f aca="false">SUMIFS(Daily!$D$5:$D$103,Daily!$A$5:$A$103,"&gt;="&amp;B19,Daily!$A$5:$A$103,"&lt;="&amp;C19)</f>
        <v>82</v>
      </c>
      <c r="G19" s="13" t="n">
        <f aca="false">SUMIFS(Daily!$E$5:$E$103,Daily!$A$5:$A$103,"&gt;="&amp;B19,Daily!$A$5:$A$103,"&lt;="&amp;C19)</f>
        <v>1205</v>
      </c>
      <c r="H19" s="16" t="n">
        <f aca="false">E19/D19</f>
        <v>4677</v>
      </c>
      <c r="I19" s="18" t="str">
        <f aca="false">IF(AND(D19=7,D18=7,E18&gt;0),E19/E18-1,"")</f>
        <v/>
      </c>
      <c r="J19" s="12" t="str">
        <f aca="false">IF(D19=7,"Full week","Partial")</f>
        <v>Partial</v>
      </c>
    </row>
    <row r="20" customFormat="false" ht="15" hidden="false" customHeight="false" outlineLevel="0" collapsed="false">
      <c r="A20" s="20" t="s">
        <v>53</v>
      </c>
      <c r="B20" s="20"/>
      <c r="C20" s="20"/>
      <c r="D20" s="21" t="n">
        <f aca="false">SUM(D5:D19)</f>
        <v>99</v>
      </c>
      <c r="E20" s="22" t="n">
        <f aca="false">SUM(E5:E19)</f>
        <v>83985</v>
      </c>
      <c r="F20" s="22" t="n">
        <f aca="false">SUM(F5:F19)</f>
        <v>1728</v>
      </c>
      <c r="G20" s="22" t="n">
        <f aca="false">SUM(G5:G19)</f>
        <v>24753</v>
      </c>
      <c r="H20" s="23" t="n">
        <f aca="false">E20/D20</f>
        <v>848.333333333333</v>
      </c>
      <c r="I20" s="20"/>
      <c r="J20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2"/>
  </cols>
  <sheetData>
    <row r="1" customFormat="false" ht="19.7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31.5" hidden="false" customHeight="true" outlineLevel="0" collapsed="false">
      <c r="A4" s="10" t="s">
        <v>56</v>
      </c>
      <c r="B4" s="10" t="s">
        <v>57</v>
      </c>
      <c r="C4" s="10" t="s">
        <v>47</v>
      </c>
      <c r="D4" s="10" t="s">
        <v>48</v>
      </c>
      <c r="E4" s="10" t="s">
        <v>49</v>
      </c>
      <c r="F4" s="10" t="s">
        <v>50</v>
      </c>
      <c r="G4" s="10" t="s">
        <v>58</v>
      </c>
      <c r="H4" s="10" t="s">
        <v>59</v>
      </c>
      <c r="I4" s="10" t="s">
        <v>60</v>
      </c>
    </row>
    <row r="5" customFormat="false" ht="15" hidden="false" customHeight="false" outlineLevel="0" collapsed="false">
      <c r="A5" s="24" t="n">
        <f aca="false">DATE(YEAR(Daily!A5),MONTH(Daily!A5),1)</f>
        <v>43862</v>
      </c>
      <c r="B5" s="15" t="n">
        <f aca="false">COUNTIFS(Daily!$A$5:$A$103,"&gt;="&amp;A5,Daily!$A$5:$A$103,"&lt;"&amp;EDATE(A5,1))</f>
        <v>4</v>
      </c>
      <c r="C5" s="13" t="n">
        <f aca="false">SUMIFS(Daily!$C$5:$C$103,Daily!$A$5:$A$103,"&gt;="&amp;A5,Daily!$A$5:$A$103,"&lt;"&amp;EDATE(A5,1))</f>
        <v>5</v>
      </c>
      <c r="D5" s="13" t="n">
        <f aca="false">SUMIFS(Daily!$D$5:$D$103,Daily!$A$5:$A$103,"&gt;="&amp;A5,Daily!$A$5:$A$103,"&lt;"&amp;EDATE(A5,1))</f>
        <v>0</v>
      </c>
      <c r="E5" s="13" t="n">
        <f aca="false">SUMIFS(Daily!$E$5:$E$103,Daily!$A$5:$A$103,"&gt;="&amp;A5,Daily!$A$5:$A$103,"&lt;"&amp;EDATE(A5,1))</f>
        <v>0</v>
      </c>
      <c r="F5" s="16" t="n">
        <f aca="false">IF(B5&gt;0,C5/B5,0)</f>
        <v>1.25</v>
      </c>
      <c r="G5" s="14" t="n">
        <f aca="false">IF(C5&gt;0,D5/C5,0)</f>
        <v>0</v>
      </c>
      <c r="H5" s="18"/>
      <c r="I5" s="14" t="n">
        <f aca="false">C5/C$10</f>
        <v>5.95344406739299E-005</v>
      </c>
    </row>
    <row r="6" customFormat="false" ht="15" hidden="false" customHeight="false" outlineLevel="0" collapsed="false">
      <c r="A6" s="24" t="n">
        <f aca="false">EDATE(A5,1)</f>
        <v>43891</v>
      </c>
      <c r="B6" s="15" t="n">
        <f aca="false">COUNTIFS(Daily!$A$5:$A$103,"&gt;="&amp;A6,Daily!$A$5:$A$103,"&lt;"&amp;EDATE(A6,1))</f>
        <v>31</v>
      </c>
      <c r="C6" s="13" t="n">
        <f aca="false">SUMIFS(Daily!$C$5:$C$103,Daily!$A$5:$A$103,"&gt;="&amp;A6,Daily!$A$5:$A$103,"&lt;"&amp;EDATE(A6,1))</f>
        <v>1965</v>
      </c>
      <c r="D6" s="13" t="n">
        <f aca="false">SUMIFS(Daily!$D$5:$D$103,Daily!$A$5:$A$103,"&gt;="&amp;A6,Daily!$A$5:$A$103,"&lt;"&amp;EDATE(A6,1))</f>
        <v>27</v>
      </c>
      <c r="E6" s="13" t="n">
        <f aca="false">SUMIFS(Daily!$E$5:$E$103,Daily!$A$5:$A$103,"&gt;="&amp;A6,Daily!$A$5:$A$103,"&lt;"&amp;EDATE(A6,1))</f>
        <v>122</v>
      </c>
      <c r="F6" s="16" t="n">
        <f aca="false">IF(B6&gt;0,C6/B6,0)</f>
        <v>63.3870967741936</v>
      </c>
      <c r="G6" s="14" t="n">
        <f aca="false">IF(C6&gt;0,D6/C6,0)</f>
        <v>0.0137404580152672</v>
      </c>
      <c r="H6" s="18" t="n">
        <f aca="false">IF(F5&gt;0,F6/F5-1,"")</f>
        <v>49.7096774193548</v>
      </c>
      <c r="I6" s="14" t="n">
        <f aca="false">C6/C$10</f>
        <v>0.0233970351848544</v>
      </c>
    </row>
    <row r="7" customFormat="false" ht="15" hidden="false" customHeight="false" outlineLevel="0" collapsed="false">
      <c r="A7" s="24" t="n">
        <f aca="false">EDATE(A6,1)</f>
        <v>43922</v>
      </c>
      <c r="B7" s="15" t="n">
        <f aca="false">COUNTIFS(Daily!$A$5:$A$103,"&gt;="&amp;A7,Daily!$A$5:$A$103,"&lt;"&amp;EDATE(A7,1))</f>
        <v>30</v>
      </c>
      <c r="C7" s="13" t="n">
        <f aca="false">SUMIFS(Daily!$C$5:$C$103,Daily!$A$5:$A$103,"&gt;="&amp;A7,Daily!$A$5:$A$103,"&lt;"&amp;EDATE(A7,1))</f>
        <v>14389</v>
      </c>
      <c r="D7" s="13" t="n">
        <f aca="false">SUMIFS(Daily!$D$5:$D$103,Daily!$A$5:$A$103,"&gt;="&amp;A7,Daily!$A$5:$A$103,"&lt;"&amp;EDATE(A7,1))</f>
        <v>302</v>
      </c>
      <c r="E7" s="13" t="n">
        <f aca="false">SUMIFS(Daily!$E$5:$E$103,Daily!$A$5:$A$103,"&gt;="&amp;A7,Daily!$A$5:$A$103,"&lt;"&amp;EDATE(A7,1))</f>
        <v>2551</v>
      </c>
      <c r="F7" s="16" t="n">
        <f aca="false">IF(B7&gt;0,C7/B7,0)</f>
        <v>479.633333333333</v>
      </c>
      <c r="G7" s="14" t="n">
        <f aca="false">IF(C7&gt;0,D7/C7,0)</f>
        <v>0.0209882549169504</v>
      </c>
      <c r="H7" s="18" t="n">
        <f aca="false">IF(F6&gt;0,F7/F6-1,"")</f>
        <v>6.56673452078032</v>
      </c>
      <c r="I7" s="14" t="n">
        <f aca="false">C7/C$10</f>
        <v>0.171328213371435</v>
      </c>
    </row>
    <row r="8" customFormat="false" ht="15" hidden="false" customHeight="false" outlineLevel="0" collapsed="false">
      <c r="A8" s="24" t="n">
        <f aca="false">EDATE(A7,1)</f>
        <v>43952</v>
      </c>
      <c r="B8" s="15" t="n">
        <f aca="false">COUNTIFS(Daily!$A$5:$A$103,"&gt;="&amp;A8,Daily!$A$5:$A$103,"&lt;"&amp;EDATE(A8,1))</f>
        <v>31</v>
      </c>
      <c r="C8" s="13" t="n">
        <f aca="false">SUMIFS(Daily!$C$5:$C$103,Daily!$A$5:$A$103,"&gt;="&amp;A8,Daily!$A$5:$A$103,"&lt;"&amp;EDATE(A8,1))</f>
        <v>54835</v>
      </c>
      <c r="D8" s="13" t="n">
        <f aca="false">SUMIFS(Daily!$D$5:$D$103,Daily!$A$5:$A$103,"&gt;="&amp;A8,Daily!$A$5:$A$103,"&lt;"&amp;EDATE(A8,1))</f>
        <v>1170</v>
      </c>
      <c r="E8" s="13" t="n">
        <f aca="false">SUMIFS(Daily!$E$5:$E$103,Daily!$A$5:$A$103,"&gt;="&amp;A8,Daily!$A$5:$A$103,"&lt;"&amp;EDATE(A8,1))</f>
        <v>17917</v>
      </c>
      <c r="F8" s="16" t="n">
        <f aca="false">IF(B8&gt;0,C8/B8,0)</f>
        <v>1768.87096774194</v>
      </c>
      <c r="G8" s="14" t="n">
        <f aca="false">IF(C8&gt;0,D8/C8,0)</f>
        <v>0.0213367374851828</v>
      </c>
      <c r="H8" s="18" t="n">
        <f aca="false">IF(F7&gt;0,F8/F7-1,"")</f>
        <v>2.68796504498284</v>
      </c>
      <c r="I8" s="14" t="n">
        <f aca="false">C8/C$10</f>
        <v>0.652914210870989</v>
      </c>
    </row>
    <row r="9" customFormat="false" ht="15" hidden="false" customHeight="false" outlineLevel="0" collapsed="false">
      <c r="A9" s="24" t="n">
        <f aca="false">EDATE(A8,1)</f>
        <v>43983</v>
      </c>
      <c r="B9" s="15" t="n">
        <f aca="false">COUNTIFS(Daily!$A$5:$A$103,"&gt;="&amp;A9,Daily!$A$5:$A$103,"&lt;"&amp;EDATE(A9,1))</f>
        <v>3</v>
      </c>
      <c r="C9" s="13" t="n">
        <f aca="false">SUMIFS(Daily!$C$5:$C$103,Daily!$A$5:$A$103,"&gt;="&amp;A9,Daily!$A$5:$A$103,"&lt;"&amp;EDATE(A9,1))</f>
        <v>12791</v>
      </c>
      <c r="D9" s="13" t="n">
        <f aca="false">SUMIFS(Daily!$D$5:$D$103,Daily!$A$5:$A$103,"&gt;="&amp;A9,Daily!$A$5:$A$103,"&lt;"&amp;EDATE(A9,1))</f>
        <v>229</v>
      </c>
      <c r="E9" s="13" t="n">
        <f aca="false">SUMIFS(Daily!$E$5:$E$103,Daily!$A$5:$A$103,"&gt;="&amp;A9,Daily!$A$5:$A$103,"&lt;"&amp;EDATE(A9,1))</f>
        <v>4163</v>
      </c>
      <c r="F9" s="16" t="n">
        <f aca="false">IF(B9&gt;0,C9/B9,0)</f>
        <v>4263.66666666667</v>
      </c>
      <c r="G9" s="14" t="n">
        <f aca="false">IF(C9&gt;0,D9/C9,0)</f>
        <v>0.017903213196779</v>
      </c>
      <c r="H9" s="18" t="n">
        <f aca="false">IF(F8&gt;0,F9/F8-1,"")</f>
        <v>1.41038874198353</v>
      </c>
      <c r="I9" s="14" t="n">
        <f aca="false">C9/C$10</f>
        <v>0.152301006132047</v>
      </c>
    </row>
    <row r="10" customFormat="false" ht="15" hidden="false" customHeight="false" outlineLevel="0" collapsed="false">
      <c r="A10" s="20" t="s">
        <v>53</v>
      </c>
      <c r="B10" s="21" t="n">
        <f aca="false">SUM(B5:B9)</f>
        <v>99</v>
      </c>
      <c r="C10" s="22" t="n">
        <f aca="false">SUM(C5:C9)</f>
        <v>83985</v>
      </c>
      <c r="D10" s="22" t="n">
        <f aca="false">SUM(D5:D9)</f>
        <v>1728</v>
      </c>
      <c r="E10" s="22" t="n">
        <f aca="false">SUM(E5:E9)</f>
        <v>24753</v>
      </c>
      <c r="F10" s="23" t="n">
        <f aca="false">C10/B10</f>
        <v>848.333333333333</v>
      </c>
      <c r="G10" s="25" t="n">
        <f aca="false">D10/C10</f>
        <v>0.0205751026969102</v>
      </c>
      <c r="H10" s="20"/>
      <c r="I10" s="25" t="n">
        <f aca="false">SUM(I5:I9)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K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6" style="0" width="11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31.5" hidden="false" customHeight="true" outlineLevel="0" collapsed="false">
      <c r="A4" s="10" t="s">
        <v>63</v>
      </c>
      <c r="B4" s="10" t="s">
        <v>47</v>
      </c>
      <c r="C4" s="10" t="s">
        <v>48</v>
      </c>
      <c r="D4" s="10" t="s">
        <v>64</v>
      </c>
      <c r="E4" s="10" t="s">
        <v>65</v>
      </c>
      <c r="F4" s="10" t="s">
        <v>66</v>
      </c>
      <c r="G4" s="10" t="s">
        <v>67</v>
      </c>
      <c r="H4" s="10" t="s">
        <v>58</v>
      </c>
      <c r="I4" s="10" t="s">
        <v>68</v>
      </c>
      <c r="J4" s="10" t="s">
        <v>39</v>
      </c>
      <c r="K4" s="10" t="s">
        <v>69</v>
      </c>
    </row>
    <row r="5" customFormat="false" ht="15" hidden="false" customHeight="false" outlineLevel="0" collapsed="false">
      <c r="A5" s="12" t="s">
        <v>70</v>
      </c>
      <c r="B5" s="13" t="n">
        <f aca="false">SUMIF(Data!$F$2:$F$2797,$A5,Data!$B$2:$B$2797)</f>
        <v>32858</v>
      </c>
      <c r="C5" s="13" t="n">
        <f aca="false">SUMIF(Data!$F$2:$F$2797,$A5,Data!$C$2:$C$2797)</f>
        <v>546</v>
      </c>
      <c r="D5" s="13" t="n">
        <f aca="false">SUMIF(Data!$F$2:$F$2797,$A5,Data!$D$2:$D$2797)</f>
        <v>15805</v>
      </c>
      <c r="E5" s="13" t="n">
        <f aca="false">B5-C5-D5</f>
        <v>16507</v>
      </c>
      <c r="F5" s="14" t="n">
        <f aca="false">B5/B$13</f>
        <v>0.391236530332798</v>
      </c>
      <c r="G5" s="14" t="n">
        <f aca="false">C5/C$13</f>
        <v>0.315972222222222</v>
      </c>
      <c r="H5" s="14" t="n">
        <f aca="false">IF(B5&gt;0,C5/B5,0)</f>
        <v>0.0166169578184917</v>
      </c>
      <c r="I5" s="14" t="n">
        <f aca="false">IF(B5&gt;0,D5/B5,0)</f>
        <v>0.481009191064581</v>
      </c>
      <c r="J5" s="13" t="n">
        <f aca="false">COUNTIF(Data!$F$2:$F$2797,$A5)</f>
        <v>529</v>
      </c>
      <c r="K5" s="26" t="n">
        <f aca="false">H5/$H$13</f>
        <v>0.807624538417838</v>
      </c>
    </row>
    <row r="6" customFormat="false" ht="15" hidden="false" customHeight="false" outlineLevel="0" collapsed="false">
      <c r="A6" s="12" t="s">
        <v>71</v>
      </c>
      <c r="B6" s="13" t="n">
        <f aca="false">SUMIF(Data!$F$2:$F$2797,$A6,Data!$B$2:$B$2797)</f>
        <v>31096</v>
      </c>
      <c r="C6" s="13" t="n">
        <f aca="false">SUMIF(Data!$F$2:$F$2797,$A6,Data!$C$2:$C$2797)</f>
        <v>593</v>
      </c>
      <c r="D6" s="13" t="n">
        <f aca="false">SUMIF(Data!$F$2:$F$2797,$A6,Data!$D$2:$D$2797)</f>
        <v>4081</v>
      </c>
      <c r="E6" s="13" t="n">
        <f aca="false">B6-C6-D6</f>
        <v>26422</v>
      </c>
      <c r="F6" s="14" t="n">
        <f aca="false">B6/B$13</f>
        <v>0.370256593439305</v>
      </c>
      <c r="G6" s="14" t="n">
        <f aca="false">C6/C$13</f>
        <v>0.343171296296296</v>
      </c>
      <c r="H6" s="14" t="n">
        <f aca="false">IF(B6&gt;0,C6/B6,0)</f>
        <v>0.0190699768458966</v>
      </c>
      <c r="I6" s="14" t="n">
        <f aca="false">IF(B6&gt;0,D6/B6,0)</f>
        <v>0.131238744533059</v>
      </c>
      <c r="J6" s="13" t="n">
        <f aca="false">COUNTIF(Data!$F$2:$F$2797,$A6)</f>
        <v>341</v>
      </c>
      <c r="K6" s="26" t="n">
        <f aca="false">H6/$H$13</f>
        <v>0.926847225348741</v>
      </c>
    </row>
    <row r="7" customFormat="false" ht="15" hidden="false" customHeight="false" outlineLevel="0" collapsed="false">
      <c r="A7" s="12" t="s">
        <v>72</v>
      </c>
      <c r="B7" s="13" t="n">
        <f aca="false">SUMIF(Data!$F$2:$F$2797,$A7,Data!$B$2:$B$2797)</f>
        <v>10259</v>
      </c>
      <c r="C7" s="13" t="n">
        <f aca="false">SUMIF(Data!$F$2:$F$2797,$A7,Data!$C$2:$C$2797)</f>
        <v>473</v>
      </c>
      <c r="D7" s="13" t="n">
        <f aca="false">SUMIF(Data!$F$2:$F$2797,$A7,Data!$D$2:$D$2797)</f>
        <v>1939</v>
      </c>
      <c r="E7" s="13" t="n">
        <f aca="false">B7-C7-D7</f>
        <v>7847</v>
      </c>
      <c r="F7" s="14" t="n">
        <f aca="false">B7/B$13</f>
        <v>0.122152765374769</v>
      </c>
      <c r="G7" s="14" t="n">
        <f aca="false">C7/C$13</f>
        <v>0.273726851851852</v>
      </c>
      <c r="H7" s="14" t="n">
        <f aca="false">IF(B7&gt;0,C7/B7,0)</f>
        <v>0.0461058582707866</v>
      </c>
      <c r="I7" s="14" t="n">
        <f aca="false">IF(B7&gt;0,D7/B7,0)</f>
        <v>0.189004776293986</v>
      </c>
      <c r="J7" s="13" t="n">
        <f aca="false">COUNTIF(Data!$F$2:$F$2797,$A7)</f>
        <v>1491</v>
      </c>
      <c r="K7" s="26" t="n">
        <f aca="false">H7/$H$13</f>
        <v>2.24085677481019</v>
      </c>
    </row>
    <row r="8" customFormat="false" ht="15" hidden="false" customHeight="false" outlineLevel="0" collapsed="false">
      <c r="A8" s="12" t="s">
        <v>73</v>
      </c>
      <c r="B8" s="13" t="n">
        <f aca="false">SUMIF(Data!$F$2:$F$2797,$A8,Data!$B$2:$B$2797)</f>
        <v>5125</v>
      </c>
      <c r="C8" s="13" t="n">
        <f aca="false">SUMIF(Data!$F$2:$F$2797,$A8,Data!$C$2:$C$2797)</f>
        <v>49</v>
      </c>
      <c r="D8" s="13" t="n">
        <f aca="false">SUMIF(Data!$F$2:$F$2797,$A8,Data!$D$2:$D$2797)</f>
        <v>1981</v>
      </c>
      <c r="E8" s="13" t="n">
        <f aca="false">B8-C8-D8</f>
        <v>3095</v>
      </c>
      <c r="F8" s="14" t="n">
        <f aca="false">B8/B$13</f>
        <v>0.0610228016907781</v>
      </c>
      <c r="G8" s="14" t="n">
        <f aca="false">C8/C$13</f>
        <v>0.0283564814814815</v>
      </c>
      <c r="H8" s="14" t="n">
        <f aca="false">IF(B8&gt;0,C8/B8,0)</f>
        <v>0.0095609756097561</v>
      </c>
      <c r="I8" s="14" t="n">
        <f aca="false">IF(B8&gt;0,D8/B8,0)</f>
        <v>0.386536585365854</v>
      </c>
      <c r="J8" s="13" t="n">
        <f aca="false">COUNTIF(Data!$F$2:$F$2797,$A8)</f>
        <v>83</v>
      </c>
      <c r="K8" s="26" t="n">
        <f aca="false">H8/$H$13</f>
        <v>0.464686653116531</v>
      </c>
    </row>
    <row r="9" customFormat="false" ht="15" hidden="false" customHeight="false" outlineLevel="0" collapsed="false">
      <c r="A9" s="12" t="s">
        <v>74</v>
      </c>
      <c r="B9" s="13" t="n">
        <f aca="false">SUMIF(Data!$F$2:$F$2797,$A9,Data!$B$2:$B$2797)</f>
        <v>3523</v>
      </c>
      <c r="C9" s="13" t="n">
        <f aca="false">SUMIF(Data!$F$2:$F$2797,$A9,Data!$C$2:$C$2797)</f>
        <v>36</v>
      </c>
      <c r="D9" s="13" t="n">
        <f aca="false">SUMIF(Data!$F$2:$F$2797,$A9,Data!$D$2:$D$2797)</f>
        <v>460</v>
      </c>
      <c r="E9" s="13" t="n">
        <f aca="false">B9-C9-D9</f>
        <v>3027</v>
      </c>
      <c r="F9" s="14" t="n">
        <f aca="false">B9/B$13</f>
        <v>0.041947966898851</v>
      </c>
      <c r="G9" s="14" t="n">
        <f aca="false">C9/C$13</f>
        <v>0.0208333333333333</v>
      </c>
      <c r="H9" s="14" t="n">
        <f aca="false">IF(B9&gt;0,C9/B9,0)</f>
        <v>0.0102185637240988</v>
      </c>
      <c r="I9" s="14" t="n">
        <f aca="false">IF(B9&gt;0,D9/B9,0)</f>
        <v>0.130570536474596</v>
      </c>
      <c r="J9" s="13" t="n">
        <f aca="false">COUNTIF(Data!$F$2:$F$2797,$A9)</f>
        <v>74</v>
      </c>
      <c r="K9" s="26" t="n">
        <f aca="false">H9/$H$13</f>
        <v>0.49664703377803</v>
      </c>
    </row>
    <row r="10" customFormat="false" ht="15" hidden="false" customHeight="false" outlineLevel="0" collapsed="false">
      <c r="A10" s="12" t="s">
        <v>75</v>
      </c>
      <c r="B10" s="13" t="n">
        <f aca="false">SUMIF(Data!$F$2:$F$2797,$A10,Data!$B$2:$B$2797)</f>
        <v>786</v>
      </c>
      <c r="C10" s="13" t="n">
        <f aca="false">SUMIF(Data!$F$2:$F$2797,$A10,Data!$C$2:$C$2797)</f>
        <v>24</v>
      </c>
      <c r="D10" s="13" t="n">
        <f aca="false">SUMIF(Data!$F$2:$F$2797,$A10,Data!$D$2:$D$2797)</f>
        <v>362</v>
      </c>
      <c r="E10" s="13" t="n">
        <f aca="false">B10-C10-D10</f>
        <v>400</v>
      </c>
      <c r="F10" s="14" t="n">
        <f aca="false">B10/B$13</f>
        <v>0.00935881407394178</v>
      </c>
      <c r="G10" s="14" t="n">
        <f aca="false">C10/C$13</f>
        <v>0.0138888888888889</v>
      </c>
      <c r="H10" s="14" t="n">
        <f aca="false">IF(B10&gt;0,C10/B10,0)</f>
        <v>0.0305343511450382</v>
      </c>
      <c r="I10" s="14" t="n">
        <f aca="false">IF(B10&gt;0,D10/B10,0)</f>
        <v>0.460559796437659</v>
      </c>
      <c r="J10" s="13" t="n">
        <f aca="false">COUNTIF(Data!$F$2:$F$2797,$A10)</f>
        <v>188</v>
      </c>
      <c r="K10" s="26" t="n">
        <f aca="false">H10/$H$13</f>
        <v>1.48404368108567</v>
      </c>
    </row>
    <row r="11" customFormat="false" ht="15" hidden="false" customHeight="false" outlineLevel="0" collapsed="false">
      <c r="A11" s="12" t="s">
        <v>76</v>
      </c>
      <c r="B11" s="13" t="n">
        <f aca="false">SUMIF(Data!$F$2:$F$2797,$A11,Data!$B$2:$B$2797)</f>
        <v>285</v>
      </c>
      <c r="C11" s="13" t="n">
        <f aca="false">SUMIF(Data!$F$2:$F$2797,$A11,Data!$C$2:$C$2797)</f>
        <v>6</v>
      </c>
      <c r="D11" s="13" t="n">
        <f aca="false">SUMIF(Data!$F$2:$F$2797,$A11,Data!$D$2:$D$2797)</f>
        <v>110</v>
      </c>
      <c r="E11" s="13" t="n">
        <f aca="false">B11-C11-D11</f>
        <v>169</v>
      </c>
      <c r="F11" s="14" t="n">
        <f aca="false">B11/B$13</f>
        <v>0.003393463118414</v>
      </c>
      <c r="G11" s="14" t="n">
        <f aca="false">C11/C$13</f>
        <v>0.00347222222222222</v>
      </c>
      <c r="H11" s="14" t="n">
        <f aca="false">IF(B11&gt;0,C11/B11,0)</f>
        <v>0.0210526315789474</v>
      </c>
      <c r="I11" s="14" t="n">
        <f aca="false">IF(B11&gt;0,D11/B11,0)</f>
        <v>0.385964912280702</v>
      </c>
      <c r="J11" s="13" t="n">
        <f aca="false">COUNTIF(Data!$F$2:$F$2797,$A11)</f>
        <v>54</v>
      </c>
      <c r="K11" s="26" t="n">
        <f aca="false">H11/$H$13</f>
        <v>1.02320906432749</v>
      </c>
    </row>
    <row r="12" customFormat="false" ht="15" hidden="false" customHeight="false" outlineLevel="0" collapsed="false">
      <c r="A12" s="12" t="s">
        <v>77</v>
      </c>
      <c r="B12" s="13" t="n">
        <f aca="false">SUMIF(Data!$F$2:$F$2797,$A12,Data!$B$2:$B$2797)</f>
        <v>53</v>
      </c>
      <c r="C12" s="13" t="n">
        <f aca="false">SUMIF(Data!$F$2:$F$2797,$A12,Data!$C$2:$C$2797)</f>
        <v>1</v>
      </c>
      <c r="D12" s="13" t="n">
        <f aca="false">SUMIF(Data!$F$2:$F$2797,$A12,Data!$D$2:$D$2797)</f>
        <v>15</v>
      </c>
      <c r="E12" s="13" t="n">
        <f aca="false">B12-C12-D12</f>
        <v>37</v>
      </c>
      <c r="F12" s="14" t="n">
        <f aca="false">B12/B$13</f>
        <v>0.000631065071143657</v>
      </c>
      <c r="G12" s="14" t="n">
        <f aca="false">C12/C$13</f>
        <v>0.000578703703703704</v>
      </c>
      <c r="H12" s="14" t="n">
        <f aca="false">IF(B12&gt;0,C12/B12,0)</f>
        <v>0.0188679245283019</v>
      </c>
      <c r="I12" s="14" t="n">
        <f aca="false">IF(B12&gt;0,D12/B12,0)</f>
        <v>0.283018867924528</v>
      </c>
      <c r="J12" s="13" t="n">
        <f aca="false">COUNTIF(Data!$F$2:$F$2797,$A12)</f>
        <v>36</v>
      </c>
      <c r="K12" s="26" t="n">
        <f aca="false">H12/$H$13</f>
        <v>0.917026991614256</v>
      </c>
    </row>
    <row r="13" customFormat="false" ht="15" hidden="false" customHeight="false" outlineLevel="0" collapsed="false">
      <c r="A13" s="20" t="s">
        <v>78</v>
      </c>
      <c r="B13" s="22" t="n">
        <f aca="false">SUM(B5:B12)</f>
        <v>83985</v>
      </c>
      <c r="C13" s="22" t="n">
        <f aca="false">SUM(C5:C12)</f>
        <v>1728</v>
      </c>
      <c r="D13" s="22" t="n">
        <f aca="false">SUM(D5:D12)</f>
        <v>24753</v>
      </c>
      <c r="E13" s="22" t="n">
        <f aca="false">SUM(E5:E12)</f>
        <v>57504</v>
      </c>
      <c r="F13" s="25" t="n">
        <f aca="false">SUM(F5:F12)</f>
        <v>1</v>
      </c>
      <c r="G13" s="25" t="n">
        <f aca="false">SUM(G5:G12)</f>
        <v>1</v>
      </c>
      <c r="H13" s="25" t="n">
        <f aca="false">C13/B13</f>
        <v>0.0205751026969102</v>
      </c>
      <c r="I13" s="25" t="n">
        <f aca="false">D13/B13</f>
        <v>0.294731202000357</v>
      </c>
      <c r="J13" s="22" t="n">
        <f aca="false">SUM(J5:J12)</f>
        <v>2796</v>
      </c>
      <c r="K13" s="27" t="n">
        <f aca="false">H13/$H$13</f>
        <v>1</v>
      </c>
    </row>
    <row r="14" customFormat="false" ht="15" hidden="false" customHeight="false" outlineLevel="0" collapsed="false">
      <c r="A14" s="12" t="s">
        <v>79</v>
      </c>
      <c r="B14" s="28" t="n">
        <v>1000</v>
      </c>
    </row>
    <row r="15" customFormat="false" ht="15" hidden="false" customHeight="false" outlineLevel="0" collapsed="false">
      <c r="A15" s="12" t="s">
        <v>80</v>
      </c>
      <c r="B15" s="12" t="str">
        <f aca="false">INDEX(A5:A12,MATCH(C15,H5:H12,0))</f>
        <v>Khyber Pakhtunkhwa</v>
      </c>
      <c r="C15" s="14" t="n">
        <f aca="false">_xlfn.MAXIFS(H5:H12,B5:B12,"&gt;="&amp;$B$14)</f>
        <v>0.0461058582707866</v>
      </c>
    </row>
    <row r="16" customFormat="false" ht="15" hidden="false" customHeight="false" outlineLevel="0" collapsed="false">
      <c r="A16" s="12" t="s">
        <v>81</v>
      </c>
      <c r="B16" s="14" t="n">
        <f aca="false">_xlfn.MINIFS(I5:I12,B5:B12,"&gt;="&amp;$B$14)</f>
        <v>0.130570536474596</v>
      </c>
      <c r="C16" s="14" t="n">
        <f aca="false">_xlfn.MAXIFS(I5:I12,B5:B12,"&gt;="&amp;$B$14)</f>
        <v>0.481009191064581</v>
      </c>
    </row>
    <row r="17" customFormat="false" ht="27.75" hidden="false" customHeight="true" outlineLevel="0" collapsed="false">
      <c r="A17" s="19" t="s">
        <v>82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</row>
    <row r="19" customFormat="false" ht="15" hidden="false" customHeight="false" outlineLevel="0" collapsed="false">
      <c r="A19" s="8" t="s">
        <v>83</v>
      </c>
    </row>
    <row r="20" customFormat="false" ht="31.5" hidden="false" customHeight="true" outlineLevel="0" collapsed="false">
      <c r="A20" s="10" t="s">
        <v>63</v>
      </c>
      <c r="B20" s="29" t="n">
        <f aca="false">Monthly!A5</f>
        <v>43862</v>
      </c>
      <c r="C20" s="29" t="n">
        <f aca="false">Monthly!A6</f>
        <v>43891</v>
      </c>
      <c r="D20" s="29" t="n">
        <f aca="false">Monthly!A7</f>
        <v>43922</v>
      </c>
      <c r="E20" s="29" t="n">
        <f aca="false">Monthly!A8</f>
        <v>43952</v>
      </c>
      <c r="F20" s="29" t="n">
        <f aca="false">Monthly!A9</f>
        <v>43983</v>
      </c>
      <c r="G20" s="10" t="s">
        <v>53</v>
      </c>
      <c r="H20" s="10" t="s">
        <v>84</v>
      </c>
    </row>
    <row r="21" customFormat="false" ht="15" hidden="false" customHeight="false" outlineLevel="0" collapsed="false">
      <c r="A21" s="12" t="str">
        <f aca="false">A5</f>
        <v>Sindh</v>
      </c>
      <c r="B21" s="13" t="n">
        <f aca="false">SUMIFS(Data!$B$2:$B$2797,Data!$F$2:$F$2797,$A21,Data!$H$2:$H$2797,B$20)</f>
        <v>3</v>
      </c>
      <c r="C21" s="13" t="n">
        <f aca="false">SUMIFS(Data!$B$2:$B$2797,Data!$F$2:$F$2797,$A21,Data!$H$2:$H$2797,C$20)</f>
        <v>643</v>
      </c>
      <c r="D21" s="13" t="n">
        <f aca="false">SUMIFS(Data!$B$2:$B$2797,Data!$F$2:$F$2797,$A21,Data!$H$2:$H$2797,D$20)</f>
        <v>5355</v>
      </c>
      <c r="E21" s="13" t="n">
        <f aca="false">SUMIFS(Data!$B$2:$B$2797,Data!$F$2:$F$2797,$A21,Data!$H$2:$H$2797,E$20)</f>
        <v>22192</v>
      </c>
      <c r="F21" s="13" t="n">
        <f aca="false">SUMIFS(Data!$B$2:$B$2797,Data!$F$2:$F$2797,$A21,Data!$H$2:$H$2797,F$20)</f>
        <v>4665</v>
      </c>
      <c r="G21" s="13" t="n">
        <f aca="false">SUM(B21:F21)</f>
        <v>32858</v>
      </c>
      <c r="H21" s="30" t="n">
        <f aca="false">G21-B5</f>
        <v>0</v>
      </c>
    </row>
    <row r="22" customFormat="false" ht="15" hidden="false" customHeight="false" outlineLevel="0" collapsed="false">
      <c r="A22" s="12" t="str">
        <f aca="false">A6</f>
        <v>Punjab</v>
      </c>
      <c r="B22" s="13" t="n">
        <f aca="false">SUMIFS(Data!$B$2:$B$2797,Data!$F$2:$F$2797,$A22,Data!$H$2:$H$2797,B$20)</f>
        <v>0</v>
      </c>
      <c r="C22" s="13" t="n">
        <f aca="false">SUMIFS(Data!$B$2:$B$2797,Data!$F$2:$F$2797,$A22,Data!$H$2:$H$2797,C$20)</f>
        <v>674</v>
      </c>
      <c r="D22" s="13" t="n">
        <f aca="false">SUMIFS(Data!$B$2:$B$2797,Data!$F$2:$F$2797,$A22,Data!$H$2:$H$2797,D$20)</f>
        <v>5658</v>
      </c>
      <c r="E22" s="13" t="n">
        <f aca="false">SUMIFS(Data!$B$2:$B$2797,Data!$F$2:$F$2797,$A22,Data!$H$2:$H$2797,E$20)</f>
        <v>19900</v>
      </c>
      <c r="F22" s="13" t="n">
        <f aca="false">SUMIFS(Data!$B$2:$B$2797,Data!$F$2:$F$2797,$A22,Data!$H$2:$H$2797,F$20)</f>
        <v>4864</v>
      </c>
      <c r="G22" s="13" t="n">
        <f aca="false">SUM(B22:F22)</f>
        <v>31096</v>
      </c>
      <c r="H22" s="30" t="n">
        <f aca="false">G22-B6</f>
        <v>0</v>
      </c>
    </row>
    <row r="23" customFormat="false" ht="15" hidden="false" customHeight="false" outlineLevel="0" collapsed="false">
      <c r="A23" s="12" t="str">
        <f aca="false">A7</f>
        <v>Khyber Pakhtunkhwa</v>
      </c>
      <c r="B23" s="13" t="n">
        <f aca="false">SUMIFS(Data!$B$2:$B$2797,Data!$F$2:$F$2797,$A23,Data!$H$2:$H$2797,B$20)</f>
        <v>0</v>
      </c>
      <c r="C23" s="13" t="n">
        <f aca="false">SUMIFS(Data!$B$2:$B$2797,Data!$F$2:$F$2797,$A23,Data!$H$2:$H$2797,C$20)</f>
        <v>249</v>
      </c>
      <c r="D23" s="13" t="n">
        <f aca="false">SUMIFS(Data!$B$2:$B$2797,Data!$F$2:$F$2797,$A23,Data!$H$2:$H$2797,D$20)</f>
        <v>1969</v>
      </c>
      <c r="E23" s="13" t="n">
        <f aca="false">SUMIFS(Data!$B$2:$B$2797,Data!$F$2:$F$2797,$A23,Data!$H$2:$H$2797,E$20)</f>
        <v>6711</v>
      </c>
      <c r="F23" s="13" t="n">
        <f aca="false">SUMIFS(Data!$B$2:$B$2797,Data!$F$2:$F$2797,$A23,Data!$H$2:$H$2797,F$20)</f>
        <v>1330</v>
      </c>
      <c r="G23" s="13" t="n">
        <f aca="false">SUM(B23:F23)</f>
        <v>10259</v>
      </c>
      <c r="H23" s="30" t="n">
        <f aca="false">G23-B7</f>
        <v>0</v>
      </c>
    </row>
    <row r="24" customFormat="false" ht="15" hidden="false" customHeight="false" outlineLevel="0" collapsed="false">
      <c r="A24" s="12" t="str">
        <f aca="false">A8</f>
        <v>Baluchistan</v>
      </c>
      <c r="B24" s="13" t="n">
        <f aca="false">SUMIFS(Data!$B$2:$B$2797,Data!$F$2:$F$2797,$A24,Data!$H$2:$H$2797,B$20)</f>
        <v>0</v>
      </c>
      <c r="C24" s="13" t="n">
        <f aca="false">SUMIFS(Data!$B$2:$B$2797,Data!$F$2:$F$2797,$A24,Data!$H$2:$H$2797,C$20)</f>
        <v>149</v>
      </c>
      <c r="D24" s="13" t="n">
        <f aca="false">SUMIFS(Data!$B$2:$B$2797,Data!$F$2:$F$2797,$A24,Data!$H$2:$H$2797,D$20)</f>
        <v>883</v>
      </c>
      <c r="E24" s="13" t="n">
        <f aca="false">SUMIFS(Data!$B$2:$B$2797,Data!$F$2:$F$2797,$A24,Data!$H$2:$H$2797,E$20)</f>
        <v>3262</v>
      </c>
      <c r="F24" s="13" t="n">
        <f aca="false">SUMIFS(Data!$B$2:$B$2797,Data!$F$2:$F$2797,$A24,Data!$H$2:$H$2797,F$20)</f>
        <v>831</v>
      </c>
      <c r="G24" s="13" t="n">
        <f aca="false">SUM(B24:F24)</f>
        <v>5125</v>
      </c>
      <c r="H24" s="30" t="n">
        <f aca="false">G24-B8</f>
        <v>0</v>
      </c>
    </row>
    <row r="25" customFormat="false" ht="15" hidden="false" customHeight="false" outlineLevel="0" collapsed="false">
      <c r="A25" s="12" t="str">
        <f aca="false">A9</f>
        <v>Islamabad Capital Territory</v>
      </c>
      <c r="B25" s="13" t="n">
        <f aca="false">SUMIFS(Data!$B$2:$B$2797,Data!$F$2:$F$2797,$A25,Data!$H$2:$H$2797,B$20)</f>
        <v>2</v>
      </c>
      <c r="C25" s="13" t="n">
        <f aca="false">SUMIFS(Data!$B$2:$B$2797,Data!$F$2:$F$2797,$A25,Data!$H$2:$H$2797,C$20)</f>
        <v>52</v>
      </c>
      <c r="D25" s="13" t="n">
        <f aca="false">SUMIFS(Data!$B$2:$B$2797,Data!$F$2:$F$2797,$A25,Data!$H$2:$H$2797,D$20)</f>
        <v>264</v>
      </c>
      <c r="E25" s="13" t="n">
        <f aca="false">SUMIFS(Data!$B$2:$B$2797,Data!$F$2:$F$2797,$A25,Data!$H$2:$H$2797,E$20)</f>
        <v>2250</v>
      </c>
      <c r="F25" s="13" t="n">
        <f aca="false">SUMIFS(Data!$B$2:$B$2797,Data!$F$2:$F$2797,$A25,Data!$H$2:$H$2797,F$20)</f>
        <v>955</v>
      </c>
      <c r="G25" s="13" t="n">
        <f aca="false">SUM(B25:F25)</f>
        <v>3523</v>
      </c>
      <c r="H25" s="30" t="n">
        <f aca="false">G25-B9</f>
        <v>0</v>
      </c>
    </row>
    <row r="26" customFormat="false" ht="15" hidden="false" customHeight="false" outlineLevel="0" collapsed="false">
      <c r="A26" s="12" t="str">
        <f aca="false">A10</f>
        <v>Gilgit-Baltistan</v>
      </c>
      <c r="B26" s="13" t="n">
        <f aca="false">SUMIFS(Data!$B$2:$B$2797,Data!$F$2:$F$2797,$A26,Data!$H$2:$H$2797,B$20)</f>
        <v>0</v>
      </c>
      <c r="C26" s="13" t="n">
        <f aca="false">SUMIFS(Data!$B$2:$B$2797,Data!$F$2:$F$2797,$A26,Data!$H$2:$H$2797,C$20)</f>
        <v>187</v>
      </c>
      <c r="D26" s="13" t="n">
        <f aca="false">SUMIFS(Data!$B$2:$B$2797,Data!$F$2:$F$2797,$A26,Data!$H$2:$H$2797,D$20)</f>
        <v>152</v>
      </c>
      <c r="E26" s="13" t="n">
        <f aca="false">SUMIFS(Data!$B$2:$B$2797,Data!$F$2:$F$2797,$A26,Data!$H$2:$H$2797,E$20)</f>
        <v>331</v>
      </c>
      <c r="F26" s="13" t="n">
        <f aca="false">SUMIFS(Data!$B$2:$B$2797,Data!$F$2:$F$2797,$A26,Data!$H$2:$H$2797,F$20)</f>
        <v>116</v>
      </c>
      <c r="G26" s="13" t="n">
        <f aca="false">SUM(B26:F26)</f>
        <v>786</v>
      </c>
      <c r="H26" s="30" t="n">
        <f aca="false">G26-B10</f>
        <v>0</v>
      </c>
    </row>
    <row r="27" customFormat="false" ht="15" hidden="false" customHeight="false" outlineLevel="0" collapsed="false">
      <c r="A27" s="12" t="str">
        <f aca="false">A11</f>
        <v>Azad Jummu Kashmir</v>
      </c>
      <c r="B27" s="13" t="n">
        <f aca="false">SUMIFS(Data!$B$2:$B$2797,Data!$F$2:$F$2797,$A27,Data!$H$2:$H$2797,B$20)</f>
        <v>0</v>
      </c>
      <c r="C27" s="13" t="n">
        <f aca="false">SUMIFS(Data!$B$2:$B$2797,Data!$F$2:$F$2797,$A27,Data!$H$2:$H$2797,C$20)</f>
        <v>6</v>
      </c>
      <c r="D27" s="13" t="n">
        <f aca="false">SUMIFS(Data!$B$2:$B$2797,Data!$F$2:$F$2797,$A27,Data!$H$2:$H$2797,D$20)</f>
        <v>60</v>
      </c>
      <c r="E27" s="13" t="n">
        <f aca="false">SUMIFS(Data!$B$2:$B$2797,Data!$F$2:$F$2797,$A27,Data!$H$2:$H$2797,E$20)</f>
        <v>189</v>
      </c>
      <c r="F27" s="13" t="n">
        <f aca="false">SUMIFS(Data!$B$2:$B$2797,Data!$F$2:$F$2797,$A27,Data!$H$2:$H$2797,F$20)</f>
        <v>30</v>
      </c>
      <c r="G27" s="13" t="n">
        <f aca="false">SUM(B27:F27)</f>
        <v>285</v>
      </c>
      <c r="H27" s="30" t="n">
        <f aca="false">G27-B11</f>
        <v>0</v>
      </c>
    </row>
    <row r="28" customFormat="false" ht="15" hidden="false" customHeight="false" outlineLevel="0" collapsed="false">
      <c r="A28" s="12" t="str">
        <f aca="false">A12</f>
        <v>Federal Administration Tribal Area</v>
      </c>
      <c r="B28" s="13" t="n">
        <f aca="false">SUMIFS(Data!$B$2:$B$2797,Data!$F$2:$F$2797,$A28,Data!$H$2:$H$2797,B$20)</f>
        <v>0</v>
      </c>
      <c r="C28" s="13" t="n">
        <f aca="false">SUMIFS(Data!$B$2:$B$2797,Data!$F$2:$F$2797,$A28,Data!$H$2:$H$2797,C$20)</f>
        <v>5</v>
      </c>
      <c r="D28" s="13" t="n">
        <f aca="false">SUMIFS(Data!$B$2:$B$2797,Data!$F$2:$F$2797,$A28,Data!$H$2:$H$2797,D$20)</f>
        <v>48</v>
      </c>
      <c r="E28" s="13" t="n">
        <f aca="false">SUMIFS(Data!$B$2:$B$2797,Data!$F$2:$F$2797,$A28,Data!$H$2:$H$2797,E$20)</f>
        <v>0</v>
      </c>
      <c r="F28" s="13" t="n">
        <f aca="false">SUMIFS(Data!$B$2:$B$2797,Data!$F$2:$F$2797,$A28,Data!$H$2:$H$2797,F$20)</f>
        <v>0</v>
      </c>
      <c r="G28" s="13" t="n">
        <f aca="false">SUM(B28:F28)</f>
        <v>53</v>
      </c>
      <c r="H28" s="30" t="n">
        <f aca="false">G28-B12</f>
        <v>0</v>
      </c>
    </row>
    <row r="29" customFormat="false" ht="15" hidden="false" customHeight="false" outlineLevel="0" collapsed="false">
      <c r="A29" s="20" t="s">
        <v>78</v>
      </c>
      <c r="B29" s="22" t="n">
        <f aca="false">SUM(B21:B28)</f>
        <v>5</v>
      </c>
      <c r="C29" s="22" t="n">
        <f aca="false">SUM(C21:C28)</f>
        <v>1965</v>
      </c>
      <c r="D29" s="22" t="n">
        <f aca="false">SUM(D21:D28)</f>
        <v>14389</v>
      </c>
      <c r="E29" s="22" t="n">
        <f aca="false">SUM(E21:E28)</f>
        <v>54835</v>
      </c>
      <c r="F29" s="22" t="n">
        <f aca="false">SUM(F21:F28)</f>
        <v>12791</v>
      </c>
      <c r="G29" s="22" t="n">
        <f aca="false">SUM(G21:G28)</f>
        <v>83985</v>
      </c>
      <c r="H29" s="31" t="n">
        <f aca="false">G29-B13</f>
        <v>0</v>
      </c>
    </row>
    <row r="32" customFormat="false" ht="15" hidden="false" customHeight="false" outlineLevel="0" collapsed="false">
      <c r="A32" s="8" t="s">
        <v>85</v>
      </c>
    </row>
    <row r="33" customFormat="false" ht="31.5" hidden="false" customHeight="true" outlineLevel="0" collapsed="false">
      <c r="A33" s="10" t="s">
        <v>63</v>
      </c>
      <c r="B33" s="29" t="n">
        <f aca="false">Monthly!A5</f>
        <v>43862</v>
      </c>
      <c r="C33" s="29" t="n">
        <f aca="false">Monthly!A6</f>
        <v>43891</v>
      </c>
      <c r="D33" s="29" t="n">
        <f aca="false">Monthly!A7</f>
        <v>43922</v>
      </c>
      <c r="E33" s="29" t="n">
        <f aca="false">Monthly!A8</f>
        <v>43952</v>
      </c>
      <c r="F33" s="29" t="n">
        <f aca="false">Monthly!A9</f>
        <v>43983</v>
      </c>
    </row>
    <row r="34" customFormat="false" ht="15" hidden="false" customHeight="false" outlineLevel="0" collapsed="false">
      <c r="A34" s="12" t="str">
        <f aca="false">A5</f>
        <v>Sindh</v>
      </c>
      <c r="B34" s="14" t="n">
        <f aca="false">IF(B$29&gt;0,B21/B$29,0)</f>
        <v>0.6</v>
      </c>
      <c r="C34" s="14" t="n">
        <f aca="false">IF(C$29&gt;0,C21/C$29,0)</f>
        <v>0.327226463104326</v>
      </c>
      <c r="D34" s="14" t="n">
        <f aca="false">IF(D$29&gt;0,D21/D$29,0)</f>
        <v>0.372159288345264</v>
      </c>
      <c r="E34" s="14" t="n">
        <f aca="false">IF(E$29&gt;0,E21/E$29,0)</f>
        <v>0.404705024163399</v>
      </c>
      <c r="F34" s="14" t="n">
        <f aca="false">IF(F$29&gt;0,F21/F$29,0)</f>
        <v>0.364709561410367</v>
      </c>
    </row>
    <row r="35" customFormat="false" ht="15" hidden="false" customHeight="false" outlineLevel="0" collapsed="false">
      <c r="A35" s="12" t="str">
        <f aca="false">A6</f>
        <v>Punjab</v>
      </c>
      <c r="B35" s="14" t="n">
        <f aca="false">IF(B$29&gt;0,B22/B$29,0)</f>
        <v>0</v>
      </c>
      <c r="C35" s="14" t="n">
        <f aca="false">IF(C$29&gt;0,C22/C$29,0)</f>
        <v>0.343002544529262</v>
      </c>
      <c r="D35" s="14" t="n">
        <f aca="false">IF(D$29&gt;0,D22/D$29,0)</f>
        <v>0.393217040795052</v>
      </c>
      <c r="E35" s="14" t="n">
        <f aca="false">IF(E$29&gt;0,E22/E$29,0)</f>
        <v>0.362906902525759</v>
      </c>
      <c r="F35" s="14" t="n">
        <f aca="false">IF(F$29&gt;0,F22/F$29,0)</f>
        <v>0.380267375498397</v>
      </c>
    </row>
    <row r="36" customFormat="false" ht="15" hidden="false" customHeight="false" outlineLevel="0" collapsed="false">
      <c r="A36" s="12" t="str">
        <f aca="false">A7</f>
        <v>Khyber Pakhtunkhwa</v>
      </c>
      <c r="B36" s="14" t="n">
        <f aca="false">IF(B$29&gt;0,B23/B$29,0)</f>
        <v>0</v>
      </c>
      <c r="C36" s="14" t="n">
        <f aca="false">IF(C$29&gt;0,C23/C$29,0)</f>
        <v>0.126717557251908</v>
      </c>
      <c r="D36" s="14" t="n">
        <f aca="false">IF(D$29&gt;0,D23/D$29,0)</f>
        <v>0.136840642157203</v>
      </c>
      <c r="E36" s="14" t="n">
        <f aca="false">IF(E$29&gt;0,E23/E$29,0)</f>
        <v>0.122385337831677</v>
      </c>
      <c r="F36" s="14" t="n">
        <f aca="false">IF(F$29&gt;0,F23/F$29,0)</f>
        <v>0.103979360487843</v>
      </c>
    </row>
    <row r="37" customFormat="false" ht="15" hidden="false" customHeight="false" outlineLevel="0" collapsed="false">
      <c r="A37" s="12" t="str">
        <f aca="false">A8</f>
        <v>Baluchistan</v>
      </c>
      <c r="B37" s="14" t="n">
        <f aca="false">IF(B$29&gt;0,B24/B$29,0)</f>
        <v>0</v>
      </c>
      <c r="C37" s="14" t="n">
        <f aca="false">IF(C$29&gt;0,C24/C$29,0)</f>
        <v>0.0758269720101781</v>
      </c>
      <c r="D37" s="14" t="n">
        <f aca="false">IF(D$29&gt;0,D24/D$29,0)</f>
        <v>0.0613663214955869</v>
      </c>
      <c r="E37" s="14" t="n">
        <f aca="false">IF(E$29&gt;0,E24/E$29,0)</f>
        <v>0.0594875535698003</v>
      </c>
      <c r="F37" s="14" t="n">
        <f aca="false">IF(F$29&gt;0,F24/F$29,0)</f>
        <v>0.064967555312329</v>
      </c>
    </row>
    <row r="38" customFormat="false" ht="15" hidden="false" customHeight="false" outlineLevel="0" collapsed="false">
      <c r="A38" s="12" t="str">
        <f aca="false">A9</f>
        <v>Islamabad Capital Territory</v>
      </c>
      <c r="B38" s="14" t="n">
        <f aca="false">IF(B$29&gt;0,B25/B$29,0)</f>
        <v>0.4</v>
      </c>
      <c r="C38" s="14" t="n">
        <f aca="false">IF(C$29&gt;0,C25/C$29,0)</f>
        <v>0.0264631043256997</v>
      </c>
      <c r="D38" s="14" t="n">
        <f aca="false">IF(D$29&gt;0,D25/D$29,0)</f>
        <v>0.0183473486691222</v>
      </c>
      <c r="E38" s="14" t="n">
        <f aca="false">IF(E$29&gt;0,E25/E$29,0)</f>
        <v>0.0410321874715054</v>
      </c>
      <c r="F38" s="14" t="n">
        <f aca="false">IF(F$29&gt;0,F25/F$29,0)</f>
        <v>0.0746618716284888</v>
      </c>
    </row>
    <row r="39" customFormat="false" ht="15" hidden="false" customHeight="false" outlineLevel="0" collapsed="false">
      <c r="A39" s="12" t="str">
        <f aca="false">A10</f>
        <v>Gilgit-Baltistan</v>
      </c>
      <c r="B39" s="14" t="n">
        <f aca="false">IF(B$29&gt;0,B26/B$29,0)</f>
        <v>0</v>
      </c>
      <c r="C39" s="14" t="n">
        <f aca="false">IF(C$29&gt;0,C26/C$29,0)</f>
        <v>0.0951653944020356</v>
      </c>
      <c r="D39" s="14" t="n">
        <f aca="false">IF(D$29&gt;0,D26/D$29,0)</f>
        <v>0.0105636249913128</v>
      </c>
      <c r="E39" s="14" t="n">
        <f aca="false">IF(E$29&gt;0,E26/E$29,0)</f>
        <v>0.00603629069025258</v>
      </c>
      <c r="F39" s="14" t="n">
        <f aca="false">IF(F$29&gt;0,F26/F$29,0)</f>
        <v>0.00906887655382691</v>
      </c>
    </row>
    <row r="40" customFormat="false" ht="15" hidden="false" customHeight="false" outlineLevel="0" collapsed="false">
      <c r="A40" s="12" t="str">
        <f aca="false">A11</f>
        <v>Azad Jummu Kashmir</v>
      </c>
      <c r="B40" s="14" t="n">
        <f aca="false">IF(B$29&gt;0,B27/B$29,0)</f>
        <v>0</v>
      </c>
      <c r="C40" s="14" t="n">
        <f aca="false">IF(C$29&gt;0,C27/C$29,0)</f>
        <v>0.00305343511450382</v>
      </c>
      <c r="D40" s="14" t="n">
        <f aca="false">IF(D$29&gt;0,D27/D$29,0)</f>
        <v>0.00416985197025506</v>
      </c>
      <c r="E40" s="14" t="n">
        <f aca="false">IF(E$29&gt;0,E27/E$29,0)</f>
        <v>0.00344670374760646</v>
      </c>
      <c r="F40" s="14" t="n">
        <f aca="false">IF(F$29&gt;0,F27/F$29,0)</f>
        <v>0.00234539910874834</v>
      </c>
    </row>
    <row r="41" customFormat="false" ht="15" hidden="false" customHeight="false" outlineLevel="0" collapsed="false">
      <c r="A41" s="12" t="str">
        <f aca="false">A12</f>
        <v>Federal Administration Tribal Area</v>
      </c>
      <c r="B41" s="14" t="n">
        <f aca="false">IF(B$29&gt;0,B28/B$29,0)</f>
        <v>0</v>
      </c>
      <c r="C41" s="14" t="n">
        <f aca="false">IF(C$29&gt;0,C28/C$29,0)</f>
        <v>0.00254452926208651</v>
      </c>
      <c r="D41" s="14" t="n">
        <f aca="false">IF(D$29&gt;0,D28/D$29,0)</f>
        <v>0.00333588157620404</v>
      </c>
      <c r="E41" s="14" t="n">
        <f aca="false">IF(E$29&gt;0,E28/E$29,0)</f>
        <v>0</v>
      </c>
      <c r="F41" s="14" t="n">
        <f aca="false">IF(F$29&gt;0,F28/F$29,0)</f>
        <v>0</v>
      </c>
    </row>
  </sheetData>
  <mergeCells count="1">
    <mergeCell ref="A17:K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J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5" min="4" style="0" width="10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1.5" hidden="false" customHeight="true" outlineLevel="0" collapsed="false">
      <c r="A4" s="10" t="s">
        <v>88</v>
      </c>
      <c r="B4" s="10" t="s">
        <v>89</v>
      </c>
      <c r="C4" s="10" t="s">
        <v>63</v>
      </c>
      <c r="D4" s="10" t="s">
        <v>47</v>
      </c>
      <c r="E4" s="10" t="s">
        <v>48</v>
      </c>
      <c r="F4" s="10" t="s">
        <v>64</v>
      </c>
      <c r="G4" s="10" t="s">
        <v>66</v>
      </c>
      <c r="H4" s="10" t="s">
        <v>90</v>
      </c>
      <c r="I4" s="10" t="s">
        <v>58</v>
      </c>
      <c r="J4" s="10" t="s">
        <v>68</v>
      </c>
    </row>
    <row r="5" customFormat="false" ht="15" hidden="false" customHeight="false" outlineLevel="0" collapsed="false">
      <c r="A5" s="15" t="n">
        <v>1</v>
      </c>
      <c r="B5" s="12" t="s">
        <v>91</v>
      </c>
      <c r="C5" s="12" t="str">
        <f aca="false">INDEX(Data!$F$2:$F$2797,MATCH(B5,Data!$G$2:$G$2797,0))</f>
        <v>Sindh</v>
      </c>
      <c r="D5" s="13" t="n">
        <f aca="false">SUMIF(Data!$G$2:$G$2797,$B5,Data!$B$2:$B$2797)</f>
        <v>29346</v>
      </c>
      <c r="E5" s="13" t="n">
        <f aca="false">SUMIF(Data!$G$2:$G$2797,$B5,Data!$C$2:$C$2797)</f>
        <v>498</v>
      </c>
      <c r="F5" s="13" t="n">
        <f aca="false">SUMIF(Data!$G$2:$G$2797,$B5,Data!$D$2:$D$2797)</f>
        <v>13248</v>
      </c>
      <c r="G5" s="14" t="n">
        <f aca="false">D5/D$21</f>
        <v>0.349419539203429</v>
      </c>
      <c r="H5" s="14" t="n">
        <f aca="false">SUM(G$5:G5)</f>
        <v>0.349419539203429</v>
      </c>
      <c r="I5" s="14" t="n">
        <f aca="false">IF(D5&gt;0,E5/D5,0)</f>
        <v>0.0169699447965651</v>
      </c>
      <c r="J5" s="14" t="n">
        <f aca="false">IF(D5&gt;0,F5/D5,0)</f>
        <v>0.451441423021877</v>
      </c>
    </row>
    <row r="6" customFormat="false" ht="15" hidden="false" customHeight="false" outlineLevel="0" collapsed="false">
      <c r="A6" s="15" t="n">
        <v>2</v>
      </c>
      <c r="B6" s="12" t="s">
        <v>92</v>
      </c>
      <c r="C6" s="12" t="str">
        <f aca="false">INDEX(Data!$F$2:$F$2797,MATCH(B6,Data!$G$2:$G$2797,0))</f>
        <v>Punjab</v>
      </c>
      <c r="D6" s="13" t="n">
        <f aca="false">SUMIF(Data!$G$2:$G$2797,$B6,Data!$B$2:$B$2797)</f>
        <v>28015</v>
      </c>
      <c r="E6" s="13" t="n">
        <f aca="false">SUMIF(Data!$G$2:$G$2797,$B6,Data!$C$2:$C$2797)</f>
        <v>582</v>
      </c>
      <c r="F6" s="13" t="n">
        <f aca="false">SUMIF(Data!$G$2:$G$2797,$B6,Data!$D$2:$D$2797)</f>
        <v>3853</v>
      </c>
      <c r="G6" s="14" t="n">
        <f aca="false">D6/D$21</f>
        <v>0.333571471096029</v>
      </c>
      <c r="H6" s="14" t="n">
        <f aca="false">SUM(G$5:G6)</f>
        <v>0.682991010299458</v>
      </c>
      <c r="I6" s="14" t="n">
        <f aca="false">IF(D6&gt;0,E6/D6,0)</f>
        <v>0.0207745850437266</v>
      </c>
      <c r="J6" s="14" t="n">
        <f aca="false">IF(D6&gt;0,F6/D6,0)</f>
        <v>0.137533464215599</v>
      </c>
    </row>
    <row r="7" customFormat="false" ht="15" hidden="false" customHeight="false" outlineLevel="0" collapsed="false">
      <c r="A7" s="15" t="n">
        <v>3</v>
      </c>
      <c r="B7" s="12" t="s">
        <v>93</v>
      </c>
      <c r="C7" s="12" t="str">
        <f aca="false">INDEX(Data!$F$2:$F$2797,MATCH(B7,Data!$G$2:$G$2797,0))</f>
        <v>Baluchistan</v>
      </c>
      <c r="D7" s="13" t="n">
        <f aca="false">SUMIF(Data!$G$2:$G$2797,$B7,Data!$B$2:$B$2797)</f>
        <v>5109</v>
      </c>
      <c r="E7" s="13" t="n">
        <f aca="false">SUMIF(Data!$G$2:$G$2797,$B7,Data!$C$2:$C$2797)</f>
        <v>49</v>
      </c>
      <c r="F7" s="13" t="n">
        <f aca="false">SUMIF(Data!$G$2:$G$2797,$B7,Data!$D$2:$D$2797)</f>
        <v>1981</v>
      </c>
      <c r="G7" s="14" t="n">
        <f aca="false">D7/D$21</f>
        <v>0.0608322914806215</v>
      </c>
      <c r="H7" s="14" t="n">
        <f aca="false">SUM(G$5:G7)</f>
        <v>0.74382330178008</v>
      </c>
      <c r="I7" s="14" t="n">
        <f aca="false">IF(D7&gt;0,E7/D7,0)</f>
        <v>0.00959091798786455</v>
      </c>
      <c r="J7" s="14" t="n">
        <f aca="false">IF(D7&gt;0,F7/D7,0)</f>
        <v>0.387747112937953</v>
      </c>
    </row>
    <row r="8" customFormat="false" ht="15" hidden="false" customHeight="false" outlineLevel="0" collapsed="false">
      <c r="A8" s="15" t="n">
        <v>4</v>
      </c>
      <c r="B8" s="12" t="s">
        <v>94</v>
      </c>
      <c r="C8" s="12" t="str">
        <f aca="false">INDEX(Data!$F$2:$F$2797,MATCH(B8,Data!$G$2:$G$2797,0))</f>
        <v>Khyber Pakhtunkhwa</v>
      </c>
      <c r="D8" s="13" t="n">
        <f aca="false">SUMIF(Data!$G$2:$G$2797,$B8,Data!$B$2:$B$2797)</f>
        <v>4923</v>
      </c>
      <c r="E8" s="13" t="n">
        <f aca="false">SUMIF(Data!$G$2:$G$2797,$B8,Data!$C$2:$C$2797)</f>
        <v>265</v>
      </c>
      <c r="F8" s="13" t="n">
        <f aca="false">SUMIF(Data!$G$2:$G$2797,$B8,Data!$D$2:$D$2797)</f>
        <v>407</v>
      </c>
      <c r="G8" s="14" t="n">
        <f aca="false">D8/D$21</f>
        <v>0.0586176102875514</v>
      </c>
      <c r="H8" s="14" t="n">
        <f aca="false">SUM(G$5:G8)</f>
        <v>0.802440912067631</v>
      </c>
      <c r="I8" s="14" t="n">
        <f aca="false">IF(D8&gt;0,E8/D8,0)</f>
        <v>0.053828966077595</v>
      </c>
      <c r="J8" s="14" t="n">
        <f aca="false">IF(D8&gt;0,F8/D8,0)</f>
        <v>0.0826731667682308</v>
      </c>
    </row>
    <row r="9" customFormat="false" ht="15" hidden="false" customHeight="false" outlineLevel="0" collapsed="false">
      <c r="A9" s="15" t="n">
        <v>5</v>
      </c>
      <c r="B9" s="12" t="s">
        <v>95</v>
      </c>
      <c r="C9" s="12" t="str">
        <f aca="false">INDEX(Data!$F$2:$F$2797,MATCH(B9,Data!$G$2:$G$2797,0))</f>
        <v>Islamabad Capital Territory</v>
      </c>
      <c r="D9" s="13" t="n">
        <f aca="false">SUMIF(Data!$G$2:$G$2797,$B9,Data!$B$2:$B$2797)</f>
        <v>3523</v>
      </c>
      <c r="E9" s="13" t="n">
        <f aca="false">SUMIF(Data!$G$2:$G$2797,$B9,Data!$C$2:$C$2797)</f>
        <v>36</v>
      </c>
      <c r="F9" s="13" t="n">
        <f aca="false">SUMIF(Data!$G$2:$G$2797,$B9,Data!$D$2:$D$2797)</f>
        <v>460</v>
      </c>
      <c r="G9" s="14" t="n">
        <f aca="false">D9/D$21</f>
        <v>0.041947966898851</v>
      </c>
      <c r="H9" s="14" t="n">
        <f aca="false">SUM(G$5:G9)</f>
        <v>0.844388878966482</v>
      </c>
      <c r="I9" s="14" t="n">
        <f aca="false">IF(D9&gt;0,E9/D9,0)</f>
        <v>0.0102185637240988</v>
      </c>
      <c r="J9" s="14" t="n">
        <f aca="false">IF(D9&gt;0,F9/D9,0)</f>
        <v>0.130570536474596</v>
      </c>
    </row>
    <row r="10" customFormat="false" ht="15" hidden="false" customHeight="false" outlineLevel="0" collapsed="false">
      <c r="A10" s="15" t="n">
        <v>6</v>
      </c>
      <c r="B10" s="12" t="s">
        <v>96</v>
      </c>
      <c r="C10" s="12" t="str">
        <f aca="false">INDEX(Data!$F$2:$F$2797,MATCH(B10,Data!$G$2:$G$2797,0))</f>
        <v>Khyber Pakhtunkhwa</v>
      </c>
      <c r="D10" s="13" t="n">
        <f aca="false">SUMIF(Data!$G$2:$G$2797,$B10,Data!$B$2:$B$2797)</f>
        <v>958</v>
      </c>
      <c r="E10" s="13" t="n">
        <f aca="false">SUMIF(Data!$G$2:$G$2797,$B10,Data!$C$2:$C$2797)</f>
        <v>45</v>
      </c>
      <c r="F10" s="13" t="n">
        <f aca="false">SUMIF(Data!$G$2:$G$2797,$B10,Data!$D$2:$D$2797)</f>
        <v>266</v>
      </c>
      <c r="G10" s="14" t="n">
        <f aca="false">D10/D$21</f>
        <v>0.011406798833125</v>
      </c>
      <c r="H10" s="14" t="n">
        <f aca="false">SUM(G$5:G10)</f>
        <v>0.855795677799607</v>
      </c>
      <c r="I10" s="14" t="n">
        <f aca="false">IF(D10&gt;0,E10/D10,0)</f>
        <v>0.046972860125261</v>
      </c>
      <c r="J10" s="14" t="n">
        <f aca="false">IF(D10&gt;0,F10/D10,0)</f>
        <v>0.277661795407098</v>
      </c>
    </row>
    <row r="11" customFormat="false" ht="15" hidden="false" customHeight="false" outlineLevel="0" collapsed="false">
      <c r="A11" s="15" t="n">
        <v>7</v>
      </c>
      <c r="B11" s="12" t="s">
        <v>97</v>
      </c>
      <c r="C11" s="12" t="str">
        <f aca="false">INDEX(Data!$F$2:$F$2797,MATCH(B11,Data!$G$2:$G$2797,0))</f>
        <v>Punjab</v>
      </c>
      <c r="D11" s="13" t="n">
        <f aca="false">SUMIF(Data!$G$2:$G$2797,$B11,Data!$B$2:$B$2797)</f>
        <v>712</v>
      </c>
      <c r="E11" s="13" t="n">
        <f aca="false">SUMIF(Data!$G$2:$G$2797,$B11,Data!$C$2:$C$2797)</f>
        <v>2</v>
      </c>
      <c r="F11" s="13" t="n">
        <f aca="false">SUMIF(Data!$G$2:$G$2797,$B11,Data!$D$2:$D$2797)</f>
        <v>1</v>
      </c>
      <c r="G11" s="14" t="n">
        <f aca="false">D11/D$21</f>
        <v>0.00847770435196761</v>
      </c>
      <c r="H11" s="14" t="n">
        <f aca="false">SUM(G$5:G11)</f>
        <v>0.864273382151575</v>
      </c>
      <c r="I11" s="14" t="n">
        <f aca="false">IF(D11&gt;0,E11/D11,0)</f>
        <v>0.00280898876404494</v>
      </c>
      <c r="J11" s="14" t="n">
        <f aca="false">IF(D11&gt;0,F11/D11,0)</f>
        <v>0.00140449438202247</v>
      </c>
    </row>
    <row r="12" customFormat="false" ht="15" hidden="false" customHeight="false" outlineLevel="0" collapsed="false">
      <c r="A12" s="15" t="n">
        <v>8</v>
      </c>
      <c r="B12" s="12" t="s">
        <v>98</v>
      </c>
      <c r="C12" s="12" t="str">
        <f aca="false">INDEX(Data!$F$2:$F$2797,MATCH(B12,Data!$G$2:$G$2797,0))</f>
        <v>Sindh</v>
      </c>
      <c r="D12" s="13" t="n">
        <f aca="false">SUMIF(Data!$G$2:$G$2797,$B12,Data!$B$2:$B$2797)</f>
        <v>681</v>
      </c>
      <c r="E12" s="13" t="n">
        <f aca="false">SUMIF(Data!$G$2:$G$2797,$B12,Data!$C$2:$C$2797)</f>
        <v>5</v>
      </c>
      <c r="F12" s="13" t="n">
        <f aca="false">SUMIF(Data!$G$2:$G$2797,$B12,Data!$D$2:$D$2797)</f>
        <v>488</v>
      </c>
      <c r="G12" s="14" t="n">
        <f aca="false">D12/D$21</f>
        <v>0.00810859081978925</v>
      </c>
      <c r="H12" s="14" t="n">
        <f aca="false">SUM(G$5:G12)</f>
        <v>0.872381972971364</v>
      </c>
      <c r="I12" s="14" t="n">
        <f aca="false">IF(D12&gt;0,E12/D12,0)</f>
        <v>0.00734214390602056</v>
      </c>
      <c r="J12" s="14" t="n">
        <f aca="false">IF(D12&gt;0,F12/D12,0)</f>
        <v>0.716593245227607</v>
      </c>
    </row>
    <row r="13" customFormat="false" ht="15" hidden="false" customHeight="false" outlineLevel="0" collapsed="false">
      <c r="A13" s="15" t="n">
        <v>9</v>
      </c>
      <c r="B13" s="12" t="s">
        <v>99</v>
      </c>
      <c r="C13" s="12" t="str">
        <f aca="false">INDEX(Data!$F$2:$F$2797,MATCH(B13,Data!$G$2:$G$2797,0))</f>
        <v>Sindh</v>
      </c>
      <c r="D13" s="13" t="n">
        <f aca="false">SUMIF(Data!$G$2:$G$2797,$B13,Data!$B$2:$B$2797)</f>
        <v>610</v>
      </c>
      <c r="E13" s="13" t="n">
        <f aca="false">SUMIF(Data!$G$2:$G$2797,$B13,Data!$C$2:$C$2797)</f>
        <v>11</v>
      </c>
      <c r="F13" s="13" t="n">
        <f aca="false">SUMIF(Data!$G$2:$G$2797,$B13,Data!$D$2:$D$2797)</f>
        <v>459</v>
      </c>
      <c r="G13" s="14" t="n">
        <f aca="false">D13/D$21</f>
        <v>0.00726320176221944</v>
      </c>
      <c r="H13" s="14" t="n">
        <f aca="false">SUM(G$5:G13)</f>
        <v>0.879645174733583</v>
      </c>
      <c r="I13" s="14" t="n">
        <f aca="false">IF(D13&gt;0,E13/D13,0)</f>
        <v>0.0180327868852459</v>
      </c>
      <c r="J13" s="14" t="n">
        <f aca="false">IF(D13&gt;0,F13/D13,0)</f>
        <v>0.752459016393443</v>
      </c>
    </row>
    <row r="14" customFormat="false" ht="15" hidden="false" customHeight="false" outlineLevel="0" collapsed="false">
      <c r="A14" s="15" t="n">
        <v>10</v>
      </c>
      <c r="B14" s="12" t="s">
        <v>100</v>
      </c>
      <c r="C14" s="12" t="str">
        <f aca="false">INDEX(Data!$F$2:$F$2797,MATCH(B14,Data!$G$2:$G$2797,0))</f>
        <v>Punjab</v>
      </c>
      <c r="D14" s="13" t="n">
        <f aca="false">SUMIF(Data!$G$2:$G$2797,$B14,Data!$B$2:$B$2797)</f>
        <v>546</v>
      </c>
      <c r="E14" s="13" t="n">
        <f aca="false">SUMIF(Data!$G$2:$G$2797,$B14,Data!$C$2:$C$2797)</f>
        <v>1</v>
      </c>
      <c r="F14" s="13" t="n">
        <f aca="false">SUMIF(Data!$G$2:$G$2797,$B14,Data!$D$2:$D$2797)</f>
        <v>1</v>
      </c>
      <c r="G14" s="14" t="n">
        <f aca="false">D14/D$21</f>
        <v>0.00650116092159314</v>
      </c>
      <c r="H14" s="14" t="n">
        <f aca="false">SUM(G$5:G14)</f>
        <v>0.886146335655176</v>
      </c>
      <c r="I14" s="14" t="n">
        <f aca="false">IF(D14&gt;0,E14/D14,0)</f>
        <v>0.00183150183150183</v>
      </c>
      <c r="J14" s="14" t="n">
        <f aca="false">IF(D14&gt;0,F14/D14,0)</f>
        <v>0.00183150183150183</v>
      </c>
    </row>
    <row r="15" customFormat="false" ht="15" hidden="false" customHeight="false" outlineLevel="0" collapsed="false">
      <c r="A15" s="15" t="n">
        <v>11</v>
      </c>
      <c r="B15" s="12" t="s">
        <v>101</v>
      </c>
      <c r="C15" s="12" t="str">
        <f aca="false">INDEX(Data!$F$2:$F$2797,MATCH(B15,Data!$G$2:$G$2797,0))</f>
        <v>Khyber Pakhtunkhwa</v>
      </c>
      <c r="D15" s="13" t="n">
        <f aca="false">SUMIF(Data!$G$2:$G$2797,$B15,Data!$B$2:$B$2797)</f>
        <v>486</v>
      </c>
      <c r="E15" s="13" t="n">
        <f aca="false">SUMIF(Data!$G$2:$G$2797,$B15,Data!$C$2:$C$2797)</f>
        <v>16</v>
      </c>
      <c r="F15" s="13" t="n">
        <f aca="false">SUMIF(Data!$G$2:$G$2797,$B15,Data!$D$2:$D$2797)</f>
        <v>99</v>
      </c>
      <c r="G15" s="14" t="n">
        <f aca="false">D15/D$21</f>
        <v>0.00578674763350598</v>
      </c>
      <c r="H15" s="14" t="n">
        <f aca="false">SUM(G$5:G15)</f>
        <v>0.891933083288682</v>
      </c>
      <c r="I15" s="14" t="n">
        <f aca="false">IF(D15&gt;0,E15/D15,0)</f>
        <v>0.0329218106995885</v>
      </c>
      <c r="J15" s="14" t="n">
        <f aca="false">IF(D15&gt;0,F15/D15,0)</f>
        <v>0.203703703703704</v>
      </c>
    </row>
    <row r="16" customFormat="false" ht="15" hidden="false" customHeight="false" outlineLevel="0" collapsed="false">
      <c r="A16" s="15" t="n">
        <v>12</v>
      </c>
      <c r="B16" s="12" t="s">
        <v>102</v>
      </c>
      <c r="C16" s="12" t="str">
        <f aca="false">INDEX(Data!$F$2:$F$2797,MATCH(B16,Data!$G$2:$G$2797,0))</f>
        <v>Khyber Pakhtunkhwa</v>
      </c>
      <c r="D16" s="13" t="n">
        <f aca="false">SUMIF(Data!$G$2:$G$2797,$B16,Data!$B$2:$B$2797)</f>
        <v>473</v>
      </c>
      <c r="E16" s="13" t="n">
        <f aca="false">SUMIF(Data!$G$2:$G$2797,$B16,Data!$C$2:$C$2797)</f>
        <v>24</v>
      </c>
      <c r="F16" s="13" t="n">
        <f aca="false">SUMIF(Data!$G$2:$G$2797,$B16,Data!$D$2:$D$2797)</f>
        <v>146</v>
      </c>
      <c r="G16" s="14" t="n">
        <f aca="false">D16/D$21</f>
        <v>0.00563195808775377</v>
      </c>
      <c r="H16" s="14" t="n">
        <f aca="false">SUM(G$5:G16)</f>
        <v>0.897565041376436</v>
      </c>
      <c r="I16" s="14" t="n">
        <f aca="false">IF(D16&gt;0,E16/D16,0)</f>
        <v>0.0507399577167019</v>
      </c>
      <c r="J16" s="14" t="n">
        <f aca="false">IF(D16&gt;0,F16/D16,0)</f>
        <v>0.308668076109937</v>
      </c>
    </row>
    <row r="17" customFormat="false" ht="15" hidden="false" customHeight="false" outlineLevel="0" collapsed="false">
      <c r="A17" s="15" t="n">
        <v>13</v>
      </c>
      <c r="B17" s="12" t="s">
        <v>103</v>
      </c>
      <c r="C17" s="12" t="str">
        <f aca="false">INDEX(Data!$F$2:$F$2797,MATCH(B17,Data!$G$2:$G$2797,0))</f>
        <v>Gilgit-Baltistan</v>
      </c>
      <c r="D17" s="13" t="n">
        <f aca="false">SUMIF(Data!$G$2:$G$2797,$B17,Data!$B$2:$B$2797)</f>
        <v>402</v>
      </c>
      <c r="E17" s="13" t="n">
        <f aca="false">SUMIF(Data!$G$2:$G$2797,$B17,Data!$C$2:$C$2797)</f>
        <v>8</v>
      </c>
      <c r="F17" s="13" t="n">
        <f aca="false">SUMIF(Data!$G$2:$G$2797,$B17,Data!$D$2:$D$2797)</f>
        <v>121</v>
      </c>
      <c r="G17" s="14" t="n">
        <f aca="false">D17/D$21</f>
        <v>0.00478656903018396</v>
      </c>
      <c r="H17" s="14" t="n">
        <f aca="false">SUM(G$5:G17)</f>
        <v>0.90235161040662</v>
      </c>
      <c r="I17" s="14" t="n">
        <f aca="false">IF(D17&gt;0,E17/D17,0)</f>
        <v>0.0199004975124378</v>
      </c>
      <c r="J17" s="14" t="n">
        <f aca="false">IF(D17&gt;0,F17/D17,0)</f>
        <v>0.300995024875622</v>
      </c>
    </row>
    <row r="18" customFormat="false" ht="15" hidden="false" customHeight="false" outlineLevel="0" collapsed="false">
      <c r="A18" s="15" t="n">
        <v>14</v>
      </c>
      <c r="B18" s="12" t="s">
        <v>104</v>
      </c>
      <c r="C18" s="12" t="str">
        <f aca="false">INDEX(Data!$F$2:$F$2797,MATCH(B18,Data!$G$2:$G$2797,0))</f>
        <v>Sindh</v>
      </c>
      <c r="D18" s="13" t="n">
        <f aca="false">SUMIF(Data!$G$2:$G$2797,$B18,Data!$B$2:$B$2797)</f>
        <v>398</v>
      </c>
      <c r="E18" s="13" t="n">
        <f aca="false">SUMIF(Data!$G$2:$G$2797,$B18,Data!$C$2:$C$2797)</f>
        <v>3</v>
      </c>
      <c r="F18" s="13" t="n">
        <f aca="false">SUMIF(Data!$G$2:$G$2797,$B18,Data!$D$2:$D$2797)</f>
        <v>282</v>
      </c>
      <c r="G18" s="14" t="n">
        <f aca="false">D18/D$21</f>
        <v>0.00473894147764482</v>
      </c>
      <c r="H18" s="14" t="n">
        <f aca="false">SUM(G$5:G18)</f>
        <v>0.907090551884265</v>
      </c>
      <c r="I18" s="14" t="n">
        <f aca="false">IF(D18&gt;0,E18/D18,0)</f>
        <v>0.00753768844221106</v>
      </c>
      <c r="J18" s="14" t="n">
        <f aca="false">IF(D18&gt;0,F18/D18,0)</f>
        <v>0.708542713567839</v>
      </c>
    </row>
    <row r="19" customFormat="false" ht="15" hidden="false" customHeight="false" outlineLevel="0" collapsed="false">
      <c r="A19" s="15" t="n">
        <v>15</v>
      </c>
      <c r="B19" s="12" t="s">
        <v>105</v>
      </c>
      <c r="C19" s="12" t="str">
        <f aca="false">INDEX(Data!$F$2:$F$2797,MATCH(B19,Data!$G$2:$G$2797,0))</f>
        <v>Sindh</v>
      </c>
      <c r="D19" s="13" t="n">
        <f aca="false">SUMIF(Data!$G$2:$G$2797,$B19,Data!$B$2:$B$2797)</f>
        <v>376</v>
      </c>
      <c r="E19" s="13" t="n">
        <f aca="false">SUMIF(Data!$G$2:$G$2797,$B19,Data!$C$2:$C$2797)</f>
        <v>1</v>
      </c>
      <c r="F19" s="13" t="n">
        <f aca="false">SUMIF(Data!$G$2:$G$2797,$B19,Data!$D$2:$D$2797)</f>
        <v>146</v>
      </c>
      <c r="G19" s="14" t="n">
        <f aca="false">D19/D$21</f>
        <v>0.00447698993867953</v>
      </c>
      <c r="H19" s="14" t="n">
        <f aca="false">SUM(G$5:G19)</f>
        <v>0.911567541822945</v>
      </c>
      <c r="I19" s="14" t="n">
        <f aca="false">IF(D19&gt;0,E19/D19,0)</f>
        <v>0.00265957446808511</v>
      </c>
      <c r="J19" s="14" t="n">
        <f aca="false">IF(D19&gt;0,F19/D19,0)</f>
        <v>0.388297872340426</v>
      </c>
    </row>
    <row r="20" customFormat="false" ht="15" hidden="false" customHeight="false" outlineLevel="0" collapsed="false">
      <c r="A20" s="12"/>
      <c r="B20" s="12" t="s">
        <v>106</v>
      </c>
      <c r="C20" s="12"/>
      <c r="D20" s="13" t="n">
        <f aca="false">D21-SUM(D5:D19)</f>
        <v>7427</v>
      </c>
      <c r="E20" s="13" t="n">
        <f aca="false">E21-SUM(E5:E19)</f>
        <v>182</v>
      </c>
      <c r="F20" s="13" t="n">
        <f aca="false">F21-SUM(F5:F19)</f>
        <v>2795</v>
      </c>
      <c r="G20" s="14" t="n">
        <f aca="false">D20/D$21</f>
        <v>0.0884324581770554</v>
      </c>
      <c r="H20" s="14" t="n">
        <f aca="false">H19+G20</f>
        <v>1</v>
      </c>
      <c r="I20" s="14" t="n">
        <f aca="false">IF(D20&gt;0,E20/D20,0)</f>
        <v>0.0245051837888784</v>
      </c>
      <c r="J20" s="14" t="n">
        <f aca="false">IF(D20&gt;0,F20/D20,0)</f>
        <v>0.376329608186347</v>
      </c>
    </row>
    <row r="21" customFormat="false" ht="15" hidden="false" customHeight="false" outlineLevel="0" collapsed="false">
      <c r="A21" s="20"/>
      <c r="B21" s="20" t="s">
        <v>78</v>
      </c>
      <c r="C21" s="20"/>
      <c r="D21" s="22" t="n">
        <f aca="false">SUM(Data!$B$2:$B$2797)</f>
        <v>83985</v>
      </c>
      <c r="E21" s="22" t="n">
        <f aca="false">SUM(Data!$C$2:$C$2797)</f>
        <v>1728</v>
      </c>
      <c r="F21" s="22" t="n">
        <f aca="false">SUM(Data!$D$2:$D$2797)</f>
        <v>24753</v>
      </c>
      <c r="G21" s="25" t="n">
        <f aca="false">SUM(G5:G20)</f>
        <v>1</v>
      </c>
      <c r="H21" s="20"/>
      <c r="I21" s="25" t="n">
        <f aca="false">E21/D21</f>
        <v>0.0205751026969102</v>
      </c>
      <c r="J21" s="25" t="n">
        <f aca="false">F21/D21</f>
        <v>0.294731202000357</v>
      </c>
    </row>
    <row r="23" customFormat="false" ht="39.75" hidden="false" customHeight="true" outlineLevel="0" collapsed="false">
      <c r="A23" s="19" t="s">
        <v>107</v>
      </c>
      <c r="B23" s="19"/>
      <c r="C23" s="19"/>
      <c r="D23" s="19"/>
      <c r="E23" s="19"/>
      <c r="F23" s="19"/>
      <c r="G23" s="19"/>
      <c r="H23" s="19"/>
      <c r="I23" s="19"/>
      <c r="J23" s="19"/>
    </row>
  </sheetData>
  <mergeCells count="1">
    <mergeCell ref="A23:J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5" min="3" style="0" width="10"/>
    <col collapsed="false" customWidth="true" hidden="false" outlineLevel="0" max="6" min="6" style="0" width="12"/>
    <col collapsed="false" customWidth="true" hidden="false" outlineLevel="0" max="7" min="7" style="0" width="9"/>
  </cols>
  <sheetData>
    <row r="1" customFormat="false" ht="19.7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4" customFormat="false" ht="31.5" hidden="false" customHeight="true" outlineLevel="0" collapsed="false">
      <c r="A4" s="10" t="s">
        <v>110</v>
      </c>
      <c r="B4" s="10" t="s">
        <v>111</v>
      </c>
      <c r="C4" s="10" t="s">
        <v>47</v>
      </c>
      <c r="D4" s="10" t="s">
        <v>48</v>
      </c>
      <c r="E4" s="10" t="s">
        <v>39</v>
      </c>
      <c r="F4" s="10" t="s">
        <v>66</v>
      </c>
      <c r="G4" s="10" t="s">
        <v>58</v>
      </c>
    </row>
    <row r="5" customFormat="false" ht="15" hidden="false" customHeight="false" outlineLevel="0" collapsed="false">
      <c r="A5" s="12" t="s">
        <v>112</v>
      </c>
      <c r="B5" s="32" t="s">
        <v>113</v>
      </c>
      <c r="C5" s="13" t="n">
        <f aca="false">SUMIF(Data!$E$2:$E$2797,$A5,Data!$B$2:$B$2797)</f>
        <v>78118</v>
      </c>
      <c r="D5" s="13" t="n">
        <f aca="false">SUMIF(Data!$E$2:$E$2797,$A5,Data!$C$2:$C$2797)</f>
        <v>1627</v>
      </c>
      <c r="E5" s="13" t="n">
        <f aca="false">COUNTIF(Data!$E$2:$E$2797,$A5)</f>
        <v>2533</v>
      </c>
      <c r="F5" s="14" t="n">
        <f aca="false">C5/C$20</f>
        <v>0.930142287313211</v>
      </c>
      <c r="G5" s="14" t="n">
        <f aca="false">IF(C5&gt;0,D5/C5,0)</f>
        <v>0.0208274661409662</v>
      </c>
    </row>
    <row r="6" customFormat="false" ht="15" hidden="false" customHeight="false" outlineLevel="0" collapsed="false">
      <c r="A6" s="12" t="s">
        <v>114</v>
      </c>
      <c r="B6" s="32" t="s">
        <v>115</v>
      </c>
      <c r="C6" s="13" t="n">
        <f aca="false">SUMIF(Data!$E$2:$E$2797,$A6,Data!$B$2:$B$2797)</f>
        <v>3459</v>
      </c>
      <c r="D6" s="13" t="n">
        <f aca="false">SUMIF(Data!$E$2:$E$2797,$A6,Data!$C$2:$C$2797)</f>
        <v>84</v>
      </c>
      <c r="E6" s="13" t="n">
        <f aca="false">COUNTIF(Data!$E$2:$E$2797,$A6)</f>
        <v>123</v>
      </c>
      <c r="F6" s="14" t="n">
        <f aca="false">C6/C$20</f>
        <v>0.0411859260582247</v>
      </c>
      <c r="G6" s="14" t="n">
        <f aca="false">IF(C6&gt;0,D6/C6,0)</f>
        <v>0.0242844752818734</v>
      </c>
    </row>
    <row r="7" customFormat="false" ht="15" hidden="false" customHeight="false" outlineLevel="0" collapsed="false">
      <c r="A7" s="12" t="s">
        <v>116</v>
      </c>
      <c r="B7" s="32" t="s">
        <v>117</v>
      </c>
      <c r="C7" s="13" t="n">
        <f aca="false">SUMIF(Data!$E$2:$E$2797,$A7,Data!$B$2:$B$2797)</f>
        <v>1115</v>
      </c>
      <c r="D7" s="13" t="n">
        <f aca="false">SUMIF(Data!$E$2:$E$2797,$A7,Data!$C$2:$C$2797)</f>
        <v>5</v>
      </c>
      <c r="E7" s="13" t="n">
        <f aca="false">COUNTIF(Data!$E$2:$E$2797,$A7)</f>
        <v>23</v>
      </c>
      <c r="F7" s="14" t="n">
        <f aca="false">C7/C$20</f>
        <v>0.0132761802702864</v>
      </c>
      <c r="G7" s="14" t="n">
        <f aca="false">IF(C7&gt;0,D7/C7,0)</f>
        <v>0.00448430493273543</v>
      </c>
    </row>
    <row r="8" customFormat="false" ht="15" hidden="false" customHeight="false" outlineLevel="0" collapsed="false">
      <c r="A8" s="12" t="s">
        <v>118</v>
      </c>
      <c r="B8" s="32" t="s">
        <v>119</v>
      </c>
      <c r="C8" s="13" t="n">
        <f aca="false">SUMIF(Data!$E$2:$E$2797,$A8,Data!$B$2:$B$2797)</f>
        <v>1053</v>
      </c>
      <c r="D8" s="13" t="n">
        <f aca="false">SUMIF(Data!$E$2:$E$2797,$A8,Data!$C$2:$C$2797)</f>
        <v>11</v>
      </c>
      <c r="E8" s="13" t="n">
        <f aca="false">COUNTIF(Data!$E$2:$E$2797,$A8)</f>
        <v>88</v>
      </c>
      <c r="F8" s="14" t="n">
        <f aca="false">C8/C$20</f>
        <v>0.0125379532059296</v>
      </c>
      <c r="G8" s="14" t="n">
        <f aca="false">IF(C8&gt;0,D8/C8,0)</f>
        <v>0.0104463437796771</v>
      </c>
    </row>
    <row r="9" customFormat="false" ht="15" hidden="false" customHeight="false" outlineLevel="0" collapsed="false">
      <c r="A9" s="12" t="s">
        <v>120</v>
      </c>
      <c r="B9" s="32" t="s">
        <v>117</v>
      </c>
      <c r="C9" s="13" t="n">
        <f aca="false">SUMIF(Data!$E$2:$E$2797,$A9,Data!$B$2:$B$2797)</f>
        <v>107</v>
      </c>
      <c r="D9" s="13" t="n">
        <f aca="false">SUMIF(Data!$E$2:$E$2797,$A9,Data!$C$2:$C$2797)</f>
        <v>0</v>
      </c>
      <c r="E9" s="13" t="n">
        <f aca="false">COUNTIF(Data!$E$2:$E$2797,$A9)</f>
        <v>5</v>
      </c>
      <c r="F9" s="14" t="n">
        <f aca="false">C9/C$20</f>
        <v>0.0012740370304221</v>
      </c>
      <c r="G9" s="14" t="n">
        <f aca="false">IF(C9&gt;0,D9/C9,0)</f>
        <v>0</v>
      </c>
    </row>
    <row r="10" customFormat="false" ht="15" hidden="false" customHeight="false" outlineLevel="0" collapsed="false">
      <c r="A10" s="12" t="s">
        <v>121</v>
      </c>
      <c r="B10" s="32" t="s">
        <v>119</v>
      </c>
      <c r="C10" s="13" t="n">
        <f aca="false">SUMIF(Data!$E$2:$E$2797,$A10,Data!$B$2:$B$2797)</f>
        <v>70</v>
      </c>
      <c r="D10" s="13" t="n">
        <f aca="false">SUMIF(Data!$E$2:$E$2797,$A10,Data!$C$2:$C$2797)</f>
        <v>0</v>
      </c>
      <c r="E10" s="13" t="n">
        <f aca="false">COUNTIF(Data!$E$2:$E$2797,$A10)</f>
        <v>5</v>
      </c>
      <c r="F10" s="14" t="n">
        <f aca="false">C10/C$20</f>
        <v>0.000833482169435018</v>
      </c>
      <c r="G10" s="14" t="n">
        <f aca="false">IF(C10&gt;0,D10/C10,0)</f>
        <v>0</v>
      </c>
    </row>
    <row r="11" customFormat="false" ht="15" hidden="false" customHeight="false" outlineLevel="0" collapsed="false">
      <c r="A11" s="12" t="s">
        <v>122</v>
      </c>
      <c r="B11" s="32" t="s">
        <v>119</v>
      </c>
      <c r="C11" s="13" t="n">
        <f aca="false">SUMIF(Data!$E$2:$E$2797,$A11,Data!$B$2:$B$2797)</f>
        <v>38</v>
      </c>
      <c r="D11" s="13" t="n">
        <f aca="false">SUMIF(Data!$E$2:$E$2797,$A11,Data!$C$2:$C$2797)</f>
        <v>0</v>
      </c>
      <c r="E11" s="13" t="n">
        <f aca="false">COUNTIF(Data!$E$2:$E$2797,$A11)</f>
        <v>5</v>
      </c>
      <c r="F11" s="14" t="n">
        <f aca="false">C11/C$20</f>
        <v>0.000452461749121867</v>
      </c>
      <c r="G11" s="14" t="n">
        <f aca="false">IF(C11&gt;0,D11/C11,0)</f>
        <v>0</v>
      </c>
    </row>
    <row r="12" customFormat="false" ht="15" hidden="false" customHeight="false" outlineLevel="0" collapsed="false">
      <c r="A12" s="12" t="s">
        <v>123</v>
      </c>
      <c r="B12" s="32" t="s">
        <v>119</v>
      </c>
      <c r="C12" s="13" t="n">
        <f aca="false">SUMIF(Data!$E$2:$E$2797,$A12,Data!$B$2:$B$2797)</f>
        <v>7</v>
      </c>
      <c r="D12" s="13" t="n">
        <f aca="false">SUMIF(Data!$E$2:$E$2797,$A12,Data!$C$2:$C$2797)</f>
        <v>0</v>
      </c>
      <c r="E12" s="13" t="n">
        <f aca="false">COUNTIF(Data!$E$2:$E$2797,$A12)</f>
        <v>2</v>
      </c>
      <c r="F12" s="14" t="n">
        <f aca="false">C12/C$20</f>
        <v>8.33482169435018E-005</v>
      </c>
      <c r="G12" s="14" t="n">
        <f aca="false">IF(C12&gt;0,D12/C12,0)</f>
        <v>0</v>
      </c>
    </row>
    <row r="13" customFormat="false" ht="15" hidden="false" customHeight="false" outlineLevel="0" collapsed="false">
      <c r="A13" s="12" t="s">
        <v>124</v>
      </c>
      <c r="B13" s="32" t="s">
        <v>119</v>
      </c>
      <c r="C13" s="13" t="n">
        <f aca="false">SUMIF(Data!$E$2:$E$2797,$A13,Data!$B$2:$B$2797)</f>
        <v>6</v>
      </c>
      <c r="D13" s="13" t="n">
        <f aca="false">SUMIF(Data!$E$2:$E$2797,$A13,Data!$C$2:$C$2797)</f>
        <v>1</v>
      </c>
      <c r="E13" s="13" t="n">
        <f aca="false">COUNTIF(Data!$E$2:$E$2797,$A13)</f>
        <v>2</v>
      </c>
      <c r="F13" s="14" t="n">
        <f aca="false">C13/C$20</f>
        <v>7.14413288087159E-005</v>
      </c>
      <c r="G13" s="14" t="n">
        <f aca="false">IF(C13&gt;0,D13/C13,0)</f>
        <v>0.166666666666667</v>
      </c>
    </row>
    <row r="14" customFormat="false" ht="15" hidden="false" customHeight="false" outlineLevel="0" collapsed="false">
      <c r="A14" s="12" t="s">
        <v>125</v>
      </c>
      <c r="B14" s="32" t="s">
        <v>119</v>
      </c>
      <c r="C14" s="13" t="n">
        <f aca="false">SUMIF(Data!$E$2:$E$2797,$A14,Data!$B$2:$B$2797)</f>
        <v>5</v>
      </c>
      <c r="D14" s="13" t="n">
        <f aca="false">SUMIF(Data!$E$2:$E$2797,$A14,Data!$C$2:$C$2797)</f>
        <v>0</v>
      </c>
      <c r="E14" s="13" t="n">
        <f aca="false">COUNTIF(Data!$E$2:$E$2797,$A14)</f>
        <v>3</v>
      </c>
      <c r="F14" s="14" t="n">
        <f aca="false">C14/C$20</f>
        <v>5.95344406739299E-005</v>
      </c>
      <c r="G14" s="14" t="n">
        <f aca="false">IF(C14&gt;0,D14/C14,0)</f>
        <v>0</v>
      </c>
    </row>
    <row r="15" customFormat="false" ht="15" hidden="false" customHeight="false" outlineLevel="0" collapsed="false">
      <c r="A15" s="12" t="s">
        <v>126</v>
      </c>
      <c r="B15" s="32" t="s">
        <v>119</v>
      </c>
      <c r="C15" s="13" t="n">
        <f aca="false">SUMIF(Data!$E$2:$E$2797,$A15,Data!$B$2:$B$2797)</f>
        <v>2</v>
      </c>
      <c r="D15" s="13" t="n">
        <f aca="false">SUMIF(Data!$E$2:$E$2797,$A15,Data!$C$2:$C$2797)</f>
        <v>0</v>
      </c>
      <c r="E15" s="13" t="n">
        <f aca="false">COUNTIF(Data!$E$2:$E$2797,$A15)</f>
        <v>2</v>
      </c>
      <c r="F15" s="14" t="n">
        <f aca="false">C15/C$20</f>
        <v>2.3813776269572E-005</v>
      </c>
      <c r="G15" s="14" t="n">
        <f aca="false">IF(C15&gt;0,D15/C15,0)</f>
        <v>0</v>
      </c>
    </row>
    <row r="16" customFormat="false" ht="15" hidden="false" customHeight="false" outlineLevel="0" collapsed="false">
      <c r="A16" s="12" t="s">
        <v>127</v>
      </c>
      <c r="B16" s="32" t="s">
        <v>119</v>
      </c>
      <c r="C16" s="13" t="n">
        <f aca="false">SUMIF(Data!$E$2:$E$2797,$A16,Data!$B$2:$B$2797)</f>
        <v>2</v>
      </c>
      <c r="D16" s="13" t="n">
        <f aca="false">SUMIF(Data!$E$2:$E$2797,$A16,Data!$C$2:$C$2797)</f>
        <v>0</v>
      </c>
      <c r="E16" s="13" t="n">
        <f aca="false">COUNTIF(Data!$E$2:$E$2797,$A16)</f>
        <v>1</v>
      </c>
      <c r="F16" s="14" t="n">
        <f aca="false">C16/C$20</f>
        <v>2.3813776269572E-005</v>
      </c>
      <c r="G16" s="14" t="n">
        <f aca="false">IF(C16&gt;0,D16/C16,0)</f>
        <v>0</v>
      </c>
    </row>
    <row r="17" customFormat="false" ht="15" hidden="false" customHeight="false" outlineLevel="0" collapsed="false">
      <c r="A17" s="12" t="s">
        <v>128</v>
      </c>
      <c r="B17" s="32" t="s">
        <v>119</v>
      </c>
      <c r="C17" s="13" t="n">
        <f aca="false">SUMIF(Data!$E$2:$E$2797,$A17,Data!$B$2:$B$2797)</f>
        <v>1</v>
      </c>
      <c r="D17" s="13" t="n">
        <f aca="false">SUMIF(Data!$E$2:$E$2797,$A17,Data!$C$2:$C$2797)</f>
        <v>0</v>
      </c>
      <c r="E17" s="13" t="n">
        <f aca="false">COUNTIF(Data!$E$2:$E$2797,$A17)</f>
        <v>2</v>
      </c>
      <c r="F17" s="14" t="n">
        <f aca="false">C17/C$20</f>
        <v>1.1906888134786E-005</v>
      </c>
      <c r="G17" s="14" t="n">
        <f aca="false">IF(C17&gt;0,D17/C17,0)</f>
        <v>0</v>
      </c>
    </row>
    <row r="18" customFormat="false" ht="15" hidden="false" customHeight="false" outlineLevel="0" collapsed="false">
      <c r="A18" s="12" t="s">
        <v>129</v>
      </c>
      <c r="B18" s="32" t="s">
        <v>113</v>
      </c>
      <c r="C18" s="13" t="n">
        <f aca="false">SUMIF(Data!$E$2:$E$2797,$A18,Data!$B$2:$B$2797)</f>
        <v>1</v>
      </c>
      <c r="D18" s="13" t="n">
        <f aca="false">SUMIF(Data!$E$2:$E$2797,$A18,Data!$C$2:$C$2797)</f>
        <v>0</v>
      </c>
      <c r="E18" s="13" t="n">
        <f aca="false">COUNTIF(Data!$E$2:$E$2797,$A18)</f>
        <v>1</v>
      </c>
      <c r="F18" s="14" t="n">
        <f aca="false">C18/C$20</f>
        <v>1.1906888134786E-005</v>
      </c>
      <c r="G18" s="14" t="n">
        <f aca="false">IF(C18&gt;0,D18/C18,0)</f>
        <v>0</v>
      </c>
    </row>
    <row r="19" customFormat="false" ht="15" hidden="false" customHeight="false" outlineLevel="0" collapsed="false">
      <c r="A19" s="12" t="s">
        <v>130</v>
      </c>
      <c r="B19" s="32" t="s">
        <v>119</v>
      </c>
      <c r="C19" s="13" t="n">
        <f aca="false">SUMIF(Data!$E$2:$E$2797,$A19,Data!$B$2:$B$2797)</f>
        <v>1</v>
      </c>
      <c r="D19" s="13" t="n">
        <f aca="false">SUMIF(Data!$E$2:$E$2797,$A19,Data!$C$2:$C$2797)</f>
        <v>0</v>
      </c>
      <c r="E19" s="13" t="n">
        <f aca="false">COUNTIF(Data!$E$2:$E$2797,$A19)</f>
        <v>1</v>
      </c>
      <c r="F19" s="14" t="n">
        <f aca="false">C19/C$20</f>
        <v>1.1906888134786E-005</v>
      </c>
      <c r="G19" s="14" t="n">
        <f aca="false">IF(C19&gt;0,D19/C19,0)</f>
        <v>0</v>
      </c>
    </row>
    <row r="20" customFormat="false" ht="15" hidden="false" customHeight="false" outlineLevel="0" collapsed="false">
      <c r="A20" s="20" t="s">
        <v>53</v>
      </c>
      <c r="B20" s="20"/>
      <c r="C20" s="22" t="n">
        <f aca="false">SUM(C5:C19)</f>
        <v>83985</v>
      </c>
      <c r="D20" s="22" t="n">
        <f aca="false">SUM(D5:D19)</f>
        <v>1728</v>
      </c>
      <c r="E20" s="22" t="n">
        <f aca="false">SUM(E5:E19)</f>
        <v>2796</v>
      </c>
      <c r="F20" s="25" t="n">
        <f aca="false">SUM(F5:F19)</f>
        <v>1</v>
      </c>
      <c r="G20" s="25" t="n">
        <f aca="false">D20/C20</f>
        <v>0.0205751026969102</v>
      </c>
    </row>
    <row r="22" customFormat="false" ht="15" hidden="false" customHeight="false" outlineLevel="0" collapsed="false">
      <c r="A22" s="8" t="s">
        <v>131</v>
      </c>
    </row>
    <row r="23" customFormat="false" ht="31.5" hidden="false" customHeight="true" outlineLevel="0" collapsed="false">
      <c r="A23" s="10" t="s">
        <v>132</v>
      </c>
      <c r="B23" s="10" t="s">
        <v>47</v>
      </c>
      <c r="C23" s="10" t="s">
        <v>48</v>
      </c>
      <c r="D23" s="10" t="s">
        <v>66</v>
      </c>
      <c r="E23" s="10" t="s">
        <v>58</v>
      </c>
    </row>
    <row r="24" customFormat="false" ht="15" hidden="false" customHeight="false" outlineLevel="0" collapsed="false">
      <c r="A24" s="12" t="s">
        <v>113</v>
      </c>
      <c r="B24" s="13" t="n">
        <f aca="false">SUMIF($B$5:$B$19,$A24,$C$5:$C$19)</f>
        <v>78119</v>
      </c>
      <c r="C24" s="13" t="n">
        <f aca="false">SUMIF($B$5:$B$19,$A24,$D$5:$D$19)</f>
        <v>1627</v>
      </c>
      <c r="D24" s="14" t="n">
        <f aca="false">B24/B$28</f>
        <v>0.930154194201346</v>
      </c>
      <c r="E24" s="14" t="n">
        <f aca="false">IF(B24&gt;0,C24/B24,0)</f>
        <v>0.0208271995289238</v>
      </c>
    </row>
    <row r="25" customFormat="false" ht="15" hidden="false" customHeight="false" outlineLevel="0" collapsed="false">
      <c r="A25" s="12" t="s">
        <v>117</v>
      </c>
      <c r="B25" s="13" t="n">
        <f aca="false">SUMIF($B$5:$B$19,$A25,$C$5:$C$19)</f>
        <v>1222</v>
      </c>
      <c r="C25" s="13" t="n">
        <f aca="false">SUMIF($B$5:$B$19,$A25,$D$5:$D$19)</f>
        <v>5</v>
      </c>
      <c r="D25" s="14" t="n">
        <f aca="false">B25/B$28</f>
        <v>0.0145502173007085</v>
      </c>
      <c r="E25" s="14" t="n">
        <f aca="false">IF(B25&gt;0,C25/B25,0)</f>
        <v>0.00409165302782324</v>
      </c>
    </row>
    <row r="26" customFormat="false" ht="15" hidden="false" customHeight="false" outlineLevel="0" collapsed="false">
      <c r="A26" s="12" t="s">
        <v>119</v>
      </c>
      <c r="B26" s="13" t="n">
        <f aca="false">SUMIF($B$5:$B$19,$A26,$C$5:$C$19)</f>
        <v>1185</v>
      </c>
      <c r="C26" s="13" t="n">
        <f aca="false">SUMIF($B$5:$B$19,$A26,$D$5:$D$19)</f>
        <v>12</v>
      </c>
      <c r="D26" s="14" t="n">
        <f aca="false">B26/B$28</f>
        <v>0.0141096624397214</v>
      </c>
      <c r="E26" s="14" t="n">
        <f aca="false">IF(B26&gt;0,C26/B26,0)</f>
        <v>0.010126582278481</v>
      </c>
    </row>
    <row r="27" customFormat="false" ht="15" hidden="false" customHeight="false" outlineLevel="0" collapsed="false">
      <c r="A27" s="12" t="s">
        <v>115</v>
      </c>
      <c r="B27" s="13" t="n">
        <f aca="false">SUMIF($B$5:$B$19,$A27,$C$5:$C$19)</f>
        <v>3459</v>
      </c>
      <c r="C27" s="13" t="n">
        <f aca="false">SUMIF($B$5:$B$19,$A27,$D$5:$D$19)</f>
        <v>84</v>
      </c>
      <c r="D27" s="14" t="n">
        <f aca="false">B27/B$28</f>
        <v>0.0411859260582247</v>
      </c>
      <c r="E27" s="14" t="n">
        <f aca="false">IF(B27&gt;0,C27/B27,0)</f>
        <v>0.0242844752818734</v>
      </c>
    </row>
    <row r="28" customFormat="false" ht="15" hidden="false" customHeight="false" outlineLevel="0" collapsed="false">
      <c r="A28" s="20" t="s">
        <v>53</v>
      </c>
      <c r="B28" s="22" t="n">
        <f aca="false">SUM(B24:B27)</f>
        <v>83985</v>
      </c>
      <c r="C28" s="22" t="n">
        <f aca="false">SUM(C24:C27)</f>
        <v>1728</v>
      </c>
      <c r="D28" s="25" t="n">
        <f aca="false">SUM(D24:D27)</f>
        <v>1</v>
      </c>
      <c r="E28" s="25" t="n">
        <f aca="false">C28/B28</f>
        <v>0.0205751026969102</v>
      </c>
    </row>
    <row r="30" customFormat="false" ht="27.75" hidden="false" customHeight="true" outlineLevel="0" collapsed="false">
      <c r="A30" s="19" t="s">
        <v>133</v>
      </c>
      <c r="B30" s="19"/>
      <c r="C30" s="19"/>
      <c r="D30" s="19"/>
      <c r="E30" s="19"/>
      <c r="F30" s="19"/>
      <c r="G30" s="19"/>
    </row>
  </sheetData>
  <mergeCells count="1"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5"/>
    <col collapsed="false" customWidth="true" hidden="false" outlineLevel="0" max="5" min="5" style="0" width="12"/>
    <col collapsed="false" customWidth="true" hidden="false" outlineLevel="0" max="7" min="6" style="0" width="18"/>
    <col collapsed="false" customWidth="true" hidden="false" outlineLevel="0" max="8" min="8" style="0" width="12"/>
  </cols>
  <sheetData>
    <row r="1" customFormat="false" ht="19.7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3" customFormat="false" ht="15" hidden="false" customHeight="false" outlineLevel="0" collapsed="false">
      <c r="A3" s="8" t="s">
        <v>136</v>
      </c>
    </row>
    <row r="4" customFormat="false" ht="31.5" hidden="false" customHeight="true" outlineLevel="0" collapsed="false">
      <c r="A4" s="10" t="s">
        <v>137</v>
      </c>
      <c r="B4" s="10" t="s">
        <v>26</v>
      </c>
      <c r="C4" s="10" t="s">
        <v>27</v>
      </c>
      <c r="D4" s="10" t="s">
        <v>28</v>
      </c>
    </row>
    <row r="5" customFormat="false" ht="15" hidden="false" customHeight="false" outlineLevel="0" collapsed="false">
      <c r="A5" s="12" t="s">
        <v>46</v>
      </c>
      <c r="B5" s="15" t="n">
        <f aca="false">COUNT(Daily!$C$5:$C$103)</f>
        <v>99</v>
      </c>
      <c r="C5" s="15" t="n">
        <f aca="false">COUNT(Daily!$D$5:$D$103)</f>
        <v>99</v>
      </c>
      <c r="D5" s="15" t="n">
        <f aca="false">COUNT(Daily!$E$5:$E$103)</f>
        <v>99</v>
      </c>
    </row>
    <row r="6" customFormat="false" ht="15" hidden="false" customHeight="false" outlineLevel="0" collapsed="false">
      <c r="A6" s="12" t="s">
        <v>53</v>
      </c>
      <c r="B6" s="13" t="n">
        <f aca="false">SUM(Daily!$C$5:$C$103)</f>
        <v>83985</v>
      </c>
      <c r="C6" s="13" t="n">
        <f aca="false">SUM(Daily!$D$5:$D$103)</f>
        <v>1728</v>
      </c>
      <c r="D6" s="13" t="n">
        <f aca="false">SUM(Daily!$E$5:$E$103)</f>
        <v>24753</v>
      </c>
    </row>
    <row r="7" customFormat="false" ht="15" hidden="false" customHeight="false" outlineLevel="0" collapsed="false">
      <c r="A7" s="12" t="s">
        <v>138</v>
      </c>
      <c r="B7" s="16" t="n">
        <f aca="false">AVERAGE(Daily!$C$5:$C$103)</f>
        <v>848.333333333333</v>
      </c>
      <c r="C7" s="16" t="n">
        <f aca="false">AVERAGE(Daily!$D$5:$D$103)</f>
        <v>17.4545454545455</v>
      </c>
      <c r="D7" s="16" t="n">
        <f aca="false">AVERAGE(Daily!$E$5:$E$103)</f>
        <v>250.030303030303</v>
      </c>
    </row>
    <row r="8" customFormat="false" ht="15" hidden="false" customHeight="false" outlineLevel="0" collapsed="false">
      <c r="A8" s="12" t="s">
        <v>139</v>
      </c>
      <c r="B8" s="16" t="n">
        <f aca="false">MEDIAN(Daily!$C$5:$C$103)</f>
        <v>512</v>
      </c>
      <c r="C8" s="16" t="n">
        <f aca="false">MEDIAN(Daily!$D$5:$D$103)</f>
        <v>8</v>
      </c>
      <c r="D8" s="16" t="n">
        <f aca="false">MEDIAN(Daily!$E$5:$E$103)</f>
        <v>39</v>
      </c>
    </row>
    <row r="9" customFormat="false" ht="15" hidden="false" customHeight="false" outlineLevel="0" collapsed="false">
      <c r="A9" s="12" t="s">
        <v>140</v>
      </c>
      <c r="B9" s="16" t="n">
        <f aca="false">STDEV(Daily!$C$5:$C$103)</f>
        <v>1008.46168969963</v>
      </c>
      <c r="C9" s="16" t="n">
        <f aca="false">STDEV(Daily!$D$5:$D$103)</f>
        <v>20.9578160994562</v>
      </c>
      <c r="D9" s="16" t="n">
        <f aca="false">STDEV(Daily!$E$5:$E$103)</f>
        <v>450.905742775887</v>
      </c>
    </row>
    <row r="10" customFormat="false" ht="15" hidden="false" customHeight="false" outlineLevel="0" collapsed="false">
      <c r="A10" s="12" t="s">
        <v>141</v>
      </c>
      <c r="B10" s="26" t="n">
        <f aca="false">STDEV(Daily!$C$5:$C$103)/AVERAGE(Daily!$C$5:$C$103)</f>
        <v>1.18875641221961</v>
      </c>
      <c r="C10" s="26" t="n">
        <f aca="false">STDEV(Daily!$D$5:$D$103)/AVERAGE(Daily!$D$5:$D$103)</f>
        <v>1.20070821403135</v>
      </c>
      <c r="D10" s="26" t="n">
        <f aca="false">STDEV(Daily!$E$5:$E$103)/AVERAGE(Daily!$E$5:$E$103)</f>
        <v>1.80340437663365</v>
      </c>
    </row>
    <row r="11" customFormat="false" ht="15" hidden="false" customHeight="false" outlineLevel="0" collapsed="false">
      <c r="A11" s="12" t="s">
        <v>142</v>
      </c>
      <c r="B11" s="13" t="n">
        <f aca="false">MIN(Daily!$C$5:$C$103)</f>
        <v>0</v>
      </c>
      <c r="C11" s="13" t="n">
        <f aca="false">MIN(Daily!$D$5:$D$103)</f>
        <v>0</v>
      </c>
      <c r="D11" s="13" t="n">
        <f aca="false">MIN(Daily!$E$5:$E$103)</f>
        <v>0</v>
      </c>
    </row>
    <row r="12" customFormat="false" ht="15" hidden="false" customHeight="false" outlineLevel="0" collapsed="false">
      <c r="A12" s="12" t="s">
        <v>143</v>
      </c>
      <c r="B12" s="16" t="n">
        <f aca="false">QUARTILE(Daily!$C$5:$C$103,1)</f>
        <v>97</v>
      </c>
      <c r="C12" s="16" t="n">
        <f aca="false">QUARTILE(Daily!$D$5:$D$103,1)</f>
        <v>1</v>
      </c>
      <c r="D12" s="16" t="n">
        <f aca="false">QUARTILE(Daily!$E$5:$E$103,1)</f>
        <v>0.5</v>
      </c>
    </row>
    <row r="13" customFormat="false" ht="15" hidden="false" customHeight="false" outlineLevel="0" collapsed="false">
      <c r="A13" s="12" t="s">
        <v>144</v>
      </c>
      <c r="B13" s="16" t="n">
        <f aca="false">QUARTILE(Daily!$C$5:$C$103,3)</f>
        <v>1401.5</v>
      </c>
      <c r="C13" s="16" t="n">
        <f aca="false">QUARTILE(Daily!$D$5:$D$103,3)</f>
        <v>30</v>
      </c>
      <c r="D13" s="16" t="n">
        <f aca="false">QUARTILE(Daily!$E$5:$E$103,3)</f>
        <v>217</v>
      </c>
    </row>
    <row r="14" customFormat="false" ht="15" hidden="false" customHeight="false" outlineLevel="0" collapsed="false">
      <c r="A14" s="12" t="s">
        <v>145</v>
      </c>
      <c r="B14" s="16" t="n">
        <f aca="false">QUARTILE(Daily!$C$5:$C$103,3)-QUARTILE(Daily!$C$5:$C$103,1)</f>
        <v>1304.5</v>
      </c>
      <c r="C14" s="16" t="n">
        <f aca="false">QUARTILE(Daily!$D$5:$D$103,3)-QUARTILE(Daily!$D$5:$D$103,1)</f>
        <v>29</v>
      </c>
      <c r="D14" s="16" t="n">
        <f aca="false">QUARTILE(Daily!$E$5:$E$103,3)-QUARTILE(Daily!$E$5:$E$103,1)</f>
        <v>216.5</v>
      </c>
    </row>
    <row r="15" customFormat="false" ht="15" hidden="false" customHeight="false" outlineLevel="0" collapsed="false">
      <c r="A15" s="12" t="s">
        <v>146</v>
      </c>
      <c r="B15" s="13" t="n">
        <f aca="false">MAX(Daily!$C$5:$C$103)</f>
        <v>4677</v>
      </c>
      <c r="C15" s="13" t="n">
        <f aca="false">MAX(Daily!$D$5:$D$103)</f>
        <v>88</v>
      </c>
      <c r="D15" s="13" t="n">
        <f aca="false">MAX(Daily!$E$5:$E$103)</f>
        <v>2072</v>
      </c>
    </row>
    <row r="16" customFormat="false" ht="15" hidden="false" customHeight="false" outlineLevel="0" collapsed="false">
      <c r="A16" s="12" t="s">
        <v>147</v>
      </c>
      <c r="B16" s="26" t="n">
        <f aca="false">SKEW(Daily!$C$5:$C$103)</f>
        <v>1.57361218627868</v>
      </c>
      <c r="C16" s="26" t="n">
        <f aca="false">SKEW(Daily!$D$5:$D$103)</f>
        <v>1.49492479675709</v>
      </c>
      <c r="D16" s="26" t="n">
        <f aca="false">SKEW(Daily!$E$5:$E$103)</f>
        <v>2.30100522687379</v>
      </c>
    </row>
    <row r="17" customFormat="false" ht="27.75" hidden="false" customHeight="true" outlineLevel="0" collapsed="false">
      <c r="A17" s="19" t="s">
        <v>148</v>
      </c>
      <c r="B17" s="19"/>
      <c r="C17" s="19"/>
      <c r="D17" s="19"/>
    </row>
    <row r="19" customFormat="false" ht="15" hidden="false" customHeight="false" outlineLevel="0" collapsed="false">
      <c r="A19" s="8" t="s">
        <v>149</v>
      </c>
    </row>
    <row r="20" customFormat="false" ht="15" hidden="false" customHeight="false" outlineLevel="0" collapsed="false">
      <c r="A20" s="12" t="s">
        <v>150</v>
      </c>
      <c r="B20" s="16" t="n">
        <f aca="false">B13+1.5*B14</f>
        <v>3358.25</v>
      </c>
    </row>
    <row r="21" customFormat="false" ht="15" hidden="false" customHeight="false" outlineLevel="0" collapsed="false">
      <c r="A21" s="12" t="s">
        <v>151</v>
      </c>
      <c r="B21" s="15" t="n">
        <f aca="false">COUNTIF(Daily!$C$5:$C$103,"&gt;"&amp;B20)</f>
        <v>3</v>
      </c>
    </row>
    <row r="22" customFormat="false" ht="15" hidden="false" customHeight="false" outlineLevel="0" collapsed="false">
      <c r="A22" s="12" t="s">
        <v>152</v>
      </c>
      <c r="B22" s="11" t="n">
        <f aca="false">_xlfn.MINIFS(Daily!$A$5:$A$103,Daily!$C$5:$C$103,"&gt;"&amp;B20)</f>
        <v>43983</v>
      </c>
    </row>
    <row r="23" customFormat="false" ht="15" hidden="false" customHeight="false" outlineLevel="0" collapsed="false">
      <c r="A23" s="12" t="s">
        <v>153</v>
      </c>
      <c r="B23" s="14" t="n">
        <f aca="false">SUMIF(Daily!$C$5:$C$103,"&gt;"&amp;B20)/B6</f>
        <v>0.152301006132047</v>
      </c>
    </row>
    <row r="24" customFormat="false" ht="27.75" hidden="false" customHeight="true" outlineLevel="0" collapsed="false">
      <c r="A24" s="19" t="s">
        <v>154</v>
      </c>
      <c r="B24" s="19"/>
      <c r="C24" s="19"/>
      <c r="D24" s="19"/>
    </row>
    <row r="26" customFormat="false" ht="15" hidden="false" customHeight="false" outlineLevel="0" collapsed="false">
      <c r="A26" s="8" t="s">
        <v>155</v>
      </c>
    </row>
    <row r="27" customFormat="false" ht="31.5" hidden="false" customHeight="true" outlineLevel="0" collapsed="false">
      <c r="A27" s="10" t="s">
        <v>25</v>
      </c>
      <c r="B27" s="10" t="s">
        <v>156</v>
      </c>
      <c r="C27" s="10" t="s">
        <v>157</v>
      </c>
      <c r="D27" s="10" t="s">
        <v>158</v>
      </c>
      <c r="E27" s="10" t="s">
        <v>159</v>
      </c>
    </row>
    <row r="28" customFormat="false" ht="15" hidden="false" customHeight="false" outlineLevel="0" collapsed="false">
      <c r="A28" s="12" t="s">
        <v>160</v>
      </c>
      <c r="B28" s="13" t="n">
        <f aca="false">AVERAGEIFS(Daily!$C$5:$C$103,Daily!$B$5:$B$103,A28)</f>
        <v>815.357142857143</v>
      </c>
      <c r="C28" s="15" t="n">
        <f aca="false">B28/AVERAGE(Daily!$C$5:$C$103)*100</f>
        <v>96.1128262699972</v>
      </c>
      <c r="D28" s="16" t="n">
        <f aca="false">AVERAGEIFS(Daily!$D$5:$D$103,Daily!$B$5:$B$103,A28)</f>
        <v>19.3571428571429</v>
      </c>
      <c r="E28" s="15" t="n">
        <f aca="false">COUNTIF(Daily!$B$5:$B$103,A28)</f>
        <v>14</v>
      </c>
    </row>
    <row r="29" customFormat="false" ht="15" hidden="false" customHeight="false" outlineLevel="0" collapsed="false">
      <c r="A29" s="12" t="s">
        <v>161</v>
      </c>
      <c r="B29" s="13" t="n">
        <f aca="false">AVERAGEIFS(Daily!$C$5:$C$103,Daily!$B$5:$B$103,A29)</f>
        <v>954.785714285714</v>
      </c>
      <c r="C29" s="15" t="n">
        <f aca="false">B29/AVERAGE(Daily!$C$5:$C$103)*100</f>
        <v>112.548414257648</v>
      </c>
      <c r="D29" s="16" t="n">
        <f aca="false">AVERAGEIFS(Daily!$D$5:$D$103,Daily!$B$5:$B$103,A29)</f>
        <v>18.2857142857143</v>
      </c>
      <c r="E29" s="15" t="n">
        <f aca="false">COUNTIF(Daily!$B$5:$B$103,A29)</f>
        <v>14</v>
      </c>
    </row>
    <row r="30" customFormat="false" ht="15" hidden="false" customHeight="false" outlineLevel="0" collapsed="false">
      <c r="A30" s="12" t="s">
        <v>162</v>
      </c>
      <c r="B30" s="13" t="n">
        <f aca="false">AVERAGEIFS(Daily!$C$5:$C$103,Daily!$B$5:$B$103,A30)</f>
        <v>1000.26666666667</v>
      </c>
      <c r="C30" s="15" t="n">
        <f aca="false">B30/AVERAGE(Daily!$C$5:$C$103)*100</f>
        <v>117.909626719057</v>
      </c>
      <c r="D30" s="16" t="n">
        <f aca="false">AVERAGEIFS(Daily!$D$5:$D$103,Daily!$B$5:$B$103,A30)</f>
        <v>19.4666666666667</v>
      </c>
      <c r="E30" s="15" t="n">
        <f aca="false">COUNTIF(Daily!$B$5:$B$103,A30)</f>
        <v>15</v>
      </c>
    </row>
    <row r="31" customFormat="false" ht="15" hidden="false" customHeight="false" outlineLevel="0" collapsed="false">
      <c r="A31" s="12" t="s">
        <v>163</v>
      </c>
      <c r="B31" s="13" t="n">
        <f aca="false">AVERAGEIFS(Daily!$C$5:$C$103,Daily!$B$5:$B$103,A31)</f>
        <v>767.5</v>
      </c>
      <c r="C31" s="15" t="n">
        <f aca="false">B31/AVERAGE(Daily!$C$5:$C$103)*100</f>
        <v>90.4715127701375</v>
      </c>
      <c r="D31" s="16" t="n">
        <f aca="false">AVERAGEIFS(Daily!$D$5:$D$103,Daily!$B$5:$B$103,A31)</f>
        <v>15.1428571428571</v>
      </c>
      <c r="E31" s="15" t="n">
        <f aca="false">COUNTIF(Daily!$B$5:$B$103,A31)</f>
        <v>14</v>
      </c>
    </row>
    <row r="32" customFormat="false" ht="15" hidden="false" customHeight="false" outlineLevel="0" collapsed="false">
      <c r="A32" s="12" t="s">
        <v>164</v>
      </c>
      <c r="B32" s="13" t="n">
        <f aca="false">AVERAGEIFS(Daily!$C$5:$C$103,Daily!$B$5:$B$103,A32)</f>
        <v>727.857142857143</v>
      </c>
      <c r="C32" s="15" t="n">
        <f aca="false">B32/AVERAGE(Daily!$C$5:$C$103)*100</f>
        <v>85.7984844232389</v>
      </c>
      <c r="D32" s="16" t="n">
        <f aca="false">AVERAGEIFS(Daily!$D$5:$D$103,Daily!$B$5:$B$103,A32)</f>
        <v>16</v>
      </c>
      <c r="E32" s="15" t="n">
        <f aca="false">COUNTIF(Daily!$B$5:$B$103,A32)</f>
        <v>14</v>
      </c>
    </row>
    <row r="33" customFormat="false" ht="15" hidden="false" customHeight="false" outlineLevel="0" collapsed="false">
      <c r="A33" s="12" t="s">
        <v>165</v>
      </c>
      <c r="B33" s="13" t="n">
        <f aca="false">AVERAGEIFS(Daily!$C$5:$C$103,Daily!$B$5:$B$103,A33)</f>
        <v>854.928571428571</v>
      </c>
      <c r="C33" s="15" t="n">
        <f aca="false">B33/AVERAGE(Daily!$C$5:$C$103)*100</f>
        <v>100.777434746001</v>
      </c>
      <c r="D33" s="16" t="n">
        <f aca="false">AVERAGEIFS(Daily!$D$5:$D$103,Daily!$B$5:$B$103,A33)</f>
        <v>17.7142857142857</v>
      </c>
      <c r="E33" s="15" t="n">
        <f aca="false">COUNTIF(Daily!$B$5:$B$103,A33)</f>
        <v>14</v>
      </c>
    </row>
    <row r="34" customFormat="false" ht="15" hidden="false" customHeight="false" outlineLevel="0" collapsed="false">
      <c r="A34" s="12" t="s">
        <v>166</v>
      </c>
      <c r="B34" s="13" t="n">
        <f aca="false">AVERAGEIFS(Daily!$C$5:$C$103,Daily!$B$5:$B$103,A34)</f>
        <v>806.785714285714</v>
      </c>
      <c r="C34" s="15" t="n">
        <f aca="false">B34/AVERAGE(Daily!$C$5:$C$103)*100</f>
        <v>95.1024417625596</v>
      </c>
      <c r="D34" s="16" t="n">
        <f aca="false">AVERAGEIFS(Daily!$D$5:$D$103,Daily!$B$5:$B$103,A34)</f>
        <v>16.0714285714286</v>
      </c>
      <c r="E34" s="15" t="n">
        <f aca="false">COUNTIF(Daily!$B$5:$B$103,A34)</f>
        <v>14</v>
      </c>
    </row>
    <row r="35" customFormat="false" ht="27.75" hidden="false" customHeight="true" outlineLevel="0" collapsed="false">
      <c r="A35" s="19" t="s">
        <v>167</v>
      </c>
      <c r="B35" s="19"/>
      <c r="C35" s="19"/>
      <c r="D35" s="19"/>
      <c r="E35" s="19"/>
    </row>
    <row r="37" customFormat="false" ht="15" hidden="false" customHeight="false" outlineLevel="0" collapsed="false">
      <c r="A37" s="8" t="s">
        <v>168</v>
      </c>
    </row>
    <row r="38" customFormat="false" ht="31.5" hidden="false" customHeight="true" outlineLevel="0" collapsed="false">
      <c r="A38" s="10" t="s">
        <v>169</v>
      </c>
      <c r="B38" s="10" t="s">
        <v>170</v>
      </c>
      <c r="C38" s="10" t="s">
        <v>171</v>
      </c>
    </row>
    <row r="39" customFormat="false" ht="15" hidden="false" customHeight="false" outlineLevel="0" collapsed="false">
      <c r="A39" s="33" t="n">
        <v>0</v>
      </c>
      <c r="B39" s="17" t="n">
        <f aca="false">CORREL(Daily!$C$5:$C$103,Daily!$D$5:$D$103)</f>
        <v>0.934730973756491</v>
      </c>
      <c r="C39" s="17" t="n">
        <f aca="false">B39^2</f>
        <v>0.873721993299757</v>
      </c>
    </row>
    <row r="40" customFormat="false" ht="15" hidden="false" customHeight="false" outlineLevel="0" collapsed="false">
      <c r="A40" s="33" t="n">
        <v>1</v>
      </c>
      <c r="B40" s="17" t="n">
        <f aca="false">CORREL(Daily!$C$5:$C$102,Daily!$D$6:$D$103)</f>
        <v>0.906829773605791</v>
      </c>
      <c r="C40" s="17" t="n">
        <f aca="false">B40^2</f>
        <v>0.822340238297931</v>
      </c>
    </row>
    <row r="41" customFormat="false" ht="15" hidden="false" customHeight="false" outlineLevel="0" collapsed="false">
      <c r="A41" s="33" t="n">
        <v>2</v>
      </c>
      <c r="B41" s="17" t="n">
        <f aca="false">CORREL(Daily!$C$5:$C$101,Daily!$D$7:$D$103)</f>
        <v>0.912555215232929</v>
      </c>
      <c r="C41" s="17" t="n">
        <f aca="false">B41^2</f>
        <v>0.832757020848817</v>
      </c>
    </row>
    <row r="42" customFormat="false" ht="15" hidden="false" customHeight="false" outlineLevel="0" collapsed="false">
      <c r="A42" s="33" t="n">
        <v>3</v>
      </c>
      <c r="B42" s="17" t="n">
        <f aca="false">CORREL(Daily!$C$5:$C$100,Daily!$D$8:$D$103)</f>
        <v>0.867509647935457</v>
      </c>
      <c r="C42" s="17" t="n">
        <f aca="false">B42^2</f>
        <v>0.752572989261101</v>
      </c>
    </row>
    <row r="43" customFormat="false" ht="15" hidden="false" customHeight="false" outlineLevel="0" collapsed="false">
      <c r="A43" s="33" t="n">
        <v>5</v>
      </c>
      <c r="B43" s="17" t="n">
        <f aca="false">CORREL(Daily!$C$5:$C$98,Daily!$D$10:$D$103)</f>
        <v>0.837425578263666</v>
      </c>
      <c r="C43" s="17" t="n">
        <f aca="false">B43^2</f>
        <v>0.701281599130236</v>
      </c>
    </row>
    <row r="44" customFormat="false" ht="15" hidden="false" customHeight="false" outlineLevel="0" collapsed="false">
      <c r="A44" s="33" t="n">
        <v>7</v>
      </c>
      <c r="B44" s="17" t="n">
        <f aca="false">CORREL(Daily!$C$5:$C$96,Daily!$D$12:$D$103)</f>
        <v>0.844964087891083</v>
      </c>
      <c r="C44" s="17" t="n">
        <f aca="false">B44^2</f>
        <v>0.713964309825609</v>
      </c>
    </row>
    <row r="45" customFormat="false" ht="15" hidden="false" customHeight="false" outlineLevel="0" collapsed="false">
      <c r="A45" s="33" t="n">
        <v>10</v>
      </c>
      <c r="B45" s="17" t="n">
        <f aca="false">CORREL(Daily!$C$5:$C$93,Daily!$D$15:$D$103)</f>
        <v>0.883903505291223</v>
      </c>
      <c r="C45" s="17" t="n">
        <f aca="false">B45^2</f>
        <v>0.781285406666112</v>
      </c>
    </row>
    <row r="46" customFormat="false" ht="15" hidden="false" customHeight="false" outlineLevel="0" collapsed="false">
      <c r="A46" s="33" t="n">
        <v>14</v>
      </c>
      <c r="B46" s="17" t="n">
        <f aca="false">CORREL(Daily!$C$5:$C$89,Daily!$D$19:$D$103)</f>
        <v>0.80885951397576</v>
      </c>
      <c r="C46" s="17" t="n">
        <f aca="false">B46^2</f>
        <v>0.654253713349103</v>
      </c>
    </row>
    <row r="47" customFormat="false" ht="15" hidden="false" customHeight="false" outlineLevel="0" collapsed="false">
      <c r="A47" s="12" t="s">
        <v>172</v>
      </c>
      <c r="B47" s="15" t="n">
        <f aca="false">INDEX(A39:A46,MATCH(MAX(B39:B46),B39:B46,0))</f>
        <v>0</v>
      </c>
    </row>
    <row r="48" customFormat="false" ht="27.75" hidden="false" customHeight="true" outlineLevel="0" collapsed="false">
      <c r="A48" s="19" t="s">
        <v>173</v>
      </c>
      <c r="B48" s="19"/>
      <c r="C48" s="19"/>
      <c r="D48" s="19"/>
    </row>
    <row r="50" customFormat="false" ht="15" hidden="false" customHeight="false" outlineLevel="0" collapsed="false">
      <c r="A50" s="8" t="s">
        <v>174</v>
      </c>
    </row>
    <row r="51" customFormat="false" ht="31.5" hidden="false" customHeight="true" outlineLevel="0" collapsed="false">
      <c r="A51" s="10" t="s">
        <v>175</v>
      </c>
      <c r="B51" s="10" t="s">
        <v>176</v>
      </c>
      <c r="C51" s="10" t="s">
        <v>177</v>
      </c>
      <c r="D51" s="10" t="s">
        <v>178</v>
      </c>
      <c r="E51" s="10" t="s">
        <v>179</v>
      </c>
      <c r="F51" s="10" t="s">
        <v>180</v>
      </c>
      <c r="G51" s="10" t="s">
        <v>181</v>
      </c>
      <c r="H51" s="10" t="s">
        <v>182</v>
      </c>
    </row>
    <row r="52" customFormat="false" ht="15" hidden="false" customHeight="false" outlineLevel="0" collapsed="false">
      <c r="A52" s="12" t="s">
        <v>183</v>
      </c>
      <c r="B52" s="34" t="n">
        <v>43905</v>
      </c>
      <c r="C52" s="34" t="n">
        <v>43951</v>
      </c>
      <c r="D52" s="15" t="n">
        <f aca="false">MATCH(B52,Daily!$A$5:$A$103,0)</f>
        <v>19</v>
      </c>
      <c r="E52" s="15" t="n">
        <f aca="false">MATCH(C52,Daily!$A$5:$A$103,0)</f>
        <v>65</v>
      </c>
      <c r="F52" s="14" t="n">
        <f aca="false">EXP(SLOPE(INDEX(Daily!$O$5:$O$103,D52):INDEX(Daily!$O$5:$O$103,E52),INDEX(Daily!$N$5:$N$103,D52):INDEX(Daily!$N$5:$N$103,E52)))-1</f>
        <v>0.0711514127409552</v>
      </c>
      <c r="G52" s="35" t="n">
        <f aca="false">IF(F52&gt;0,LN(2)/LN(1+F52),"no doubling")</f>
        <v>10.0844647702844</v>
      </c>
      <c r="H52" s="26" t="n">
        <f aca="false">RSQ(INDEX(Daily!$O$5:$O$103,D52):INDEX(Daily!$O$5:$O$103,E52),INDEX(Daily!$N$5:$N$103,D52):INDEX(Daily!$N$5:$N$103,E52))</f>
        <v>0.907677861474447</v>
      </c>
    </row>
    <row r="53" customFormat="false" ht="15" hidden="false" customHeight="false" outlineLevel="0" collapsed="false">
      <c r="A53" s="12" t="s">
        <v>184</v>
      </c>
      <c r="B53" s="34" t="n">
        <v>43952</v>
      </c>
      <c r="C53" s="34" t="n">
        <v>43985</v>
      </c>
      <c r="D53" s="15" t="n">
        <f aca="false">MATCH(B53,Daily!$A$5:$A$103,0)</f>
        <v>66</v>
      </c>
      <c r="E53" s="15" t="n">
        <f aca="false">MATCH(C53,Daily!$A$5:$A$103,0)</f>
        <v>99</v>
      </c>
      <c r="F53" s="14" t="n">
        <f aca="false">EXP(SLOPE(INDEX(Daily!$O$5:$O$103,D53):INDEX(Daily!$O$5:$O$103,E53),INDEX(Daily!$N$5:$N$103,D53):INDEX(Daily!$N$5:$N$103,E53)))-1</f>
        <v>0.0309225732191221</v>
      </c>
      <c r="G53" s="35" t="n">
        <f aca="false">IF(F53&gt;0,LN(2)/LN(1+F53),"no doubling")</f>
        <v>22.7603869767907</v>
      </c>
      <c r="H53" s="26" t="n">
        <f aca="false">RSQ(INDEX(Daily!$O$5:$O$103,D53):INDEX(Daily!$O$5:$O$103,E53),INDEX(Daily!$N$5:$N$103,D53):INDEX(Daily!$N$5:$N$103,E53))</f>
        <v>0.864945297995987</v>
      </c>
    </row>
    <row r="54" customFormat="false" ht="27.75" hidden="false" customHeight="true" outlineLevel="0" collapsed="false">
      <c r="A54" s="19" t="s">
        <v>185</v>
      </c>
      <c r="B54" s="19"/>
      <c r="C54" s="19"/>
      <c r="D54" s="19"/>
      <c r="E54" s="19"/>
      <c r="F54" s="19"/>
      <c r="G54" s="19"/>
      <c r="H54" s="19"/>
    </row>
  </sheetData>
  <mergeCells count="5">
    <mergeCell ref="A17:D17"/>
    <mergeCell ref="A24:D24"/>
    <mergeCell ref="A35:E35"/>
    <mergeCell ref="A48:D48"/>
    <mergeCell ref="A54:H5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J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9" min="2" style="0" width="15"/>
    <col collapsed="false" customWidth="true" hidden="false" outlineLevel="0" max="10" min="10" style="0" width="40"/>
  </cols>
  <sheetData>
    <row r="1" customFormat="false" ht="19.7" hidden="false" customHeight="false" outlineLevel="0" collapsed="false">
      <c r="A1" s="1" t="s">
        <v>186</v>
      </c>
    </row>
    <row r="2" customFormat="false" ht="15" hidden="false" customHeight="false" outlineLevel="0" collapsed="false">
      <c r="A2" s="2" t="s">
        <v>187</v>
      </c>
    </row>
    <row r="4" customFormat="false" ht="15" hidden="false" customHeight="false" outlineLevel="0" collapsed="false">
      <c r="A4" s="8" t="s">
        <v>188</v>
      </c>
    </row>
    <row r="5" customFormat="false" ht="31.5" hidden="false" customHeight="true" outlineLevel="0" collapsed="false">
      <c r="A5" s="10" t="s">
        <v>189</v>
      </c>
      <c r="B5" s="10" t="s">
        <v>190</v>
      </c>
      <c r="C5" s="10" t="s">
        <v>191</v>
      </c>
      <c r="D5" s="10" t="s">
        <v>192</v>
      </c>
      <c r="E5" s="10" t="s">
        <v>193</v>
      </c>
    </row>
    <row r="6" customFormat="false" ht="15" hidden="false" customHeight="false" outlineLevel="0" collapsed="false">
      <c r="A6" s="36" t="s">
        <v>194</v>
      </c>
      <c r="B6" s="37" t="n">
        <f aca="false">INDEX(LINEST($B$53:$B$151,$E$53:$E$151,TRUE(),TRUE()),1,2)</f>
        <v>-658.408163265306</v>
      </c>
      <c r="C6" s="37" t="n">
        <f aca="false">INDEX(LINEST($B$53:$B$151,$E$53:$E$151,TRUE(),TRUE()),2,2)</f>
        <v>105.35329962578</v>
      </c>
      <c r="D6" s="26" t="n">
        <f aca="false">B6/C6</f>
        <v>-6.24952579182621</v>
      </c>
      <c r="E6" s="38" t="n">
        <f aca="false">TDIST(ABS(D6),$B$13,2)</f>
        <v>1.09947097435929E-008</v>
      </c>
    </row>
    <row r="7" customFormat="false" ht="15" hidden="false" customHeight="false" outlineLevel="0" collapsed="false">
      <c r="A7" s="36" t="s">
        <v>195</v>
      </c>
      <c r="B7" s="37" t="n">
        <f aca="false">INDEX(LINEST($B$53:$B$151,$E$53:$E$151,TRUE(),TRUE()),1,1)</f>
        <v>30.1348299319728</v>
      </c>
      <c r="C7" s="37" t="n">
        <f aca="false">INDEX(LINEST($B$53:$B$151,$E$53:$E$151,TRUE(),TRUE()),2,1)</f>
        <v>1.82935178749849</v>
      </c>
      <c r="D7" s="26" t="n">
        <f aca="false">B7/C7</f>
        <v>16.4729551406731</v>
      </c>
      <c r="E7" s="38" t="n">
        <f aca="false">TDIST(ABS(D7),$B$13,2)</f>
        <v>7.35459323177037E-030</v>
      </c>
    </row>
    <row r="8" customFormat="false" ht="15" hidden="false" customHeight="false" outlineLevel="0" collapsed="false">
      <c r="A8" s="36" t="s">
        <v>171</v>
      </c>
      <c r="B8" s="38" t="n">
        <f aca="false">INDEX(LINEST($B$53:$B$151,$E$53:$E$151,TRUE(),TRUE()),3,1)</f>
        <v>0.736669398013688</v>
      </c>
    </row>
    <row r="9" customFormat="false" ht="15" hidden="false" customHeight="false" outlineLevel="0" collapsed="false">
      <c r="A9" s="36" t="s">
        <v>196</v>
      </c>
      <c r="B9" s="38" t="n">
        <f aca="false">1-(1-B8)*(COUNT($B$53:$B$151)-1)/B13</f>
        <v>0.733954649539603</v>
      </c>
    </row>
    <row r="10" customFormat="false" ht="15" hidden="false" customHeight="false" outlineLevel="0" collapsed="false">
      <c r="A10" s="36" t="s">
        <v>197</v>
      </c>
      <c r="B10" s="16" t="n">
        <f aca="false">INDEX(LINEST($B$53:$B$151,$E$53:$E$151,TRUE(),TRUE()),3,2)</f>
        <v>520.160346202952</v>
      </c>
    </row>
    <row r="11" customFormat="false" ht="15" hidden="false" customHeight="false" outlineLevel="0" collapsed="false">
      <c r="A11" s="36" t="s">
        <v>198</v>
      </c>
      <c r="B11" s="39" t="n">
        <f aca="false">INDEX(LINEST($B$53:$B$151,$E$53:$E$151,TRUE(),TRUE()),4,1)</f>
        <v>271.358251066628</v>
      </c>
    </row>
    <row r="12" customFormat="false" ht="15" hidden="false" customHeight="false" outlineLevel="0" collapsed="false">
      <c r="A12" s="36" t="s">
        <v>199</v>
      </c>
      <c r="B12" s="38" t="n">
        <f aca="false">FDIST(B11,1,B13)</f>
        <v>7.35459323177037E-030</v>
      </c>
    </row>
    <row r="13" customFormat="false" ht="15" hidden="false" customHeight="false" outlineLevel="0" collapsed="false">
      <c r="A13" s="36" t="s">
        <v>200</v>
      </c>
      <c r="B13" s="15" t="n">
        <f aca="false">INDEX(LINEST($B$53:$B$151,$E$53:$E$151,TRUE(),TRUE()),4,2)</f>
        <v>97</v>
      </c>
    </row>
    <row r="16" customFormat="false" ht="15" hidden="false" customHeight="false" outlineLevel="0" collapsed="false">
      <c r="A16" s="8" t="s">
        <v>201</v>
      </c>
    </row>
    <row r="17" customFormat="false" ht="31.5" hidden="false" customHeight="true" outlineLevel="0" collapsed="false">
      <c r="A17" s="10" t="s">
        <v>189</v>
      </c>
      <c r="B17" s="10" t="s">
        <v>190</v>
      </c>
      <c r="C17" s="10" t="s">
        <v>191</v>
      </c>
      <c r="D17" s="10" t="s">
        <v>192</v>
      </c>
      <c r="E17" s="10" t="s">
        <v>193</v>
      </c>
    </row>
    <row r="18" customFormat="false" ht="15" hidden="false" customHeight="false" outlineLevel="0" collapsed="false">
      <c r="A18" s="36" t="s">
        <v>194</v>
      </c>
      <c r="B18" s="37" t="n">
        <f aca="false">INDEX(LINEST($B$53:$B$151,$C$53:$E$151,TRUE(),TRUE()),1,4)</f>
        <v>-147.192633077647</v>
      </c>
      <c r="C18" s="37" t="n">
        <f aca="false">INDEX(LINEST($B$53:$B$151,$C$53:$E$151,TRUE(),TRUE()),2,4)</f>
        <v>81.8343921393656</v>
      </c>
      <c r="D18" s="26" t="n">
        <f aca="false">B18/C18</f>
        <v>-1.79866470843915</v>
      </c>
      <c r="E18" s="38" t="n">
        <f aca="false">TDIST(ABS(D18),$B$27,2)</f>
        <v>0.0752474251418006</v>
      </c>
    </row>
    <row r="19" customFormat="false" ht="15" hidden="false" customHeight="false" outlineLevel="0" collapsed="false">
      <c r="A19" s="36" t="s">
        <v>48</v>
      </c>
      <c r="B19" s="37" t="n">
        <f aca="false">INDEX(LINEST($B$53:$B$151,$C$53:$E$151,TRUE(),TRUE()),1,3)</f>
        <v>31.8661319895564</v>
      </c>
      <c r="C19" s="37" t="n">
        <f aca="false">INDEX(LINEST($B$53:$B$151,$C$53:$E$151,TRUE(),TRUE()),2,3)</f>
        <v>3.88972016588189</v>
      </c>
      <c r="D19" s="26" t="n">
        <f aca="false">B19/C19</f>
        <v>8.19239704415386</v>
      </c>
      <c r="E19" s="38" t="n">
        <f aca="false">TDIST(ABS(D19),$B$27,2)</f>
        <v>1.18176929267675E-012</v>
      </c>
    </row>
    <row r="20" customFormat="false" ht="15" hidden="false" customHeight="false" outlineLevel="0" collapsed="false">
      <c r="A20" s="36" t="s">
        <v>49</v>
      </c>
      <c r="B20" s="37" t="n">
        <f aca="false">INDEX(LINEST($B$53:$B$151,$C$53:$E$151,TRUE(),TRUE()),1,2)</f>
        <v>0.242565735174322</v>
      </c>
      <c r="C20" s="37" t="n">
        <f aca="false">INDEX(LINEST($B$53:$B$151,$C$53:$E$151,TRUE(),TRUE()),2,2)</f>
        <v>0.129099551947027</v>
      </c>
      <c r="D20" s="26" t="n">
        <f aca="false">B20/C20</f>
        <v>1.87890454704175</v>
      </c>
      <c r="E20" s="38" t="n">
        <f aca="false">TDIST(ABS(D20),$B$27,2)</f>
        <v>0.0633233994843008</v>
      </c>
    </row>
    <row r="21" customFormat="false" ht="15" hidden="false" customHeight="false" outlineLevel="0" collapsed="false">
      <c r="A21" s="36" t="s">
        <v>195</v>
      </c>
      <c r="B21" s="37" t="n">
        <f aca="false">INDEX(LINEST($B$53:$B$151,$C$53:$E$151,TRUE(),TRUE()),1,1)</f>
        <v>7.57336665736638</v>
      </c>
      <c r="C21" s="37" t="n">
        <f aca="false">INDEX(LINEST($B$53:$B$151,$C$53:$E$151,TRUE(),TRUE()),2,1)</f>
        <v>2.31663137574515</v>
      </c>
      <c r="D21" s="26" t="n">
        <f aca="false">B21/C21</f>
        <v>3.2691289329233</v>
      </c>
      <c r="E21" s="38" t="n">
        <f aca="false">TDIST(ABS(D21),$B$27,2)</f>
        <v>0.00150297091876568</v>
      </c>
    </row>
    <row r="22" customFormat="false" ht="15" hidden="false" customHeight="false" outlineLevel="0" collapsed="false">
      <c r="A22" s="36" t="s">
        <v>171</v>
      </c>
      <c r="B22" s="38" t="n">
        <f aca="false">INDEX(LINEST($B$53:$B$151,$C$53:$E$151,TRUE(),TRUE()),3,1)</f>
        <v>0.890148139341565</v>
      </c>
    </row>
    <row r="23" customFormat="false" ht="15" hidden="false" customHeight="false" outlineLevel="0" collapsed="false">
      <c r="A23" s="36" t="s">
        <v>196</v>
      </c>
      <c r="B23" s="38" t="n">
        <f aca="false">1-(1-B22)*(COUNT($B$53:$B$151)-1)/B27</f>
        <v>0.886679133215509</v>
      </c>
    </row>
    <row r="24" customFormat="false" ht="15" hidden="false" customHeight="false" outlineLevel="0" collapsed="false">
      <c r="A24" s="36" t="s">
        <v>197</v>
      </c>
      <c r="B24" s="16" t="n">
        <f aca="false">INDEX(LINEST($B$53:$B$151,$C$53:$E$151,TRUE(),TRUE()),3,2)</f>
        <v>339.480121071651</v>
      </c>
    </row>
    <row r="25" customFormat="false" ht="15" hidden="false" customHeight="false" outlineLevel="0" collapsed="false">
      <c r="A25" s="36" t="s">
        <v>198</v>
      </c>
      <c r="B25" s="39" t="n">
        <f aca="false">INDEX(LINEST($B$53:$B$151,$C$53:$E$151,TRUE(),TRUE()),4,1)</f>
        <v>256.600336521642</v>
      </c>
    </row>
    <row r="26" customFormat="false" ht="15" hidden="false" customHeight="false" outlineLevel="0" collapsed="false">
      <c r="A26" s="36" t="s">
        <v>199</v>
      </c>
      <c r="B26" s="38" t="n">
        <f aca="false">FDIST(B25,3,B27)</f>
        <v>2.0316158708858E-045</v>
      </c>
    </row>
    <row r="27" customFormat="false" ht="15" hidden="false" customHeight="false" outlineLevel="0" collapsed="false">
      <c r="A27" s="36" t="s">
        <v>200</v>
      </c>
      <c r="B27" s="15" t="n">
        <f aca="false">INDEX(LINEST($B$53:$B$151,$C$53:$E$151,TRUE(),TRUE()),4,2)</f>
        <v>95</v>
      </c>
    </row>
    <row r="30" customFormat="false" ht="15" hidden="false" customHeight="false" outlineLevel="0" collapsed="false">
      <c r="A30" s="8" t="s">
        <v>202</v>
      </c>
    </row>
    <row r="31" customFormat="false" ht="31.5" hidden="false" customHeight="true" outlineLevel="0" collapsed="false">
      <c r="A31" s="10" t="s">
        <v>189</v>
      </c>
      <c r="B31" s="10" t="s">
        <v>190</v>
      </c>
      <c r="C31" s="10" t="s">
        <v>191</v>
      </c>
      <c r="D31" s="10" t="s">
        <v>192</v>
      </c>
      <c r="E31" s="10" t="s">
        <v>193</v>
      </c>
    </row>
    <row r="32" customFormat="false" ht="15" hidden="false" customHeight="false" outlineLevel="0" collapsed="false">
      <c r="A32" s="36" t="s">
        <v>194</v>
      </c>
      <c r="B32" s="37" t="n">
        <f aca="false">INDEX(LINEST($B$53:$B$151,$E$53:$F$151,TRUE(),TRUE()),1,3)</f>
        <v>197.685500066943</v>
      </c>
      <c r="C32" s="37" t="n">
        <f aca="false">INDEX(LINEST($B$53:$B$151,$E$53:$F$151,TRUE(),TRUE()),2,3)</f>
        <v>111.420134493618</v>
      </c>
      <c r="D32" s="26" t="n">
        <f aca="false">B32/C32</f>
        <v>1.77423497974925</v>
      </c>
      <c r="E32" s="38" t="n">
        <f aca="false">TDIST(ABS(D32),$B$40,2)</f>
        <v>0.0791946126375104</v>
      </c>
    </row>
    <row r="33" customFormat="false" ht="15" hidden="false" customHeight="false" outlineLevel="0" collapsed="false">
      <c r="A33" s="36" t="s">
        <v>195</v>
      </c>
      <c r="B33" s="37" t="n">
        <f aca="false">INDEX(LINEST($B$53:$B$151,$E$53:$F$151,TRUE(),TRUE()),1,2)</f>
        <v>-20.7222193748935</v>
      </c>
      <c r="C33" s="37" t="n">
        <f aca="false">INDEX(LINEST($B$53:$B$151,$E$53:$F$151,TRUE(),TRUE()),2,2)</f>
        <v>5.14309387126026</v>
      </c>
      <c r="D33" s="26" t="n">
        <f aca="false">B33/C33</f>
        <v>-4.02913497081782</v>
      </c>
      <c r="E33" s="38" t="n">
        <f aca="false">TDIST(ABS(D33),$B$40,2)</f>
        <v>0.000112056448814084</v>
      </c>
    </row>
    <row r="34" customFormat="false" ht="15" hidden="false" customHeight="false" outlineLevel="0" collapsed="false">
      <c r="A34" s="36" t="s">
        <v>203</v>
      </c>
      <c r="B34" s="37" t="n">
        <f aca="false">INDEX(LINEST($B$53:$B$151,$E$53:$F$151,TRUE(),TRUE()),1,1)</f>
        <v>0.508570493068663</v>
      </c>
      <c r="C34" s="37" t="n">
        <f aca="false">INDEX(LINEST($B$53:$B$151,$E$53:$F$151,TRUE(),TRUE()),2,1)</f>
        <v>0.0498294128450364</v>
      </c>
      <c r="D34" s="26" t="n">
        <f aca="false">B34/C34</f>
        <v>10.2062308992132</v>
      </c>
      <c r="E34" s="38" t="n">
        <f aca="false">TDIST(ABS(D34),$B$40,2)</f>
        <v>5.36629790016553E-017</v>
      </c>
    </row>
    <row r="35" customFormat="false" ht="15" hidden="false" customHeight="false" outlineLevel="0" collapsed="false">
      <c r="A35" s="36" t="s">
        <v>171</v>
      </c>
      <c r="B35" s="38" t="n">
        <f aca="false">INDEX(LINEST($B$53:$B$151,$E$53:$F$151,TRUE(),TRUE()),3,1)</f>
        <v>0.87370686001297</v>
      </c>
    </row>
    <row r="36" customFormat="false" ht="15" hidden="false" customHeight="false" outlineLevel="0" collapsed="false">
      <c r="A36" s="36" t="s">
        <v>196</v>
      </c>
      <c r="B36" s="38" t="n">
        <f aca="false">1-(1-B35)*(COUNT($B$53:$B$151)-1)/B40</f>
        <v>0.871075752929907</v>
      </c>
    </row>
    <row r="37" customFormat="false" ht="15" hidden="false" customHeight="false" outlineLevel="0" collapsed="false">
      <c r="A37" s="36" t="s">
        <v>197</v>
      </c>
      <c r="B37" s="16" t="n">
        <f aca="false">INDEX(LINEST($B$53:$B$151,$E$53:$F$151,TRUE(),TRUE()),3,2)</f>
        <v>362.098483865844</v>
      </c>
    </row>
    <row r="38" customFormat="false" ht="15" hidden="false" customHeight="false" outlineLevel="0" collapsed="false">
      <c r="A38" s="36" t="s">
        <v>198</v>
      </c>
      <c r="B38" s="39" t="n">
        <f aca="false">INDEX(LINEST($B$53:$B$151,$E$53:$F$151,TRUE(),TRUE()),4,1)</f>
        <v>332.068149425451</v>
      </c>
    </row>
    <row r="39" customFormat="false" ht="15" hidden="false" customHeight="false" outlineLevel="0" collapsed="false">
      <c r="A39" s="36" t="s">
        <v>199</v>
      </c>
      <c r="B39" s="38" t="n">
        <f aca="false">FDIST(B38,2,B40)</f>
        <v>7.34900483955513E-044</v>
      </c>
    </row>
    <row r="40" customFormat="false" ht="15" hidden="false" customHeight="false" outlineLevel="0" collapsed="false">
      <c r="A40" s="36" t="s">
        <v>200</v>
      </c>
      <c r="B40" s="15" t="n">
        <f aca="false">INDEX(LINEST($B$53:$B$151,$E$53:$F$151,TRUE(),TRUE()),4,2)</f>
        <v>96</v>
      </c>
    </row>
    <row r="43" customFormat="false" ht="15" hidden="false" customHeight="false" outlineLevel="0" collapsed="false">
      <c r="A43" s="8" t="s">
        <v>204</v>
      </c>
    </row>
    <row r="44" customFormat="false" ht="31.5" hidden="false" customHeight="true" outlineLevel="0" collapsed="false">
      <c r="A44" s="10" t="s">
        <v>205</v>
      </c>
      <c r="B44" s="10" t="s">
        <v>171</v>
      </c>
      <c r="C44" s="10" t="s">
        <v>196</v>
      </c>
      <c r="D44" s="10" t="s">
        <v>191</v>
      </c>
      <c r="E44" s="10" t="s">
        <v>199</v>
      </c>
      <c r="G44" s="40" t="s">
        <v>206</v>
      </c>
    </row>
    <row r="45" customFormat="false" ht="15" hidden="false" customHeight="false" outlineLevel="0" collapsed="false">
      <c r="A45" s="36" t="s">
        <v>207</v>
      </c>
      <c r="B45" s="38" t="n">
        <f aca="false">B8</f>
        <v>0.736669398013688</v>
      </c>
      <c r="C45" s="38" t="n">
        <f aca="false">B9</f>
        <v>0.733954649539603</v>
      </c>
      <c r="D45" s="16" t="n">
        <f aca="false">B10</f>
        <v>520.160346202952</v>
      </c>
      <c r="E45" s="38" t="n">
        <f aca="false">B12</f>
        <v>7.35459323177037E-030</v>
      </c>
      <c r="G45" s="41" t="str">
        <f aca="false">"Simple: each extra day adds about "&amp;TEXT(B7,"#,##0.0")&amp;" cases a day; Day_Num explains "&amp;TEXT(B8,"0%")&amp;" of the variation."</f>
        <v>Simple: each extra day adds about 30.1 cases a day; Day_Num explains 74% of the variation.</v>
      </c>
    </row>
    <row r="46" customFormat="false" ht="15" hidden="false" customHeight="false" outlineLevel="0" collapsed="false">
      <c r="A46" s="36" t="s">
        <v>208</v>
      </c>
      <c r="B46" s="38" t="n">
        <f aca="false">B22</f>
        <v>0.890148139341565</v>
      </c>
      <c r="C46" s="38" t="n">
        <f aca="false">B23</f>
        <v>0.886679133215509</v>
      </c>
      <c r="D46" s="16" t="n">
        <f aca="false">B24</f>
        <v>339.480121071651</v>
      </c>
      <c r="E46" s="38" t="n">
        <f aca="false">B26</f>
        <v>2.0316158708858E-045</v>
      </c>
      <c r="G46" s="41" t="str">
        <f aca="false">"Multiple: R² "&amp;TEXT(B22,"0.000")&amp;". Deaths and Recovered are outcomes of earlier cases, so this model describes the data and should not be used to forecast."</f>
        <v>Multiple: R² 0.890. Deaths and Recovered are outcomes of earlier cases, so this model describes the data and should not be used to forecast.</v>
      </c>
    </row>
    <row r="47" customFormat="false" ht="15" hidden="false" customHeight="false" outlineLevel="0" collapsed="false">
      <c r="A47" s="36" t="s">
        <v>209</v>
      </c>
      <c r="B47" s="38" t="n">
        <f aca="false">B35</f>
        <v>0.87370686001297</v>
      </c>
      <c r="C47" s="38" t="n">
        <f aca="false">B36</f>
        <v>0.871075752929907</v>
      </c>
      <c r="D47" s="16" t="n">
        <f aca="false">B37</f>
        <v>362.098483865844</v>
      </c>
      <c r="E47" s="38" t="n">
        <f aca="false">B39</f>
        <v>7.34900483955513E-044</v>
      </c>
      <c r="G47" s="41" t="str">
        <f aca="false">"Polynomial: adding Day_Sq lifts R² to "&amp;TEXT(B35,"0.000")&amp;" (Day_Sq p-value "&amp;TEXT(E34,"0.0000")&amp;"), so growth is accelerating, not linear."</f>
        <v>Polynomial: adding Day_Sq lifts R² to 0.874 (Day_Sq p-value 0.0000), so growth is accelerating, not linear.</v>
      </c>
    </row>
    <row r="48" customFormat="false" ht="36" hidden="false" customHeight="true" outlineLevel="0" collapsed="false">
      <c r="A48" s="19" t="s">
        <v>210</v>
      </c>
      <c r="B48" s="19"/>
      <c r="C48" s="19"/>
      <c r="D48" s="19"/>
      <c r="E48" s="19"/>
      <c r="F48" s="19"/>
      <c r="G48" s="19"/>
      <c r="H48" s="19"/>
      <c r="I48" s="19"/>
      <c r="J48" s="19"/>
    </row>
    <row r="49" customFormat="false" ht="15" hidden="false" customHeight="false" outlineLevel="0" collapsed="false">
      <c r="A49" s="19"/>
      <c r="B49" s="19"/>
      <c r="C49" s="19"/>
      <c r="D49" s="19"/>
      <c r="E49" s="19"/>
      <c r="F49" s="19"/>
      <c r="G49" s="19"/>
      <c r="H49" s="19"/>
      <c r="I49" s="19"/>
      <c r="J49" s="19"/>
    </row>
    <row r="51" customFormat="false" ht="15" hidden="false" customHeight="false" outlineLevel="0" collapsed="false">
      <c r="A51" s="8" t="s">
        <v>211</v>
      </c>
    </row>
    <row r="52" customFormat="false" ht="31.5" hidden="false" customHeight="true" outlineLevel="0" collapsed="false">
      <c r="A52" s="10" t="s">
        <v>24</v>
      </c>
      <c r="B52" s="10" t="s">
        <v>47</v>
      </c>
      <c r="C52" s="10" t="s">
        <v>48</v>
      </c>
      <c r="D52" s="10" t="s">
        <v>49</v>
      </c>
      <c r="E52" s="10" t="s">
        <v>195</v>
      </c>
      <c r="F52" s="10" t="s">
        <v>203</v>
      </c>
      <c r="G52" s="10" t="s">
        <v>212</v>
      </c>
      <c r="H52" s="10" t="s">
        <v>213</v>
      </c>
      <c r="I52" s="10" t="s">
        <v>214</v>
      </c>
    </row>
    <row r="53" customFormat="false" ht="15" hidden="false" customHeight="false" outlineLevel="0" collapsed="false">
      <c r="A53" s="42" t="n">
        <f aca="false">Daily!A5</f>
        <v>43887</v>
      </c>
      <c r="B53" s="13" t="n">
        <f aca="false">Daily!C5</f>
        <v>3</v>
      </c>
      <c r="C53" s="13" t="n">
        <f aca="false">Daily!D5</f>
        <v>0</v>
      </c>
      <c r="D53" s="13" t="n">
        <f aca="false">Daily!E5</f>
        <v>0</v>
      </c>
      <c r="E53" s="15" t="n">
        <f aca="false">Daily!N5+1</f>
        <v>1</v>
      </c>
      <c r="F53" s="13" t="n">
        <f aca="false">E53^2</f>
        <v>1</v>
      </c>
      <c r="G53" s="13" t="n">
        <f aca="false">$B$6+$B$7*E53</f>
        <v>-628.273333333333</v>
      </c>
      <c r="H53" s="13" t="n">
        <f aca="false">$B$18+$B$19*C53+$B$20*D53+$B$21*E53</f>
        <v>-139.619266420281</v>
      </c>
      <c r="I53" s="13" t="n">
        <f aca="false">$B$32+$B$33*E53+$B$34*F53</f>
        <v>177.471851185118</v>
      </c>
    </row>
    <row r="54" customFormat="false" ht="15" hidden="false" customHeight="false" outlineLevel="0" collapsed="false">
      <c r="A54" s="42" t="n">
        <f aca="false">Daily!A6</f>
        <v>43888</v>
      </c>
      <c r="B54" s="13" t="n">
        <f aca="false">Daily!C6</f>
        <v>0</v>
      </c>
      <c r="C54" s="13" t="n">
        <f aca="false">Daily!D6</f>
        <v>0</v>
      </c>
      <c r="D54" s="13" t="n">
        <f aca="false">Daily!E6</f>
        <v>0</v>
      </c>
      <c r="E54" s="15" t="n">
        <f aca="false">Daily!N6+1</f>
        <v>2</v>
      </c>
      <c r="F54" s="13" t="n">
        <f aca="false">E54^2</f>
        <v>4</v>
      </c>
      <c r="G54" s="13" t="n">
        <f aca="false">$B$6+$B$7*E54</f>
        <v>-598.138503401361</v>
      </c>
      <c r="H54" s="13" t="n">
        <f aca="false">$B$18+$B$19*C54+$B$20*D54+$B$21*E54</f>
        <v>-132.045899762915</v>
      </c>
      <c r="I54" s="13" t="n">
        <f aca="false">$B$32+$B$33*E54+$B$34*F54</f>
        <v>158.275343289431</v>
      </c>
    </row>
    <row r="55" customFormat="false" ht="15" hidden="false" customHeight="false" outlineLevel="0" collapsed="false">
      <c r="A55" s="42" t="n">
        <f aca="false">Daily!A7</f>
        <v>43889</v>
      </c>
      <c r="B55" s="13" t="n">
        <f aca="false">Daily!C7</f>
        <v>0</v>
      </c>
      <c r="C55" s="13" t="n">
        <f aca="false">Daily!D7</f>
        <v>0</v>
      </c>
      <c r="D55" s="13" t="n">
        <f aca="false">Daily!E7</f>
        <v>0</v>
      </c>
      <c r="E55" s="15" t="n">
        <f aca="false">Daily!N7+1</f>
        <v>3</v>
      </c>
      <c r="F55" s="13" t="n">
        <f aca="false">E55^2</f>
        <v>9</v>
      </c>
      <c r="G55" s="13" t="n">
        <f aca="false">$B$6+$B$7*E55</f>
        <v>-568.003673469388</v>
      </c>
      <c r="H55" s="13" t="n">
        <f aca="false">$B$18+$B$19*C55+$B$20*D55+$B$21*E55</f>
        <v>-124.472533105548</v>
      </c>
      <c r="I55" s="13" t="n">
        <f aca="false">$B$32+$B$33*E55+$B$34*F55</f>
        <v>140.095976379881</v>
      </c>
    </row>
    <row r="56" customFormat="false" ht="15" hidden="false" customHeight="false" outlineLevel="0" collapsed="false">
      <c r="A56" s="42" t="n">
        <f aca="false">Daily!A8</f>
        <v>43890</v>
      </c>
      <c r="B56" s="13" t="n">
        <f aca="false">Daily!C8</f>
        <v>2</v>
      </c>
      <c r="C56" s="13" t="n">
        <f aca="false">Daily!D8</f>
        <v>0</v>
      </c>
      <c r="D56" s="13" t="n">
        <f aca="false">Daily!E8</f>
        <v>0</v>
      </c>
      <c r="E56" s="15" t="n">
        <f aca="false">Daily!N8+1</f>
        <v>4</v>
      </c>
      <c r="F56" s="13" t="n">
        <f aca="false">E56^2</f>
        <v>16</v>
      </c>
      <c r="G56" s="13" t="n">
        <f aca="false">$B$6+$B$7*E56</f>
        <v>-537.868843537415</v>
      </c>
      <c r="H56" s="13" t="n">
        <f aca="false">$B$18+$B$19*C56+$B$20*D56+$B$21*E56</f>
        <v>-116.899166448182</v>
      </c>
      <c r="I56" s="13" t="n">
        <f aca="false">$B$32+$B$33*E56+$B$34*F56</f>
        <v>122.933750456468</v>
      </c>
    </row>
    <row r="57" customFormat="false" ht="15" hidden="false" customHeight="false" outlineLevel="0" collapsed="false">
      <c r="A57" s="42" t="n">
        <f aca="false">Daily!A9</f>
        <v>43891</v>
      </c>
      <c r="B57" s="13" t="n">
        <f aca="false">Daily!C9</f>
        <v>0</v>
      </c>
      <c r="C57" s="13" t="n">
        <f aca="false">Daily!D9</f>
        <v>0</v>
      </c>
      <c r="D57" s="13" t="n">
        <f aca="false">Daily!E9</f>
        <v>0</v>
      </c>
      <c r="E57" s="15" t="n">
        <f aca="false">Daily!N9+1</f>
        <v>5</v>
      </c>
      <c r="F57" s="13" t="n">
        <f aca="false">E57^2</f>
        <v>25</v>
      </c>
      <c r="G57" s="13" t="n">
        <f aca="false">$B$6+$B$7*E57</f>
        <v>-507.734013605442</v>
      </c>
      <c r="H57" s="13" t="n">
        <f aca="false">$B$18+$B$19*C57+$B$20*D57+$B$21*E57</f>
        <v>-109.325799790815</v>
      </c>
      <c r="I57" s="13" t="n">
        <f aca="false">$B$32+$B$33*E57+$B$34*F57</f>
        <v>106.788665519192</v>
      </c>
    </row>
    <row r="58" customFormat="false" ht="15" hidden="false" customHeight="false" outlineLevel="0" collapsed="false">
      <c r="A58" s="42" t="n">
        <f aca="false">Daily!A10</f>
        <v>43892</v>
      </c>
      <c r="B58" s="13" t="n">
        <f aca="false">Daily!C10</f>
        <v>1</v>
      </c>
      <c r="C58" s="13" t="n">
        <f aca="false">Daily!D10</f>
        <v>0</v>
      </c>
      <c r="D58" s="13" t="n">
        <f aca="false">Daily!E10</f>
        <v>0</v>
      </c>
      <c r="E58" s="15" t="n">
        <f aca="false">Daily!N10+1</f>
        <v>6</v>
      </c>
      <c r="F58" s="13" t="n">
        <f aca="false">E58^2</f>
        <v>36</v>
      </c>
      <c r="G58" s="13" t="n">
        <f aca="false">$B$6+$B$7*E58</f>
        <v>-477.599183673469</v>
      </c>
      <c r="H58" s="13" t="n">
        <f aca="false">$B$18+$B$19*C58+$B$20*D58+$B$21*E58</f>
        <v>-101.752433133449</v>
      </c>
      <c r="I58" s="13" t="n">
        <f aca="false">$B$32+$B$33*E58+$B$34*F58</f>
        <v>91.6607215680541</v>
      </c>
    </row>
    <row r="59" customFormat="false" ht="15" hidden="false" customHeight="false" outlineLevel="0" collapsed="false">
      <c r="A59" s="42" t="n">
        <f aca="false">Daily!A11</f>
        <v>43893</v>
      </c>
      <c r="B59" s="13" t="n">
        <f aca="false">Daily!C11</f>
        <v>0</v>
      </c>
      <c r="C59" s="13" t="n">
        <f aca="false">Daily!D11</f>
        <v>0</v>
      </c>
      <c r="D59" s="13" t="n">
        <f aca="false">Daily!E11</f>
        <v>0</v>
      </c>
      <c r="E59" s="15" t="n">
        <f aca="false">Daily!N11+1</f>
        <v>7</v>
      </c>
      <c r="F59" s="13" t="n">
        <f aca="false">E59^2</f>
        <v>49</v>
      </c>
      <c r="G59" s="13" t="n">
        <f aca="false">$B$6+$B$7*E59</f>
        <v>-447.464353741497</v>
      </c>
      <c r="H59" s="13" t="n">
        <f aca="false">$B$18+$B$19*C59+$B$20*D59+$B$21*E59</f>
        <v>-94.1790664760826</v>
      </c>
      <c r="I59" s="13" t="n">
        <f aca="false">$B$32+$B$33*E59+$B$34*F59</f>
        <v>77.5499186030532</v>
      </c>
    </row>
    <row r="60" customFormat="false" ht="15" hidden="false" customHeight="false" outlineLevel="0" collapsed="false">
      <c r="A60" s="42" t="n">
        <f aca="false">Daily!A12</f>
        <v>43894</v>
      </c>
      <c r="B60" s="13" t="n">
        <f aca="false">Daily!C12</f>
        <v>0</v>
      </c>
      <c r="C60" s="13" t="n">
        <f aca="false">Daily!D12</f>
        <v>0</v>
      </c>
      <c r="D60" s="13" t="n">
        <f aca="false">Daily!E12</f>
        <v>0</v>
      </c>
      <c r="E60" s="15" t="n">
        <f aca="false">Daily!N12+1</f>
        <v>8</v>
      </c>
      <c r="F60" s="13" t="n">
        <f aca="false">E60^2</f>
        <v>64</v>
      </c>
      <c r="G60" s="13" t="n">
        <f aca="false">$B$6+$B$7*E60</f>
        <v>-417.329523809524</v>
      </c>
      <c r="H60" s="13" t="n">
        <f aca="false">$B$18+$B$19*C60+$B$20*D60+$B$21*E60</f>
        <v>-86.6056998187163</v>
      </c>
      <c r="I60" s="13" t="n">
        <f aca="false">$B$32+$B$33*E60+$B$34*F60</f>
        <v>64.4562566241897</v>
      </c>
    </row>
    <row r="61" customFormat="false" ht="15" hidden="false" customHeight="false" outlineLevel="0" collapsed="false">
      <c r="A61" s="42" t="n">
        <f aca="false">Daily!A13</f>
        <v>43895</v>
      </c>
      <c r="B61" s="13" t="n">
        <f aca="false">Daily!C13</f>
        <v>0</v>
      </c>
      <c r="C61" s="13" t="n">
        <f aca="false">Daily!D13</f>
        <v>0</v>
      </c>
      <c r="D61" s="13" t="n">
        <f aca="false">Daily!E13</f>
        <v>0</v>
      </c>
      <c r="E61" s="15" t="n">
        <f aca="false">Daily!N13+1</f>
        <v>9</v>
      </c>
      <c r="F61" s="13" t="n">
        <f aca="false">E61^2</f>
        <v>81</v>
      </c>
      <c r="G61" s="13" t="n">
        <f aca="false">$B$6+$B$7*E61</f>
        <v>-387.194693877551</v>
      </c>
      <c r="H61" s="13" t="n">
        <f aca="false">$B$18+$B$19*C61+$B$20*D61+$B$21*E61</f>
        <v>-79.0323331613499</v>
      </c>
      <c r="I61" s="13" t="n">
        <f aca="false">$B$32+$B$33*E61+$B$34*F61</f>
        <v>52.3797356314634</v>
      </c>
    </row>
    <row r="62" customFormat="false" ht="15" hidden="false" customHeight="false" outlineLevel="0" collapsed="false">
      <c r="A62" s="42" t="n">
        <f aca="false">Daily!A14</f>
        <v>43896</v>
      </c>
      <c r="B62" s="13" t="n">
        <f aca="false">Daily!C14</f>
        <v>0</v>
      </c>
      <c r="C62" s="13" t="n">
        <f aca="false">Daily!D14</f>
        <v>0</v>
      </c>
      <c r="D62" s="13" t="n">
        <f aca="false">Daily!E14</f>
        <v>1</v>
      </c>
      <c r="E62" s="15" t="n">
        <f aca="false">Daily!N14+1</f>
        <v>10</v>
      </c>
      <c r="F62" s="13" t="n">
        <f aca="false">E62^2</f>
        <v>100</v>
      </c>
      <c r="G62" s="13" t="n">
        <f aca="false">$B$6+$B$7*E62</f>
        <v>-357.059863945578</v>
      </c>
      <c r="H62" s="13" t="n">
        <f aca="false">$B$18+$B$19*C62+$B$20*D62+$B$21*E62</f>
        <v>-71.2164007688092</v>
      </c>
      <c r="I62" s="13" t="n">
        <f aca="false">$B$32+$B$33*E62+$B$34*F62</f>
        <v>41.3203556248745</v>
      </c>
    </row>
    <row r="63" customFormat="false" ht="15" hidden="false" customHeight="false" outlineLevel="0" collapsed="false">
      <c r="A63" s="42" t="n">
        <f aca="false">Daily!A15</f>
        <v>43897</v>
      </c>
      <c r="B63" s="13" t="n">
        <f aca="false">Daily!C15</f>
        <v>1</v>
      </c>
      <c r="C63" s="13" t="n">
        <f aca="false">Daily!D15</f>
        <v>0</v>
      </c>
      <c r="D63" s="13" t="n">
        <f aca="false">Daily!E15</f>
        <v>0</v>
      </c>
      <c r="E63" s="15" t="n">
        <f aca="false">Daily!N15+1</f>
        <v>11</v>
      </c>
      <c r="F63" s="13" t="n">
        <f aca="false">E63^2</f>
        <v>121</v>
      </c>
      <c r="G63" s="13" t="n">
        <f aca="false">$B$6+$B$7*E63</f>
        <v>-326.925034013605</v>
      </c>
      <c r="H63" s="13" t="n">
        <f aca="false">$B$18+$B$19*C63+$B$20*D63+$B$21*E63</f>
        <v>-63.8855998466171</v>
      </c>
      <c r="I63" s="13" t="n">
        <f aca="false">$B$32+$B$33*E63+$B$34*F63</f>
        <v>31.278116604423</v>
      </c>
    </row>
    <row r="64" customFormat="false" ht="15" hidden="false" customHeight="false" outlineLevel="0" collapsed="false">
      <c r="A64" s="42" t="n">
        <f aca="false">Daily!A16</f>
        <v>43898</v>
      </c>
      <c r="B64" s="13" t="n">
        <f aca="false">Daily!C16</f>
        <v>0</v>
      </c>
      <c r="C64" s="13" t="n">
        <f aca="false">Daily!D16</f>
        <v>0</v>
      </c>
      <c r="D64" s="13" t="n">
        <f aca="false">Daily!E16</f>
        <v>0</v>
      </c>
      <c r="E64" s="15" t="n">
        <f aca="false">Daily!N16+1</f>
        <v>12</v>
      </c>
      <c r="F64" s="13" t="n">
        <f aca="false">E64^2</f>
        <v>144</v>
      </c>
      <c r="G64" s="13" t="n">
        <f aca="false">$B$6+$B$7*E64</f>
        <v>-296.790204081633</v>
      </c>
      <c r="H64" s="13" t="n">
        <f aca="false">$B$18+$B$19*C64+$B$20*D64+$B$21*E64</f>
        <v>-56.3122331892507</v>
      </c>
      <c r="I64" s="13" t="n">
        <f aca="false">$B$32+$B$33*E64+$B$34*F64</f>
        <v>22.2530185701087</v>
      </c>
    </row>
    <row r="65" customFormat="false" ht="15" hidden="false" customHeight="false" outlineLevel="0" collapsed="false">
      <c r="A65" s="42" t="n">
        <f aca="false">Daily!A17</f>
        <v>43899</v>
      </c>
      <c r="B65" s="13" t="n">
        <f aca="false">Daily!C17</f>
        <v>9</v>
      </c>
      <c r="C65" s="13" t="n">
        <f aca="false">Daily!D17</f>
        <v>0</v>
      </c>
      <c r="D65" s="13" t="n">
        <f aca="false">Daily!E17</f>
        <v>0</v>
      </c>
      <c r="E65" s="15" t="n">
        <f aca="false">Daily!N17+1</f>
        <v>13</v>
      </c>
      <c r="F65" s="13" t="n">
        <f aca="false">E65^2</f>
        <v>169</v>
      </c>
      <c r="G65" s="13" t="n">
        <f aca="false">$B$6+$B$7*E65</f>
        <v>-266.65537414966</v>
      </c>
      <c r="H65" s="13" t="n">
        <f aca="false">$B$18+$B$19*C65+$B$20*D65+$B$21*E65</f>
        <v>-48.7388665318843</v>
      </c>
      <c r="I65" s="13" t="n">
        <f aca="false">$B$32+$B$33*E65+$B$34*F65</f>
        <v>14.2450615219318</v>
      </c>
    </row>
    <row r="66" customFormat="false" ht="15" hidden="false" customHeight="false" outlineLevel="0" collapsed="false">
      <c r="A66" s="42" t="n">
        <f aca="false">Daily!A18</f>
        <v>43900</v>
      </c>
      <c r="B66" s="13" t="n">
        <f aca="false">Daily!C18</f>
        <v>3</v>
      </c>
      <c r="C66" s="13" t="n">
        <f aca="false">Daily!D18</f>
        <v>0</v>
      </c>
      <c r="D66" s="13" t="n">
        <f aca="false">Daily!E18</f>
        <v>0</v>
      </c>
      <c r="E66" s="15" t="n">
        <f aca="false">Daily!N18+1</f>
        <v>14</v>
      </c>
      <c r="F66" s="13" t="n">
        <f aca="false">E66^2</f>
        <v>196</v>
      </c>
      <c r="G66" s="13" t="n">
        <f aca="false">$B$6+$B$7*E66</f>
        <v>-236.520544217687</v>
      </c>
      <c r="H66" s="13" t="n">
        <f aca="false">$B$18+$B$19*C66+$B$20*D66+$B$21*E66</f>
        <v>-41.165499874518</v>
      </c>
      <c r="I66" s="13" t="n">
        <f aca="false">$B$32+$B$33*E66+$B$34*F66</f>
        <v>7.25424545989218</v>
      </c>
    </row>
    <row r="67" customFormat="false" ht="15" hidden="false" customHeight="false" outlineLevel="0" collapsed="false">
      <c r="A67" s="42" t="n">
        <f aca="false">Daily!A19</f>
        <v>43901</v>
      </c>
      <c r="B67" s="13" t="n">
        <f aca="false">Daily!C19</f>
        <v>1</v>
      </c>
      <c r="C67" s="13" t="n">
        <f aca="false">Daily!D19</f>
        <v>0</v>
      </c>
      <c r="D67" s="13" t="n">
        <f aca="false">Daily!E19</f>
        <v>1</v>
      </c>
      <c r="E67" s="15" t="n">
        <f aca="false">Daily!N19+1</f>
        <v>15</v>
      </c>
      <c r="F67" s="13" t="n">
        <f aca="false">E67^2</f>
        <v>225</v>
      </c>
      <c r="G67" s="13" t="n">
        <f aca="false">$B$6+$B$7*E67</f>
        <v>-206.385714285714</v>
      </c>
      <c r="H67" s="13" t="n">
        <f aca="false">$B$18+$B$19*C67+$B$20*D67+$B$21*E67</f>
        <v>-33.3495674819773</v>
      </c>
      <c r="I67" s="13" t="n">
        <f aca="false">$B$32+$B$33*E67+$B$34*F67</f>
        <v>1.28057038398985</v>
      </c>
    </row>
    <row r="68" customFormat="false" ht="15" hidden="false" customHeight="false" outlineLevel="0" collapsed="false">
      <c r="A68" s="42" t="n">
        <f aca="false">Daily!A20</f>
        <v>43902</v>
      </c>
      <c r="B68" s="13" t="n">
        <f aca="false">Daily!C20</f>
        <v>1</v>
      </c>
      <c r="C68" s="13" t="n">
        <f aca="false">Daily!D20</f>
        <v>0</v>
      </c>
      <c r="D68" s="13" t="n">
        <f aca="false">Daily!E20</f>
        <v>0</v>
      </c>
      <c r="E68" s="15" t="n">
        <f aca="false">Daily!N20+1</f>
        <v>16</v>
      </c>
      <c r="F68" s="13" t="n">
        <f aca="false">E68^2</f>
        <v>256</v>
      </c>
      <c r="G68" s="13" t="n">
        <f aca="false">$B$6+$B$7*E68</f>
        <v>-176.250884353742</v>
      </c>
      <c r="H68" s="13" t="n">
        <f aca="false">$B$18+$B$19*C68+$B$20*D68+$B$21*E68</f>
        <v>-26.0187665597852</v>
      </c>
      <c r="I68" s="13" t="n">
        <f aca="false">$B$32+$B$33*E68+$B$34*F68</f>
        <v>-3.67596370577508</v>
      </c>
    </row>
    <row r="69" customFormat="false" ht="15" hidden="false" customHeight="false" outlineLevel="0" collapsed="false">
      <c r="A69" s="42" t="n">
        <f aca="false">Daily!A21</f>
        <v>43903</v>
      </c>
      <c r="B69" s="13" t="n">
        <f aca="false">Daily!C21</f>
        <v>9</v>
      </c>
      <c r="C69" s="13" t="n">
        <f aca="false">Daily!D21</f>
        <v>0</v>
      </c>
      <c r="D69" s="13" t="n">
        <f aca="false">Daily!E21</f>
        <v>1</v>
      </c>
      <c r="E69" s="15" t="n">
        <f aca="false">Daily!N21+1</f>
        <v>17</v>
      </c>
      <c r="F69" s="13" t="n">
        <f aca="false">E69^2</f>
        <v>289</v>
      </c>
      <c r="G69" s="13" t="n">
        <f aca="false">$B$6+$B$7*E69</f>
        <v>-146.116054421769</v>
      </c>
      <c r="H69" s="13" t="n">
        <f aca="false">$B$18+$B$19*C69+$B$20*D69+$B$21*E69</f>
        <v>-18.2028341672445</v>
      </c>
      <c r="I69" s="13" t="n">
        <f aca="false">$B$32+$B$33*E69+$B$34*F69</f>
        <v>-7.61535680940267</v>
      </c>
    </row>
    <row r="70" customFormat="false" ht="15" hidden="false" customHeight="false" outlineLevel="0" collapsed="false">
      <c r="A70" s="42" t="n">
        <f aca="false">Daily!A22</f>
        <v>43904</v>
      </c>
      <c r="B70" s="13" t="n">
        <f aca="false">Daily!C22</f>
        <v>0</v>
      </c>
      <c r="C70" s="13" t="n">
        <f aca="false">Daily!D22</f>
        <v>0</v>
      </c>
      <c r="D70" s="13" t="n">
        <f aca="false">Daily!E22</f>
        <v>0</v>
      </c>
      <c r="E70" s="15" t="n">
        <f aca="false">Daily!N22+1</f>
        <v>18</v>
      </c>
      <c r="F70" s="13" t="n">
        <f aca="false">E70^2</f>
        <v>324</v>
      </c>
      <c r="G70" s="13" t="n">
        <f aca="false">$B$6+$B$7*E70</f>
        <v>-115.981224489796</v>
      </c>
      <c r="H70" s="13" t="n">
        <f aca="false">$B$18+$B$19*C70+$B$20*D70+$B$21*E70</f>
        <v>-10.8720332450524</v>
      </c>
      <c r="I70" s="13" t="n">
        <f aca="false">$B$32+$B$33*E70+$B$34*F70</f>
        <v>-10.537608926893</v>
      </c>
    </row>
    <row r="71" customFormat="false" ht="15" hidden="false" customHeight="false" outlineLevel="0" collapsed="false">
      <c r="A71" s="42" t="n">
        <f aca="false">Daily!A23</f>
        <v>43905</v>
      </c>
      <c r="B71" s="13" t="n">
        <f aca="false">Daily!C23</f>
        <v>34</v>
      </c>
      <c r="C71" s="13" t="n">
        <f aca="false">Daily!D23</f>
        <v>1</v>
      </c>
      <c r="D71" s="13" t="n">
        <f aca="false">Daily!E23</f>
        <v>0</v>
      </c>
      <c r="E71" s="15" t="n">
        <f aca="false">Daily!N23+1</f>
        <v>19</v>
      </c>
      <c r="F71" s="13" t="n">
        <f aca="false">E71^2</f>
        <v>361</v>
      </c>
      <c r="G71" s="13" t="n">
        <f aca="false">$B$6+$B$7*E71</f>
        <v>-85.8463945578232</v>
      </c>
      <c r="H71" s="13" t="n">
        <f aca="false">$B$18+$B$19*C71+$B$20*D71+$B$21*E71</f>
        <v>28.5674654018704</v>
      </c>
      <c r="I71" s="13" t="n">
        <f aca="false">$B$32+$B$33*E71+$B$34*F71</f>
        <v>-12.442720058246</v>
      </c>
    </row>
    <row r="72" customFormat="false" ht="15" hidden="false" customHeight="false" outlineLevel="0" collapsed="false">
      <c r="A72" s="42" t="n">
        <f aca="false">Daily!A24</f>
        <v>43906</v>
      </c>
      <c r="B72" s="13" t="n">
        <f aca="false">Daily!C24</f>
        <v>151</v>
      </c>
      <c r="C72" s="13" t="n">
        <f aca="false">Daily!D24</f>
        <v>0</v>
      </c>
      <c r="D72" s="13" t="n">
        <f aca="false">Daily!E24</f>
        <v>1</v>
      </c>
      <c r="E72" s="15" t="n">
        <f aca="false">Daily!N24+1</f>
        <v>20</v>
      </c>
      <c r="F72" s="13" t="n">
        <f aca="false">E72^2</f>
        <v>400</v>
      </c>
      <c r="G72" s="13" t="n">
        <f aca="false">$B$6+$B$7*E72</f>
        <v>-55.7115646258504</v>
      </c>
      <c r="H72" s="13" t="n">
        <f aca="false">$B$18+$B$19*C72+$B$20*D72+$B$21*E72</f>
        <v>4.51726580485465</v>
      </c>
      <c r="I72" s="13" t="n">
        <f aca="false">$B$32+$B$33*E72+$B$34*F72</f>
        <v>-13.3306902034616</v>
      </c>
    </row>
    <row r="73" customFormat="false" ht="15" hidden="false" customHeight="false" outlineLevel="0" collapsed="false">
      <c r="A73" s="42" t="n">
        <f aca="false">Daily!A25</f>
        <v>43907</v>
      </c>
      <c r="B73" s="13" t="n">
        <f aca="false">Daily!C25</f>
        <v>52</v>
      </c>
      <c r="C73" s="13" t="n">
        <f aca="false">Daily!D25</f>
        <v>0</v>
      </c>
      <c r="D73" s="13" t="n">
        <f aca="false">Daily!E25</f>
        <v>0</v>
      </c>
      <c r="E73" s="15" t="n">
        <f aca="false">Daily!N25+1</f>
        <v>21</v>
      </c>
      <c r="F73" s="13" t="n">
        <f aca="false">E73^2</f>
        <v>441</v>
      </c>
      <c r="G73" s="13" t="n">
        <f aca="false">$B$6+$B$7*E73</f>
        <v>-25.5767346938776</v>
      </c>
      <c r="H73" s="13" t="n">
        <f aca="false">$B$18+$B$19*C73+$B$20*D73+$B$21*E73</f>
        <v>11.8480667270467</v>
      </c>
      <c r="I73" s="13" t="n">
        <f aca="false">$B$32+$B$33*E73+$B$34*F73</f>
        <v>-13.20151936254</v>
      </c>
    </row>
    <row r="74" customFormat="false" ht="15" hidden="false" customHeight="false" outlineLevel="0" collapsed="false">
      <c r="A74" s="42" t="n">
        <f aca="false">Daily!A26</f>
        <v>43908</v>
      </c>
      <c r="B74" s="13" t="n">
        <f aca="false">Daily!C26</f>
        <v>57</v>
      </c>
      <c r="C74" s="13" t="n">
        <f aca="false">Daily!D26</f>
        <v>2</v>
      </c>
      <c r="D74" s="13" t="n">
        <f aca="false">Daily!E26</f>
        <v>0</v>
      </c>
      <c r="E74" s="15" t="n">
        <f aca="false">Daily!N26+1</f>
        <v>22</v>
      </c>
      <c r="F74" s="13" t="n">
        <f aca="false">E74^2</f>
        <v>484</v>
      </c>
      <c r="G74" s="13" t="n">
        <f aca="false">$B$6+$B$7*E74</f>
        <v>4.55809523809523</v>
      </c>
      <c r="H74" s="13" t="n">
        <f aca="false">$B$18+$B$19*C74+$B$20*D74+$B$21*E74</f>
        <v>83.153697363526</v>
      </c>
      <c r="I74" s="13" t="n">
        <f aca="false">$B$32+$B$33*E74+$B$34*F74</f>
        <v>-12.0552075354809</v>
      </c>
    </row>
    <row r="75" customFormat="false" ht="15" hidden="false" customHeight="false" outlineLevel="0" collapsed="false">
      <c r="A75" s="42" t="n">
        <f aca="false">Daily!A27</f>
        <v>43909</v>
      </c>
      <c r="B75" s="13" t="n">
        <f aca="false">Daily!C27</f>
        <v>154</v>
      </c>
      <c r="C75" s="13" t="n">
        <f aca="false">Daily!D27</f>
        <v>0</v>
      </c>
      <c r="D75" s="13" t="n">
        <f aca="false">Daily!E27</f>
        <v>1</v>
      </c>
      <c r="E75" s="15" t="n">
        <f aca="false">Daily!N27+1</f>
        <v>23</v>
      </c>
      <c r="F75" s="13" t="n">
        <f aca="false">E75^2</f>
        <v>529</v>
      </c>
      <c r="G75" s="13" t="n">
        <f aca="false">$B$6+$B$7*E75</f>
        <v>34.692925170068</v>
      </c>
      <c r="H75" s="13" t="n">
        <f aca="false">$B$18+$B$19*C75+$B$20*D75+$B$21*E75</f>
        <v>27.2373657769538</v>
      </c>
      <c r="I75" s="13" t="n">
        <f aca="false">$B$32+$B$33*E75+$B$34*F75</f>
        <v>-9.89175472228465</v>
      </c>
    </row>
    <row r="76" customFormat="false" ht="15" hidden="false" customHeight="false" outlineLevel="0" collapsed="false">
      <c r="A76" s="42" t="n">
        <f aca="false">Daily!A28</f>
        <v>43910</v>
      </c>
      <c r="B76" s="13" t="n">
        <f aca="false">Daily!C28</f>
        <v>50</v>
      </c>
      <c r="C76" s="13" t="n">
        <f aca="false">Daily!D28</f>
        <v>1</v>
      </c>
      <c r="D76" s="13" t="n">
        <f aca="false">Daily!E28</f>
        <v>0</v>
      </c>
      <c r="E76" s="15" t="n">
        <f aca="false">Daily!N28+1</f>
        <v>24</v>
      </c>
      <c r="F76" s="13" t="n">
        <f aca="false">E76^2</f>
        <v>576</v>
      </c>
      <c r="G76" s="13" t="n">
        <f aca="false">$B$6+$B$7*E76</f>
        <v>64.8277551020408</v>
      </c>
      <c r="H76" s="13" t="n">
        <f aca="false">$B$18+$B$19*C76+$B$20*D76+$B$21*E76</f>
        <v>66.4342986887023</v>
      </c>
      <c r="I76" s="13" t="n">
        <f aca="false">$B$32+$B$33*E76+$B$34*F76</f>
        <v>-6.71116092295097</v>
      </c>
    </row>
    <row r="77" customFormat="false" ht="15" hidden="false" customHeight="false" outlineLevel="0" collapsed="false">
      <c r="A77" s="42" t="n">
        <f aca="false">Daily!A29</f>
        <v>43911</v>
      </c>
      <c r="B77" s="13" t="n">
        <f aca="false">Daily!C29</f>
        <v>134</v>
      </c>
      <c r="C77" s="13" t="n">
        <f aca="false">Daily!D29</f>
        <v>0</v>
      </c>
      <c r="D77" s="13" t="n">
        <f aca="false">Daily!E29</f>
        <v>3</v>
      </c>
      <c r="E77" s="15" t="n">
        <f aca="false">Daily!N29+1</f>
        <v>25</v>
      </c>
      <c r="F77" s="13" t="n">
        <f aca="false">E77^2</f>
        <v>625</v>
      </c>
      <c r="G77" s="13" t="n">
        <f aca="false">$B$6+$B$7*E77</f>
        <v>94.9625850340136</v>
      </c>
      <c r="H77" s="13" t="n">
        <f aca="false">$B$18+$B$19*C77+$B$20*D77+$B$21*E77</f>
        <v>42.8692305620352</v>
      </c>
      <c r="I77" s="13" t="n">
        <f aca="false">$B$32+$B$33*E77+$B$34*F77</f>
        <v>-2.51342613748</v>
      </c>
    </row>
    <row r="78" customFormat="false" ht="15" hidden="false" customHeight="false" outlineLevel="0" collapsed="false">
      <c r="A78" s="42" t="n">
        <f aca="false">Daily!A30</f>
        <v>43912</v>
      </c>
      <c r="B78" s="13" t="n">
        <f aca="false">Daily!C30</f>
        <v>110</v>
      </c>
      <c r="C78" s="13" t="n">
        <f aca="false">Daily!D30</f>
        <v>1</v>
      </c>
      <c r="D78" s="13" t="n">
        <f aca="false">Daily!E30</f>
        <v>0</v>
      </c>
      <c r="E78" s="15" t="n">
        <f aca="false">Daily!N30+1</f>
        <v>26</v>
      </c>
      <c r="F78" s="13" t="n">
        <f aca="false">E78^2</f>
        <v>676</v>
      </c>
      <c r="G78" s="13" t="n">
        <f aca="false">$B$6+$B$7*E78</f>
        <v>125.097414965986</v>
      </c>
      <c r="H78" s="13" t="n">
        <f aca="false">$B$18+$B$19*C78+$B$20*D78+$B$21*E78</f>
        <v>81.5810320034351</v>
      </c>
      <c r="I78" s="13" t="n">
        <f aca="false">$B$32+$B$33*E78+$B$34*F78</f>
        <v>2.70144963412832</v>
      </c>
    </row>
    <row r="79" customFormat="false" ht="15" hidden="false" customHeight="false" outlineLevel="0" collapsed="false">
      <c r="A79" s="42" t="n">
        <f aca="false">Daily!A31</f>
        <v>43913</v>
      </c>
      <c r="B79" s="13" t="n">
        <f aca="false">Daily!C31</f>
        <v>82</v>
      </c>
      <c r="C79" s="13" t="n">
        <f aca="false">Daily!D31</f>
        <v>1</v>
      </c>
      <c r="D79" s="13" t="n">
        <f aca="false">Daily!E31</f>
        <v>0</v>
      </c>
      <c r="E79" s="15" t="n">
        <f aca="false">Daily!N31+1</f>
        <v>27</v>
      </c>
      <c r="F79" s="13" t="n">
        <f aca="false">E79^2</f>
        <v>729</v>
      </c>
      <c r="G79" s="13" t="n">
        <f aca="false">$B$6+$B$7*E79</f>
        <v>155.232244897959</v>
      </c>
      <c r="H79" s="13" t="n">
        <f aca="false">$B$18+$B$19*C79+$B$20*D79+$B$21*E79</f>
        <v>89.1543986608015</v>
      </c>
      <c r="I79" s="13" t="n">
        <f aca="false">$B$32+$B$33*E79+$B$34*F79</f>
        <v>8.93346639187394</v>
      </c>
    </row>
    <row r="80" customFormat="false" ht="15" hidden="false" customHeight="false" outlineLevel="0" collapsed="false">
      <c r="A80" s="42" t="n">
        <f aca="false">Daily!A32</f>
        <v>43914</v>
      </c>
      <c r="B80" s="13" t="n">
        <f aca="false">Daily!C32</f>
        <v>114</v>
      </c>
      <c r="C80" s="13" t="n">
        <f aca="false">Daily!D32</f>
        <v>1</v>
      </c>
      <c r="D80" s="13" t="n">
        <f aca="false">Daily!E32</f>
        <v>18</v>
      </c>
      <c r="E80" s="15" t="n">
        <f aca="false">Daily!N32+1</f>
        <v>28</v>
      </c>
      <c r="F80" s="13" t="n">
        <f aca="false">E80^2</f>
        <v>784</v>
      </c>
      <c r="G80" s="13" t="n">
        <f aca="false">$B$6+$B$7*E80</f>
        <v>185.367074829932</v>
      </c>
      <c r="H80" s="13" t="n">
        <f aca="false">$B$18+$B$19*C80+$B$20*D80+$B$21*E80</f>
        <v>101.093948551306</v>
      </c>
      <c r="I80" s="13" t="n">
        <f aca="false">$B$32+$B$33*E80+$B$34*F80</f>
        <v>16.182624135757</v>
      </c>
    </row>
    <row r="81" customFormat="false" ht="15" hidden="false" customHeight="false" outlineLevel="0" collapsed="false">
      <c r="A81" s="42" t="n">
        <f aca="false">Daily!A33</f>
        <v>43915</v>
      </c>
      <c r="B81" s="13" t="n">
        <f aca="false">Daily!C33</f>
        <v>110</v>
      </c>
      <c r="C81" s="13" t="n">
        <f aca="false">Daily!D33</f>
        <v>1</v>
      </c>
      <c r="D81" s="13" t="n">
        <f aca="false">Daily!E33</f>
        <v>4</v>
      </c>
      <c r="E81" s="15" t="n">
        <f aca="false">Daily!N33+1</f>
        <v>29</v>
      </c>
      <c r="F81" s="13" t="n">
        <f aca="false">E81^2</f>
        <v>841</v>
      </c>
      <c r="G81" s="13" t="n">
        <f aca="false">$B$6+$B$7*E81</f>
        <v>215.501904761905</v>
      </c>
      <c r="H81" s="13" t="n">
        <f aca="false">$B$18+$B$19*C81+$B$20*D81+$B$21*E81</f>
        <v>105.271394916232</v>
      </c>
      <c r="I81" s="13" t="n">
        <f aca="false">$B$32+$B$33*E81+$B$34*F81</f>
        <v>24.4489228657773</v>
      </c>
    </row>
    <row r="82" customFormat="false" ht="15" hidden="false" customHeight="false" outlineLevel="0" collapsed="false">
      <c r="A82" s="42" t="n">
        <f aca="false">Daily!A34</f>
        <v>43916</v>
      </c>
      <c r="B82" s="13" t="n">
        <f aca="false">Daily!C34</f>
        <v>131</v>
      </c>
      <c r="C82" s="13" t="n">
        <f aca="false">Daily!D34</f>
        <v>1</v>
      </c>
      <c r="D82" s="13" t="n">
        <f aca="false">Daily!E34</f>
        <v>5</v>
      </c>
      <c r="E82" s="15" t="n">
        <f aca="false">Daily!N34+1</f>
        <v>30</v>
      </c>
      <c r="F82" s="13" t="n">
        <f aca="false">E82^2</f>
        <v>900</v>
      </c>
      <c r="G82" s="13" t="n">
        <f aca="false">$B$6+$B$7*E82</f>
        <v>245.636734693878</v>
      </c>
      <c r="H82" s="13" t="n">
        <f aca="false">$B$18+$B$19*C82+$B$20*D82+$B$21*E82</f>
        <v>113.087327308772</v>
      </c>
      <c r="I82" s="13" t="n">
        <f aca="false">$B$32+$B$33*E82+$B$34*F82</f>
        <v>33.7323625819348</v>
      </c>
    </row>
    <row r="83" customFormat="false" ht="15" hidden="false" customHeight="false" outlineLevel="0" collapsed="false">
      <c r="A83" s="42" t="n">
        <f aca="false">Daily!A35</f>
        <v>43917</v>
      </c>
      <c r="B83" s="13" t="n">
        <f aca="false">Daily!C35</f>
        <v>122</v>
      </c>
      <c r="C83" s="13" t="n">
        <f aca="false">Daily!D35</f>
        <v>2</v>
      </c>
      <c r="D83" s="13" t="n">
        <f aca="false">Daily!E35</f>
        <v>5</v>
      </c>
      <c r="E83" s="15" t="n">
        <f aca="false">Daily!N35+1</f>
        <v>31</v>
      </c>
      <c r="F83" s="13" t="n">
        <f aca="false">E83^2</f>
        <v>961</v>
      </c>
      <c r="G83" s="13" t="n">
        <f aca="false">$B$6+$B$7*E83</f>
        <v>275.77156462585</v>
      </c>
      <c r="H83" s="13" t="n">
        <f aca="false">$B$18+$B$19*C83+$B$20*D83+$B$21*E83</f>
        <v>152.526825955695</v>
      </c>
      <c r="I83" s="13" t="n">
        <f aca="false">$B$32+$B$33*E83+$B$34*F83</f>
        <v>44.0329432842297</v>
      </c>
    </row>
    <row r="84" customFormat="false" ht="15" hidden="false" customHeight="false" outlineLevel="0" collapsed="false">
      <c r="A84" s="42" t="n">
        <f aca="false">Daily!A36</f>
        <v>43918</v>
      </c>
      <c r="B84" s="13" t="n">
        <f aca="false">Daily!C36</f>
        <v>184</v>
      </c>
      <c r="C84" s="13" t="n">
        <f aca="false">Daily!D36</f>
        <v>2</v>
      </c>
      <c r="D84" s="13" t="n">
        <f aca="false">Daily!E36</f>
        <v>1</v>
      </c>
      <c r="E84" s="15" t="n">
        <f aca="false">Daily!N36+1</f>
        <v>32</v>
      </c>
      <c r="F84" s="13" t="n">
        <f aca="false">E84^2</f>
        <v>1024</v>
      </c>
      <c r="G84" s="13" t="n">
        <f aca="false">$B$6+$B$7*E84</f>
        <v>305.906394557823</v>
      </c>
      <c r="H84" s="13" t="n">
        <f aca="false">$B$18+$B$19*C84+$B$20*D84+$B$21*E84</f>
        <v>159.129929672364</v>
      </c>
      <c r="I84" s="13" t="n">
        <f aca="false">$B$32+$B$33*E84+$B$34*F84</f>
        <v>55.350664972662</v>
      </c>
    </row>
    <row r="85" customFormat="false" ht="15" hidden="false" customHeight="false" outlineLevel="0" collapsed="false">
      <c r="A85" s="42" t="n">
        <f aca="false">Daily!A37</f>
        <v>43919</v>
      </c>
      <c r="B85" s="13" t="n">
        <f aca="false">Daily!C37</f>
        <v>87</v>
      </c>
      <c r="C85" s="13" t="n">
        <f aca="false">Daily!D37</f>
        <v>6</v>
      </c>
      <c r="D85" s="13" t="n">
        <f aca="false">Daily!E37</f>
        <v>7</v>
      </c>
      <c r="E85" s="15" t="n">
        <f aca="false">Daily!N37+1</f>
        <v>33</v>
      </c>
      <c r="F85" s="13" t="n">
        <f aca="false">E85^2</f>
        <v>1089</v>
      </c>
      <c r="G85" s="13" t="n">
        <f aca="false">$B$6+$B$7*E85</f>
        <v>336.041224489796</v>
      </c>
      <c r="H85" s="13" t="n">
        <f aca="false">$B$18+$B$19*C85+$B$20*D85+$B$21*E85</f>
        <v>295.623218699002</v>
      </c>
      <c r="I85" s="13" t="n">
        <f aca="false">$B$32+$B$33*E85+$B$34*F85</f>
        <v>67.6855276472317</v>
      </c>
    </row>
    <row r="86" customFormat="false" ht="15" hidden="false" customHeight="false" outlineLevel="0" collapsed="false">
      <c r="A86" s="42" t="n">
        <f aca="false">Daily!A38</f>
        <v>43920</v>
      </c>
      <c r="B86" s="13" t="n">
        <f aca="false">Daily!C38</f>
        <v>145</v>
      </c>
      <c r="C86" s="13" t="n">
        <f aca="false">Daily!D38</f>
        <v>4</v>
      </c>
      <c r="D86" s="13" t="n">
        <f aca="false">Daily!E38</f>
        <v>32</v>
      </c>
      <c r="E86" s="15" t="n">
        <f aca="false">Daily!N38+1</f>
        <v>34</v>
      </c>
      <c r="F86" s="13" t="n">
        <f aca="false">E86^2</f>
        <v>1156</v>
      </c>
      <c r="G86" s="13" t="n">
        <f aca="false">$B$6+$B$7*E86</f>
        <v>366.176054421769</v>
      </c>
      <c r="H86" s="13" t="n">
        <f aca="false">$B$18+$B$19*C86+$B$20*D86+$B$21*E86</f>
        <v>245.528464756614</v>
      </c>
      <c r="I86" s="13" t="n">
        <f aca="false">$B$32+$B$33*E86+$B$34*F86</f>
        <v>81.0375313079386</v>
      </c>
    </row>
    <row r="87" customFormat="false" ht="15" hidden="false" customHeight="false" outlineLevel="0" collapsed="false">
      <c r="A87" s="42" t="n">
        <f aca="false">Daily!A39</f>
        <v>43921</v>
      </c>
      <c r="B87" s="13" t="n">
        <f aca="false">Daily!C39</f>
        <v>223</v>
      </c>
      <c r="C87" s="13" t="n">
        <f aca="false">Daily!D39</f>
        <v>4</v>
      </c>
      <c r="D87" s="13" t="n">
        <f aca="false">Daily!E39</f>
        <v>42</v>
      </c>
      <c r="E87" s="15" t="n">
        <f aca="false">Daily!N39+1</f>
        <v>35</v>
      </c>
      <c r="F87" s="13" t="n">
        <f aca="false">E87^2</f>
        <v>1225</v>
      </c>
      <c r="G87" s="13" t="n">
        <f aca="false">$B$6+$B$7*E87</f>
        <v>396.310884353741</v>
      </c>
      <c r="H87" s="13" t="n">
        <f aca="false">$B$18+$B$19*C87+$B$20*D87+$B$21*E87</f>
        <v>255.527488765723</v>
      </c>
      <c r="I87" s="13" t="n">
        <f aca="false">$B$32+$B$33*E87+$B$34*F87</f>
        <v>95.4066759547827</v>
      </c>
    </row>
    <row r="88" customFormat="false" ht="15" hidden="false" customHeight="false" outlineLevel="0" collapsed="false">
      <c r="A88" s="42" t="n">
        <f aca="false">Daily!A40</f>
        <v>43922</v>
      </c>
      <c r="B88" s="13" t="n">
        <f aca="false">Daily!C40</f>
        <v>260</v>
      </c>
      <c r="C88" s="13" t="n">
        <f aca="false">Daily!D40</f>
        <v>4</v>
      </c>
      <c r="D88" s="13" t="n">
        <f aca="false">Daily!E40</f>
        <v>15</v>
      </c>
      <c r="E88" s="15" t="n">
        <f aca="false">Daily!N40+1</f>
        <v>36</v>
      </c>
      <c r="F88" s="13" t="n">
        <f aca="false">E88^2</f>
        <v>1296</v>
      </c>
      <c r="G88" s="13" t="n">
        <f aca="false">$B$6+$B$7*E88</f>
        <v>426.445714285714</v>
      </c>
      <c r="H88" s="13" t="n">
        <f aca="false">$B$18+$B$19*C88+$B$20*D88+$B$21*E88</f>
        <v>256.551580573383</v>
      </c>
      <c r="I88" s="13" t="n">
        <f aca="false">$B$32+$B$33*E88+$B$34*F88</f>
        <v>110.792961587764</v>
      </c>
    </row>
    <row r="89" customFormat="false" ht="15" hidden="false" customHeight="false" outlineLevel="0" collapsed="false">
      <c r="A89" s="42" t="n">
        <f aca="false">Daily!A41</f>
        <v>43923</v>
      </c>
      <c r="B89" s="13" t="n">
        <f aca="false">Daily!C41</f>
        <v>183</v>
      </c>
      <c r="C89" s="13" t="n">
        <f aca="false">Daily!D41</f>
        <v>5</v>
      </c>
      <c r="D89" s="13" t="n">
        <f aca="false">Daily!E41</f>
        <v>14</v>
      </c>
      <c r="E89" s="15" t="n">
        <f aca="false">Daily!N41+1</f>
        <v>37</v>
      </c>
      <c r="F89" s="13" t="n">
        <f aca="false">E89^2</f>
        <v>1369</v>
      </c>
      <c r="G89" s="13" t="n">
        <f aca="false">$B$6+$B$7*E89</f>
        <v>456.580544217687</v>
      </c>
      <c r="H89" s="13" t="n">
        <f aca="false">$B$18+$B$19*C89+$B$20*D89+$B$21*E89</f>
        <v>295.748513485131</v>
      </c>
      <c r="I89" s="13" t="n">
        <f aca="false">$B$32+$B$33*E89+$B$34*F89</f>
        <v>127.196388206883</v>
      </c>
    </row>
    <row r="90" customFormat="false" ht="15" hidden="false" customHeight="false" outlineLevel="0" collapsed="false">
      <c r="A90" s="42" t="n">
        <f aca="false">Daily!A42</f>
        <v>43924</v>
      </c>
      <c r="B90" s="13" t="n">
        <f aca="false">Daily!C42</f>
        <v>239</v>
      </c>
      <c r="C90" s="13" t="n">
        <f aca="false">Daily!D42</f>
        <v>5</v>
      </c>
      <c r="D90" s="13" t="n">
        <f aca="false">Daily!E42</f>
        <v>1</v>
      </c>
      <c r="E90" s="15" t="n">
        <f aca="false">Daily!N42+1</f>
        <v>38</v>
      </c>
      <c r="F90" s="13" t="n">
        <f aca="false">E90^2</f>
        <v>1444</v>
      </c>
      <c r="G90" s="13" t="n">
        <f aca="false">$B$6+$B$7*E90</f>
        <v>486.71537414966</v>
      </c>
      <c r="H90" s="13" t="n">
        <f aca="false">$B$18+$B$19*C90+$B$20*D90+$B$21*E90</f>
        <v>300.168525585232</v>
      </c>
      <c r="I90" s="13" t="n">
        <f aca="false">$B$32+$B$33*E90+$B$34*F90</f>
        <v>144.616955812139</v>
      </c>
    </row>
    <row r="91" customFormat="false" ht="15" hidden="false" customHeight="false" outlineLevel="0" collapsed="false">
      <c r="A91" s="42" t="n">
        <f aca="false">Daily!A43</f>
        <v>43925</v>
      </c>
      <c r="B91" s="13" t="n">
        <f aca="false">Daily!C43</f>
        <v>79</v>
      </c>
      <c r="C91" s="13" t="n">
        <f aca="false">Daily!D43</f>
        <v>4</v>
      </c>
      <c r="D91" s="13" t="n">
        <f aca="false">Daily!E43</f>
        <v>33</v>
      </c>
      <c r="E91" s="15" t="n">
        <f aca="false">Daily!N43+1</f>
        <v>39</v>
      </c>
      <c r="F91" s="13" t="n">
        <f aca="false">E91^2</f>
        <v>1521</v>
      </c>
      <c r="G91" s="13" t="n">
        <f aca="false">$B$6+$B$7*E91</f>
        <v>516.850204081633</v>
      </c>
      <c r="H91" s="13" t="n">
        <f aca="false">$B$18+$B$19*C91+$B$20*D91+$B$21*E91</f>
        <v>283.63786377862</v>
      </c>
      <c r="I91" s="13" t="n">
        <f aca="false">$B$32+$B$33*E91+$B$34*F91</f>
        <v>163.054664403533</v>
      </c>
    </row>
    <row r="92" customFormat="false" ht="15" hidden="false" customHeight="false" outlineLevel="0" collapsed="false">
      <c r="A92" s="42" t="n">
        <f aca="false">Daily!A44</f>
        <v>43926</v>
      </c>
      <c r="B92" s="13" t="n">
        <f aca="false">Daily!C44</f>
        <v>180</v>
      </c>
      <c r="C92" s="13" t="n">
        <f aca="false">Daily!D44</f>
        <v>3</v>
      </c>
      <c r="D92" s="13" t="n">
        <f aca="false">Daily!E44</f>
        <v>45</v>
      </c>
      <c r="E92" s="15" t="n">
        <f aca="false">Daily!N44+1</f>
        <v>40</v>
      </c>
      <c r="F92" s="13" t="n">
        <f aca="false">E92^2</f>
        <v>1600</v>
      </c>
      <c r="G92" s="13" t="n">
        <f aca="false">$B$6+$B$7*E92</f>
        <v>546.985034013605</v>
      </c>
      <c r="H92" s="13" t="n">
        <f aca="false">$B$18+$B$19*C92+$B$20*D92+$B$21*E92</f>
        <v>262.255887268522</v>
      </c>
      <c r="I92" s="13" t="n">
        <f aca="false">$B$32+$B$33*E92+$B$34*F92</f>
        <v>182.509513981064</v>
      </c>
    </row>
    <row r="93" customFormat="false" ht="15" hidden="false" customHeight="false" outlineLevel="0" collapsed="false">
      <c r="A93" s="42" t="n">
        <f aca="false">Daily!A45</f>
        <v>43927</v>
      </c>
      <c r="B93" s="13" t="n">
        <f aca="false">Daily!C45</f>
        <v>249</v>
      </c>
      <c r="C93" s="13" t="n">
        <f aca="false">Daily!D45</f>
        <v>5</v>
      </c>
      <c r="D93" s="13" t="n">
        <f aca="false">Daily!E45</f>
        <v>175</v>
      </c>
      <c r="E93" s="15" t="n">
        <f aca="false">Daily!N45+1</f>
        <v>41</v>
      </c>
      <c r="F93" s="13" t="n">
        <f aca="false">E93^2</f>
        <v>1681</v>
      </c>
      <c r="G93" s="13" t="n">
        <f aca="false">$B$6+$B$7*E93</f>
        <v>577.119863945578</v>
      </c>
      <c r="H93" s="13" t="n">
        <f aca="false">$B$18+$B$19*C93+$B$20*D93+$B$21*E93</f>
        <v>365.095063477663</v>
      </c>
      <c r="I93" s="13" t="n">
        <f aca="false">$B$32+$B$33*E93+$B$34*F93</f>
        <v>202.981504544732</v>
      </c>
    </row>
    <row r="94" customFormat="false" ht="15" hidden="false" customHeight="false" outlineLevel="0" collapsed="false">
      <c r="A94" s="42" t="n">
        <f aca="false">Daily!A46</f>
        <v>43928</v>
      </c>
      <c r="B94" s="13" t="n">
        <f aca="false">Daily!C46</f>
        <v>107</v>
      </c>
      <c r="C94" s="13" t="n">
        <f aca="false">Daily!D46</f>
        <v>3</v>
      </c>
      <c r="D94" s="13" t="n">
        <f aca="false">Daily!E46</f>
        <v>82</v>
      </c>
      <c r="E94" s="15" t="n">
        <f aca="false">Daily!N46+1</f>
        <v>42</v>
      </c>
      <c r="F94" s="13" t="n">
        <f aca="false">E94^2</f>
        <v>1764</v>
      </c>
      <c r="G94" s="13" t="n">
        <f aca="false">$B$6+$B$7*E94</f>
        <v>607.254693877551</v>
      </c>
      <c r="H94" s="13" t="n">
        <f aca="false">$B$18+$B$19*C94+$B$20*D94+$B$21*E94</f>
        <v>286.377552784704</v>
      </c>
      <c r="I94" s="13" t="n">
        <f aca="false">$B$32+$B$33*E94+$B$34*F94</f>
        <v>224.470636094538</v>
      </c>
    </row>
    <row r="95" customFormat="false" ht="15" hidden="false" customHeight="false" outlineLevel="0" collapsed="false">
      <c r="A95" s="42" t="n">
        <f aca="false">Daily!A47</f>
        <v>43929</v>
      </c>
      <c r="B95" s="13" t="n">
        <f aca="false">Daily!C47</f>
        <v>337</v>
      </c>
      <c r="C95" s="13" t="n">
        <f aca="false">Daily!D47</f>
        <v>7</v>
      </c>
      <c r="D95" s="13" t="n">
        <f aca="false">Daily!E47</f>
        <v>112</v>
      </c>
      <c r="E95" s="15" t="n">
        <f aca="false">Daily!N47+1</f>
        <v>43</v>
      </c>
      <c r="F95" s="13" t="n">
        <f aca="false">E95^2</f>
        <v>1849</v>
      </c>
      <c r="G95" s="13" t="n">
        <f aca="false">$B$6+$B$7*E95</f>
        <v>637.389523809524</v>
      </c>
      <c r="H95" s="13" t="n">
        <f aca="false">$B$18+$B$19*C95+$B$20*D95+$B$21*E95</f>
        <v>428.692419455526</v>
      </c>
      <c r="I95" s="13" t="n">
        <f aca="false">$B$32+$B$33*E95+$B$34*F95</f>
        <v>246.97690863048</v>
      </c>
    </row>
    <row r="96" customFormat="false" ht="15" hidden="false" customHeight="false" outlineLevel="0" collapsed="false">
      <c r="A96" s="42" t="n">
        <f aca="false">Daily!A48</f>
        <v>43930</v>
      </c>
      <c r="B96" s="13" t="n">
        <f aca="false">Daily!C48</f>
        <v>874</v>
      </c>
      <c r="C96" s="13" t="n">
        <f aca="false">Daily!D48</f>
        <v>4</v>
      </c>
      <c r="D96" s="13" t="n">
        <f aca="false">Daily!E48</f>
        <v>113</v>
      </c>
      <c r="E96" s="15" t="n">
        <f aca="false">Daily!N48+1</f>
        <v>44</v>
      </c>
      <c r="F96" s="13" t="n">
        <f aca="false">E96^2</f>
        <v>1936</v>
      </c>
      <c r="G96" s="13" t="n">
        <f aca="false">$B$6+$B$7*E96</f>
        <v>667.524353741497</v>
      </c>
      <c r="H96" s="13" t="n">
        <f aca="false">$B$18+$B$19*C96+$B$20*D96+$B$21*E96</f>
        <v>340.909955879398</v>
      </c>
      <c r="I96" s="13" t="n">
        <f aca="false">$B$32+$B$33*E96+$B$34*F96</f>
        <v>270.500322152561</v>
      </c>
    </row>
    <row r="97" customFormat="false" ht="15" hidden="false" customHeight="false" outlineLevel="0" collapsed="false">
      <c r="A97" s="42" t="n">
        <f aca="false">Daily!A49</f>
        <v>43931</v>
      </c>
      <c r="B97" s="13" t="n">
        <f aca="false">Daily!C49</f>
        <v>156</v>
      </c>
      <c r="C97" s="13" t="n">
        <f aca="false">Daily!D49</f>
        <v>4</v>
      </c>
      <c r="D97" s="13" t="n">
        <f aca="false">Daily!E49</f>
        <v>53</v>
      </c>
      <c r="E97" s="15" t="n">
        <f aca="false">Daily!N49+1</f>
        <v>45</v>
      </c>
      <c r="F97" s="13" t="n">
        <f aca="false">E97^2</f>
        <v>2025</v>
      </c>
      <c r="G97" s="13" t="n">
        <f aca="false">$B$6+$B$7*E97</f>
        <v>697.659183673469</v>
      </c>
      <c r="H97" s="13" t="n">
        <f aca="false">$B$18+$B$19*C97+$B$20*D97+$B$21*E97</f>
        <v>333.929378426305</v>
      </c>
      <c r="I97" s="13" t="n">
        <f aca="false">$B$32+$B$33*E97+$B$34*F97</f>
        <v>295.040876660778</v>
      </c>
    </row>
    <row r="98" customFormat="false" ht="15" hidden="false" customHeight="false" outlineLevel="0" collapsed="false">
      <c r="A98" s="42" t="n">
        <f aca="false">Daily!A50</f>
        <v>43932</v>
      </c>
      <c r="B98" s="13" t="n">
        <f aca="false">Daily!C50</f>
        <v>297</v>
      </c>
      <c r="C98" s="13" t="n">
        <f aca="false">Daily!D50</f>
        <v>15</v>
      </c>
      <c r="D98" s="13" t="n">
        <f aca="false">Daily!E50</f>
        <v>37</v>
      </c>
      <c r="E98" s="15" t="n">
        <f aca="false">Daily!N50+1</f>
        <v>46</v>
      </c>
      <c r="F98" s="13" t="n">
        <f aca="false">E98^2</f>
        <v>2116</v>
      </c>
      <c r="G98" s="13" t="n">
        <f aca="false">$B$6+$B$7*E98</f>
        <v>727.794013605442</v>
      </c>
      <c r="H98" s="13" t="n">
        <f aca="false">$B$18+$B$19*C98+$B$20*D98+$B$21*E98</f>
        <v>688.149145206003</v>
      </c>
      <c r="I98" s="13" t="n">
        <f aca="false">$B$32+$B$33*E98+$B$34*F98</f>
        <v>320.598572155133</v>
      </c>
    </row>
    <row r="99" customFormat="false" ht="15" hidden="false" customHeight="false" outlineLevel="0" collapsed="false">
      <c r="A99" s="42" t="n">
        <f aca="false">Daily!A51</f>
        <v>43933</v>
      </c>
      <c r="B99" s="13" t="n">
        <f aca="false">Daily!C51</f>
        <v>253</v>
      </c>
      <c r="C99" s="13" t="n">
        <f aca="false">Daily!D51</f>
        <v>7</v>
      </c>
      <c r="D99" s="13" t="n">
        <f aca="false">Daily!E51</f>
        <v>225</v>
      </c>
      <c r="E99" s="15" t="n">
        <f aca="false">Daily!N51+1</f>
        <v>47</v>
      </c>
      <c r="F99" s="13" t="n">
        <f aca="false">E99^2</f>
        <v>2209</v>
      </c>
      <c r="G99" s="13" t="n">
        <f aca="false">$B$6+$B$7*E99</f>
        <v>757.928843537415</v>
      </c>
      <c r="H99" s="13" t="n">
        <f aca="false">$B$18+$B$19*C99+$B$20*D99+$B$21*E99</f>
        <v>486.39581415969</v>
      </c>
      <c r="I99" s="13" t="n">
        <f aca="false">$B$32+$B$33*E99+$B$34*F99</f>
        <v>347.173408635625</v>
      </c>
    </row>
    <row r="100" customFormat="false" ht="15" hidden="false" customHeight="false" outlineLevel="0" collapsed="false">
      <c r="A100" s="42" t="n">
        <f aca="false">Daily!A52</f>
        <v>43934</v>
      </c>
      <c r="B100" s="13" t="n">
        <f aca="false">Daily!C52</f>
        <v>173</v>
      </c>
      <c r="C100" s="13" t="n">
        <f aca="false">Daily!D52</f>
        <v>4</v>
      </c>
      <c r="D100" s="13" t="n">
        <f aca="false">Daily!E52</f>
        <v>38</v>
      </c>
      <c r="E100" s="15" t="n">
        <f aca="false">Daily!N52+1</f>
        <v>48</v>
      </c>
      <c r="F100" s="13" t="n">
        <f aca="false">E100^2</f>
        <v>2304</v>
      </c>
      <c r="G100" s="13" t="n">
        <f aca="false">$B$6+$B$7*E100</f>
        <v>788.063673469388</v>
      </c>
      <c r="H100" s="13" t="n">
        <f aca="false">$B$18+$B$19*C100+$B$20*D100+$B$21*E100</f>
        <v>353.010992370789</v>
      </c>
      <c r="I100" s="13" t="n">
        <f aca="false">$B$32+$B$33*E100+$B$34*F100</f>
        <v>374.765386102255</v>
      </c>
    </row>
    <row r="101" customFormat="false" ht="15" hidden="false" customHeight="false" outlineLevel="0" collapsed="false">
      <c r="A101" s="42" t="n">
        <f aca="false">Daily!A53</f>
        <v>43935</v>
      </c>
      <c r="B101" s="13" t="n">
        <f aca="false">Daily!C53</f>
        <v>628</v>
      </c>
      <c r="C101" s="13" t="n">
        <f aca="false">Daily!D53</f>
        <v>11</v>
      </c>
      <c r="D101" s="13" t="n">
        <f aca="false">Daily!E53</f>
        <v>56</v>
      </c>
      <c r="E101" s="15" t="n">
        <f aca="false">Daily!N53+1</f>
        <v>49</v>
      </c>
      <c r="F101" s="13" t="n">
        <f aca="false">E101^2</f>
        <v>2401</v>
      </c>
      <c r="G101" s="13" t="n">
        <f aca="false">$B$6+$B$7*E101</f>
        <v>818.19850340136</v>
      </c>
      <c r="H101" s="13" t="n">
        <f aca="false">$B$18+$B$19*C101+$B$20*D101+$B$21*E101</f>
        <v>588.013466188188</v>
      </c>
      <c r="I101" s="13" t="n">
        <f aca="false">$B$32+$B$33*E101+$B$34*F101</f>
        <v>403.374504555021</v>
      </c>
    </row>
    <row r="102" customFormat="false" ht="15" hidden="false" customHeight="false" outlineLevel="0" collapsed="false">
      <c r="A102" s="42" t="n">
        <f aca="false">Daily!A54</f>
        <v>43936</v>
      </c>
      <c r="B102" s="13" t="n">
        <f aca="false">Daily!C54</f>
        <v>321</v>
      </c>
      <c r="C102" s="13" t="n">
        <f aca="false">Daily!D54</f>
        <v>11</v>
      </c>
      <c r="D102" s="13" t="n">
        <f aca="false">Daily!E54</f>
        <v>209</v>
      </c>
      <c r="E102" s="15" t="n">
        <f aca="false">Daily!N54+1</f>
        <v>50</v>
      </c>
      <c r="F102" s="13" t="n">
        <f aca="false">E102^2</f>
        <v>2500</v>
      </c>
      <c r="G102" s="13" t="n">
        <f aca="false">$B$6+$B$7*E102</f>
        <v>848.333333333333</v>
      </c>
      <c r="H102" s="13" t="n">
        <f aca="false">$B$18+$B$19*C102+$B$20*D102+$B$21*E102</f>
        <v>632.699390327226</v>
      </c>
      <c r="I102" s="13" t="n">
        <f aca="false">$B$32+$B$33*E102+$B$34*F102</f>
        <v>433.000763993926</v>
      </c>
    </row>
    <row r="103" customFormat="false" ht="15" hidden="false" customHeight="false" outlineLevel="0" collapsed="false">
      <c r="A103" s="42" t="n">
        <f aca="false">Daily!A55</f>
        <v>43937</v>
      </c>
      <c r="B103" s="13" t="n">
        <f aca="false">Daily!C55</f>
        <v>683</v>
      </c>
      <c r="C103" s="13" t="n">
        <f aca="false">Daily!D55</f>
        <v>16</v>
      </c>
      <c r="D103" s="13" t="n">
        <f aca="false">Daily!E55</f>
        <v>207</v>
      </c>
      <c r="E103" s="15" t="n">
        <f aca="false">Daily!N55+1</f>
        <v>51</v>
      </c>
      <c r="F103" s="13" t="n">
        <f aca="false">E103^2</f>
        <v>2601</v>
      </c>
      <c r="G103" s="13" t="n">
        <f aca="false">$B$6+$B$7*E103</f>
        <v>878.468163265306</v>
      </c>
      <c r="H103" s="13" t="n">
        <f aca="false">$B$18+$B$19*C103+$B$20*D103+$B$21*E103</f>
        <v>799.118285462026</v>
      </c>
      <c r="I103" s="13" t="n">
        <f aca="false">$B$32+$B$33*E103+$B$34*F103</f>
        <v>463.644164418967</v>
      </c>
    </row>
    <row r="104" customFormat="false" ht="15" hidden="false" customHeight="false" outlineLevel="0" collapsed="false">
      <c r="A104" s="42" t="n">
        <f aca="false">Daily!A56</f>
        <v>43938</v>
      </c>
      <c r="B104" s="13" t="n">
        <f aca="false">Daily!C56</f>
        <v>512</v>
      </c>
      <c r="C104" s="13" t="n">
        <f aca="false">Daily!D56</f>
        <v>4</v>
      </c>
      <c r="D104" s="13" t="n">
        <f aca="false">Daily!E56</f>
        <v>14</v>
      </c>
      <c r="E104" s="15" t="n">
        <f aca="false">Daily!N56+1</f>
        <v>52</v>
      </c>
      <c r="F104" s="13" t="n">
        <f aca="false">E104^2</f>
        <v>2704</v>
      </c>
      <c r="G104" s="13" t="n">
        <f aca="false">$B$6+$B$7*E104</f>
        <v>908.602993197279</v>
      </c>
      <c r="H104" s="13" t="n">
        <f aca="false">$B$18+$B$19*C104+$B$20*D104+$B$21*E104</f>
        <v>377.482881356071</v>
      </c>
      <c r="I104" s="13" t="n">
        <f aca="false">$B$32+$B$33*E104+$B$34*F104</f>
        <v>495.304705830146</v>
      </c>
    </row>
    <row r="105" customFormat="false" ht="15" hidden="false" customHeight="false" outlineLevel="0" collapsed="false">
      <c r="A105" s="42" t="n">
        <f aca="false">Daily!A57</f>
        <v>43939</v>
      </c>
      <c r="B105" s="13" t="n">
        <f aca="false">Daily!C57</f>
        <v>285</v>
      </c>
      <c r="C105" s="13" t="n">
        <f aca="false">Daily!D57</f>
        <v>11</v>
      </c>
      <c r="D105" s="13" t="n">
        <f aca="false">Daily!E57</f>
        <v>39</v>
      </c>
      <c r="E105" s="15" t="n">
        <f aca="false">Daily!N57+1</f>
        <v>53</v>
      </c>
      <c r="F105" s="13" t="n">
        <f aca="false">E105^2</f>
        <v>2809</v>
      </c>
      <c r="G105" s="13" t="n">
        <f aca="false">$B$6+$B$7*E105</f>
        <v>938.737823129252</v>
      </c>
      <c r="H105" s="13" t="n">
        <f aca="false">$B$18+$B$19*C105+$B$20*D105+$B$21*E105</f>
        <v>614.18331531969</v>
      </c>
      <c r="I105" s="13" t="n">
        <f aca="false">$B$32+$B$33*E105+$B$34*F105</f>
        <v>527.982388227462</v>
      </c>
    </row>
    <row r="106" customFormat="false" ht="15" hidden="false" customHeight="false" outlineLevel="0" collapsed="false">
      <c r="A106" s="42" t="n">
        <f aca="false">Daily!A58</f>
        <v>43940</v>
      </c>
      <c r="B106" s="13" t="n">
        <f aca="false">Daily!C58</f>
        <v>583</v>
      </c>
      <c r="C106" s="13" t="n">
        <f aca="false">Daily!D58</f>
        <v>18</v>
      </c>
      <c r="D106" s="13" t="n">
        <f aca="false">Daily!E58</f>
        <v>84</v>
      </c>
      <c r="E106" s="15" t="n">
        <f aca="false">Daily!N58+1</f>
        <v>54</v>
      </c>
      <c r="F106" s="13" t="n">
        <f aca="false">E106^2</f>
        <v>2916</v>
      </c>
      <c r="G106" s="13" t="n">
        <f aca="false">$B$6+$B$7*E106</f>
        <v>968.872653061225</v>
      </c>
      <c r="H106" s="13" t="n">
        <f aca="false">$B$18+$B$19*C106+$B$20*D106+$B$21*E106</f>
        <v>855.735063986796</v>
      </c>
      <c r="I106" s="13" t="n">
        <f aca="false">$B$32+$B$33*E106+$B$34*F106</f>
        <v>561.677211610915</v>
      </c>
    </row>
    <row r="107" customFormat="false" ht="15" hidden="false" customHeight="false" outlineLevel="0" collapsed="false">
      <c r="A107" s="42" t="n">
        <f aca="false">Daily!A59</f>
        <v>43941</v>
      </c>
      <c r="B107" s="13" t="n">
        <f aca="false">Daily!C59</f>
        <v>707</v>
      </c>
      <c r="C107" s="13" t="n">
        <f aca="false">Daily!D59</f>
        <v>18</v>
      </c>
      <c r="D107" s="13" t="n">
        <f aca="false">Daily!E59</f>
        <v>62</v>
      </c>
      <c r="E107" s="15" t="n">
        <f aca="false">Daily!N59+1</f>
        <v>55</v>
      </c>
      <c r="F107" s="13" t="n">
        <f aca="false">E107^2</f>
        <v>3025</v>
      </c>
      <c r="G107" s="13" t="n">
        <f aca="false">$B$6+$B$7*E107</f>
        <v>999.007482993197</v>
      </c>
      <c r="H107" s="13" t="n">
        <f aca="false">$B$18+$B$19*C107+$B$20*D107+$B$21*E107</f>
        <v>857.971984470328</v>
      </c>
      <c r="I107" s="13" t="n">
        <f aca="false">$B$32+$B$33*E107+$B$34*F107</f>
        <v>596.389175980506</v>
      </c>
    </row>
    <row r="108" customFormat="false" ht="15" hidden="false" customHeight="false" outlineLevel="0" collapsed="false">
      <c r="A108" s="42" t="n">
        <f aca="false">Daily!A60</f>
        <v>43942</v>
      </c>
      <c r="B108" s="13" t="n">
        <f aca="false">Daily!C60</f>
        <v>677</v>
      </c>
      <c r="C108" s="13" t="n">
        <f aca="false">Daily!D60</f>
        <v>23</v>
      </c>
      <c r="D108" s="13" t="n">
        <f aca="false">Daily!E60</f>
        <v>103</v>
      </c>
      <c r="E108" s="15" t="n">
        <f aca="false">Daily!N60+1</f>
        <v>56</v>
      </c>
      <c r="F108" s="13" t="n">
        <f aca="false">E108^2</f>
        <v>3136</v>
      </c>
      <c r="G108" s="13" t="n">
        <f aca="false">$B$6+$B$7*E108</f>
        <v>1029.14231292517</v>
      </c>
      <c r="H108" s="13" t="n">
        <f aca="false">$B$18+$B$19*C108+$B$20*D108+$B$21*E108</f>
        <v>1034.82120621762</v>
      </c>
      <c r="I108" s="13" t="n">
        <f aca="false">$B$32+$B$33*E108+$B$34*F108</f>
        <v>632.118281336234</v>
      </c>
    </row>
    <row r="109" customFormat="false" ht="15" hidden="false" customHeight="false" outlineLevel="0" collapsed="false">
      <c r="A109" s="42" t="n">
        <f aca="false">Daily!A61</f>
        <v>43943</v>
      </c>
      <c r="B109" s="13" t="n">
        <f aca="false">Daily!C61</f>
        <v>767</v>
      </c>
      <c r="C109" s="13" t="n">
        <f aca="false">Daily!D61</f>
        <v>13</v>
      </c>
      <c r="D109" s="13" t="n">
        <f aca="false">Daily!E61</f>
        <v>68</v>
      </c>
      <c r="E109" s="15" t="n">
        <f aca="false">Daily!N61+1</f>
        <v>57</v>
      </c>
      <c r="F109" s="13" t="n">
        <f aca="false">E109^2</f>
        <v>3249</v>
      </c>
      <c r="G109" s="13" t="n">
        <f aca="false">$B$6+$B$7*E109</f>
        <v>1059.27714285714</v>
      </c>
      <c r="H109" s="13" t="n">
        <f aca="false">$B$18+$B$19*C109+$B$20*D109+$B$21*E109</f>
        <v>715.243452248324</v>
      </c>
      <c r="I109" s="13" t="n">
        <f aca="false">$B$32+$B$33*E109+$B$34*F109</f>
        <v>668.8645276781</v>
      </c>
    </row>
    <row r="110" customFormat="false" ht="15" hidden="false" customHeight="false" outlineLevel="0" collapsed="false">
      <c r="A110" s="42" t="n">
        <f aca="false">Daily!A62</f>
        <v>43944</v>
      </c>
      <c r="B110" s="13" t="n">
        <f aca="false">Daily!C62</f>
        <v>641</v>
      </c>
      <c r="C110" s="13" t="n">
        <f aca="false">Daily!D62</f>
        <v>8</v>
      </c>
      <c r="D110" s="13" t="n">
        <f aca="false">Daily!E62</f>
        <v>266</v>
      </c>
      <c r="E110" s="15" t="n">
        <f aca="false">Daily!N62+1</f>
        <v>58</v>
      </c>
      <c r="F110" s="13" t="n">
        <f aca="false">E110^2</f>
        <v>3364</v>
      </c>
      <c r="G110" s="13" t="n">
        <f aca="false">$B$6+$B$7*E110</f>
        <v>1089.41197278912</v>
      </c>
      <c r="H110" s="13" t="n">
        <f aca="false">$B$18+$B$19*C110+$B$20*D110+$B$21*E110</f>
        <v>611.514174522424</v>
      </c>
      <c r="I110" s="13" t="n">
        <f aca="false">$B$32+$B$33*E110+$B$34*F110</f>
        <v>706.627915006102</v>
      </c>
    </row>
    <row r="111" customFormat="false" ht="15" hidden="false" customHeight="false" outlineLevel="0" collapsed="false">
      <c r="A111" s="42" t="n">
        <f aca="false">Daily!A63</f>
        <v>43945</v>
      </c>
      <c r="B111" s="13" t="n">
        <f aca="false">Daily!C63</f>
        <v>534</v>
      </c>
      <c r="C111" s="13" t="n">
        <f aca="false">Daily!D63</f>
        <v>11</v>
      </c>
      <c r="D111" s="13" t="n">
        <f aca="false">Daily!E63</f>
        <v>134</v>
      </c>
      <c r="E111" s="15" t="n">
        <f aca="false">Daily!N63+1</f>
        <v>59</v>
      </c>
      <c r="F111" s="13" t="n">
        <f aca="false">E111^2</f>
        <v>3481</v>
      </c>
      <c r="G111" s="13" t="n">
        <f aca="false">$B$6+$B$7*E111</f>
        <v>1119.54680272109</v>
      </c>
      <c r="H111" s="13" t="n">
        <f aca="false">$B$18+$B$19*C111+$B$20*D111+$B$21*E111</f>
        <v>682.667260105449</v>
      </c>
      <c r="I111" s="13" t="n">
        <f aca="false">$B$32+$B$33*E111+$B$34*F111</f>
        <v>745.408443320242</v>
      </c>
    </row>
    <row r="112" customFormat="false" ht="15" hidden="false" customHeight="false" outlineLevel="0" collapsed="false">
      <c r="A112" s="42" t="n">
        <f aca="false">Daily!A64</f>
        <v>43946</v>
      </c>
      <c r="B112" s="13" t="n">
        <f aca="false">Daily!C64</f>
        <v>922</v>
      </c>
      <c r="C112" s="13" t="n">
        <f aca="false">Daily!D64</f>
        <v>14</v>
      </c>
      <c r="D112" s="13" t="n">
        <f aca="false">Daily!E64</f>
        <v>33</v>
      </c>
      <c r="E112" s="15" t="n">
        <f aca="false">Daily!N64+1</f>
        <v>60</v>
      </c>
      <c r="F112" s="13" t="n">
        <f aca="false">E112^2</f>
        <v>3600</v>
      </c>
      <c r="G112" s="13" t="n">
        <f aca="false">$B$6+$B$7*E112</f>
        <v>1149.68163265306</v>
      </c>
      <c r="H112" s="13" t="n">
        <f aca="false">$B$18+$B$19*C112+$B$20*D112+$B$21*E112</f>
        <v>761.339883478878</v>
      </c>
      <c r="I112" s="13" t="n">
        <f aca="false">$B$32+$B$33*E112+$B$34*F112</f>
        <v>785.20611262052</v>
      </c>
    </row>
    <row r="113" customFormat="false" ht="15" hidden="false" customHeight="false" outlineLevel="0" collapsed="false">
      <c r="A113" s="42" t="n">
        <f aca="false">Daily!A65</f>
        <v>43947</v>
      </c>
      <c r="B113" s="13" t="n">
        <f aca="false">Daily!C65</f>
        <v>660</v>
      </c>
      <c r="C113" s="13" t="n">
        <f aca="false">Daily!D65</f>
        <v>12</v>
      </c>
      <c r="D113" s="13" t="n">
        <f aca="false">Daily!E65</f>
        <v>62</v>
      </c>
      <c r="E113" s="15" t="n">
        <f aca="false">Daily!N65+1</f>
        <v>61</v>
      </c>
      <c r="F113" s="13" t="n">
        <f aca="false">E113^2</f>
        <v>3721</v>
      </c>
      <c r="G113" s="13" t="n">
        <f aca="false">$B$6+$B$7*E113</f>
        <v>1179.81646258503</v>
      </c>
      <c r="H113" s="13" t="n">
        <f aca="false">$B$18+$B$19*C113+$B$20*D113+$B$21*E113</f>
        <v>712.215392477187</v>
      </c>
      <c r="I113" s="13" t="n">
        <f aca="false">$B$32+$B$33*E113+$B$34*F113</f>
        <v>826.020922906934</v>
      </c>
    </row>
    <row r="114" customFormat="false" ht="15" hidden="false" customHeight="false" outlineLevel="0" collapsed="false">
      <c r="A114" s="42" t="n">
        <f aca="false">Daily!A66</f>
        <v>43948</v>
      </c>
      <c r="B114" s="13" t="n">
        <f aca="false">Daily!C66</f>
        <v>739</v>
      </c>
      <c r="C114" s="13" t="n">
        <f aca="false">Daily!D66</f>
        <v>23</v>
      </c>
      <c r="D114" s="13" t="n">
        <f aca="false">Daily!E66</f>
        <v>63</v>
      </c>
      <c r="E114" s="15" t="n">
        <f aca="false">Daily!N66+1</f>
        <v>62</v>
      </c>
      <c r="F114" s="13" t="n">
        <f aca="false">E114^2</f>
        <v>3844</v>
      </c>
      <c r="G114" s="13" t="n">
        <f aca="false">$B$6+$B$7*E114</f>
        <v>1209.95129251701</v>
      </c>
      <c r="H114" s="13" t="n">
        <f aca="false">$B$18+$B$19*C114+$B$20*D114+$B$21*E114</f>
        <v>1070.55877675485</v>
      </c>
      <c r="I114" s="13" t="n">
        <f aca="false">$B$32+$B$33*E114+$B$34*F114</f>
        <v>867.852874179486</v>
      </c>
    </row>
    <row r="115" customFormat="false" ht="15" hidden="false" customHeight="false" outlineLevel="0" collapsed="false">
      <c r="A115" s="42" t="n">
        <f aca="false">Daily!A67</f>
        <v>43949</v>
      </c>
      <c r="B115" s="13" t="n">
        <f aca="false">Daily!C67</f>
        <v>730</v>
      </c>
      <c r="C115" s="13" t="n">
        <f aca="false">Daily!D67</f>
        <v>5</v>
      </c>
      <c r="D115" s="13" t="n">
        <f aca="false">Daily!E67</f>
        <v>0</v>
      </c>
      <c r="E115" s="15" t="n">
        <f aca="false">Daily!N67+1</f>
        <v>63</v>
      </c>
      <c r="F115" s="13" t="n">
        <f aca="false">E115^2</f>
        <v>3969</v>
      </c>
      <c r="G115" s="13" t="n">
        <f aca="false">$B$6+$B$7*E115</f>
        <v>1240.08612244898</v>
      </c>
      <c r="H115" s="13" t="n">
        <f aca="false">$B$18+$B$19*C115+$B$20*D115+$B$21*E115</f>
        <v>489.260126284217</v>
      </c>
      <c r="I115" s="13" t="n">
        <f aca="false">$B$32+$B$33*E115+$B$34*F115</f>
        <v>910.701966438176</v>
      </c>
    </row>
    <row r="116" customFormat="false" ht="15" hidden="false" customHeight="false" outlineLevel="0" collapsed="false">
      <c r="A116" s="42" t="n">
        <f aca="false">Daily!A68</f>
        <v>43950</v>
      </c>
      <c r="B116" s="13" t="n">
        <f aca="false">Daily!C68</f>
        <v>948</v>
      </c>
      <c r="C116" s="13" t="n">
        <f aca="false">Daily!D68</f>
        <v>19</v>
      </c>
      <c r="D116" s="13" t="n">
        <f aca="false">Daily!E68</f>
        <v>208</v>
      </c>
      <c r="E116" s="15" t="n">
        <f aca="false">Daily!N68+1</f>
        <v>64</v>
      </c>
      <c r="F116" s="13" t="n">
        <f aca="false">E116^2</f>
        <v>4096</v>
      </c>
      <c r="G116" s="13" t="n">
        <f aca="false">$B$6+$B$7*E116</f>
        <v>1270.22095238095</v>
      </c>
      <c r="H116" s="13" t="n">
        <f aca="false">$B$18+$B$19*C116+$B$20*D116+$B$21*E116</f>
        <v>993.413013711632</v>
      </c>
      <c r="I116" s="13" t="n">
        <f aca="false">$B$32+$B$33*E116+$B$34*F116</f>
        <v>954.568199683003</v>
      </c>
    </row>
    <row r="117" customFormat="false" ht="15" hidden="false" customHeight="false" outlineLevel="0" collapsed="false">
      <c r="A117" s="42" t="n">
        <f aca="false">Daily!A69</f>
        <v>43951</v>
      </c>
      <c r="B117" s="13" t="n">
        <f aca="false">Daily!C69</f>
        <v>665</v>
      </c>
      <c r="C117" s="13" t="n">
        <f aca="false">Daily!D69</f>
        <v>15</v>
      </c>
      <c r="D117" s="13" t="n">
        <f aca="false">Daily!E69</f>
        <v>0</v>
      </c>
      <c r="E117" s="15" t="n">
        <f aca="false">Daily!N69+1</f>
        <v>65</v>
      </c>
      <c r="F117" s="13" t="n">
        <f aca="false">E117^2</f>
        <v>4225</v>
      </c>
      <c r="G117" s="13" t="n">
        <f aca="false">$B$6+$B$7*E117</f>
        <v>1300.35578231293</v>
      </c>
      <c r="H117" s="13" t="n">
        <f aca="false">$B$18+$B$19*C117+$B$20*D117+$B$21*E117</f>
        <v>823.068179494514</v>
      </c>
      <c r="I117" s="13" t="n">
        <f aca="false">$B$32+$B$33*E117+$B$34*F117</f>
        <v>999.451573913967</v>
      </c>
    </row>
    <row r="118" customFormat="false" ht="15" hidden="false" customHeight="false" outlineLevel="0" collapsed="false">
      <c r="A118" s="42" t="n">
        <f aca="false">Daily!A70</f>
        <v>43952</v>
      </c>
      <c r="B118" s="13" t="n">
        <f aca="false">Daily!C70</f>
        <v>1070</v>
      </c>
      <c r="C118" s="13" t="n">
        <f aca="false">Daily!D70</f>
        <v>23</v>
      </c>
      <c r="D118" s="13" t="n">
        <f aca="false">Daily!E70</f>
        <v>119</v>
      </c>
      <c r="E118" s="15" t="n">
        <f aca="false">Daily!N70+1</f>
        <v>66</v>
      </c>
      <c r="F118" s="13" t="n">
        <f aca="false">E118^2</f>
        <v>4356</v>
      </c>
      <c r="G118" s="13" t="n">
        <f aca="false">$B$6+$B$7*E118</f>
        <v>1330.4906122449</v>
      </c>
      <c r="H118" s="13" t="n">
        <f aca="false">$B$18+$B$19*C118+$B$20*D118+$B$21*E118</f>
        <v>1114.43592455408</v>
      </c>
      <c r="I118" s="13" t="n">
        <f aca="false">$B$32+$B$33*E118+$B$34*F118</f>
        <v>1045.35208913107</v>
      </c>
    </row>
    <row r="119" customFormat="false" ht="15" hidden="false" customHeight="false" outlineLevel="0" collapsed="false">
      <c r="A119" s="42" t="n">
        <f aca="false">Daily!A71</f>
        <v>43953</v>
      </c>
      <c r="B119" s="13" t="n">
        <f aca="false">Daily!C71</f>
        <v>1123</v>
      </c>
      <c r="C119" s="13" t="n">
        <f aca="false">Daily!D71</f>
        <v>24</v>
      </c>
      <c r="D119" s="13" t="n">
        <f aca="false">Daily!E71</f>
        <v>43</v>
      </c>
      <c r="E119" s="15" t="n">
        <f aca="false">Daily!N71+1</f>
        <v>67</v>
      </c>
      <c r="F119" s="13" t="n">
        <f aca="false">E119^2</f>
        <v>4489</v>
      </c>
      <c r="G119" s="13" t="n">
        <f aca="false">$B$6+$B$7*E119</f>
        <v>1360.62544217687</v>
      </c>
      <c r="H119" s="13" t="n">
        <f aca="false">$B$18+$B$19*C119+$B$20*D119+$B$21*E119</f>
        <v>1135.44042732775</v>
      </c>
      <c r="I119" s="13" t="n">
        <f aca="false">$B$32+$B$33*E119+$B$34*F119</f>
        <v>1092.26974533431</v>
      </c>
    </row>
    <row r="120" customFormat="false" ht="15" hidden="false" customHeight="false" outlineLevel="0" collapsed="false">
      <c r="A120" s="42" t="n">
        <f aca="false">Daily!A72</f>
        <v>43954</v>
      </c>
      <c r="B120" s="13" t="n">
        <f aca="false">Daily!C72</f>
        <v>1342</v>
      </c>
      <c r="C120" s="13" t="n">
        <f aca="false">Daily!D72</f>
        <v>30</v>
      </c>
      <c r="D120" s="13" t="n">
        <f aca="false">Daily!E72</f>
        <v>0</v>
      </c>
      <c r="E120" s="15" t="n">
        <f aca="false">Daily!N72+1</f>
        <v>68</v>
      </c>
      <c r="F120" s="13" t="n">
        <f aca="false">E120^2</f>
        <v>4624</v>
      </c>
      <c r="G120" s="13" t="n">
        <f aca="false">$B$6+$B$7*E120</f>
        <v>1390.76027210884</v>
      </c>
      <c r="H120" s="13" t="n">
        <f aca="false">$B$18+$B$19*C120+$B$20*D120+$B$21*E120</f>
        <v>1323.78025930996</v>
      </c>
      <c r="I120" s="13" t="n">
        <f aca="false">$B$32+$B$33*E120+$B$34*F120</f>
        <v>1140.20454252368</v>
      </c>
    </row>
    <row r="121" customFormat="false" ht="15" hidden="false" customHeight="false" outlineLevel="0" collapsed="false">
      <c r="A121" s="42" t="n">
        <f aca="false">Daily!A73</f>
        <v>43955</v>
      </c>
      <c r="B121" s="13" t="n">
        <f aca="false">Daily!C73</f>
        <v>1052</v>
      </c>
      <c r="C121" s="13" t="n">
        <f aca="false">Daily!D73</f>
        <v>24</v>
      </c>
      <c r="D121" s="13" t="n">
        <f aca="false">Daily!E73</f>
        <v>0</v>
      </c>
      <c r="E121" s="15" t="n">
        <f aca="false">Daily!N73+1</f>
        <v>69</v>
      </c>
      <c r="F121" s="13" t="n">
        <f aca="false">E121^2</f>
        <v>4761</v>
      </c>
      <c r="G121" s="13" t="n">
        <f aca="false">$B$6+$B$7*E121</f>
        <v>1420.89510204082</v>
      </c>
      <c r="H121" s="13" t="n">
        <f aca="false">$B$18+$B$19*C121+$B$20*D121+$B$21*E121</f>
        <v>1140.15683402999</v>
      </c>
      <c r="I121" s="13" t="n">
        <f aca="false">$B$32+$B$33*E121+$B$34*F121</f>
        <v>1189.1564806992</v>
      </c>
    </row>
    <row r="122" customFormat="false" ht="15" hidden="false" customHeight="false" outlineLevel="0" collapsed="false">
      <c r="A122" s="42" t="n">
        <f aca="false">Daily!A74</f>
        <v>43956</v>
      </c>
      <c r="B122" s="13" t="n">
        <f aca="false">Daily!C74</f>
        <v>1023</v>
      </c>
      <c r="C122" s="13" t="n">
        <f aca="false">Daily!D74</f>
        <v>28</v>
      </c>
      <c r="D122" s="13" t="n">
        <f aca="false">Daily!E74</f>
        <v>45</v>
      </c>
      <c r="E122" s="15" t="n">
        <f aca="false">Daily!N74+1</f>
        <v>70</v>
      </c>
      <c r="F122" s="13" t="n">
        <f aca="false">E122^2</f>
        <v>4900</v>
      </c>
      <c r="G122" s="13" t="n">
        <f aca="false">$B$6+$B$7*E122</f>
        <v>1451.02993197279</v>
      </c>
      <c r="H122" s="13" t="n">
        <f aca="false">$B$18+$B$19*C122+$B$20*D122+$B$21*E122</f>
        <v>1286.11018672842</v>
      </c>
      <c r="I122" s="13" t="n">
        <f aca="false">$B$32+$B$33*E122+$B$34*F122</f>
        <v>1239.12555986085</v>
      </c>
    </row>
    <row r="123" customFormat="false" ht="15" hidden="false" customHeight="false" outlineLevel="0" collapsed="false">
      <c r="A123" s="42" t="n">
        <f aca="false">Daily!A75</f>
        <v>43957</v>
      </c>
      <c r="B123" s="13" t="n">
        <f aca="false">Daily!C75</f>
        <v>1804</v>
      </c>
      <c r="C123" s="13" t="n">
        <f aca="false">Daily!D75</f>
        <v>49</v>
      </c>
      <c r="D123" s="13" t="n">
        <f aca="false">Daily!E75</f>
        <v>124</v>
      </c>
      <c r="E123" s="15" t="n">
        <f aca="false">Daily!N75+1</f>
        <v>71</v>
      </c>
      <c r="F123" s="13" t="n">
        <f aca="false">E123^2</f>
        <v>5041</v>
      </c>
      <c r="G123" s="13" t="n">
        <f aca="false">$B$6+$B$7*E123</f>
        <v>1481.16476190476</v>
      </c>
      <c r="H123" s="13" t="n">
        <f aca="false">$B$18+$B$19*C123+$B$20*D123+$B$21*E123</f>
        <v>1982.03501824525</v>
      </c>
      <c r="I123" s="13" t="n">
        <f aca="false">$B$32+$B$33*E123+$B$34*F123</f>
        <v>1290.11178000863</v>
      </c>
    </row>
    <row r="124" customFormat="false" ht="15" hidden="false" customHeight="false" outlineLevel="0" collapsed="false">
      <c r="A124" s="42" t="n">
        <f aca="false">Daily!A76</f>
        <v>43958</v>
      </c>
      <c r="B124" s="13" t="n">
        <f aca="false">Daily!C76</f>
        <v>863</v>
      </c>
      <c r="C124" s="13" t="n">
        <f aca="false">Daily!D76</f>
        <v>28</v>
      </c>
      <c r="D124" s="13" t="n">
        <f aca="false">Daily!E76</f>
        <v>14</v>
      </c>
      <c r="E124" s="15" t="n">
        <f aca="false">Daily!N76+1</f>
        <v>72</v>
      </c>
      <c r="F124" s="13" t="n">
        <f aca="false">E124^2</f>
        <v>5184</v>
      </c>
      <c r="G124" s="13" t="n">
        <f aca="false">$B$6+$B$7*E124</f>
        <v>1511.29959183673</v>
      </c>
      <c r="H124" s="13" t="n">
        <f aca="false">$B$18+$B$19*C124+$B$20*D124+$B$21*E124</f>
        <v>1293.73738225275</v>
      </c>
      <c r="I124" s="13" t="n">
        <f aca="false">$B$32+$B$33*E124+$B$34*F124</f>
        <v>1342.11514114256</v>
      </c>
    </row>
    <row r="125" customFormat="false" ht="15" hidden="false" customHeight="false" outlineLevel="0" collapsed="false">
      <c r="A125" s="42" t="n">
        <f aca="false">Daily!A77</f>
        <v>43959</v>
      </c>
      <c r="B125" s="13" t="n">
        <f aca="false">Daily!C77</f>
        <v>1829</v>
      </c>
      <c r="C125" s="13" t="n">
        <f aca="false">Daily!D77</f>
        <v>31</v>
      </c>
      <c r="D125" s="13" t="n">
        <f aca="false">Daily!E77</f>
        <v>13</v>
      </c>
      <c r="E125" s="15" t="n">
        <f aca="false">Daily!N77+1</f>
        <v>73</v>
      </c>
      <c r="F125" s="13" t="n">
        <f aca="false">E125^2</f>
        <v>5329</v>
      </c>
      <c r="G125" s="13" t="n">
        <f aca="false">$B$6+$B$7*E125</f>
        <v>1541.43442176871</v>
      </c>
      <c r="H125" s="13" t="n">
        <f aca="false">$B$18+$B$19*C125+$B$20*D125+$B$21*E125</f>
        <v>1396.66657914361</v>
      </c>
      <c r="I125" s="13" t="n">
        <f aca="false">$B$32+$B$33*E125+$B$34*F125</f>
        <v>1395.13564326262</v>
      </c>
    </row>
    <row r="126" customFormat="false" ht="15" hidden="false" customHeight="false" outlineLevel="0" collapsed="false">
      <c r="A126" s="42" t="n">
        <f aca="false">Daily!A78</f>
        <v>43960</v>
      </c>
      <c r="B126" s="13" t="n">
        <f aca="false">Daily!C78</f>
        <v>2554</v>
      </c>
      <c r="C126" s="13" t="n">
        <f aca="false">Daily!D78</f>
        <v>19</v>
      </c>
      <c r="D126" s="13" t="n">
        <f aca="false">Daily!E78</f>
        <v>18</v>
      </c>
      <c r="E126" s="15" t="n">
        <f aca="false">Daily!N78+1</f>
        <v>74</v>
      </c>
      <c r="F126" s="13" t="n">
        <f aca="false">E126^2</f>
        <v>5476</v>
      </c>
      <c r="G126" s="13" t="n">
        <f aca="false">$B$6+$B$7*E126</f>
        <v>1571.56925170068</v>
      </c>
      <c r="H126" s="13" t="n">
        <f aca="false">$B$18+$B$19*C126+$B$20*D126+$B$21*E126</f>
        <v>1023.05919060218</v>
      </c>
      <c r="I126" s="13" t="n">
        <f aca="false">$B$32+$B$33*E126+$B$34*F126</f>
        <v>1449.17328636882</v>
      </c>
    </row>
    <row r="127" customFormat="false" ht="15" hidden="false" customHeight="false" outlineLevel="0" collapsed="false">
      <c r="A127" s="42" t="n">
        <f aca="false">Daily!A79</f>
        <v>43961</v>
      </c>
      <c r="B127" s="13" t="n">
        <f aca="false">Daily!C79</f>
        <v>1463</v>
      </c>
      <c r="C127" s="13" t="n">
        <f aca="false">Daily!D79</f>
        <v>23</v>
      </c>
      <c r="D127" s="13" t="n">
        <f aca="false">Daily!E79</f>
        <v>138</v>
      </c>
      <c r="E127" s="15" t="n">
        <f aca="false">Daily!N79+1</f>
        <v>75</v>
      </c>
      <c r="F127" s="13" t="n">
        <f aca="false">E127^2</f>
        <v>5625</v>
      </c>
      <c r="G127" s="13" t="n">
        <f aca="false">$B$6+$B$7*E127</f>
        <v>1601.70408163265</v>
      </c>
      <c r="H127" s="13" t="n">
        <f aca="false">$B$18+$B$19*C127+$B$20*D127+$B$21*E127</f>
        <v>1187.20497343869</v>
      </c>
      <c r="I127" s="13" t="n">
        <f aca="false">$B$32+$B$33*E127+$B$34*F127</f>
        <v>1504.22807046116</v>
      </c>
    </row>
    <row r="128" customFormat="false" ht="15" hidden="false" customHeight="false" outlineLevel="0" collapsed="false">
      <c r="A128" s="42" t="n">
        <f aca="false">Daily!A80</f>
        <v>43962</v>
      </c>
      <c r="B128" s="13" t="n">
        <f aca="false">Daily!C80</f>
        <v>1079</v>
      </c>
      <c r="C128" s="13" t="n">
        <f aca="false">Daily!D80</f>
        <v>38</v>
      </c>
      <c r="D128" s="13" t="n">
        <f aca="false">Daily!E80</f>
        <v>167</v>
      </c>
      <c r="E128" s="15" t="n">
        <f aca="false">Daily!N80+1</f>
        <v>76</v>
      </c>
      <c r="F128" s="13" t="n">
        <f aca="false">E128^2</f>
        <v>5776</v>
      </c>
      <c r="G128" s="13" t="n">
        <f aca="false">$B$6+$B$7*E128</f>
        <v>1631.83891156463</v>
      </c>
      <c r="H128" s="13" t="n">
        <f aca="false">$B$18+$B$19*C128+$B$20*D128+$B$21*E128</f>
        <v>1679.80472625945</v>
      </c>
      <c r="I128" s="13" t="n">
        <f aca="false">$B$32+$B$33*E128+$B$34*F128</f>
        <v>1560.29999553963</v>
      </c>
    </row>
    <row r="129" customFormat="false" ht="15" hidden="false" customHeight="false" outlineLevel="0" collapsed="false">
      <c r="A129" s="42" t="n">
        <f aca="false">Daily!A81</f>
        <v>43963</v>
      </c>
      <c r="B129" s="13" t="n">
        <f aca="false">Daily!C81</f>
        <v>2254</v>
      </c>
      <c r="C129" s="13" t="n">
        <f aca="false">Daily!D81</f>
        <v>39</v>
      </c>
      <c r="D129" s="13" t="n">
        <f aca="false">Daily!E81</f>
        <v>247</v>
      </c>
      <c r="E129" s="15" t="n">
        <f aca="false">Daily!N81+1</f>
        <v>77</v>
      </c>
      <c r="F129" s="13" t="n">
        <f aca="false">E129^2</f>
        <v>5929</v>
      </c>
      <c r="G129" s="13" t="n">
        <f aca="false">$B$6+$B$7*E129</f>
        <v>1661.9737414966</v>
      </c>
      <c r="H129" s="13" t="n">
        <f aca="false">$B$18+$B$19*C129+$B$20*D129+$B$21*E129</f>
        <v>1738.64948372032</v>
      </c>
      <c r="I129" s="13" t="n">
        <f aca="false">$B$32+$B$33*E129+$B$34*F129</f>
        <v>1617.38906160425</v>
      </c>
    </row>
    <row r="130" customFormat="false" ht="15" hidden="false" customHeight="false" outlineLevel="0" collapsed="false">
      <c r="A130" s="42" t="n">
        <f aca="false">Daily!A82</f>
        <v>43964</v>
      </c>
      <c r="B130" s="13" t="n">
        <f aca="false">Daily!C82</f>
        <v>1431</v>
      </c>
      <c r="C130" s="13" t="n">
        <f aca="false">Daily!D82</f>
        <v>36</v>
      </c>
      <c r="D130" s="13" t="n">
        <f aca="false">Daily!E82</f>
        <v>756</v>
      </c>
      <c r="E130" s="15" t="n">
        <f aca="false">Daily!N82+1</f>
        <v>78</v>
      </c>
      <c r="F130" s="13" t="n">
        <f aca="false">E130^2</f>
        <v>6084</v>
      </c>
      <c r="G130" s="13" t="n">
        <f aca="false">$B$6+$B$7*E130</f>
        <v>1692.10857142857</v>
      </c>
      <c r="H130" s="13" t="n">
        <f aca="false">$B$18+$B$19*C130+$B$20*D130+$B$21*E130</f>
        <v>1774.09041361275</v>
      </c>
      <c r="I130" s="13" t="n">
        <f aca="false">$B$32+$B$33*E130+$B$34*F130</f>
        <v>1675.495268655</v>
      </c>
    </row>
    <row r="131" customFormat="false" ht="15" hidden="false" customHeight="false" outlineLevel="0" collapsed="false">
      <c r="A131" s="42" t="n">
        <f aca="false">Daily!A83</f>
        <v>43965</v>
      </c>
      <c r="B131" s="13" t="n">
        <f aca="false">Daily!C83</f>
        <v>1449</v>
      </c>
      <c r="C131" s="13" t="n">
        <f aca="false">Daily!D83</f>
        <v>33</v>
      </c>
      <c r="D131" s="13" t="n">
        <f aca="false">Daily!E83</f>
        <v>374</v>
      </c>
      <c r="E131" s="15" t="n">
        <f aca="false">Daily!N83+1</f>
        <v>79</v>
      </c>
      <c r="F131" s="13" t="n">
        <f aca="false">E131^2</f>
        <v>6241</v>
      </c>
      <c r="G131" s="13" t="n">
        <f aca="false">$B$6+$B$7*E131</f>
        <v>1722.24340136054</v>
      </c>
      <c r="H131" s="13" t="n">
        <f aca="false">$B$18+$B$19*C131+$B$20*D131+$B$21*E131</f>
        <v>1593.40527346486</v>
      </c>
      <c r="I131" s="13" t="n">
        <f aca="false">$B$32+$B$33*E131+$B$34*F131</f>
        <v>1734.61861669188</v>
      </c>
    </row>
    <row r="132" customFormat="false" ht="15" hidden="false" customHeight="false" outlineLevel="0" collapsed="false">
      <c r="A132" s="42" t="n">
        <f aca="false">Daily!A84</f>
        <v>43966</v>
      </c>
      <c r="B132" s="13" t="n">
        <f aca="false">Daily!C84</f>
        <v>1515</v>
      </c>
      <c r="C132" s="13" t="n">
        <f aca="false">Daily!D84</f>
        <v>31</v>
      </c>
      <c r="D132" s="13" t="n">
        <f aca="false">Daily!E84</f>
        <v>665</v>
      </c>
      <c r="E132" s="15" t="n">
        <f aca="false">Daily!N84+1</f>
        <v>80</v>
      </c>
      <c r="F132" s="13" t="n">
        <f aca="false">E132^2</f>
        <v>6400</v>
      </c>
      <c r="G132" s="13" t="n">
        <f aca="false">$B$6+$B$7*E132</f>
        <v>1752.37823129252</v>
      </c>
      <c r="H132" s="13" t="n">
        <f aca="false">$B$18+$B$19*C132+$B$20*D132+$B$21*E132</f>
        <v>1607.83300507884</v>
      </c>
      <c r="I132" s="13" t="n">
        <f aca="false">$B$32+$B$33*E132+$B$34*F132</f>
        <v>1794.75910571491</v>
      </c>
    </row>
    <row r="133" customFormat="false" ht="15" hidden="false" customHeight="false" outlineLevel="0" collapsed="false">
      <c r="A133" s="42" t="n">
        <f aca="false">Daily!A85</f>
        <v>43967</v>
      </c>
      <c r="B133" s="13" t="n">
        <f aca="false">Daily!C85</f>
        <v>1372</v>
      </c>
      <c r="C133" s="13" t="n">
        <f aca="false">Daily!D85</f>
        <v>39</v>
      </c>
      <c r="D133" s="13" t="n">
        <f aca="false">Daily!E85</f>
        <v>284</v>
      </c>
      <c r="E133" s="15" t="n">
        <f aca="false">Daily!N85+1</f>
        <v>81</v>
      </c>
      <c r="F133" s="13" t="n">
        <f aca="false">E133^2</f>
        <v>6561</v>
      </c>
      <c r="G133" s="13" t="n">
        <f aca="false">$B$6+$B$7*E133</f>
        <v>1782.51306122449</v>
      </c>
      <c r="H133" s="13" t="n">
        <f aca="false">$B$18+$B$19*C133+$B$20*D133+$B$21*E133</f>
        <v>1777.91788255124</v>
      </c>
      <c r="I133" s="13" t="n">
        <f aca="false">$B$32+$B$33*E133+$B$34*F133</f>
        <v>1855.91673572407</v>
      </c>
    </row>
    <row r="134" customFormat="false" ht="15" hidden="false" customHeight="false" outlineLevel="0" collapsed="false">
      <c r="A134" s="42" t="n">
        <f aca="false">Daily!A86</f>
        <v>43968</v>
      </c>
      <c r="B134" s="13" t="n">
        <f aca="false">Daily!C86</f>
        <v>1956</v>
      </c>
      <c r="C134" s="13" t="n">
        <f aca="false">Daily!D86</f>
        <v>30</v>
      </c>
      <c r="D134" s="13" t="n">
        <f aca="false">Daily!E86</f>
        <v>486</v>
      </c>
      <c r="E134" s="15" t="n">
        <f aca="false">Daily!N86+1</f>
        <v>82</v>
      </c>
      <c r="F134" s="13" t="n">
        <f aca="false">E134^2</f>
        <v>6724</v>
      </c>
      <c r="G134" s="13" t="n">
        <f aca="false">$B$6+$B$7*E134</f>
        <v>1812.64789115646</v>
      </c>
      <c r="H134" s="13" t="n">
        <f aca="false">$B$18+$B$19*C134+$B$20*D134+$B$21*E134</f>
        <v>1547.69433980781</v>
      </c>
      <c r="I134" s="13" t="n">
        <f aca="false">$B$32+$B$33*E134+$B$34*F134</f>
        <v>1918.09150671937</v>
      </c>
    </row>
    <row r="135" customFormat="false" ht="15" hidden="false" customHeight="false" outlineLevel="0" collapsed="false">
      <c r="A135" s="42" t="n">
        <f aca="false">Daily!A87</f>
        <v>43969</v>
      </c>
      <c r="B135" s="13" t="n">
        <f aca="false">Daily!C87</f>
        <v>1800</v>
      </c>
      <c r="C135" s="13" t="n">
        <f aca="false">Daily!D87</f>
        <v>46</v>
      </c>
      <c r="D135" s="13" t="n">
        <f aca="false">Daily!E87</f>
        <v>954</v>
      </c>
      <c r="E135" s="15" t="n">
        <f aca="false">Daily!N87+1</f>
        <v>83</v>
      </c>
      <c r="F135" s="13" t="n">
        <f aca="false">E135^2</f>
        <v>6889</v>
      </c>
      <c r="G135" s="13" t="n">
        <f aca="false">$B$6+$B$7*E135</f>
        <v>1842.78272108844</v>
      </c>
      <c r="H135" s="13" t="n">
        <f aca="false">$B$18+$B$19*C135+$B$20*D135+$B$21*E135</f>
        <v>2178.64658235966</v>
      </c>
      <c r="I135" s="13" t="n">
        <f aca="false">$B$32+$B$33*E135+$B$34*F135</f>
        <v>1981.2834187008</v>
      </c>
    </row>
    <row r="136" customFormat="false" ht="15" hidden="false" customHeight="false" outlineLevel="0" collapsed="false">
      <c r="A136" s="42" t="n">
        <f aca="false">Daily!A88</f>
        <v>43970</v>
      </c>
      <c r="B136" s="13" t="n">
        <f aca="false">Daily!C88</f>
        <v>1874</v>
      </c>
      <c r="C136" s="13" t="n">
        <f aca="false">Daily!D88</f>
        <v>46</v>
      </c>
      <c r="D136" s="13" t="n">
        <f aca="false">Daily!E88</f>
        <v>597</v>
      </c>
      <c r="E136" s="15" t="n">
        <f aca="false">Daily!N88+1</f>
        <v>84</v>
      </c>
      <c r="F136" s="13" t="n">
        <f aca="false">E136^2</f>
        <v>7056</v>
      </c>
      <c r="G136" s="13" t="n">
        <f aca="false">$B$6+$B$7*E136</f>
        <v>1872.91755102041</v>
      </c>
      <c r="H136" s="13" t="n">
        <f aca="false">$B$18+$B$19*C136+$B$20*D136+$B$21*E136</f>
        <v>2099.62398155979</v>
      </c>
      <c r="I136" s="13" t="n">
        <f aca="false">$B$32+$B$33*E136+$B$34*F136</f>
        <v>2045.49247166838</v>
      </c>
    </row>
    <row r="137" customFormat="false" ht="15" hidden="false" customHeight="false" outlineLevel="0" collapsed="false">
      <c r="A137" s="42" t="n">
        <f aca="false">Daily!A89</f>
        <v>43971</v>
      </c>
      <c r="B137" s="13" t="n">
        <f aca="false">Daily!C89</f>
        <v>2115</v>
      </c>
      <c r="C137" s="13" t="n">
        <f aca="false">Daily!D89</f>
        <v>32</v>
      </c>
      <c r="D137" s="13" t="n">
        <f aca="false">Daily!E89</f>
        <v>1038</v>
      </c>
      <c r="E137" s="15" t="n">
        <f aca="false">Daily!N89+1</f>
        <v>85</v>
      </c>
      <c r="F137" s="13" t="n">
        <f aca="false">E137^2</f>
        <v>7225</v>
      </c>
      <c r="G137" s="13" t="n">
        <f aca="false">$B$6+$B$7*E137</f>
        <v>1903.05238095238</v>
      </c>
      <c r="H137" s="13" t="n">
        <f aca="false">$B$18+$B$19*C137+$B$20*D137+$B$21*E137</f>
        <v>1768.04298957525</v>
      </c>
      <c r="I137" s="13" t="n">
        <f aca="false">$B$32+$B$33*E137+$B$34*F137</f>
        <v>2110.71866562209</v>
      </c>
    </row>
    <row r="138" customFormat="false" ht="15" hidden="false" customHeight="false" outlineLevel="0" collapsed="false">
      <c r="A138" s="42" t="n">
        <f aca="false">Daily!A90</f>
        <v>43972</v>
      </c>
      <c r="B138" s="13" t="n">
        <f aca="false">Daily!C90</f>
        <v>2539</v>
      </c>
      <c r="C138" s="13" t="n">
        <f aca="false">Daily!D90</f>
        <v>43</v>
      </c>
      <c r="D138" s="13" t="n">
        <f aca="false">Daily!E90</f>
        <v>1014</v>
      </c>
      <c r="E138" s="15" t="n">
        <f aca="false">Daily!N90+1</f>
        <v>86</v>
      </c>
      <c r="F138" s="13" t="n">
        <f aca="false">E138^2</f>
        <v>7396</v>
      </c>
      <c r="G138" s="13" t="n">
        <f aca="false">$B$6+$B$7*E138</f>
        <v>1933.18721088435</v>
      </c>
      <c r="H138" s="13" t="n">
        <f aca="false">$B$18+$B$19*C138+$B$20*D138+$B$21*E138</f>
        <v>2120.32223047355</v>
      </c>
      <c r="I138" s="13" t="n">
        <f aca="false">$B$32+$B$33*E138+$B$34*F138</f>
        <v>2176.96200056193</v>
      </c>
    </row>
    <row r="139" customFormat="false" ht="15" hidden="false" customHeight="false" outlineLevel="0" collapsed="false">
      <c r="A139" s="42" t="n">
        <f aca="false">Daily!A91</f>
        <v>43973</v>
      </c>
      <c r="B139" s="13" t="n">
        <f aca="false">Daily!C91</f>
        <v>1728</v>
      </c>
      <c r="C139" s="13" t="n">
        <f aca="false">Daily!D91</f>
        <v>34</v>
      </c>
      <c r="D139" s="13" t="n">
        <f aca="false">Daily!E91</f>
        <v>1438</v>
      </c>
      <c r="E139" s="15" t="n">
        <f aca="false">Daily!N91+1</f>
        <v>87</v>
      </c>
      <c r="F139" s="13" t="n">
        <f aca="false">E139^2</f>
        <v>7569</v>
      </c>
      <c r="G139" s="13" t="n">
        <f aca="false">$B$6+$B$7*E139</f>
        <v>1963.32204081633</v>
      </c>
      <c r="H139" s="13" t="n">
        <f aca="false">$B$18+$B$19*C139+$B$20*D139+$B$21*E139</f>
        <v>1943.94828093882</v>
      </c>
      <c r="I139" s="13" t="n">
        <f aca="false">$B$32+$B$33*E139+$B$34*F139</f>
        <v>2244.22247648792</v>
      </c>
    </row>
    <row r="140" customFormat="false" ht="15" hidden="false" customHeight="false" outlineLevel="0" collapsed="false">
      <c r="A140" s="42" t="n">
        <f aca="false">Daily!A92</f>
        <v>43974</v>
      </c>
      <c r="B140" s="13" t="n">
        <f aca="false">Daily!C92</f>
        <v>2060</v>
      </c>
      <c r="C140" s="13" t="n">
        <f aca="false">Daily!D92</f>
        <v>32</v>
      </c>
      <c r="D140" s="13" t="n">
        <f aca="false">Daily!E92</f>
        <v>539</v>
      </c>
      <c r="E140" s="15" t="n">
        <f aca="false">Daily!N92+1</f>
        <v>88</v>
      </c>
      <c r="F140" s="13" t="n">
        <f aca="false">E140^2</f>
        <v>7744</v>
      </c>
      <c r="G140" s="13" t="n">
        <f aca="false">$B$6+$B$7*E140</f>
        <v>1993.4568707483</v>
      </c>
      <c r="H140" s="13" t="n">
        <f aca="false">$B$18+$B$19*C140+$B$20*D140+$B$21*E140</f>
        <v>1669.72278769536</v>
      </c>
      <c r="I140" s="13" t="n">
        <f aca="false">$B$32+$B$33*E140+$B$34*F140</f>
        <v>2312.50009340004</v>
      </c>
    </row>
    <row r="141" customFormat="false" ht="15" hidden="false" customHeight="false" outlineLevel="0" collapsed="false">
      <c r="A141" s="42" t="n">
        <f aca="false">Daily!A93</f>
        <v>43975</v>
      </c>
      <c r="B141" s="13" t="n">
        <f aca="false">Daily!C93</f>
        <v>1744</v>
      </c>
      <c r="C141" s="13" t="n">
        <f aca="false">Daily!D93</f>
        <v>34</v>
      </c>
      <c r="D141" s="13" t="n">
        <f aca="false">Daily!E93</f>
        <v>282</v>
      </c>
      <c r="E141" s="15" t="n">
        <f aca="false">Daily!N93+1</f>
        <v>89</v>
      </c>
      <c r="F141" s="13" t="n">
        <f aca="false">E141^2</f>
        <v>7921</v>
      </c>
      <c r="G141" s="13" t="n">
        <f aca="false">$B$6+$B$7*E141</f>
        <v>2023.59170068027</v>
      </c>
      <c r="H141" s="13" t="n">
        <f aca="false">$B$18+$B$19*C141+$B$20*D141+$B$21*E141</f>
        <v>1678.68902439204</v>
      </c>
      <c r="I141" s="13" t="n">
        <f aca="false">$B$32+$B$33*E141+$B$34*F141</f>
        <v>2381.7948512983</v>
      </c>
    </row>
    <row r="142" customFormat="false" ht="15" hidden="false" customHeight="false" outlineLevel="0" collapsed="false">
      <c r="A142" s="42" t="n">
        <f aca="false">Daily!A94</f>
        <v>43976</v>
      </c>
      <c r="B142" s="13" t="n">
        <f aca="false">Daily!C94</f>
        <v>1356</v>
      </c>
      <c r="C142" s="13" t="n">
        <f aca="false">Daily!D94</f>
        <v>30</v>
      </c>
      <c r="D142" s="13" t="n">
        <f aca="false">Daily!E94</f>
        <v>830</v>
      </c>
      <c r="E142" s="15" t="n">
        <f aca="false">Daily!N94+1</f>
        <v>90</v>
      </c>
      <c r="F142" s="13" t="n">
        <f aca="false">E142^2</f>
        <v>8100</v>
      </c>
      <c r="G142" s="13" t="n">
        <f aca="false">$B$6+$B$7*E142</f>
        <v>2053.72653061225</v>
      </c>
      <c r="H142" s="13" t="n">
        <f aca="false">$B$18+$B$19*C142+$B$20*D142+$B$21*E142</f>
        <v>1691.72388596671</v>
      </c>
      <c r="I142" s="13" t="n">
        <f aca="false">$B$32+$B$33*E142+$B$34*F142</f>
        <v>2452.1067501827</v>
      </c>
    </row>
    <row r="143" customFormat="false" ht="15" hidden="false" customHeight="false" outlineLevel="0" collapsed="false">
      <c r="A143" s="42" t="n">
        <f aca="false">Daily!A95</f>
        <v>43977</v>
      </c>
      <c r="B143" s="13" t="n">
        <f aca="false">Daily!C95</f>
        <v>1440</v>
      </c>
      <c r="C143" s="13" t="n">
        <f aca="false">Daily!D95</f>
        <v>27</v>
      </c>
      <c r="D143" s="13" t="n">
        <f aca="false">Daily!E95</f>
        <v>824</v>
      </c>
      <c r="E143" s="15" t="n">
        <f aca="false">Daily!N95+1</f>
        <v>91</v>
      </c>
      <c r="F143" s="13" t="n">
        <f aca="false">E143^2</f>
        <v>8281</v>
      </c>
      <c r="G143" s="13" t="n">
        <f aca="false">$B$6+$B$7*E143</f>
        <v>2083.86136054422</v>
      </c>
      <c r="H143" s="13" t="n">
        <f aca="false">$B$18+$B$19*C143+$B$20*D143+$B$21*E143</f>
        <v>1602.24346224436</v>
      </c>
      <c r="I143" s="13" t="n">
        <f aca="false">$B$32+$B$33*E143+$B$34*F143</f>
        <v>2523.43579005323</v>
      </c>
    </row>
    <row r="144" customFormat="false" ht="15" hidden="false" customHeight="false" outlineLevel="0" collapsed="false">
      <c r="A144" s="42" t="n">
        <f aca="false">Daily!A96</f>
        <v>43978</v>
      </c>
      <c r="B144" s="13" t="n">
        <f aca="false">Daily!C96</f>
        <v>2173</v>
      </c>
      <c r="C144" s="13" t="n">
        <f aca="false">Daily!D96</f>
        <v>36</v>
      </c>
      <c r="D144" s="13" t="n">
        <f aca="false">Daily!E96</f>
        <v>1065</v>
      </c>
      <c r="E144" s="15" t="n">
        <f aca="false">Daily!N96+1</f>
        <v>92</v>
      </c>
      <c r="F144" s="13" t="n">
        <f aca="false">E144^2</f>
        <v>8464</v>
      </c>
      <c r="G144" s="13" t="n">
        <f aca="false">$B$6+$B$7*E144</f>
        <v>2113.99619047619</v>
      </c>
      <c r="H144" s="13" t="n">
        <f aca="false">$B$18+$B$19*C144+$B$20*D144+$B$21*E144</f>
        <v>1955.07035898474</v>
      </c>
      <c r="I144" s="13" t="n">
        <f aca="false">$B$32+$B$33*E144+$B$34*F144</f>
        <v>2595.7819709099</v>
      </c>
    </row>
    <row r="145" customFormat="false" ht="15" hidden="false" customHeight="false" outlineLevel="0" collapsed="false">
      <c r="A145" s="42" t="n">
        <f aca="false">Daily!A97</f>
        <v>43979</v>
      </c>
      <c r="B145" s="13" t="n">
        <f aca="false">Daily!C97</f>
        <v>2562</v>
      </c>
      <c r="C145" s="13" t="n">
        <f aca="false">Daily!D97</f>
        <v>59</v>
      </c>
      <c r="D145" s="13" t="n">
        <f aca="false">Daily!E97</f>
        <v>2072</v>
      </c>
      <c r="E145" s="15" t="n">
        <f aca="false">Daily!N97+1</f>
        <v>93</v>
      </c>
      <c r="F145" s="13" t="n">
        <f aca="false">E145^2</f>
        <v>8649</v>
      </c>
      <c r="G145" s="13" t="n">
        <f aca="false">$B$6+$B$7*E145</f>
        <v>2144.13102040816</v>
      </c>
      <c r="H145" s="13" t="n">
        <f aca="false">$B$18+$B$19*C145+$B$20*D145+$B$21*E145</f>
        <v>2939.82845672245</v>
      </c>
      <c r="I145" s="13" t="n">
        <f aca="false">$B$32+$B$33*E145+$B$34*F145</f>
        <v>2669.14529275271</v>
      </c>
    </row>
    <row r="146" customFormat="false" ht="15" hidden="false" customHeight="false" outlineLevel="0" collapsed="false">
      <c r="A146" s="42" t="n">
        <f aca="false">Daily!A98</f>
        <v>43980</v>
      </c>
      <c r="B146" s="13" t="n">
        <f aca="false">Daily!C98</f>
        <v>2426</v>
      </c>
      <c r="C146" s="13" t="n">
        <f aca="false">Daily!D98</f>
        <v>78</v>
      </c>
      <c r="D146" s="13" t="n">
        <f aca="false">Daily!E98</f>
        <v>1824</v>
      </c>
      <c r="E146" s="15" t="n">
        <f aca="false">Daily!N98+1</f>
        <v>94</v>
      </c>
      <c r="F146" s="13" t="n">
        <f aca="false">E146^2</f>
        <v>8836</v>
      </c>
      <c r="G146" s="13" t="n">
        <f aca="false">$B$6+$B$7*E146</f>
        <v>2174.26585034014</v>
      </c>
      <c r="H146" s="13" t="n">
        <f aca="false">$B$18+$B$19*C146+$B$20*D146+$B$21*E146</f>
        <v>3492.70202885816</v>
      </c>
      <c r="I146" s="13" t="n">
        <f aca="false">$B$32+$B$33*E146+$B$34*F146</f>
        <v>2743.52575558166</v>
      </c>
    </row>
    <row r="147" customFormat="false" ht="15" hidden="false" customHeight="false" outlineLevel="0" collapsed="false">
      <c r="A147" s="42" t="n">
        <f aca="false">Daily!A99</f>
        <v>43981</v>
      </c>
      <c r="B147" s="13" t="n">
        <f aca="false">Daily!C99</f>
        <v>2956</v>
      </c>
      <c r="C147" s="13" t="n">
        <f aca="false">Daily!D99</f>
        <v>88</v>
      </c>
      <c r="D147" s="13" t="n">
        <f aca="false">Daily!E99</f>
        <v>1138</v>
      </c>
      <c r="E147" s="15" t="n">
        <f aca="false">Daily!N99+1</f>
        <v>95</v>
      </c>
      <c r="F147" s="13" t="n">
        <f aca="false">E147^2</f>
        <v>9025</v>
      </c>
      <c r="G147" s="13" t="n">
        <f aca="false">$B$6+$B$7*E147</f>
        <v>2204.40068027211</v>
      </c>
      <c r="H147" s="13" t="n">
        <f aca="false">$B$18+$B$19*C147+$B$20*D147+$B$21*E147</f>
        <v>3652.5366210815</v>
      </c>
      <c r="I147" s="13" t="n">
        <f aca="false">$B$32+$B$33*E147+$B$34*F147</f>
        <v>2818.92335939674</v>
      </c>
    </row>
    <row r="148" customFormat="false" ht="15" hidden="false" customHeight="false" outlineLevel="0" collapsed="false">
      <c r="A148" s="42" t="n">
        <f aca="false">Daily!A100</f>
        <v>43982</v>
      </c>
      <c r="B148" s="13" t="n">
        <f aca="false">Daily!C100</f>
        <v>2883</v>
      </c>
      <c r="C148" s="13" t="n">
        <f aca="false">Daily!D100</f>
        <v>60</v>
      </c>
      <c r="D148" s="13" t="n">
        <f aca="false">Daily!E100</f>
        <v>809</v>
      </c>
      <c r="E148" s="15" t="n">
        <f aca="false">Daily!N100+1</f>
        <v>96</v>
      </c>
      <c r="F148" s="13" t="n">
        <f aca="false">E148^2</f>
        <v>9216</v>
      </c>
      <c r="G148" s="13" t="n">
        <f aca="false">$B$6+$B$7*E148</f>
        <v>2234.53551020408</v>
      </c>
      <c r="H148" s="13" t="n">
        <f aca="false">$B$18+$B$19*C148+$B$20*D148+$B$21*E148</f>
        <v>2688.05416515894</v>
      </c>
      <c r="I148" s="13" t="n">
        <f aca="false">$B$32+$B$33*E148+$B$34*F148</f>
        <v>2895.33810419796</v>
      </c>
    </row>
    <row r="149" customFormat="false" ht="15" hidden="false" customHeight="false" outlineLevel="0" collapsed="false">
      <c r="A149" s="42" t="n">
        <f aca="false">Daily!A101</f>
        <v>43983</v>
      </c>
      <c r="B149" s="13" t="n">
        <f aca="false">Daily!C101</f>
        <v>3872</v>
      </c>
      <c r="C149" s="13" t="n">
        <f aca="false">Daily!D101</f>
        <v>78</v>
      </c>
      <c r="D149" s="13" t="n">
        <f aca="false">Daily!E101</f>
        <v>1027</v>
      </c>
      <c r="E149" s="15" t="n">
        <f aca="false">Daily!N101+1</f>
        <v>97</v>
      </c>
      <c r="F149" s="13" t="n">
        <f aca="false">E149^2</f>
        <v>9409</v>
      </c>
      <c r="G149" s="13" t="n">
        <f aca="false">$B$6+$B$7*E149</f>
        <v>2264.67034013605</v>
      </c>
      <c r="H149" s="13" t="n">
        <f aca="false">$B$18+$B$19*C149+$B$20*D149+$B$21*E149</f>
        <v>3322.09723789632</v>
      </c>
      <c r="I149" s="13" t="n">
        <f aca="false">$B$32+$B$33*E149+$B$34*F149</f>
        <v>2972.76998998532</v>
      </c>
    </row>
    <row r="150" customFormat="false" ht="15" hidden="false" customHeight="false" outlineLevel="0" collapsed="false">
      <c r="A150" s="42" t="n">
        <f aca="false">Daily!A102</f>
        <v>43984</v>
      </c>
      <c r="B150" s="13" t="n">
        <f aca="false">Daily!C102</f>
        <v>4242</v>
      </c>
      <c r="C150" s="13" t="n">
        <f aca="false">Daily!D102</f>
        <v>69</v>
      </c>
      <c r="D150" s="13" t="n">
        <f aca="false">Daily!E102</f>
        <v>1931</v>
      </c>
      <c r="E150" s="15" t="n">
        <f aca="false">Daily!N102+1</f>
        <v>98</v>
      </c>
      <c r="F150" s="13" t="n">
        <f aca="false">E150^2</f>
        <v>9604</v>
      </c>
      <c r="G150" s="13" t="n">
        <f aca="false">$B$6+$B$7*E150</f>
        <v>2294.80517006803</v>
      </c>
      <c r="H150" s="13" t="n">
        <f aca="false">$B$18+$B$19*C150+$B$20*D150+$B$21*E150</f>
        <v>3262.15484124527</v>
      </c>
      <c r="I150" s="13" t="n">
        <f aca="false">$B$32+$B$33*E150+$B$34*F150</f>
        <v>3051.21901675882</v>
      </c>
    </row>
    <row r="151" customFormat="false" ht="15" hidden="false" customHeight="false" outlineLevel="0" collapsed="false">
      <c r="A151" s="42" t="n">
        <f aca="false">Daily!A103</f>
        <v>43985</v>
      </c>
      <c r="B151" s="13" t="n">
        <f aca="false">Daily!C103</f>
        <v>4677</v>
      </c>
      <c r="C151" s="13" t="n">
        <f aca="false">Daily!D103</f>
        <v>82</v>
      </c>
      <c r="D151" s="13" t="n">
        <f aca="false">Daily!E103</f>
        <v>1205</v>
      </c>
      <c r="E151" s="15" t="n">
        <f aca="false">Daily!N103+1</f>
        <v>99</v>
      </c>
      <c r="F151" s="13" t="n">
        <f aca="false">E151^2</f>
        <v>9801</v>
      </c>
      <c r="G151" s="13" t="n">
        <f aca="false">$B$6+$B$7*E151</f>
        <v>2324.94</v>
      </c>
      <c r="H151" s="13" t="n">
        <f aca="false">$B$18+$B$19*C151+$B$20*D151+$B$21*E151</f>
        <v>3507.88520003031</v>
      </c>
      <c r="I151" s="13" t="n">
        <f aca="false">$B$32+$B$33*E151+$B$34*F151</f>
        <v>3130.68518451845</v>
      </c>
    </row>
  </sheetData>
  <mergeCells count="1">
    <mergeCell ref="A48:J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0" min="1" style="0" width="12"/>
  </cols>
  <sheetData>
    <row r="1" customFormat="false" ht="19.7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216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4"/>
    <col collapsed="false" customWidth="true" hidden="false" outlineLevel="0" max="8" min="8" style="0" width="3"/>
    <col collapsed="false" customWidth="true" hidden="false" outlineLevel="0" max="9" min="9" style="0" width="34"/>
    <col collapsed="false" customWidth="true" hidden="false" outlineLevel="0" max="12" min="10" style="0" width="16"/>
  </cols>
  <sheetData>
    <row r="1" customFormat="false" ht="19.7" hidden="false" customHeight="false" outlineLevel="0" collapsed="false">
      <c r="A1" s="1" t="s">
        <v>217</v>
      </c>
    </row>
    <row r="2" customFormat="false" ht="15" hidden="false" customHeight="false" outlineLevel="0" collapsed="false">
      <c r="A2" s="2" t="s">
        <v>218</v>
      </c>
    </row>
    <row r="4" customFormat="false" ht="15" hidden="false" customHeight="false" outlineLevel="0" collapsed="false">
      <c r="I4" s="40" t="s">
        <v>219</v>
      </c>
    </row>
    <row r="5" customFormat="false" ht="15" hidden="false" customHeight="false" outlineLevel="0" collapsed="false">
      <c r="I5" s="36" t="s">
        <v>220</v>
      </c>
      <c r="J5" s="28" t="n">
        <v>1000</v>
      </c>
    </row>
    <row r="6" customFormat="false" ht="15" hidden="false" customHeight="false" outlineLevel="0" collapsed="false">
      <c r="I6" s="36" t="s">
        <v>221</v>
      </c>
      <c r="J6" s="43" t="n">
        <v>0.5</v>
      </c>
    </row>
    <row r="7" customFormat="false" ht="15" hidden="false" customHeight="false" outlineLevel="0" collapsed="false">
      <c r="I7" s="36" t="s">
        <v>222</v>
      </c>
      <c r="J7" s="44" t="n">
        <v>-34.940705</v>
      </c>
    </row>
    <row r="8" customFormat="false" ht="15" hidden="false" customHeight="false" outlineLevel="0" collapsed="false">
      <c r="I8" s="36" t="s">
        <v>223</v>
      </c>
      <c r="J8" s="44" t="n">
        <v>0.525424</v>
      </c>
    </row>
    <row r="9" customFormat="false" ht="15" hidden="false" customHeight="false" outlineLevel="0" collapsed="false">
      <c r="I9" s="20" t="s">
        <v>224</v>
      </c>
      <c r="J9" s="45" t="n">
        <f aca="false">SUM($G$13:$G$111)</f>
        <v>-6.26133062801436</v>
      </c>
    </row>
    <row r="10" customFormat="false" ht="15" hidden="false" customHeight="false" outlineLevel="0" collapsed="false">
      <c r="I10" s="36" t="s">
        <v>225</v>
      </c>
      <c r="J10" s="38" t="n">
        <f aca="false">COUNTIF($C$13:$C$111,1)*LN(AVERAGE($C$13:$C$111))+COUNTIF($C$13:$C$111,0)*LN(1-AVERAGE($C$13:$C$111))</f>
        <v>-63.0149026611865</v>
      </c>
    </row>
    <row r="11" customFormat="false" ht="15" hidden="false" customHeight="false" outlineLevel="0" collapsed="false">
      <c r="I11" s="36" t="s">
        <v>226</v>
      </c>
      <c r="J11" s="38" t="n">
        <f aca="false">1-J9/J10</f>
        <v>0.900637303818753</v>
      </c>
    </row>
    <row r="12" customFormat="false" ht="31.5" hidden="false" customHeight="true" outlineLevel="0" collapsed="false">
      <c r="A12" s="10" t="s">
        <v>24</v>
      </c>
      <c r="B12" s="10" t="s">
        <v>195</v>
      </c>
      <c r="C12" s="10" t="s">
        <v>227</v>
      </c>
      <c r="D12" s="10" t="s">
        <v>228</v>
      </c>
      <c r="E12" s="10" t="s">
        <v>229</v>
      </c>
      <c r="F12" s="10" t="s">
        <v>230</v>
      </c>
      <c r="G12" s="10" t="s">
        <v>231</v>
      </c>
    </row>
    <row r="13" customFormat="false" ht="15" hidden="false" customHeight="false" outlineLevel="0" collapsed="false">
      <c r="A13" s="42" t="n">
        <f aca="false">Regression_Excel!A53</f>
        <v>43887</v>
      </c>
      <c r="B13" s="15" t="n">
        <f aca="false">Regression_Excel!E53</f>
        <v>1</v>
      </c>
      <c r="C13" s="15" t="n">
        <f aca="false">IF(Regression_Excel!B53&gt;=$J$5,1,0)</f>
        <v>0</v>
      </c>
      <c r="D13" s="38" t="n">
        <f aca="false">$J$7+$J$8*B13</f>
        <v>-34.415281</v>
      </c>
      <c r="E13" s="38" t="n">
        <f aca="false">1/(1+EXP(-D13))</f>
        <v>1.13144479412575E-015</v>
      </c>
      <c r="F13" s="15" t="n">
        <f aca="false">IF(E13&gt;=$J$6,1,0)</f>
        <v>0</v>
      </c>
      <c r="G13" s="38" t="n">
        <f aca="false">C13*LN(MAX(E13,0.000000000001))+(1-C13)*LN(MAX(1-E13,0.000000000001))</f>
        <v>-1.11022302462516E-015</v>
      </c>
    </row>
    <row r="14" customFormat="false" ht="15" hidden="false" customHeight="false" outlineLevel="0" collapsed="false">
      <c r="A14" s="42" t="n">
        <f aca="false">Regression_Excel!A54</f>
        <v>43888</v>
      </c>
      <c r="B14" s="15" t="n">
        <f aca="false">Regression_Excel!E54</f>
        <v>2</v>
      </c>
      <c r="C14" s="15" t="n">
        <f aca="false">IF(Regression_Excel!B54&gt;=$J$5,1,0)</f>
        <v>0</v>
      </c>
      <c r="D14" s="38" t="n">
        <f aca="false">$J$7+$J$8*B14</f>
        <v>-33.889857</v>
      </c>
      <c r="E14" s="38" t="n">
        <f aca="false">1/(1+EXP(-D14))</f>
        <v>1.91347200383809E-015</v>
      </c>
      <c r="F14" s="15" t="n">
        <f aca="false">IF(E14&gt;=$J$6,1,0)</f>
        <v>0</v>
      </c>
      <c r="G14" s="38" t="n">
        <f aca="false">C14*LN(MAX(E14,0.000000000001))+(1-C14)*LN(MAX(1-E14,0.000000000001))</f>
        <v>-1.88737914186277E-015</v>
      </c>
      <c r="I14" s="8" t="s">
        <v>232</v>
      </c>
    </row>
    <row r="15" customFormat="false" ht="15" hidden="false" customHeight="true" outlineLevel="0" collapsed="false">
      <c r="A15" s="42" t="n">
        <f aca="false">Regression_Excel!A55</f>
        <v>43889</v>
      </c>
      <c r="B15" s="15" t="n">
        <f aca="false">Regression_Excel!E55</f>
        <v>3</v>
      </c>
      <c r="C15" s="15" t="n">
        <f aca="false">IF(Regression_Excel!B55&gt;=$J$5,1,0)</f>
        <v>0</v>
      </c>
      <c r="D15" s="38" t="n">
        <f aca="false">$J$7+$J$8*B15</f>
        <v>-33.364433</v>
      </c>
      <c r="E15" s="38" t="n">
        <f aca="false">1/(1+EXP(-D15))</f>
        <v>3.23601746057903E-015</v>
      </c>
      <c r="F15" s="15" t="n">
        <f aca="false">IF(E15&gt;=$J$6,1,0)</f>
        <v>0</v>
      </c>
      <c r="G15" s="38" t="n">
        <f aca="false">C15*LN(MAX(E15,0.000000000001))+(1-C15)*LN(MAX(1-E15,0.000000000001))</f>
        <v>-3.21964677141296E-015</v>
      </c>
      <c r="I15" s="10"/>
      <c r="J15" s="10" t="s">
        <v>233</v>
      </c>
      <c r="K15" s="10" t="s">
        <v>234</v>
      </c>
      <c r="L15" s="10" t="s">
        <v>235</v>
      </c>
    </row>
    <row r="16" customFormat="false" ht="15" hidden="false" customHeight="false" outlineLevel="0" collapsed="false">
      <c r="A16" s="42" t="n">
        <f aca="false">Regression_Excel!A56</f>
        <v>43890</v>
      </c>
      <c r="B16" s="15" t="n">
        <f aca="false">Regression_Excel!E56</f>
        <v>4</v>
      </c>
      <c r="C16" s="15" t="n">
        <f aca="false">IF(Regression_Excel!B56&gt;=$J$5,1,0)</f>
        <v>0</v>
      </c>
      <c r="D16" s="38" t="n">
        <f aca="false">$J$7+$J$8*B16</f>
        <v>-32.839009</v>
      </c>
      <c r="E16" s="38" t="n">
        <f aca="false">1/(1+EXP(-D16))</f>
        <v>5.47267427177802E-015</v>
      </c>
      <c r="F16" s="15" t="n">
        <f aca="false">IF(E16&gt;=$J$6,1,0)</f>
        <v>0</v>
      </c>
      <c r="G16" s="38" t="n">
        <f aca="false">C16*LN(MAX(E16,0.000000000001))+(1-C16)*LN(MAX(1-E16,0.000000000001))</f>
        <v>-5.44009282066328E-015</v>
      </c>
      <c r="I16" s="36" t="s">
        <v>236</v>
      </c>
      <c r="J16" s="15" t="n">
        <f aca="false">COUNTIFS($C$13:$C$111,1,$F$13:$F$111,1)</f>
        <v>32</v>
      </c>
      <c r="K16" s="15" t="n">
        <f aca="false">COUNTIFS($C$13:$C$111,1,$F$13:$F$111,0)</f>
        <v>1</v>
      </c>
      <c r="L16" s="15" t="n">
        <f aca="false">J16+K16</f>
        <v>33</v>
      </c>
    </row>
    <row r="17" customFormat="false" ht="15" hidden="false" customHeight="false" outlineLevel="0" collapsed="false">
      <c r="A17" s="42" t="n">
        <f aca="false">Regression_Excel!A57</f>
        <v>43891</v>
      </c>
      <c r="B17" s="15" t="n">
        <f aca="false">Regression_Excel!E57</f>
        <v>5</v>
      </c>
      <c r="C17" s="15" t="n">
        <f aca="false">IF(Regression_Excel!B57&gt;=$J$5,1,0)</f>
        <v>0</v>
      </c>
      <c r="D17" s="38" t="n">
        <f aca="false">$J$7+$J$8*B17</f>
        <v>-32.313585</v>
      </c>
      <c r="E17" s="38" t="n">
        <f aca="false">1/(1+EXP(-D17))</f>
        <v>9.25525404291922E-015</v>
      </c>
      <c r="F17" s="15" t="n">
        <f aca="false">IF(E17&gt;=$J$6,1,0)</f>
        <v>0</v>
      </c>
      <c r="G17" s="38" t="n">
        <f aca="false">C17*LN(MAX(E17,0.000000000001))+(1-C17)*LN(MAX(1-E17,0.000000000001))</f>
        <v>-9.21485110438884E-015</v>
      </c>
      <c r="I17" s="36" t="s">
        <v>237</v>
      </c>
      <c r="J17" s="15" t="n">
        <f aca="false">COUNTIFS($C$13:$C$111,0,$F$13:$F$111,1)</f>
        <v>1</v>
      </c>
      <c r="K17" s="15" t="n">
        <f aca="false">COUNTIFS($C$13:$C$111,0,$F$13:$F$111,0)</f>
        <v>65</v>
      </c>
      <c r="L17" s="15" t="n">
        <f aca="false">J17+K17</f>
        <v>66</v>
      </c>
    </row>
    <row r="18" customFormat="false" ht="15" hidden="false" customHeight="false" outlineLevel="0" collapsed="false">
      <c r="A18" s="42" t="n">
        <f aca="false">Regression_Excel!A58</f>
        <v>43892</v>
      </c>
      <c r="B18" s="15" t="n">
        <f aca="false">Regression_Excel!E58</f>
        <v>6</v>
      </c>
      <c r="C18" s="15" t="n">
        <f aca="false">IF(Regression_Excel!B58&gt;=$J$5,1,0)</f>
        <v>0</v>
      </c>
      <c r="D18" s="38" t="n">
        <f aca="false">$J$7+$J$8*B18</f>
        <v>-31.788161</v>
      </c>
      <c r="E18" s="38" t="n">
        <f aca="false">1/(1+EXP(-D18))</f>
        <v>1.56522612428644E-014</v>
      </c>
      <c r="F18" s="15" t="n">
        <f aca="false">IF(E18&gt;=$J$6,1,0)</f>
        <v>0</v>
      </c>
      <c r="G18" s="38" t="n">
        <f aca="false">C18*LN(MAX(E18,0.000000000001))+(1-C18)*LN(MAX(1-E18,0.000000000001))</f>
        <v>-1.56541446472148E-014</v>
      </c>
      <c r="I18" s="20" t="s">
        <v>238</v>
      </c>
      <c r="J18" s="21" t="n">
        <f aca="false">J16+J17</f>
        <v>33</v>
      </c>
      <c r="K18" s="21" t="n">
        <f aca="false">K16+K17</f>
        <v>66</v>
      </c>
      <c r="L18" s="21" t="n">
        <f aca="false">L16+L17</f>
        <v>99</v>
      </c>
    </row>
    <row r="19" customFormat="false" ht="15" hidden="false" customHeight="false" outlineLevel="0" collapsed="false">
      <c r="A19" s="42" t="n">
        <f aca="false">Regression_Excel!A59</f>
        <v>43893</v>
      </c>
      <c r="B19" s="15" t="n">
        <f aca="false">Regression_Excel!E59</f>
        <v>7</v>
      </c>
      <c r="C19" s="15" t="n">
        <f aca="false">IF(Regression_Excel!B59&gt;=$J$5,1,0)</f>
        <v>0</v>
      </c>
      <c r="D19" s="38" t="n">
        <f aca="false">$J$7+$J$8*B19</f>
        <v>-31.262737</v>
      </c>
      <c r="E19" s="38" t="n">
        <f aca="false">1/(1+EXP(-D19))</f>
        <v>2.64707247233594E-014</v>
      </c>
      <c r="F19" s="15" t="n">
        <f aca="false">IF(E19&gt;=$J$6,1,0)</f>
        <v>0</v>
      </c>
      <c r="G19" s="38" t="n">
        <f aca="false">C19*LN(MAX(E19,0.000000000001))+(1-C19)*LN(MAX(1-E19,0.000000000001))</f>
        <v>-2.64233079860791E-014</v>
      </c>
      <c r="I19" s="46" t="s">
        <v>239</v>
      </c>
    </row>
    <row r="20" customFormat="false" ht="15" hidden="false" customHeight="true" outlineLevel="0" collapsed="false">
      <c r="A20" s="42" t="n">
        <f aca="false">Regression_Excel!A60</f>
        <v>43894</v>
      </c>
      <c r="B20" s="15" t="n">
        <f aca="false">Regression_Excel!E60</f>
        <v>8</v>
      </c>
      <c r="C20" s="15" t="n">
        <f aca="false">IF(Regression_Excel!B60&gt;=$J$5,1,0)</f>
        <v>0</v>
      </c>
      <c r="D20" s="38" t="n">
        <f aca="false">$J$7+$J$8*B20</f>
        <v>-30.737313</v>
      </c>
      <c r="E20" s="38" t="n">
        <f aca="false">1/(1+EXP(-D20))</f>
        <v>4.47666478668892E-014</v>
      </c>
      <c r="F20" s="15" t="n">
        <f aca="false">IF(E20&gt;=$J$6,1,0)</f>
        <v>0</v>
      </c>
      <c r="G20" s="38" t="n">
        <f aca="false">C20*LN(MAX(E20,0.000000000001))+(1-C20)*LN(MAX(1-E20,0.000000000001))</f>
        <v>-4.47419878923948E-014</v>
      </c>
      <c r="I20" s="10" t="s">
        <v>137</v>
      </c>
      <c r="J20" s="10" t="s">
        <v>240</v>
      </c>
    </row>
    <row r="21" customFormat="false" ht="15" hidden="false" customHeight="false" outlineLevel="0" collapsed="false">
      <c r="A21" s="42" t="n">
        <f aca="false">Regression_Excel!A61</f>
        <v>43895</v>
      </c>
      <c r="B21" s="15" t="n">
        <f aca="false">Regression_Excel!E61</f>
        <v>9</v>
      </c>
      <c r="C21" s="15" t="n">
        <f aca="false">IF(Regression_Excel!B61&gt;=$J$5,1,0)</f>
        <v>0</v>
      </c>
      <c r="D21" s="38" t="n">
        <f aca="false">$J$7+$J$8*B21</f>
        <v>-30.211889</v>
      </c>
      <c r="E21" s="38" t="n">
        <f aca="false">1/(1+EXP(-D21))</f>
        <v>7.57082695008166E-014</v>
      </c>
      <c r="F21" s="15" t="n">
        <f aca="false">IF(E21&gt;=$J$6,1,0)</f>
        <v>0</v>
      </c>
      <c r="G21" s="38" t="n">
        <f aca="false">C21*LN(MAX(E21,0.000000000001))+(1-C21)*LN(MAX(1-E21,0.000000000001))</f>
        <v>-7.57172102794385E-014</v>
      </c>
      <c r="I21" s="36" t="s">
        <v>241</v>
      </c>
      <c r="J21" s="14" t="n">
        <f aca="false">(J16+K17)/L18</f>
        <v>0.97979797979798</v>
      </c>
    </row>
    <row r="22" customFormat="false" ht="15" hidden="false" customHeight="false" outlineLevel="0" collapsed="false">
      <c r="A22" s="42" t="n">
        <f aca="false">Regression_Excel!A62</f>
        <v>43896</v>
      </c>
      <c r="B22" s="15" t="n">
        <f aca="false">Regression_Excel!E62</f>
        <v>10</v>
      </c>
      <c r="C22" s="15" t="n">
        <f aca="false">IF(Regression_Excel!B62&gt;=$J$5,1,0)</f>
        <v>0</v>
      </c>
      <c r="D22" s="38" t="n">
        <f aca="false">$J$7+$J$8*B22</f>
        <v>-29.686465</v>
      </c>
      <c r="E22" s="38" t="n">
        <f aca="false">1/(1+EXP(-D22))</f>
        <v>1.28035989825531E-013</v>
      </c>
      <c r="F22" s="15" t="n">
        <f aca="false">IF(E22&gt;=$J$6,1,0)</f>
        <v>0</v>
      </c>
      <c r="G22" s="38" t="n">
        <f aca="false">C22*LN(MAX(E22,0.000000000001))+(1-C22)*LN(MAX(1-E22,0.000000000001))</f>
        <v>-1.28008714739289E-013</v>
      </c>
      <c r="I22" s="36" t="s">
        <v>242</v>
      </c>
      <c r="J22" s="14" t="n">
        <f aca="false">IF(J18=0,0,J16/J18)</f>
        <v>0.96969696969697</v>
      </c>
    </row>
    <row r="23" customFormat="false" ht="15" hidden="false" customHeight="false" outlineLevel="0" collapsed="false">
      <c r="A23" s="42" t="n">
        <f aca="false">Regression_Excel!A63</f>
        <v>43897</v>
      </c>
      <c r="B23" s="15" t="n">
        <f aca="false">Regression_Excel!E63</f>
        <v>11</v>
      </c>
      <c r="C23" s="15" t="n">
        <f aca="false">IF(Regression_Excel!B63&gt;=$J$5,1,0)</f>
        <v>0</v>
      </c>
      <c r="D23" s="38" t="n">
        <f aca="false">$J$7+$J$8*B23</f>
        <v>-29.161041</v>
      </c>
      <c r="E23" s="38" t="n">
        <f aca="false">1/(1+EXP(-D23))</f>
        <v>2.16531361748085E-013</v>
      </c>
      <c r="F23" s="15" t="n">
        <f aca="false">IF(E23&gt;=$J$6,1,0)</f>
        <v>0</v>
      </c>
      <c r="G23" s="38" t="n">
        <f aca="false">C23*LN(MAX(E23,0.000000000001))+(1-C23)*LN(MAX(1-E23,0.000000000001))</f>
        <v>-2.16493489801929E-013</v>
      </c>
      <c r="I23" s="36" t="s">
        <v>243</v>
      </c>
      <c r="J23" s="14" t="n">
        <f aca="false">IF(L16=0,0,J16/L16)</f>
        <v>0.96969696969697</v>
      </c>
    </row>
    <row r="24" customFormat="false" ht="15" hidden="false" customHeight="false" outlineLevel="0" collapsed="false">
      <c r="A24" s="42" t="n">
        <f aca="false">Regression_Excel!A64</f>
        <v>43898</v>
      </c>
      <c r="B24" s="15" t="n">
        <f aca="false">Regression_Excel!E64</f>
        <v>12</v>
      </c>
      <c r="C24" s="15" t="n">
        <f aca="false">IF(Regression_Excel!B64&gt;=$J$5,1,0)</f>
        <v>0</v>
      </c>
      <c r="D24" s="38" t="n">
        <f aca="false">$J$7+$J$8*B24</f>
        <v>-28.635617</v>
      </c>
      <c r="E24" s="38" t="n">
        <f aca="false">1/(1+EXP(-D24))</f>
        <v>3.66192589164707E-013</v>
      </c>
      <c r="F24" s="15" t="n">
        <f aca="false">IF(E24&gt;=$J$6,1,0)</f>
        <v>0</v>
      </c>
      <c r="G24" s="38" t="n">
        <f aca="false">C24*LN(MAX(E24,0.000000000001))+(1-C24)*LN(MAX(1-E24,0.000000000001))</f>
        <v>-3.66151553521444E-013</v>
      </c>
      <c r="I24" s="36" t="s">
        <v>244</v>
      </c>
      <c r="J24" s="14" t="n">
        <f aca="false">IF(L17=0,0,K17/L17)</f>
        <v>0.984848484848485</v>
      </c>
    </row>
    <row r="25" customFormat="false" ht="15" hidden="false" customHeight="false" outlineLevel="0" collapsed="false">
      <c r="A25" s="42" t="n">
        <f aca="false">Regression_Excel!A65</f>
        <v>43899</v>
      </c>
      <c r="B25" s="15" t="n">
        <f aca="false">Regression_Excel!E65</f>
        <v>13</v>
      </c>
      <c r="C25" s="15" t="n">
        <f aca="false">IF(Regression_Excel!B65&gt;=$J$5,1,0)</f>
        <v>0</v>
      </c>
      <c r="D25" s="38" t="n">
        <f aca="false">$J$7+$J$8*B25</f>
        <v>-28.110193</v>
      </c>
      <c r="E25" s="38" t="n">
        <f aca="false">1/(1+EXP(-D25))</f>
        <v>6.19296028420809E-013</v>
      </c>
      <c r="F25" s="15" t="n">
        <f aca="false">IF(E25&gt;=$J$6,1,0)</f>
        <v>0</v>
      </c>
      <c r="G25" s="38" t="n">
        <f aca="false">C25*LN(MAX(E25,0.000000000001))+(1-C25)*LN(MAX(1-E25,0.000000000001))</f>
        <v>-6.19282403136104E-013</v>
      </c>
      <c r="I25" s="36" t="s">
        <v>245</v>
      </c>
      <c r="J25" s="14" t="n">
        <f aca="false">IF(J22+J23=0,0,2*J22*J23/(J22+J23))</f>
        <v>0.96969696969697</v>
      </c>
    </row>
    <row r="26" customFormat="false" ht="15" hidden="false" customHeight="false" outlineLevel="0" collapsed="false">
      <c r="A26" s="42" t="n">
        <f aca="false">Regression_Excel!A66</f>
        <v>43900</v>
      </c>
      <c r="B26" s="15" t="n">
        <f aca="false">Regression_Excel!E66</f>
        <v>14</v>
      </c>
      <c r="C26" s="15" t="n">
        <f aca="false">IF(Regression_Excel!B66&gt;=$J$5,1,0)</f>
        <v>0</v>
      </c>
      <c r="D26" s="38" t="n">
        <f aca="false">$J$7+$J$8*B26</f>
        <v>-27.584769</v>
      </c>
      <c r="E26" s="38" t="n">
        <f aca="false">1/(1+EXP(-D26))</f>
        <v>1.04733842837332E-012</v>
      </c>
      <c r="F26" s="15" t="n">
        <f aca="false">IF(E26&gt;=$J$6,1,0)</f>
        <v>0</v>
      </c>
      <c r="G26" s="38" t="n">
        <f aca="false">C26*LN(MAX(E26,0.000000000001))+(1-C26)*LN(MAX(1-E26,0.000000000001))</f>
        <v>-1.04738440143192E-012</v>
      </c>
    </row>
    <row r="27" customFormat="false" ht="15" hidden="false" customHeight="false" outlineLevel="0" collapsed="false">
      <c r="A27" s="42" t="n">
        <f aca="false">Regression_Excel!A67</f>
        <v>43901</v>
      </c>
      <c r="B27" s="15" t="n">
        <f aca="false">Regression_Excel!E67</f>
        <v>15</v>
      </c>
      <c r="C27" s="15" t="n">
        <f aca="false">IF(Regression_Excel!B67&gt;=$J$5,1,0)</f>
        <v>0</v>
      </c>
      <c r="D27" s="38" t="n">
        <f aca="false">$J$7+$J$8*B27</f>
        <v>-27.059345</v>
      </c>
      <c r="E27" s="38" t="n">
        <f aca="false">1/(1+EXP(-D27))</f>
        <v>1.77123335724319E-012</v>
      </c>
      <c r="F27" s="15" t="n">
        <f aca="false">IF(E27&gt;=$J$6,1,0)</f>
        <v>0</v>
      </c>
      <c r="G27" s="38" t="n">
        <f aca="false">C27*LN(MAX(E27,0.000000000001))+(1-C27)*LN(MAX(1-E27,0.000000000001))</f>
        <v>-1.77124981348854E-012</v>
      </c>
      <c r="I27" s="36" t="s">
        <v>246</v>
      </c>
      <c r="J27" s="17" t="n">
        <f aca="false">EXP(J8)</f>
        <v>1.69117575490425</v>
      </c>
    </row>
    <row r="28" customFormat="false" ht="15" hidden="false" customHeight="false" outlineLevel="0" collapsed="false">
      <c r="A28" s="42" t="n">
        <f aca="false">Regression_Excel!A68</f>
        <v>43902</v>
      </c>
      <c r="B28" s="15" t="n">
        <f aca="false">Regression_Excel!E68</f>
        <v>16</v>
      </c>
      <c r="C28" s="15" t="n">
        <f aca="false">IF(Regression_Excel!B68&gt;=$J$5,1,0)</f>
        <v>0</v>
      </c>
      <c r="D28" s="38" t="n">
        <f aca="false">$J$7+$J$8*B28</f>
        <v>-26.533921</v>
      </c>
      <c r="E28" s="38" t="n">
        <f aca="false">1/(1+EXP(-D28))</f>
        <v>2.99546691004367E-012</v>
      </c>
      <c r="F28" s="15" t="n">
        <f aca="false">IF(E28&gt;=$J$6,1,0)</f>
        <v>0</v>
      </c>
      <c r="G28" s="38" t="n">
        <f aca="false">C28*LN(MAX(E28,0.000000000001))+(1-C28)*LN(MAX(1-E28,0.000000000001))</f>
        <v>-2.99549274274562E-012</v>
      </c>
      <c r="I28" s="36" t="s">
        <v>247</v>
      </c>
      <c r="J28" s="35" t="n">
        <f aca="false">-J7/J8</f>
        <v>66.5000171290234</v>
      </c>
    </row>
    <row r="29" customFormat="false" ht="15" hidden="false" customHeight="false" outlineLevel="0" collapsed="false">
      <c r="A29" s="42" t="n">
        <f aca="false">Regression_Excel!A69</f>
        <v>43903</v>
      </c>
      <c r="B29" s="15" t="n">
        <f aca="false">Regression_Excel!E69</f>
        <v>17</v>
      </c>
      <c r="C29" s="15" t="n">
        <f aca="false">IF(Regression_Excel!B69&gt;=$J$5,1,0)</f>
        <v>0</v>
      </c>
      <c r="D29" s="38" t="n">
        <f aca="false">$J$7+$J$8*B29</f>
        <v>-26.008497</v>
      </c>
      <c r="E29" s="38" t="n">
        <f aca="false">1/(1+EXP(-D29))</f>
        <v>5.0658610128733E-012</v>
      </c>
      <c r="F29" s="15" t="n">
        <f aca="false">IF(E29&gt;=$J$6,1,0)</f>
        <v>0</v>
      </c>
      <c r="G29" s="38" t="n">
        <f aca="false">C29*LN(MAX(E29,0.000000000001))+(1-C29)*LN(MAX(1-E29,0.000000000001))</f>
        <v>-5.06583663907496E-012</v>
      </c>
      <c r="I29" s="36" t="s">
        <v>248</v>
      </c>
      <c r="J29" s="47" t="n">
        <f aca="false">Regression_Excel!A53+ROUND(J28,0)-1</f>
        <v>43953</v>
      </c>
    </row>
    <row r="30" customFormat="false" ht="15" hidden="false" customHeight="false" outlineLevel="0" collapsed="false">
      <c r="A30" s="42" t="n">
        <f aca="false">Regression_Excel!A70</f>
        <v>43904</v>
      </c>
      <c r="B30" s="15" t="n">
        <f aca="false">Regression_Excel!E70</f>
        <v>18</v>
      </c>
      <c r="C30" s="15" t="n">
        <f aca="false">IF(Regression_Excel!B70&gt;=$J$5,1,0)</f>
        <v>0</v>
      </c>
      <c r="D30" s="38" t="n">
        <f aca="false">$J$7+$J$8*B30</f>
        <v>-25.483073</v>
      </c>
      <c r="E30" s="38" t="n">
        <f aca="false">1/(1+EXP(-D30))</f>
        <v>8.56726132265601E-012</v>
      </c>
      <c r="F30" s="15" t="n">
        <f aca="false">IF(E30&gt;=$J$6,1,0)</f>
        <v>0</v>
      </c>
      <c r="G30" s="38" t="n">
        <f aca="false">C30*LN(MAX(E30,0.000000000001))+(1-C30)*LN(MAX(1-E30,0.000000000001))</f>
        <v>-8.56725801416165E-012</v>
      </c>
    </row>
    <row r="31" customFormat="false" ht="15" hidden="false" customHeight="false" outlineLevel="0" collapsed="false">
      <c r="A31" s="42" t="n">
        <f aca="false">Regression_Excel!A71</f>
        <v>43905</v>
      </c>
      <c r="B31" s="15" t="n">
        <f aca="false">Regression_Excel!E71</f>
        <v>19</v>
      </c>
      <c r="C31" s="15" t="n">
        <f aca="false">IF(Regression_Excel!B71&gt;=$J$5,1,0)</f>
        <v>0</v>
      </c>
      <c r="D31" s="38" t="n">
        <f aca="false">$J$7+$J$8*B31</f>
        <v>-24.957649</v>
      </c>
      <c r="E31" s="38" t="n">
        <f aca="false">1/(1+EXP(-D31))</f>
        <v>1.44887446347189E-011</v>
      </c>
      <c r="F31" s="15" t="n">
        <f aca="false">IF(E31&gt;=$J$6,1,0)</f>
        <v>0</v>
      </c>
      <c r="G31" s="38" t="n">
        <f aca="false">C31*LN(MAX(E31,0.000000000001))+(1-C31)*LN(MAX(1-E31,0.000000000001))</f>
        <v>-1.44887435383706E-011</v>
      </c>
      <c r="I31" s="8" t="s">
        <v>249</v>
      </c>
    </row>
    <row r="32" customFormat="false" ht="15" hidden="false" customHeight="false" outlineLevel="0" collapsed="false">
      <c r="A32" s="42" t="n">
        <f aca="false">Regression_Excel!A72</f>
        <v>43906</v>
      </c>
      <c r="B32" s="15" t="n">
        <f aca="false">Regression_Excel!E72</f>
        <v>20</v>
      </c>
      <c r="C32" s="15" t="n">
        <f aca="false">IF(Regression_Excel!B72&gt;=$J$5,1,0)</f>
        <v>0</v>
      </c>
      <c r="D32" s="38" t="n">
        <f aca="false">$J$7+$J$8*B32</f>
        <v>-24.432225</v>
      </c>
      <c r="E32" s="38" t="n">
        <f aca="false">1/(1+EXP(-D32))</f>
        <v>2.45030136449902E-011</v>
      </c>
      <c r="F32" s="15" t="n">
        <f aca="false">IF(E32&gt;=$J$6,1,0)</f>
        <v>0</v>
      </c>
      <c r="G32" s="38" t="n">
        <f aca="false">C32*LN(MAX(E32,0.000000000001))+(1-C32)*LN(MAX(1-E32,0.000000000001))</f>
        <v>-2.45030662429873E-011</v>
      </c>
      <c r="I32" s="48" t="s">
        <v>250</v>
      </c>
    </row>
    <row r="33" customFormat="false" ht="15" hidden="false" customHeight="false" outlineLevel="0" collapsed="false">
      <c r="A33" s="42" t="n">
        <f aca="false">Regression_Excel!A73</f>
        <v>43907</v>
      </c>
      <c r="B33" s="15" t="n">
        <f aca="false">Regression_Excel!E73</f>
        <v>21</v>
      </c>
      <c r="C33" s="15" t="n">
        <f aca="false">IF(Regression_Excel!B73&gt;=$J$5,1,0)</f>
        <v>0</v>
      </c>
      <c r="D33" s="38" t="n">
        <f aca="false">$J$7+$J$8*B33</f>
        <v>-23.906801</v>
      </c>
      <c r="E33" s="38" t="n">
        <f aca="false">1/(1+EXP(-D33))</f>
        <v>4.14389025977937E-011</v>
      </c>
      <c r="F33" s="15" t="n">
        <f aca="false">IF(E33&gt;=$J$6,1,0)</f>
        <v>0</v>
      </c>
      <c r="G33" s="38" t="n">
        <f aca="false">C33*LN(MAX(E33,0.000000000001))+(1-C33)*LN(MAX(1-E33,0.000000000001))</f>
        <v>-4.14388523503876E-011</v>
      </c>
      <c r="I33" s="48" t="s">
        <v>251</v>
      </c>
    </row>
    <row r="34" customFormat="false" ht="15" hidden="false" customHeight="false" outlineLevel="0" collapsed="false">
      <c r="A34" s="42" t="n">
        <f aca="false">Regression_Excel!A74</f>
        <v>43908</v>
      </c>
      <c r="B34" s="15" t="n">
        <f aca="false">Regression_Excel!E74</f>
        <v>22</v>
      </c>
      <c r="C34" s="15" t="n">
        <f aca="false">IF(Regression_Excel!B74&gt;=$J$5,1,0)</f>
        <v>0</v>
      </c>
      <c r="D34" s="38" t="n">
        <f aca="false">$J$7+$J$8*B34</f>
        <v>-23.381377</v>
      </c>
      <c r="E34" s="38" t="n">
        <f aca="false">1/(1+EXP(-D34))</f>
        <v>7.00804673812202E-011</v>
      </c>
      <c r="F34" s="15" t="n">
        <f aca="false">IF(E34&gt;=$J$6,1,0)</f>
        <v>0</v>
      </c>
      <c r="G34" s="38" t="n">
        <f aca="false">C34*LN(MAX(E34,0.000000000001))+(1-C34)*LN(MAX(1-E34,0.000000000001))</f>
        <v>-7.00804969635669E-011</v>
      </c>
      <c r="I34" s="48" t="s">
        <v>252</v>
      </c>
    </row>
    <row r="35" customFormat="false" ht="15" hidden="false" customHeight="false" outlineLevel="0" collapsed="false">
      <c r="A35" s="42" t="n">
        <f aca="false">Regression_Excel!A75</f>
        <v>43909</v>
      </c>
      <c r="B35" s="15" t="n">
        <f aca="false">Regression_Excel!E75</f>
        <v>23</v>
      </c>
      <c r="C35" s="15" t="n">
        <f aca="false">IF(Regression_Excel!B75&gt;=$J$5,1,0)</f>
        <v>0</v>
      </c>
      <c r="D35" s="38" t="n">
        <f aca="false">$J$7+$J$8*B35</f>
        <v>-22.855953</v>
      </c>
      <c r="E35" s="38" t="n">
        <f aca="false">1/(1+EXP(-D35))</f>
        <v>1.18518387321737E-010</v>
      </c>
      <c r="F35" s="15" t="n">
        <f aca="false">IF(E35&gt;=$J$6,1,0)</f>
        <v>0</v>
      </c>
      <c r="G35" s="38" t="n">
        <f aca="false">C35*LN(MAX(E35,0.000000000001))+(1-C35)*LN(MAX(1-E35,0.000000000001))</f>
        <v>-1.18518417309506E-010</v>
      </c>
      <c r="I35" s="48" t="s">
        <v>253</v>
      </c>
    </row>
    <row r="36" customFormat="false" ht="15" hidden="false" customHeight="false" outlineLevel="0" collapsed="false">
      <c r="A36" s="42" t="n">
        <f aca="false">Regression_Excel!A76</f>
        <v>43910</v>
      </c>
      <c r="B36" s="15" t="n">
        <f aca="false">Regression_Excel!E76</f>
        <v>24</v>
      </c>
      <c r="C36" s="15" t="n">
        <f aca="false">IF(Regression_Excel!B76&gt;=$J$5,1,0)</f>
        <v>0</v>
      </c>
      <c r="D36" s="38" t="n">
        <f aca="false">$J$7+$J$8*B36</f>
        <v>-22.330529</v>
      </c>
      <c r="E36" s="38" t="n">
        <f aca="false">1/(1+EXP(-D36))</f>
        <v>2.00435423132453E-010</v>
      </c>
      <c r="F36" s="15" t="n">
        <f aca="false">IF(E36&gt;=$J$6,1,0)</f>
        <v>0</v>
      </c>
      <c r="G36" s="38" t="n">
        <f aca="false">C36*LN(MAX(E36,0.000000000001))+(1-C36)*LN(MAX(1-E36,0.000000000001))</f>
        <v>-2.00435446038419E-010</v>
      </c>
      <c r="I36" s="48" t="s">
        <v>254</v>
      </c>
    </row>
    <row r="37" customFormat="false" ht="15" hidden="false" customHeight="false" outlineLevel="0" collapsed="false">
      <c r="A37" s="42" t="n">
        <f aca="false">Regression_Excel!A77</f>
        <v>43911</v>
      </c>
      <c r="B37" s="15" t="n">
        <f aca="false">Regression_Excel!E77</f>
        <v>25</v>
      </c>
      <c r="C37" s="15" t="n">
        <f aca="false">IF(Regression_Excel!B77&gt;=$J$5,1,0)</f>
        <v>0</v>
      </c>
      <c r="D37" s="38" t="n">
        <f aca="false">$J$7+$J$8*B37</f>
        <v>-21.805105</v>
      </c>
      <c r="E37" s="38" t="n">
        <f aca="false">1/(1+EXP(-D37))</f>
        <v>3.38971527978618E-010</v>
      </c>
      <c r="F37" s="15" t="n">
        <f aca="false">IF(E37&gt;=$J$6,1,0)</f>
        <v>0</v>
      </c>
      <c r="G37" s="38" t="n">
        <f aca="false">C37*LN(MAX(E37,0.000000000001))+(1-C37)*LN(MAX(1-E37,0.000000000001))</f>
        <v>-3.38971517579164E-010</v>
      </c>
      <c r="I37" s="48" t="s">
        <v>255</v>
      </c>
    </row>
    <row r="38" customFormat="false" ht="15" hidden="false" customHeight="false" outlineLevel="0" collapsed="false">
      <c r="A38" s="42" t="n">
        <f aca="false">Regression_Excel!A78</f>
        <v>43912</v>
      </c>
      <c r="B38" s="15" t="n">
        <f aca="false">Regression_Excel!E78</f>
        <v>26</v>
      </c>
      <c r="C38" s="15" t="n">
        <f aca="false">IF(Regression_Excel!B78&gt;=$J$5,1,0)</f>
        <v>0</v>
      </c>
      <c r="D38" s="38" t="n">
        <f aca="false">$J$7+$J$8*B38</f>
        <v>-21.279681</v>
      </c>
      <c r="E38" s="38" t="n">
        <f aca="false">1/(1+EXP(-D38))</f>
        <v>5.73260429585976E-010</v>
      </c>
      <c r="F38" s="15" t="n">
        <f aca="false">IF(E38&gt;=$J$6,1,0)</f>
        <v>0</v>
      </c>
      <c r="G38" s="38" t="n">
        <f aca="false">C38*LN(MAX(E38,0.000000000001))+(1-C38)*LN(MAX(1-E38,0.000000000001))</f>
        <v>-5.73260439282742E-010</v>
      </c>
    </row>
    <row r="39" customFormat="false" ht="15" hidden="false" customHeight="true" outlineLevel="0" collapsed="false">
      <c r="A39" s="42" t="n">
        <f aca="false">Regression_Excel!A79</f>
        <v>43913</v>
      </c>
      <c r="B39" s="15" t="n">
        <f aca="false">Regression_Excel!E79</f>
        <v>27</v>
      </c>
      <c r="C39" s="15" t="n">
        <f aca="false">IF(Regression_Excel!B79&gt;=$J$5,1,0)</f>
        <v>0</v>
      </c>
      <c r="D39" s="38" t="n">
        <f aca="false">$J$7+$J$8*B39</f>
        <v>-20.754257</v>
      </c>
      <c r="E39" s="38" t="n">
        <f aca="false">1/(1+EXP(-D39))</f>
        <v>9.69484139377664E-010</v>
      </c>
      <c r="F39" s="15" t="n">
        <f aca="false">IF(E39&gt;=$J$6,1,0)</f>
        <v>0</v>
      </c>
      <c r="G39" s="38" t="n">
        <f aca="false">C39*LN(MAX(E39,0.000000000001))+(1-C39)*LN(MAX(1-E39,0.000000000001))</f>
        <v>-9.69484160088566E-010</v>
      </c>
      <c r="I39" s="19" t="s">
        <v>256</v>
      </c>
      <c r="J39" s="19"/>
      <c r="K39" s="19"/>
      <c r="L39" s="19"/>
    </row>
    <row r="40" customFormat="false" ht="15" hidden="false" customHeight="false" outlineLevel="0" collapsed="false">
      <c r="A40" s="42" t="n">
        <f aca="false">Regression_Excel!A80</f>
        <v>43914</v>
      </c>
      <c r="B40" s="15" t="n">
        <f aca="false">Regression_Excel!E80</f>
        <v>28</v>
      </c>
      <c r="C40" s="15" t="n">
        <f aca="false">IF(Regression_Excel!B80&gt;=$J$5,1,0)</f>
        <v>0</v>
      </c>
      <c r="D40" s="38" t="n">
        <f aca="false">$J$7+$J$8*B40</f>
        <v>-20.228833</v>
      </c>
      <c r="E40" s="38" t="n">
        <f aca="false">1/(1+EXP(-D40))</f>
        <v>1.63956807018107E-009</v>
      </c>
      <c r="F40" s="15" t="n">
        <f aca="false">IF(E40&gt;=$J$6,1,0)</f>
        <v>0</v>
      </c>
      <c r="G40" s="38" t="n">
        <f aca="false">C40*LN(MAX(E40,0.000000000001))+(1-C40)*LN(MAX(1-E40,0.000000000001))</f>
        <v>-1.63956803823712E-009</v>
      </c>
      <c r="I40" s="19"/>
      <c r="J40" s="19"/>
      <c r="K40" s="19"/>
      <c r="L40" s="19"/>
    </row>
    <row r="41" customFormat="false" ht="15" hidden="false" customHeight="false" outlineLevel="0" collapsed="false">
      <c r="A41" s="42" t="n">
        <f aca="false">Regression_Excel!A81</f>
        <v>43915</v>
      </c>
      <c r="B41" s="15" t="n">
        <f aca="false">Regression_Excel!E81</f>
        <v>29</v>
      </c>
      <c r="C41" s="15" t="n">
        <f aca="false">IF(Regression_Excel!B81&gt;=$J$5,1,0)</f>
        <v>0</v>
      </c>
      <c r="D41" s="38" t="n">
        <f aca="false">$J$7+$J$8*B41</f>
        <v>-19.703409</v>
      </c>
      <c r="E41" s="38" t="n">
        <f aca="false">1/(1+EXP(-D41))</f>
        <v>2.77279776566316E-009</v>
      </c>
      <c r="F41" s="15" t="n">
        <f aca="false">IF(E41&gt;=$J$6,1,0)</f>
        <v>0</v>
      </c>
      <c r="G41" s="38" t="n">
        <f aca="false">C41*LN(MAX(E41,0.000000000001))+(1-C41)*LN(MAX(1-E41,0.000000000001))</f>
        <v>-2.77279777301248E-009</v>
      </c>
      <c r="I41" s="19"/>
      <c r="J41" s="19"/>
      <c r="K41" s="19"/>
      <c r="L41" s="19"/>
    </row>
    <row r="42" customFormat="false" ht="15" hidden="false" customHeight="false" outlineLevel="0" collapsed="false">
      <c r="A42" s="42" t="n">
        <f aca="false">Regression_Excel!A82</f>
        <v>43916</v>
      </c>
      <c r="B42" s="15" t="n">
        <f aca="false">Regression_Excel!E82</f>
        <v>30</v>
      </c>
      <c r="C42" s="15" t="n">
        <f aca="false">IF(Regression_Excel!B82&gt;=$J$5,1,0)</f>
        <v>0</v>
      </c>
      <c r="D42" s="38" t="n">
        <f aca="false">$J$7+$J$8*B42</f>
        <v>-19.177985</v>
      </c>
      <c r="E42" s="38" t="n">
        <f aca="false">1/(1+EXP(-D42))</f>
        <v>4.68928834555522E-009</v>
      </c>
      <c r="F42" s="15" t="n">
        <f aca="false">IF(E42&gt;=$J$6,1,0)</f>
        <v>0</v>
      </c>
      <c r="G42" s="38" t="n">
        <f aca="false">C42*LN(MAX(E42,0.000000000001))+(1-C42)*LN(MAX(1-E42,0.000000000001))</f>
        <v>-4.68928830199906E-009</v>
      </c>
      <c r="I42" s="19"/>
      <c r="J42" s="19"/>
      <c r="K42" s="19"/>
      <c r="L42" s="19"/>
    </row>
    <row r="43" customFormat="false" ht="15" hidden="false" customHeight="false" outlineLevel="0" collapsed="false">
      <c r="A43" s="42" t="n">
        <f aca="false">Regression_Excel!A83</f>
        <v>43917</v>
      </c>
      <c r="B43" s="15" t="n">
        <f aca="false">Regression_Excel!E83</f>
        <v>31</v>
      </c>
      <c r="C43" s="15" t="n">
        <f aca="false">IF(Regression_Excel!B83&gt;=$J$5,1,0)</f>
        <v>0</v>
      </c>
      <c r="D43" s="38" t="n">
        <f aca="false">$J$7+$J$8*B43</f>
        <v>-18.652561</v>
      </c>
      <c r="E43" s="38" t="n">
        <f aca="false">1/(1+EXP(-D43))</f>
        <v>7.93041073205459E-009</v>
      </c>
      <c r="F43" s="15" t="n">
        <f aca="false">IF(E43&gt;=$J$6,1,0)</f>
        <v>0</v>
      </c>
      <c r="G43" s="38" t="n">
        <f aca="false">C43*LN(MAX(E43,0.000000000001))+(1-C43)*LN(MAX(1-E43,0.000000000001))</f>
        <v>-7.93041080396215E-009</v>
      </c>
      <c r="I43" s="19"/>
      <c r="J43" s="19"/>
      <c r="K43" s="19"/>
      <c r="L43" s="19"/>
    </row>
    <row r="44" customFormat="false" ht="15" hidden="false" customHeight="false" outlineLevel="0" collapsed="false">
      <c r="A44" s="42" t="n">
        <f aca="false">Regression_Excel!A84</f>
        <v>43918</v>
      </c>
      <c r="B44" s="15" t="n">
        <f aca="false">Regression_Excel!E84</f>
        <v>32</v>
      </c>
      <c r="C44" s="15" t="n">
        <f aca="false">IF(Regression_Excel!B84&gt;=$J$5,1,0)</f>
        <v>0</v>
      </c>
      <c r="D44" s="38" t="n">
        <f aca="false">$J$7+$J$8*B44</f>
        <v>-18.127137</v>
      </c>
      <c r="E44" s="38" t="n">
        <f aca="false">1/(1+EXP(-D44))</f>
        <v>1.34117182829694E-008</v>
      </c>
      <c r="F44" s="15" t="n">
        <f aca="false">IF(E44&gt;=$J$6,1,0)</f>
        <v>0</v>
      </c>
      <c r="G44" s="38" t="n">
        <f aca="false">C44*LN(MAX(E44,0.000000000001))+(1-C44)*LN(MAX(1-E44,0.000000000001))</f>
        <v>-1.34117183814377E-008</v>
      </c>
      <c r="I44" s="19"/>
      <c r="J44" s="19"/>
      <c r="K44" s="19"/>
      <c r="L44" s="19"/>
    </row>
    <row r="45" customFormat="false" ht="15" hidden="false" customHeight="false" outlineLevel="0" collapsed="false">
      <c r="A45" s="42" t="n">
        <f aca="false">Regression_Excel!A85</f>
        <v>43919</v>
      </c>
      <c r="B45" s="15" t="n">
        <f aca="false">Regression_Excel!E85</f>
        <v>33</v>
      </c>
      <c r="C45" s="15" t="n">
        <f aca="false">IF(Regression_Excel!B85&gt;=$J$5,1,0)</f>
        <v>0</v>
      </c>
      <c r="D45" s="38" t="n">
        <f aca="false">$J$7+$J$8*B45</f>
        <v>-17.601713</v>
      </c>
      <c r="E45" s="38" t="n">
        <f aca="false">1/(1+EXP(-D45))</f>
        <v>2.26815725815091E-008</v>
      </c>
      <c r="F45" s="15" t="n">
        <f aca="false">IF(E45&gt;=$J$6,1,0)</f>
        <v>0</v>
      </c>
      <c r="G45" s="38" t="n">
        <f aca="false">C45*LN(MAX(E45,0.000000000001))+(1-C45)*LN(MAX(1-E45,0.000000000001))</f>
        <v>-2.26815728773137E-008</v>
      </c>
      <c r="I45" s="19"/>
      <c r="J45" s="19"/>
      <c r="K45" s="19"/>
      <c r="L45" s="19"/>
    </row>
    <row r="46" customFormat="false" ht="15" hidden="false" customHeight="false" outlineLevel="0" collapsed="false">
      <c r="A46" s="42" t="n">
        <f aca="false">Regression_Excel!A86</f>
        <v>43920</v>
      </c>
      <c r="B46" s="15" t="n">
        <f aca="false">Regression_Excel!E86</f>
        <v>34</v>
      </c>
      <c r="C46" s="15" t="n">
        <f aca="false">IF(Regression_Excel!B86&gt;=$J$5,1,0)</f>
        <v>0</v>
      </c>
      <c r="D46" s="38" t="n">
        <f aca="false">$J$7+$J$8*B46</f>
        <v>-17.076289</v>
      </c>
      <c r="E46" s="38" t="n">
        <f aca="false">1/(1+EXP(-D46))</f>
        <v>3.83585250316042E-008</v>
      </c>
      <c r="F46" s="15" t="n">
        <f aca="false">IF(E46&gt;=$J$6,1,0)</f>
        <v>0</v>
      </c>
      <c r="G46" s="38" t="n">
        <f aca="false">C46*LN(MAX(E46,0.000000000001))+(1-C46)*LN(MAX(1-E46,0.000000000001))</f>
        <v>-3.83585257586739E-008</v>
      </c>
    </row>
    <row r="47" customFormat="false" ht="15" hidden="false" customHeight="false" outlineLevel="0" collapsed="false">
      <c r="A47" s="42" t="n">
        <f aca="false">Regression_Excel!A87</f>
        <v>43921</v>
      </c>
      <c r="B47" s="15" t="n">
        <f aca="false">Regression_Excel!E87</f>
        <v>35</v>
      </c>
      <c r="C47" s="15" t="n">
        <f aca="false">IF(Regression_Excel!B87&gt;=$J$5,1,0)</f>
        <v>0</v>
      </c>
      <c r="D47" s="38" t="n">
        <f aca="false">$J$7+$J$8*B47</f>
        <v>-16.550865</v>
      </c>
      <c r="E47" s="38" t="n">
        <f aca="false">1/(1+EXP(-D47))</f>
        <v>6.48710058074453E-008</v>
      </c>
      <c r="F47" s="15" t="n">
        <f aca="false">IF(E47&gt;=$J$6,1,0)</f>
        <v>0</v>
      </c>
      <c r="G47" s="38" t="n">
        <f aca="false">C47*LN(MAX(E47,0.000000000001))+(1-C47)*LN(MAX(1-E47,0.000000000001))</f>
        <v>-6.48710078934591E-008</v>
      </c>
    </row>
    <row r="48" customFormat="false" ht="15" hidden="false" customHeight="false" outlineLevel="0" collapsed="false">
      <c r="A48" s="42" t="n">
        <f aca="false">Regression_Excel!A88</f>
        <v>43922</v>
      </c>
      <c r="B48" s="15" t="n">
        <f aca="false">Regression_Excel!E88</f>
        <v>36</v>
      </c>
      <c r="C48" s="15" t="n">
        <f aca="false">IF(Regression_Excel!B88&gt;=$J$5,1,0)</f>
        <v>0</v>
      </c>
      <c r="D48" s="38" t="n">
        <f aca="false">$J$7+$J$8*B48</f>
        <v>-16.025441</v>
      </c>
      <c r="E48" s="38" t="n">
        <f aca="false">1/(1+EXP(-D48))</f>
        <v>1.09708267298785E-007</v>
      </c>
      <c r="F48" s="15" t="n">
        <f aca="false">IF(E48&gt;=$J$6,1,0)</f>
        <v>0</v>
      </c>
      <c r="G48" s="38" t="n">
        <f aca="false">C48*LN(MAX(E48,0.000000000001))+(1-C48)*LN(MAX(1-E48,0.000000000001))</f>
        <v>-1.09708273266495E-007</v>
      </c>
    </row>
    <row r="49" customFormat="false" ht="15" hidden="false" customHeight="false" outlineLevel="0" collapsed="false">
      <c r="A49" s="42" t="n">
        <f aca="false">Regression_Excel!A89</f>
        <v>43923</v>
      </c>
      <c r="B49" s="15" t="n">
        <f aca="false">Regression_Excel!E89</f>
        <v>37</v>
      </c>
      <c r="C49" s="15" t="n">
        <f aca="false">IF(Regression_Excel!B89&gt;=$J$5,1,0)</f>
        <v>0</v>
      </c>
      <c r="D49" s="38" t="n">
        <f aca="false">$J$7+$J$8*B49</f>
        <v>-15.500017</v>
      </c>
      <c r="E49" s="38" t="n">
        <f aca="false">1/(1+EXP(-D49))</f>
        <v>1.85535947699497E-007</v>
      </c>
      <c r="F49" s="15" t="n">
        <f aca="false">IF(E49&gt;=$J$6,1,0)</f>
        <v>0</v>
      </c>
      <c r="G49" s="38" t="n">
        <f aca="false">C49*LN(MAX(E49,0.000000000001))+(1-C49)*LN(MAX(1-E49,0.000000000001))</f>
        <v>-1.85535964928327E-007</v>
      </c>
    </row>
    <row r="50" customFormat="false" ht="15" hidden="false" customHeight="false" outlineLevel="0" collapsed="false">
      <c r="A50" s="42" t="n">
        <f aca="false">Regression_Excel!A90</f>
        <v>43924</v>
      </c>
      <c r="B50" s="15" t="n">
        <f aca="false">Regression_Excel!E90</f>
        <v>38</v>
      </c>
      <c r="C50" s="15" t="n">
        <f aca="false">IF(Regression_Excel!B90&gt;=$J$5,1,0)</f>
        <v>0</v>
      </c>
      <c r="D50" s="38" t="n">
        <f aca="false">$J$7+$J$8*B50</f>
        <v>-14.974593</v>
      </c>
      <c r="E50" s="38" t="n">
        <f aca="false">1/(1+EXP(-D50))</f>
        <v>3.13773856174856E-007</v>
      </c>
      <c r="F50" s="15" t="n">
        <f aca="false">IF(E50&gt;=$J$6,1,0)</f>
        <v>0</v>
      </c>
      <c r="G50" s="38" t="n">
        <f aca="false">C50*LN(MAX(E50,0.000000000001))+(1-C50)*LN(MAX(1-E50,0.000000000001))</f>
        <v>-3.13773905346886E-007</v>
      </c>
    </row>
    <row r="51" customFormat="false" ht="15" hidden="false" customHeight="false" outlineLevel="0" collapsed="false">
      <c r="A51" s="42" t="n">
        <f aca="false">Regression_Excel!A91</f>
        <v>43925</v>
      </c>
      <c r="B51" s="15" t="n">
        <f aca="false">Regression_Excel!E91</f>
        <v>39</v>
      </c>
      <c r="C51" s="15" t="n">
        <f aca="false">IF(Regression_Excel!B91&gt;=$J$5,1,0)</f>
        <v>0</v>
      </c>
      <c r="D51" s="38" t="n">
        <f aca="false">$J$7+$J$8*B51</f>
        <v>-14.449169</v>
      </c>
      <c r="E51" s="38" t="n">
        <f aca="false">1/(1+EXP(-D51))</f>
        <v>5.30646623002867E-007</v>
      </c>
      <c r="F51" s="15" t="n">
        <f aca="false">IF(E51&gt;=$J$6,1,0)</f>
        <v>0</v>
      </c>
      <c r="G51" s="38" t="n">
        <f aca="false">C51*LN(MAX(E51,0.000000000001))+(1-C51)*LN(MAX(1-E51,0.000000000001))</f>
        <v>-5.30646763768941E-007</v>
      </c>
    </row>
    <row r="52" customFormat="false" ht="15" hidden="false" customHeight="false" outlineLevel="0" collapsed="false">
      <c r="A52" s="42" t="n">
        <f aca="false">Regression_Excel!A92</f>
        <v>43926</v>
      </c>
      <c r="B52" s="15" t="n">
        <f aca="false">Regression_Excel!E92</f>
        <v>40</v>
      </c>
      <c r="C52" s="15" t="n">
        <f aca="false">IF(Regression_Excel!B92&gt;=$J$5,1,0)</f>
        <v>0</v>
      </c>
      <c r="D52" s="38" t="n">
        <f aca="false">$J$7+$J$8*B52</f>
        <v>-13.923745</v>
      </c>
      <c r="E52" s="38" t="n">
        <f aca="false">1/(1+EXP(-D52))</f>
        <v>8.97416374098788E-007</v>
      </c>
      <c r="F52" s="15" t="n">
        <f aca="false">IF(E52&gt;=$J$6,1,0)</f>
        <v>0</v>
      </c>
      <c r="G52" s="38" t="n">
        <f aca="false">C52*LN(MAX(E52,0.000000000001))+(1-C52)*LN(MAX(1-E52,0.000000000001))</f>
        <v>-8.97416776779883E-007</v>
      </c>
    </row>
    <row r="53" customFormat="false" ht="15" hidden="false" customHeight="false" outlineLevel="0" collapsed="false">
      <c r="A53" s="42" t="n">
        <f aca="false">Regression_Excel!A93</f>
        <v>43927</v>
      </c>
      <c r="B53" s="15" t="n">
        <f aca="false">Regression_Excel!E93</f>
        <v>41</v>
      </c>
      <c r="C53" s="15" t="n">
        <f aca="false">IF(Regression_Excel!B93&gt;=$J$5,1,0)</f>
        <v>0</v>
      </c>
      <c r="D53" s="38" t="n">
        <f aca="false">$J$7+$J$8*B53</f>
        <v>-13.398321</v>
      </c>
      <c r="E53" s="38" t="n">
        <f aca="false">1/(1+EXP(-D53))</f>
        <v>1.51768787254999E-006</v>
      </c>
      <c r="F53" s="15" t="n">
        <f aca="false">IF(E53&gt;=$J$6,1,0)</f>
        <v>0</v>
      </c>
      <c r="G53" s="38" t="n">
        <f aca="false">C53*LN(MAX(E53,0.000000000001))+(1-C53)*LN(MAX(1-E53,0.000000000001))</f>
        <v>-1.51768902428805E-006</v>
      </c>
    </row>
    <row r="54" customFormat="false" ht="15" hidden="false" customHeight="false" outlineLevel="0" collapsed="false">
      <c r="A54" s="42" t="n">
        <f aca="false">Regression_Excel!A94</f>
        <v>43928</v>
      </c>
      <c r="B54" s="15" t="n">
        <f aca="false">Regression_Excel!E94</f>
        <v>42</v>
      </c>
      <c r="C54" s="15" t="n">
        <f aca="false">IF(Regression_Excel!B94&gt;=$J$5,1,0)</f>
        <v>0</v>
      </c>
      <c r="D54" s="38" t="n">
        <f aca="false">$J$7+$J$8*B54</f>
        <v>-12.872897</v>
      </c>
      <c r="E54" s="38" t="n">
        <f aca="false">1/(1+EXP(-D54))</f>
        <v>2.56667424115555E-006</v>
      </c>
      <c r="F54" s="15" t="n">
        <f aca="false">IF(E54&gt;=$J$6,1,0)</f>
        <v>0</v>
      </c>
      <c r="G54" s="38" t="n">
        <f aca="false">C54*LN(MAX(E54,0.000000000001))+(1-C54)*LN(MAX(1-E54,0.000000000001))</f>
        <v>-2.56667753505851E-006</v>
      </c>
    </row>
    <row r="55" customFormat="false" ht="15" hidden="false" customHeight="false" outlineLevel="0" collapsed="false">
      <c r="A55" s="42" t="n">
        <f aca="false">Regression_Excel!A95</f>
        <v>43929</v>
      </c>
      <c r="B55" s="15" t="n">
        <f aca="false">Regression_Excel!E95</f>
        <v>43</v>
      </c>
      <c r="C55" s="15" t="n">
        <f aca="false">IF(Regression_Excel!B95&gt;=$J$5,1,0)</f>
        <v>0</v>
      </c>
      <c r="D55" s="38" t="n">
        <f aca="false">$J$7+$J$8*B55</f>
        <v>-12.347473</v>
      </c>
      <c r="E55" s="38" t="n">
        <f aca="false">1/(1+EXP(-D55))</f>
        <v>4.3406895468964E-006</v>
      </c>
      <c r="F55" s="15" t="n">
        <f aca="false">IF(E55&gt;=$J$6,1,0)</f>
        <v>0</v>
      </c>
      <c r="G55" s="38" t="n">
        <f aca="false">C55*LN(MAX(E55,0.000000000001))+(1-C55)*LN(MAX(1-E55,0.000000000001))</f>
        <v>-4.34069896773127E-006</v>
      </c>
    </row>
    <row r="56" customFormat="false" ht="15" hidden="false" customHeight="false" outlineLevel="0" collapsed="false">
      <c r="A56" s="42" t="n">
        <f aca="false">Regression_Excel!A96</f>
        <v>43930</v>
      </c>
      <c r="B56" s="15" t="n">
        <f aca="false">Regression_Excel!E96</f>
        <v>44</v>
      </c>
      <c r="C56" s="15" t="n">
        <f aca="false">IF(Regression_Excel!B96&gt;=$J$5,1,0)</f>
        <v>0</v>
      </c>
      <c r="D56" s="38" t="n">
        <f aca="false">$J$7+$J$8*B56</f>
        <v>-11.822049</v>
      </c>
      <c r="E56" s="38" t="n">
        <f aca="false">1/(1+EXP(-D56))</f>
        <v>7.34084689742005E-006</v>
      </c>
      <c r="F56" s="15" t="n">
        <f aca="false">IF(E56&gt;=$J$6,1,0)</f>
        <v>0</v>
      </c>
      <c r="G56" s="38" t="n">
        <f aca="false">C56*LN(MAX(E56,0.000000000001))+(1-C56)*LN(MAX(1-E56,0.000000000001))</f>
        <v>-7.34087384161184E-006</v>
      </c>
    </row>
    <row r="57" customFormat="false" ht="15" hidden="false" customHeight="false" outlineLevel="0" collapsed="false">
      <c r="A57" s="42" t="n">
        <f aca="false">Regression_Excel!A97</f>
        <v>43931</v>
      </c>
      <c r="B57" s="15" t="n">
        <f aca="false">Regression_Excel!E97</f>
        <v>45</v>
      </c>
      <c r="C57" s="15" t="n">
        <f aca="false">IF(Regression_Excel!B97&gt;=$J$5,1,0)</f>
        <v>0</v>
      </c>
      <c r="D57" s="38" t="n">
        <f aca="false">$J$7+$J$8*B57</f>
        <v>-11.296625</v>
      </c>
      <c r="E57" s="38" t="n">
        <f aca="false">1/(1+EXP(-D57))</f>
        <v>1.24145993039957E-005</v>
      </c>
      <c r="F57" s="15" t="n">
        <f aca="false">IF(E57&gt;=$J$6,1,0)</f>
        <v>0</v>
      </c>
      <c r="G57" s="38" t="n">
        <f aca="false">C57*LN(MAX(E57,0.000000000001))+(1-C57)*LN(MAX(1-E57,0.000000000001))</f>
        <v>-1.24146763657872E-005</v>
      </c>
    </row>
    <row r="58" customFormat="false" ht="15" hidden="false" customHeight="false" outlineLevel="0" collapsed="false">
      <c r="A58" s="42" t="n">
        <f aca="false">Regression_Excel!A98</f>
        <v>43932</v>
      </c>
      <c r="B58" s="15" t="n">
        <f aca="false">Regression_Excel!E98</f>
        <v>46</v>
      </c>
      <c r="C58" s="15" t="n">
        <f aca="false">IF(Regression_Excel!B98&gt;=$J$5,1,0)</f>
        <v>0</v>
      </c>
      <c r="D58" s="38" t="n">
        <f aca="false">$J$7+$J$8*B58</f>
        <v>-10.771201</v>
      </c>
      <c r="E58" s="38" t="n">
        <f aca="false">1/(1+EXP(-D58))</f>
        <v>2.09950891978358E-005</v>
      </c>
      <c r="F58" s="15" t="n">
        <f aca="false">IF(E58&gt;=$J$6,1,0)</f>
        <v>0</v>
      </c>
      <c r="G58" s="38" t="n">
        <f aca="false">C58*LN(MAX(E58,0.000000000001))+(1-C58)*LN(MAX(1-E58,0.000000000001))</f>
        <v>-2.09953095978095E-005</v>
      </c>
    </row>
    <row r="59" customFormat="false" ht="15" hidden="false" customHeight="false" outlineLevel="0" collapsed="false">
      <c r="A59" s="42" t="n">
        <f aca="false">Regression_Excel!A99</f>
        <v>43933</v>
      </c>
      <c r="B59" s="15" t="n">
        <f aca="false">Regression_Excel!E99</f>
        <v>47</v>
      </c>
      <c r="C59" s="15" t="n">
        <f aca="false">IF(Regression_Excel!B99&gt;=$J$5,1,0)</f>
        <v>0</v>
      </c>
      <c r="D59" s="38" t="n">
        <f aca="false">$J$7+$J$8*B59</f>
        <v>-10.245777</v>
      </c>
      <c r="E59" s="38" t="n">
        <f aca="false">1/(1+EXP(-D59))</f>
        <v>3.55058705872119E-005</v>
      </c>
      <c r="F59" s="15" t="n">
        <f aca="false">IF(E59&gt;=$J$6,1,0)</f>
        <v>0</v>
      </c>
      <c r="G59" s="38" t="n">
        <f aca="false">C59*LN(MAX(E59,0.000000000001))+(1-C59)*LN(MAX(1-E59,0.000000000001))</f>
        <v>-3.55065009355485E-005</v>
      </c>
    </row>
    <row r="60" customFormat="false" ht="15" hidden="false" customHeight="false" outlineLevel="0" collapsed="false">
      <c r="A60" s="42" t="n">
        <f aca="false">Regression_Excel!A100</f>
        <v>43934</v>
      </c>
      <c r="B60" s="15" t="n">
        <f aca="false">Regression_Excel!E100</f>
        <v>48</v>
      </c>
      <c r="C60" s="15" t="n">
        <f aca="false">IF(Regression_Excel!B100&gt;=$J$5,1,0)</f>
        <v>0</v>
      </c>
      <c r="D60" s="38" t="n">
        <f aca="false">$J$7+$J$8*B60</f>
        <v>-9.720353</v>
      </c>
      <c r="E60" s="38" t="n">
        <f aca="false">1/(1+EXP(-D60))</f>
        <v>6.00451939369508E-005</v>
      </c>
      <c r="F60" s="15" t="n">
        <f aca="false">IF(E60&gt;=$J$6,1,0)</f>
        <v>0</v>
      </c>
      <c r="G60" s="38" t="n">
        <f aca="false">C60*LN(MAX(E60,0.000000000001))+(1-C60)*LN(MAX(1-E60,0.000000000001))</f>
        <v>-6.00469967218097E-005</v>
      </c>
    </row>
    <row r="61" customFormat="false" ht="15" hidden="false" customHeight="false" outlineLevel="0" collapsed="false">
      <c r="A61" s="42" t="n">
        <f aca="false">Regression_Excel!A101</f>
        <v>43935</v>
      </c>
      <c r="B61" s="15" t="n">
        <f aca="false">Regression_Excel!E101</f>
        <v>49</v>
      </c>
      <c r="C61" s="15" t="n">
        <f aca="false">IF(Regression_Excel!B101&gt;=$J$5,1,0)</f>
        <v>0</v>
      </c>
      <c r="D61" s="38" t="n">
        <f aca="false">$J$7+$J$8*B61</f>
        <v>-9.194929</v>
      </c>
      <c r="E61" s="38" t="n">
        <f aca="false">1/(1+EXP(-D61))</f>
        <v>0.000101542761979098</v>
      </c>
      <c r="F61" s="15" t="n">
        <f aca="false">IF(E61&gt;=$J$6,1,0)</f>
        <v>0</v>
      </c>
      <c r="G61" s="38" t="n">
        <f aca="false">C61*LN(MAX(E61,0.000000000001))+(1-C61)*LN(MAX(1-E61,0.000000000001))</f>
        <v>-0.000101547917794327</v>
      </c>
    </row>
    <row r="62" customFormat="false" ht="15" hidden="false" customHeight="false" outlineLevel="0" collapsed="false">
      <c r="A62" s="42" t="n">
        <f aca="false">Regression_Excel!A102</f>
        <v>43936</v>
      </c>
      <c r="B62" s="15" t="n">
        <f aca="false">Regression_Excel!E102</f>
        <v>50</v>
      </c>
      <c r="C62" s="15" t="n">
        <f aca="false">IF(Regression_Excel!B102&gt;=$J$5,1,0)</f>
        <v>0</v>
      </c>
      <c r="D62" s="38" t="n">
        <f aca="false">$J$7+$J$8*B62</f>
        <v>-8.669505</v>
      </c>
      <c r="E62" s="38" t="n">
        <f aca="false">1/(1+EXP(-D62))</f>
        <v>0.00017171460554519</v>
      </c>
      <c r="F62" s="15" t="n">
        <f aca="false">IF(E62&gt;=$J$6,1,0)</f>
        <v>0</v>
      </c>
      <c r="G62" s="38" t="n">
        <f aca="false">C62*LN(MAX(E62,0.000000000001))+(1-C62)*LN(MAX(1-E62,0.000000000001))</f>
        <v>-0.000171729350186031</v>
      </c>
    </row>
    <row r="63" customFormat="false" ht="15" hidden="false" customHeight="false" outlineLevel="0" collapsed="false">
      <c r="A63" s="42" t="n">
        <f aca="false">Regression_Excel!A103</f>
        <v>43937</v>
      </c>
      <c r="B63" s="15" t="n">
        <f aca="false">Regression_Excel!E103</f>
        <v>51</v>
      </c>
      <c r="C63" s="15" t="n">
        <f aca="false">IF(Regression_Excel!B103&gt;=$J$5,1,0)</f>
        <v>0</v>
      </c>
      <c r="D63" s="38" t="n">
        <f aca="false">$J$7+$J$8*B63</f>
        <v>-8.144081</v>
      </c>
      <c r="E63" s="38" t="n">
        <f aca="false">1/(1+EXP(-D63))</f>
        <v>0.000290365115685314</v>
      </c>
      <c r="F63" s="15" t="n">
        <f aca="false">IF(E63&gt;=$J$6,1,0)</f>
        <v>0</v>
      </c>
      <c r="G63" s="38" t="n">
        <f aca="false">C63*LN(MAX(E63,0.000000000001))+(1-C63)*LN(MAX(1-E63,0.000000000001))</f>
        <v>-0.000290407279797757</v>
      </c>
    </row>
    <row r="64" customFormat="false" ht="15" hidden="false" customHeight="false" outlineLevel="0" collapsed="false">
      <c r="A64" s="42" t="n">
        <f aca="false">Regression_Excel!A104</f>
        <v>43938</v>
      </c>
      <c r="B64" s="15" t="n">
        <f aca="false">Regression_Excel!E104</f>
        <v>52</v>
      </c>
      <c r="C64" s="15" t="n">
        <f aca="false">IF(Regression_Excel!B104&gt;=$J$5,1,0)</f>
        <v>0</v>
      </c>
      <c r="D64" s="38" t="n">
        <f aca="false">$J$7+$J$8*B64</f>
        <v>-7.618657</v>
      </c>
      <c r="E64" s="38" t="n">
        <f aca="false">1/(1+EXP(-D64))</f>
        <v>0.000490959911338432</v>
      </c>
      <c r="F64" s="15" t="n">
        <f aca="false">IF(E64&gt;=$J$6,1,0)</f>
        <v>0</v>
      </c>
      <c r="G64" s="38" t="n">
        <f aca="false">C64*LN(MAX(E64,0.000000000001))+(1-C64)*LN(MAX(1-E64,0.000000000001))</f>
        <v>-0.000491080471617468</v>
      </c>
    </row>
    <row r="65" customFormat="false" ht="15" hidden="false" customHeight="false" outlineLevel="0" collapsed="false">
      <c r="A65" s="42" t="n">
        <f aca="false">Regression_Excel!A105</f>
        <v>43939</v>
      </c>
      <c r="B65" s="15" t="n">
        <f aca="false">Regression_Excel!E105</f>
        <v>53</v>
      </c>
      <c r="C65" s="15" t="n">
        <f aca="false">IF(Regression_Excel!B105&gt;=$J$5,1,0)</f>
        <v>0</v>
      </c>
      <c r="D65" s="38" t="n">
        <f aca="false">$J$7+$J$8*B65</f>
        <v>-7.093233</v>
      </c>
      <c r="E65" s="38" t="n">
        <f aca="false">1/(1+EXP(-D65))</f>
        <v>0.000830017840773916</v>
      </c>
      <c r="F65" s="15" t="n">
        <f aca="false">IF(E65&gt;=$J$6,1,0)</f>
        <v>0</v>
      </c>
      <c r="G65" s="38" t="n">
        <f aca="false">C65*LN(MAX(E65,0.000000000001))+(1-C65)*LN(MAX(1-E65,0.000000000001))</f>
        <v>-0.000830362496308661</v>
      </c>
    </row>
    <row r="66" customFormat="false" ht="15" hidden="false" customHeight="false" outlineLevel="0" collapsed="false">
      <c r="A66" s="42" t="n">
        <f aca="false">Regression_Excel!A106</f>
        <v>43940</v>
      </c>
      <c r="B66" s="15" t="n">
        <f aca="false">Regression_Excel!E106</f>
        <v>54</v>
      </c>
      <c r="C66" s="15" t="n">
        <f aca="false">IF(Regression_Excel!B106&gt;=$J$5,1,0)</f>
        <v>0</v>
      </c>
      <c r="D66" s="38" t="n">
        <f aca="false">$J$7+$J$8*B66</f>
        <v>-6.567809</v>
      </c>
      <c r="E66" s="38" t="n">
        <f aca="false">1/(1+EXP(-D66))</f>
        <v>0.00140290122056804</v>
      </c>
      <c r="F66" s="15" t="n">
        <f aca="false">IF(E66&gt;=$J$6,1,0)</f>
        <v>0</v>
      </c>
      <c r="G66" s="38" t="n">
        <f aca="false">C66*LN(MAX(E66,0.000000000001))+(1-C66)*LN(MAX(1-E66,0.000000000001))</f>
        <v>-0.00140388620781974</v>
      </c>
    </row>
    <row r="67" customFormat="false" ht="15" hidden="false" customHeight="false" outlineLevel="0" collapsed="false">
      <c r="A67" s="42" t="n">
        <f aca="false">Regression_Excel!A107</f>
        <v>43941</v>
      </c>
      <c r="B67" s="15" t="n">
        <f aca="false">Regression_Excel!E107</f>
        <v>55</v>
      </c>
      <c r="C67" s="15" t="n">
        <f aca="false">IF(Regression_Excel!B107&gt;=$J$5,1,0)</f>
        <v>0</v>
      </c>
      <c r="D67" s="38" t="n">
        <f aca="false">$J$7+$J$8*B67</f>
        <v>-6.042385</v>
      </c>
      <c r="E67" s="38" t="n">
        <f aca="false">1/(1+EXP(-D67))</f>
        <v>0.00237025421064943</v>
      </c>
      <c r="F67" s="15" t="n">
        <f aca="false">IF(E67&gt;=$J$6,1,0)</f>
        <v>0</v>
      </c>
      <c r="G67" s="38" t="n">
        <f aca="false">C67*LN(MAX(E67,0.000000000001))+(1-C67)*LN(MAX(1-E67,0.000000000001))</f>
        <v>-0.00237306770984575</v>
      </c>
    </row>
    <row r="68" customFormat="false" ht="15" hidden="false" customHeight="false" outlineLevel="0" collapsed="false">
      <c r="A68" s="42" t="n">
        <f aca="false">Regression_Excel!A108</f>
        <v>43942</v>
      </c>
      <c r="B68" s="15" t="n">
        <f aca="false">Regression_Excel!E108</f>
        <v>56</v>
      </c>
      <c r="C68" s="15" t="n">
        <f aca="false">IF(Regression_Excel!B108&gt;=$J$5,1,0)</f>
        <v>0</v>
      </c>
      <c r="D68" s="38" t="n">
        <f aca="false">$J$7+$J$8*B68</f>
        <v>-5.516961</v>
      </c>
      <c r="E68" s="38" t="n">
        <f aca="false">1/(1+EXP(-D68))</f>
        <v>0.0040019601937252</v>
      </c>
      <c r="F68" s="15" t="n">
        <f aca="false">IF(E68&gt;=$J$6,1,0)</f>
        <v>0</v>
      </c>
      <c r="G68" s="38" t="n">
        <f aca="false">C68*LN(MAX(E68,0.000000000001))+(1-C68)*LN(MAX(1-E68,0.000000000001))</f>
        <v>-0.00400998946546465</v>
      </c>
    </row>
    <row r="69" customFormat="false" ht="15" hidden="false" customHeight="false" outlineLevel="0" collapsed="false">
      <c r="A69" s="42" t="n">
        <f aca="false">Regression_Excel!A109</f>
        <v>43943</v>
      </c>
      <c r="B69" s="15" t="n">
        <f aca="false">Regression_Excel!E109</f>
        <v>57</v>
      </c>
      <c r="C69" s="15" t="n">
        <f aca="false">IF(Regression_Excel!B109&gt;=$J$5,1,0)</f>
        <v>0</v>
      </c>
      <c r="D69" s="38" t="n">
        <f aca="false">$J$7+$J$8*B69</f>
        <v>-4.991537</v>
      </c>
      <c r="E69" s="38" t="n">
        <f aca="false">1/(1+EXP(-D69))</f>
        <v>0.00674934896198731</v>
      </c>
      <c r="F69" s="15" t="n">
        <f aca="false">IF(E69&gt;=$J$6,1,0)</f>
        <v>0</v>
      </c>
      <c r="G69" s="38" t="n">
        <f aca="false">C69*LN(MAX(E69,0.000000000001))+(1-C69)*LN(MAX(1-E69,0.000000000001))</f>
        <v>-0.00677222882525977</v>
      </c>
    </row>
    <row r="70" customFormat="false" ht="15" hidden="false" customHeight="false" outlineLevel="0" collapsed="false">
      <c r="A70" s="42" t="n">
        <f aca="false">Regression_Excel!A110</f>
        <v>43944</v>
      </c>
      <c r="B70" s="15" t="n">
        <f aca="false">Regression_Excel!E110</f>
        <v>58</v>
      </c>
      <c r="C70" s="15" t="n">
        <f aca="false">IF(Regression_Excel!B110&gt;=$J$5,1,0)</f>
        <v>0</v>
      </c>
      <c r="D70" s="38" t="n">
        <f aca="false">$J$7+$J$8*B70</f>
        <v>-4.466113</v>
      </c>
      <c r="E70" s="38" t="n">
        <f aca="false">1/(1+EXP(-D70))</f>
        <v>0.0113613348537326</v>
      </c>
      <c r="F70" s="15" t="n">
        <f aca="false">IF(E70&gt;=$J$6,1,0)</f>
        <v>0</v>
      </c>
      <c r="G70" s="38" t="n">
        <f aca="false">C70*LN(MAX(E70,0.000000000001))+(1-C70)*LN(MAX(1-E70,0.000000000001))</f>
        <v>-0.0114263678622919</v>
      </c>
    </row>
    <row r="71" customFormat="false" ht="15" hidden="false" customHeight="false" outlineLevel="0" collapsed="false">
      <c r="A71" s="42" t="n">
        <f aca="false">Regression_Excel!A111</f>
        <v>43945</v>
      </c>
      <c r="B71" s="15" t="n">
        <f aca="false">Regression_Excel!E111</f>
        <v>59</v>
      </c>
      <c r="C71" s="15" t="n">
        <f aca="false">IF(Regression_Excel!B111&gt;=$J$5,1,0)</f>
        <v>0</v>
      </c>
      <c r="D71" s="38" t="n">
        <f aca="false">$J$7+$J$8*B71</f>
        <v>-3.940689</v>
      </c>
      <c r="E71" s="38" t="n">
        <f aca="false">1/(1+EXP(-D71))</f>
        <v>0.0190643081520031</v>
      </c>
      <c r="F71" s="15" t="n">
        <f aca="false">IF(E71&gt;=$J$6,1,0)</f>
        <v>0</v>
      </c>
      <c r="G71" s="38" t="n">
        <f aca="false">C71*LN(MAX(E71,0.000000000001))+(1-C71)*LN(MAX(1-E71,0.000000000001))</f>
        <v>-0.0192483752372765</v>
      </c>
    </row>
    <row r="72" customFormat="false" ht="15" hidden="false" customHeight="false" outlineLevel="0" collapsed="false">
      <c r="A72" s="42" t="n">
        <f aca="false">Regression_Excel!A112</f>
        <v>43946</v>
      </c>
      <c r="B72" s="15" t="n">
        <f aca="false">Regression_Excel!E112</f>
        <v>60</v>
      </c>
      <c r="C72" s="15" t="n">
        <f aca="false">IF(Regression_Excel!B112&gt;=$J$5,1,0)</f>
        <v>0</v>
      </c>
      <c r="D72" s="38" t="n">
        <f aca="false">$J$7+$J$8*B72</f>
        <v>-3.415265</v>
      </c>
      <c r="E72" s="38" t="n">
        <f aca="false">1/(1+EXP(-D72))</f>
        <v>0.0318217868055796</v>
      </c>
      <c r="F72" s="15" t="n">
        <f aca="false">IF(E72&gt;=$J$6,1,0)</f>
        <v>0</v>
      </c>
      <c r="G72" s="38" t="n">
        <f aca="false">C72*LN(MAX(E72,0.000000000001))+(1-C72)*LN(MAX(1-E72,0.000000000001))</f>
        <v>-0.0323391041110306</v>
      </c>
    </row>
    <row r="73" customFormat="false" ht="15" hidden="false" customHeight="false" outlineLevel="0" collapsed="false">
      <c r="A73" s="42" t="n">
        <f aca="false">Regression_Excel!A113</f>
        <v>43947</v>
      </c>
      <c r="B73" s="15" t="n">
        <f aca="false">Regression_Excel!E113</f>
        <v>61</v>
      </c>
      <c r="C73" s="15" t="n">
        <f aca="false">IF(Regression_Excel!B113&gt;=$J$5,1,0)</f>
        <v>0</v>
      </c>
      <c r="D73" s="38" t="n">
        <f aca="false">$J$7+$J$8*B73</f>
        <v>-2.889841</v>
      </c>
      <c r="E73" s="38" t="n">
        <f aca="false">1/(1+EXP(-D73))</f>
        <v>0.0526580496146907</v>
      </c>
      <c r="F73" s="15" t="n">
        <f aca="false">IF(E73&gt;=$J$6,1,0)</f>
        <v>0</v>
      </c>
      <c r="G73" s="38" t="n">
        <f aca="false">C73*LN(MAX(E73,0.000000000001))+(1-C73)*LN(MAX(1-E73,0.000000000001))</f>
        <v>-0.0540951629205913</v>
      </c>
    </row>
    <row r="74" customFormat="false" ht="15" hidden="false" customHeight="false" outlineLevel="0" collapsed="false">
      <c r="A74" s="42" t="n">
        <f aca="false">Regression_Excel!A114</f>
        <v>43948</v>
      </c>
      <c r="B74" s="15" t="n">
        <f aca="false">Regression_Excel!E114</f>
        <v>62</v>
      </c>
      <c r="C74" s="15" t="n">
        <f aca="false">IF(Regression_Excel!B114&gt;=$J$5,1,0)</f>
        <v>0</v>
      </c>
      <c r="D74" s="38" t="n">
        <f aca="false">$J$7+$J$8*B74</f>
        <v>-2.364417</v>
      </c>
      <c r="E74" s="38" t="n">
        <f aca="false">1/(1+EXP(-D74))</f>
        <v>0.0859266338617674</v>
      </c>
      <c r="F74" s="15" t="n">
        <f aca="false">IF(E74&gt;=$J$6,1,0)</f>
        <v>0</v>
      </c>
      <c r="G74" s="38" t="n">
        <f aca="false">C74*LN(MAX(E74,0.000000000001))+(1-C74)*LN(MAX(1-E74,0.000000000001))</f>
        <v>-0.0898444414515472</v>
      </c>
    </row>
    <row r="75" customFormat="false" ht="15" hidden="false" customHeight="false" outlineLevel="0" collapsed="false">
      <c r="A75" s="42" t="n">
        <f aca="false">Regression_Excel!A115</f>
        <v>43949</v>
      </c>
      <c r="B75" s="15" t="n">
        <f aca="false">Regression_Excel!E115</f>
        <v>63</v>
      </c>
      <c r="C75" s="15" t="n">
        <f aca="false">IF(Regression_Excel!B115&gt;=$J$5,1,0)</f>
        <v>0</v>
      </c>
      <c r="D75" s="38" t="n">
        <f aca="false">$J$7+$J$8*B75</f>
        <v>-1.838993</v>
      </c>
      <c r="E75" s="38" t="n">
        <f aca="false">1/(1+EXP(-D75))</f>
        <v>0.137170432223093</v>
      </c>
      <c r="F75" s="15" t="n">
        <f aca="false">IF(E75&gt;=$J$6,1,0)</f>
        <v>0</v>
      </c>
      <c r="G75" s="38" t="n">
        <f aca="false">C75*LN(MAX(E75,0.000000000001))+(1-C75)*LN(MAX(1-E75,0.000000000001))</f>
        <v>-0.147538095493699</v>
      </c>
    </row>
    <row r="76" customFormat="false" ht="15" hidden="false" customHeight="false" outlineLevel="0" collapsed="false">
      <c r="A76" s="42" t="n">
        <f aca="false">Regression_Excel!A116</f>
        <v>43950</v>
      </c>
      <c r="B76" s="15" t="n">
        <f aca="false">Regression_Excel!E116</f>
        <v>64</v>
      </c>
      <c r="C76" s="15" t="n">
        <f aca="false">IF(Regression_Excel!B116&gt;=$J$5,1,0)</f>
        <v>0</v>
      </c>
      <c r="D76" s="38" t="n">
        <f aca="false">$J$7+$J$8*B76</f>
        <v>-1.313569</v>
      </c>
      <c r="E76" s="38" t="n">
        <f aca="false">1/(1+EXP(-D76))</f>
        <v>0.211890234112945</v>
      </c>
      <c r="F76" s="15" t="n">
        <f aca="false">IF(E76&gt;=$J$6,1,0)</f>
        <v>0</v>
      </c>
      <c r="G76" s="38" t="n">
        <f aca="false">C76*LN(MAX(E76,0.000000000001))+(1-C76)*LN(MAX(1-E76,0.000000000001))</f>
        <v>-0.238117902014174</v>
      </c>
    </row>
    <row r="77" customFormat="false" ht="15" hidden="false" customHeight="false" outlineLevel="0" collapsed="false">
      <c r="A77" s="42" t="n">
        <f aca="false">Regression_Excel!A117</f>
        <v>43951</v>
      </c>
      <c r="B77" s="15" t="n">
        <f aca="false">Regression_Excel!E117</f>
        <v>65</v>
      </c>
      <c r="C77" s="15" t="n">
        <f aca="false">IF(Regression_Excel!B117&gt;=$J$5,1,0)</f>
        <v>0</v>
      </c>
      <c r="D77" s="38" t="n">
        <f aca="false">$J$7+$J$8*B77</f>
        <v>-0.788145</v>
      </c>
      <c r="E77" s="38" t="n">
        <f aca="false">1/(1+EXP(-D77))</f>
        <v>0.312567112602087</v>
      </c>
      <c r="F77" s="15" t="n">
        <f aca="false">IF(E77&gt;=$J$6,1,0)</f>
        <v>0</v>
      </c>
      <c r="G77" s="38" t="n">
        <f aca="false">C77*LN(MAX(E77,0.000000000001))+(1-C77)*LN(MAX(1-E77,0.000000000001))</f>
        <v>-0.374791072536699</v>
      </c>
    </row>
    <row r="78" customFormat="false" ht="15" hidden="false" customHeight="false" outlineLevel="0" collapsed="false">
      <c r="A78" s="42" t="n">
        <f aca="false">Regression_Excel!A118</f>
        <v>43952</v>
      </c>
      <c r="B78" s="15" t="n">
        <f aca="false">Regression_Excel!E118</f>
        <v>66</v>
      </c>
      <c r="C78" s="15" t="n">
        <f aca="false">IF(Regression_Excel!B118&gt;=$J$5,1,0)</f>
        <v>1</v>
      </c>
      <c r="D78" s="38" t="n">
        <f aca="false">$J$7+$J$8*B78</f>
        <v>-0.262720999999999</v>
      </c>
      <c r="E78" s="38" t="n">
        <f aca="false">1/(1+EXP(-D78))</f>
        <v>0.434694944159142</v>
      </c>
      <c r="F78" s="15" t="n">
        <f aca="false">IF(E78&gt;=$J$6,1,0)</f>
        <v>0</v>
      </c>
      <c r="G78" s="38" t="n">
        <f aca="false">C78*LN(MAX(E78,0.000000000001))+(1-C78)*LN(MAX(1-E78,0.000000000001))</f>
        <v>-0.833110771698823</v>
      </c>
    </row>
    <row r="79" customFormat="false" ht="15" hidden="false" customHeight="false" outlineLevel="0" collapsed="false">
      <c r="A79" s="42" t="n">
        <f aca="false">Regression_Excel!A119</f>
        <v>43953</v>
      </c>
      <c r="B79" s="15" t="n">
        <f aca="false">Regression_Excel!E119</f>
        <v>67</v>
      </c>
      <c r="C79" s="15" t="n">
        <f aca="false">IF(Regression_Excel!B119&gt;=$J$5,1,0)</f>
        <v>1</v>
      </c>
      <c r="D79" s="38" t="n">
        <f aca="false">$J$7+$J$8*B79</f>
        <v>0.262703000000002</v>
      </c>
      <c r="E79" s="38" t="n">
        <f aca="false">1/(1+EXP(-D79))</f>
        <v>0.565300632601165</v>
      </c>
      <c r="F79" s="15" t="n">
        <f aca="false">IF(E79&gt;=$J$6,1,0)</f>
        <v>1</v>
      </c>
      <c r="G79" s="38" t="n">
        <f aca="false">C79*LN(MAX(E79,0.000000000001))+(1-C79)*LN(MAX(1-E79,0.000000000001))</f>
        <v>-0.570397596247626</v>
      </c>
    </row>
    <row r="80" customFormat="false" ht="15" hidden="false" customHeight="false" outlineLevel="0" collapsed="false">
      <c r="A80" s="42" t="n">
        <f aca="false">Regression_Excel!A120</f>
        <v>43954</v>
      </c>
      <c r="B80" s="15" t="n">
        <f aca="false">Regression_Excel!E120</f>
        <v>68</v>
      </c>
      <c r="C80" s="15" t="n">
        <f aca="false">IF(Regression_Excel!B120&gt;=$J$5,1,0)</f>
        <v>1</v>
      </c>
      <c r="D80" s="38" t="n">
        <f aca="false">$J$7+$J$8*B80</f>
        <v>0.788126999999996</v>
      </c>
      <c r="E80" s="38" t="n">
        <f aca="false">1/(1+EXP(-D80))</f>
        <v>0.687429019744434</v>
      </c>
      <c r="F80" s="15" t="n">
        <f aca="false">IF(E80&gt;=$J$6,1,0)</f>
        <v>1</v>
      </c>
      <c r="G80" s="38" t="n">
        <f aca="false">C80*LN(MAX(E80,0.000000000001))+(1-C80)*LN(MAX(1-E80,0.000000000001))</f>
        <v>-0.374796698779536</v>
      </c>
    </row>
    <row r="81" customFormat="false" ht="15" hidden="false" customHeight="false" outlineLevel="0" collapsed="false">
      <c r="A81" s="42" t="n">
        <f aca="false">Regression_Excel!A121</f>
        <v>43955</v>
      </c>
      <c r="B81" s="15" t="n">
        <f aca="false">Regression_Excel!E121</f>
        <v>69</v>
      </c>
      <c r="C81" s="15" t="n">
        <f aca="false">IF(Regression_Excel!B121&gt;=$J$5,1,0)</f>
        <v>1</v>
      </c>
      <c r="D81" s="38" t="n">
        <f aca="false">$J$7+$J$8*B81</f>
        <v>1.313551</v>
      </c>
      <c r="E81" s="38" t="n">
        <f aca="false">1/(1+EXP(-D81))</f>
        <v>0.788106760001735</v>
      </c>
      <c r="F81" s="15" t="n">
        <f aca="false">IF(E81&gt;=$J$6,1,0)</f>
        <v>1</v>
      </c>
      <c r="G81" s="38" t="n">
        <f aca="false">C81*LN(MAX(E81,0.000000000001))+(1-C81)*LN(MAX(1-E81,0.000000000001))</f>
        <v>-0.238121716065442</v>
      </c>
    </row>
    <row r="82" customFormat="false" ht="15" hidden="false" customHeight="false" outlineLevel="0" collapsed="false">
      <c r="A82" s="42" t="n">
        <f aca="false">Regression_Excel!A122</f>
        <v>43956</v>
      </c>
      <c r="B82" s="15" t="n">
        <f aca="false">Regression_Excel!E122</f>
        <v>70</v>
      </c>
      <c r="C82" s="15" t="n">
        <f aca="false">IF(Regression_Excel!B122&gt;=$J$5,1,0)</f>
        <v>1</v>
      </c>
      <c r="D82" s="38" t="n">
        <f aca="false">$J$7+$J$8*B82</f>
        <v>1.838975</v>
      </c>
      <c r="E82" s="38" t="n">
        <f aca="false">1/(1+EXP(-D82))</f>
        <v>0.862827437378308</v>
      </c>
      <c r="F82" s="15" t="n">
        <f aca="false">IF(E82&gt;=$J$6,1,0)</f>
        <v>1</v>
      </c>
      <c r="G82" s="38" t="n">
        <f aca="false">C82*LN(MAX(E82,0.000000000001))+(1-C82)*LN(MAX(1-E82,0.000000000001))</f>
        <v>-0.147540564580653</v>
      </c>
    </row>
    <row r="83" customFormat="false" ht="15" hidden="false" customHeight="false" outlineLevel="0" collapsed="false">
      <c r="A83" s="42" t="n">
        <f aca="false">Regression_Excel!A123</f>
        <v>43957</v>
      </c>
      <c r="B83" s="15" t="n">
        <f aca="false">Regression_Excel!E123</f>
        <v>71</v>
      </c>
      <c r="C83" s="15" t="n">
        <f aca="false">IF(Regression_Excel!B123&gt;=$J$5,1,0)</f>
        <v>1</v>
      </c>
      <c r="D83" s="38" t="n">
        <f aca="false">$J$7+$J$8*B83</f>
        <v>2.364399</v>
      </c>
      <c r="E83" s="38" t="n">
        <f aca="false">1/(1+EXP(-D83))</f>
        <v>0.914071952349241</v>
      </c>
      <c r="F83" s="15" t="n">
        <f aca="false">IF(E83&gt;=$J$6,1,0)</f>
        <v>1</v>
      </c>
      <c r="G83" s="38" t="n">
        <f aca="false">C83*LN(MAX(E83,0.000000000001))+(1-C83)*LN(MAX(1-E83,0.000000000001))</f>
        <v>-0.0898459881436811</v>
      </c>
    </row>
    <row r="84" customFormat="false" ht="15" hidden="false" customHeight="false" outlineLevel="0" collapsed="false">
      <c r="A84" s="42" t="n">
        <f aca="false">Regression_Excel!A124</f>
        <v>43958</v>
      </c>
      <c r="B84" s="15" t="n">
        <f aca="false">Regression_Excel!E124</f>
        <v>72</v>
      </c>
      <c r="C84" s="15" t="n">
        <f aca="false">IF(Regression_Excel!B124&gt;=$J$5,1,0)</f>
        <v>0</v>
      </c>
      <c r="D84" s="38" t="n">
        <f aca="false">$J$7+$J$8*B84</f>
        <v>2.889823</v>
      </c>
      <c r="E84" s="38" t="n">
        <f aca="false">1/(1+EXP(-D84))</f>
        <v>0.947341052444849</v>
      </c>
      <c r="F84" s="15" t="n">
        <f aca="false">IF(E84&gt;=$J$6,1,0)</f>
        <v>1</v>
      </c>
      <c r="G84" s="38" t="n">
        <f aca="false">C84*LN(MAX(E84,0.000000000001))+(1-C84)*LN(MAX(1-E84,0.000000000001))</f>
        <v>-2.94391911077357</v>
      </c>
    </row>
    <row r="85" customFormat="false" ht="15" hidden="false" customHeight="false" outlineLevel="0" collapsed="false">
      <c r="A85" s="42" t="n">
        <f aca="false">Regression_Excel!A125</f>
        <v>43959</v>
      </c>
      <c r="B85" s="15" t="n">
        <f aca="false">Regression_Excel!E125</f>
        <v>73</v>
      </c>
      <c r="C85" s="15" t="n">
        <f aca="false">IF(Regression_Excel!B125&gt;=$J$5,1,0)</f>
        <v>1</v>
      </c>
      <c r="D85" s="38" t="n">
        <f aca="false">$J$7+$J$8*B85</f>
        <v>3.415247</v>
      </c>
      <c r="E85" s="38" t="n">
        <f aca="false">1/(1+EXP(-D85))</f>
        <v>0.968177658624854</v>
      </c>
      <c r="F85" s="15" t="n">
        <f aca="false">IF(E85&gt;=$J$6,1,0)</f>
        <v>1</v>
      </c>
      <c r="G85" s="38" t="n">
        <f aca="false">C85*LN(MAX(E85,0.000000000001))+(1-C85)*LN(MAX(1-E85,0.000000000001))</f>
        <v>-0.0323396769081843</v>
      </c>
    </row>
    <row r="86" customFormat="false" ht="15" hidden="false" customHeight="false" outlineLevel="0" collapsed="false">
      <c r="A86" s="42" t="n">
        <f aca="false">Regression_Excel!A126</f>
        <v>43960</v>
      </c>
      <c r="B86" s="15" t="n">
        <f aca="false">Regression_Excel!E126</f>
        <v>74</v>
      </c>
      <c r="C86" s="15" t="n">
        <f aca="false">IF(Regression_Excel!B126&gt;=$J$5,1,0)</f>
        <v>1</v>
      </c>
      <c r="D86" s="38" t="n">
        <f aca="false">$J$7+$J$8*B86</f>
        <v>3.940671</v>
      </c>
      <c r="E86" s="38" t="n">
        <f aca="false">1/(1+EXP(-D86))</f>
        <v>0.980935355229597</v>
      </c>
      <c r="F86" s="15" t="n">
        <f aca="false">IF(E86&gt;=$J$6,1,0)</f>
        <v>1</v>
      </c>
      <c r="G86" s="38" t="n">
        <f aca="false">C86*LN(MAX(E86,0.000000000001))+(1-C86)*LN(MAX(1-E86,0.000000000001))</f>
        <v>-0.0192487183978528</v>
      </c>
    </row>
    <row r="87" customFormat="false" ht="15" hidden="false" customHeight="false" outlineLevel="0" collapsed="false">
      <c r="A87" s="42" t="n">
        <f aca="false">Regression_Excel!A127</f>
        <v>43961</v>
      </c>
      <c r="B87" s="15" t="n">
        <f aca="false">Regression_Excel!E127</f>
        <v>75</v>
      </c>
      <c r="C87" s="15" t="n">
        <f aca="false">IF(Regression_Excel!B127&gt;=$J$5,1,0)</f>
        <v>1</v>
      </c>
      <c r="D87" s="38" t="n">
        <f aca="false">$J$7+$J$8*B87</f>
        <v>4.466095</v>
      </c>
      <c r="E87" s="38" t="n">
        <f aca="false">1/(1+EXP(-D87))</f>
        <v>0.9886384629639</v>
      </c>
      <c r="F87" s="15" t="n">
        <f aca="false">IF(E87&gt;=$J$6,1,0)</f>
        <v>1</v>
      </c>
      <c r="G87" s="38" t="n">
        <f aca="false">C87*LN(MAX(E87,0.000000000001))+(1-C87)*LN(MAX(1-E87,0.000000000001))</f>
        <v>-0.011426572368139</v>
      </c>
    </row>
    <row r="88" customFormat="false" ht="15" hidden="false" customHeight="false" outlineLevel="0" collapsed="false">
      <c r="A88" s="42" t="n">
        <f aca="false">Regression_Excel!A128</f>
        <v>43962</v>
      </c>
      <c r="B88" s="15" t="n">
        <f aca="false">Regression_Excel!E128</f>
        <v>76</v>
      </c>
      <c r="C88" s="15" t="n">
        <f aca="false">IF(Regression_Excel!B128&gt;=$J$5,1,0)</f>
        <v>1</v>
      </c>
      <c r="D88" s="38" t="n">
        <f aca="false">$J$7+$J$8*B88</f>
        <v>4.991519</v>
      </c>
      <c r="E88" s="38" t="n">
        <f aca="false">1/(1+EXP(-D88))</f>
        <v>0.993250530368627</v>
      </c>
      <c r="F88" s="15" t="n">
        <f aca="false">IF(E88&gt;=$J$6,1,0)</f>
        <v>1</v>
      </c>
      <c r="G88" s="38" t="n">
        <f aca="false">C88*LN(MAX(E88,0.000000000001))+(1-C88)*LN(MAX(1-E88,0.000000000001))</f>
        <v>-0.00677235031462705</v>
      </c>
    </row>
    <row r="89" customFormat="false" ht="15" hidden="false" customHeight="false" outlineLevel="0" collapsed="false">
      <c r="A89" s="42" t="n">
        <f aca="false">Regression_Excel!A129</f>
        <v>43963</v>
      </c>
      <c r="B89" s="15" t="n">
        <f aca="false">Regression_Excel!E129</f>
        <v>77</v>
      </c>
      <c r="C89" s="15" t="n">
        <f aca="false">IF(Regression_Excel!B129&gt;=$J$5,1,0)</f>
        <v>1</v>
      </c>
      <c r="D89" s="38" t="n">
        <f aca="false">$J$7+$J$8*B89</f>
        <v>5.516943</v>
      </c>
      <c r="E89" s="38" t="n">
        <f aca="false">1/(1+EXP(-D89))</f>
        <v>0.995997968058633</v>
      </c>
      <c r="F89" s="15" t="n">
        <f aca="false">IF(E89&gt;=$J$6,1,0)</f>
        <v>1</v>
      </c>
      <c r="G89" s="38" t="n">
        <f aca="false">C89*LN(MAX(E89,0.000000000001))+(1-C89)*LN(MAX(1-E89,0.000000000001))</f>
        <v>-0.00401006150139387</v>
      </c>
    </row>
    <row r="90" customFormat="false" ht="15" hidden="false" customHeight="false" outlineLevel="0" collapsed="false">
      <c r="A90" s="42" t="n">
        <f aca="false">Regression_Excel!A130</f>
        <v>43964</v>
      </c>
      <c r="B90" s="15" t="n">
        <f aca="false">Regression_Excel!E130</f>
        <v>78</v>
      </c>
      <c r="C90" s="15" t="n">
        <f aca="false">IF(Regression_Excel!B130&gt;=$J$5,1,0)</f>
        <v>1</v>
      </c>
      <c r="D90" s="38" t="n">
        <f aca="false">$J$7+$J$8*B90</f>
        <v>6.042367</v>
      </c>
      <c r="E90" s="38" t="n">
        <f aca="false">1/(1+EXP(-D90))</f>
        <v>0.99762970322552</v>
      </c>
      <c r="F90" s="15" t="n">
        <f aca="false">IF(E90&gt;=$J$6,1,0)</f>
        <v>1</v>
      </c>
      <c r="G90" s="38" t="n">
        <f aca="false">C90*LN(MAX(E90,0.000000000001))+(1-C90)*LN(MAX(1-E90,0.000000000001))</f>
        <v>-0.00237311037480458</v>
      </c>
    </row>
    <row r="91" customFormat="false" ht="15" hidden="false" customHeight="false" outlineLevel="0" collapsed="false">
      <c r="A91" s="42" t="n">
        <f aca="false">Regression_Excel!A131</f>
        <v>43965</v>
      </c>
      <c r="B91" s="15" t="n">
        <f aca="false">Regression_Excel!E131</f>
        <v>79</v>
      </c>
      <c r="C91" s="15" t="n">
        <f aca="false">IF(Regression_Excel!B131&gt;=$J$5,1,0)</f>
        <v>1</v>
      </c>
      <c r="D91" s="38" t="n">
        <f aca="false">$J$7+$J$8*B91</f>
        <v>6.567791</v>
      </c>
      <c r="E91" s="38" t="n">
        <f aca="false">1/(1+EXP(-D91))</f>
        <v>0.99859707356241</v>
      </c>
      <c r="F91" s="15" t="n">
        <f aca="false">IF(E91&gt;=$J$6,1,0)</f>
        <v>1</v>
      </c>
      <c r="G91" s="38" t="n">
        <f aca="false">C91*LN(MAX(E91,0.000000000001))+(1-C91)*LN(MAX(1-E91,0.000000000001))</f>
        <v>-0.00140391146026866</v>
      </c>
    </row>
    <row r="92" customFormat="false" ht="15" hidden="false" customHeight="false" outlineLevel="0" collapsed="false">
      <c r="A92" s="42" t="n">
        <f aca="false">Regression_Excel!A132</f>
        <v>43966</v>
      </c>
      <c r="B92" s="15" t="n">
        <f aca="false">Regression_Excel!E132</f>
        <v>80</v>
      </c>
      <c r="C92" s="15" t="n">
        <f aca="false">IF(Regression_Excel!B132&gt;=$J$5,1,0)</f>
        <v>1</v>
      </c>
      <c r="D92" s="38" t="n">
        <f aca="false">$J$7+$J$8*B92</f>
        <v>7.093215</v>
      </c>
      <c r="E92" s="38" t="n">
        <f aca="false">1/(1+EXP(-D92))</f>
        <v>0.999169967231172</v>
      </c>
      <c r="F92" s="15" t="n">
        <f aca="false">IF(E92&gt;=$J$6,1,0)</f>
        <v>1</v>
      </c>
      <c r="G92" s="38" t="n">
        <f aca="false">C92*LN(MAX(E92,0.000000000001))+(1-C92)*LN(MAX(1-E92,0.000000000001))</f>
        <v>-0.000830377436763965</v>
      </c>
    </row>
    <row r="93" customFormat="false" ht="15" hidden="false" customHeight="false" outlineLevel="0" collapsed="false">
      <c r="A93" s="42" t="n">
        <f aca="false">Regression_Excel!A133</f>
        <v>43967</v>
      </c>
      <c r="B93" s="15" t="n">
        <f aca="false">Regression_Excel!E133</f>
        <v>81</v>
      </c>
      <c r="C93" s="15" t="n">
        <f aca="false">IF(Regression_Excel!B133&gt;=$J$5,1,0)</f>
        <v>1</v>
      </c>
      <c r="D93" s="38" t="n">
        <f aca="false">$J$7+$J$8*B93</f>
        <v>7.618639</v>
      </c>
      <c r="E93" s="38" t="n">
        <f aca="false">1/(1+EXP(-D93))</f>
        <v>0.999509031255642</v>
      </c>
      <c r="F93" s="15" t="n">
        <f aca="false">IF(E93&gt;=$J$6,1,0)</f>
        <v>1</v>
      </c>
      <c r="G93" s="38" t="n">
        <f aca="false">C93*LN(MAX(E93,0.000000000001))+(1-C93)*LN(MAX(1-E93,0.000000000001))</f>
        <v>-0.000491089308975501</v>
      </c>
    </row>
    <row r="94" customFormat="false" ht="15" hidden="false" customHeight="false" outlineLevel="0" collapsed="false">
      <c r="A94" s="42" t="n">
        <f aca="false">Regression_Excel!A134</f>
        <v>43968</v>
      </c>
      <c r="B94" s="15" t="n">
        <f aca="false">Regression_Excel!E134</f>
        <v>82</v>
      </c>
      <c r="C94" s="15" t="n">
        <f aca="false">IF(Regression_Excel!B134&gt;=$J$5,1,0)</f>
        <v>1</v>
      </c>
      <c r="D94" s="38" t="n">
        <f aca="false">$J$7+$J$8*B94</f>
        <v>8.144063</v>
      </c>
      <c r="E94" s="38" t="n">
        <f aca="false">1/(1+EXP(-D94))</f>
        <v>0.999709629659213</v>
      </c>
      <c r="F94" s="15" t="n">
        <f aca="false">IF(E94&gt;=$J$6,1,0)</f>
        <v>1</v>
      </c>
      <c r="G94" s="38" t="n">
        <f aca="false">C94*LN(MAX(E94,0.000000000001))+(1-C94)*LN(MAX(1-E94,0.000000000001))</f>
        <v>-0.000290412506416751</v>
      </c>
    </row>
    <row r="95" customFormat="false" ht="15" hidden="false" customHeight="false" outlineLevel="0" collapsed="false">
      <c r="A95" s="42" t="n">
        <f aca="false">Regression_Excel!A135</f>
        <v>43969</v>
      </c>
      <c r="B95" s="15" t="n">
        <f aca="false">Regression_Excel!E135</f>
        <v>83</v>
      </c>
      <c r="C95" s="15" t="n">
        <f aca="false">IF(Regression_Excel!B135&gt;=$J$5,1,0)</f>
        <v>1</v>
      </c>
      <c r="D95" s="38" t="n">
        <f aca="false">$J$7+$J$8*B95</f>
        <v>8.669487</v>
      </c>
      <c r="E95" s="38" t="n">
        <f aca="false">1/(1+EXP(-D95))</f>
        <v>0.999828282304095</v>
      </c>
      <c r="F95" s="15" t="n">
        <f aca="false">IF(E95&gt;=$J$6,1,0)</f>
        <v>1</v>
      </c>
      <c r="G95" s="38" t="n">
        <f aca="false">C95*LN(MAX(E95,0.000000000001))+(1-C95)*LN(MAX(1-E95,0.000000000001))</f>
        <v>-0.000171732441076755</v>
      </c>
    </row>
    <row r="96" customFormat="false" ht="15" hidden="false" customHeight="false" outlineLevel="0" collapsed="false">
      <c r="A96" s="42" t="n">
        <f aca="false">Regression_Excel!A136</f>
        <v>43970</v>
      </c>
      <c r="B96" s="15" t="n">
        <f aca="false">Regression_Excel!E136</f>
        <v>84</v>
      </c>
      <c r="C96" s="15" t="n">
        <f aca="false">IF(Regression_Excel!B136&gt;=$J$5,1,0)</f>
        <v>1</v>
      </c>
      <c r="D96" s="38" t="n">
        <f aca="false">$J$7+$J$8*B96</f>
        <v>9.194911</v>
      </c>
      <c r="E96" s="38" t="n">
        <f aca="false">1/(1+EXP(-D96))</f>
        <v>0.99989845541042</v>
      </c>
      <c r="F96" s="15" t="n">
        <f aca="false">IF(E96&gt;=$J$6,1,0)</f>
        <v>1</v>
      </c>
      <c r="G96" s="38" t="n">
        <f aca="false">C96*LN(MAX(E96,0.000000000001))+(1-C96)*LN(MAX(1-E96,0.000000000001))</f>
        <v>-0.000101549745580554</v>
      </c>
    </row>
    <row r="97" customFormat="false" ht="15" hidden="false" customHeight="false" outlineLevel="0" collapsed="false">
      <c r="A97" s="42" t="n">
        <f aca="false">Regression_Excel!A137</f>
        <v>43971</v>
      </c>
      <c r="B97" s="15" t="n">
        <f aca="false">Regression_Excel!E137</f>
        <v>85</v>
      </c>
      <c r="C97" s="15" t="n">
        <f aca="false">IF(Regression_Excel!B137&gt;=$J$5,1,0)</f>
        <v>1</v>
      </c>
      <c r="D97" s="38" t="n">
        <f aca="false">$J$7+$J$8*B97</f>
        <v>9.720335</v>
      </c>
      <c r="E97" s="38" t="n">
        <f aca="false">1/(1+EXP(-D97))</f>
        <v>0.999939953725305</v>
      </c>
      <c r="F97" s="15" t="n">
        <f aca="false">IF(E97&gt;=$J$6,1,0)</f>
        <v>1</v>
      </c>
      <c r="G97" s="38" t="n">
        <f aca="false">C97*LN(MAX(E97,0.000000000001))+(1-C97)*LN(MAX(1-E97,0.000000000001))</f>
        <v>-6.00480775449692E-005</v>
      </c>
    </row>
    <row r="98" customFormat="false" ht="15" hidden="false" customHeight="false" outlineLevel="0" collapsed="false">
      <c r="A98" s="42" t="n">
        <f aca="false">Regression_Excel!A138</f>
        <v>43972</v>
      </c>
      <c r="B98" s="15" t="n">
        <f aca="false">Regression_Excel!E138</f>
        <v>86</v>
      </c>
      <c r="C98" s="15" t="n">
        <f aca="false">IF(Regression_Excel!B138&gt;=$J$5,1,0)</f>
        <v>1</v>
      </c>
      <c r="D98" s="38" t="n">
        <f aca="false">$J$7+$J$8*B98</f>
        <v>10.245759</v>
      </c>
      <c r="E98" s="38" t="n">
        <f aca="false">1/(1+EXP(-D98))</f>
        <v>0.999964493490324</v>
      </c>
      <c r="F98" s="15" t="n">
        <f aca="false">IF(E98&gt;=$J$6,1,0)</f>
        <v>1</v>
      </c>
      <c r="G98" s="38" t="n">
        <f aca="false">C98*LN(MAX(E98,0.000000000001))+(1-C98)*LN(MAX(1-E98,0.000000000001))</f>
        <v>-3.55071400471338E-005</v>
      </c>
    </row>
    <row r="99" customFormat="false" ht="15" hidden="false" customHeight="false" outlineLevel="0" collapsed="false">
      <c r="A99" s="42" t="n">
        <f aca="false">Regression_Excel!A139</f>
        <v>43973</v>
      </c>
      <c r="B99" s="15" t="n">
        <f aca="false">Regression_Excel!E139</f>
        <v>87</v>
      </c>
      <c r="C99" s="15" t="n">
        <f aca="false">IF(Regression_Excel!B139&gt;=$J$5,1,0)</f>
        <v>1</v>
      </c>
      <c r="D99" s="38" t="n">
        <f aca="false">$J$7+$J$8*B99</f>
        <v>10.771183</v>
      </c>
      <c r="E99" s="38" t="n">
        <f aca="false">1/(1+EXP(-D99))</f>
        <v>0.999979004532895</v>
      </c>
      <c r="F99" s="15" t="n">
        <f aca="false">IF(E99&gt;=$J$6,1,0)</f>
        <v>1</v>
      </c>
      <c r="G99" s="38" t="n">
        <f aca="false">C99*LN(MAX(E99,0.000000000001))+(1-C99)*LN(MAX(1-E99,0.000000000001))</f>
        <v>-2.0995687512783E-005</v>
      </c>
    </row>
    <row r="100" customFormat="false" ht="15" hidden="false" customHeight="false" outlineLevel="0" collapsed="false">
      <c r="A100" s="42" t="n">
        <f aca="false">Regression_Excel!A140</f>
        <v>43974</v>
      </c>
      <c r="B100" s="15" t="n">
        <f aca="false">Regression_Excel!E140</f>
        <v>88</v>
      </c>
      <c r="C100" s="15" t="n">
        <f aca="false">IF(Regression_Excel!B140&gt;=$J$5,1,0)</f>
        <v>1</v>
      </c>
      <c r="D100" s="38" t="n">
        <f aca="false">$J$7+$J$8*B100</f>
        <v>11.296607</v>
      </c>
      <c r="E100" s="38" t="n">
        <f aca="false">1/(1+EXP(-D100))</f>
        <v>0.999987585177234</v>
      </c>
      <c r="F100" s="15" t="n">
        <f aca="false">IF(E100&gt;=$J$6,1,0)</f>
        <v>1</v>
      </c>
      <c r="G100" s="38" t="n">
        <f aca="false">C100*LN(MAX(E100,0.000000000001))+(1-C100)*LN(MAX(1-E100,0.000000000001))</f>
        <v>-1.24148998306991E-005</v>
      </c>
    </row>
    <row r="101" customFormat="false" ht="15" hidden="false" customHeight="false" outlineLevel="0" collapsed="false">
      <c r="A101" s="42" t="n">
        <f aca="false">Regression_Excel!A141</f>
        <v>43975</v>
      </c>
      <c r="B101" s="15" t="n">
        <f aca="false">Regression_Excel!E141</f>
        <v>89</v>
      </c>
      <c r="C101" s="15" t="n">
        <f aca="false">IF(Regression_Excel!B141&gt;=$J$5,1,0)</f>
        <v>1</v>
      </c>
      <c r="D101" s="38" t="n">
        <f aca="false">$J$7+$J$8*B101</f>
        <v>11.822031</v>
      </c>
      <c r="E101" s="38" t="n">
        <f aca="false">1/(1+EXP(-D101))</f>
        <v>0.999992659020967</v>
      </c>
      <c r="F101" s="15" t="n">
        <f aca="false">IF(E101&gt;=$J$6,1,0)</f>
        <v>1</v>
      </c>
      <c r="G101" s="38" t="n">
        <f aca="false">C101*LN(MAX(E101,0.000000000001))+(1-C101)*LN(MAX(1-E101,0.000000000001))</f>
        <v>-7.34100597810659E-006</v>
      </c>
    </row>
    <row r="102" customFormat="false" ht="15" hidden="false" customHeight="false" outlineLevel="0" collapsed="false">
      <c r="A102" s="42" t="n">
        <f aca="false">Regression_Excel!A142</f>
        <v>43976</v>
      </c>
      <c r="B102" s="15" t="n">
        <f aca="false">Regression_Excel!E142</f>
        <v>90</v>
      </c>
      <c r="C102" s="15" t="n">
        <f aca="false">IF(Regression_Excel!B142&gt;=$J$5,1,0)</f>
        <v>1</v>
      </c>
      <c r="D102" s="38" t="n">
        <f aca="false">$J$7+$J$8*B102</f>
        <v>12.347455</v>
      </c>
      <c r="E102" s="38" t="n">
        <f aca="false">1/(1+EXP(-D102))</f>
        <v>0.99999565923232</v>
      </c>
      <c r="F102" s="15" t="n">
        <f aca="false">IF(E102&gt;=$J$6,1,0)</f>
        <v>1</v>
      </c>
      <c r="G102" s="38" t="n">
        <f aca="false">C102*LN(MAX(E102,0.000000000001))+(1-C102)*LN(MAX(1-E102,0.000000000001))</f>
        <v>-4.34077710079294E-006</v>
      </c>
    </row>
    <row r="103" customFormat="false" ht="15" hidden="false" customHeight="false" outlineLevel="0" collapsed="false">
      <c r="A103" s="42" t="n">
        <f aca="false">Regression_Excel!A143</f>
        <v>43977</v>
      </c>
      <c r="B103" s="15" t="n">
        <f aca="false">Regression_Excel!E143</f>
        <v>91</v>
      </c>
      <c r="C103" s="15" t="n">
        <f aca="false">IF(Regression_Excel!B143&gt;=$J$5,1,0)</f>
        <v>1</v>
      </c>
      <c r="D103" s="38" t="n">
        <f aca="false">$J$7+$J$8*B103</f>
        <v>12.872879</v>
      </c>
      <c r="E103" s="38" t="n">
        <f aca="false">1/(1+EXP(-D103))</f>
        <v>0.999997433279559</v>
      </c>
      <c r="F103" s="15" t="n">
        <f aca="false">IF(E103&gt;=$J$6,1,0)</f>
        <v>1</v>
      </c>
      <c r="G103" s="38" t="n">
        <f aca="false">C103*LN(MAX(E103,0.000000000001))+(1-C103)*LN(MAX(1-E103,0.000000000001))</f>
        <v>-2.56672373555395E-006</v>
      </c>
    </row>
    <row r="104" customFormat="false" ht="15" hidden="false" customHeight="false" outlineLevel="0" collapsed="false">
      <c r="A104" s="42" t="n">
        <f aca="false">Regression_Excel!A144</f>
        <v>43978</v>
      </c>
      <c r="B104" s="15" t="n">
        <f aca="false">Regression_Excel!E144</f>
        <v>92</v>
      </c>
      <c r="C104" s="15" t="n">
        <f aca="false">IF(Regression_Excel!B144&gt;=$J$5,1,0)</f>
        <v>1</v>
      </c>
      <c r="D104" s="38" t="n">
        <f aca="false">$J$7+$J$8*B104</f>
        <v>13.398303</v>
      </c>
      <c r="E104" s="38" t="n">
        <f aca="false">1/(1+EXP(-D104))</f>
        <v>0.999998482284809</v>
      </c>
      <c r="F104" s="15" t="n">
        <f aca="false">IF(E104&gt;=$J$6,1,0)</f>
        <v>1</v>
      </c>
      <c r="G104" s="38" t="n">
        <f aca="false">C104*LN(MAX(E104,0.000000000001))+(1-C104)*LN(MAX(1-E104,0.000000000001))</f>
        <v>-1.51771634281033E-006</v>
      </c>
    </row>
    <row r="105" customFormat="false" ht="15" hidden="false" customHeight="false" outlineLevel="0" collapsed="false">
      <c r="A105" s="42" t="n">
        <f aca="false">Regression_Excel!A145</f>
        <v>43979</v>
      </c>
      <c r="B105" s="15" t="n">
        <f aca="false">Regression_Excel!E145</f>
        <v>93</v>
      </c>
      <c r="C105" s="15" t="n">
        <f aca="false">IF(Regression_Excel!B145&gt;=$J$5,1,0)</f>
        <v>1</v>
      </c>
      <c r="D105" s="38" t="n">
        <f aca="false">$J$7+$J$8*B105</f>
        <v>13.923727</v>
      </c>
      <c r="E105" s="38" t="n">
        <f aca="false">1/(1+EXP(-D105))</f>
        <v>0.999999102567472</v>
      </c>
      <c r="F105" s="15" t="n">
        <f aca="false">IF(E105&gt;=$J$6,1,0)</f>
        <v>1</v>
      </c>
      <c r="G105" s="38" t="n">
        <f aca="false">C105*LN(MAX(E105,0.000000000001))+(1-C105)*LN(MAX(1-E105,0.000000000001))</f>
        <v>-8.97432930539388E-007</v>
      </c>
    </row>
    <row r="106" customFormat="false" ht="15" hidden="false" customHeight="false" outlineLevel="0" collapsed="false">
      <c r="A106" s="42" t="n">
        <f aca="false">Regression_Excel!A146</f>
        <v>43980</v>
      </c>
      <c r="B106" s="15" t="n">
        <f aca="false">Regression_Excel!E146</f>
        <v>94</v>
      </c>
      <c r="C106" s="15" t="n">
        <f aca="false">IF(Regression_Excel!B146&gt;=$J$5,1,0)</f>
        <v>1</v>
      </c>
      <c r="D106" s="38" t="n">
        <f aca="false">$J$7+$J$8*B106</f>
        <v>14.449151</v>
      </c>
      <c r="E106" s="38" t="n">
        <f aca="false">1/(1+EXP(-D106))</f>
        <v>0.999999469343825</v>
      </c>
      <c r="F106" s="15" t="n">
        <f aca="false">IF(E106&gt;=$J$6,1,0)</f>
        <v>1</v>
      </c>
      <c r="G106" s="38" t="n">
        <f aca="false">C106*LN(MAX(E106,0.000000000001))+(1-C106)*LN(MAX(1-E106,0.000000000001))</f>
        <v>-5.30656315577802E-007</v>
      </c>
    </row>
    <row r="107" customFormat="false" ht="15" hidden="false" customHeight="false" outlineLevel="0" collapsed="false">
      <c r="A107" s="42" t="n">
        <f aca="false">Regression_Excel!A147</f>
        <v>43981</v>
      </c>
      <c r="B107" s="15" t="n">
        <f aca="false">Regression_Excel!E147</f>
        <v>95</v>
      </c>
      <c r="C107" s="15" t="n">
        <f aca="false">IF(Regression_Excel!B147&gt;=$J$5,1,0)</f>
        <v>1</v>
      </c>
      <c r="D107" s="38" t="n">
        <f aca="false">$J$7+$J$8*B107</f>
        <v>14.974575</v>
      </c>
      <c r="E107" s="38" t="n">
        <f aca="false">1/(1+EXP(-D107))</f>
        <v>0.999999686220496</v>
      </c>
      <c r="F107" s="15" t="n">
        <f aca="false">IF(E107&gt;=$J$6,1,0)</f>
        <v>1</v>
      </c>
      <c r="G107" s="38" t="n">
        <f aca="false">C107*LN(MAX(E107,0.000000000001))+(1-C107)*LN(MAX(1-E107,0.000000000001))</f>
        <v>-3.13779553275229E-007</v>
      </c>
    </row>
    <row r="108" customFormat="false" ht="15" hidden="false" customHeight="false" outlineLevel="0" collapsed="false">
      <c r="A108" s="42" t="n">
        <f aca="false">Regression_Excel!A148</f>
        <v>43982</v>
      </c>
      <c r="B108" s="15" t="n">
        <f aca="false">Regression_Excel!E148</f>
        <v>96</v>
      </c>
      <c r="C108" s="15" t="n">
        <f aca="false">IF(Regression_Excel!B148&gt;=$J$5,1,0)</f>
        <v>1</v>
      </c>
      <c r="D108" s="38" t="n">
        <f aca="false">$J$7+$J$8*B108</f>
        <v>15.499999</v>
      </c>
      <c r="E108" s="38" t="n">
        <f aca="false">1/(1+EXP(-D108))</f>
        <v>0.999999814460713</v>
      </c>
      <c r="F108" s="15" t="n">
        <f aca="false">IF(E108&gt;=$J$6,1,0)</f>
        <v>1</v>
      </c>
      <c r="G108" s="38" t="n">
        <f aca="false">C108*LN(MAX(E108,0.000000000001))+(1-C108)*LN(MAX(1-E108,0.000000000001))</f>
        <v>-1.85539304701849E-007</v>
      </c>
    </row>
    <row r="109" customFormat="false" ht="15" hidden="false" customHeight="false" outlineLevel="0" collapsed="false">
      <c r="A109" s="42" t="n">
        <f aca="false">Regression_Excel!A149</f>
        <v>43983</v>
      </c>
      <c r="B109" s="15" t="n">
        <f aca="false">Regression_Excel!E149</f>
        <v>97</v>
      </c>
      <c r="C109" s="15" t="n">
        <f aca="false">IF(Regression_Excel!B149&gt;=$J$5,1,0)</f>
        <v>1</v>
      </c>
      <c r="D109" s="38" t="n">
        <f aca="false">$J$7+$J$8*B109</f>
        <v>16.025423</v>
      </c>
      <c r="E109" s="38" t="n">
        <f aca="false">1/(1+EXP(-D109))</f>
        <v>0.999999890289758</v>
      </c>
      <c r="F109" s="15" t="n">
        <f aca="false">IF(E109&gt;=$J$6,1,0)</f>
        <v>1</v>
      </c>
      <c r="G109" s="38" t="n">
        <f aca="false">C109*LN(MAX(E109,0.000000000001))+(1-C109)*LN(MAX(1-E109,0.000000000001))</f>
        <v>-1.09710248020406E-007</v>
      </c>
    </row>
    <row r="110" customFormat="false" ht="15" hidden="false" customHeight="false" outlineLevel="0" collapsed="false">
      <c r="A110" s="42" t="n">
        <f aca="false">Regression_Excel!A150</f>
        <v>43984</v>
      </c>
      <c r="B110" s="15" t="n">
        <f aca="false">Regression_Excel!E150</f>
        <v>98</v>
      </c>
      <c r="C110" s="15" t="n">
        <f aca="false">IF(Regression_Excel!B150&gt;=$J$5,1,0)</f>
        <v>1</v>
      </c>
      <c r="D110" s="38" t="n">
        <f aca="false">$J$7+$J$8*B110</f>
        <v>16.550847</v>
      </c>
      <c r="E110" s="38" t="n">
        <f aca="false">1/(1+EXP(-D110))</f>
        <v>0.999999935127827</v>
      </c>
      <c r="F110" s="15" t="n">
        <f aca="false">IF(E110&gt;=$J$6,1,0)</f>
        <v>1</v>
      </c>
      <c r="G110" s="38" t="n">
        <f aca="false">C110*LN(MAX(E110,0.000000000001))+(1-C110)*LN(MAX(1-E110,0.000000000001))</f>
        <v>-6.48721755150899E-008</v>
      </c>
    </row>
    <row r="111" customFormat="false" ht="15" hidden="false" customHeight="false" outlineLevel="0" collapsed="false">
      <c r="A111" s="42" t="n">
        <f aca="false">Regression_Excel!A151</f>
        <v>43985</v>
      </c>
      <c r="B111" s="15" t="n">
        <f aca="false">Regression_Excel!E151</f>
        <v>99</v>
      </c>
      <c r="C111" s="15" t="n">
        <f aca="false">IF(Regression_Excel!B151&gt;=$J$5,1,0)</f>
        <v>1</v>
      </c>
      <c r="D111" s="38" t="n">
        <f aca="false">$J$7+$J$8*B111</f>
        <v>17.076271</v>
      </c>
      <c r="E111" s="38" t="n">
        <f aca="false">1/(1+EXP(-D111))</f>
        <v>0.999999961640785</v>
      </c>
      <c r="F111" s="15" t="n">
        <f aca="false">IF(E111&gt;=$J$6,1,0)</f>
        <v>1</v>
      </c>
      <c r="G111" s="38" t="n">
        <f aca="false">C111*LN(MAX(E111,0.000000000001))+(1-C111)*LN(MAX(1-E111,0.000000000001))</f>
        <v>-3.83592162063994E-008</v>
      </c>
    </row>
  </sheetData>
  <mergeCells count="1">
    <mergeCell ref="I39:L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90"/>
  </cols>
  <sheetData>
    <row r="1" customFormat="false" ht="19.7" hidden="false" customHeight="false" outlineLevel="0" collapsed="false">
      <c r="A1" s="1" t="s">
        <v>257</v>
      </c>
    </row>
    <row r="2" customFormat="false" ht="15" hidden="false" customHeight="false" outlineLevel="0" collapsed="false">
      <c r="A2" s="2" t="s">
        <v>258</v>
      </c>
    </row>
    <row r="4" customFormat="false" ht="15" hidden="false" customHeight="false" outlineLevel="0" collapsed="false">
      <c r="B4" s="8" t="s">
        <v>259</v>
      </c>
    </row>
    <row r="5" customFormat="false" ht="15" hidden="false" customHeight="false" outlineLevel="0" collapsed="false">
      <c r="B5" s="36" t="s">
        <v>260</v>
      </c>
      <c r="C5" s="49" t="str">
        <f aca="false">TS_Eval!$C$34</f>
        <v>Holt-Winters (add)</v>
      </c>
    </row>
    <row r="6" customFormat="false" ht="15" hidden="false" customHeight="false" outlineLevel="0" collapsed="false">
      <c r="B6" s="36" t="s">
        <v>261</v>
      </c>
      <c r="C6" s="50" t="n">
        <f aca="false">MIN(TS_Eval!D24:D32)</f>
        <v>860.873386823853</v>
      </c>
    </row>
    <row r="7" customFormat="false" ht="15" hidden="false" customHeight="false" outlineLevel="0" collapsed="false">
      <c r="B7" s="36" t="s">
        <v>262</v>
      </c>
      <c r="C7" s="50" t="n">
        <f aca="false">TS_Eval!D24</f>
        <v>1110.78923036088</v>
      </c>
    </row>
    <row r="8" customFormat="false" ht="15" hidden="false" customHeight="false" outlineLevel="0" collapsed="false">
      <c r="B8" s="36" t="s">
        <v>263</v>
      </c>
      <c r="C8" s="51" t="n">
        <f aca="false">TS_Diagnostics!B8</f>
        <v>1</v>
      </c>
    </row>
    <row r="9" customFormat="false" ht="15" hidden="false" customHeight="false" outlineLevel="0" collapsed="false">
      <c r="B9" s="36" t="s">
        <v>264</v>
      </c>
      <c r="C9" s="49" t="str">
        <f aca="false">TS_Diagnostics!K20&amp;" ("&amp;TEXT(MAX(TS_Diagnostics!M13:M19),"0.00")&amp;"x trend)"</f>
        <v>Mon (1.32x trend)</v>
      </c>
    </row>
    <row r="10" customFormat="false" ht="15" hidden="false" customHeight="false" outlineLevel="0" collapsed="false">
      <c r="B10" s="36" t="s">
        <v>265</v>
      </c>
      <c r="C10" s="49" t="str">
        <f aca="false">TS_Diagnostics!K21&amp;" ("&amp;TEXT(MIN(TS_Diagnostics!M13:M19),"0.00")&amp;"x trend)"</f>
        <v>Sun (0.77x trend)</v>
      </c>
    </row>
    <row r="11" customFormat="false" ht="15" hidden="false" customHeight="false" outlineLevel="0" collapsed="false">
      <c r="B11" s="36" t="s">
        <v>266</v>
      </c>
      <c r="C11" s="50" t="n">
        <f aca="false">TS_Forecast!B25</f>
        <v>56235.5407395239</v>
      </c>
    </row>
    <row r="12" customFormat="false" ht="15" hidden="false" customHeight="false" outlineLevel="0" collapsed="false">
      <c r="B12" s="36" t="s">
        <v>267</v>
      </c>
      <c r="C12" s="52" t="n">
        <f aca="false">TS_Forecast!B28</f>
        <v>0.190522921913878</v>
      </c>
    </row>
    <row r="13" customFormat="false" ht="15" hidden="false" customHeight="false" outlineLevel="0" collapsed="false">
      <c r="B13" s="36" t="s">
        <v>268</v>
      </c>
      <c r="C13" s="49" t="str">
        <f aca="false">TS_CV!E11</f>
        <v>Holt</v>
      </c>
    </row>
    <row r="15" customFormat="false" ht="15" hidden="false" customHeight="false" outlineLevel="0" collapsed="false">
      <c r="B15" s="8" t="s">
        <v>269</v>
      </c>
    </row>
    <row r="16" customFormat="false" ht="15" hidden="false" customHeight="false" outlineLevel="0" collapsed="false">
      <c r="B16" s="36" t="s">
        <v>270</v>
      </c>
      <c r="C16" s="12"/>
      <c r="D16" s="12" t="s">
        <v>271</v>
      </c>
    </row>
    <row r="17" customFormat="false" ht="15" hidden="false" customHeight="false" outlineLevel="0" collapsed="false">
      <c r="B17" s="36" t="s">
        <v>272</v>
      </c>
      <c r="C17" s="12"/>
      <c r="D17" s="12" t="s">
        <v>273</v>
      </c>
    </row>
    <row r="18" customFormat="false" ht="15" hidden="false" customHeight="false" outlineLevel="0" collapsed="false">
      <c r="B18" s="36" t="s">
        <v>274</v>
      </c>
      <c r="C18" s="12"/>
      <c r="D18" s="12" t="s">
        <v>275</v>
      </c>
    </row>
    <row r="19" customFormat="false" ht="15" hidden="false" customHeight="false" outlineLevel="0" collapsed="false">
      <c r="B19" s="36" t="s">
        <v>276</v>
      </c>
      <c r="C19" s="12"/>
      <c r="D19" s="12" t="s">
        <v>277</v>
      </c>
    </row>
    <row r="20" customFormat="false" ht="15" hidden="false" customHeight="false" outlineLevel="0" collapsed="false">
      <c r="B20" s="36" t="s">
        <v>278</v>
      </c>
      <c r="C20" s="12"/>
      <c r="D20" s="12" t="s">
        <v>279</v>
      </c>
    </row>
    <row r="21" customFormat="false" ht="15" hidden="false" customHeight="false" outlineLevel="0" collapsed="false">
      <c r="B21" s="36" t="s">
        <v>280</v>
      </c>
      <c r="C21" s="12"/>
      <c r="D21" s="12" t="s">
        <v>281</v>
      </c>
    </row>
    <row r="22" customFormat="false" ht="15" hidden="false" customHeight="false" outlineLevel="0" collapsed="false">
      <c r="B22" s="36" t="s">
        <v>282</v>
      </c>
      <c r="C22" s="12"/>
      <c r="D22" s="12" t="s">
        <v>283</v>
      </c>
    </row>
    <row r="23" customFormat="false" ht="15" hidden="false" customHeight="false" outlineLevel="0" collapsed="false">
      <c r="B23" s="36" t="s">
        <v>284</v>
      </c>
      <c r="C23" s="12"/>
      <c r="D23" s="12" t="s">
        <v>285</v>
      </c>
    </row>
    <row r="25" customFormat="false" ht="15" hidden="false" customHeight="false" outlineLevel="0" collapsed="false">
      <c r="B25" s="8" t="s">
        <v>286</v>
      </c>
    </row>
    <row r="26" customFormat="false" ht="31.5" hidden="false" customHeight="true" outlineLevel="0" collapsed="false">
      <c r="B26" s="10" t="s">
        <v>287</v>
      </c>
      <c r="C26" s="10" t="s">
        <v>288</v>
      </c>
      <c r="D26" s="10" t="s">
        <v>289</v>
      </c>
    </row>
    <row r="27" customFormat="false" ht="30" hidden="false" customHeight="true" outlineLevel="0" collapsed="false">
      <c r="B27" s="36" t="s">
        <v>290</v>
      </c>
      <c r="C27" s="12" t="s">
        <v>291</v>
      </c>
      <c r="D27" s="53" t="s">
        <v>292</v>
      </c>
    </row>
    <row r="28" customFormat="false" ht="30" hidden="false" customHeight="true" outlineLevel="0" collapsed="false">
      <c r="B28" s="36" t="s">
        <v>293</v>
      </c>
      <c r="C28" s="12" t="s">
        <v>294</v>
      </c>
      <c r="D28" s="53" t="s">
        <v>295</v>
      </c>
    </row>
    <row r="29" customFormat="false" ht="30" hidden="false" customHeight="true" outlineLevel="0" collapsed="false">
      <c r="B29" s="36" t="s">
        <v>296</v>
      </c>
      <c r="C29" s="12" t="s">
        <v>297</v>
      </c>
      <c r="D29" s="53" t="s">
        <v>298</v>
      </c>
    </row>
    <row r="30" customFormat="false" ht="30" hidden="false" customHeight="true" outlineLevel="0" collapsed="false">
      <c r="B30" s="36" t="s">
        <v>299</v>
      </c>
      <c r="C30" s="12" t="s">
        <v>300</v>
      </c>
      <c r="D30" s="53" t="s">
        <v>301</v>
      </c>
    </row>
    <row r="31" customFormat="false" ht="30" hidden="false" customHeight="true" outlineLevel="0" collapsed="false">
      <c r="B31" s="36" t="s">
        <v>302</v>
      </c>
      <c r="C31" s="12" t="s">
        <v>303</v>
      </c>
      <c r="D31" s="53" t="s">
        <v>304</v>
      </c>
    </row>
    <row r="32" customFormat="false" ht="30" hidden="false" customHeight="true" outlineLevel="0" collapsed="false">
      <c r="B32" s="36" t="s">
        <v>305</v>
      </c>
      <c r="C32" s="12" t="s">
        <v>306</v>
      </c>
      <c r="D32" s="53" t="s">
        <v>307</v>
      </c>
    </row>
    <row r="33" customFormat="false" ht="30" hidden="false" customHeight="true" outlineLevel="0" collapsed="false">
      <c r="B33" s="36" t="s">
        <v>308</v>
      </c>
      <c r="C33" s="12" t="s">
        <v>309</v>
      </c>
      <c r="D33" s="53" t="s">
        <v>310</v>
      </c>
    </row>
    <row r="34" customFormat="false" ht="30" hidden="false" customHeight="true" outlineLevel="0" collapsed="false">
      <c r="B34" s="36" t="s">
        <v>311</v>
      </c>
      <c r="C34" s="12" t="s">
        <v>312</v>
      </c>
      <c r="D34" s="53" t="s">
        <v>313</v>
      </c>
    </row>
    <row r="35" customFormat="false" ht="30" hidden="false" customHeight="true" outlineLevel="0" collapsed="false">
      <c r="B35" s="36" t="s">
        <v>314</v>
      </c>
      <c r="C35" s="12" t="s">
        <v>315</v>
      </c>
      <c r="D35" s="53" t="s">
        <v>316</v>
      </c>
    </row>
    <row r="38" customFormat="false" ht="15" hidden="false" customHeight="false" outlineLevel="0" collapsed="false">
      <c r="B38" s="8" t="s">
        <v>317</v>
      </c>
    </row>
    <row r="39" customFormat="false" ht="15" hidden="false" customHeight="false" outlineLevel="0" collapsed="false">
      <c r="B39" s="48" t="s">
        <v>318</v>
      </c>
    </row>
    <row r="40" customFormat="false" ht="15" hidden="false" customHeight="false" outlineLevel="0" collapsed="false">
      <c r="B40" s="48" t="s">
        <v>319</v>
      </c>
    </row>
    <row r="41" customFormat="false" ht="15" hidden="false" customHeight="false" outlineLevel="0" collapsed="false">
      <c r="B41" s="48" t="s">
        <v>320</v>
      </c>
    </row>
    <row r="42" customFormat="false" ht="15" hidden="false" customHeight="false" outlineLevel="0" collapsed="false">
      <c r="B42" s="48" t="s">
        <v>321</v>
      </c>
    </row>
    <row r="43" customFormat="false" ht="15" hidden="false" customHeight="false" outlineLevel="0" collapsed="false">
      <c r="B43" s="48" t="s">
        <v>322</v>
      </c>
    </row>
    <row r="44" customFormat="false" ht="15" hidden="false" customHeight="false" outlineLevel="0" collapsed="false">
      <c r="B44" s="48" t="s">
        <v>323</v>
      </c>
    </row>
    <row r="46" customFormat="false" ht="15" hidden="false" customHeight="false" outlineLevel="0" collapsed="false">
      <c r="B46" s="8" t="s">
        <v>324</v>
      </c>
    </row>
    <row r="47" customFormat="false" ht="15" hidden="false" customHeight="false" outlineLevel="0" collapsed="false">
      <c r="B47" s="48" t="s">
        <v>325</v>
      </c>
    </row>
    <row r="48" customFormat="false" ht="15" hidden="false" customHeight="false" outlineLevel="0" collapsed="false">
      <c r="B48" s="48" t="s">
        <v>326</v>
      </c>
    </row>
    <row r="49" customFormat="false" ht="15" hidden="false" customHeight="false" outlineLevel="0" collapsed="false">
      <c r="B49" s="48" t="s">
        <v>327</v>
      </c>
    </row>
    <row r="51" customFormat="false" ht="15" hidden="false" customHeight="false" outlineLevel="0" collapsed="false">
      <c r="B51" s="8" t="s">
        <v>328</v>
      </c>
    </row>
    <row r="52" customFormat="false" ht="15" hidden="false" customHeight="false" outlineLevel="0" collapsed="false">
      <c r="B52" s="48" t="s">
        <v>329</v>
      </c>
    </row>
    <row r="53" customFormat="false" ht="15" hidden="false" customHeight="false" outlineLevel="0" collapsed="false">
      <c r="B53" s="48" t="s">
        <v>330</v>
      </c>
    </row>
    <row r="54" customFormat="false" ht="15" hidden="false" customHeight="false" outlineLevel="0" collapsed="false">
      <c r="B54" s="48" t="s">
        <v>331</v>
      </c>
    </row>
    <row r="55" customFormat="false" ht="15" hidden="false" customHeight="false" outlineLevel="0" collapsed="false">
      <c r="B55" s="48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C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9.7" hidden="false" customHeight="false" outlineLevel="0" collapsed="false">
      <c r="A1" s="1" t="s">
        <v>333</v>
      </c>
    </row>
    <row r="2" customFormat="false" ht="15" hidden="false" customHeight="false" outlineLevel="0" collapsed="false">
      <c r="A2" s="2" t="s">
        <v>334</v>
      </c>
    </row>
    <row r="4" customFormat="false" ht="31.5" hidden="false" customHeight="true" outlineLevel="0" collapsed="false">
      <c r="A4" s="10" t="s">
        <v>335</v>
      </c>
      <c r="B4" s="10" t="s">
        <v>240</v>
      </c>
      <c r="C4" s="10" t="s">
        <v>336</v>
      </c>
    </row>
    <row r="5" customFormat="false" ht="15" hidden="false" customHeight="false" outlineLevel="0" collapsed="false">
      <c r="A5" s="36" t="s">
        <v>337</v>
      </c>
      <c r="B5" s="11" t="n">
        <f aca="false">Daily!A5</f>
        <v>43887</v>
      </c>
      <c r="C5" s="12" t="s">
        <v>338</v>
      </c>
    </row>
    <row r="6" customFormat="false" ht="15" hidden="false" customHeight="false" outlineLevel="0" collapsed="false">
      <c r="A6" s="36" t="s">
        <v>339</v>
      </c>
      <c r="B6" s="11" t="n">
        <f aca="false">Daily!A89</f>
        <v>43971</v>
      </c>
      <c r="C6" s="12" t="s">
        <v>340</v>
      </c>
    </row>
    <row r="7" customFormat="false" ht="15" hidden="false" customHeight="false" outlineLevel="0" collapsed="false">
      <c r="A7" s="36" t="s">
        <v>341</v>
      </c>
      <c r="B7" s="11" t="n">
        <f aca="false">Daily!A90</f>
        <v>43972</v>
      </c>
      <c r="C7" s="12" t="s">
        <v>342</v>
      </c>
    </row>
    <row r="8" customFormat="false" ht="15" hidden="false" customHeight="false" outlineLevel="0" collapsed="false">
      <c r="A8" s="36" t="s">
        <v>343</v>
      </c>
      <c r="B8" s="11" t="n">
        <f aca="false">Daily!A103</f>
        <v>43985</v>
      </c>
      <c r="C8" s="12" t="s">
        <v>344</v>
      </c>
    </row>
    <row r="9" customFormat="false" ht="15" hidden="false" customHeight="false" outlineLevel="0" collapsed="false">
      <c r="A9" s="36" t="s">
        <v>345</v>
      </c>
      <c r="B9" s="15" t="n">
        <v>85</v>
      </c>
      <c r="C9" s="12" t="s">
        <v>346</v>
      </c>
    </row>
    <row r="10" customFormat="false" ht="15" hidden="false" customHeight="false" outlineLevel="0" collapsed="false">
      <c r="A10" s="36" t="s">
        <v>347</v>
      </c>
      <c r="B10" s="15" t="n">
        <v>14</v>
      </c>
      <c r="C10" s="12" t="s">
        <v>348</v>
      </c>
    </row>
    <row r="12" customFormat="false" ht="15" hidden="false" customHeight="false" outlineLevel="0" collapsed="false">
      <c r="A12" s="8" t="s">
        <v>349</v>
      </c>
    </row>
    <row r="13" customFormat="false" ht="31.5" hidden="false" customHeight="true" outlineLevel="0" collapsed="false">
      <c r="A13" s="10" t="s">
        <v>350</v>
      </c>
      <c r="B13" s="10" t="s">
        <v>240</v>
      </c>
      <c r="C13" s="10" t="s">
        <v>351</v>
      </c>
    </row>
    <row r="14" customFormat="false" ht="15" hidden="false" customHeight="false" outlineLevel="0" collapsed="false">
      <c r="A14" s="36" t="s">
        <v>352</v>
      </c>
      <c r="B14" s="26" t="n">
        <f aca="false">TS_AlphaGrid!$B$3</f>
        <v>0.35</v>
      </c>
      <c r="C14" s="12" t="s">
        <v>353</v>
      </c>
    </row>
    <row r="15" customFormat="false" ht="15" hidden="false" customHeight="false" outlineLevel="0" collapsed="false">
      <c r="A15" s="36" t="s">
        <v>354</v>
      </c>
      <c r="B15" s="54" t="n">
        <v>0.091</v>
      </c>
      <c r="C15" s="12" t="s">
        <v>355</v>
      </c>
    </row>
    <row r="16" customFormat="false" ht="15" hidden="false" customHeight="false" outlineLevel="0" collapsed="false">
      <c r="A16" s="36" t="s">
        <v>356</v>
      </c>
      <c r="B16" s="54" t="n">
        <v>0.192</v>
      </c>
      <c r="C16" s="12" t="s">
        <v>357</v>
      </c>
    </row>
    <row r="17" customFormat="false" ht="15" hidden="false" customHeight="false" outlineLevel="0" collapsed="false">
      <c r="A17" s="36" t="s">
        <v>358</v>
      </c>
      <c r="B17" s="54" t="n">
        <v>0.088</v>
      </c>
      <c r="C17" s="12" t="s">
        <v>359</v>
      </c>
    </row>
    <row r="18" customFormat="false" ht="15" hidden="false" customHeight="false" outlineLevel="0" collapsed="false">
      <c r="A18" s="36" t="s">
        <v>360</v>
      </c>
      <c r="B18" s="54" t="n">
        <v>0.195</v>
      </c>
      <c r="C18" s="12" t="s">
        <v>357</v>
      </c>
    </row>
    <row r="19" customFormat="false" ht="15" hidden="false" customHeight="false" outlineLevel="0" collapsed="false">
      <c r="A19" s="36" t="s">
        <v>361</v>
      </c>
      <c r="B19" s="54" t="n">
        <v>0.01</v>
      </c>
      <c r="C19" s="12" t="s">
        <v>357</v>
      </c>
    </row>
    <row r="21" customFormat="false" ht="15" hidden="false" customHeight="false" outlineLevel="0" collapsed="false">
      <c r="A21" s="8" t="s">
        <v>362</v>
      </c>
    </row>
    <row r="22" customFormat="false" ht="31.5" hidden="false" customHeight="true" outlineLevel="0" collapsed="false">
      <c r="A22" s="10" t="s">
        <v>287</v>
      </c>
      <c r="B22" s="10" t="s">
        <v>363</v>
      </c>
      <c r="C22" s="10" t="s">
        <v>364</v>
      </c>
    </row>
    <row r="23" customFormat="false" ht="15" hidden="false" customHeight="false" outlineLevel="0" collapsed="false">
      <c r="A23" s="36" t="s">
        <v>290</v>
      </c>
      <c r="B23" s="13" t="n">
        <f aca="false">SUMPRODUCT((TS_Model!$C$6:$C$89-TS_Model!$E$6:$E$89)^2)</f>
        <v>9144476</v>
      </c>
      <c r="C23" s="12" t="s">
        <v>365</v>
      </c>
    </row>
    <row r="24" customFormat="false" ht="15" hidden="false" customHeight="false" outlineLevel="0" collapsed="false">
      <c r="A24" s="36" t="s">
        <v>296</v>
      </c>
      <c r="B24" s="13" t="n">
        <f aca="false">SUMPRODUCT((TS_Model!$C$12:$C$89-TS_Model!$F$12:$F$89)^2)</f>
        <v>5847284.51020408</v>
      </c>
      <c r="C24" s="12" t="s">
        <v>366</v>
      </c>
    </row>
    <row r="25" customFormat="false" ht="15" hidden="false" customHeight="false" outlineLevel="0" collapsed="false">
      <c r="A25" s="36" t="s">
        <v>299</v>
      </c>
      <c r="B25" s="13" t="n">
        <f aca="false">SUMPRODUCT((TS_Model!$C$6:$C$89-TS_Model!$H$6:$H$89)^2)</f>
        <v>5790817.43684786</v>
      </c>
      <c r="C25" s="12" t="s">
        <v>365</v>
      </c>
    </row>
    <row r="26" customFormat="false" ht="15" hidden="false" customHeight="false" outlineLevel="0" collapsed="false">
      <c r="A26" s="36" t="s">
        <v>302</v>
      </c>
      <c r="B26" s="13" t="n">
        <f aca="false">SUMPRODUCT((TS_Model!$C$6:$C$89-TS_Model!$K$6:$K$89)^2)</f>
        <v>4936269.44148394</v>
      </c>
      <c r="C26" s="12" t="s">
        <v>365</v>
      </c>
    </row>
    <row r="27" customFormat="false" ht="15" hidden="false" customHeight="false" outlineLevel="0" collapsed="false">
      <c r="A27" s="36" t="s">
        <v>305</v>
      </c>
      <c r="B27" s="13" t="n">
        <f aca="false">SUMPRODUCT((TS_Model!$C$12:$C$89-TS_Model!$O$12:$O$89)^2)</f>
        <v>4955163.33258181</v>
      </c>
      <c r="C27" s="12" t="s">
        <v>366</v>
      </c>
    </row>
    <row r="28" customFormat="false" ht="15" hidden="false" customHeight="false" outlineLevel="0" collapsed="false">
      <c r="A28" s="36" t="s">
        <v>308</v>
      </c>
      <c r="B28" s="13" t="n">
        <f aca="false">SUMPRODUCT((TS_Model!$C$6:$C$89-TS_Model!$Q$6:$Q$89)^2)</f>
        <v>8719144.7969879</v>
      </c>
      <c r="C28" s="12" t="s">
        <v>365</v>
      </c>
    </row>
    <row r="29" customFormat="false" ht="15" hidden="false" customHeight="false" outlineLevel="0" collapsed="false">
      <c r="A29" s="36" t="s">
        <v>311</v>
      </c>
      <c r="B29" s="13" t="n">
        <f aca="false">SUMPRODUCT((TS_Model!$C$7:$C$89-TS_Model!$R$7:$R$89)^2)</f>
        <v>7164452.4029959</v>
      </c>
      <c r="C29" s="12" t="s">
        <v>367</v>
      </c>
    </row>
    <row r="31" customFormat="false" ht="15" hidden="false" customHeight="false" outlineLevel="0" collapsed="false">
      <c r="A31" s="8" t="s">
        <v>368</v>
      </c>
    </row>
    <row r="32" customFormat="false" ht="31.5" hidden="false" customHeight="true" outlineLevel="0" collapsed="false">
      <c r="A32" s="10" t="s">
        <v>369</v>
      </c>
      <c r="B32" s="10" t="s">
        <v>240</v>
      </c>
      <c r="C32" s="10" t="s">
        <v>370</v>
      </c>
    </row>
    <row r="33" customFormat="false" ht="15" hidden="false" customHeight="false" outlineLevel="0" collapsed="false">
      <c r="A33" s="36" t="s">
        <v>371</v>
      </c>
      <c r="B33" s="38" t="n">
        <f aca="false">INDEX(LINEST(TS_Model!$C$6:$C$89,TS_Model!$C$5:$C$88,TRUE(),TRUE()),1,1)</f>
        <v>0.892803051720231</v>
      </c>
      <c r="C33" s="12" t="s">
        <v>372</v>
      </c>
    </row>
    <row r="34" customFormat="false" ht="15" hidden="false" customHeight="false" outlineLevel="0" collapsed="false">
      <c r="A34" s="36" t="s">
        <v>373</v>
      </c>
      <c r="B34" s="16" t="n">
        <f aca="false">INDEX(LINEST(TS_Model!$C$6:$C$89,TS_Model!$C$5:$C$88,TRUE(),TRUE()),1,2)</f>
        <v>82.8403384002966</v>
      </c>
      <c r="C34" s="12"/>
    </row>
    <row r="35" customFormat="false" ht="15" hidden="false" customHeight="false" outlineLevel="0" collapsed="false">
      <c r="A35" s="36" t="s">
        <v>374</v>
      </c>
      <c r="B35" s="38" t="n">
        <f aca="false">INDEX(LINEST(TS_Model!$C$6:$C$89,TS_Model!$C$5:$C$88,TRUE(),TRUE()),3,1)</f>
        <v>0.747558040417256</v>
      </c>
      <c r="C35" s="12"/>
    </row>
    <row r="36" customFormat="false" ht="15" hidden="false" customHeight="false" outlineLevel="0" collapsed="false">
      <c r="A36" s="36" t="s">
        <v>375</v>
      </c>
      <c r="B36" s="38" t="n">
        <f aca="false">INDEX(LINEST(TS_Model!$P$7:$P$89,TS_Model!$P$6:$P$88,TRUE(),TRUE()),1,1)</f>
        <v>-0.461483503465405</v>
      </c>
      <c r="C36" s="12" t="s">
        <v>376</v>
      </c>
    </row>
    <row r="37" customFormat="false" ht="15" hidden="false" customHeight="false" outlineLevel="0" collapsed="false">
      <c r="A37" s="36" t="s">
        <v>377</v>
      </c>
      <c r="B37" s="16" t="n">
        <f aca="false">INDEX(LINEST(TS_Model!$P$7:$P$89,TS_Model!$P$6:$P$88,TRUE(),TRUE()),1,2)</f>
        <v>35.8847666865515</v>
      </c>
      <c r="C37" s="12" t="s">
        <v>378</v>
      </c>
    </row>
    <row r="38" customFormat="false" ht="15" hidden="false" customHeight="false" outlineLevel="0" collapsed="false">
      <c r="A38" s="36" t="s">
        <v>379</v>
      </c>
      <c r="B38" s="38" t="n">
        <f aca="false">INDEX(LINEST(TS_Model!$P$7:$P$89,TS_Model!$P$6:$P$88,TRUE(),TRUE()),3,1)</f>
        <v>0.211881074890405</v>
      </c>
      <c r="C38" s="12"/>
    </row>
    <row r="41" customFormat="false" ht="15" hidden="false" customHeight="false" outlineLevel="0" collapsed="false">
      <c r="A41" s="8" t="s">
        <v>380</v>
      </c>
    </row>
    <row r="42" customFormat="false" ht="15" hidden="false" customHeight="false" outlineLevel="0" collapsed="false">
      <c r="A42" s="48" t="s">
        <v>381</v>
      </c>
    </row>
    <row r="43" customFormat="false" ht="15" hidden="false" customHeight="false" outlineLevel="0" collapsed="false">
      <c r="A43" s="48" t="s">
        <v>382</v>
      </c>
    </row>
    <row r="44" customFormat="false" ht="15" hidden="false" customHeight="false" outlineLevel="0" collapsed="false">
      <c r="A44" s="48" t="s">
        <v>383</v>
      </c>
    </row>
    <row r="45" customFormat="false" ht="15" hidden="false" customHeight="false" outlineLevel="0" collapsed="false">
      <c r="A45" s="48" t="s">
        <v>384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U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9" min="5" style="0" width="10"/>
    <col collapsed="false" customWidth="true" hidden="false" outlineLevel="0" max="10" min="10" style="0" width="9"/>
    <col collapsed="false" customWidth="true" hidden="false" outlineLevel="0" max="12" min="11" style="0" width="10"/>
    <col collapsed="false" customWidth="true" hidden="false" outlineLevel="0" max="13" min="13" style="0" width="9"/>
    <col collapsed="false" customWidth="true" hidden="false" outlineLevel="0" max="15" min="14" style="0" width="10"/>
    <col collapsed="false" customWidth="true" hidden="false" outlineLevel="0" max="16" min="16" style="0" width="9"/>
    <col collapsed="false" customWidth="true" hidden="false" outlineLevel="0" max="18" min="17" style="0" width="10"/>
    <col collapsed="false" customWidth="true" hidden="false" outlineLevel="0" max="19" min="19" style="0" width="9"/>
    <col collapsed="false" customWidth="true" hidden="false" outlineLevel="0" max="21" min="20" style="0" width="10"/>
  </cols>
  <sheetData>
    <row r="1" customFormat="false" ht="19.7" hidden="false" customHeight="false" outlineLevel="0" collapsed="false">
      <c r="A1" s="1" t="s">
        <v>385</v>
      </c>
    </row>
    <row r="2" customFormat="false" ht="15" hidden="false" customHeight="false" outlineLevel="0" collapsed="false">
      <c r="A2" s="2" t="s">
        <v>386</v>
      </c>
    </row>
    <row r="4" customFormat="false" ht="43.5" hidden="false" customHeight="true" outlineLevel="0" collapsed="false">
      <c r="A4" s="10" t="s">
        <v>24</v>
      </c>
      <c r="B4" s="10" t="s">
        <v>25</v>
      </c>
      <c r="C4" s="10" t="s">
        <v>47</v>
      </c>
      <c r="D4" s="10" t="s">
        <v>387</v>
      </c>
      <c r="E4" s="10" t="s">
        <v>290</v>
      </c>
      <c r="F4" s="10" t="s">
        <v>388</v>
      </c>
      <c r="G4" s="10" t="s">
        <v>389</v>
      </c>
      <c r="H4" s="10" t="s">
        <v>390</v>
      </c>
      <c r="I4" s="10" t="s">
        <v>391</v>
      </c>
      <c r="J4" s="10" t="s">
        <v>392</v>
      </c>
      <c r="K4" s="10" t="s">
        <v>393</v>
      </c>
      <c r="L4" s="10" t="s">
        <v>394</v>
      </c>
      <c r="M4" s="10" t="s">
        <v>395</v>
      </c>
      <c r="N4" s="10" t="s">
        <v>396</v>
      </c>
      <c r="O4" s="10" t="s">
        <v>397</v>
      </c>
      <c r="P4" s="10" t="s">
        <v>398</v>
      </c>
      <c r="Q4" s="10" t="s">
        <v>399</v>
      </c>
      <c r="R4" s="10" t="s">
        <v>400</v>
      </c>
      <c r="S4" s="10" t="s">
        <v>401</v>
      </c>
      <c r="T4" s="10" t="s">
        <v>402</v>
      </c>
      <c r="U4" s="10" t="s">
        <v>403</v>
      </c>
    </row>
    <row r="5" customFormat="false" ht="15" hidden="false" customHeight="false" outlineLevel="0" collapsed="false">
      <c r="A5" s="11" t="n">
        <f aca="false">Daily!A5</f>
        <v>43887</v>
      </c>
      <c r="B5" s="12" t="str">
        <f aca="false">Daily!B5</f>
        <v>Wed</v>
      </c>
      <c r="C5" s="13" t="n">
        <f aca="false">Daily!C5</f>
        <v>3</v>
      </c>
      <c r="D5" s="12" t="str">
        <f aca="false">IF(ROW()&lt;=89,"Train","Test")</f>
        <v>Train</v>
      </c>
      <c r="E5" s="13"/>
      <c r="F5" s="13"/>
      <c r="G5" s="13" t="n">
        <f aca="false">C5</f>
        <v>3</v>
      </c>
      <c r="H5" s="13"/>
      <c r="I5" s="13" t="n">
        <f aca="false">C5</f>
        <v>3</v>
      </c>
      <c r="J5" s="16" t="n">
        <f aca="false">(C9-C5)/4</f>
        <v>-0.75</v>
      </c>
      <c r="K5" s="13"/>
      <c r="L5" s="12"/>
      <c r="M5" s="12"/>
      <c r="N5" s="13" t="n">
        <f aca="false">C5-$L$11</f>
        <v>2.14285714285714</v>
      </c>
      <c r="O5" s="12"/>
      <c r="P5" s="13"/>
      <c r="Q5" s="13"/>
      <c r="R5" s="13"/>
      <c r="S5" s="13"/>
      <c r="T5" s="12"/>
      <c r="U5" s="12"/>
    </row>
    <row r="6" customFormat="false" ht="15" hidden="false" customHeight="false" outlineLevel="0" collapsed="false">
      <c r="A6" s="11" t="n">
        <f aca="false">Daily!A6</f>
        <v>43888</v>
      </c>
      <c r="B6" s="12" t="str">
        <f aca="false">Daily!B6</f>
        <v>Thu</v>
      </c>
      <c r="C6" s="13" t="n">
        <f aca="false">Daily!C6</f>
        <v>0</v>
      </c>
      <c r="D6" s="12" t="str">
        <f aca="false">IF(ROW()&lt;=89,"Train","Test")</f>
        <v>Train</v>
      </c>
      <c r="E6" s="13" t="n">
        <f aca="false">C5</f>
        <v>3</v>
      </c>
      <c r="F6" s="13"/>
      <c r="G6" s="13" t="n">
        <f aca="false">TS_Setup!$B$14*C6+(1-TS_Setup!$B$14)*G5</f>
        <v>1.95</v>
      </c>
      <c r="H6" s="13" t="n">
        <f aca="false">G5</f>
        <v>3</v>
      </c>
      <c r="I6" s="13" t="n">
        <f aca="false">TS_Setup!$B$15*C6+(1-TS_Setup!$B$15)*(I5+J5)</f>
        <v>2.04525</v>
      </c>
      <c r="J6" s="16" t="n">
        <f aca="false">TS_Setup!$B$16*(I6-I5)+(1-TS_Setup!$B$16)*J5</f>
        <v>-0.789312</v>
      </c>
      <c r="K6" s="13" t="n">
        <f aca="false">I5+J5</f>
        <v>2.25</v>
      </c>
      <c r="L6" s="12"/>
      <c r="M6" s="12"/>
      <c r="N6" s="13" t="n">
        <f aca="false">C6-$L$11</f>
        <v>-0.857142857142857</v>
      </c>
      <c r="O6" s="12"/>
      <c r="P6" s="13" t="n">
        <f aca="false">C6-C5</f>
        <v>-3</v>
      </c>
      <c r="Q6" s="13" t="n">
        <f aca="false">TS_Setup!$B$34+TS_Setup!$B$33*C5</f>
        <v>85.5187475554573</v>
      </c>
      <c r="R6" s="13"/>
      <c r="S6" s="13"/>
      <c r="T6" s="12"/>
      <c r="U6" s="12"/>
    </row>
    <row r="7" customFormat="false" ht="15" hidden="false" customHeight="false" outlineLevel="0" collapsed="false">
      <c r="A7" s="11" t="n">
        <f aca="false">Daily!A7</f>
        <v>43889</v>
      </c>
      <c r="B7" s="12" t="str">
        <f aca="false">Daily!B7</f>
        <v>Fri</v>
      </c>
      <c r="C7" s="13" t="n">
        <f aca="false">Daily!C7</f>
        <v>0</v>
      </c>
      <c r="D7" s="12" t="str">
        <f aca="false">IF(ROW()&lt;=89,"Train","Test")</f>
        <v>Train</v>
      </c>
      <c r="E7" s="13" t="n">
        <f aca="false">C6</f>
        <v>0</v>
      </c>
      <c r="F7" s="13"/>
      <c r="G7" s="13" t="n">
        <f aca="false">TS_Setup!$B$14*C7+(1-TS_Setup!$B$14)*G6</f>
        <v>1.2675</v>
      </c>
      <c r="H7" s="13" t="n">
        <f aca="false">G6</f>
        <v>1.95</v>
      </c>
      <c r="I7" s="13" t="n">
        <f aca="false">TS_Setup!$B$15*C7+(1-TS_Setup!$B$15)*(I6+J6)</f>
        <v>1.141647642</v>
      </c>
      <c r="J7" s="16" t="n">
        <f aca="false">TS_Setup!$B$16*(I7-I6)+(1-TS_Setup!$B$16)*J6</f>
        <v>-0.811255748736</v>
      </c>
      <c r="K7" s="13" t="n">
        <f aca="false">I6+J6</f>
        <v>1.255938</v>
      </c>
      <c r="L7" s="12"/>
      <c r="M7" s="12"/>
      <c r="N7" s="13" t="n">
        <f aca="false">C7-$L$11</f>
        <v>-0.857142857142857</v>
      </c>
      <c r="O7" s="12"/>
      <c r="P7" s="13" t="n">
        <f aca="false">C7-C6</f>
        <v>0</v>
      </c>
      <c r="Q7" s="13" t="n">
        <f aca="false">TS_Setup!$B$34+TS_Setup!$B$33*C6</f>
        <v>82.8403384002966</v>
      </c>
      <c r="R7" s="13" t="n">
        <f aca="false">C6+TS_Setup!$B$37+TS_Setup!$B$36*P6</f>
        <v>37.2692171969477</v>
      </c>
      <c r="S7" s="13" t="n">
        <f aca="false">P7-P6</f>
        <v>3</v>
      </c>
      <c r="T7" s="12"/>
      <c r="U7" s="12"/>
    </row>
    <row r="8" customFormat="false" ht="15" hidden="false" customHeight="false" outlineLevel="0" collapsed="false">
      <c r="A8" s="11" t="n">
        <f aca="false">Daily!A8</f>
        <v>43890</v>
      </c>
      <c r="B8" s="12" t="str">
        <f aca="false">Daily!B8</f>
        <v>Sat</v>
      </c>
      <c r="C8" s="13" t="n">
        <f aca="false">Daily!C8</f>
        <v>2</v>
      </c>
      <c r="D8" s="12" t="str">
        <f aca="false">IF(ROW()&lt;=89,"Train","Test")</f>
        <v>Train</v>
      </c>
      <c r="E8" s="13" t="n">
        <f aca="false">C7</f>
        <v>0</v>
      </c>
      <c r="F8" s="13"/>
      <c r="G8" s="13" t="n">
        <f aca="false">TS_Setup!$B$14*C8+(1-TS_Setup!$B$14)*G7</f>
        <v>1.523875</v>
      </c>
      <c r="H8" s="13" t="n">
        <f aca="false">G7</f>
        <v>1.2675</v>
      </c>
      <c r="I8" s="13" t="n">
        <f aca="false">TS_Setup!$B$15*C8+(1-TS_Setup!$B$15)*(I7+J7)</f>
        <v>0.482326230976976</v>
      </c>
      <c r="J8" s="16" t="n">
        <f aca="false">TS_Setup!$B$16*(I8-I7)+(1-TS_Setup!$B$16)*J7</f>
        <v>-0.782084355895109</v>
      </c>
      <c r="K8" s="13" t="n">
        <f aca="false">I7+J7</f>
        <v>0.330391893264</v>
      </c>
      <c r="L8" s="12"/>
      <c r="M8" s="12"/>
      <c r="N8" s="13" t="n">
        <f aca="false">C8-$L$11</f>
        <v>1.14285714285714</v>
      </c>
      <c r="O8" s="12"/>
      <c r="P8" s="13" t="n">
        <f aca="false">C8-C7</f>
        <v>2</v>
      </c>
      <c r="Q8" s="13" t="n">
        <f aca="false">TS_Setup!$B$34+TS_Setup!$B$33*C7</f>
        <v>82.8403384002966</v>
      </c>
      <c r="R8" s="13" t="n">
        <f aca="false">C7+TS_Setup!$B$37+TS_Setup!$B$36*P7</f>
        <v>35.8847666865515</v>
      </c>
      <c r="S8" s="13" t="n">
        <f aca="false">P8-P7</f>
        <v>2</v>
      </c>
      <c r="T8" s="13" t="n">
        <f aca="false">AVERAGE(C5:C11)</f>
        <v>0.857142857142857</v>
      </c>
      <c r="U8" s="13" t="n">
        <f aca="false">C8-T8</f>
        <v>1.14285714285714</v>
      </c>
    </row>
    <row r="9" customFormat="false" ht="15" hidden="false" customHeight="false" outlineLevel="0" collapsed="false">
      <c r="A9" s="11" t="n">
        <f aca="false">Daily!A9</f>
        <v>43891</v>
      </c>
      <c r="B9" s="12" t="str">
        <f aca="false">Daily!B9</f>
        <v>Sun</v>
      </c>
      <c r="C9" s="13" t="n">
        <f aca="false">Daily!C9</f>
        <v>0</v>
      </c>
      <c r="D9" s="12" t="str">
        <f aca="false">IF(ROW()&lt;=89,"Train","Test")</f>
        <v>Train</v>
      </c>
      <c r="E9" s="13" t="n">
        <f aca="false">C8</f>
        <v>2</v>
      </c>
      <c r="F9" s="13"/>
      <c r="G9" s="13" t="n">
        <f aca="false">TS_Setup!$B$14*C9+(1-TS_Setup!$B$14)*G8</f>
        <v>0.99051875</v>
      </c>
      <c r="H9" s="13" t="n">
        <f aca="false">G8</f>
        <v>1.523875</v>
      </c>
      <c r="I9" s="13" t="n">
        <f aca="false">TS_Setup!$B$15*C9+(1-TS_Setup!$B$15)*(I8+J8)</f>
        <v>-0.272480135550583</v>
      </c>
      <c r="J9" s="16" t="n">
        <f aca="false">TS_Setup!$B$16*(I9-I8)+(1-TS_Setup!$B$16)*J8</f>
        <v>-0.776846981936539</v>
      </c>
      <c r="K9" s="13" t="n">
        <f aca="false">I8+J8</f>
        <v>-0.299758124918133</v>
      </c>
      <c r="L9" s="12"/>
      <c r="M9" s="12"/>
      <c r="N9" s="13" t="n">
        <f aca="false">C9-$L$11</f>
        <v>-0.857142857142857</v>
      </c>
      <c r="O9" s="12"/>
      <c r="P9" s="13" t="n">
        <f aca="false">C9-C8</f>
        <v>-2</v>
      </c>
      <c r="Q9" s="13" t="n">
        <f aca="false">TS_Setup!$B$34+TS_Setup!$B$33*C8</f>
        <v>84.6259445037371</v>
      </c>
      <c r="R9" s="13" t="n">
        <f aca="false">C8+TS_Setup!$B$37+TS_Setup!$B$36*P8</f>
        <v>36.9617996796207</v>
      </c>
      <c r="S9" s="13" t="n">
        <f aca="false">P9-P8</f>
        <v>-4</v>
      </c>
      <c r="T9" s="13" t="n">
        <f aca="false">AVERAGE(C6:C12)</f>
        <v>0.428571428571429</v>
      </c>
      <c r="U9" s="13" t="n">
        <f aca="false">C9-T9</f>
        <v>-0.428571428571429</v>
      </c>
    </row>
    <row r="10" customFormat="false" ht="15" hidden="false" customHeight="false" outlineLevel="0" collapsed="false">
      <c r="A10" s="11" t="n">
        <f aca="false">Daily!A10</f>
        <v>43892</v>
      </c>
      <c r="B10" s="12" t="str">
        <f aca="false">Daily!B10</f>
        <v>Mon</v>
      </c>
      <c r="C10" s="13" t="n">
        <f aca="false">Daily!C10</f>
        <v>1</v>
      </c>
      <c r="D10" s="12" t="str">
        <f aca="false">IF(ROW()&lt;=89,"Train","Test")</f>
        <v>Train</v>
      </c>
      <c r="E10" s="13" t="n">
        <f aca="false">C9</f>
        <v>0</v>
      </c>
      <c r="F10" s="13"/>
      <c r="G10" s="13" t="n">
        <f aca="false">TS_Setup!$B$14*C10+(1-TS_Setup!$B$14)*G9</f>
        <v>0.9938371875</v>
      </c>
      <c r="H10" s="13" t="n">
        <f aca="false">G9</f>
        <v>0.99051875</v>
      </c>
      <c r="I10" s="13" t="n">
        <f aca="false">TS_Setup!$B$15*C10+(1-TS_Setup!$B$15)*(I9+J9)</f>
        <v>-0.862838349795794</v>
      </c>
      <c r="J10" s="16" t="n">
        <f aca="false">TS_Setup!$B$16*(I10-I9)+(1-TS_Setup!$B$16)*J9</f>
        <v>-0.741041138539804</v>
      </c>
      <c r="K10" s="13" t="n">
        <f aca="false">I9+J9</f>
        <v>-1.04932711748712</v>
      </c>
      <c r="L10" s="12"/>
      <c r="M10" s="12"/>
      <c r="N10" s="13" t="n">
        <f aca="false">C10-$L$11</f>
        <v>0.142857142857143</v>
      </c>
      <c r="O10" s="12"/>
      <c r="P10" s="13" t="n">
        <f aca="false">C10-C9</f>
        <v>1</v>
      </c>
      <c r="Q10" s="13" t="n">
        <f aca="false">TS_Setup!$B$34+TS_Setup!$B$33*C9</f>
        <v>82.8403384002966</v>
      </c>
      <c r="R10" s="13" t="n">
        <f aca="false">C9+TS_Setup!$B$37+TS_Setup!$B$36*P9</f>
        <v>36.8077336934823</v>
      </c>
      <c r="S10" s="13" t="n">
        <f aca="false">P10-P9</f>
        <v>3</v>
      </c>
      <c r="T10" s="13" t="n">
        <f aca="false">AVERAGE(C7:C13)</f>
        <v>0.428571428571429</v>
      </c>
      <c r="U10" s="13" t="n">
        <f aca="false">C10-T10</f>
        <v>0.571428571428571</v>
      </c>
    </row>
    <row r="11" customFormat="false" ht="15" hidden="false" customHeight="false" outlineLevel="0" collapsed="false">
      <c r="A11" s="11" t="n">
        <f aca="false">Daily!A11</f>
        <v>43893</v>
      </c>
      <c r="B11" s="12" t="str">
        <f aca="false">Daily!B11</f>
        <v>Tue</v>
      </c>
      <c r="C11" s="13" t="n">
        <f aca="false">Daily!C11</f>
        <v>0</v>
      </c>
      <c r="D11" s="12" t="str">
        <f aca="false">IF(ROW()&lt;=89,"Train","Test")</f>
        <v>Train</v>
      </c>
      <c r="E11" s="13" t="n">
        <f aca="false">C10</f>
        <v>1</v>
      </c>
      <c r="F11" s="13"/>
      <c r="G11" s="13" t="n">
        <f aca="false">TS_Setup!$B$14*C11+(1-TS_Setup!$B$14)*G10</f>
        <v>0.645994171875</v>
      </c>
      <c r="H11" s="13" t="n">
        <f aca="false">G10</f>
        <v>0.9938371875</v>
      </c>
      <c r="I11" s="13" t="n">
        <f aca="false">TS_Setup!$B$15*C11+(1-TS_Setup!$B$15)*(I10+J10)</f>
        <v>-1.45792645489706</v>
      </c>
      <c r="J11" s="16" t="n">
        <f aca="false">TS_Setup!$B$16*(I11-I10)+(1-TS_Setup!$B$16)*J10</f>
        <v>-0.713018156119605</v>
      </c>
      <c r="K11" s="13" t="n">
        <f aca="false">I10+J10</f>
        <v>-1.6038794883356</v>
      </c>
      <c r="L11" s="13" t="n">
        <f aca="false">AVERAGE(C5:C11)</f>
        <v>0.857142857142857</v>
      </c>
      <c r="M11" s="16" t="n">
        <f aca="false">(AVERAGE(C12:C18)-AVERAGE(C5:C11))/7</f>
        <v>0.142857142857143</v>
      </c>
      <c r="N11" s="13" t="n">
        <f aca="false">C11-$L$11</f>
        <v>-0.857142857142857</v>
      </c>
      <c r="O11" s="12"/>
      <c r="P11" s="13" t="n">
        <f aca="false">C11-C10</f>
        <v>-1</v>
      </c>
      <c r="Q11" s="13" t="n">
        <f aca="false">TS_Setup!$B$34+TS_Setup!$B$33*C10</f>
        <v>83.7331414520169</v>
      </c>
      <c r="R11" s="13" t="n">
        <f aca="false">C10+TS_Setup!$B$37+TS_Setup!$B$36*P10</f>
        <v>36.4232831830861</v>
      </c>
      <c r="S11" s="13" t="n">
        <f aca="false">P11-P10</f>
        <v>-2</v>
      </c>
      <c r="T11" s="13" t="n">
        <f aca="false">AVERAGE(C8:C14)</f>
        <v>0.428571428571429</v>
      </c>
      <c r="U11" s="13" t="n">
        <f aca="false">C11-T11</f>
        <v>-0.428571428571429</v>
      </c>
    </row>
    <row r="12" customFormat="false" ht="15" hidden="false" customHeight="false" outlineLevel="0" collapsed="false">
      <c r="A12" s="11" t="n">
        <f aca="false">Daily!A12</f>
        <v>43894</v>
      </c>
      <c r="B12" s="12" t="str">
        <f aca="false">Daily!B12</f>
        <v>Wed</v>
      </c>
      <c r="C12" s="13" t="n">
        <f aca="false">Daily!C12</f>
        <v>0</v>
      </c>
      <c r="D12" s="12" t="str">
        <f aca="false">IF(ROW()&lt;=89,"Train","Test")</f>
        <v>Train</v>
      </c>
      <c r="E12" s="13" t="n">
        <f aca="false">C11</f>
        <v>0</v>
      </c>
      <c r="F12" s="13" t="n">
        <f aca="false">AVERAGE(C5:C11)</f>
        <v>0.857142857142857</v>
      </c>
      <c r="G12" s="13" t="n">
        <f aca="false">TS_Setup!$B$14*C12+(1-TS_Setup!$B$14)*G11</f>
        <v>0.41989621171875</v>
      </c>
      <c r="H12" s="13" t="n">
        <f aca="false">G11</f>
        <v>0.645994171875</v>
      </c>
      <c r="I12" s="13" t="n">
        <f aca="false">TS_Setup!$B$15*C12+(1-TS_Setup!$B$15)*(I11+J11)</f>
        <v>-1.97338865141415</v>
      </c>
      <c r="J12" s="16" t="n">
        <f aca="false">TS_Setup!$B$16*(I12-I11)+(1-TS_Setup!$B$16)*J11</f>
        <v>-0.675087411875922</v>
      </c>
      <c r="K12" s="13" t="n">
        <f aca="false">I11+J11</f>
        <v>-2.17094461101666</v>
      </c>
      <c r="L12" s="13" t="n">
        <f aca="false">TS_Setup!$B$17*(C12-N5)+(1-TS_Setup!$B$17)*(L11+M11)</f>
        <v>0.723428571428572</v>
      </c>
      <c r="M12" s="16" t="n">
        <f aca="false">TS_Setup!$B$18*(L12-L11)+(1-TS_Setup!$B$18)*M11</f>
        <v>0.0889257142857143</v>
      </c>
      <c r="N12" s="13" t="n">
        <f aca="false">TS_Setup!$B$19*(C12-L12)+(1-TS_Setup!$B$19)*N5</f>
        <v>2.11419428571429</v>
      </c>
      <c r="O12" s="13" t="n">
        <f aca="false">L11+M11+N5</f>
        <v>3.14285714285714</v>
      </c>
      <c r="P12" s="13" t="n">
        <f aca="false">C12-C11</f>
        <v>0</v>
      </c>
      <c r="Q12" s="13" t="n">
        <f aca="false">TS_Setup!$B$34+TS_Setup!$B$33*C11</f>
        <v>82.8403384002966</v>
      </c>
      <c r="R12" s="13" t="n">
        <f aca="false">C11+TS_Setup!$B$37+TS_Setup!$B$36*P11</f>
        <v>36.3462501900169</v>
      </c>
      <c r="S12" s="13" t="n">
        <f aca="false">P12-P11</f>
        <v>1</v>
      </c>
      <c r="T12" s="13" t="n">
        <f aca="false">AVERAGE(C9:C15)</f>
        <v>0.285714285714286</v>
      </c>
      <c r="U12" s="13" t="n">
        <f aca="false">C12-T12</f>
        <v>-0.285714285714286</v>
      </c>
    </row>
    <row r="13" customFormat="false" ht="15" hidden="false" customHeight="false" outlineLevel="0" collapsed="false">
      <c r="A13" s="11" t="n">
        <f aca="false">Daily!A13</f>
        <v>43895</v>
      </c>
      <c r="B13" s="12" t="str">
        <f aca="false">Daily!B13</f>
        <v>Thu</v>
      </c>
      <c r="C13" s="13" t="n">
        <f aca="false">Daily!C13</f>
        <v>0</v>
      </c>
      <c r="D13" s="12" t="str">
        <f aca="false">IF(ROW()&lt;=89,"Train","Test")</f>
        <v>Train</v>
      </c>
      <c r="E13" s="13" t="n">
        <f aca="false">C12</f>
        <v>0</v>
      </c>
      <c r="F13" s="13" t="n">
        <f aca="false">AVERAGE(C6:C12)</f>
        <v>0.428571428571429</v>
      </c>
      <c r="G13" s="13" t="n">
        <f aca="false">TS_Setup!$B$14*C13+(1-TS_Setup!$B$14)*G12</f>
        <v>0.272932537617188</v>
      </c>
      <c r="H13" s="13" t="n">
        <f aca="false">G12</f>
        <v>0.41989621171875</v>
      </c>
      <c r="I13" s="13" t="n">
        <f aca="false">TS_Setup!$B$15*C13+(1-TS_Setup!$B$15)*(I12+J12)</f>
        <v>-2.40746474153067</v>
      </c>
      <c r="J13" s="16" t="n">
        <f aca="false">TS_Setup!$B$16*(I13-I12)+(1-TS_Setup!$B$16)*J12</f>
        <v>-0.628813238098118</v>
      </c>
      <c r="K13" s="13" t="n">
        <f aca="false">I12+J12</f>
        <v>-2.64847606329007</v>
      </c>
      <c r="L13" s="13" t="n">
        <f aca="false">TS_Setup!$B$17*(C13-N6)+(1-TS_Setup!$B$17)*(L12+M12)</f>
        <v>0.81629568</v>
      </c>
      <c r="M13" s="16" t="n">
        <f aca="false">TS_Setup!$B$18*(L13-L12)+(1-TS_Setup!$B$18)*M12</f>
        <v>0.0896942861714286</v>
      </c>
      <c r="N13" s="13" t="n">
        <f aca="false">TS_Setup!$B$19*(C13-L13)+(1-TS_Setup!$B$19)*N6</f>
        <v>-0.856734385371429</v>
      </c>
      <c r="O13" s="13" t="n">
        <f aca="false">L12+M12+N6</f>
        <v>-0.0447885714285713</v>
      </c>
      <c r="P13" s="13" t="n">
        <f aca="false">C13-C12</f>
        <v>0</v>
      </c>
      <c r="Q13" s="13" t="n">
        <f aca="false">TS_Setup!$B$34+TS_Setup!$B$33*C12</f>
        <v>82.8403384002966</v>
      </c>
      <c r="R13" s="13" t="n">
        <f aca="false">C12+TS_Setup!$B$37+TS_Setup!$B$36*P12</f>
        <v>35.8847666865515</v>
      </c>
      <c r="S13" s="13" t="n">
        <f aca="false">P13-P12</f>
        <v>0</v>
      </c>
      <c r="T13" s="13" t="n">
        <f aca="false">AVERAGE(C10:C16)</f>
        <v>0.285714285714286</v>
      </c>
      <c r="U13" s="13" t="n">
        <f aca="false">C13-T13</f>
        <v>-0.285714285714286</v>
      </c>
    </row>
    <row r="14" customFormat="false" ht="15" hidden="false" customHeight="false" outlineLevel="0" collapsed="false">
      <c r="A14" s="11" t="n">
        <f aca="false">Daily!A14</f>
        <v>43896</v>
      </c>
      <c r="B14" s="12" t="str">
        <f aca="false">Daily!B14</f>
        <v>Fri</v>
      </c>
      <c r="C14" s="13" t="n">
        <f aca="false">Daily!C14</f>
        <v>0</v>
      </c>
      <c r="D14" s="12" t="str">
        <f aca="false">IF(ROW()&lt;=89,"Train","Test")</f>
        <v>Train</v>
      </c>
      <c r="E14" s="13" t="n">
        <f aca="false">C13</f>
        <v>0</v>
      </c>
      <c r="F14" s="13" t="n">
        <f aca="false">AVERAGE(C7:C13)</f>
        <v>0.428571428571429</v>
      </c>
      <c r="G14" s="13" t="n">
        <f aca="false">TS_Setup!$B$14*C14+(1-TS_Setup!$B$14)*G13</f>
        <v>0.177406149451172</v>
      </c>
      <c r="H14" s="13" t="n">
        <f aca="false">G13</f>
        <v>0.272932537617188</v>
      </c>
      <c r="I14" s="13" t="n">
        <f aca="false">TS_Setup!$B$15*C14+(1-TS_Setup!$B$15)*(I13+J13)</f>
        <v>-2.75997668348257</v>
      </c>
      <c r="J14" s="16" t="n">
        <f aca="false">TS_Setup!$B$16*(I14-I13)+(1-TS_Setup!$B$16)*J13</f>
        <v>-0.575763389238044</v>
      </c>
      <c r="K14" s="13" t="n">
        <f aca="false">I13+J13</f>
        <v>-3.03627797962879</v>
      </c>
      <c r="L14" s="13" t="n">
        <f aca="false">TS_Setup!$B$17*(C14-N7)+(1-TS_Setup!$B$17)*(L13+M13)</f>
        <v>0.901691420576914</v>
      </c>
      <c r="M14" s="16" t="n">
        <f aca="false">TS_Setup!$B$18*(L14-L13)+(1-TS_Setup!$B$18)*M13</f>
        <v>0.0888560697804983</v>
      </c>
      <c r="N14" s="13" t="n">
        <f aca="false">TS_Setup!$B$19*(C14-L14)+(1-TS_Setup!$B$19)*N7</f>
        <v>-0.857588342777198</v>
      </c>
      <c r="O14" s="13" t="n">
        <f aca="false">L13+M13+N7</f>
        <v>0.0488471090285716</v>
      </c>
      <c r="P14" s="13" t="n">
        <f aca="false">C14-C13</f>
        <v>0</v>
      </c>
      <c r="Q14" s="13" t="n">
        <f aca="false">TS_Setup!$B$34+TS_Setup!$B$33*C13</f>
        <v>82.8403384002966</v>
      </c>
      <c r="R14" s="13" t="n">
        <f aca="false">C13+TS_Setup!$B$37+TS_Setup!$B$36*P13</f>
        <v>35.8847666865515</v>
      </c>
      <c r="S14" s="13" t="n">
        <f aca="false">P14-P13</f>
        <v>0</v>
      </c>
      <c r="T14" s="13" t="n">
        <f aca="false">AVERAGE(C11:C17)</f>
        <v>1.42857142857143</v>
      </c>
      <c r="U14" s="13" t="n">
        <f aca="false">C14-T14</f>
        <v>-1.42857142857143</v>
      </c>
    </row>
    <row r="15" customFormat="false" ht="15" hidden="false" customHeight="false" outlineLevel="0" collapsed="false">
      <c r="A15" s="11" t="n">
        <f aca="false">Daily!A15</f>
        <v>43897</v>
      </c>
      <c r="B15" s="12" t="str">
        <f aca="false">Daily!B15</f>
        <v>Sat</v>
      </c>
      <c r="C15" s="13" t="n">
        <f aca="false">Daily!C15</f>
        <v>1</v>
      </c>
      <c r="D15" s="12" t="str">
        <f aca="false">IF(ROW()&lt;=89,"Train","Test")</f>
        <v>Train</v>
      </c>
      <c r="E15" s="13" t="n">
        <f aca="false">C14</f>
        <v>0</v>
      </c>
      <c r="F15" s="13" t="n">
        <f aca="false">AVERAGE(C8:C14)</f>
        <v>0.428571428571429</v>
      </c>
      <c r="G15" s="13" t="n">
        <f aca="false">TS_Setup!$B$14*C15+(1-TS_Setup!$B$14)*G14</f>
        <v>0.465313997143262</v>
      </c>
      <c r="H15" s="13" t="n">
        <f aca="false">G14</f>
        <v>0.177406149451172</v>
      </c>
      <c r="I15" s="13" t="n">
        <f aca="false">TS_Setup!$B$15*C15+(1-TS_Setup!$B$15)*(I14+J14)</f>
        <v>-2.94118772610304</v>
      </c>
      <c r="J15" s="16" t="n">
        <f aca="false">TS_Setup!$B$16*(I15-I14)+(1-TS_Setup!$B$16)*J14</f>
        <v>-0.500009338687469</v>
      </c>
      <c r="K15" s="13" t="n">
        <f aca="false">I14+J14</f>
        <v>-3.33574007272061</v>
      </c>
      <c r="L15" s="13" t="n">
        <f aca="false">TS_Setup!$B$17*(C15-N8)+(1-TS_Setup!$B$17)*(L14+M14)</f>
        <v>0.890807882634532</v>
      </c>
      <c r="M15" s="16" t="n">
        <f aca="false">TS_Setup!$B$18*(L15-L14)+(1-TS_Setup!$B$18)*M14</f>
        <v>0.0694068462745365</v>
      </c>
      <c r="N15" s="13" t="n">
        <f aca="false">TS_Setup!$B$19*(C15-L15)+(1-TS_Setup!$B$19)*N8</f>
        <v>1.13252049260223</v>
      </c>
      <c r="O15" s="13" t="n">
        <f aca="false">L14+M14+N8</f>
        <v>2.13340463321456</v>
      </c>
      <c r="P15" s="13" t="n">
        <f aca="false">C15-C14</f>
        <v>1</v>
      </c>
      <c r="Q15" s="13" t="n">
        <f aca="false">TS_Setup!$B$34+TS_Setup!$B$33*C14</f>
        <v>82.8403384002966</v>
      </c>
      <c r="R15" s="13" t="n">
        <f aca="false">C14+TS_Setup!$B$37+TS_Setup!$B$36*P14</f>
        <v>35.8847666865515</v>
      </c>
      <c r="S15" s="13" t="n">
        <f aca="false">P15-P14</f>
        <v>1</v>
      </c>
      <c r="T15" s="13" t="n">
        <f aca="false">AVERAGE(C12:C18)</f>
        <v>1.85714285714286</v>
      </c>
      <c r="U15" s="13" t="n">
        <f aca="false">C15-T15</f>
        <v>-0.857142857142857</v>
      </c>
    </row>
    <row r="16" customFormat="false" ht="15" hidden="false" customHeight="false" outlineLevel="0" collapsed="false">
      <c r="A16" s="11" t="n">
        <f aca="false">Daily!A16</f>
        <v>43898</v>
      </c>
      <c r="B16" s="12" t="str">
        <f aca="false">Daily!B16</f>
        <v>Sun</v>
      </c>
      <c r="C16" s="13" t="n">
        <f aca="false">Daily!C16</f>
        <v>0</v>
      </c>
      <c r="D16" s="12" t="str">
        <f aca="false">IF(ROW()&lt;=89,"Train","Test")</f>
        <v>Train</v>
      </c>
      <c r="E16" s="13" t="n">
        <f aca="false">C15</f>
        <v>1</v>
      </c>
      <c r="F16" s="13" t="n">
        <f aca="false">AVERAGE(C9:C15)</f>
        <v>0.285714285714286</v>
      </c>
      <c r="G16" s="13" t="n">
        <f aca="false">TS_Setup!$B$14*C16+(1-TS_Setup!$B$14)*G15</f>
        <v>0.30245409814312</v>
      </c>
      <c r="H16" s="13" t="n">
        <f aca="false">G15</f>
        <v>0.465313997143262</v>
      </c>
      <c r="I16" s="13" t="n">
        <f aca="false">TS_Setup!$B$15*C16+(1-TS_Setup!$B$15)*(I15+J15)</f>
        <v>-3.12804813189457</v>
      </c>
      <c r="J16" s="16" t="n">
        <f aca="false">TS_Setup!$B$16*(I16-I15)+(1-TS_Setup!$B$16)*J15</f>
        <v>-0.439884743571449</v>
      </c>
      <c r="K16" s="13" t="n">
        <f aca="false">I15+J15</f>
        <v>-3.44119706479051</v>
      </c>
      <c r="L16" s="13" t="n">
        <f aca="false">TS_Setup!$B$17*(C16-N9)+(1-TS_Setup!$B$17)*(L15+M15)</f>
        <v>0.951144404193642</v>
      </c>
      <c r="M16" s="16" t="n">
        <f aca="false">TS_Setup!$B$18*(L16-L15)+(1-TS_Setup!$B$18)*M15</f>
        <v>0.0676381329550283</v>
      </c>
      <c r="N16" s="13" t="n">
        <f aca="false">TS_Setup!$B$19*(C16-L16)+(1-TS_Setup!$B$19)*N9</f>
        <v>-0.858082872613365</v>
      </c>
      <c r="O16" s="13" t="n">
        <f aca="false">L15+M15+N9</f>
        <v>0.103071871766211</v>
      </c>
      <c r="P16" s="13" t="n">
        <f aca="false">C16-C15</f>
        <v>-1</v>
      </c>
      <c r="Q16" s="13" t="n">
        <f aca="false">TS_Setup!$B$34+TS_Setup!$B$33*C15</f>
        <v>83.7331414520169</v>
      </c>
      <c r="R16" s="13" t="n">
        <f aca="false">C15+TS_Setup!$B$37+TS_Setup!$B$36*P15</f>
        <v>36.4232831830861</v>
      </c>
      <c r="S16" s="13" t="n">
        <f aca="false">P16-P15</f>
        <v>-2</v>
      </c>
      <c r="T16" s="13" t="n">
        <f aca="false">AVERAGE(C13:C19)</f>
        <v>2</v>
      </c>
      <c r="U16" s="13" t="n">
        <f aca="false">C16-T16</f>
        <v>-2</v>
      </c>
    </row>
    <row r="17" customFormat="false" ht="15" hidden="false" customHeight="false" outlineLevel="0" collapsed="false">
      <c r="A17" s="11" t="n">
        <f aca="false">Daily!A17</f>
        <v>43899</v>
      </c>
      <c r="B17" s="12" t="str">
        <f aca="false">Daily!B17</f>
        <v>Mon</v>
      </c>
      <c r="C17" s="13" t="n">
        <f aca="false">Daily!C17</f>
        <v>9</v>
      </c>
      <c r="D17" s="12" t="str">
        <f aca="false">IF(ROW()&lt;=89,"Train","Test")</f>
        <v>Train</v>
      </c>
      <c r="E17" s="13" t="n">
        <f aca="false">C16</f>
        <v>0</v>
      </c>
      <c r="F17" s="13" t="n">
        <f aca="false">AVERAGE(C10:C16)</f>
        <v>0.285714285714286</v>
      </c>
      <c r="G17" s="13" t="n">
        <f aca="false">TS_Setup!$B$14*C17+(1-TS_Setup!$B$14)*G16</f>
        <v>3.34659516379303</v>
      </c>
      <c r="H17" s="13" t="n">
        <f aca="false">G16</f>
        <v>0.30245409814312</v>
      </c>
      <c r="I17" s="13" t="n">
        <f aca="false">TS_Setup!$B$15*C17+(1-TS_Setup!$B$15)*(I16+J16)</f>
        <v>-2.42425098379861</v>
      </c>
      <c r="J17" s="16" t="n">
        <f aca="false">TS_Setup!$B$16*(I17-I16)+(1-TS_Setup!$B$16)*J16</f>
        <v>-0.220297820371307</v>
      </c>
      <c r="K17" s="13" t="n">
        <f aca="false">I16+J16</f>
        <v>-3.56793287546602</v>
      </c>
      <c r="L17" s="13" t="n">
        <f aca="false">TS_Setup!$B$17*(C17-N10)+(1-TS_Setup!$B$17)*(L16+M16)</f>
        <v>1.70855824530816</v>
      </c>
      <c r="M17" s="16" t="n">
        <f aca="false">TS_Setup!$B$18*(L17-L16)+(1-TS_Setup!$B$18)*M16</f>
        <v>0.202144396046129</v>
      </c>
      <c r="N17" s="13" t="n">
        <f aca="false">TS_Setup!$B$19*(C17-L17)+(1-TS_Setup!$B$19)*N10</f>
        <v>0.21434298897549</v>
      </c>
      <c r="O17" s="13" t="n">
        <f aca="false">L16+M16+N10</f>
        <v>1.16163968000581</v>
      </c>
      <c r="P17" s="13" t="n">
        <f aca="false">C17-C16</f>
        <v>9</v>
      </c>
      <c r="Q17" s="13" t="n">
        <f aca="false">TS_Setup!$B$34+TS_Setup!$B$33*C16</f>
        <v>82.8403384002966</v>
      </c>
      <c r="R17" s="13" t="n">
        <f aca="false">C16+TS_Setup!$B$37+TS_Setup!$B$36*P16</f>
        <v>36.3462501900169</v>
      </c>
      <c r="S17" s="13" t="n">
        <f aca="false">P17-P16</f>
        <v>10</v>
      </c>
      <c r="T17" s="13" t="n">
        <f aca="false">AVERAGE(C14:C20)</f>
        <v>2.14285714285714</v>
      </c>
      <c r="U17" s="13" t="n">
        <f aca="false">C17-T17</f>
        <v>6.85714285714286</v>
      </c>
    </row>
    <row r="18" customFormat="false" ht="15" hidden="false" customHeight="false" outlineLevel="0" collapsed="false">
      <c r="A18" s="11" t="n">
        <f aca="false">Daily!A18</f>
        <v>43900</v>
      </c>
      <c r="B18" s="12" t="str">
        <f aca="false">Daily!B18</f>
        <v>Tue</v>
      </c>
      <c r="C18" s="13" t="n">
        <f aca="false">Daily!C18</f>
        <v>3</v>
      </c>
      <c r="D18" s="12" t="str">
        <f aca="false">IF(ROW()&lt;=89,"Train","Test")</f>
        <v>Train</v>
      </c>
      <c r="E18" s="13" t="n">
        <f aca="false">C17</f>
        <v>9</v>
      </c>
      <c r="F18" s="13" t="n">
        <f aca="false">AVERAGE(C11:C17)</f>
        <v>1.42857142857143</v>
      </c>
      <c r="G18" s="13" t="n">
        <f aca="false">TS_Setup!$B$14*C18+(1-TS_Setup!$B$14)*G17</f>
        <v>3.22528685646547</v>
      </c>
      <c r="H18" s="13" t="n">
        <f aca="false">G17</f>
        <v>3.34659516379303</v>
      </c>
      <c r="I18" s="13" t="n">
        <f aca="false">TS_Setup!$B$15*C18+(1-TS_Setup!$B$15)*(I17+J17)</f>
        <v>-2.13089486299046</v>
      </c>
      <c r="J18" s="16" t="n">
        <f aca="false">TS_Setup!$B$16*(I18-I17)+(1-TS_Setup!$B$16)*J17</f>
        <v>-0.12167626366485</v>
      </c>
      <c r="K18" s="13" t="n">
        <f aca="false">I17+J17</f>
        <v>-2.64454880416992</v>
      </c>
      <c r="L18" s="13" t="n">
        <f aca="false">TS_Setup!$B$17*(C18-N11)+(1-TS_Setup!$B$17)*(L17+M17)</f>
        <v>2.08198938034368</v>
      </c>
      <c r="M18" s="16" t="n">
        <f aca="false">TS_Setup!$B$18*(L18-L17)+(1-TS_Setup!$B$18)*M17</f>
        <v>0.235545310149061</v>
      </c>
      <c r="N18" s="13" t="n">
        <f aca="false">TS_Setup!$B$19*(C18-L18)+(1-TS_Setup!$B$19)*N11</f>
        <v>-0.839391322374865</v>
      </c>
      <c r="O18" s="13" t="n">
        <f aca="false">L17+M17+N11</f>
        <v>1.05355978421143</v>
      </c>
      <c r="P18" s="13" t="n">
        <f aca="false">C18-C17</f>
        <v>-6</v>
      </c>
      <c r="Q18" s="13" t="n">
        <f aca="false">TS_Setup!$B$34+TS_Setup!$B$33*C17</f>
        <v>90.8755658657787</v>
      </c>
      <c r="R18" s="13" t="n">
        <f aca="false">C17+TS_Setup!$B$37+TS_Setup!$B$36*P17</f>
        <v>40.7314151553628</v>
      </c>
      <c r="S18" s="13" t="n">
        <f aca="false">P18-P17</f>
        <v>-15</v>
      </c>
      <c r="T18" s="13" t="n">
        <f aca="false">AVERAGE(C15:C21)</f>
        <v>3.42857142857143</v>
      </c>
      <c r="U18" s="13" t="n">
        <f aca="false">C18-T18</f>
        <v>-0.428571428571428</v>
      </c>
    </row>
    <row r="19" customFormat="false" ht="15" hidden="false" customHeight="false" outlineLevel="0" collapsed="false">
      <c r="A19" s="11" t="n">
        <f aca="false">Daily!A19</f>
        <v>43901</v>
      </c>
      <c r="B19" s="12" t="str">
        <f aca="false">Daily!B19</f>
        <v>Wed</v>
      </c>
      <c r="C19" s="13" t="n">
        <f aca="false">Daily!C19</f>
        <v>1</v>
      </c>
      <c r="D19" s="12" t="str">
        <f aca="false">IF(ROW()&lt;=89,"Train","Test")</f>
        <v>Train</v>
      </c>
      <c r="E19" s="13" t="n">
        <f aca="false">C18</f>
        <v>3</v>
      </c>
      <c r="F19" s="13" t="n">
        <f aca="false">AVERAGE(C12:C18)</f>
        <v>1.85714285714286</v>
      </c>
      <c r="G19" s="13" t="n">
        <f aca="false">TS_Setup!$B$14*C19+(1-TS_Setup!$B$14)*G18</f>
        <v>2.44643645670255</v>
      </c>
      <c r="H19" s="13" t="n">
        <f aca="false">G18</f>
        <v>3.22528685646547</v>
      </c>
      <c r="I19" s="13" t="n">
        <f aca="false">TS_Setup!$B$15*C19+(1-TS_Setup!$B$15)*(I18+J18)</f>
        <v>-1.95658715412967</v>
      </c>
      <c r="J19" s="16" t="n">
        <f aca="false">TS_Setup!$B$16*(I19-I18)+(1-TS_Setup!$B$16)*J18</f>
        <v>-0.0648473409399286</v>
      </c>
      <c r="K19" s="13" t="n">
        <f aca="false">I18+J18</f>
        <v>-2.25257112665531</v>
      </c>
      <c r="L19" s="13" t="n">
        <f aca="false">TS_Setup!$B$17*(C19-N12)+(1-TS_Setup!$B$17)*(L18+M18)</f>
        <v>2.01554254058652</v>
      </c>
      <c r="M19" s="16" t="n">
        <f aca="false">TS_Setup!$B$18*(L19-L18)+(1-TS_Setup!$B$18)*M18</f>
        <v>0.176656840917348</v>
      </c>
      <c r="N19" s="13" t="n">
        <f aca="false">TS_Setup!$B$19*(C19-L19)+(1-TS_Setup!$B$19)*N12</f>
        <v>2.08289691745128</v>
      </c>
      <c r="O19" s="13" t="n">
        <f aca="false">L18+M18+N12</f>
        <v>4.43172897620703</v>
      </c>
      <c r="P19" s="13" t="n">
        <f aca="false">C19-C18</f>
        <v>-2</v>
      </c>
      <c r="Q19" s="13" t="n">
        <f aca="false">TS_Setup!$B$34+TS_Setup!$B$33*C18</f>
        <v>85.5187475554573</v>
      </c>
      <c r="R19" s="13" t="n">
        <f aca="false">C18+TS_Setup!$B$37+TS_Setup!$B$36*P18</f>
        <v>41.6536677073439</v>
      </c>
      <c r="S19" s="13" t="n">
        <f aca="false">P19-P18</f>
        <v>4</v>
      </c>
      <c r="T19" s="13" t="n">
        <f aca="false">AVERAGE(C16:C22)</f>
        <v>3.28571428571429</v>
      </c>
      <c r="U19" s="13" t="n">
        <f aca="false">C19-T19</f>
        <v>-2.28571428571429</v>
      </c>
    </row>
    <row r="20" customFormat="false" ht="15" hidden="false" customHeight="false" outlineLevel="0" collapsed="false">
      <c r="A20" s="11" t="n">
        <f aca="false">Daily!A20</f>
        <v>43902</v>
      </c>
      <c r="B20" s="12" t="str">
        <f aca="false">Daily!B20</f>
        <v>Thu</v>
      </c>
      <c r="C20" s="13" t="n">
        <f aca="false">Daily!C20</f>
        <v>1</v>
      </c>
      <c r="D20" s="12" t="str">
        <f aca="false">IF(ROW()&lt;=89,"Train","Test")</f>
        <v>Train</v>
      </c>
      <c r="E20" s="13" t="n">
        <f aca="false">C19</f>
        <v>1</v>
      </c>
      <c r="F20" s="13" t="n">
        <f aca="false">AVERAGE(C13:C19)</f>
        <v>2</v>
      </c>
      <c r="G20" s="13" t="n">
        <f aca="false">TS_Setup!$B$14*C20+(1-TS_Setup!$B$14)*G19</f>
        <v>1.94018369685666</v>
      </c>
      <c r="H20" s="13" t="n">
        <f aca="false">G19</f>
        <v>2.44643645670255</v>
      </c>
      <c r="I20" s="13" t="n">
        <f aca="false">TS_Setup!$B$15*C20+(1-TS_Setup!$B$15)*(I19+J19)</f>
        <v>-1.74648395601827</v>
      </c>
      <c r="J20" s="16" t="n">
        <f aca="false">TS_Setup!$B$16*(I20-I19)+(1-TS_Setup!$B$16)*J19</f>
        <v>-0.0120568374420726</v>
      </c>
      <c r="K20" s="13" t="n">
        <f aca="false">I19+J19</f>
        <v>-2.0214344950696</v>
      </c>
      <c r="L20" s="13" t="n">
        <f aca="false">TS_Setup!$B$17*(C20-N13)+(1-TS_Setup!$B$17)*(L19+M19)</f>
        <v>2.16267846184422</v>
      </c>
      <c r="M20" s="16" t="n">
        <f aca="false">TS_Setup!$B$18*(L20-L19)+(1-TS_Setup!$B$18)*M19</f>
        <v>0.170900261583715</v>
      </c>
      <c r="N20" s="13" t="n">
        <f aca="false">TS_Setup!$B$19*(C20-L20)+(1-TS_Setup!$B$19)*N13</f>
        <v>-0.859793826136156</v>
      </c>
      <c r="O20" s="13" t="n">
        <f aca="false">L19+M19+N13</f>
        <v>1.33546499613244</v>
      </c>
      <c r="P20" s="13" t="n">
        <f aca="false">C20-C19</f>
        <v>0</v>
      </c>
      <c r="Q20" s="13" t="n">
        <f aca="false">TS_Setup!$B$34+TS_Setup!$B$33*C19</f>
        <v>83.7331414520169</v>
      </c>
      <c r="R20" s="13" t="n">
        <f aca="false">C19+TS_Setup!$B$37+TS_Setup!$B$36*P19</f>
        <v>37.8077336934823</v>
      </c>
      <c r="S20" s="13" t="n">
        <f aca="false">P20-P19</f>
        <v>2</v>
      </c>
      <c r="T20" s="13" t="n">
        <f aca="false">AVERAGE(C17:C23)</f>
        <v>8.14285714285714</v>
      </c>
      <c r="U20" s="13" t="n">
        <f aca="false">C20-T20</f>
        <v>-7.14285714285714</v>
      </c>
    </row>
    <row r="21" customFormat="false" ht="15" hidden="false" customHeight="false" outlineLevel="0" collapsed="false">
      <c r="A21" s="11" t="n">
        <f aca="false">Daily!A21</f>
        <v>43903</v>
      </c>
      <c r="B21" s="12" t="str">
        <f aca="false">Daily!B21</f>
        <v>Fri</v>
      </c>
      <c r="C21" s="13" t="n">
        <f aca="false">Daily!C21</f>
        <v>9</v>
      </c>
      <c r="D21" s="12" t="str">
        <f aca="false">IF(ROW()&lt;=89,"Train","Test")</f>
        <v>Train</v>
      </c>
      <c r="E21" s="13" t="n">
        <f aca="false">C20</f>
        <v>1</v>
      </c>
      <c r="F21" s="13" t="n">
        <f aca="false">AVERAGE(C14:C20)</f>
        <v>2.14285714285714</v>
      </c>
      <c r="G21" s="13" t="n">
        <f aca="false">TS_Setup!$B$14*C21+(1-TS_Setup!$B$14)*G20</f>
        <v>4.41111940295683</v>
      </c>
      <c r="H21" s="13" t="n">
        <f aca="false">G20</f>
        <v>1.94018369685666</v>
      </c>
      <c r="I21" s="13" t="n">
        <f aca="false">TS_Setup!$B$15*C21+(1-TS_Setup!$B$15)*(I20+J20)</f>
        <v>-0.77951358125545</v>
      </c>
      <c r="J21" s="16" t="n">
        <f aca="false">TS_Setup!$B$16*(I21-I20)+(1-TS_Setup!$B$16)*J20</f>
        <v>0.175916387301266</v>
      </c>
      <c r="K21" s="13" t="n">
        <f aca="false">I20+J20</f>
        <v>-1.75854079346034</v>
      </c>
      <c r="L21" s="13" t="n">
        <f aca="false">TS_Setup!$B$17*(C21-N14)+(1-TS_Setup!$B$17)*(L20+M20)</f>
        <v>2.99569156993067</v>
      </c>
      <c r="M21" s="16" t="n">
        <f aca="false">TS_Setup!$B$18*(L21-L20)+(1-TS_Setup!$B$18)*M20</f>
        <v>0.300012266651749</v>
      </c>
      <c r="N21" s="13" t="n">
        <f aca="false">TS_Setup!$B$19*(C21-L21)+(1-TS_Setup!$B$19)*N14</f>
        <v>-0.788969375048732</v>
      </c>
      <c r="O21" s="13" t="n">
        <f aca="false">L20+M20+N14</f>
        <v>1.47599038065073</v>
      </c>
      <c r="P21" s="13" t="n">
        <f aca="false">C21-C20</f>
        <v>8</v>
      </c>
      <c r="Q21" s="13" t="n">
        <f aca="false">TS_Setup!$B$34+TS_Setup!$B$33*C20</f>
        <v>83.7331414520169</v>
      </c>
      <c r="R21" s="13" t="n">
        <f aca="false">C20+TS_Setup!$B$37+TS_Setup!$B$36*P20</f>
        <v>36.8847666865515</v>
      </c>
      <c r="S21" s="13" t="n">
        <f aca="false">P21-P20</f>
        <v>8</v>
      </c>
      <c r="T21" s="13" t="n">
        <f aca="false">AVERAGE(C18:C24)</f>
        <v>28.4285714285714</v>
      </c>
      <c r="U21" s="13" t="n">
        <f aca="false">C21-T21</f>
        <v>-19.4285714285714</v>
      </c>
    </row>
    <row r="22" customFormat="false" ht="15" hidden="false" customHeight="false" outlineLevel="0" collapsed="false">
      <c r="A22" s="11" t="n">
        <f aca="false">Daily!A22</f>
        <v>43904</v>
      </c>
      <c r="B22" s="12" t="str">
        <f aca="false">Daily!B22</f>
        <v>Sat</v>
      </c>
      <c r="C22" s="13" t="n">
        <f aca="false">Daily!C22</f>
        <v>0</v>
      </c>
      <c r="D22" s="12" t="str">
        <f aca="false">IF(ROW()&lt;=89,"Train","Test")</f>
        <v>Train</v>
      </c>
      <c r="E22" s="13" t="n">
        <f aca="false">C21</f>
        <v>9</v>
      </c>
      <c r="F22" s="13" t="n">
        <f aca="false">AVERAGE(C15:C21)</f>
        <v>3.42857142857143</v>
      </c>
      <c r="G22" s="13" t="n">
        <f aca="false">TS_Setup!$B$14*C22+(1-TS_Setup!$B$14)*G21</f>
        <v>2.86722761192194</v>
      </c>
      <c r="H22" s="13" t="n">
        <f aca="false">G21</f>
        <v>4.41111940295683</v>
      </c>
      <c r="I22" s="13" t="n">
        <f aca="false">TS_Setup!$B$15*C22+(1-TS_Setup!$B$15)*(I21+J21)</f>
        <v>-0.548669849304353</v>
      </c>
      <c r="J22" s="16" t="n">
        <f aca="false">TS_Setup!$B$16*(I22-I21)+(1-TS_Setup!$B$16)*J21</f>
        <v>0.186462437474034</v>
      </c>
      <c r="K22" s="13" t="n">
        <f aca="false">I21+J21</f>
        <v>-0.603597193954184</v>
      </c>
      <c r="L22" s="13" t="n">
        <f aca="false">TS_Setup!$B$17*(C22-N15)+(1-TS_Setup!$B$17)*(L21+M21)</f>
        <v>2.90602009561417</v>
      </c>
      <c r="M22" s="16" t="n">
        <f aca="false">TS_Setup!$B$18*(L22-L21)+(1-TS_Setup!$B$18)*M21</f>
        <v>0.22402393716294</v>
      </c>
      <c r="N22" s="13" t="n">
        <f aca="false">TS_Setup!$B$19*(C22-L22)+(1-TS_Setup!$B$19)*N15</f>
        <v>1.09213508672006</v>
      </c>
      <c r="O22" s="13" t="n">
        <f aca="false">L21+M21+N15</f>
        <v>4.42822432918464</v>
      </c>
      <c r="P22" s="13" t="n">
        <f aca="false">C22-C21</f>
        <v>-9</v>
      </c>
      <c r="Q22" s="13" t="n">
        <f aca="false">TS_Setup!$B$34+TS_Setup!$B$33*C21</f>
        <v>90.8755658657787</v>
      </c>
      <c r="R22" s="13" t="n">
        <f aca="false">C21+TS_Setup!$B$37+TS_Setup!$B$36*P21</f>
        <v>41.1928986588282</v>
      </c>
      <c r="S22" s="13" t="n">
        <f aca="false">P22-P21</f>
        <v>-17</v>
      </c>
      <c r="T22" s="13" t="n">
        <f aca="false">AVERAGE(C19:C25)</f>
        <v>35.4285714285714</v>
      </c>
      <c r="U22" s="13" t="n">
        <f aca="false">C22-T22</f>
        <v>-35.4285714285714</v>
      </c>
    </row>
    <row r="23" customFormat="false" ht="15" hidden="false" customHeight="false" outlineLevel="0" collapsed="false">
      <c r="A23" s="11" t="n">
        <f aca="false">Daily!A23</f>
        <v>43905</v>
      </c>
      <c r="B23" s="12" t="str">
        <f aca="false">Daily!B23</f>
        <v>Sun</v>
      </c>
      <c r="C23" s="13" t="n">
        <f aca="false">Daily!C23</f>
        <v>34</v>
      </c>
      <c r="D23" s="12" t="str">
        <f aca="false">IF(ROW()&lt;=89,"Train","Test")</f>
        <v>Train</v>
      </c>
      <c r="E23" s="13" t="n">
        <f aca="false">C22</f>
        <v>0</v>
      </c>
      <c r="F23" s="13" t="n">
        <f aca="false">AVERAGE(C16:C22)</f>
        <v>3.28571428571429</v>
      </c>
      <c r="G23" s="13" t="n">
        <f aca="false">TS_Setup!$B$14*C23+(1-TS_Setup!$B$14)*G22</f>
        <v>13.7636979477493</v>
      </c>
      <c r="H23" s="13" t="n">
        <f aca="false">G22</f>
        <v>2.86722761192194</v>
      </c>
      <c r="I23" s="13" t="n">
        <f aca="false">TS_Setup!$B$15*C23+(1-TS_Setup!$B$15)*(I22+J22)</f>
        <v>2.76475346264624</v>
      </c>
      <c r="J23" s="16" t="n">
        <f aca="false">TS_Setup!$B$16*(I23-I22)+(1-TS_Setup!$B$16)*J22</f>
        <v>0.786838925373533</v>
      </c>
      <c r="K23" s="13" t="n">
        <f aca="false">I22+J22</f>
        <v>-0.362207411830319</v>
      </c>
      <c r="L23" s="13" t="n">
        <f aca="false">TS_Setup!$B$17*(C23-N16)+(1-TS_Setup!$B$17)*(L22+M22)</f>
        <v>5.9221114506827</v>
      </c>
      <c r="M23" s="16" t="n">
        <f aca="false">TS_Setup!$B$18*(L23-L22)+(1-TS_Setup!$B$18)*M22</f>
        <v>0.76847708365453</v>
      </c>
      <c r="N23" s="13" t="n">
        <f aca="false">TS_Setup!$B$19*(C23-L23)+(1-TS_Setup!$B$19)*N16</f>
        <v>-0.568723158394058</v>
      </c>
      <c r="O23" s="13" t="n">
        <f aca="false">L22+M22+N16</f>
        <v>2.27196116016374</v>
      </c>
      <c r="P23" s="13" t="n">
        <f aca="false">C23-C22</f>
        <v>34</v>
      </c>
      <c r="Q23" s="13" t="n">
        <f aca="false">TS_Setup!$B$34+TS_Setup!$B$33*C22</f>
        <v>82.8403384002966</v>
      </c>
      <c r="R23" s="13" t="n">
        <f aca="false">C22+TS_Setup!$B$37+TS_Setup!$B$36*P22</f>
        <v>40.0381182177401</v>
      </c>
      <c r="S23" s="13" t="n">
        <f aca="false">P23-P22</f>
        <v>43</v>
      </c>
      <c r="T23" s="13" t="n">
        <f aca="false">AVERAGE(C20:C26)</f>
        <v>43.4285714285714</v>
      </c>
      <c r="U23" s="13" t="n">
        <f aca="false">C23-T23</f>
        <v>-9.42857142857143</v>
      </c>
    </row>
    <row r="24" customFormat="false" ht="15" hidden="false" customHeight="false" outlineLevel="0" collapsed="false">
      <c r="A24" s="11" t="n">
        <f aca="false">Daily!A24</f>
        <v>43906</v>
      </c>
      <c r="B24" s="12" t="str">
        <f aca="false">Daily!B24</f>
        <v>Mon</v>
      </c>
      <c r="C24" s="13" t="n">
        <f aca="false">Daily!C24</f>
        <v>151</v>
      </c>
      <c r="D24" s="12" t="str">
        <f aca="false">IF(ROW()&lt;=89,"Train","Test")</f>
        <v>Train</v>
      </c>
      <c r="E24" s="13" t="n">
        <f aca="false">C23</f>
        <v>34</v>
      </c>
      <c r="F24" s="13" t="n">
        <f aca="false">AVERAGE(C17:C23)</f>
        <v>8.14285714285714</v>
      </c>
      <c r="G24" s="13" t="n">
        <f aca="false">TS_Setup!$B$14*C24+(1-TS_Setup!$B$14)*G23</f>
        <v>61.796403666037</v>
      </c>
      <c r="H24" s="13" t="n">
        <f aca="false">G23</f>
        <v>13.7636979477493</v>
      </c>
      <c r="I24" s="13" t="n">
        <f aca="false">TS_Setup!$B$15*C24+(1-TS_Setup!$B$15)*(I23+J23)</f>
        <v>16.96939748071</v>
      </c>
      <c r="J24" s="16" t="n">
        <f aca="false">TS_Setup!$B$16*(I24-I23)+(1-TS_Setup!$B$16)*J23</f>
        <v>3.36305750317005</v>
      </c>
      <c r="K24" s="13" t="n">
        <f aca="false">I23+J23</f>
        <v>3.55159238801977</v>
      </c>
      <c r="L24" s="13" t="n">
        <f aca="false">TS_Setup!$B$17*(C24-N17)+(1-TS_Setup!$B$17)*(L23+M23)</f>
        <v>19.3709545602857</v>
      </c>
      <c r="M24" s="16" t="n">
        <f aca="false">TS_Setup!$B$18*(L24-L23)+(1-TS_Setup!$B$18)*M23</f>
        <v>3.24114845871448</v>
      </c>
      <c r="N24" s="13" t="n">
        <f aca="false">TS_Setup!$B$19*(C24-L24)+(1-TS_Setup!$B$19)*N17</f>
        <v>1.52849001348288</v>
      </c>
      <c r="O24" s="13" t="n">
        <f aca="false">L23+M23+N17</f>
        <v>6.90493152331272</v>
      </c>
      <c r="P24" s="13" t="n">
        <f aca="false">C24-C23</f>
        <v>117</v>
      </c>
      <c r="Q24" s="13" t="n">
        <f aca="false">TS_Setup!$B$34+TS_Setup!$B$33*C23</f>
        <v>113.195642158784</v>
      </c>
      <c r="R24" s="13" t="n">
        <f aca="false">C23+TS_Setup!$B$37+TS_Setup!$B$36*P23</f>
        <v>54.1943275687277</v>
      </c>
      <c r="S24" s="13" t="n">
        <f aca="false">P24-P23</f>
        <v>83</v>
      </c>
      <c r="T24" s="13" t="n">
        <f aca="false">AVERAGE(C21:C27)</f>
        <v>65.2857142857143</v>
      </c>
      <c r="U24" s="13" t="n">
        <f aca="false">C24-T24</f>
        <v>85.7142857142857</v>
      </c>
    </row>
    <row r="25" customFormat="false" ht="15" hidden="false" customHeight="false" outlineLevel="0" collapsed="false">
      <c r="A25" s="11" t="n">
        <f aca="false">Daily!A25</f>
        <v>43907</v>
      </c>
      <c r="B25" s="12" t="str">
        <f aca="false">Daily!B25</f>
        <v>Tue</v>
      </c>
      <c r="C25" s="13" t="n">
        <f aca="false">Daily!C25</f>
        <v>52</v>
      </c>
      <c r="D25" s="12" t="str">
        <f aca="false">IF(ROW()&lt;=89,"Train","Test")</f>
        <v>Train</v>
      </c>
      <c r="E25" s="13" t="n">
        <f aca="false">C24</f>
        <v>151</v>
      </c>
      <c r="F25" s="13" t="n">
        <f aca="false">AVERAGE(C18:C24)</f>
        <v>28.4285714285714</v>
      </c>
      <c r="G25" s="13" t="n">
        <f aca="false">TS_Setup!$B$14*C25+(1-TS_Setup!$B$14)*G24</f>
        <v>58.3676623829241</v>
      </c>
      <c r="H25" s="13" t="n">
        <f aca="false">G24</f>
        <v>61.796403666037</v>
      </c>
      <c r="I25" s="13" t="n">
        <f aca="false">TS_Setup!$B$15*C25+(1-TS_Setup!$B$15)*(I24+J24)</f>
        <v>23.2142015803469</v>
      </c>
      <c r="J25" s="16" t="n">
        <f aca="false">TS_Setup!$B$16*(I25-I24)+(1-TS_Setup!$B$16)*J24</f>
        <v>3.9163528496917</v>
      </c>
      <c r="K25" s="13" t="n">
        <f aca="false">I24+J24</f>
        <v>20.33245498388</v>
      </c>
      <c r="L25" s="13" t="n">
        <f aca="false">TS_Setup!$B$17*(C25-N18)+(1-TS_Setup!$B$17)*(L24+M24)</f>
        <v>25.2721043896972</v>
      </c>
      <c r="M25" s="16" t="n">
        <f aca="false">TS_Setup!$B$18*(L25-L24)+(1-TS_Setup!$B$18)*M24</f>
        <v>3.75984872600039</v>
      </c>
      <c r="N25" s="13" t="n">
        <f aca="false">TS_Setup!$B$19*(C25-L25)+(1-TS_Setup!$B$19)*N18</f>
        <v>-0.563718453048088</v>
      </c>
      <c r="O25" s="13" t="n">
        <f aca="false">L24+M24+N18</f>
        <v>21.7727116966253</v>
      </c>
      <c r="P25" s="13" t="n">
        <f aca="false">C25-C24</f>
        <v>-99</v>
      </c>
      <c r="Q25" s="13" t="n">
        <f aca="false">TS_Setup!$B$34+TS_Setup!$B$33*C24</f>
        <v>217.653599210052</v>
      </c>
      <c r="R25" s="13" t="n">
        <f aca="false">C24+TS_Setup!$B$37+TS_Setup!$B$36*P24</f>
        <v>132.891196781099</v>
      </c>
      <c r="S25" s="13" t="n">
        <f aca="false">P25-P24</f>
        <v>-216</v>
      </c>
      <c r="T25" s="13" t="n">
        <f aca="false">AVERAGE(C22:C28)</f>
        <v>71.1428571428571</v>
      </c>
      <c r="U25" s="13" t="n">
        <f aca="false">C25-T25</f>
        <v>-19.1428571428571</v>
      </c>
    </row>
    <row r="26" customFormat="false" ht="15" hidden="false" customHeight="false" outlineLevel="0" collapsed="false">
      <c r="A26" s="11" t="n">
        <f aca="false">Daily!A26</f>
        <v>43908</v>
      </c>
      <c r="B26" s="12" t="str">
        <f aca="false">Daily!B26</f>
        <v>Wed</v>
      </c>
      <c r="C26" s="13" t="n">
        <f aca="false">Daily!C26</f>
        <v>57</v>
      </c>
      <c r="D26" s="12" t="str">
        <f aca="false">IF(ROW()&lt;=89,"Train","Test")</f>
        <v>Train</v>
      </c>
      <c r="E26" s="13" t="n">
        <f aca="false">C25</f>
        <v>52</v>
      </c>
      <c r="F26" s="13" t="n">
        <f aca="false">AVERAGE(C19:C25)</f>
        <v>35.4285714285714</v>
      </c>
      <c r="G26" s="13" t="n">
        <f aca="false">TS_Setup!$B$14*C26+(1-TS_Setup!$B$14)*G25</f>
        <v>57.8889805489007</v>
      </c>
      <c r="H26" s="13" t="n">
        <f aca="false">G25</f>
        <v>58.3676623829241</v>
      </c>
      <c r="I26" s="13" t="n">
        <f aca="false">TS_Setup!$B$15*C26+(1-TS_Setup!$B$15)*(I25+J25)</f>
        <v>29.8486739769051</v>
      </c>
      <c r="J26" s="16" t="n">
        <f aca="false">TS_Setup!$B$16*(I26-I25)+(1-TS_Setup!$B$16)*J25</f>
        <v>4.43823180269007</v>
      </c>
      <c r="K26" s="13" t="n">
        <f aca="false">I25+J25</f>
        <v>27.1305544300386</v>
      </c>
      <c r="L26" s="13" t="n">
        <f aca="false">TS_Setup!$B$17*(C26-N19)+(1-TS_Setup!$B$17)*(L25+M25)</f>
        <v>31.3098463127805</v>
      </c>
      <c r="M26" s="16" t="n">
        <f aca="false">TS_Setup!$B$18*(L26-L25)+(1-TS_Setup!$B$18)*M25</f>
        <v>4.20403789943156</v>
      </c>
      <c r="N26" s="13" t="n">
        <f aca="false">TS_Setup!$B$19*(C26-L26)+(1-TS_Setup!$B$19)*N19</f>
        <v>2.31896948514896</v>
      </c>
      <c r="O26" s="13" t="n">
        <f aca="false">L25+M25+N19</f>
        <v>31.1148500331488</v>
      </c>
      <c r="P26" s="13" t="n">
        <f aca="false">C26-C25</f>
        <v>5</v>
      </c>
      <c r="Q26" s="13" t="n">
        <f aca="false">TS_Setup!$B$34+TS_Setup!$B$33*C25</f>
        <v>129.266097089749</v>
      </c>
      <c r="R26" s="13" t="n">
        <f aca="false">C25+TS_Setup!$B$37+TS_Setup!$B$36*P25</f>
        <v>133.571633529627</v>
      </c>
      <c r="S26" s="13" t="n">
        <f aca="false">P26-P25</f>
        <v>104</v>
      </c>
      <c r="T26" s="13" t="n">
        <f aca="false">AVERAGE(C23:C29)</f>
        <v>90.2857142857143</v>
      </c>
      <c r="U26" s="13" t="n">
        <f aca="false">C26-T26</f>
        <v>-33.2857142857143</v>
      </c>
    </row>
    <row r="27" customFormat="false" ht="15" hidden="false" customHeight="false" outlineLevel="0" collapsed="false">
      <c r="A27" s="11" t="n">
        <f aca="false">Daily!A27</f>
        <v>43909</v>
      </c>
      <c r="B27" s="12" t="str">
        <f aca="false">Daily!B27</f>
        <v>Thu</v>
      </c>
      <c r="C27" s="13" t="n">
        <f aca="false">Daily!C27</f>
        <v>154</v>
      </c>
      <c r="D27" s="12" t="str">
        <f aca="false">IF(ROW()&lt;=89,"Train","Test")</f>
        <v>Train</v>
      </c>
      <c r="E27" s="13" t="n">
        <f aca="false">C26</f>
        <v>57</v>
      </c>
      <c r="F27" s="13" t="n">
        <f aca="false">AVERAGE(C20:C26)</f>
        <v>43.4285714285714</v>
      </c>
      <c r="G27" s="13" t="n">
        <f aca="false">TS_Setup!$B$14*C27+(1-TS_Setup!$B$14)*G26</f>
        <v>91.5278373567854</v>
      </c>
      <c r="H27" s="13" t="n">
        <f aca="false">G26</f>
        <v>57.8889805489007</v>
      </c>
      <c r="I27" s="13" t="n">
        <f aca="false">TS_Setup!$B$15*C27+(1-TS_Setup!$B$15)*(I26+J26)</f>
        <v>45.180797353652</v>
      </c>
      <c r="J27" s="16" t="n">
        <f aca="false">TS_Setup!$B$16*(I27-I26)+(1-TS_Setup!$B$16)*J26</f>
        <v>6.52985898490898</v>
      </c>
      <c r="K27" s="13" t="n">
        <f aca="false">I26+J26</f>
        <v>34.2869057795952</v>
      </c>
      <c r="L27" s="13" t="n">
        <f aca="false">TS_Setup!$B$17*(C27-N20)+(1-TS_Setup!$B$17)*(L26+M26)</f>
        <v>46.0163242582373</v>
      </c>
      <c r="M27" s="16" t="n">
        <f aca="false">TS_Setup!$B$18*(L27-L26)+(1-TS_Setup!$B$18)*M26</f>
        <v>6.2520137084065</v>
      </c>
      <c r="N27" s="13" t="n">
        <f aca="false">TS_Setup!$B$19*(C27-L27)+(1-TS_Setup!$B$19)*N20</f>
        <v>0.228640869542832</v>
      </c>
      <c r="O27" s="13" t="n">
        <f aca="false">L26+M26+N20</f>
        <v>34.6540903860759</v>
      </c>
      <c r="P27" s="13" t="n">
        <f aca="false">C27-C26</f>
        <v>97</v>
      </c>
      <c r="Q27" s="13" t="n">
        <f aca="false">TS_Setup!$B$34+TS_Setup!$B$33*C26</f>
        <v>133.73011234835</v>
      </c>
      <c r="R27" s="13" t="n">
        <f aca="false">C26+TS_Setup!$B$37+TS_Setup!$B$36*P26</f>
        <v>90.5773491692245</v>
      </c>
      <c r="S27" s="13" t="n">
        <f aca="false">P27-P26</f>
        <v>92</v>
      </c>
      <c r="T27" s="13" t="n">
        <f aca="false">AVERAGE(C24:C30)</f>
        <v>101.142857142857</v>
      </c>
      <c r="U27" s="13" t="n">
        <f aca="false">C27-T27</f>
        <v>52.8571428571429</v>
      </c>
    </row>
    <row r="28" customFormat="false" ht="15" hidden="false" customHeight="false" outlineLevel="0" collapsed="false">
      <c r="A28" s="11" t="n">
        <f aca="false">Daily!A28</f>
        <v>43910</v>
      </c>
      <c r="B28" s="12" t="str">
        <f aca="false">Daily!B28</f>
        <v>Fri</v>
      </c>
      <c r="C28" s="13" t="n">
        <f aca="false">Daily!C28</f>
        <v>50</v>
      </c>
      <c r="D28" s="12" t="str">
        <f aca="false">IF(ROW()&lt;=89,"Train","Test")</f>
        <v>Train</v>
      </c>
      <c r="E28" s="13" t="n">
        <f aca="false">C27</f>
        <v>154</v>
      </c>
      <c r="F28" s="13" t="n">
        <f aca="false">AVERAGE(C21:C27)</f>
        <v>65.2857142857143</v>
      </c>
      <c r="G28" s="13" t="n">
        <f aca="false">TS_Setup!$B$14*C28+(1-TS_Setup!$B$14)*G27</f>
        <v>76.9930942819105</v>
      </c>
      <c r="H28" s="13" t="n">
        <f aca="false">G27</f>
        <v>91.5278373567854</v>
      </c>
      <c r="I28" s="13" t="n">
        <f aca="false">TS_Setup!$B$15*C28+(1-TS_Setup!$B$15)*(I27+J27)</f>
        <v>51.554986611752</v>
      </c>
      <c r="J28" s="16" t="n">
        <f aca="false">TS_Setup!$B$16*(I28-I27)+(1-TS_Setup!$B$16)*J27</f>
        <v>6.49997039736164</v>
      </c>
      <c r="K28" s="13" t="n">
        <f aca="false">I27+J27</f>
        <v>51.710656338561</v>
      </c>
      <c r="L28" s="13" t="n">
        <f aca="false">TS_Setup!$B$17*(C28-N21)+(1-TS_Setup!$B$17)*(L27+M27)</f>
        <v>52.1381535305835</v>
      </c>
      <c r="M28" s="16" t="n">
        <f aca="false">TS_Setup!$B$18*(L28-L27)+(1-TS_Setup!$B$18)*M27</f>
        <v>6.22662774337472</v>
      </c>
      <c r="N28" s="13" t="n">
        <f aca="false">TS_Setup!$B$19*(C28-L28)+(1-TS_Setup!$B$19)*N21</f>
        <v>-0.80246121660408</v>
      </c>
      <c r="O28" s="13" t="n">
        <f aca="false">L27+M27+N21</f>
        <v>51.4793685915951</v>
      </c>
      <c r="P28" s="13" t="n">
        <f aca="false">C28-C27</f>
        <v>-104</v>
      </c>
      <c r="Q28" s="13" t="n">
        <f aca="false">TS_Setup!$B$34+TS_Setup!$B$33*C27</f>
        <v>220.332008365212</v>
      </c>
      <c r="R28" s="13" t="n">
        <f aca="false">C27+TS_Setup!$B$37+TS_Setup!$B$36*P27</f>
        <v>145.120866850407</v>
      </c>
      <c r="S28" s="13" t="n">
        <f aca="false">P28-P27</f>
        <v>-201</v>
      </c>
      <c r="T28" s="13" t="n">
        <f aca="false">AVERAGE(C25:C31)</f>
        <v>91.2857142857143</v>
      </c>
      <c r="U28" s="13" t="n">
        <f aca="false">C28-T28</f>
        <v>-41.2857142857143</v>
      </c>
    </row>
    <row r="29" customFormat="false" ht="15" hidden="false" customHeight="false" outlineLevel="0" collapsed="false">
      <c r="A29" s="11" t="n">
        <f aca="false">Daily!A29</f>
        <v>43911</v>
      </c>
      <c r="B29" s="12" t="str">
        <f aca="false">Daily!B29</f>
        <v>Sat</v>
      </c>
      <c r="C29" s="13" t="n">
        <f aca="false">Daily!C29</f>
        <v>134</v>
      </c>
      <c r="D29" s="12" t="str">
        <f aca="false">IF(ROW()&lt;=89,"Train","Test")</f>
        <v>Train</v>
      </c>
      <c r="E29" s="13" t="n">
        <f aca="false">C28</f>
        <v>50</v>
      </c>
      <c r="F29" s="13" t="n">
        <f aca="false">AVERAGE(C22:C28)</f>
        <v>71.1428571428571</v>
      </c>
      <c r="G29" s="13" t="n">
        <f aca="false">TS_Setup!$B$14*C29+(1-TS_Setup!$B$14)*G28</f>
        <v>96.9455112832418</v>
      </c>
      <c r="H29" s="13" t="n">
        <f aca="false">G28</f>
        <v>76.9930942819105</v>
      </c>
      <c r="I29" s="13" t="n">
        <f aca="false">TS_Setup!$B$15*C29+(1-TS_Setup!$B$15)*(I28+J28)</f>
        <v>64.9659559212843</v>
      </c>
      <c r="J29" s="16" t="n">
        <f aca="false">TS_Setup!$B$16*(I29-I28)+(1-TS_Setup!$B$16)*J28</f>
        <v>7.82688218849841</v>
      </c>
      <c r="K29" s="13" t="n">
        <f aca="false">I28+J28</f>
        <v>58.0549570091136</v>
      </c>
      <c r="L29" s="13" t="n">
        <f aca="false">TS_Setup!$B$17*(C29-N22)+(1-TS_Setup!$B$17)*(L28+M28)</f>
        <v>64.9245726342185</v>
      </c>
      <c r="M29" s="16" t="n">
        <f aca="false">TS_Setup!$B$18*(L29-L28)+(1-TS_Setup!$B$18)*M28</f>
        <v>7.50578705862549</v>
      </c>
      <c r="N29" s="13" t="n">
        <f aca="false">TS_Setup!$B$19*(C29-L29)+(1-TS_Setup!$B$19)*N22</f>
        <v>1.77196800951068</v>
      </c>
      <c r="O29" s="13" t="n">
        <f aca="false">L28+M28+N22</f>
        <v>59.4569163606783</v>
      </c>
      <c r="P29" s="13" t="n">
        <f aca="false">C29-C28</f>
        <v>84</v>
      </c>
      <c r="Q29" s="13" t="n">
        <f aca="false">TS_Setup!$B$34+TS_Setup!$B$33*C28</f>
        <v>127.480490986308</v>
      </c>
      <c r="R29" s="13" t="n">
        <f aca="false">C28+TS_Setup!$B$37+TS_Setup!$B$36*P28</f>
        <v>133.879051046954</v>
      </c>
      <c r="S29" s="13" t="n">
        <f aca="false">P29-P28</f>
        <v>188</v>
      </c>
      <c r="T29" s="13" t="n">
        <f aca="false">AVERAGE(C26:C32)</f>
        <v>100.142857142857</v>
      </c>
      <c r="U29" s="13" t="n">
        <f aca="false">C29-T29</f>
        <v>33.8571428571429</v>
      </c>
    </row>
    <row r="30" customFormat="false" ht="15" hidden="false" customHeight="false" outlineLevel="0" collapsed="false">
      <c r="A30" s="11" t="n">
        <f aca="false">Daily!A30</f>
        <v>43912</v>
      </c>
      <c r="B30" s="12" t="str">
        <f aca="false">Daily!B30</f>
        <v>Sun</v>
      </c>
      <c r="C30" s="13" t="n">
        <f aca="false">Daily!C30</f>
        <v>110</v>
      </c>
      <c r="D30" s="12" t="str">
        <f aca="false">IF(ROW()&lt;=89,"Train","Test")</f>
        <v>Train</v>
      </c>
      <c r="E30" s="13" t="n">
        <f aca="false">C29</f>
        <v>134</v>
      </c>
      <c r="F30" s="13" t="n">
        <f aca="false">AVERAGE(C23:C29)</f>
        <v>90.2857142857143</v>
      </c>
      <c r="G30" s="13" t="n">
        <f aca="false">TS_Setup!$B$14*C30+(1-TS_Setup!$B$14)*G29</f>
        <v>101.514582334107</v>
      </c>
      <c r="H30" s="13" t="n">
        <f aca="false">G29</f>
        <v>96.9455112832418</v>
      </c>
      <c r="I30" s="13" t="n">
        <f aca="false">TS_Setup!$B$15*C30+(1-TS_Setup!$B$15)*(I29+J29)</f>
        <v>76.1786898417925</v>
      </c>
      <c r="J30" s="16" t="n">
        <f aca="false">TS_Setup!$B$16*(I30-I29)+(1-TS_Setup!$B$16)*J29</f>
        <v>8.47696572104429</v>
      </c>
      <c r="K30" s="13" t="n">
        <f aca="false">I29+J29</f>
        <v>72.7928381097827</v>
      </c>
      <c r="L30" s="13" t="n">
        <f aca="false">TS_Setup!$B$17*(C30-N23)+(1-TS_Setup!$B$17)*(L29+M29)</f>
        <v>75.7865356778124</v>
      </c>
      <c r="M30" s="16" t="n">
        <f aca="false">TS_Setup!$B$18*(L30-L29)+(1-TS_Setup!$B$18)*M29</f>
        <v>8.16024137569433</v>
      </c>
      <c r="N30" s="13" t="n">
        <f aca="false">TS_Setup!$B$19*(C30-L30)+(1-TS_Setup!$B$19)*N23</f>
        <v>-0.220901283588242</v>
      </c>
      <c r="O30" s="13" t="n">
        <f aca="false">L29+M29+N23</f>
        <v>71.8616365344499</v>
      </c>
      <c r="P30" s="13" t="n">
        <f aca="false">C30-C29</f>
        <v>-24</v>
      </c>
      <c r="Q30" s="13" t="n">
        <f aca="false">TS_Setup!$B$34+TS_Setup!$B$33*C29</f>
        <v>202.475947330808</v>
      </c>
      <c r="R30" s="13" t="n">
        <f aca="false">C29+TS_Setup!$B$37+TS_Setup!$B$36*P29</f>
        <v>131.120152395457</v>
      </c>
      <c r="S30" s="13" t="n">
        <f aca="false">P30-P29</f>
        <v>-108</v>
      </c>
      <c r="T30" s="13" t="n">
        <f aca="false">AVERAGE(C27:C33)</f>
        <v>107.714285714286</v>
      </c>
      <c r="U30" s="13" t="n">
        <f aca="false">C30-T30</f>
        <v>2.28571428571429</v>
      </c>
    </row>
    <row r="31" customFormat="false" ht="15" hidden="false" customHeight="false" outlineLevel="0" collapsed="false">
      <c r="A31" s="11" t="n">
        <f aca="false">Daily!A31</f>
        <v>43913</v>
      </c>
      <c r="B31" s="12" t="str">
        <f aca="false">Daily!B31</f>
        <v>Mon</v>
      </c>
      <c r="C31" s="13" t="n">
        <f aca="false">Daily!C31</f>
        <v>82</v>
      </c>
      <c r="D31" s="12" t="str">
        <f aca="false">IF(ROW()&lt;=89,"Train","Test")</f>
        <v>Train</v>
      </c>
      <c r="E31" s="13" t="n">
        <f aca="false">C30</f>
        <v>110</v>
      </c>
      <c r="F31" s="13" t="n">
        <f aca="false">AVERAGE(C24:C30)</f>
        <v>101.142857142857</v>
      </c>
      <c r="G31" s="13" t="n">
        <f aca="false">TS_Setup!$B$14*C31+(1-TS_Setup!$B$14)*G30</f>
        <v>94.6844785171697</v>
      </c>
      <c r="H31" s="13" t="n">
        <f aca="false">G30</f>
        <v>101.514582334107</v>
      </c>
      <c r="I31" s="13" t="n">
        <f aca="false">TS_Setup!$B$15*C31+(1-TS_Setup!$B$15)*(I30+J30)</f>
        <v>84.4139909066186</v>
      </c>
      <c r="J31" s="16" t="n">
        <f aca="false">TS_Setup!$B$16*(I31-I30)+(1-TS_Setup!$B$16)*J30</f>
        <v>8.43056610705041</v>
      </c>
      <c r="K31" s="13" t="n">
        <f aca="false">I30+J30</f>
        <v>84.6556555628367</v>
      </c>
      <c r="L31" s="13" t="n">
        <f aca="false">TS_Setup!$B$17*(C31-N24)+(1-TS_Setup!$B$17)*(L30+M30)</f>
        <v>83.6409535516117</v>
      </c>
      <c r="M31" s="16" t="n">
        <f aca="false">TS_Setup!$B$18*(L31-L30)+(1-TS_Setup!$B$18)*M30</f>
        <v>8.10060579282479</v>
      </c>
      <c r="N31" s="13" t="n">
        <f aca="false">TS_Setup!$B$19*(C31-L31)+(1-TS_Setup!$B$19)*N24</f>
        <v>1.49679557783193</v>
      </c>
      <c r="O31" s="13" t="n">
        <f aca="false">L30+M30+N24</f>
        <v>85.4752670669896</v>
      </c>
      <c r="P31" s="13" t="n">
        <f aca="false">C31-C30</f>
        <v>-28</v>
      </c>
      <c r="Q31" s="13" t="n">
        <f aca="false">TS_Setup!$B$34+TS_Setup!$B$33*C30</f>
        <v>181.048674089522</v>
      </c>
      <c r="R31" s="13" t="n">
        <f aca="false">C30+TS_Setup!$B$37+TS_Setup!$B$36*P30</f>
        <v>156.960370769721</v>
      </c>
      <c r="S31" s="13" t="n">
        <f aca="false">P31-P30</f>
        <v>-4</v>
      </c>
      <c r="T31" s="13" t="n">
        <f aca="false">AVERAGE(C28:C34)</f>
        <v>104.428571428571</v>
      </c>
      <c r="U31" s="13" t="n">
        <f aca="false">C31-T31</f>
        <v>-22.4285714285714</v>
      </c>
    </row>
    <row r="32" customFormat="false" ht="15" hidden="false" customHeight="false" outlineLevel="0" collapsed="false">
      <c r="A32" s="11" t="n">
        <f aca="false">Daily!A32</f>
        <v>43914</v>
      </c>
      <c r="B32" s="12" t="str">
        <f aca="false">Daily!B32</f>
        <v>Tue</v>
      </c>
      <c r="C32" s="13" t="n">
        <f aca="false">Daily!C32</f>
        <v>114</v>
      </c>
      <c r="D32" s="12" t="str">
        <f aca="false">IF(ROW()&lt;=89,"Train","Test")</f>
        <v>Train</v>
      </c>
      <c r="E32" s="13" t="n">
        <f aca="false">C31</f>
        <v>82</v>
      </c>
      <c r="F32" s="13" t="n">
        <f aca="false">AVERAGE(C25:C31)</f>
        <v>91.2857142857143</v>
      </c>
      <c r="G32" s="13" t="n">
        <f aca="false">TS_Setup!$B$14*C32+(1-TS_Setup!$B$14)*G31</f>
        <v>101.44491103616</v>
      </c>
      <c r="H32" s="13" t="n">
        <f aca="false">G31</f>
        <v>94.6844785171697</v>
      </c>
      <c r="I32" s="13" t="n">
        <f aca="false">TS_Setup!$B$15*C32+(1-TS_Setup!$B$15)*(I31+J31)</f>
        <v>94.7697023254251</v>
      </c>
      <c r="J32" s="16" t="n">
        <f aca="false">TS_Setup!$B$16*(I32-I31)+(1-TS_Setup!$B$16)*J31</f>
        <v>8.80019400690758</v>
      </c>
      <c r="K32" s="13" t="n">
        <f aca="false">I31+J31</f>
        <v>92.844557013669</v>
      </c>
      <c r="L32" s="13" t="n">
        <f aca="false">TS_Setup!$B$17*(C32-N25)+(1-TS_Setup!$B$17)*(L31+M31)</f>
        <v>93.7499093459943</v>
      </c>
      <c r="M32" s="16" t="n">
        <f aca="false">TS_Setup!$B$18*(L32-L31)+(1-TS_Setup!$B$18)*M31</f>
        <v>8.49223404312856</v>
      </c>
      <c r="N32" s="13" t="n">
        <f aca="false">TS_Setup!$B$19*(C32-L32)+(1-TS_Setup!$B$19)*N25</f>
        <v>-0.35558036197755</v>
      </c>
      <c r="O32" s="13" t="n">
        <f aca="false">L31+M31+N25</f>
        <v>91.1778408913884</v>
      </c>
      <c r="P32" s="13" t="n">
        <f aca="false">C32-C31</f>
        <v>32</v>
      </c>
      <c r="Q32" s="13" t="n">
        <f aca="false">TS_Setup!$B$34+TS_Setup!$B$33*C31</f>
        <v>156.050188641356</v>
      </c>
      <c r="R32" s="13" t="n">
        <f aca="false">C31+TS_Setup!$B$37+TS_Setup!$B$36*P31</f>
        <v>130.806304783583</v>
      </c>
      <c r="S32" s="13" t="n">
        <f aca="false">P32-P31</f>
        <v>60</v>
      </c>
      <c r="T32" s="13" t="n">
        <f aca="false">AVERAGE(C29:C35)</f>
        <v>114.714285714286</v>
      </c>
      <c r="U32" s="13" t="n">
        <f aca="false">C32-T32</f>
        <v>-0.714285714285708</v>
      </c>
    </row>
    <row r="33" customFormat="false" ht="15" hidden="false" customHeight="false" outlineLevel="0" collapsed="false">
      <c r="A33" s="11" t="n">
        <f aca="false">Daily!A33</f>
        <v>43915</v>
      </c>
      <c r="B33" s="12" t="str">
        <f aca="false">Daily!B33</f>
        <v>Wed</v>
      </c>
      <c r="C33" s="13" t="n">
        <f aca="false">Daily!C33</f>
        <v>110</v>
      </c>
      <c r="D33" s="12" t="str">
        <f aca="false">IF(ROW()&lt;=89,"Train","Test")</f>
        <v>Train</v>
      </c>
      <c r="E33" s="13" t="n">
        <f aca="false">C32</f>
        <v>114</v>
      </c>
      <c r="F33" s="13" t="n">
        <f aca="false">AVERAGE(C26:C32)</f>
        <v>100.142857142857</v>
      </c>
      <c r="G33" s="13" t="n">
        <f aca="false">TS_Setup!$B$14*C33+(1-TS_Setup!$B$14)*G32</f>
        <v>104.439192173504</v>
      </c>
      <c r="H33" s="13" t="n">
        <f aca="false">G32</f>
        <v>101.44491103616</v>
      </c>
      <c r="I33" s="13" t="n">
        <f aca="false">TS_Setup!$B$15*C33+(1-TS_Setup!$B$15)*(I32+J32)</f>
        <v>104.15503576609</v>
      </c>
      <c r="J33" s="16" t="n">
        <f aca="false">TS_Setup!$B$16*(I33-I32)+(1-TS_Setup!$B$16)*J32</f>
        <v>8.91254077818907</v>
      </c>
      <c r="K33" s="13" t="n">
        <f aca="false">I32+J32</f>
        <v>103.569896332333</v>
      </c>
      <c r="L33" s="13" t="n">
        <f aca="false">TS_Setup!$B$17*(C33-N26)+(1-TS_Setup!$B$17)*(L32+M32)</f>
        <v>102.720765456187</v>
      </c>
      <c r="M33" s="16" t="n">
        <f aca="false">TS_Setup!$B$18*(L33-L32)+(1-TS_Setup!$B$18)*M32</f>
        <v>8.58556534620606</v>
      </c>
      <c r="N33" s="13" t="n">
        <f aca="false">TS_Setup!$B$19*(C33-L33)+(1-TS_Setup!$B$19)*N26</f>
        <v>2.3685721357356</v>
      </c>
      <c r="O33" s="13" t="n">
        <f aca="false">L32+M32+N26</f>
        <v>104.561112874272</v>
      </c>
      <c r="P33" s="13" t="n">
        <f aca="false">C33-C32</f>
        <v>-4</v>
      </c>
      <c r="Q33" s="13" t="n">
        <f aca="false">TS_Setup!$B$34+TS_Setup!$B$33*C32</f>
        <v>184.619886296403</v>
      </c>
      <c r="R33" s="13" t="n">
        <f aca="false">C32+TS_Setup!$B$37+TS_Setup!$B$36*P32</f>
        <v>135.117294575659</v>
      </c>
      <c r="S33" s="13" t="n">
        <f aca="false">P33-P32</f>
        <v>-36</v>
      </c>
      <c r="T33" s="13" t="n">
        <f aca="false">AVERAGE(C30:C36)</f>
        <v>121.857142857143</v>
      </c>
      <c r="U33" s="13" t="n">
        <f aca="false">C33-T33</f>
        <v>-11.8571428571429</v>
      </c>
    </row>
    <row r="34" customFormat="false" ht="15" hidden="false" customHeight="false" outlineLevel="0" collapsed="false">
      <c r="A34" s="11" t="n">
        <f aca="false">Daily!A34</f>
        <v>43916</v>
      </c>
      <c r="B34" s="12" t="str">
        <f aca="false">Daily!B34</f>
        <v>Thu</v>
      </c>
      <c r="C34" s="13" t="n">
        <f aca="false">Daily!C34</f>
        <v>131</v>
      </c>
      <c r="D34" s="12" t="str">
        <f aca="false">IF(ROW()&lt;=89,"Train","Test")</f>
        <v>Train</v>
      </c>
      <c r="E34" s="13" t="n">
        <f aca="false">C33</f>
        <v>110</v>
      </c>
      <c r="F34" s="13" t="n">
        <f aca="false">AVERAGE(C27:C33)</f>
        <v>107.714285714286</v>
      </c>
      <c r="G34" s="13" t="n">
        <f aca="false">TS_Setup!$B$14*C34+(1-TS_Setup!$B$14)*G33</f>
        <v>113.735474912778</v>
      </c>
      <c r="H34" s="13" t="n">
        <f aca="false">G33</f>
        <v>104.439192173504</v>
      </c>
      <c r="I34" s="13" t="n">
        <f aca="false">TS_Setup!$B$15*C34+(1-TS_Setup!$B$15)*(I33+J33)</f>
        <v>114.69942707875</v>
      </c>
      <c r="J34" s="16" t="n">
        <f aca="false">TS_Setup!$B$16*(I34-I33)+(1-TS_Setup!$B$16)*J33</f>
        <v>9.22585608080742</v>
      </c>
      <c r="K34" s="13" t="n">
        <f aca="false">I33+J33</f>
        <v>113.06757654428</v>
      </c>
      <c r="L34" s="13" t="n">
        <f aca="false">TS_Setup!$B$17*(C34-N27)+(1-TS_Setup!$B$17)*(L33+M33)</f>
        <v>113.019253295263</v>
      </c>
      <c r="M34" s="16" t="n">
        <f aca="false">TS_Setup!$B$18*(L34-L33)+(1-TS_Setup!$B$18)*M33</f>
        <v>8.91958523231564</v>
      </c>
      <c r="N34" s="13" t="n">
        <f aca="false">TS_Setup!$B$19*(C34-L34)+(1-TS_Setup!$B$19)*N27</f>
        <v>0.406161927894777</v>
      </c>
      <c r="O34" s="13" t="n">
        <f aca="false">L33+M33+N27</f>
        <v>111.534971671936</v>
      </c>
      <c r="P34" s="13" t="n">
        <f aca="false">C34-C33</f>
        <v>21</v>
      </c>
      <c r="Q34" s="13" t="n">
        <f aca="false">TS_Setup!$B$34+TS_Setup!$B$33*C33</f>
        <v>181.048674089522</v>
      </c>
      <c r="R34" s="13" t="n">
        <f aca="false">C33+TS_Setup!$B$37+TS_Setup!$B$36*P33</f>
        <v>147.730700700413</v>
      </c>
      <c r="S34" s="13" t="n">
        <f aca="false">P34-P33</f>
        <v>25</v>
      </c>
      <c r="T34" s="13" t="n">
        <f aca="false">AVERAGE(C31:C37)</f>
        <v>118.571428571429</v>
      </c>
      <c r="U34" s="13" t="n">
        <f aca="false">C34-T34</f>
        <v>12.4285714285714</v>
      </c>
    </row>
    <row r="35" customFormat="false" ht="15" hidden="false" customHeight="false" outlineLevel="0" collapsed="false">
      <c r="A35" s="11" t="n">
        <f aca="false">Daily!A35</f>
        <v>43917</v>
      </c>
      <c r="B35" s="12" t="str">
        <f aca="false">Daily!B35</f>
        <v>Fri</v>
      </c>
      <c r="C35" s="13" t="n">
        <f aca="false">Daily!C35</f>
        <v>122</v>
      </c>
      <c r="D35" s="12" t="str">
        <f aca="false">IF(ROW()&lt;=89,"Train","Test")</f>
        <v>Train</v>
      </c>
      <c r="E35" s="13" t="n">
        <f aca="false">C34</f>
        <v>131</v>
      </c>
      <c r="F35" s="13" t="n">
        <f aca="false">AVERAGE(C28:C34)</f>
        <v>104.428571428571</v>
      </c>
      <c r="G35" s="13" t="n">
        <f aca="false">TS_Setup!$B$14*C35+(1-TS_Setup!$B$14)*G34</f>
        <v>116.628058693306</v>
      </c>
      <c r="H35" s="13" t="n">
        <f aca="false">G34</f>
        <v>113.735474912778</v>
      </c>
      <c r="I35" s="13" t="n">
        <f aca="false">TS_Setup!$B$15*C35+(1-TS_Setup!$B$15)*(I34+J34)</f>
        <v>123.750082392038</v>
      </c>
      <c r="J35" s="16" t="n">
        <f aca="false">TS_Setup!$B$16*(I35-I34)+(1-TS_Setup!$B$16)*J34</f>
        <v>9.19221753344363</v>
      </c>
      <c r="K35" s="13" t="n">
        <f aca="false">I34+J34</f>
        <v>123.925283159558</v>
      </c>
      <c r="L35" s="13" t="n">
        <f aca="false">TS_Setup!$B$17*(C35-N28)+(1-TS_Setup!$B$17)*(L34+M34)</f>
        <v>122.014837324213</v>
      </c>
      <c r="M35" s="16" t="n">
        <f aca="false">TS_Setup!$B$18*(L35-L34)+(1-TS_Setup!$B$18)*M34</f>
        <v>8.93440499765932</v>
      </c>
      <c r="N35" s="13" t="n">
        <f aca="false">TS_Setup!$B$19*(C35-L35)+(1-TS_Setup!$B$19)*N28</f>
        <v>-0.794584977680164</v>
      </c>
      <c r="O35" s="13" t="n">
        <f aca="false">L34+M34+N28</f>
        <v>121.136377310974</v>
      </c>
      <c r="P35" s="13" t="n">
        <f aca="false">C35-C34</f>
        <v>-9</v>
      </c>
      <c r="Q35" s="13" t="n">
        <f aca="false">TS_Setup!$B$34+TS_Setup!$B$33*C34</f>
        <v>199.797538175647</v>
      </c>
      <c r="R35" s="13" t="n">
        <f aca="false">C34+TS_Setup!$B$37+TS_Setup!$B$36*P34</f>
        <v>157.193613113778</v>
      </c>
      <c r="S35" s="13" t="n">
        <f aca="false">P35-P34</f>
        <v>-30</v>
      </c>
      <c r="T35" s="13" t="n">
        <f aca="false">AVERAGE(C32:C38)</f>
        <v>127.571428571429</v>
      </c>
      <c r="U35" s="13" t="n">
        <f aca="false">C35-T35</f>
        <v>-5.57142857142857</v>
      </c>
    </row>
    <row r="36" customFormat="false" ht="15" hidden="false" customHeight="false" outlineLevel="0" collapsed="false">
      <c r="A36" s="11" t="n">
        <f aca="false">Daily!A36</f>
        <v>43918</v>
      </c>
      <c r="B36" s="12" t="str">
        <f aca="false">Daily!B36</f>
        <v>Sat</v>
      </c>
      <c r="C36" s="13" t="n">
        <f aca="false">Daily!C36</f>
        <v>184</v>
      </c>
      <c r="D36" s="12" t="str">
        <f aca="false">IF(ROW()&lt;=89,"Train","Test")</f>
        <v>Train</v>
      </c>
      <c r="E36" s="13" t="n">
        <f aca="false">C35</f>
        <v>122</v>
      </c>
      <c r="F36" s="13" t="n">
        <f aca="false">AVERAGE(C29:C35)</f>
        <v>114.714285714286</v>
      </c>
      <c r="G36" s="13" t="n">
        <f aca="false">TS_Setup!$B$14*C36+(1-TS_Setup!$B$14)*G35</f>
        <v>140.208238150649</v>
      </c>
      <c r="H36" s="13" t="n">
        <f aca="false">G35</f>
        <v>116.628058693306</v>
      </c>
      <c r="I36" s="13" t="n">
        <f aca="false">TS_Setup!$B$15*C36+(1-TS_Setup!$B$15)*(I35+J35)</f>
        <v>137.588550632263</v>
      </c>
      <c r="J36" s="16" t="n">
        <f aca="false">TS_Setup!$B$16*(I36-I35)+(1-TS_Setup!$B$16)*J35</f>
        <v>10.0842976691456</v>
      </c>
      <c r="K36" s="13" t="n">
        <f aca="false">I35+J35</f>
        <v>132.942299925481</v>
      </c>
      <c r="L36" s="13" t="n">
        <f aca="false">TS_Setup!$B$17*(C36-N29)+(1-TS_Setup!$B$17)*(L35+M35)</f>
        <v>135.46177581271</v>
      </c>
      <c r="M36" s="16" t="n">
        <f aca="false">TS_Setup!$B$18*(L36-L35)+(1-TS_Setup!$B$18)*M35</f>
        <v>9.8143490283728</v>
      </c>
      <c r="N36" s="13" t="n">
        <f aca="false">TS_Setup!$B$19*(C36-L36)+(1-TS_Setup!$B$19)*N29</f>
        <v>2.23963057128847</v>
      </c>
      <c r="O36" s="13" t="n">
        <f aca="false">L35+M35+N29</f>
        <v>132.721210331383</v>
      </c>
      <c r="P36" s="13" t="n">
        <f aca="false">C36-C35</f>
        <v>62</v>
      </c>
      <c r="Q36" s="13" t="n">
        <f aca="false">TS_Setup!$B$34+TS_Setup!$B$33*C35</f>
        <v>191.762310710165</v>
      </c>
      <c r="R36" s="13" t="n">
        <f aca="false">C35+TS_Setup!$B$37+TS_Setup!$B$36*P35</f>
        <v>162.03811821774</v>
      </c>
      <c r="S36" s="13" t="n">
        <f aca="false">P36-P35</f>
        <v>71</v>
      </c>
      <c r="T36" s="13" t="n">
        <f aca="false">AVERAGE(C33:C39)</f>
        <v>143.142857142857</v>
      </c>
      <c r="U36" s="13" t="n">
        <f aca="false">C36-T36</f>
        <v>40.8571428571429</v>
      </c>
    </row>
    <row r="37" customFormat="false" ht="15" hidden="false" customHeight="false" outlineLevel="0" collapsed="false">
      <c r="A37" s="11" t="n">
        <f aca="false">Daily!A37</f>
        <v>43919</v>
      </c>
      <c r="B37" s="12" t="str">
        <f aca="false">Daily!B37</f>
        <v>Sun</v>
      </c>
      <c r="C37" s="13" t="n">
        <f aca="false">Daily!C37</f>
        <v>87</v>
      </c>
      <c r="D37" s="12" t="str">
        <f aca="false">IF(ROW()&lt;=89,"Train","Test")</f>
        <v>Train</v>
      </c>
      <c r="E37" s="13" t="n">
        <f aca="false">C36</f>
        <v>184</v>
      </c>
      <c r="F37" s="13" t="n">
        <f aca="false">AVERAGE(C30:C36)</f>
        <v>121.857142857143</v>
      </c>
      <c r="G37" s="13" t="n">
        <f aca="false">TS_Setup!$B$14*C37+(1-TS_Setup!$B$14)*G36</f>
        <v>121.585354797922</v>
      </c>
      <c r="H37" s="13" t="n">
        <f aca="false">G36</f>
        <v>140.208238150649</v>
      </c>
      <c r="I37" s="13" t="n">
        <f aca="false">TS_Setup!$B$15*C37+(1-TS_Setup!$B$15)*(I36+J36)</f>
        <v>142.15161910598</v>
      </c>
      <c r="J37" s="16" t="n">
        <f aca="false">TS_Setup!$B$16*(I37-I36)+(1-TS_Setup!$B$16)*J36</f>
        <v>9.02422166362342</v>
      </c>
      <c r="K37" s="13" t="n">
        <f aca="false">I36+J36</f>
        <v>147.672848301408</v>
      </c>
      <c r="L37" s="13" t="n">
        <f aca="false">TS_Setup!$B$17*(C37-N30)+(1-TS_Setup!$B$17)*(L36+M36)</f>
        <v>140.167265168023</v>
      </c>
      <c r="M37" s="16" t="n">
        <f aca="false">TS_Setup!$B$18*(L37-L36)+(1-TS_Setup!$B$18)*M36</f>
        <v>8.81812139212619</v>
      </c>
      <c r="N37" s="13" t="n">
        <f aca="false">TS_Setup!$B$19*(C37-L37)+(1-TS_Setup!$B$19)*N30</f>
        <v>-0.750364922432594</v>
      </c>
      <c r="O37" s="13" t="n">
        <f aca="false">L36+M36+N30</f>
        <v>145.055223557495</v>
      </c>
      <c r="P37" s="13" t="n">
        <f aca="false">C37-C36</f>
        <v>-97</v>
      </c>
      <c r="Q37" s="13" t="n">
        <f aca="false">TS_Setup!$B$34+TS_Setup!$B$33*C36</f>
        <v>247.116099916819</v>
      </c>
      <c r="R37" s="13" t="n">
        <f aca="false">C36+TS_Setup!$B$37+TS_Setup!$B$36*P36</f>
        <v>191.272789471696</v>
      </c>
      <c r="S37" s="13" t="n">
        <f aca="false">P37-P36</f>
        <v>-159</v>
      </c>
      <c r="T37" s="13" t="n">
        <f aca="false">AVERAGE(C34:C40)</f>
        <v>164.571428571429</v>
      </c>
      <c r="U37" s="13" t="n">
        <f aca="false">C37-T37</f>
        <v>-77.5714285714286</v>
      </c>
    </row>
    <row r="38" customFormat="false" ht="15" hidden="false" customHeight="false" outlineLevel="0" collapsed="false">
      <c r="A38" s="11" t="n">
        <f aca="false">Daily!A38</f>
        <v>43920</v>
      </c>
      <c r="B38" s="12" t="str">
        <f aca="false">Daily!B38</f>
        <v>Mon</v>
      </c>
      <c r="C38" s="13" t="n">
        <f aca="false">Daily!C38</f>
        <v>145</v>
      </c>
      <c r="D38" s="12" t="str">
        <f aca="false">IF(ROW()&lt;=89,"Train","Test")</f>
        <v>Train</v>
      </c>
      <c r="E38" s="13" t="n">
        <f aca="false">C37</f>
        <v>87</v>
      </c>
      <c r="F38" s="13" t="n">
        <f aca="false">AVERAGE(C31:C37)</f>
        <v>118.571428571429</v>
      </c>
      <c r="G38" s="13" t="n">
        <f aca="false">TS_Setup!$B$14*C38+(1-TS_Setup!$B$14)*G37</f>
        <v>129.780480618649</v>
      </c>
      <c r="H38" s="13" t="n">
        <f aca="false">G37</f>
        <v>121.585354797922</v>
      </c>
      <c r="I38" s="13" t="n">
        <f aca="false">TS_Setup!$B$15*C38+(1-TS_Setup!$B$15)*(I37+J37)</f>
        <v>150.61383925957</v>
      </c>
      <c r="J38" s="16" t="n">
        <f aca="false">TS_Setup!$B$16*(I38-I37)+(1-TS_Setup!$B$16)*J37</f>
        <v>8.91631737369691</v>
      </c>
      <c r="K38" s="13" t="n">
        <f aca="false">I37+J37</f>
        <v>151.175840769604</v>
      </c>
      <c r="L38" s="13" t="n">
        <f aca="false">TS_Setup!$B$17*(C38-N31)+(1-TS_Setup!$B$17)*(L37+M37)</f>
        <v>148.502954532007</v>
      </c>
      <c r="M38" s="16" t="n">
        <f aca="false">TS_Setup!$B$18*(L38-L37)+(1-TS_Setup!$B$18)*M37</f>
        <v>8.72404714663842</v>
      </c>
      <c r="N38" s="13" t="n">
        <f aca="false">TS_Setup!$B$19*(C38-L38)+(1-TS_Setup!$B$19)*N31</f>
        <v>1.44679807673354</v>
      </c>
      <c r="O38" s="13" t="n">
        <f aca="false">L37+M37+N31</f>
        <v>150.482182137982</v>
      </c>
      <c r="P38" s="13" t="n">
        <f aca="false">C38-C37</f>
        <v>58</v>
      </c>
      <c r="Q38" s="13" t="n">
        <f aca="false">TS_Setup!$B$34+TS_Setup!$B$33*C37</f>
        <v>160.514203899957</v>
      </c>
      <c r="R38" s="13" t="n">
        <f aca="false">C37+TS_Setup!$B$37+TS_Setup!$B$36*P37</f>
        <v>167.648666522696</v>
      </c>
      <c r="S38" s="13" t="n">
        <f aca="false">P38-P37</f>
        <v>155</v>
      </c>
      <c r="T38" s="13" t="n">
        <f aca="false">AVERAGE(C35:C41)</f>
        <v>172</v>
      </c>
      <c r="U38" s="13" t="n">
        <f aca="false">C38-T38</f>
        <v>-27</v>
      </c>
    </row>
    <row r="39" customFormat="false" ht="15" hidden="false" customHeight="false" outlineLevel="0" collapsed="false">
      <c r="A39" s="11" t="n">
        <f aca="false">Daily!A39</f>
        <v>43921</v>
      </c>
      <c r="B39" s="12" t="str">
        <f aca="false">Daily!B39</f>
        <v>Tue</v>
      </c>
      <c r="C39" s="13" t="n">
        <f aca="false">Daily!C39</f>
        <v>223</v>
      </c>
      <c r="D39" s="12" t="str">
        <f aca="false">IF(ROW()&lt;=89,"Train","Test")</f>
        <v>Train</v>
      </c>
      <c r="E39" s="13" t="n">
        <f aca="false">C38</f>
        <v>145</v>
      </c>
      <c r="F39" s="13" t="n">
        <f aca="false">AVERAGE(C32:C38)</f>
        <v>127.571428571429</v>
      </c>
      <c r="G39" s="13" t="n">
        <f aca="false">TS_Setup!$B$14*C39+(1-TS_Setup!$B$14)*G38</f>
        <v>162.407312402122</v>
      </c>
      <c r="H39" s="13" t="n">
        <f aca="false">G38</f>
        <v>129.780480618649</v>
      </c>
      <c r="I39" s="13" t="n">
        <f aca="false">TS_Setup!$B$15*C39+(1-TS_Setup!$B$15)*(I38+J38)</f>
        <v>165.305912379639</v>
      </c>
      <c r="J39" s="16" t="n">
        <f aca="false">TS_Setup!$B$16*(I39-I38)+(1-TS_Setup!$B$16)*J38</f>
        <v>10.0252624770005</v>
      </c>
      <c r="K39" s="13" t="n">
        <f aca="false">I38+J38</f>
        <v>159.530156633267</v>
      </c>
      <c r="L39" s="13" t="n">
        <f aca="false">TS_Setup!$B$17*(C39-N32)+(1-TS_Setup!$B$17)*(L38+M38)</f>
        <v>163.046316602779</v>
      </c>
      <c r="M39" s="16" t="n">
        <f aca="false">TS_Setup!$B$18*(L39-L38)+(1-TS_Setup!$B$18)*M38</f>
        <v>9.85881355684439</v>
      </c>
      <c r="N39" s="13" t="n">
        <f aca="false">TS_Setup!$B$19*(C39-L39)+(1-TS_Setup!$B$19)*N32</f>
        <v>0.247512275614437</v>
      </c>
      <c r="O39" s="13" t="n">
        <f aca="false">L38+M38+N32</f>
        <v>156.871421316668</v>
      </c>
      <c r="P39" s="13" t="n">
        <f aca="false">C39-C38</f>
        <v>78</v>
      </c>
      <c r="Q39" s="13" t="n">
        <f aca="false">TS_Setup!$B$34+TS_Setup!$B$33*C38</f>
        <v>212.29678089973</v>
      </c>
      <c r="R39" s="13" t="n">
        <f aca="false">C38+TS_Setup!$B$37+TS_Setup!$B$36*P38</f>
        <v>154.118723485558</v>
      </c>
      <c r="S39" s="13" t="n">
        <f aca="false">P39-P38</f>
        <v>20</v>
      </c>
      <c r="T39" s="13" t="n">
        <f aca="false">AVERAGE(C36:C42)</f>
        <v>188.714285714286</v>
      </c>
      <c r="U39" s="13" t="n">
        <f aca="false">C39-T39</f>
        <v>34.2857142857143</v>
      </c>
    </row>
    <row r="40" customFormat="false" ht="15" hidden="false" customHeight="false" outlineLevel="0" collapsed="false">
      <c r="A40" s="11" t="n">
        <f aca="false">Daily!A40</f>
        <v>43922</v>
      </c>
      <c r="B40" s="12" t="str">
        <f aca="false">Daily!B40</f>
        <v>Wed</v>
      </c>
      <c r="C40" s="13" t="n">
        <f aca="false">Daily!C40</f>
        <v>260</v>
      </c>
      <c r="D40" s="12" t="str">
        <f aca="false">IF(ROW()&lt;=89,"Train","Test")</f>
        <v>Train</v>
      </c>
      <c r="E40" s="13" t="n">
        <f aca="false">C39</f>
        <v>223</v>
      </c>
      <c r="F40" s="13" t="n">
        <f aca="false">AVERAGE(C33:C39)</f>
        <v>143.142857142857</v>
      </c>
      <c r="G40" s="13" t="n">
        <f aca="false">TS_Setup!$B$14*C40+(1-TS_Setup!$B$14)*G39</f>
        <v>196.564753061379</v>
      </c>
      <c r="H40" s="13" t="n">
        <f aca="false">G39</f>
        <v>162.407312402122</v>
      </c>
      <c r="I40" s="13" t="n">
        <f aca="false">TS_Setup!$B$15*C40+(1-TS_Setup!$B$15)*(I39+J39)</f>
        <v>183.036037944686</v>
      </c>
      <c r="J40" s="16" t="n">
        <f aca="false">TS_Setup!$B$16*(I40-I39)+(1-TS_Setup!$B$16)*J39</f>
        <v>11.5045961899053</v>
      </c>
      <c r="K40" s="13" t="n">
        <f aca="false">I39+J39</f>
        <v>175.33117485664</v>
      </c>
      <c r="L40" s="13" t="n">
        <f aca="false">TS_Setup!$B$17*(C40-N33)+(1-TS_Setup!$B$17)*(L39+M39)</f>
        <v>180.361044357632</v>
      </c>
      <c r="M40" s="16" t="n">
        <f aca="false">TS_Setup!$B$18*(L40-L39)+(1-TS_Setup!$B$18)*M39</f>
        <v>11.312716825456</v>
      </c>
      <c r="N40" s="13" t="n">
        <f aca="false">TS_Setup!$B$19*(C40-L40)+(1-TS_Setup!$B$19)*N33</f>
        <v>3.14127597080193</v>
      </c>
      <c r="O40" s="13" t="n">
        <f aca="false">L39+M39+N33</f>
        <v>175.273702295359</v>
      </c>
      <c r="P40" s="13" t="n">
        <f aca="false">C40-C39</f>
        <v>37</v>
      </c>
      <c r="Q40" s="13" t="n">
        <f aca="false">TS_Setup!$B$34+TS_Setup!$B$33*C39</f>
        <v>281.935418933908</v>
      </c>
      <c r="R40" s="13" t="n">
        <f aca="false">C39+TS_Setup!$B$37+TS_Setup!$B$36*P39</f>
        <v>222.88905341625</v>
      </c>
      <c r="S40" s="13" t="n">
        <f aca="false">P40-P39</f>
        <v>-41</v>
      </c>
      <c r="T40" s="13" t="n">
        <f aca="false">AVERAGE(C37:C43)</f>
        <v>173.714285714286</v>
      </c>
      <c r="U40" s="13" t="n">
        <f aca="false">C40-T40</f>
        <v>86.2857142857143</v>
      </c>
    </row>
    <row r="41" customFormat="false" ht="15" hidden="false" customHeight="false" outlineLevel="0" collapsed="false">
      <c r="A41" s="11" t="n">
        <f aca="false">Daily!A41</f>
        <v>43923</v>
      </c>
      <c r="B41" s="12" t="str">
        <f aca="false">Daily!B41</f>
        <v>Thu</v>
      </c>
      <c r="C41" s="13" t="n">
        <f aca="false">Daily!C41</f>
        <v>183</v>
      </c>
      <c r="D41" s="12" t="str">
        <f aca="false">IF(ROW()&lt;=89,"Train","Test")</f>
        <v>Train</v>
      </c>
      <c r="E41" s="13" t="n">
        <f aca="false">C40</f>
        <v>260</v>
      </c>
      <c r="F41" s="13" t="n">
        <f aca="false">AVERAGE(C34:C40)</f>
        <v>164.571428571429</v>
      </c>
      <c r="G41" s="13" t="n">
        <f aca="false">TS_Setup!$B$14*C41+(1-TS_Setup!$B$14)*G40</f>
        <v>191.817089489897</v>
      </c>
      <c r="H41" s="13" t="n">
        <f aca="false">G40</f>
        <v>196.564753061379</v>
      </c>
      <c r="I41" s="13" t="n">
        <f aca="false">TS_Setup!$B$15*C41+(1-TS_Setup!$B$15)*(I40+J40)</f>
        <v>193.490436428343</v>
      </c>
      <c r="J41" s="16" t="n">
        <f aca="false">TS_Setup!$B$16*(I41-I40)+(1-TS_Setup!$B$16)*J40</f>
        <v>11.3029582303057</v>
      </c>
      <c r="K41" s="13" t="n">
        <f aca="false">I40+J40</f>
        <v>194.540634134591</v>
      </c>
      <c r="L41" s="13" t="n">
        <f aca="false">TS_Setup!$B$17*(C41-N34)+(1-TS_Setup!$B$17)*(L40+M40)</f>
        <v>190.874727949321</v>
      </c>
      <c r="M41" s="16" t="n">
        <f aca="false">TS_Setup!$B$18*(L41-L40)+(1-TS_Setup!$B$18)*M40</f>
        <v>11.1569053448716</v>
      </c>
      <c r="N41" s="13" t="n">
        <f aca="false">TS_Setup!$B$19*(C41-L41)+(1-TS_Setup!$B$19)*N34</f>
        <v>0.323353029122617</v>
      </c>
      <c r="O41" s="13" t="n">
        <f aca="false">L40+M40+N34</f>
        <v>192.079923110982</v>
      </c>
      <c r="P41" s="13" t="n">
        <f aca="false">C41-C40</f>
        <v>-77</v>
      </c>
      <c r="Q41" s="13" t="n">
        <f aca="false">TS_Setup!$B$34+TS_Setup!$B$33*C40</f>
        <v>314.969131847557</v>
      </c>
      <c r="R41" s="13" t="n">
        <f aca="false">C40+TS_Setup!$B$37+TS_Setup!$B$36*P40</f>
        <v>278.809877058332</v>
      </c>
      <c r="S41" s="13" t="n">
        <f aca="false">P41-P40</f>
        <v>-114</v>
      </c>
      <c r="T41" s="13" t="n">
        <f aca="false">AVERAGE(C38:C44)</f>
        <v>187</v>
      </c>
      <c r="U41" s="13" t="n">
        <f aca="false">C41-T41</f>
        <v>-4</v>
      </c>
    </row>
    <row r="42" customFormat="false" ht="15" hidden="false" customHeight="false" outlineLevel="0" collapsed="false">
      <c r="A42" s="11" t="n">
        <f aca="false">Daily!A42</f>
        <v>43924</v>
      </c>
      <c r="B42" s="12" t="str">
        <f aca="false">Daily!B42</f>
        <v>Fri</v>
      </c>
      <c r="C42" s="13" t="n">
        <f aca="false">Daily!C42</f>
        <v>239</v>
      </c>
      <c r="D42" s="12" t="str">
        <f aca="false">IF(ROW()&lt;=89,"Train","Test")</f>
        <v>Train</v>
      </c>
      <c r="E42" s="13" t="n">
        <f aca="false">C41</f>
        <v>183</v>
      </c>
      <c r="F42" s="13" t="n">
        <f aca="false">AVERAGE(C35:C41)</f>
        <v>172</v>
      </c>
      <c r="G42" s="13" t="n">
        <f aca="false">TS_Setup!$B$14*C42+(1-TS_Setup!$B$14)*G41</f>
        <v>208.331108168433</v>
      </c>
      <c r="H42" s="13" t="n">
        <f aca="false">G41</f>
        <v>191.817089489897</v>
      </c>
      <c r="I42" s="13" t="n">
        <f aca="false">TS_Setup!$B$15*C42+(1-TS_Setup!$B$15)*(I41+J41)</f>
        <v>207.906195744712</v>
      </c>
      <c r="J42" s="16" t="n">
        <f aca="false">TS_Setup!$B$16*(I42-I41)+(1-TS_Setup!$B$16)*J41</f>
        <v>11.9006160388298</v>
      </c>
      <c r="K42" s="13" t="n">
        <f aca="false">I41+J41</f>
        <v>204.793394658649</v>
      </c>
      <c r="L42" s="13" t="n">
        <f aca="false">TS_Setup!$B$17*(C42-N35)+(1-TS_Setup!$B$17)*(L41+M41)</f>
        <v>205.35477304234</v>
      </c>
      <c r="M42" s="16" t="n">
        <f aca="false">TS_Setup!$B$18*(L42-L41)+(1-TS_Setup!$B$18)*M41</f>
        <v>11.8049175957602</v>
      </c>
      <c r="N42" s="13" t="n">
        <f aca="false">TS_Setup!$B$19*(C42-L42)+(1-TS_Setup!$B$19)*N35</f>
        <v>-0.450186858326759</v>
      </c>
      <c r="O42" s="13" t="n">
        <f aca="false">L41+M41+N35</f>
        <v>201.237048316513</v>
      </c>
      <c r="P42" s="13" t="n">
        <f aca="false">C42-C41</f>
        <v>56</v>
      </c>
      <c r="Q42" s="13" t="n">
        <f aca="false">TS_Setup!$B$34+TS_Setup!$B$33*C41</f>
        <v>246.223296865099</v>
      </c>
      <c r="R42" s="13" t="n">
        <f aca="false">C41+TS_Setup!$B$37+TS_Setup!$B$36*P41</f>
        <v>254.418996453388</v>
      </c>
      <c r="S42" s="13" t="n">
        <f aca="false">P42-P41</f>
        <v>133</v>
      </c>
      <c r="T42" s="13" t="n">
        <f aca="false">AVERAGE(C39:C45)</f>
        <v>201.857142857143</v>
      </c>
      <c r="U42" s="13" t="n">
        <f aca="false">C42-T42</f>
        <v>37.1428571428571</v>
      </c>
    </row>
    <row r="43" customFormat="false" ht="15" hidden="false" customHeight="false" outlineLevel="0" collapsed="false">
      <c r="A43" s="11" t="n">
        <f aca="false">Daily!A43</f>
        <v>43925</v>
      </c>
      <c r="B43" s="12" t="str">
        <f aca="false">Daily!B43</f>
        <v>Sat</v>
      </c>
      <c r="C43" s="13" t="n">
        <f aca="false">Daily!C43</f>
        <v>79</v>
      </c>
      <c r="D43" s="12" t="str">
        <f aca="false">IF(ROW()&lt;=89,"Train","Test")</f>
        <v>Train</v>
      </c>
      <c r="E43" s="13" t="n">
        <f aca="false">C42</f>
        <v>239</v>
      </c>
      <c r="F43" s="13" t="n">
        <f aca="false">AVERAGE(C36:C42)</f>
        <v>188.714285714286</v>
      </c>
      <c r="G43" s="13" t="n">
        <f aca="false">TS_Setup!$B$14*C43+(1-TS_Setup!$B$14)*G42</f>
        <v>163.065220309481</v>
      </c>
      <c r="H43" s="13" t="n">
        <f aca="false">G42</f>
        <v>208.331108168433</v>
      </c>
      <c r="I43" s="13" t="n">
        <f aca="false">TS_Setup!$B$15*C43+(1-TS_Setup!$B$15)*(I42+J42)</f>
        <v>206.993391911239</v>
      </c>
      <c r="J43" s="16" t="n">
        <f aca="false">TS_Setup!$B$16*(I43-I42)+(1-TS_Setup!$B$16)*J42</f>
        <v>9.44043942334776</v>
      </c>
      <c r="K43" s="13" t="n">
        <f aca="false">I42+J42</f>
        <v>219.806811783542</v>
      </c>
      <c r="L43" s="13" t="n">
        <f aca="false">TS_Setup!$B$17*(C43-N36)+(1-TS_Setup!$B$17)*(L42+M42)</f>
        <v>204.804550371674</v>
      </c>
      <c r="M43" s="16" t="n">
        <f aca="false">TS_Setup!$B$18*(L43-L42)+(1-TS_Setup!$B$18)*M42</f>
        <v>9.39566524380711</v>
      </c>
      <c r="N43" s="13" t="n">
        <f aca="false">TS_Setup!$B$19*(C43-L43)+(1-TS_Setup!$B$19)*N36</f>
        <v>0.959188761858846</v>
      </c>
      <c r="O43" s="13" t="n">
        <f aca="false">L42+M42+N36</f>
        <v>219.399321209388</v>
      </c>
      <c r="P43" s="13" t="n">
        <f aca="false">C43-C42</f>
        <v>-160</v>
      </c>
      <c r="Q43" s="13" t="n">
        <f aca="false">TS_Setup!$B$34+TS_Setup!$B$33*C42</f>
        <v>296.220267761432</v>
      </c>
      <c r="R43" s="13" t="n">
        <f aca="false">C42+TS_Setup!$B$37+TS_Setup!$B$36*P42</f>
        <v>249.041690492489</v>
      </c>
      <c r="S43" s="13" t="n">
        <f aca="false">P43-P42</f>
        <v>-216</v>
      </c>
      <c r="T43" s="13" t="n">
        <f aca="false">AVERAGE(C40:C46)</f>
        <v>185.285714285714</v>
      </c>
      <c r="U43" s="13" t="n">
        <f aca="false">C43-T43</f>
        <v>-106.285714285714</v>
      </c>
    </row>
    <row r="44" customFormat="false" ht="15" hidden="false" customHeight="false" outlineLevel="0" collapsed="false">
      <c r="A44" s="11" t="n">
        <f aca="false">Daily!A44</f>
        <v>43926</v>
      </c>
      <c r="B44" s="12" t="str">
        <f aca="false">Daily!B44</f>
        <v>Sun</v>
      </c>
      <c r="C44" s="13" t="n">
        <f aca="false">Daily!C44</f>
        <v>180</v>
      </c>
      <c r="D44" s="12" t="str">
        <f aca="false">IF(ROW()&lt;=89,"Train","Test")</f>
        <v>Train</v>
      </c>
      <c r="E44" s="13" t="n">
        <f aca="false">C43</f>
        <v>79</v>
      </c>
      <c r="F44" s="13" t="n">
        <f aca="false">AVERAGE(C37:C43)</f>
        <v>173.714285714286</v>
      </c>
      <c r="G44" s="13" t="n">
        <f aca="false">TS_Setup!$B$14*C44+(1-TS_Setup!$B$14)*G43</f>
        <v>168.992393201163</v>
      </c>
      <c r="H44" s="13" t="n">
        <f aca="false">G43</f>
        <v>163.065220309481</v>
      </c>
      <c r="I44" s="13" t="n">
        <f aca="false">TS_Setup!$B$15*C44+(1-TS_Setup!$B$15)*(I43+J43)</f>
        <v>213.11835268314</v>
      </c>
      <c r="J44" s="16" t="n">
        <f aca="false">TS_Setup!$B$16*(I44-I43)+(1-TS_Setup!$B$16)*J43</f>
        <v>8.80386752226985</v>
      </c>
      <c r="K44" s="13" t="n">
        <f aca="false">I43+J43</f>
        <v>216.433831334587</v>
      </c>
      <c r="L44" s="13" t="n">
        <f aca="false">TS_Setup!$B$17*(C44-N37)+(1-TS_Setup!$B$17)*(L43+M43)</f>
        <v>211.256628754493</v>
      </c>
      <c r="M44" s="16" t="n">
        <f aca="false">TS_Setup!$B$18*(L44-L43)+(1-TS_Setup!$B$18)*M43</f>
        <v>8.8216658059144</v>
      </c>
      <c r="N44" s="13" t="n">
        <f aca="false">TS_Setup!$B$19*(C44-L44)+(1-TS_Setup!$B$19)*N37</f>
        <v>-1.05542756075319</v>
      </c>
      <c r="O44" s="13" t="n">
        <f aca="false">L43+M43+N37</f>
        <v>213.449850693048</v>
      </c>
      <c r="P44" s="13" t="n">
        <f aca="false">C44-C43</f>
        <v>101</v>
      </c>
      <c r="Q44" s="13" t="n">
        <f aca="false">TS_Setup!$B$34+TS_Setup!$B$33*C43</f>
        <v>153.371779486195</v>
      </c>
      <c r="R44" s="13" t="n">
        <f aca="false">C43+TS_Setup!$B$37+TS_Setup!$B$36*P43</f>
        <v>188.722127241016</v>
      </c>
      <c r="S44" s="13" t="n">
        <f aca="false">P44-P43</f>
        <v>261</v>
      </c>
      <c r="T44" s="13" t="n">
        <f aca="false">AVERAGE(C41:C47)</f>
        <v>196.285714285714</v>
      </c>
      <c r="U44" s="13" t="n">
        <f aca="false">C44-T44</f>
        <v>-16.2857142857143</v>
      </c>
    </row>
    <row r="45" customFormat="false" ht="15" hidden="false" customHeight="false" outlineLevel="0" collapsed="false">
      <c r="A45" s="11" t="n">
        <f aca="false">Daily!A45</f>
        <v>43927</v>
      </c>
      <c r="B45" s="12" t="str">
        <f aca="false">Daily!B45</f>
        <v>Mon</v>
      </c>
      <c r="C45" s="13" t="n">
        <f aca="false">Daily!C45</f>
        <v>249</v>
      </c>
      <c r="D45" s="12" t="str">
        <f aca="false">IF(ROW()&lt;=89,"Train","Test")</f>
        <v>Train</v>
      </c>
      <c r="E45" s="13" t="n">
        <f aca="false">C44</f>
        <v>180</v>
      </c>
      <c r="F45" s="13" t="n">
        <f aca="false">AVERAGE(C38:C44)</f>
        <v>187</v>
      </c>
      <c r="G45" s="13" t="n">
        <f aca="false">TS_Setup!$B$14*C45+(1-TS_Setup!$B$14)*G44</f>
        <v>196.995055580756</v>
      </c>
      <c r="H45" s="13" t="n">
        <f aca="false">G44</f>
        <v>168.992393201163</v>
      </c>
      <c r="I45" s="13" t="n">
        <f aca="false">TS_Setup!$B$15*C45+(1-TS_Setup!$B$15)*(I44+J44)</f>
        <v>224.386298166717</v>
      </c>
      <c r="J45" s="16" t="n">
        <f aca="false">TS_Setup!$B$16*(I45-I44)+(1-TS_Setup!$B$16)*J44</f>
        <v>9.27697049084094</v>
      </c>
      <c r="K45" s="13" t="n">
        <f aca="false">I44+J44</f>
        <v>221.922220205409</v>
      </c>
      <c r="L45" s="13" t="n">
        <f aca="false">TS_Setup!$B$17*(C45-N38)+(1-TS_Setup!$B$17)*(L44+M44)</f>
        <v>222.496086408339</v>
      </c>
      <c r="M45" s="16" t="n">
        <f aca="false">TS_Setup!$B$18*(L45-L44)+(1-TS_Setup!$B$18)*M44</f>
        <v>9.29313521626107</v>
      </c>
      <c r="N45" s="13" t="n">
        <f aca="false">TS_Setup!$B$19*(C45-L45)+(1-TS_Setup!$B$19)*N38</f>
        <v>1.69736923188282</v>
      </c>
      <c r="O45" s="13" t="n">
        <f aca="false">L44+M44+N38</f>
        <v>221.525092637141</v>
      </c>
      <c r="P45" s="13" t="n">
        <f aca="false">C45-C44</f>
        <v>69</v>
      </c>
      <c r="Q45" s="13" t="n">
        <f aca="false">TS_Setup!$B$34+TS_Setup!$B$33*C44</f>
        <v>243.544887709938</v>
      </c>
      <c r="R45" s="13" t="n">
        <f aca="false">C44+TS_Setup!$B$37+TS_Setup!$B$36*P44</f>
        <v>169.274932836546</v>
      </c>
      <c r="S45" s="13" t="n">
        <f aca="false">P45-P44</f>
        <v>-32</v>
      </c>
      <c r="T45" s="13" t="n">
        <f aca="false">AVERAGE(C42:C48)</f>
        <v>295</v>
      </c>
      <c r="U45" s="13" t="n">
        <f aca="false">C45-T45</f>
        <v>-46</v>
      </c>
    </row>
    <row r="46" customFormat="false" ht="15" hidden="false" customHeight="false" outlineLevel="0" collapsed="false">
      <c r="A46" s="11" t="n">
        <f aca="false">Daily!A46</f>
        <v>43928</v>
      </c>
      <c r="B46" s="12" t="str">
        <f aca="false">Daily!B46</f>
        <v>Tue</v>
      </c>
      <c r="C46" s="13" t="n">
        <f aca="false">Daily!C46</f>
        <v>107</v>
      </c>
      <c r="D46" s="12" t="str">
        <f aca="false">IF(ROW()&lt;=89,"Train","Test")</f>
        <v>Train</v>
      </c>
      <c r="E46" s="13" t="n">
        <f aca="false">C45</f>
        <v>249</v>
      </c>
      <c r="F46" s="13" t="n">
        <f aca="false">AVERAGE(C39:C45)</f>
        <v>201.857142857143</v>
      </c>
      <c r="G46" s="13" t="n">
        <f aca="false">TS_Setup!$B$14*C46+(1-TS_Setup!$B$14)*G45</f>
        <v>165.496786127491</v>
      </c>
      <c r="H46" s="13" t="n">
        <f aca="false">G45</f>
        <v>196.995055580756</v>
      </c>
      <c r="I46" s="13" t="n">
        <f aca="false">TS_Setup!$B$15*C46+(1-TS_Setup!$B$15)*(I45+J45)</f>
        <v>222.13691120972</v>
      </c>
      <c r="J46" s="16" t="n">
        <f aca="false">TS_Setup!$B$16*(I46-I45)+(1-TS_Setup!$B$16)*J45</f>
        <v>7.06390986085608</v>
      </c>
      <c r="K46" s="13" t="n">
        <f aca="false">I45+J45</f>
        <v>233.663268657558</v>
      </c>
      <c r="L46" s="13" t="n">
        <f aca="false">TS_Setup!$B$17*(C46-N39)+(1-TS_Setup!$B$17)*(L45+M45)</f>
        <v>220.785989041381</v>
      </c>
      <c r="M46" s="16" t="n">
        <f aca="false">TS_Setup!$B$18*(L46-L45)+(1-TS_Setup!$B$18)*M45</f>
        <v>7.14750486253339</v>
      </c>
      <c r="N46" s="13" t="n">
        <f aca="false">TS_Setup!$B$19*(C46-L46)+(1-TS_Setup!$B$19)*N39</f>
        <v>-0.892822737555516</v>
      </c>
      <c r="O46" s="13" t="n">
        <f aca="false">L45+M45+N39</f>
        <v>232.036733900214</v>
      </c>
      <c r="P46" s="13" t="n">
        <f aca="false">C46-C45</f>
        <v>-142</v>
      </c>
      <c r="Q46" s="13" t="n">
        <f aca="false">TS_Setup!$B$34+TS_Setup!$B$33*C45</f>
        <v>305.148298278634</v>
      </c>
      <c r="R46" s="13" t="n">
        <f aca="false">C45+TS_Setup!$B$37+TS_Setup!$B$36*P45</f>
        <v>253.042404947439</v>
      </c>
      <c r="S46" s="13" t="n">
        <f aca="false">P46-P45</f>
        <v>-211</v>
      </c>
      <c r="T46" s="13" t="n">
        <f aca="false">AVERAGE(C43:C49)</f>
        <v>283.142857142857</v>
      </c>
      <c r="U46" s="13" t="n">
        <f aca="false">C46-T46</f>
        <v>-176.142857142857</v>
      </c>
    </row>
    <row r="47" customFormat="false" ht="15" hidden="false" customHeight="false" outlineLevel="0" collapsed="false">
      <c r="A47" s="11" t="n">
        <f aca="false">Daily!A47</f>
        <v>43929</v>
      </c>
      <c r="B47" s="12" t="str">
        <f aca="false">Daily!B47</f>
        <v>Wed</v>
      </c>
      <c r="C47" s="13" t="n">
        <f aca="false">Daily!C47</f>
        <v>337</v>
      </c>
      <c r="D47" s="12" t="str">
        <f aca="false">IF(ROW()&lt;=89,"Train","Test")</f>
        <v>Train</v>
      </c>
      <c r="E47" s="13" t="n">
        <f aca="false">C46</f>
        <v>107</v>
      </c>
      <c r="F47" s="13" t="n">
        <f aca="false">AVERAGE(C40:C46)</f>
        <v>185.285714285714</v>
      </c>
      <c r="G47" s="13" t="n">
        <f aca="false">TS_Setup!$B$14*C47+(1-TS_Setup!$B$14)*G46</f>
        <v>225.522910982869</v>
      </c>
      <c r="H47" s="13" t="n">
        <f aca="false">G46</f>
        <v>165.496786127491</v>
      </c>
      <c r="I47" s="13" t="n">
        <f aca="false">TS_Setup!$B$15*C47+(1-TS_Setup!$B$15)*(I46+J46)</f>
        <v>239.010546353154</v>
      </c>
      <c r="J47" s="16" t="n">
        <f aca="false">TS_Setup!$B$16*(I47-I46)+(1-TS_Setup!$B$16)*J46</f>
        <v>8.94737711511097</v>
      </c>
      <c r="K47" s="13" t="n">
        <f aca="false">I46+J46</f>
        <v>229.200821070576</v>
      </c>
      <c r="L47" s="13" t="n">
        <f aca="false">TS_Setup!$B$17*(C47-N40)+(1-TS_Setup!$B$17)*(L46+M46)</f>
        <v>237.254914154939</v>
      </c>
      <c r="M47" s="16" t="n">
        <f aca="false">TS_Setup!$B$18*(L47-L46)+(1-TS_Setup!$B$18)*M46</f>
        <v>8.96518181148326</v>
      </c>
      <c r="N47" s="13" t="n">
        <f aca="false">TS_Setup!$B$19*(C47-L47)+(1-TS_Setup!$B$19)*N40</f>
        <v>4.10731406954452</v>
      </c>
      <c r="O47" s="13" t="n">
        <f aca="false">L46+M46+N40</f>
        <v>231.074769874716</v>
      </c>
      <c r="P47" s="13" t="n">
        <f aca="false">C47-C46</f>
        <v>230</v>
      </c>
      <c r="Q47" s="13" t="n">
        <f aca="false">TS_Setup!$B$34+TS_Setup!$B$33*C46</f>
        <v>178.370264934361</v>
      </c>
      <c r="R47" s="13" t="n">
        <f aca="false">C46+TS_Setup!$B$37+TS_Setup!$B$36*P46</f>
        <v>208.415424178639</v>
      </c>
      <c r="S47" s="13" t="n">
        <f aca="false">P47-P46</f>
        <v>372</v>
      </c>
      <c r="T47" s="13" t="n">
        <f aca="false">AVERAGE(C44:C50)</f>
        <v>314.285714285714</v>
      </c>
      <c r="U47" s="13" t="n">
        <f aca="false">C47-T47</f>
        <v>22.7142857142857</v>
      </c>
    </row>
    <row r="48" customFormat="false" ht="15" hidden="false" customHeight="false" outlineLevel="0" collapsed="false">
      <c r="A48" s="11" t="n">
        <f aca="false">Daily!A48</f>
        <v>43930</v>
      </c>
      <c r="B48" s="12" t="str">
        <f aca="false">Daily!B48</f>
        <v>Thu</v>
      </c>
      <c r="C48" s="13" t="n">
        <f aca="false">Daily!C48</f>
        <v>874</v>
      </c>
      <c r="D48" s="12" t="str">
        <f aca="false">IF(ROW()&lt;=89,"Train","Test")</f>
        <v>Train</v>
      </c>
      <c r="E48" s="13" t="n">
        <f aca="false">C47</f>
        <v>337</v>
      </c>
      <c r="F48" s="13" t="n">
        <f aca="false">AVERAGE(C41:C47)</f>
        <v>196.285714285714</v>
      </c>
      <c r="G48" s="13" t="n">
        <f aca="false">TS_Setup!$B$14*C48+(1-TS_Setup!$B$14)*G47</f>
        <v>452.489892138865</v>
      </c>
      <c r="H48" s="13" t="n">
        <f aca="false">G47</f>
        <v>225.522910982869</v>
      </c>
      <c r="I48" s="13" t="n">
        <f aca="false">TS_Setup!$B$15*C48+(1-TS_Setup!$B$15)*(I47+J47)</f>
        <v>304.927752432653</v>
      </c>
      <c r="J48" s="16" t="n">
        <f aca="false">TS_Setup!$B$16*(I48-I47)+(1-TS_Setup!$B$16)*J47</f>
        <v>19.8855842762735</v>
      </c>
      <c r="K48" s="13" t="n">
        <f aca="false">I47+J47</f>
        <v>247.957923468265</v>
      </c>
      <c r="L48" s="13" t="n">
        <f aca="false">TS_Setup!$B$17*(C48-N41)+(1-TS_Setup!$B$17)*(L47+M47)</f>
        <v>301.436272454815</v>
      </c>
      <c r="M48" s="16" t="n">
        <f aca="false">TS_Setup!$B$18*(L48-L47)+(1-TS_Setup!$B$18)*M47</f>
        <v>19.7323362267197</v>
      </c>
      <c r="N48" s="13" t="n">
        <f aca="false">TS_Setup!$B$19*(C48-L48)+(1-TS_Setup!$B$19)*N41</f>
        <v>6.04575677428325</v>
      </c>
      <c r="O48" s="13" t="n">
        <f aca="false">L47+M47+N41</f>
        <v>246.543448995545</v>
      </c>
      <c r="P48" s="13" t="n">
        <f aca="false">C48-C47</f>
        <v>537</v>
      </c>
      <c r="Q48" s="13" t="n">
        <f aca="false">TS_Setup!$B$34+TS_Setup!$B$33*C47</f>
        <v>383.714966830015</v>
      </c>
      <c r="R48" s="13" t="n">
        <f aca="false">C47+TS_Setup!$B$37+TS_Setup!$B$36*P47</f>
        <v>266.743560889508</v>
      </c>
      <c r="S48" s="13" t="n">
        <f aca="false">P48-P47</f>
        <v>307</v>
      </c>
      <c r="T48" s="13" t="n">
        <f aca="false">AVERAGE(C45:C51)</f>
        <v>324.714285714286</v>
      </c>
      <c r="U48" s="13" t="n">
        <f aca="false">C48-T48</f>
        <v>549.285714285714</v>
      </c>
    </row>
    <row r="49" customFormat="false" ht="15" hidden="false" customHeight="false" outlineLevel="0" collapsed="false">
      <c r="A49" s="11" t="n">
        <f aca="false">Daily!A49</f>
        <v>43931</v>
      </c>
      <c r="B49" s="12" t="str">
        <f aca="false">Daily!B49</f>
        <v>Fri</v>
      </c>
      <c r="C49" s="13" t="n">
        <f aca="false">Daily!C49</f>
        <v>156</v>
      </c>
      <c r="D49" s="12" t="str">
        <f aca="false">IF(ROW()&lt;=89,"Train","Test")</f>
        <v>Train</v>
      </c>
      <c r="E49" s="13" t="n">
        <f aca="false">C48</f>
        <v>874</v>
      </c>
      <c r="F49" s="13" t="n">
        <f aca="false">AVERAGE(C42:C48)</f>
        <v>295</v>
      </c>
      <c r="G49" s="13" t="n">
        <f aca="false">TS_Setup!$B$14*C49+(1-TS_Setup!$B$14)*G48</f>
        <v>348.718429890262</v>
      </c>
      <c r="H49" s="13" t="n">
        <f aca="false">G48</f>
        <v>452.489892138865</v>
      </c>
      <c r="I49" s="13" t="n">
        <f aca="false">TS_Setup!$B$15*C49+(1-TS_Setup!$B$15)*(I48+J48)</f>
        <v>309.451323068414</v>
      </c>
      <c r="J49" s="16" t="n">
        <f aca="false">TS_Setup!$B$16*(I49-I48)+(1-TS_Setup!$B$16)*J48</f>
        <v>16.9360776572951</v>
      </c>
      <c r="K49" s="13" t="n">
        <f aca="false">I48+J48</f>
        <v>324.813336708926</v>
      </c>
      <c r="L49" s="13" t="n">
        <f aca="false">TS_Setup!$B$17*(C49-N42)+(1-TS_Setup!$B$17)*(L48+M48)</f>
        <v>306.673387561092</v>
      </c>
      <c r="M49" s="16" t="n">
        <f aca="false">TS_Setup!$B$18*(L49-L48)+(1-TS_Setup!$B$18)*M48</f>
        <v>16.9057681082335</v>
      </c>
      <c r="N49" s="13" t="n">
        <f aca="false">TS_Setup!$B$19*(C49-L49)+(1-TS_Setup!$B$19)*N42</f>
        <v>-1.95241886535441</v>
      </c>
      <c r="O49" s="13" t="n">
        <f aca="false">L48+M48+N42</f>
        <v>320.718421823208</v>
      </c>
      <c r="P49" s="13" t="n">
        <f aca="false">C49-C48</f>
        <v>-718</v>
      </c>
      <c r="Q49" s="13" t="n">
        <f aca="false">TS_Setup!$B$34+TS_Setup!$B$33*C48</f>
        <v>863.150205603779</v>
      </c>
      <c r="R49" s="13" t="n">
        <f aca="false">C48+TS_Setup!$B$37+TS_Setup!$B$36*P48</f>
        <v>662.068125325629</v>
      </c>
      <c r="S49" s="13" t="n">
        <f aca="false">P49-P48</f>
        <v>-1255</v>
      </c>
      <c r="T49" s="13" t="n">
        <f aca="false">AVERAGE(C46:C52)</f>
        <v>313.857142857143</v>
      </c>
      <c r="U49" s="13" t="n">
        <f aca="false">C49-T49</f>
        <v>-157.857142857143</v>
      </c>
    </row>
    <row r="50" customFormat="false" ht="15" hidden="false" customHeight="false" outlineLevel="0" collapsed="false">
      <c r="A50" s="11" t="n">
        <f aca="false">Daily!A50</f>
        <v>43932</v>
      </c>
      <c r="B50" s="12" t="str">
        <f aca="false">Daily!B50</f>
        <v>Sat</v>
      </c>
      <c r="C50" s="13" t="n">
        <f aca="false">Daily!C50</f>
        <v>297</v>
      </c>
      <c r="D50" s="12" t="str">
        <f aca="false">IF(ROW()&lt;=89,"Train","Test")</f>
        <v>Train</v>
      </c>
      <c r="E50" s="13" t="n">
        <f aca="false">C49</f>
        <v>156</v>
      </c>
      <c r="F50" s="13" t="n">
        <f aca="false">AVERAGE(C43:C49)</f>
        <v>283.142857142857</v>
      </c>
      <c r="G50" s="13" t="n">
        <f aca="false">TS_Setup!$B$14*C50+(1-TS_Setup!$B$14)*G49</f>
        <v>330.61697942867</v>
      </c>
      <c r="H50" s="13" t="n">
        <f aca="false">G49</f>
        <v>348.718429890262</v>
      </c>
      <c r="I50" s="13" t="n">
        <f aca="false">TS_Setup!$B$15*C50+(1-TS_Setup!$B$15)*(I49+J49)</f>
        <v>323.71314725967</v>
      </c>
      <c r="J50" s="16" t="n">
        <f aca="false">TS_Setup!$B$16*(I50-I49)+(1-TS_Setup!$B$16)*J49</f>
        <v>16.4226209918155</v>
      </c>
      <c r="K50" s="13" t="n">
        <f aca="false">I49+J49</f>
        <v>326.387400725709</v>
      </c>
      <c r="L50" s="13" t="n">
        <f aca="false">TS_Setup!$B$17*(C50-N43)+(1-TS_Setup!$B$17)*(L49+M49)</f>
        <v>321.155781359381</v>
      </c>
      <c r="M50" s="16" t="n">
        <f aca="false">TS_Setup!$B$18*(L50-L49)+(1-TS_Setup!$B$18)*M49</f>
        <v>16.4332101177944</v>
      </c>
      <c r="N50" s="13" t="n">
        <f aca="false">TS_Setup!$B$19*(C50-L50)+(1-TS_Setup!$B$19)*N43</f>
        <v>0.708039060646445</v>
      </c>
      <c r="O50" s="13" t="n">
        <f aca="false">L49+M49+N43</f>
        <v>324.538344431184</v>
      </c>
      <c r="P50" s="13" t="n">
        <f aca="false">C50-C49</f>
        <v>141</v>
      </c>
      <c r="Q50" s="13" t="n">
        <f aca="false">TS_Setup!$B$34+TS_Setup!$B$33*C49</f>
        <v>222.117614468653</v>
      </c>
      <c r="R50" s="13" t="n">
        <f aca="false">C49+TS_Setup!$B$37+TS_Setup!$B$36*P49</f>
        <v>523.229922174712</v>
      </c>
      <c r="S50" s="13" t="n">
        <f aca="false">P50-P49</f>
        <v>859</v>
      </c>
      <c r="T50" s="13" t="n">
        <f aca="false">AVERAGE(C47:C53)</f>
        <v>388.285714285714</v>
      </c>
      <c r="U50" s="13" t="n">
        <f aca="false">C50-T50</f>
        <v>-91.2857142857143</v>
      </c>
    </row>
    <row r="51" customFormat="false" ht="15" hidden="false" customHeight="false" outlineLevel="0" collapsed="false">
      <c r="A51" s="11" t="n">
        <f aca="false">Daily!A51</f>
        <v>43933</v>
      </c>
      <c r="B51" s="12" t="str">
        <f aca="false">Daily!B51</f>
        <v>Sun</v>
      </c>
      <c r="C51" s="13" t="n">
        <f aca="false">Daily!C51</f>
        <v>253</v>
      </c>
      <c r="D51" s="12" t="str">
        <f aca="false">IF(ROW()&lt;=89,"Train","Test")</f>
        <v>Train</v>
      </c>
      <c r="E51" s="13" t="n">
        <f aca="false">C50</f>
        <v>297</v>
      </c>
      <c r="F51" s="13" t="n">
        <f aca="false">AVERAGE(C44:C50)</f>
        <v>314.285714285714</v>
      </c>
      <c r="G51" s="13" t="n">
        <f aca="false">TS_Setup!$B$14*C51+(1-TS_Setup!$B$14)*G50</f>
        <v>303.451036628636</v>
      </c>
      <c r="H51" s="13" t="n">
        <f aca="false">G50</f>
        <v>330.61697942867</v>
      </c>
      <c r="I51" s="13" t="n">
        <f aca="false">TS_Setup!$B$15*C51+(1-TS_Setup!$B$15)*(I50+J50)</f>
        <v>332.2064133406</v>
      </c>
      <c r="J51" s="16" t="n">
        <f aca="false">TS_Setup!$B$16*(I51-I50)+(1-TS_Setup!$B$16)*J50</f>
        <v>14.9001848489256</v>
      </c>
      <c r="K51" s="13" t="n">
        <f aca="false">I50+J50</f>
        <v>340.135768251485</v>
      </c>
      <c r="L51" s="13" t="n">
        <f aca="false">TS_Setup!$B$17*(C51-N44)+(1-TS_Setup!$B$17)*(L50+M50)</f>
        <v>330.23803785253</v>
      </c>
      <c r="M51" s="16" t="n">
        <f aca="false">TS_Setup!$B$18*(L51-L50)+(1-TS_Setup!$B$18)*M50</f>
        <v>14.9997741609885</v>
      </c>
      <c r="N51" s="13" t="n">
        <f aca="false">TS_Setup!$B$19*(C51-L51)+(1-TS_Setup!$B$19)*N44</f>
        <v>-1.81725366367097</v>
      </c>
      <c r="O51" s="13" t="n">
        <f aca="false">L50+M50+N44</f>
        <v>336.533563916422</v>
      </c>
      <c r="P51" s="13" t="n">
        <f aca="false">C51-C50</f>
        <v>-44</v>
      </c>
      <c r="Q51" s="13" t="n">
        <f aca="false">TS_Setup!$B$34+TS_Setup!$B$33*C50</f>
        <v>348.002844761205</v>
      </c>
      <c r="R51" s="13" t="n">
        <f aca="false">C50+TS_Setup!$B$37+TS_Setup!$B$36*P50</f>
        <v>267.815592697929</v>
      </c>
      <c r="S51" s="13" t="n">
        <f aca="false">P51-P50</f>
        <v>-185</v>
      </c>
      <c r="T51" s="13" t="n">
        <f aca="false">AVERAGE(C48:C54)</f>
        <v>386</v>
      </c>
      <c r="U51" s="13" t="n">
        <f aca="false">C51-T51</f>
        <v>-133</v>
      </c>
    </row>
    <row r="52" customFormat="false" ht="15" hidden="false" customHeight="false" outlineLevel="0" collapsed="false">
      <c r="A52" s="11" t="n">
        <f aca="false">Daily!A52</f>
        <v>43934</v>
      </c>
      <c r="B52" s="12" t="str">
        <f aca="false">Daily!B52</f>
        <v>Mon</v>
      </c>
      <c r="C52" s="13" t="n">
        <f aca="false">Daily!C52</f>
        <v>173</v>
      </c>
      <c r="D52" s="12" t="str">
        <f aca="false">IF(ROW()&lt;=89,"Train","Test")</f>
        <v>Train</v>
      </c>
      <c r="E52" s="13" t="n">
        <f aca="false">C51</f>
        <v>253</v>
      </c>
      <c r="F52" s="13" t="n">
        <f aca="false">AVERAGE(C45:C51)</f>
        <v>324.714285714286</v>
      </c>
      <c r="G52" s="13" t="n">
        <f aca="false">TS_Setup!$B$14*C52+(1-TS_Setup!$B$14)*G51</f>
        <v>257.793173808613</v>
      </c>
      <c r="H52" s="13" t="n">
        <f aca="false">G51</f>
        <v>303.451036628636</v>
      </c>
      <c r="I52" s="13" t="n">
        <f aca="false">TS_Setup!$B$15*C52+(1-TS_Setup!$B$15)*(I51+J51)</f>
        <v>331.262897754279</v>
      </c>
      <c r="J52" s="16" t="n">
        <f aca="false">TS_Setup!$B$16*(I52-I51)+(1-TS_Setup!$B$16)*J51</f>
        <v>11.8581943653582</v>
      </c>
      <c r="K52" s="13" t="n">
        <f aca="false">I51+J51</f>
        <v>347.106598189526</v>
      </c>
      <c r="L52" s="13" t="n">
        <f aca="false">TS_Setup!$B$17*(C52-N45)+(1-TS_Setup!$B$17)*(L51+M51)</f>
        <v>329.931516063924</v>
      </c>
      <c r="M52" s="16" t="n">
        <f aca="false">TS_Setup!$B$18*(L52-L51)+(1-TS_Setup!$B$18)*M51</f>
        <v>12.0150464508174</v>
      </c>
      <c r="N52" s="13" t="n">
        <f aca="false">TS_Setup!$B$19*(C52-L52)+(1-TS_Setup!$B$19)*N45</f>
        <v>0.111080378924755</v>
      </c>
      <c r="O52" s="13" t="n">
        <f aca="false">L51+M51+N45</f>
        <v>346.935181245402</v>
      </c>
      <c r="P52" s="13" t="n">
        <f aca="false">C52-C51</f>
        <v>-80</v>
      </c>
      <c r="Q52" s="13" t="n">
        <f aca="false">TS_Setup!$B$34+TS_Setup!$B$33*C51</f>
        <v>308.719510485515</v>
      </c>
      <c r="R52" s="13" t="n">
        <f aca="false">C51+TS_Setup!$B$37+TS_Setup!$B$36*P51</f>
        <v>309.190040839029</v>
      </c>
      <c r="S52" s="13" t="n">
        <f aca="false">P52-P51</f>
        <v>-36</v>
      </c>
      <c r="T52" s="13" t="n">
        <f aca="false">AVERAGE(C49:C55)</f>
        <v>358.714285714286</v>
      </c>
      <c r="U52" s="13" t="n">
        <f aca="false">C52-T52</f>
        <v>-185.714285714286</v>
      </c>
    </row>
    <row r="53" customFormat="false" ht="15" hidden="false" customHeight="false" outlineLevel="0" collapsed="false">
      <c r="A53" s="11" t="n">
        <f aca="false">Daily!A53</f>
        <v>43935</v>
      </c>
      <c r="B53" s="12" t="str">
        <f aca="false">Daily!B53</f>
        <v>Tue</v>
      </c>
      <c r="C53" s="13" t="n">
        <f aca="false">Daily!C53</f>
        <v>628</v>
      </c>
      <c r="D53" s="12" t="str">
        <f aca="false">IF(ROW()&lt;=89,"Train","Test")</f>
        <v>Train</v>
      </c>
      <c r="E53" s="13" t="n">
        <f aca="false">C52</f>
        <v>173</v>
      </c>
      <c r="F53" s="13" t="n">
        <f aca="false">AVERAGE(C46:C52)</f>
        <v>313.857142857143</v>
      </c>
      <c r="G53" s="13" t="n">
        <f aca="false">TS_Setup!$B$14*C53+(1-TS_Setup!$B$14)*G52</f>
        <v>387.365562975599</v>
      </c>
      <c r="H53" s="13" t="n">
        <f aca="false">G52</f>
        <v>257.793173808613</v>
      </c>
      <c r="I53" s="13" t="n">
        <f aca="false">TS_Setup!$B$15*C53+(1-TS_Setup!$B$15)*(I52+J52)</f>
        <v>369.04507273675</v>
      </c>
      <c r="J53" s="16" t="n">
        <f aca="false">TS_Setup!$B$16*(I53-I52)+(1-TS_Setup!$B$16)*J52</f>
        <v>16.8355986438439</v>
      </c>
      <c r="K53" s="13" t="n">
        <f aca="false">I52+J52</f>
        <v>343.121092119637</v>
      </c>
      <c r="L53" s="13" t="n">
        <f aca="false">TS_Setup!$B$17*(C53-N46)+(1-TS_Setup!$B$17)*(L52+M52)</f>
        <v>367.197833414349</v>
      </c>
      <c r="M53" s="16" t="n">
        <f aca="false">TS_Setup!$B$18*(L53-L52)+(1-TS_Setup!$B$18)*M52</f>
        <v>16.9390442762409</v>
      </c>
      <c r="N53" s="13" t="n">
        <f aca="false">TS_Setup!$B$19*(C53-L53)+(1-TS_Setup!$B$19)*N46</f>
        <v>1.72412715567655</v>
      </c>
      <c r="O53" s="13" t="n">
        <f aca="false">L52+M52+N46</f>
        <v>341.053739777186</v>
      </c>
      <c r="P53" s="13" t="n">
        <f aca="false">C53-C52</f>
        <v>455</v>
      </c>
      <c r="Q53" s="13" t="n">
        <f aca="false">TS_Setup!$B$34+TS_Setup!$B$33*C52</f>
        <v>237.295266347897</v>
      </c>
      <c r="R53" s="13" t="n">
        <f aca="false">C52+TS_Setup!$B$37+TS_Setup!$B$36*P52</f>
        <v>245.803446963784</v>
      </c>
      <c r="S53" s="13" t="n">
        <f aca="false">P53-P52</f>
        <v>535</v>
      </c>
      <c r="T53" s="13" t="n">
        <f aca="false">AVERAGE(C50:C56)</f>
        <v>409.571428571429</v>
      </c>
      <c r="U53" s="13" t="n">
        <f aca="false">C53-T53</f>
        <v>218.428571428571</v>
      </c>
    </row>
    <row r="54" customFormat="false" ht="15" hidden="false" customHeight="false" outlineLevel="0" collapsed="false">
      <c r="A54" s="11" t="n">
        <f aca="false">Daily!A54</f>
        <v>43936</v>
      </c>
      <c r="B54" s="12" t="str">
        <f aca="false">Daily!B54</f>
        <v>Wed</v>
      </c>
      <c r="C54" s="13" t="n">
        <f aca="false">Daily!C54</f>
        <v>321</v>
      </c>
      <c r="D54" s="12" t="str">
        <f aca="false">IF(ROW()&lt;=89,"Train","Test")</f>
        <v>Train</v>
      </c>
      <c r="E54" s="13" t="n">
        <f aca="false">C53</f>
        <v>628</v>
      </c>
      <c r="F54" s="13" t="n">
        <f aca="false">AVERAGE(C47:C53)</f>
        <v>388.285714285714</v>
      </c>
      <c r="G54" s="13" t="n">
        <f aca="false">TS_Setup!$B$14*C54+(1-TS_Setup!$B$14)*G53</f>
        <v>364.137615934139</v>
      </c>
      <c r="H54" s="13" t="n">
        <f aca="false">G53</f>
        <v>387.365562975599</v>
      </c>
      <c r="I54" s="13" t="n">
        <f aca="false">TS_Setup!$B$15*C54+(1-TS_Setup!$B$15)*(I53+J53)</f>
        <v>379.97653028496</v>
      </c>
      <c r="J54" s="16" t="n">
        <f aca="false">TS_Setup!$B$16*(I54-I53)+(1-TS_Setup!$B$16)*J53</f>
        <v>15.7020035534822</v>
      </c>
      <c r="K54" s="13" t="n">
        <f aca="false">I53+J53</f>
        <v>385.880671380594</v>
      </c>
      <c r="L54" s="13" t="n">
        <f aca="false">TS_Setup!$B$17*(C54-N47)+(1-TS_Setup!$B$17)*(L53+M53)</f>
        <v>378.219388815698</v>
      </c>
      <c r="M54" s="16" t="n">
        <f aca="false">TS_Setup!$B$18*(L54-L53)+(1-TS_Setup!$B$18)*M53</f>
        <v>15.7851339456371</v>
      </c>
      <c r="N54" s="13" t="n">
        <f aca="false">TS_Setup!$B$19*(C54-L54)+(1-TS_Setup!$B$19)*N47</f>
        <v>3.49404704069209</v>
      </c>
      <c r="O54" s="13" t="n">
        <f aca="false">L53+M53+N47</f>
        <v>388.244191760134</v>
      </c>
      <c r="P54" s="13" t="n">
        <f aca="false">C54-C53</f>
        <v>-307</v>
      </c>
      <c r="Q54" s="13" t="n">
        <f aca="false">TS_Setup!$B$34+TS_Setup!$B$33*C53</f>
        <v>643.520654880602</v>
      </c>
      <c r="R54" s="13" t="n">
        <f aca="false">C53+TS_Setup!$B$37+TS_Setup!$B$36*P53</f>
        <v>453.909772609792</v>
      </c>
      <c r="S54" s="13" t="n">
        <f aca="false">P54-P53</f>
        <v>-762</v>
      </c>
      <c r="T54" s="13" t="n">
        <f aca="false">AVERAGE(C51:C57)</f>
        <v>407.857142857143</v>
      </c>
      <c r="U54" s="13" t="n">
        <f aca="false">C54-T54</f>
        <v>-86.8571428571428</v>
      </c>
    </row>
    <row r="55" customFormat="false" ht="15" hidden="false" customHeight="false" outlineLevel="0" collapsed="false">
      <c r="A55" s="11" t="n">
        <f aca="false">Daily!A55</f>
        <v>43937</v>
      </c>
      <c r="B55" s="12" t="str">
        <f aca="false">Daily!B55</f>
        <v>Thu</v>
      </c>
      <c r="C55" s="13" t="n">
        <f aca="false">Daily!C55</f>
        <v>683</v>
      </c>
      <c r="D55" s="12" t="str">
        <f aca="false">IF(ROW()&lt;=89,"Train","Test")</f>
        <v>Train</v>
      </c>
      <c r="E55" s="13" t="n">
        <f aca="false">C54</f>
        <v>321</v>
      </c>
      <c r="F55" s="13" t="n">
        <f aca="false">AVERAGE(C48:C54)</f>
        <v>386</v>
      </c>
      <c r="G55" s="13" t="n">
        <f aca="false">TS_Setup!$B$14*C55+(1-TS_Setup!$B$14)*G54</f>
        <v>475.73945035719</v>
      </c>
      <c r="H55" s="13" t="n">
        <f aca="false">G54</f>
        <v>364.137615934139</v>
      </c>
      <c r="I55" s="13" t="n">
        <f aca="false">TS_Setup!$B$15*C55+(1-TS_Setup!$B$15)*(I54+J54)</f>
        <v>421.824787259144</v>
      </c>
      <c r="J55" s="16" t="n">
        <f aca="false">TS_Setup!$B$16*(I55-I54)+(1-TS_Setup!$B$16)*J54</f>
        <v>20.7220842102569</v>
      </c>
      <c r="K55" s="13" t="n">
        <f aca="false">I54+J54</f>
        <v>395.678533838442</v>
      </c>
      <c r="L55" s="13" t="n">
        <f aca="false">TS_Setup!$B$17*(C55-N48)+(1-TS_Setup!$B$17)*(L54+M54)</f>
        <v>418.904098162201</v>
      </c>
      <c r="M55" s="16" t="n">
        <f aca="false">TS_Setup!$B$18*(L55-L54)+(1-TS_Setup!$B$18)*M54</f>
        <v>20.6405511488058</v>
      </c>
      <c r="N55" s="13" t="n">
        <f aca="false">TS_Setup!$B$19*(C55-L55)+(1-TS_Setup!$B$19)*N48</f>
        <v>8.62625822491841</v>
      </c>
      <c r="O55" s="13" t="n">
        <f aca="false">L54+M54+N48</f>
        <v>400.050279535618</v>
      </c>
      <c r="P55" s="13" t="n">
        <f aca="false">C55-C54</f>
        <v>362</v>
      </c>
      <c r="Q55" s="13" t="n">
        <f aca="false">TS_Setup!$B$34+TS_Setup!$B$33*C54</f>
        <v>369.430118002491</v>
      </c>
      <c r="R55" s="13" t="n">
        <f aca="false">C54+TS_Setup!$B$37+TS_Setup!$B$36*P54</f>
        <v>498.560202250431</v>
      </c>
      <c r="S55" s="13" t="n">
        <f aca="false">P55-P54</f>
        <v>669</v>
      </c>
      <c r="T55" s="13" t="n">
        <f aca="false">AVERAGE(C52:C58)</f>
        <v>455</v>
      </c>
      <c r="U55" s="13" t="n">
        <f aca="false">C55-T55</f>
        <v>228</v>
      </c>
    </row>
    <row r="56" customFormat="false" ht="15" hidden="false" customHeight="false" outlineLevel="0" collapsed="false">
      <c r="A56" s="11" t="n">
        <f aca="false">Daily!A56</f>
        <v>43938</v>
      </c>
      <c r="B56" s="12" t="str">
        <f aca="false">Daily!B56</f>
        <v>Fri</v>
      </c>
      <c r="C56" s="13" t="n">
        <f aca="false">Daily!C56</f>
        <v>512</v>
      </c>
      <c r="D56" s="12" t="str">
        <f aca="false">IF(ROW()&lt;=89,"Train","Test")</f>
        <v>Train</v>
      </c>
      <c r="E56" s="13" t="n">
        <f aca="false">C55</f>
        <v>683</v>
      </c>
      <c r="F56" s="13" t="n">
        <f aca="false">AVERAGE(C49:C55)</f>
        <v>358.714285714286</v>
      </c>
      <c r="G56" s="13" t="n">
        <f aca="false">TS_Setup!$B$14*C56+(1-TS_Setup!$B$14)*G55</f>
        <v>488.430642732174</v>
      </c>
      <c r="H56" s="13" t="n">
        <f aca="false">G55</f>
        <v>475.73945035719</v>
      </c>
      <c r="I56" s="13" t="n">
        <f aca="false">TS_Setup!$B$15*C56+(1-TS_Setup!$B$15)*(I55+J55)</f>
        <v>448.867106165685</v>
      </c>
      <c r="J56" s="16" t="n">
        <f aca="false">TS_Setup!$B$16*(I56-I55)+(1-TS_Setup!$B$16)*J55</f>
        <v>21.9355692719435</v>
      </c>
      <c r="K56" s="13" t="n">
        <f aca="false">I55+J55</f>
        <v>442.546871469401</v>
      </c>
      <c r="L56" s="13" t="n">
        <f aca="false">TS_Setup!$B$17*(C56-N49)+(1-TS_Setup!$B$17)*(L55+M55)</f>
        <v>446.092533031789</v>
      </c>
      <c r="M56" s="16" t="n">
        <f aca="false">TS_Setup!$B$18*(L56-L55)+(1-TS_Setup!$B$18)*M55</f>
        <v>21.9173884743585</v>
      </c>
      <c r="N56" s="13" t="n">
        <f aca="false">TS_Setup!$B$19*(C56-L56)+(1-TS_Setup!$B$19)*N49</f>
        <v>-1.27382000701876</v>
      </c>
      <c r="O56" s="13" t="n">
        <f aca="false">L55+M55+N49</f>
        <v>437.592230445652</v>
      </c>
      <c r="P56" s="13" t="n">
        <f aca="false">C56-C55</f>
        <v>-171</v>
      </c>
      <c r="Q56" s="13" t="n">
        <f aca="false">TS_Setup!$B$34+TS_Setup!$B$33*C55</f>
        <v>692.624822725215</v>
      </c>
      <c r="R56" s="13" t="n">
        <f aca="false">C55+TS_Setup!$B$37+TS_Setup!$B$36*P55</f>
        <v>551.827738432075</v>
      </c>
      <c r="S56" s="13" t="n">
        <f aca="false">P56-P55</f>
        <v>-533</v>
      </c>
      <c r="T56" s="13" t="n">
        <f aca="false">AVERAGE(C53:C59)</f>
        <v>531.285714285714</v>
      </c>
      <c r="U56" s="13" t="n">
        <f aca="false">C56-T56</f>
        <v>-19.2857142857143</v>
      </c>
    </row>
    <row r="57" customFormat="false" ht="15" hidden="false" customHeight="false" outlineLevel="0" collapsed="false">
      <c r="A57" s="11" t="n">
        <f aca="false">Daily!A57</f>
        <v>43939</v>
      </c>
      <c r="B57" s="12" t="str">
        <f aca="false">Daily!B57</f>
        <v>Sat</v>
      </c>
      <c r="C57" s="13" t="n">
        <f aca="false">Daily!C57</f>
        <v>285</v>
      </c>
      <c r="D57" s="12" t="str">
        <f aca="false">IF(ROW()&lt;=89,"Train","Test")</f>
        <v>Train</v>
      </c>
      <c r="E57" s="13" t="n">
        <f aca="false">C56</f>
        <v>512</v>
      </c>
      <c r="F57" s="13" t="n">
        <f aca="false">AVERAGE(C50:C56)</f>
        <v>409.571428571429</v>
      </c>
      <c r="G57" s="13" t="n">
        <f aca="false">TS_Setup!$B$14*C57+(1-TS_Setup!$B$14)*G56</f>
        <v>417.229917775913</v>
      </c>
      <c r="H57" s="13" t="n">
        <f aca="false">G56</f>
        <v>488.430642732174</v>
      </c>
      <c r="I57" s="13" t="n">
        <f aca="false">TS_Setup!$B$15*C57+(1-TS_Setup!$B$15)*(I56+J56)</f>
        <v>453.894631972805</v>
      </c>
      <c r="J57" s="16" t="n">
        <f aca="false">TS_Setup!$B$16*(I57-I56)+(1-TS_Setup!$B$16)*J56</f>
        <v>18.6892249266973</v>
      </c>
      <c r="K57" s="13" t="n">
        <f aca="false">I56+J56</f>
        <v>470.802675437629</v>
      </c>
      <c r="L57" s="13" t="n">
        <f aca="false">TS_Setup!$B$17*(C57-N50)+(1-TS_Setup!$B$17)*(L56+M56)</f>
        <v>451.84274097627</v>
      </c>
      <c r="M57" s="16" t="n">
        <f aca="false">TS_Setup!$B$18*(L57-L56)+(1-TS_Setup!$B$18)*M56</f>
        <v>18.7647882710323</v>
      </c>
      <c r="N57" s="13" t="n">
        <f aca="false">TS_Setup!$B$19*(C57-L57)+(1-TS_Setup!$B$19)*N50</f>
        <v>-0.967468739722716</v>
      </c>
      <c r="O57" s="13" t="n">
        <f aca="false">L56+M56+N50</f>
        <v>468.717960566794</v>
      </c>
      <c r="P57" s="13" t="n">
        <f aca="false">C57-C56</f>
        <v>-227</v>
      </c>
      <c r="Q57" s="13" t="n">
        <f aca="false">TS_Setup!$B$34+TS_Setup!$B$33*C56</f>
        <v>539.955500881055</v>
      </c>
      <c r="R57" s="13" t="n">
        <f aca="false">C56+TS_Setup!$B$37+TS_Setup!$B$36*P56</f>
        <v>626.798445779136</v>
      </c>
      <c r="S57" s="13" t="n">
        <f aca="false">P57-P56</f>
        <v>-56</v>
      </c>
      <c r="T57" s="13" t="n">
        <f aca="false">AVERAGE(C54:C60)</f>
        <v>538.285714285714</v>
      </c>
      <c r="U57" s="13" t="n">
        <f aca="false">C57-T57</f>
        <v>-253.285714285714</v>
      </c>
    </row>
    <row r="58" customFormat="false" ht="15" hidden="false" customHeight="false" outlineLevel="0" collapsed="false">
      <c r="A58" s="11" t="n">
        <f aca="false">Daily!A58</f>
        <v>43940</v>
      </c>
      <c r="B58" s="12" t="str">
        <f aca="false">Daily!B58</f>
        <v>Sun</v>
      </c>
      <c r="C58" s="13" t="n">
        <f aca="false">Daily!C58</f>
        <v>583</v>
      </c>
      <c r="D58" s="12" t="str">
        <f aca="false">IF(ROW()&lt;=89,"Train","Test")</f>
        <v>Train</v>
      </c>
      <c r="E58" s="13" t="n">
        <f aca="false">C57</f>
        <v>285</v>
      </c>
      <c r="F58" s="13" t="n">
        <f aca="false">AVERAGE(C51:C57)</f>
        <v>407.857142857143</v>
      </c>
      <c r="G58" s="13" t="n">
        <f aca="false">TS_Setup!$B$14*C58+(1-TS_Setup!$B$14)*G57</f>
        <v>475.249446554343</v>
      </c>
      <c r="H58" s="13" t="n">
        <f aca="false">G57</f>
        <v>417.229917775913</v>
      </c>
      <c r="I58" s="13" t="n">
        <f aca="false">TS_Setup!$B$15*C58+(1-TS_Setup!$B$15)*(I57+J57)</f>
        <v>482.631725921647</v>
      </c>
      <c r="J58" s="16" t="n">
        <f aca="false">TS_Setup!$B$16*(I58-I57)+(1-TS_Setup!$B$16)*J57</f>
        <v>20.6184157789492</v>
      </c>
      <c r="K58" s="13" t="n">
        <f aca="false">I57+J57</f>
        <v>472.583856899502</v>
      </c>
      <c r="L58" s="13" t="n">
        <f aca="false">TS_Setup!$B$17*(C58-N51)+(1-TS_Setup!$B$17)*(L57+M57)</f>
        <v>480.657984995942</v>
      </c>
      <c r="M58" s="16" t="n">
        <f aca="false">TS_Setup!$B$18*(L58-L57)+(1-TS_Setup!$B$18)*M57</f>
        <v>20.7246271420172</v>
      </c>
      <c r="N58" s="13" t="n">
        <f aca="false">TS_Setup!$B$19*(C58-L58)+(1-TS_Setup!$B$19)*N51</f>
        <v>-0.775660976993681</v>
      </c>
      <c r="O58" s="13" t="n">
        <f aca="false">L57+M57+N51</f>
        <v>468.790275583631</v>
      </c>
      <c r="P58" s="13" t="n">
        <f aca="false">C58-C57</f>
        <v>298</v>
      </c>
      <c r="Q58" s="13" t="n">
        <f aca="false">TS_Setup!$B$34+TS_Setup!$B$33*C57</f>
        <v>337.289208140563</v>
      </c>
      <c r="R58" s="13" t="n">
        <f aca="false">C57+TS_Setup!$B$37+TS_Setup!$B$36*P57</f>
        <v>425.641521973198</v>
      </c>
      <c r="S58" s="13" t="n">
        <f aca="false">P58-P57</f>
        <v>525</v>
      </c>
      <c r="T58" s="13" t="n">
        <f aca="false">AVERAGE(C55:C61)</f>
        <v>602</v>
      </c>
      <c r="U58" s="13" t="n">
        <f aca="false">C58-T58</f>
        <v>-19</v>
      </c>
    </row>
    <row r="59" customFormat="false" ht="15" hidden="false" customHeight="false" outlineLevel="0" collapsed="false">
      <c r="A59" s="11" t="n">
        <f aca="false">Daily!A59</f>
        <v>43941</v>
      </c>
      <c r="B59" s="12" t="str">
        <f aca="false">Daily!B59</f>
        <v>Mon</v>
      </c>
      <c r="C59" s="13" t="n">
        <f aca="false">Daily!C59</f>
        <v>707</v>
      </c>
      <c r="D59" s="12" t="str">
        <f aca="false">IF(ROW()&lt;=89,"Train","Test")</f>
        <v>Train</v>
      </c>
      <c r="E59" s="13" t="n">
        <f aca="false">C58</f>
        <v>583</v>
      </c>
      <c r="F59" s="13" t="n">
        <f aca="false">AVERAGE(C52:C58)</f>
        <v>455</v>
      </c>
      <c r="G59" s="13" t="n">
        <f aca="false">TS_Setup!$B$14*C59+(1-TS_Setup!$B$14)*G58</f>
        <v>556.362140260323</v>
      </c>
      <c r="H59" s="13" t="n">
        <f aca="false">G58</f>
        <v>475.249446554343</v>
      </c>
      <c r="I59" s="13" t="n">
        <f aca="false">TS_Setup!$B$15*C59+(1-TS_Setup!$B$15)*(I58+J58)</f>
        <v>521.791378805842</v>
      </c>
      <c r="J59" s="16" t="n">
        <f aca="false">TS_Setup!$B$16*(I59-I58)+(1-TS_Setup!$B$16)*J58</f>
        <v>24.1783333031564</v>
      </c>
      <c r="K59" s="13" t="n">
        <f aca="false">I58+J58</f>
        <v>503.250141700596</v>
      </c>
      <c r="L59" s="13" t="n">
        <f aca="false">TS_Setup!$B$17*(C59-N52)+(1-TS_Setup!$B$17)*(L58+M58)</f>
        <v>519.467167196474</v>
      </c>
      <c r="M59" s="16" t="n">
        <f aca="false">TS_Setup!$B$18*(L59-L58)+(1-TS_Setup!$B$18)*M58</f>
        <v>24.2511153784274</v>
      </c>
      <c r="N59" s="13" t="n">
        <f aca="false">TS_Setup!$B$19*(C59-L59)+(1-TS_Setup!$B$19)*N52</f>
        <v>1.98529790317077</v>
      </c>
      <c r="O59" s="13" t="n">
        <f aca="false">L58+M58+N52</f>
        <v>501.493692516884</v>
      </c>
      <c r="P59" s="13" t="n">
        <f aca="false">C59-C58</f>
        <v>124</v>
      </c>
      <c r="Q59" s="13" t="n">
        <f aca="false">TS_Setup!$B$34+TS_Setup!$B$33*C58</f>
        <v>603.344517553191</v>
      </c>
      <c r="R59" s="13" t="n">
        <f aca="false">C58+TS_Setup!$B$37+TS_Setup!$B$36*P58</f>
        <v>481.362682653861</v>
      </c>
      <c r="S59" s="13" t="n">
        <f aca="false">P59-P58</f>
        <v>-174</v>
      </c>
      <c r="T59" s="13" t="n">
        <f aca="false">AVERAGE(C56:C62)</f>
        <v>596</v>
      </c>
      <c r="U59" s="13" t="n">
        <f aca="false">C59-T59</f>
        <v>111</v>
      </c>
    </row>
    <row r="60" customFormat="false" ht="15" hidden="false" customHeight="false" outlineLevel="0" collapsed="false">
      <c r="A60" s="11" t="n">
        <f aca="false">Daily!A60</f>
        <v>43942</v>
      </c>
      <c r="B60" s="12" t="str">
        <f aca="false">Daily!B60</f>
        <v>Tue</v>
      </c>
      <c r="C60" s="13" t="n">
        <f aca="false">Daily!C60</f>
        <v>677</v>
      </c>
      <c r="D60" s="12" t="str">
        <f aca="false">IF(ROW()&lt;=89,"Train","Test")</f>
        <v>Train</v>
      </c>
      <c r="E60" s="13" t="n">
        <f aca="false">C59</f>
        <v>707</v>
      </c>
      <c r="F60" s="13" t="n">
        <f aca="false">AVERAGE(C53:C59)</f>
        <v>531.285714285714</v>
      </c>
      <c r="G60" s="13" t="n">
        <f aca="false">TS_Setup!$B$14*C60+(1-TS_Setup!$B$14)*G59</f>
        <v>598.58539116921</v>
      </c>
      <c r="H60" s="13" t="n">
        <f aca="false">G59</f>
        <v>556.362140260323</v>
      </c>
      <c r="I60" s="13" t="n">
        <f aca="false">TS_Setup!$B$15*C60+(1-TS_Setup!$B$15)*(I59+J59)</f>
        <v>557.89346830708</v>
      </c>
      <c r="J60" s="16" t="n">
        <f aca="false">TS_Setup!$B$16*(I60-I59)+(1-TS_Setup!$B$16)*J59</f>
        <v>26.467694493188</v>
      </c>
      <c r="K60" s="13" t="n">
        <f aca="false">I59+J59</f>
        <v>545.969712108999</v>
      </c>
      <c r="L60" s="13" t="n">
        <f aca="false">TS_Setup!$B$17*(C60-N53)+(1-TS_Setup!$B$17)*(L59+M59)</f>
        <v>555.295350518611</v>
      </c>
      <c r="M60" s="16" t="n">
        <f aca="false">TS_Setup!$B$18*(L60-L59)+(1-TS_Setup!$B$18)*M59</f>
        <v>26.5086436274507</v>
      </c>
      <c r="N60" s="13" t="n">
        <f aca="false">TS_Setup!$B$19*(C60-L60)+(1-TS_Setup!$B$19)*N53</f>
        <v>2.92393237893368</v>
      </c>
      <c r="O60" s="13" t="n">
        <f aca="false">L59+M59+N53</f>
        <v>545.442409730578</v>
      </c>
      <c r="P60" s="13" t="n">
        <f aca="false">C60-C59</f>
        <v>-30</v>
      </c>
      <c r="Q60" s="13" t="n">
        <f aca="false">TS_Setup!$B$34+TS_Setup!$B$33*C59</f>
        <v>714.0520959665</v>
      </c>
      <c r="R60" s="13" t="n">
        <f aca="false">C59+TS_Setup!$B$37+TS_Setup!$B$36*P59</f>
        <v>685.660812256841</v>
      </c>
      <c r="S60" s="13" t="n">
        <f aca="false">P60-P59</f>
        <v>-154</v>
      </c>
      <c r="T60" s="13" t="n">
        <f aca="false">AVERAGE(C57:C63)</f>
        <v>599.142857142857</v>
      </c>
      <c r="U60" s="13" t="n">
        <f aca="false">C60-T60</f>
        <v>77.8571428571429</v>
      </c>
    </row>
    <row r="61" customFormat="false" ht="15" hidden="false" customHeight="false" outlineLevel="0" collapsed="false">
      <c r="A61" s="11" t="n">
        <f aca="false">Daily!A61</f>
        <v>43943</v>
      </c>
      <c r="B61" s="12" t="str">
        <f aca="false">Daily!B61</f>
        <v>Wed</v>
      </c>
      <c r="C61" s="13" t="n">
        <f aca="false">Daily!C61</f>
        <v>767</v>
      </c>
      <c r="D61" s="12" t="str">
        <f aca="false">IF(ROW()&lt;=89,"Train","Test")</f>
        <v>Train</v>
      </c>
      <c r="E61" s="13" t="n">
        <f aca="false">C60</f>
        <v>677</v>
      </c>
      <c r="F61" s="13" t="n">
        <f aca="false">AVERAGE(C54:C60)</f>
        <v>538.285714285714</v>
      </c>
      <c r="G61" s="13" t="n">
        <f aca="false">TS_Setup!$B$14*C61+(1-TS_Setup!$B$14)*G60</f>
        <v>657.530504259987</v>
      </c>
      <c r="H61" s="13" t="n">
        <f aca="false">G60</f>
        <v>598.58539116921</v>
      </c>
      <c r="I61" s="13" t="n">
        <f aca="false">TS_Setup!$B$15*C61+(1-TS_Setup!$B$15)*(I60+J60)</f>
        <v>600.981296985443</v>
      </c>
      <c r="J61" s="16" t="n">
        <f aca="false">TS_Setup!$B$16*(I61-I60)+(1-TS_Setup!$B$16)*J60</f>
        <v>29.6587602567417</v>
      </c>
      <c r="K61" s="13" t="n">
        <f aca="false">I60+J60</f>
        <v>584.361162800268</v>
      </c>
      <c r="L61" s="13" t="n">
        <f aca="false">TS_Setup!$B$17*(C61-N54)+(1-TS_Setup!$B$17)*(L60+M60)</f>
        <v>597.793766521627</v>
      </c>
      <c r="M61" s="16" t="n">
        <f aca="false">TS_Setup!$B$18*(L61-L60)+(1-TS_Setup!$B$18)*M60</f>
        <v>29.6266492406861</v>
      </c>
      <c r="N61" s="13" t="n">
        <f aca="false">TS_Setup!$B$19*(C61-L61)+(1-TS_Setup!$B$19)*N54</f>
        <v>5.1511689050689</v>
      </c>
      <c r="O61" s="13" t="n">
        <f aca="false">L60+M60+N54</f>
        <v>585.298041186753</v>
      </c>
      <c r="P61" s="13" t="n">
        <f aca="false">C61-C60</f>
        <v>90</v>
      </c>
      <c r="Q61" s="13" t="n">
        <f aca="false">TS_Setup!$B$34+TS_Setup!$B$33*C60</f>
        <v>687.268004414893</v>
      </c>
      <c r="R61" s="13" t="n">
        <f aca="false">C60+TS_Setup!$B$37+TS_Setup!$B$36*P60</f>
        <v>726.729271790514</v>
      </c>
      <c r="S61" s="13" t="n">
        <f aca="false">P61-P60</f>
        <v>120</v>
      </c>
      <c r="T61" s="13" t="n">
        <f aca="false">AVERAGE(C58:C64)</f>
        <v>690.142857142857</v>
      </c>
      <c r="U61" s="13" t="n">
        <f aca="false">C61-T61</f>
        <v>76.8571428571429</v>
      </c>
    </row>
    <row r="62" customFormat="false" ht="15" hidden="false" customHeight="false" outlineLevel="0" collapsed="false">
      <c r="A62" s="11" t="n">
        <f aca="false">Daily!A62</f>
        <v>43944</v>
      </c>
      <c r="B62" s="12" t="str">
        <f aca="false">Daily!B62</f>
        <v>Thu</v>
      </c>
      <c r="C62" s="13" t="n">
        <f aca="false">Daily!C62</f>
        <v>641</v>
      </c>
      <c r="D62" s="12" t="str">
        <f aca="false">IF(ROW()&lt;=89,"Train","Test")</f>
        <v>Train</v>
      </c>
      <c r="E62" s="13" t="n">
        <f aca="false">C61</f>
        <v>767</v>
      </c>
      <c r="F62" s="13" t="n">
        <f aca="false">AVERAGE(C55:C61)</f>
        <v>602</v>
      </c>
      <c r="G62" s="13" t="n">
        <f aca="false">TS_Setup!$B$14*C62+(1-TS_Setup!$B$14)*G61</f>
        <v>651.744827768991</v>
      </c>
      <c r="H62" s="13" t="n">
        <f aca="false">G61</f>
        <v>657.530504259987</v>
      </c>
      <c r="I62" s="13" t="n">
        <f aca="false">TS_Setup!$B$15*C62+(1-TS_Setup!$B$15)*(I61+J61)</f>
        <v>631.582812033146</v>
      </c>
      <c r="J62" s="16" t="n">
        <f aca="false">TS_Setup!$B$16*(I62-I61)+(1-TS_Setup!$B$16)*J61</f>
        <v>29.8397691766063</v>
      </c>
      <c r="K62" s="13" t="n">
        <f aca="false">I61+J61</f>
        <v>630.640057242185</v>
      </c>
      <c r="L62" s="13" t="n">
        <f aca="false">TS_Setup!$B$17*(C62-N55)+(1-TS_Setup!$B$17)*(L61+M61)</f>
        <v>627.856308451437</v>
      </c>
      <c r="M62" s="16" t="n">
        <f aca="false">TS_Setup!$B$18*(L62-L61)+(1-TS_Setup!$B$18)*M61</f>
        <v>29.7116483150652</v>
      </c>
      <c r="N62" s="13" t="n">
        <f aca="false">TS_Setup!$B$19*(C62-L62)+(1-TS_Setup!$B$19)*N55</f>
        <v>8.67143255815486</v>
      </c>
      <c r="O62" s="13" t="n">
        <f aca="false">L61+M61+N55</f>
        <v>636.046673987231</v>
      </c>
      <c r="P62" s="13" t="n">
        <f aca="false">C62-C61</f>
        <v>-126</v>
      </c>
      <c r="Q62" s="13" t="n">
        <f aca="false">TS_Setup!$B$34+TS_Setup!$B$33*C61</f>
        <v>767.620279069714</v>
      </c>
      <c r="R62" s="13" t="n">
        <f aca="false">C61+TS_Setup!$B$37+TS_Setup!$B$36*P61</f>
        <v>761.351251374665</v>
      </c>
      <c r="S62" s="13" t="n">
        <f aca="false">P62-P61</f>
        <v>-216</v>
      </c>
      <c r="T62" s="13" t="n">
        <f aca="false">AVERAGE(C59:C65)</f>
        <v>701.142857142857</v>
      </c>
      <c r="U62" s="13" t="n">
        <f aca="false">C62-T62</f>
        <v>-60.1428571428571</v>
      </c>
    </row>
    <row r="63" customFormat="false" ht="15" hidden="false" customHeight="false" outlineLevel="0" collapsed="false">
      <c r="A63" s="11" t="n">
        <f aca="false">Daily!A63</f>
        <v>43945</v>
      </c>
      <c r="B63" s="12" t="str">
        <f aca="false">Daily!B63</f>
        <v>Fri</v>
      </c>
      <c r="C63" s="13" t="n">
        <f aca="false">Daily!C63</f>
        <v>534</v>
      </c>
      <c r="D63" s="12" t="str">
        <f aca="false">IF(ROW()&lt;=89,"Train","Test")</f>
        <v>Train</v>
      </c>
      <c r="E63" s="13" t="n">
        <f aca="false">C62</f>
        <v>641</v>
      </c>
      <c r="F63" s="13" t="n">
        <f aca="false">AVERAGE(C56:C62)</f>
        <v>596</v>
      </c>
      <c r="G63" s="13" t="n">
        <f aca="false">TS_Setup!$B$14*C63+(1-TS_Setup!$B$14)*G62</f>
        <v>610.534138049844</v>
      </c>
      <c r="H63" s="13" t="n">
        <f aca="false">G62</f>
        <v>651.744827768991</v>
      </c>
      <c r="I63" s="13" t="n">
        <f aca="false">TS_Setup!$B$15*C63+(1-TS_Setup!$B$15)*(I62+J62)</f>
        <v>649.827126319665</v>
      </c>
      <c r="J63" s="16" t="n">
        <f aca="false">TS_Setup!$B$16*(I63-I62)+(1-TS_Setup!$B$16)*J62</f>
        <v>27.6134418377095</v>
      </c>
      <c r="K63" s="13" t="n">
        <f aca="false">I62+J62</f>
        <v>661.422581209753</v>
      </c>
      <c r="L63" s="13" t="n">
        <f aca="false">TS_Setup!$B$17*(C63-N56)+(1-TS_Setup!$B$17)*(L62+M62)</f>
        <v>646.806072731667</v>
      </c>
      <c r="M63" s="16" t="n">
        <f aca="false">TS_Setup!$B$18*(L63-L62)+(1-TS_Setup!$B$18)*M62</f>
        <v>27.6130809282725</v>
      </c>
      <c r="N63" s="13" t="n">
        <f aca="false">TS_Setup!$B$19*(C63-L63)+(1-TS_Setup!$B$19)*N56</f>
        <v>-2.38914253426525</v>
      </c>
      <c r="O63" s="13" t="n">
        <f aca="false">L62+M62+N56</f>
        <v>656.294136759483</v>
      </c>
      <c r="P63" s="13" t="n">
        <f aca="false">C63-C62</f>
        <v>-107</v>
      </c>
      <c r="Q63" s="13" t="n">
        <f aca="false">TS_Setup!$B$34+TS_Setup!$B$33*C62</f>
        <v>655.127094552965</v>
      </c>
      <c r="R63" s="13" t="n">
        <f aca="false">C62+TS_Setup!$B$37+TS_Setup!$B$36*P62</f>
        <v>735.031688123193</v>
      </c>
      <c r="S63" s="13" t="n">
        <f aca="false">P63-P62</f>
        <v>19</v>
      </c>
      <c r="T63" s="13" t="n">
        <f aca="false">AVERAGE(C60:C66)</f>
        <v>705.714285714286</v>
      </c>
      <c r="U63" s="13" t="n">
        <f aca="false">C63-T63</f>
        <v>-171.714285714286</v>
      </c>
    </row>
    <row r="64" customFormat="false" ht="15" hidden="false" customHeight="false" outlineLevel="0" collapsed="false">
      <c r="A64" s="11" t="n">
        <f aca="false">Daily!A64</f>
        <v>43946</v>
      </c>
      <c r="B64" s="12" t="str">
        <f aca="false">Daily!B64</f>
        <v>Sat</v>
      </c>
      <c r="C64" s="13" t="n">
        <f aca="false">Daily!C64</f>
        <v>922</v>
      </c>
      <c r="D64" s="12" t="str">
        <f aca="false">IF(ROW()&lt;=89,"Train","Test")</f>
        <v>Train</v>
      </c>
      <c r="E64" s="13" t="n">
        <f aca="false">C63</f>
        <v>534</v>
      </c>
      <c r="F64" s="13" t="n">
        <f aca="false">AVERAGE(C57:C63)</f>
        <v>599.142857142857</v>
      </c>
      <c r="G64" s="13" t="n">
        <f aca="false">TS_Setup!$B$14*C64+(1-TS_Setup!$B$14)*G63</f>
        <v>719.547189732399</v>
      </c>
      <c r="H64" s="13" t="n">
        <f aca="false">G63</f>
        <v>610.534138049844</v>
      </c>
      <c r="I64" s="13" t="n">
        <f aca="false">TS_Setup!$B$15*C64+(1-TS_Setup!$B$15)*(I63+J63)</f>
        <v>699.695476455054</v>
      </c>
      <c r="J64" s="16" t="n">
        <f aca="false">TS_Setup!$B$16*(I64-I63)+(1-TS_Setup!$B$16)*J63</f>
        <v>31.8863842308638</v>
      </c>
      <c r="K64" s="13" t="n">
        <f aca="false">I63+J63</f>
        <v>677.440568157375</v>
      </c>
      <c r="L64" s="13" t="n">
        <f aca="false">TS_Setup!$B$17*(C64-N57)+(1-TS_Setup!$B$17)*(L63+M63)</f>
        <v>696.291405386961</v>
      </c>
      <c r="M64" s="16" t="n">
        <f aca="false">TS_Setup!$B$18*(L64-L63)+(1-TS_Setup!$B$18)*M63</f>
        <v>31.8781700150415</v>
      </c>
      <c r="N64" s="13" t="n">
        <f aca="false">TS_Setup!$B$19*(C64-L64)+(1-TS_Setup!$B$19)*N57</f>
        <v>1.2992918938049</v>
      </c>
      <c r="O64" s="13" t="n">
        <f aca="false">L63+M63+N57</f>
        <v>673.451684920217</v>
      </c>
      <c r="P64" s="13" t="n">
        <f aca="false">C64-C63</f>
        <v>388</v>
      </c>
      <c r="Q64" s="13" t="n">
        <f aca="false">TS_Setup!$B$34+TS_Setup!$B$33*C63</f>
        <v>559.5971680189</v>
      </c>
      <c r="R64" s="13" t="n">
        <f aca="false">C63+TS_Setup!$B$37+TS_Setup!$B$36*P63</f>
        <v>619.26350155735</v>
      </c>
      <c r="S64" s="13" t="n">
        <f aca="false">P64-P63</f>
        <v>495</v>
      </c>
      <c r="T64" s="13" t="n">
        <f aca="false">AVERAGE(C61:C67)</f>
        <v>713.285714285714</v>
      </c>
      <c r="U64" s="13" t="n">
        <f aca="false">C64-T64</f>
        <v>208.714285714286</v>
      </c>
    </row>
    <row r="65" customFormat="false" ht="15" hidden="false" customHeight="false" outlineLevel="0" collapsed="false">
      <c r="A65" s="11" t="n">
        <f aca="false">Daily!A65</f>
        <v>43947</v>
      </c>
      <c r="B65" s="12" t="str">
        <f aca="false">Daily!B65</f>
        <v>Sun</v>
      </c>
      <c r="C65" s="13" t="n">
        <f aca="false">Daily!C65</f>
        <v>660</v>
      </c>
      <c r="D65" s="12" t="str">
        <f aca="false">IF(ROW()&lt;=89,"Train","Test")</f>
        <v>Train</v>
      </c>
      <c r="E65" s="13" t="n">
        <f aca="false">C64</f>
        <v>922</v>
      </c>
      <c r="F65" s="13" t="n">
        <f aca="false">AVERAGE(C58:C64)</f>
        <v>690.142857142857</v>
      </c>
      <c r="G65" s="13" t="n">
        <f aca="false">TS_Setup!$B$14*C65+(1-TS_Setup!$B$14)*G64</f>
        <v>698.705673326059</v>
      </c>
      <c r="H65" s="13" t="n">
        <f aca="false">G64</f>
        <v>719.547189732399</v>
      </c>
      <c r="I65" s="13" t="n">
        <f aca="false">TS_Setup!$B$15*C65+(1-TS_Setup!$B$15)*(I64+J64)</f>
        <v>725.067911363499</v>
      </c>
      <c r="J65" s="16" t="n">
        <f aca="false">TS_Setup!$B$16*(I65-I64)+(1-TS_Setup!$B$16)*J64</f>
        <v>30.6357059609595</v>
      </c>
      <c r="K65" s="13" t="n">
        <f aca="false">I64+J64</f>
        <v>731.581860685918</v>
      </c>
      <c r="L65" s="13" t="n">
        <f aca="false">TS_Setup!$B$17*(C65-N58)+(1-TS_Setup!$B$17)*(L64+M64)</f>
        <v>722.238910932602</v>
      </c>
      <c r="M65" s="16" t="n">
        <f aca="false">TS_Setup!$B$18*(L65-L64)+(1-TS_Setup!$B$18)*M64</f>
        <v>30.7216904435084</v>
      </c>
      <c r="N65" s="13" t="n">
        <f aca="false">TS_Setup!$B$19*(C65-L65)+(1-TS_Setup!$B$19)*N58</f>
        <v>-1.39029347654976</v>
      </c>
      <c r="O65" s="13" t="n">
        <f aca="false">L64+M64+N58</f>
        <v>727.393914425009</v>
      </c>
      <c r="P65" s="13" t="n">
        <f aca="false">C65-C64</f>
        <v>-262</v>
      </c>
      <c r="Q65" s="13" t="n">
        <f aca="false">TS_Setup!$B$34+TS_Setup!$B$33*C64</f>
        <v>906.00475208635</v>
      </c>
      <c r="R65" s="13" t="n">
        <f aca="false">C64+TS_Setup!$B$37+TS_Setup!$B$36*P64</f>
        <v>778.829167341974</v>
      </c>
      <c r="S65" s="13" t="n">
        <f aca="false">P65-P64</f>
        <v>-650</v>
      </c>
      <c r="T65" s="13" t="n">
        <f aca="false">AVERAGE(C62:C68)</f>
        <v>739.142857142857</v>
      </c>
      <c r="U65" s="13" t="n">
        <f aca="false">C65-T65</f>
        <v>-79.1428571428571</v>
      </c>
    </row>
    <row r="66" customFormat="false" ht="15" hidden="false" customHeight="false" outlineLevel="0" collapsed="false">
      <c r="A66" s="11" t="n">
        <f aca="false">Daily!A66</f>
        <v>43948</v>
      </c>
      <c r="B66" s="12" t="str">
        <f aca="false">Daily!B66</f>
        <v>Mon</v>
      </c>
      <c r="C66" s="13" t="n">
        <f aca="false">Daily!C66</f>
        <v>739</v>
      </c>
      <c r="D66" s="12" t="str">
        <f aca="false">IF(ROW()&lt;=89,"Train","Test")</f>
        <v>Train</v>
      </c>
      <c r="E66" s="13" t="n">
        <f aca="false">C65</f>
        <v>660</v>
      </c>
      <c r="F66" s="13" t="n">
        <f aca="false">AVERAGE(C59:C65)</f>
        <v>701.142857142857</v>
      </c>
      <c r="G66" s="13" t="n">
        <f aca="false">TS_Setup!$B$14*C66+(1-TS_Setup!$B$14)*G65</f>
        <v>712.808687661939</v>
      </c>
      <c r="H66" s="13" t="n">
        <f aca="false">G65</f>
        <v>698.705673326059</v>
      </c>
      <c r="I66" s="13" t="n">
        <f aca="false">TS_Setup!$B$15*C66+(1-TS_Setup!$B$15)*(I65+J65)</f>
        <v>754.183588147933</v>
      </c>
      <c r="J66" s="16" t="n">
        <f aca="false">TS_Setup!$B$16*(I66-I65)+(1-TS_Setup!$B$16)*J65</f>
        <v>30.3438603590666</v>
      </c>
      <c r="K66" s="13" t="n">
        <f aca="false">I65+J65</f>
        <v>755.703617324459</v>
      </c>
      <c r="L66" s="13" t="n">
        <f aca="false">TS_Setup!$B$17*(C66-N59)+(1-TS_Setup!$B$17)*(L65+M65)</f>
        <v>751.557362239533</v>
      </c>
      <c r="M66" s="16" t="n">
        <f aca="false">TS_Setup!$B$18*(L66-L65)+(1-TS_Setup!$B$18)*M65</f>
        <v>30.4480588118759</v>
      </c>
      <c r="N66" s="13" t="n">
        <f aca="false">TS_Setup!$B$19*(C66-L66)+(1-TS_Setup!$B$19)*N59</f>
        <v>1.83987130174373</v>
      </c>
      <c r="O66" s="13" t="n">
        <f aca="false">L65+M65+N59</f>
        <v>754.945899279281</v>
      </c>
      <c r="P66" s="13" t="n">
        <f aca="false">C66-C65</f>
        <v>79</v>
      </c>
      <c r="Q66" s="13" t="n">
        <f aca="false">TS_Setup!$B$34+TS_Setup!$B$33*C65</f>
        <v>672.090352535649</v>
      </c>
      <c r="R66" s="13" t="n">
        <f aca="false">C65+TS_Setup!$B$37+TS_Setup!$B$36*P65</f>
        <v>816.793444594488</v>
      </c>
      <c r="S66" s="13" t="n">
        <f aca="false">P66-P65</f>
        <v>341</v>
      </c>
      <c r="T66" s="13" t="n">
        <f aca="false">AVERAGE(C63:C69)</f>
        <v>742.571428571429</v>
      </c>
      <c r="U66" s="13" t="n">
        <f aca="false">C66-T66</f>
        <v>-3.57142857142856</v>
      </c>
    </row>
    <row r="67" customFormat="false" ht="15" hidden="false" customHeight="false" outlineLevel="0" collapsed="false">
      <c r="A67" s="11" t="n">
        <f aca="false">Daily!A67</f>
        <v>43949</v>
      </c>
      <c r="B67" s="12" t="str">
        <f aca="false">Daily!B67</f>
        <v>Tue</v>
      </c>
      <c r="C67" s="13" t="n">
        <f aca="false">Daily!C67</f>
        <v>730</v>
      </c>
      <c r="D67" s="12" t="str">
        <f aca="false">IF(ROW()&lt;=89,"Train","Test")</f>
        <v>Train</v>
      </c>
      <c r="E67" s="13" t="n">
        <f aca="false">C66</f>
        <v>739</v>
      </c>
      <c r="F67" s="13" t="n">
        <f aca="false">AVERAGE(C60:C66)</f>
        <v>705.714285714286</v>
      </c>
      <c r="G67" s="13" t="n">
        <f aca="false">TS_Setup!$B$14*C67+(1-TS_Setup!$B$14)*G66</f>
        <v>718.82564698026</v>
      </c>
      <c r="H67" s="13" t="n">
        <f aca="false">G66</f>
        <v>712.808687661939</v>
      </c>
      <c r="I67" s="13" t="n">
        <f aca="false">TS_Setup!$B$15*C67+(1-TS_Setup!$B$15)*(I66+J66)</f>
        <v>779.565450692862</v>
      </c>
      <c r="J67" s="16" t="n">
        <f aca="false">TS_Setup!$B$16*(I67-I66)+(1-TS_Setup!$B$16)*J66</f>
        <v>29.3911567787523</v>
      </c>
      <c r="K67" s="13" t="n">
        <f aca="false">I66+J66</f>
        <v>784.527448506999</v>
      </c>
      <c r="L67" s="13" t="n">
        <f aca="false">TS_Setup!$B$17*(C67-N60)+(1-TS_Setup!$B$17)*(L66+M66)</f>
        <v>777.171637949539</v>
      </c>
      <c r="M67" s="16" t="n">
        <f aca="false">TS_Setup!$B$18*(L67-L66)+(1-TS_Setup!$B$18)*M66</f>
        <v>29.5054711070112</v>
      </c>
      <c r="N67" s="13" t="n">
        <f aca="false">TS_Setup!$B$19*(C67-L67)+(1-TS_Setup!$B$19)*N60</f>
        <v>2.42297667564896</v>
      </c>
      <c r="O67" s="13" t="n">
        <f aca="false">L66+M66+N60</f>
        <v>784.929353430343</v>
      </c>
      <c r="P67" s="13" t="n">
        <f aca="false">C67-C66</f>
        <v>-9</v>
      </c>
      <c r="Q67" s="13" t="n">
        <f aca="false">TS_Setup!$B$34+TS_Setup!$B$33*C66</f>
        <v>742.621793621547</v>
      </c>
      <c r="R67" s="13" t="n">
        <f aca="false">C66+TS_Setup!$B$37+TS_Setup!$B$36*P66</f>
        <v>738.427569912785</v>
      </c>
      <c r="S67" s="13" t="n">
        <f aca="false">P67-P66</f>
        <v>-88</v>
      </c>
      <c r="T67" s="13" t="n">
        <f aca="false">AVERAGE(C64:C70)</f>
        <v>819.142857142857</v>
      </c>
      <c r="U67" s="13" t="n">
        <f aca="false">C67-T67</f>
        <v>-89.1428571428571</v>
      </c>
    </row>
    <row r="68" customFormat="false" ht="15" hidden="false" customHeight="false" outlineLevel="0" collapsed="false">
      <c r="A68" s="11" t="n">
        <f aca="false">Daily!A68</f>
        <v>43950</v>
      </c>
      <c r="B68" s="12" t="str">
        <f aca="false">Daily!B68</f>
        <v>Wed</v>
      </c>
      <c r="C68" s="13" t="n">
        <f aca="false">Daily!C68</f>
        <v>948</v>
      </c>
      <c r="D68" s="12" t="str">
        <f aca="false">IF(ROW()&lt;=89,"Train","Test")</f>
        <v>Train</v>
      </c>
      <c r="E68" s="13" t="n">
        <f aca="false">C67</f>
        <v>730</v>
      </c>
      <c r="F68" s="13" t="n">
        <f aca="false">AVERAGE(C61:C67)</f>
        <v>713.285714285714</v>
      </c>
      <c r="G68" s="13" t="n">
        <f aca="false">TS_Setup!$B$14*C68+(1-TS_Setup!$B$14)*G67</f>
        <v>799.036670537169</v>
      </c>
      <c r="H68" s="13" t="n">
        <f aca="false">G67</f>
        <v>718.82564698026</v>
      </c>
      <c r="I68" s="13" t="n">
        <f aca="false">TS_Setup!$B$15*C68+(1-TS_Setup!$B$15)*(I67+J67)</f>
        <v>821.609556191698</v>
      </c>
      <c r="J68" s="16" t="n">
        <f aca="false">TS_Setup!$B$16*(I68-I67)+(1-TS_Setup!$B$16)*J67</f>
        <v>31.8205229330082</v>
      </c>
      <c r="K68" s="13" t="n">
        <f aca="false">I67+J67</f>
        <v>808.956607471615</v>
      </c>
      <c r="L68" s="13" t="n">
        <f aca="false">TS_Setup!$B$17*(C68-N61)+(1-TS_Setup!$B$17)*(L67+M67)</f>
        <v>818.660220595928</v>
      </c>
      <c r="M68" s="16" t="n">
        <f aca="false">TS_Setup!$B$18*(L68-L67)+(1-TS_Setup!$B$18)*M67</f>
        <v>31.8421778571899</v>
      </c>
      <c r="N68" s="13" t="n">
        <f aca="false">TS_Setup!$B$19*(C68-L68)+(1-TS_Setup!$B$19)*N61</f>
        <v>6.39305501005894</v>
      </c>
      <c r="O68" s="13" t="n">
        <f aca="false">L67+M67+N61</f>
        <v>811.828277961619</v>
      </c>
      <c r="P68" s="13" t="n">
        <f aca="false">C68-C67</f>
        <v>218</v>
      </c>
      <c r="Q68" s="13" t="n">
        <f aca="false">TS_Setup!$B$34+TS_Setup!$B$33*C67</f>
        <v>734.586566156065</v>
      </c>
      <c r="R68" s="13" t="n">
        <f aca="false">C67+TS_Setup!$B$37+TS_Setup!$B$36*P67</f>
        <v>770.03811821774</v>
      </c>
      <c r="S68" s="13" t="n">
        <f aca="false">P68-P67</f>
        <v>227</v>
      </c>
      <c r="T68" s="13" t="n">
        <f aca="false">AVERAGE(C65:C71)</f>
        <v>847.857142857143</v>
      </c>
      <c r="U68" s="13" t="n">
        <f aca="false">C68-T68</f>
        <v>100.142857142857</v>
      </c>
    </row>
    <row r="69" customFormat="false" ht="15" hidden="false" customHeight="false" outlineLevel="0" collapsed="false">
      <c r="A69" s="11" t="n">
        <f aca="false">Daily!A69</f>
        <v>43951</v>
      </c>
      <c r="B69" s="12" t="str">
        <f aca="false">Daily!B69</f>
        <v>Thu</v>
      </c>
      <c r="C69" s="13" t="n">
        <f aca="false">Daily!C69</f>
        <v>665</v>
      </c>
      <c r="D69" s="12" t="str">
        <f aca="false">IF(ROW()&lt;=89,"Train","Test")</f>
        <v>Train</v>
      </c>
      <c r="E69" s="13" t="n">
        <f aca="false">C68</f>
        <v>948</v>
      </c>
      <c r="F69" s="13" t="n">
        <f aca="false">AVERAGE(C62:C68)</f>
        <v>739.142857142857</v>
      </c>
      <c r="G69" s="13" t="n">
        <f aca="false">TS_Setup!$B$14*C69+(1-TS_Setup!$B$14)*G68</f>
        <v>752.12383584916</v>
      </c>
      <c r="H69" s="13" t="n">
        <f aca="false">G68</f>
        <v>799.036670537169</v>
      </c>
      <c r="I69" s="13" t="n">
        <f aca="false">TS_Setup!$B$15*C69+(1-TS_Setup!$B$15)*(I68+J68)</f>
        <v>836.282941924358</v>
      </c>
      <c r="J69" s="16" t="n">
        <f aca="false">TS_Setup!$B$16*(I69-I68)+(1-TS_Setup!$B$16)*J68</f>
        <v>28.5282725905414</v>
      </c>
      <c r="K69" s="13" t="n">
        <f aca="false">I68+J68</f>
        <v>853.430079124706</v>
      </c>
      <c r="L69" s="13" t="n">
        <f aca="false">TS_Setup!$B$17*(C69-N62)+(1-TS_Setup!$B$17)*(L68+M68)</f>
        <v>833.415101324126</v>
      </c>
      <c r="M69" s="16" t="n">
        <f aca="false">TS_Setup!$B$18*(L69-L68)+(1-TS_Setup!$B$18)*M68</f>
        <v>28.5101549170364</v>
      </c>
      <c r="N69" s="13" t="n">
        <f aca="false">TS_Setup!$B$19*(C69-L69)+(1-TS_Setup!$B$19)*N62</f>
        <v>6.90056721933205</v>
      </c>
      <c r="O69" s="13" t="n">
        <f aca="false">L68+M68+N62</f>
        <v>859.173831011273</v>
      </c>
      <c r="P69" s="13" t="n">
        <f aca="false">C69-C68</f>
        <v>-283</v>
      </c>
      <c r="Q69" s="13" t="n">
        <f aca="false">TS_Setup!$B$34+TS_Setup!$B$33*C68</f>
        <v>929.217631431076</v>
      </c>
      <c r="R69" s="13" t="n">
        <f aca="false">C68+TS_Setup!$B$37+TS_Setup!$B$36*P68</f>
        <v>883.281362931093</v>
      </c>
      <c r="S69" s="13" t="n">
        <f aca="false">P69-P68</f>
        <v>-501</v>
      </c>
      <c r="T69" s="13" t="n">
        <f aca="false">AVERAGE(C66:C72)</f>
        <v>945.285714285714</v>
      </c>
      <c r="U69" s="13" t="n">
        <f aca="false">C69-T69</f>
        <v>-280.285714285714</v>
      </c>
    </row>
    <row r="70" customFormat="false" ht="15" hidden="false" customHeight="false" outlineLevel="0" collapsed="false">
      <c r="A70" s="11" t="n">
        <f aca="false">Daily!A70</f>
        <v>43952</v>
      </c>
      <c r="B70" s="12" t="str">
        <f aca="false">Daily!B70</f>
        <v>Fri</v>
      </c>
      <c r="C70" s="13" t="n">
        <f aca="false">Daily!C70</f>
        <v>1070</v>
      </c>
      <c r="D70" s="12" t="str">
        <f aca="false">IF(ROW()&lt;=89,"Train","Test")</f>
        <v>Train</v>
      </c>
      <c r="E70" s="13" t="n">
        <f aca="false">C69</f>
        <v>665</v>
      </c>
      <c r="F70" s="13" t="n">
        <f aca="false">AVERAGE(C63:C69)</f>
        <v>742.571428571429</v>
      </c>
      <c r="G70" s="13" t="n">
        <f aca="false">TS_Setup!$B$14*C70+(1-TS_Setup!$B$14)*G69</f>
        <v>863.380493301954</v>
      </c>
      <c r="H70" s="13" t="n">
        <f aca="false">G69</f>
        <v>752.12383584916</v>
      </c>
      <c r="I70" s="13" t="n">
        <f aca="false">TS_Setup!$B$15*C70+(1-TS_Setup!$B$15)*(I69+J69)</f>
        <v>883.483393994043</v>
      </c>
      <c r="J70" s="16" t="n">
        <f aca="false">TS_Setup!$B$16*(I70-I69)+(1-TS_Setup!$B$16)*J69</f>
        <v>32.1133310505371</v>
      </c>
      <c r="K70" s="13" t="n">
        <f aca="false">I69+J69</f>
        <v>864.811214514899</v>
      </c>
      <c r="L70" s="13" t="n">
        <f aca="false">TS_Setup!$B$17*(C70-N63)+(1-TS_Setup!$B$17)*(L69+M69)</f>
        <v>880.446078234955</v>
      </c>
      <c r="M70" s="16" t="n">
        <f aca="false">TS_Setup!$B$18*(L70-L69)+(1-TS_Setup!$B$18)*M69</f>
        <v>32.1217152058261</v>
      </c>
      <c r="N70" s="13" t="n">
        <f aca="false">TS_Setup!$B$19*(C70-L70)+(1-TS_Setup!$B$19)*N63</f>
        <v>-0.469711891272144</v>
      </c>
      <c r="O70" s="13" t="n">
        <f aca="false">L69+M69+N63</f>
        <v>859.536113706897</v>
      </c>
      <c r="P70" s="13" t="n">
        <f aca="false">C70-C69</f>
        <v>405</v>
      </c>
      <c r="Q70" s="13" t="n">
        <f aca="false">TS_Setup!$B$34+TS_Setup!$B$33*C69</f>
        <v>676.55436779425</v>
      </c>
      <c r="R70" s="13" t="n">
        <f aca="false">C69+TS_Setup!$B$37+TS_Setup!$B$36*P69</f>
        <v>831.484598167261</v>
      </c>
      <c r="S70" s="13" t="n">
        <f aca="false">P70-P69</f>
        <v>688</v>
      </c>
      <c r="T70" s="13" t="n">
        <f aca="false">AVERAGE(C67:C73)</f>
        <v>990</v>
      </c>
      <c r="U70" s="13" t="n">
        <f aca="false">C70-T70</f>
        <v>80</v>
      </c>
    </row>
    <row r="71" customFormat="false" ht="15" hidden="false" customHeight="false" outlineLevel="0" collapsed="false">
      <c r="A71" s="11" t="n">
        <f aca="false">Daily!A71</f>
        <v>43953</v>
      </c>
      <c r="B71" s="12" t="str">
        <f aca="false">Daily!B71</f>
        <v>Sat</v>
      </c>
      <c r="C71" s="13" t="n">
        <f aca="false">Daily!C71</f>
        <v>1123</v>
      </c>
      <c r="D71" s="12" t="str">
        <f aca="false">IF(ROW()&lt;=89,"Train","Test")</f>
        <v>Train</v>
      </c>
      <c r="E71" s="13" t="n">
        <f aca="false">C70</f>
        <v>1070</v>
      </c>
      <c r="F71" s="13" t="n">
        <f aca="false">AVERAGE(C64:C70)</f>
        <v>819.142857142857</v>
      </c>
      <c r="G71" s="13" t="n">
        <f aca="false">TS_Setup!$B$14*C71+(1-TS_Setup!$B$14)*G70</f>
        <v>954.24732064627</v>
      </c>
      <c r="H71" s="13" t="n">
        <f aca="false">G70</f>
        <v>863.380493301954</v>
      </c>
      <c r="I71" s="13" t="n">
        <f aca="false">TS_Setup!$B$15*C71+(1-TS_Setup!$B$15)*(I70+J70)</f>
        <v>934.470423065524</v>
      </c>
      <c r="J71" s="16" t="n">
        <f aca="false">TS_Setup!$B$16*(I71-I70)+(1-TS_Setup!$B$16)*J70</f>
        <v>35.7370810705582</v>
      </c>
      <c r="K71" s="13" t="n">
        <f aca="false">I70+J70</f>
        <v>915.596725044581</v>
      </c>
      <c r="L71" s="13" t="n">
        <f aca="false">TS_Setup!$B$17*(C71-N64)+(1-TS_Setup!$B$17)*(L70+M70)</f>
        <v>930.971489931338</v>
      </c>
      <c r="M71" s="16" t="n">
        <f aca="false">TS_Setup!$B$18*(L71-L70)+(1-TS_Setup!$B$18)*M70</f>
        <v>35.7104360214846</v>
      </c>
      <c r="N71" s="13" t="n">
        <f aca="false">TS_Setup!$B$19*(C71-L71)+(1-TS_Setup!$B$19)*N64</f>
        <v>3.20658407555348</v>
      </c>
      <c r="O71" s="13" t="n">
        <f aca="false">L70+M70+N64</f>
        <v>913.867085334586</v>
      </c>
      <c r="P71" s="13" t="n">
        <f aca="false">C71-C70</f>
        <v>53</v>
      </c>
      <c r="Q71" s="13" t="n">
        <f aca="false">TS_Setup!$B$34+TS_Setup!$B$33*C70</f>
        <v>1038.13960374094</v>
      </c>
      <c r="R71" s="13" t="n">
        <f aca="false">C70+TS_Setup!$B$37+TS_Setup!$B$36*P70</f>
        <v>918.983947783063</v>
      </c>
      <c r="S71" s="13" t="n">
        <f aca="false">P71-P70</f>
        <v>-352</v>
      </c>
      <c r="T71" s="13" t="n">
        <f aca="false">AVERAGE(C68:C74)</f>
        <v>1031.85714285714</v>
      </c>
      <c r="U71" s="13" t="n">
        <f aca="false">C71-T71</f>
        <v>91.1428571428571</v>
      </c>
    </row>
    <row r="72" customFormat="false" ht="15" hidden="false" customHeight="false" outlineLevel="0" collapsed="false">
      <c r="A72" s="11" t="n">
        <f aca="false">Daily!A72</f>
        <v>43954</v>
      </c>
      <c r="B72" s="12" t="str">
        <f aca="false">Daily!B72</f>
        <v>Sun</v>
      </c>
      <c r="C72" s="13" t="n">
        <f aca="false">Daily!C72</f>
        <v>1342</v>
      </c>
      <c r="D72" s="12" t="str">
        <f aca="false">IF(ROW()&lt;=89,"Train","Test")</f>
        <v>Train</v>
      </c>
      <c r="E72" s="13" t="n">
        <f aca="false">C71</f>
        <v>1123</v>
      </c>
      <c r="F72" s="13" t="n">
        <f aca="false">AVERAGE(C65:C71)</f>
        <v>847.857142857143</v>
      </c>
      <c r="G72" s="13" t="n">
        <f aca="false">TS_Setup!$B$14*C72+(1-TS_Setup!$B$14)*G71</f>
        <v>1089.96075842008</v>
      </c>
      <c r="H72" s="13" t="n">
        <f aca="false">G71</f>
        <v>954.24732064627</v>
      </c>
      <c r="I72" s="13" t="n">
        <f aca="false">TS_Setup!$B$15*C72+(1-TS_Setup!$B$15)*(I71+J71)</f>
        <v>1004.0406212597</v>
      </c>
      <c r="J72" s="16" t="n">
        <f aca="false">TS_Setup!$B$16*(I72-I71)+(1-TS_Setup!$B$16)*J71</f>
        <v>42.2330395582925</v>
      </c>
      <c r="K72" s="13" t="n">
        <f aca="false">I71+J71</f>
        <v>970.207504136082</v>
      </c>
      <c r="L72" s="13" t="n">
        <f aca="false">TS_Setup!$B$17*(C72-N65)+(1-TS_Setup!$B$17)*(L71+M71)</f>
        <v>999.83226229491</v>
      </c>
      <c r="M72" s="16" t="n">
        <f aca="false">TS_Setup!$B$18*(L72-L71)+(1-TS_Setup!$B$18)*M71</f>
        <v>42.1747516081917</v>
      </c>
      <c r="N72" s="13" t="n">
        <f aca="false">TS_Setup!$B$19*(C72-L72)+(1-TS_Setup!$B$19)*N65</f>
        <v>2.04528683526664</v>
      </c>
      <c r="O72" s="13" t="n">
        <f aca="false">L71+M71+N65</f>
        <v>965.291632476272</v>
      </c>
      <c r="P72" s="13" t="n">
        <f aca="false">C72-C71</f>
        <v>219</v>
      </c>
      <c r="Q72" s="13" t="n">
        <f aca="false">TS_Setup!$B$34+TS_Setup!$B$33*C71</f>
        <v>1085.45816548212</v>
      </c>
      <c r="R72" s="13" t="n">
        <f aca="false">C71+TS_Setup!$B$37+TS_Setup!$B$36*P71</f>
        <v>1134.42614100289</v>
      </c>
      <c r="S72" s="13" t="n">
        <f aca="false">P72-P71</f>
        <v>166</v>
      </c>
      <c r="T72" s="13" t="n">
        <f aca="false">AVERAGE(C69:C75)</f>
        <v>1154.14285714286</v>
      </c>
      <c r="U72" s="13" t="n">
        <f aca="false">C72-T72</f>
        <v>187.857142857143</v>
      </c>
    </row>
    <row r="73" customFormat="false" ht="15" hidden="false" customHeight="false" outlineLevel="0" collapsed="false">
      <c r="A73" s="11" t="n">
        <f aca="false">Daily!A73</f>
        <v>43955</v>
      </c>
      <c r="B73" s="12" t="str">
        <f aca="false">Daily!B73</f>
        <v>Mon</v>
      </c>
      <c r="C73" s="13" t="n">
        <f aca="false">Daily!C73</f>
        <v>1052</v>
      </c>
      <c r="D73" s="12" t="str">
        <f aca="false">IF(ROW()&lt;=89,"Train","Test")</f>
        <v>Train</v>
      </c>
      <c r="E73" s="13" t="n">
        <f aca="false">C72</f>
        <v>1342</v>
      </c>
      <c r="F73" s="13" t="n">
        <f aca="false">AVERAGE(C66:C72)</f>
        <v>945.285714285714</v>
      </c>
      <c r="G73" s="13" t="n">
        <f aca="false">TS_Setup!$B$14*C73+(1-TS_Setup!$B$14)*G72</f>
        <v>1076.67449297305</v>
      </c>
      <c r="H73" s="13" t="n">
        <f aca="false">G72</f>
        <v>1089.96075842008</v>
      </c>
      <c r="I73" s="13" t="n">
        <f aca="false">TS_Setup!$B$15*C73+(1-TS_Setup!$B$15)*(I72+J72)</f>
        <v>1046.79475768355</v>
      </c>
      <c r="J73" s="16" t="n">
        <f aca="false">TS_Setup!$B$16*(I73-I72)+(1-TS_Setup!$B$16)*J72</f>
        <v>42.3330901564806</v>
      </c>
      <c r="K73" s="13" t="n">
        <f aca="false">I72+J72</f>
        <v>1046.27366081799</v>
      </c>
      <c r="L73" s="13" t="n">
        <f aca="false">TS_Setup!$B$17*(C73-N66)+(1-TS_Setup!$B$17)*(L72+M72)</f>
        <v>1042.72448800508</v>
      </c>
      <c r="M73" s="16" t="n">
        <f aca="false">TS_Setup!$B$18*(L73-L72)+(1-TS_Setup!$B$18)*M72</f>
        <v>42.3146590580766</v>
      </c>
      <c r="N73" s="13" t="n">
        <f aca="false">TS_Setup!$B$19*(C73-L73)+(1-TS_Setup!$B$19)*N66</f>
        <v>1.91422770867554</v>
      </c>
      <c r="O73" s="13" t="n">
        <f aca="false">L72+M72+N66</f>
        <v>1043.84688520485</v>
      </c>
      <c r="P73" s="13" t="n">
        <f aca="false">C73-C72</f>
        <v>-290</v>
      </c>
      <c r="Q73" s="13" t="n">
        <f aca="false">TS_Setup!$B$34+TS_Setup!$B$33*C72</f>
        <v>1280.98203380885</v>
      </c>
      <c r="R73" s="13" t="n">
        <f aca="false">C72+TS_Setup!$B$37+TS_Setup!$B$36*P72</f>
        <v>1276.81987942763</v>
      </c>
      <c r="S73" s="13" t="n">
        <f aca="false">P73-P72</f>
        <v>-509</v>
      </c>
      <c r="T73" s="13" t="n">
        <f aca="false">AVERAGE(C70:C76)</f>
        <v>1182.42857142857</v>
      </c>
      <c r="U73" s="13" t="n">
        <f aca="false">C73-T73</f>
        <v>-130.428571428571</v>
      </c>
    </row>
    <row r="74" customFormat="false" ht="15" hidden="false" customHeight="false" outlineLevel="0" collapsed="false">
      <c r="A74" s="11" t="n">
        <f aca="false">Daily!A74</f>
        <v>43956</v>
      </c>
      <c r="B74" s="12" t="str">
        <f aca="false">Daily!B74</f>
        <v>Tue</v>
      </c>
      <c r="C74" s="13" t="n">
        <f aca="false">Daily!C74</f>
        <v>1023</v>
      </c>
      <c r="D74" s="12" t="str">
        <f aca="false">IF(ROW()&lt;=89,"Train","Test")</f>
        <v>Train</v>
      </c>
      <c r="E74" s="13" t="n">
        <f aca="false">C73</f>
        <v>1052</v>
      </c>
      <c r="F74" s="13" t="n">
        <f aca="false">AVERAGE(C67:C73)</f>
        <v>990</v>
      </c>
      <c r="G74" s="13" t="n">
        <f aca="false">TS_Setup!$B$14*C74+(1-TS_Setup!$B$14)*G73</f>
        <v>1057.88842043248</v>
      </c>
      <c r="H74" s="13" t="n">
        <f aca="false">G73</f>
        <v>1076.67449297305</v>
      </c>
      <c r="I74" s="13" t="n">
        <f aca="false">TS_Setup!$B$15*C74+(1-TS_Setup!$B$15)*(I73+J73)</f>
        <v>1083.11021368659</v>
      </c>
      <c r="J74" s="16" t="n">
        <f aca="false">TS_Setup!$B$16*(I74-I73)+(1-TS_Setup!$B$16)*J73</f>
        <v>41.1777043990196</v>
      </c>
      <c r="K74" s="13" t="n">
        <f aca="false">I73+J73</f>
        <v>1089.12784784003</v>
      </c>
      <c r="L74" s="13" t="n">
        <f aca="false">TS_Setup!$B$17*(C74-N67)+(1-TS_Setup!$B$17)*(L73+M73)</f>
        <v>1079.36648017414</v>
      </c>
      <c r="M74" s="16" t="n">
        <f aca="false">TS_Setup!$B$18*(L74-L73)+(1-TS_Setup!$B$18)*M73</f>
        <v>41.2084890147188</v>
      </c>
      <c r="N74" s="13" t="n">
        <f aca="false">TS_Setup!$B$19*(C74-L74)+(1-TS_Setup!$B$19)*N67</f>
        <v>1.83508210715109</v>
      </c>
      <c r="O74" s="13" t="n">
        <f aca="false">L73+M73+N67</f>
        <v>1087.4621237388</v>
      </c>
      <c r="P74" s="13" t="n">
        <f aca="false">C74-C73</f>
        <v>-29</v>
      </c>
      <c r="Q74" s="13" t="n">
        <f aca="false">TS_Setup!$B$34+TS_Setup!$B$33*C73</f>
        <v>1022.06914880998</v>
      </c>
      <c r="R74" s="13" t="n">
        <f aca="false">C73+TS_Setup!$B$37+TS_Setup!$B$36*P73</f>
        <v>1221.71498269152</v>
      </c>
      <c r="S74" s="13" t="n">
        <f aca="false">P74-P73</f>
        <v>261</v>
      </c>
      <c r="T74" s="13" t="n">
        <f aca="false">AVERAGE(C71:C77)</f>
        <v>1290.85714285714</v>
      </c>
      <c r="U74" s="13" t="n">
        <f aca="false">C74-T74</f>
        <v>-267.857142857143</v>
      </c>
    </row>
    <row r="75" customFormat="false" ht="15" hidden="false" customHeight="false" outlineLevel="0" collapsed="false">
      <c r="A75" s="11" t="n">
        <f aca="false">Daily!A75</f>
        <v>43957</v>
      </c>
      <c r="B75" s="12" t="str">
        <f aca="false">Daily!B75</f>
        <v>Wed</v>
      </c>
      <c r="C75" s="13" t="n">
        <f aca="false">Daily!C75</f>
        <v>1804</v>
      </c>
      <c r="D75" s="12" t="str">
        <f aca="false">IF(ROW()&lt;=89,"Train","Test")</f>
        <v>Train</v>
      </c>
      <c r="E75" s="13" t="n">
        <f aca="false">C74</f>
        <v>1023</v>
      </c>
      <c r="F75" s="13" t="n">
        <f aca="false">AVERAGE(C68:C74)</f>
        <v>1031.85714285714</v>
      </c>
      <c r="G75" s="13" t="n">
        <f aca="false">TS_Setup!$B$14*C75+(1-TS_Setup!$B$14)*G74</f>
        <v>1319.02747328111</v>
      </c>
      <c r="H75" s="13" t="n">
        <f aca="false">G74</f>
        <v>1057.88842043248</v>
      </c>
      <c r="I75" s="13" t="n">
        <f aca="false">TS_Setup!$B$15*C75+(1-TS_Setup!$B$15)*(I74+J74)</f>
        <v>1186.14171753982</v>
      </c>
      <c r="J75" s="16" t="n">
        <f aca="false">TS_Setup!$B$16*(I75-I74)+(1-TS_Setup!$B$16)*J74</f>
        <v>53.0536338942278</v>
      </c>
      <c r="K75" s="13" t="n">
        <f aca="false">I74+J74</f>
        <v>1124.28791808561</v>
      </c>
      <c r="L75" s="13" t="n">
        <f aca="false">TS_Setup!$B$17*(C75-N68)+(1-TS_Setup!$B$17)*(L74+M74)</f>
        <v>1180.15378305935</v>
      </c>
      <c r="M75" s="16" t="n">
        <f aca="false">TS_Setup!$B$18*(L75-L74)+(1-TS_Setup!$B$18)*M74</f>
        <v>52.8263577194653</v>
      </c>
      <c r="N75" s="13" t="n">
        <f aca="false">TS_Setup!$B$19*(C75-L75)+(1-TS_Setup!$B$19)*N68</f>
        <v>12.5675866293648</v>
      </c>
      <c r="O75" s="13" t="n">
        <f aca="false">L74+M74+N68</f>
        <v>1126.96802419892</v>
      </c>
      <c r="P75" s="13" t="n">
        <f aca="false">C75-C74</f>
        <v>781</v>
      </c>
      <c r="Q75" s="13" t="n">
        <f aca="false">TS_Setup!$B$34+TS_Setup!$B$33*C74</f>
        <v>996.177860310093</v>
      </c>
      <c r="R75" s="13" t="n">
        <f aca="false">C74+TS_Setup!$B$37+TS_Setup!$B$36*P74</f>
        <v>1072.26778828705</v>
      </c>
      <c r="S75" s="13" t="n">
        <f aca="false">P75-P74</f>
        <v>810</v>
      </c>
      <c r="T75" s="13" t="n">
        <f aca="false">AVERAGE(C72:C78)</f>
        <v>1495.28571428571</v>
      </c>
      <c r="U75" s="13" t="n">
        <f aca="false">C75-T75</f>
        <v>308.714285714286</v>
      </c>
    </row>
    <row r="76" customFormat="false" ht="15" hidden="false" customHeight="false" outlineLevel="0" collapsed="false">
      <c r="A76" s="11" t="n">
        <f aca="false">Daily!A76</f>
        <v>43958</v>
      </c>
      <c r="B76" s="12" t="str">
        <f aca="false">Daily!B76</f>
        <v>Thu</v>
      </c>
      <c r="C76" s="13" t="n">
        <f aca="false">Daily!C76</f>
        <v>863</v>
      </c>
      <c r="D76" s="12" t="str">
        <f aca="false">IF(ROW()&lt;=89,"Train","Test")</f>
        <v>Train</v>
      </c>
      <c r="E76" s="13" t="n">
        <f aca="false">C75</f>
        <v>1804</v>
      </c>
      <c r="F76" s="13" t="n">
        <f aca="false">AVERAGE(C69:C75)</f>
        <v>1154.14285714286</v>
      </c>
      <c r="G76" s="13" t="n">
        <f aca="false">TS_Setup!$B$14*C76+(1-TS_Setup!$B$14)*G75</f>
        <v>1159.41785763272</v>
      </c>
      <c r="H76" s="13" t="n">
        <f aca="false">G75</f>
        <v>1319.02747328111</v>
      </c>
      <c r="I76" s="13" t="n">
        <f aca="false">TS_Setup!$B$15*C76+(1-TS_Setup!$B$15)*(I75+J75)</f>
        <v>1204.96157445355</v>
      </c>
      <c r="J76" s="16" t="n">
        <f aca="false">TS_Setup!$B$16*(I76-I75)+(1-TS_Setup!$B$16)*J75</f>
        <v>46.4807487139721</v>
      </c>
      <c r="K76" s="13" t="n">
        <f aca="false">I75+J75</f>
        <v>1239.19535143405</v>
      </c>
      <c r="L76" s="13" t="n">
        <f aca="false">TS_Setup!$B$17*(C76-N69)+(1-TS_Setup!$B$17)*(L75+M75)</f>
        <v>1199.81463847498</v>
      </c>
      <c r="M76" s="16" t="n">
        <f aca="false">TS_Setup!$B$18*(L76-L75)+(1-TS_Setup!$B$18)*M75</f>
        <v>46.3590847702171</v>
      </c>
      <c r="N76" s="13" t="n">
        <f aca="false">TS_Setup!$B$19*(C76-L76)+(1-TS_Setup!$B$19)*N69</f>
        <v>3.46341516238893</v>
      </c>
      <c r="O76" s="13" t="n">
        <f aca="false">L75+M75+N69</f>
        <v>1239.88070799815</v>
      </c>
      <c r="P76" s="13" t="n">
        <f aca="false">C76-C75</f>
        <v>-941</v>
      </c>
      <c r="Q76" s="13" t="n">
        <f aca="false">TS_Setup!$B$34+TS_Setup!$B$33*C75</f>
        <v>1693.45704370359</v>
      </c>
      <c r="R76" s="13" t="n">
        <f aca="false">C75+TS_Setup!$B$37+TS_Setup!$B$36*P75</f>
        <v>1479.46615048007</v>
      </c>
      <c r="S76" s="13" t="n">
        <f aca="false">P76-P75</f>
        <v>-1722</v>
      </c>
      <c r="T76" s="13" t="n">
        <f aca="false">AVERAGE(C73:C79)</f>
        <v>1512.57142857143</v>
      </c>
      <c r="U76" s="13" t="n">
        <f aca="false">C76-T76</f>
        <v>-649.571428571429</v>
      </c>
    </row>
    <row r="77" customFormat="false" ht="15" hidden="false" customHeight="false" outlineLevel="0" collapsed="false">
      <c r="A77" s="11" t="n">
        <f aca="false">Daily!A77</f>
        <v>43959</v>
      </c>
      <c r="B77" s="12" t="str">
        <f aca="false">Daily!B77</f>
        <v>Fri</v>
      </c>
      <c r="C77" s="13" t="n">
        <f aca="false">Daily!C77</f>
        <v>1829</v>
      </c>
      <c r="D77" s="12" t="str">
        <f aca="false">IF(ROW()&lt;=89,"Train","Test")</f>
        <v>Train</v>
      </c>
      <c r="E77" s="13" t="n">
        <f aca="false">C76</f>
        <v>863</v>
      </c>
      <c r="F77" s="13" t="n">
        <f aca="false">AVERAGE(C70:C76)</f>
        <v>1182.42857142857</v>
      </c>
      <c r="G77" s="13" t="n">
        <f aca="false">TS_Setup!$B$14*C77+(1-TS_Setup!$B$14)*G76</f>
        <v>1393.77160746127</v>
      </c>
      <c r="H77" s="13" t="n">
        <f aca="false">G76</f>
        <v>1159.41785763272</v>
      </c>
      <c r="I77" s="13" t="n">
        <f aca="false">TS_Setup!$B$15*C77+(1-TS_Setup!$B$15)*(I76+J76)</f>
        <v>1304.00007175928</v>
      </c>
      <c r="J77" s="16" t="n">
        <f aca="false">TS_Setup!$B$16*(I77-I76)+(1-TS_Setup!$B$16)*J76</f>
        <v>56.5718364435892</v>
      </c>
      <c r="K77" s="13" t="n">
        <f aca="false">I76+J76</f>
        <v>1251.44232316752</v>
      </c>
      <c r="L77" s="13" t="n">
        <f aca="false">TS_Setup!$B$17*(C77-N70)+(1-TS_Setup!$B$17)*(L76+M76)</f>
        <v>1297.50377024605</v>
      </c>
      <c r="M77" s="16" t="n">
        <f aca="false">TS_Setup!$B$18*(L77-L76)+(1-TS_Setup!$B$18)*M76</f>
        <v>56.3684439353837</v>
      </c>
      <c r="N77" s="13" t="n">
        <f aca="false">TS_Setup!$B$19*(C77-L77)+(1-TS_Setup!$B$19)*N70</f>
        <v>4.84994752518006</v>
      </c>
      <c r="O77" s="13" t="n">
        <f aca="false">L76+M76+N70</f>
        <v>1245.70401135392</v>
      </c>
      <c r="P77" s="13" t="n">
        <f aca="false">C77-C76</f>
        <v>966</v>
      </c>
      <c r="Q77" s="13" t="n">
        <f aca="false">TS_Setup!$B$34+TS_Setup!$B$33*C76</f>
        <v>853.329372034856</v>
      </c>
      <c r="R77" s="13" t="n">
        <f aca="false">C76+TS_Setup!$B$37+TS_Setup!$B$36*P76</f>
        <v>1333.1407434475</v>
      </c>
      <c r="S77" s="13" t="n">
        <f aca="false">P77-P76</f>
        <v>1907</v>
      </c>
      <c r="T77" s="13" t="n">
        <f aca="false">AVERAGE(C74:C80)</f>
        <v>1516.42857142857</v>
      </c>
      <c r="U77" s="13" t="n">
        <f aca="false">C77-T77</f>
        <v>312.571428571429</v>
      </c>
    </row>
    <row r="78" customFormat="false" ht="15" hidden="false" customHeight="false" outlineLevel="0" collapsed="false">
      <c r="A78" s="11" t="n">
        <f aca="false">Daily!A78</f>
        <v>43960</v>
      </c>
      <c r="B78" s="12" t="str">
        <f aca="false">Daily!B78</f>
        <v>Sat</v>
      </c>
      <c r="C78" s="13" t="n">
        <f aca="false">Daily!C78</f>
        <v>2554</v>
      </c>
      <c r="D78" s="12" t="str">
        <f aca="false">IF(ROW()&lt;=89,"Train","Test")</f>
        <v>Train</v>
      </c>
      <c r="E78" s="13" t="n">
        <f aca="false">C77</f>
        <v>1829</v>
      </c>
      <c r="F78" s="13" t="n">
        <f aca="false">AVERAGE(C71:C77)</f>
        <v>1290.85714285714</v>
      </c>
      <c r="G78" s="13" t="n">
        <f aca="false">TS_Setup!$B$14*C78+(1-TS_Setup!$B$14)*G77</f>
        <v>1799.85154484983</v>
      </c>
      <c r="H78" s="13" t="n">
        <f aca="false">G77</f>
        <v>1393.77160746127</v>
      </c>
      <c r="I78" s="13" t="n">
        <f aca="false">TS_Setup!$B$15*C78+(1-TS_Setup!$B$15)*(I77+J77)</f>
        <v>1469.17386455641</v>
      </c>
      <c r="J78" s="16" t="n">
        <f aca="false">TS_Setup!$B$16*(I78-I77)+(1-TS_Setup!$B$16)*J77</f>
        <v>77.4234120634688</v>
      </c>
      <c r="K78" s="13" t="n">
        <f aca="false">I77+J77</f>
        <v>1360.57190820287</v>
      </c>
      <c r="L78" s="13" t="n">
        <f aca="false">TS_Setup!$B$17*(C78-N71)+(1-TS_Setup!$B$17)*(L77+M77)</f>
        <v>1459.20127993482</v>
      </c>
      <c r="M78" s="16" t="n">
        <f aca="false">TS_Setup!$B$18*(L78-L77)+(1-TS_Setup!$B$18)*M77</f>
        <v>76.9076117572938</v>
      </c>
      <c r="N78" s="13" t="n">
        <f aca="false">TS_Setup!$B$19*(C78-L78)+(1-TS_Setup!$B$19)*N71</f>
        <v>14.1225054354497</v>
      </c>
      <c r="O78" s="13" t="n">
        <f aca="false">L77+M77+N71</f>
        <v>1357.07879825699</v>
      </c>
      <c r="P78" s="13" t="n">
        <f aca="false">C78-C77</f>
        <v>725</v>
      </c>
      <c r="Q78" s="13" t="n">
        <f aca="false">TS_Setup!$B$34+TS_Setup!$B$33*C77</f>
        <v>1715.7771199966</v>
      </c>
      <c r="R78" s="13" t="n">
        <f aca="false">C77+TS_Setup!$B$37+TS_Setup!$B$36*P77</f>
        <v>1419.09170233897</v>
      </c>
      <c r="S78" s="13" t="n">
        <f aca="false">P78-P77</f>
        <v>-241</v>
      </c>
      <c r="T78" s="13" t="n">
        <f aca="false">AVERAGE(C75:C81)</f>
        <v>1692.28571428571</v>
      </c>
      <c r="U78" s="13" t="n">
        <f aca="false">C78-T78</f>
        <v>861.714285714286</v>
      </c>
    </row>
    <row r="79" customFormat="false" ht="15" hidden="false" customHeight="false" outlineLevel="0" collapsed="false">
      <c r="A79" s="11" t="n">
        <f aca="false">Daily!A79</f>
        <v>43961</v>
      </c>
      <c r="B79" s="12" t="str">
        <f aca="false">Daily!B79</f>
        <v>Sun</v>
      </c>
      <c r="C79" s="13" t="n">
        <f aca="false">Daily!C79</f>
        <v>1463</v>
      </c>
      <c r="D79" s="12" t="str">
        <f aca="false">IF(ROW()&lt;=89,"Train","Test")</f>
        <v>Train</v>
      </c>
      <c r="E79" s="13" t="n">
        <f aca="false">C78</f>
        <v>2554</v>
      </c>
      <c r="F79" s="13" t="n">
        <f aca="false">AVERAGE(C72:C78)</f>
        <v>1495.28571428571</v>
      </c>
      <c r="G79" s="13" t="n">
        <f aca="false">TS_Setup!$B$14*C79+(1-TS_Setup!$B$14)*G78</f>
        <v>1681.95350415239</v>
      </c>
      <c r="H79" s="13" t="n">
        <f aca="false">G78</f>
        <v>1799.85154484983</v>
      </c>
      <c r="I79" s="13" t="n">
        <f aca="false">TS_Setup!$B$15*C79+(1-TS_Setup!$B$15)*(I78+J78)</f>
        <v>1538.98992444747</v>
      </c>
      <c r="J79" s="16" t="n">
        <f aca="false">TS_Setup!$B$16*(I79-I78)+(1-TS_Setup!$B$16)*J78</f>
        <v>75.9628004463663</v>
      </c>
      <c r="K79" s="13" t="n">
        <f aca="false">I78+J78</f>
        <v>1546.59727661988</v>
      </c>
      <c r="L79" s="13" t="n">
        <f aca="false">TS_Setup!$B$17*(C79-N72)+(1-TS_Setup!$B$17)*(L78+M78)</f>
        <v>1529.4953239817</v>
      </c>
      <c r="M79" s="16" t="n">
        <f aca="false">TS_Setup!$B$18*(L79-L78)+(1-TS_Setup!$B$18)*M78</f>
        <v>75.617966053764</v>
      </c>
      <c r="N79" s="13" t="n">
        <f aca="false">TS_Setup!$B$19*(C79-L79)+(1-TS_Setup!$B$19)*N72</f>
        <v>1.35988072709692</v>
      </c>
      <c r="O79" s="13" t="n">
        <f aca="false">L78+M78+N72</f>
        <v>1538.15417852738</v>
      </c>
      <c r="P79" s="13" t="n">
        <f aca="false">C79-C78</f>
        <v>-1091</v>
      </c>
      <c r="Q79" s="13" t="n">
        <f aca="false">TS_Setup!$B$34+TS_Setup!$B$33*C78</f>
        <v>2363.05933249377</v>
      </c>
      <c r="R79" s="13" t="n">
        <f aca="false">C78+TS_Setup!$B$37+TS_Setup!$B$36*P78</f>
        <v>2255.30922667413</v>
      </c>
      <c r="S79" s="13" t="n">
        <f aca="false">P79-P78</f>
        <v>-1816</v>
      </c>
      <c r="T79" s="13" t="n">
        <f aca="false">AVERAGE(C76:C82)</f>
        <v>1639</v>
      </c>
      <c r="U79" s="13" t="n">
        <f aca="false">C79-T79</f>
        <v>-176</v>
      </c>
    </row>
    <row r="80" customFormat="false" ht="15" hidden="false" customHeight="false" outlineLevel="0" collapsed="false">
      <c r="A80" s="11" t="n">
        <f aca="false">Daily!A80</f>
        <v>43962</v>
      </c>
      <c r="B80" s="12" t="str">
        <f aca="false">Daily!B80</f>
        <v>Mon</v>
      </c>
      <c r="C80" s="13" t="n">
        <f aca="false">Daily!C80</f>
        <v>1079</v>
      </c>
      <c r="D80" s="12" t="str">
        <f aca="false">IF(ROW()&lt;=89,"Train","Test")</f>
        <v>Train</v>
      </c>
      <c r="E80" s="13" t="n">
        <f aca="false">C79</f>
        <v>1463</v>
      </c>
      <c r="F80" s="13" t="n">
        <f aca="false">AVERAGE(C73:C79)</f>
        <v>1512.57142857143</v>
      </c>
      <c r="G80" s="13" t="n">
        <f aca="false">TS_Setup!$B$14*C80+(1-TS_Setup!$B$14)*G79</f>
        <v>1470.91977769905</v>
      </c>
      <c r="H80" s="13" t="n">
        <f aca="false">G79</f>
        <v>1681.95350415239</v>
      </c>
      <c r="I80" s="13" t="n">
        <f aca="false">TS_Setup!$B$15*C80+(1-TS_Setup!$B$15)*(I79+J79)</f>
        <v>1566.18102692849</v>
      </c>
      <c r="J80" s="16" t="n">
        <f aca="false">TS_Setup!$B$16*(I80-I79)+(1-TS_Setup!$B$16)*J79</f>
        <v>66.5986344370213</v>
      </c>
      <c r="K80" s="13" t="n">
        <f aca="false">I79+J79</f>
        <v>1614.95272489383</v>
      </c>
      <c r="L80" s="13" t="n">
        <f aca="false">TS_Setup!$B$17*(C80-N73)+(1-TS_Setup!$B$17)*(L79+M79)</f>
        <v>1558.64686847398</v>
      </c>
      <c r="M80" s="16" t="n">
        <f aca="false">TS_Setup!$B$18*(L80-L79)+(1-TS_Setup!$B$18)*M79</f>
        <v>66.5570138492745</v>
      </c>
      <c r="N80" s="13" t="n">
        <f aca="false">TS_Setup!$B$19*(C80-L80)+(1-TS_Setup!$B$19)*N73</f>
        <v>-2.90138325315106</v>
      </c>
      <c r="O80" s="13" t="n">
        <f aca="false">L79+M79+N73</f>
        <v>1607.02751774414</v>
      </c>
      <c r="P80" s="13" t="n">
        <f aca="false">C80-C79</f>
        <v>-384</v>
      </c>
      <c r="Q80" s="13" t="n">
        <f aca="false">TS_Setup!$B$34+TS_Setup!$B$33*C79</f>
        <v>1389.01120306699</v>
      </c>
      <c r="R80" s="13" t="n">
        <f aca="false">C79+TS_Setup!$B$37+TS_Setup!$B$36*P79</f>
        <v>2002.36326896731</v>
      </c>
      <c r="S80" s="13" t="n">
        <f aca="false">P80-P79</f>
        <v>707</v>
      </c>
      <c r="T80" s="13" t="n">
        <f aca="false">AVERAGE(C77:C83)</f>
        <v>1722.71428571429</v>
      </c>
      <c r="U80" s="13" t="n">
        <f aca="false">C80-T80</f>
        <v>-643.714285714286</v>
      </c>
    </row>
    <row r="81" customFormat="false" ht="15" hidden="false" customHeight="false" outlineLevel="0" collapsed="false">
      <c r="A81" s="11" t="n">
        <f aca="false">Daily!A81</f>
        <v>43963</v>
      </c>
      <c r="B81" s="12" t="str">
        <f aca="false">Daily!B81</f>
        <v>Tue</v>
      </c>
      <c r="C81" s="13" t="n">
        <f aca="false">Daily!C81</f>
        <v>2254</v>
      </c>
      <c r="D81" s="12" t="str">
        <f aca="false">IF(ROW()&lt;=89,"Train","Test")</f>
        <v>Train</v>
      </c>
      <c r="E81" s="13" t="n">
        <f aca="false">C80</f>
        <v>1079</v>
      </c>
      <c r="F81" s="13" t="n">
        <f aca="false">AVERAGE(C74:C80)</f>
        <v>1516.42857142857</v>
      </c>
      <c r="G81" s="13" t="n">
        <f aca="false">TS_Setup!$B$14*C81+(1-TS_Setup!$B$14)*G80</f>
        <v>1744.99785550438</v>
      </c>
      <c r="H81" s="13" t="n">
        <f aca="false">G80</f>
        <v>1470.91977769905</v>
      </c>
      <c r="I81" s="13" t="n">
        <f aca="false">TS_Setup!$B$15*C81+(1-TS_Setup!$B$15)*(I80+J80)</f>
        <v>1689.31071218125</v>
      </c>
      <c r="J81" s="16" t="n">
        <f aca="false">TS_Setup!$B$16*(I81-I80)+(1-TS_Setup!$B$16)*J80</f>
        <v>77.452596193643</v>
      </c>
      <c r="K81" s="13" t="n">
        <f aca="false">I80+J80</f>
        <v>1632.77966136552</v>
      </c>
      <c r="L81" s="13" t="n">
        <f aca="false">TS_Setup!$B$17*(C81-N74)+(1-TS_Setup!$B$17)*(L80+M80)</f>
        <v>1680.37645345338</v>
      </c>
      <c r="M81" s="16" t="n">
        <f aca="false">TS_Setup!$B$18*(L81-L80)+(1-TS_Setup!$B$18)*M80</f>
        <v>77.3156652196486</v>
      </c>
      <c r="N81" s="13" t="n">
        <f aca="false">TS_Setup!$B$19*(C81-L81)+(1-TS_Setup!$B$19)*N74</f>
        <v>7.55296675154575</v>
      </c>
      <c r="O81" s="13" t="n">
        <f aca="false">L80+M80+N74</f>
        <v>1627.03896443041</v>
      </c>
      <c r="P81" s="13" t="n">
        <f aca="false">C81-C80</f>
        <v>1175</v>
      </c>
      <c r="Q81" s="13" t="n">
        <f aca="false">TS_Setup!$B$34+TS_Setup!$B$33*C80</f>
        <v>1046.17483120643</v>
      </c>
      <c r="R81" s="13" t="n">
        <f aca="false">C80+TS_Setup!$B$37+TS_Setup!$B$36*P80</f>
        <v>1292.09443201727</v>
      </c>
      <c r="S81" s="13" t="n">
        <f aca="false">P81-P80</f>
        <v>1559</v>
      </c>
      <c r="T81" s="13" t="n">
        <f aca="false">AVERAGE(C78:C84)</f>
        <v>1677.85714285714</v>
      </c>
      <c r="U81" s="13" t="n">
        <f aca="false">C81-T81</f>
        <v>576.142857142857</v>
      </c>
    </row>
    <row r="82" customFormat="false" ht="15" hidden="false" customHeight="false" outlineLevel="0" collapsed="false">
      <c r="A82" s="11" t="n">
        <f aca="false">Daily!A82</f>
        <v>43964</v>
      </c>
      <c r="B82" s="12" t="str">
        <f aca="false">Daily!B82</f>
        <v>Wed</v>
      </c>
      <c r="C82" s="13" t="n">
        <f aca="false">Daily!C82</f>
        <v>1431</v>
      </c>
      <c r="D82" s="12" t="str">
        <f aca="false">IF(ROW()&lt;=89,"Train","Test")</f>
        <v>Train</v>
      </c>
      <c r="E82" s="13" t="n">
        <f aca="false">C81</f>
        <v>2254</v>
      </c>
      <c r="F82" s="13" t="n">
        <f aca="false">AVERAGE(C75:C81)</f>
        <v>1692.28571428571</v>
      </c>
      <c r="G82" s="13" t="n">
        <f aca="false">TS_Setup!$B$14*C82+(1-TS_Setup!$B$14)*G81</f>
        <v>1635.09860607785</v>
      </c>
      <c r="H82" s="13" t="n">
        <f aca="false">G81</f>
        <v>1744.99785550438</v>
      </c>
      <c r="I82" s="13" t="n">
        <f aca="false">TS_Setup!$B$15*C82+(1-TS_Setup!$B$15)*(I81+J81)</f>
        <v>1736.20884731278</v>
      </c>
      <c r="J82" s="16" t="n">
        <f aca="false">TS_Setup!$B$16*(I82-I81)+(1-TS_Setup!$B$16)*J81</f>
        <v>71.5861396697169</v>
      </c>
      <c r="K82" s="13" t="n">
        <f aca="false">I81+J81</f>
        <v>1766.7633083749</v>
      </c>
      <c r="L82" s="13" t="n">
        <f aca="false">TS_Setup!$B$17*(C82-N75)+(1-TS_Setup!$B$17)*(L81+M81)</f>
        <v>1727.83726460642</v>
      </c>
      <c r="M82" s="16" t="n">
        <f aca="false">TS_Setup!$B$18*(L82-L81)+(1-TS_Setup!$B$18)*M81</f>
        <v>71.4939686766595</v>
      </c>
      <c r="N82" s="13" t="n">
        <f aca="false">TS_Setup!$B$19*(C82-L82)+(1-TS_Setup!$B$19)*N75</f>
        <v>9.47353811700698</v>
      </c>
      <c r="O82" s="13" t="n">
        <f aca="false">L81+M81+N75</f>
        <v>1770.2597053024</v>
      </c>
      <c r="P82" s="13" t="n">
        <f aca="false">C82-C81</f>
        <v>-823</v>
      </c>
      <c r="Q82" s="13" t="n">
        <f aca="false">TS_Setup!$B$34+TS_Setup!$B$33*C81</f>
        <v>2095.2184169777</v>
      </c>
      <c r="R82" s="13" t="n">
        <f aca="false">C81+TS_Setup!$B$37+TS_Setup!$B$36*P81</f>
        <v>1747.6416501147</v>
      </c>
      <c r="S82" s="13" t="n">
        <f aca="false">P82-P81</f>
        <v>-1998</v>
      </c>
      <c r="T82" s="13" t="n">
        <f aca="false">AVERAGE(C79:C85)</f>
        <v>1509</v>
      </c>
      <c r="U82" s="13" t="n">
        <f aca="false">C82-T82</f>
        <v>-78</v>
      </c>
    </row>
    <row r="83" customFormat="false" ht="15" hidden="false" customHeight="false" outlineLevel="0" collapsed="false">
      <c r="A83" s="11" t="n">
        <f aca="false">Daily!A83</f>
        <v>43965</v>
      </c>
      <c r="B83" s="12" t="str">
        <f aca="false">Daily!B83</f>
        <v>Thu</v>
      </c>
      <c r="C83" s="13" t="n">
        <f aca="false">Daily!C83</f>
        <v>1449</v>
      </c>
      <c r="D83" s="12" t="str">
        <f aca="false">IF(ROW()&lt;=89,"Train","Test")</f>
        <v>Train</v>
      </c>
      <c r="E83" s="13" t="n">
        <f aca="false">C82</f>
        <v>1431</v>
      </c>
      <c r="F83" s="13" t="n">
        <f aca="false">AVERAGE(C76:C82)</f>
        <v>1639</v>
      </c>
      <c r="G83" s="13" t="n">
        <f aca="false">TS_Setup!$B$14*C83+(1-TS_Setup!$B$14)*G82</f>
        <v>1569.9640939506</v>
      </c>
      <c r="H83" s="13" t="n">
        <f aca="false">G82</f>
        <v>1635.09860607785</v>
      </c>
      <c r="I83" s="13" t="n">
        <f aca="false">TS_Setup!$B$15*C83+(1-TS_Setup!$B$15)*(I82+J82)</f>
        <v>1775.14464316709</v>
      </c>
      <c r="J83" s="16" t="n">
        <f aca="false">TS_Setup!$B$16*(I83-I82)+(1-TS_Setup!$B$16)*J82</f>
        <v>65.3172736571587</v>
      </c>
      <c r="K83" s="13" t="n">
        <f aca="false">I82+J82</f>
        <v>1807.7949869825</v>
      </c>
      <c r="L83" s="13" t="n">
        <f aca="false">TS_Setup!$B$17*(C83-N76)+(1-TS_Setup!$B$17)*(L82+M82)</f>
        <v>1768.19730421988</v>
      </c>
      <c r="M83" s="16" t="n">
        <f aca="false">TS_Setup!$B$18*(L83-L82)+(1-TS_Setup!$B$18)*M82</f>
        <v>65.4228525093353</v>
      </c>
      <c r="N83" s="13" t="n">
        <f aca="false">TS_Setup!$B$19*(C83-L83)+(1-TS_Setup!$B$19)*N76</f>
        <v>0.236807968566258</v>
      </c>
      <c r="O83" s="13" t="n">
        <f aca="false">L82+M82+N76</f>
        <v>1802.79464844547</v>
      </c>
      <c r="P83" s="13" t="n">
        <f aca="false">C83-C82</f>
        <v>18</v>
      </c>
      <c r="Q83" s="13" t="n">
        <f aca="false">TS_Setup!$B$34+TS_Setup!$B$33*C82</f>
        <v>1360.44150541195</v>
      </c>
      <c r="R83" s="13" t="n">
        <f aca="false">C82+TS_Setup!$B$37+TS_Setup!$B$36*P82</f>
        <v>1846.68569003858</v>
      </c>
      <c r="S83" s="13" t="n">
        <f aca="false">P83-P82</f>
        <v>841</v>
      </c>
      <c r="T83" s="13" t="n">
        <f aca="false">AVERAGE(C80:C86)</f>
        <v>1579.42857142857</v>
      </c>
      <c r="U83" s="13" t="n">
        <f aca="false">C83-T83</f>
        <v>-130.428571428571</v>
      </c>
    </row>
    <row r="84" customFormat="false" ht="15" hidden="false" customHeight="false" outlineLevel="0" collapsed="false">
      <c r="A84" s="11" t="n">
        <f aca="false">Daily!A84</f>
        <v>43966</v>
      </c>
      <c r="B84" s="12" t="str">
        <f aca="false">Daily!B84</f>
        <v>Fri</v>
      </c>
      <c r="C84" s="13" t="n">
        <f aca="false">Daily!C84</f>
        <v>1515</v>
      </c>
      <c r="D84" s="12" t="str">
        <f aca="false">IF(ROW()&lt;=89,"Train","Test")</f>
        <v>Train</v>
      </c>
      <c r="E84" s="13" t="n">
        <f aca="false">C83</f>
        <v>1449</v>
      </c>
      <c r="F84" s="13" t="n">
        <f aca="false">AVERAGE(C77:C83)</f>
        <v>1722.71428571429</v>
      </c>
      <c r="G84" s="13" t="n">
        <f aca="false">TS_Setup!$B$14*C84+(1-TS_Setup!$B$14)*G83</f>
        <v>1550.72666106789</v>
      </c>
      <c r="H84" s="13" t="n">
        <f aca="false">G83</f>
        <v>1569.9640939506</v>
      </c>
      <c r="I84" s="13" t="n">
        <f aca="false">TS_Setup!$B$15*C84+(1-TS_Setup!$B$15)*(I83+J83)</f>
        <v>1810.84488239324</v>
      </c>
      <c r="J84" s="16" t="n">
        <f aca="false">TS_Setup!$B$16*(I84-I83)+(1-TS_Setup!$B$16)*J83</f>
        <v>59.6308030464054</v>
      </c>
      <c r="K84" s="13" t="n">
        <f aca="false">I83+J83</f>
        <v>1840.46191682425</v>
      </c>
      <c r="L84" s="13" t="n">
        <f aca="false">TS_Setup!$B$17*(C84-N77)+(1-TS_Setup!$B$17)*(L83+M83)</f>
        <v>1805.15478755483</v>
      </c>
      <c r="M84" s="16" t="n">
        <f aca="false">TS_Setup!$B$18*(L84-L83)+(1-TS_Setup!$B$18)*M83</f>
        <v>59.8721055203299</v>
      </c>
      <c r="N84" s="13" t="n">
        <f aca="false">TS_Setup!$B$19*(C84-L84)+(1-TS_Setup!$B$19)*N77</f>
        <v>1.89990017437999</v>
      </c>
      <c r="O84" s="13" t="n">
        <f aca="false">L83+M83+N77</f>
        <v>1838.47010425439</v>
      </c>
      <c r="P84" s="13" t="n">
        <f aca="false">C84-C83</f>
        <v>66</v>
      </c>
      <c r="Q84" s="13" t="n">
        <f aca="false">TS_Setup!$B$34+TS_Setup!$B$33*C83</f>
        <v>1376.51196034291</v>
      </c>
      <c r="R84" s="13" t="n">
        <f aca="false">C83+TS_Setup!$B$37+TS_Setup!$B$36*P83</f>
        <v>1476.57806362417</v>
      </c>
      <c r="S84" s="13" t="n">
        <f aca="false">P84-P83</f>
        <v>48</v>
      </c>
      <c r="T84" s="13" t="n">
        <f aca="false">AVERAGE(C81:C87)</f>
        <v>1682.42857142857</v>
      </c>
      <c r="U84" s="13" t="n">
        <f aca="false">C84-T84</f>
        <v>-167.428571428571</v>
      </c>
    </row>
    <row r="85" customFormat="false" ht="15" hidden="false" customHeight="false" outlineLevel="0" collapsed="false">
      <c r="A85" s="11" t="n">
        <f aca="false">Daily!A85</f>
        <v>43967</v>
      </c>
      <c r="B85" s="12" t="str">
        <f aca="false">Daily!B85</f>
        <v>Sat</v>
      </c>
      <c r="C85" s="13" t="n">
        <f aca="false">Daily!C85</f>
        <v>1372</v>
      </c>
      <c r="D85" s="12" t="str">
        <f aca="false">IF(ROW()&lt;=89,"Train","Test")</f>
        <v>Train</v>
      </c>
      <c r="E85" s="13" t="n">
        <f aca="false">C84</f>
        <v>1515</v>
      </c>
      <c r="F85" s="13" t="n">
        <f aca="false">AVERAGE(C78:C84)</f>
        <v>1677.85714285714</v>
      </c>
      <c r="G85" s="13" t="n">
        <f aca="false">TS_Setup!$B$14*C85+(1-TS_Setup!$B$14)*G84</f>
        <v>1488.17232969413</v>
      </c>
      <c r="H85" s="13" t="n">
        <f aca="false">G84</f>
        <v>1550.72666106789</v>
      </c>
      <c r="I85" s="13" t="n">
        <f aca="false">TS_Setup!$B$15*C85+(1-TS_Setup!$B$15)*(I84+J84)</f>
        <v>1825.11439806464</v>
      </c>
      <c r="J85" s="16" t="n">
        <f aca="false">TS_Setup!$B$16*(I85-I84)+(1-TS_Setup!$B$16)*J84</f>
        <v>50.9214358704039</v>
      </c>
      <c r="K85" s="13" t="n">
        <f aca="false">I84+J84</f>
        <v>1870.47568543965</v>
      </c>
      <c r="L85" s="13" t="n">
        <f aca="false">TS_Setup!$B$17*(C85-N78)+(1-TS_Setup!$B$17)*(L84+M84)</f>
        <v>1820.39774600622</v>
      </c>
      <c r="M85" s="16" t="n">
        <f aca="false">TS_Setup!$B$18*(L85-L84)+(1-TS_Setup!$B$18)*M84</f>
        <v>51.1694218418878</v>
      </c>
      <c r="N85" s="13" t="n">
        <f aca="false">TS_Setup!$B$19*(C85-L85)+(1-TS_Setup!$B$19)*N78</f>
        <v>9.49730292103301</v>
      </c>
      <c r="O85" s="13" t="n">
        <f aca="false">L84+M84+N78</f>
        <v>1879.14939851061</v>
      </c>
      <c r="P85" s="13" t="n">
        <f aca="false">C85-C84</f>
        <v>-143</v>
      </c>
      <c r="Q85" s="13" t="n">
        <f aca="false">TS_Setup!$B$34+TS_Setup!$B$33*C84</f>
        <v>1435.43696175645</v>
      </c>
      <c r="R85" s="13" t="n">
        <f aca="false">C84+TS_Setup!$B$37+TS_Setup!$B$36*P84</f>
        <v>1520.42685545783</v>
      </c>
      <c r="S85" s="13" t="n">
        <f aca="false">P85-P84</f>
        <v>-209</v>
      </c>
      <c r="T85" s="13" t="n">
        <f aca="false">AVERAGE(C82:C88)</f>
        <v>1628.14285714286</v>
      </c>
      <c r="U85" s="13" t="n">
        <f aca="false">C85-T85</f>
        <v>-256.142857142857</v>
      </c>
    </row>
    <row r="86" customFormat="false" ht="15" hidden="false" customHeight="false" outlineLevel="0" collapsed="false">
      <c r="A86" s="11" t="n">
        <f aca="false">Daily!A86</f>
        <v>43968</v>
      </c>
      <c r="B86" s="12" t="str">
        <f aca="false">Daily!B86</f>
        <v>Sun</v>
      </c>
      <c r="C86" s="13" t="n">
        <f aca="false">Daily!C86</f>
        <v>1956</v>
      </c>
      <c r="D86" s="12" t="str">
        <f aca="false">IF(ROW()&lt;=89,"Train","Test")</f>
        <v>Train</v>
      </c>
      <c r="E86" s="13" t="n">
        <f aca="false">C85</f>
        <v>1372</v>
      </c>
      <c r="F86" s="13" t="n">
        <f aca="false">AVERAGE(C79:C85)</f>
        <v>1509</v>
      </c>
      <c r="G86" s="13" t="n">
        <f aca="false">TS_Setup!$B$14*C86+(1-TS_Setup!$B$14)*G85</f>
        <v>1651.91201430118</v>
      </c>
      <c r="H86" s="13" t="n">
        <f aca="false">G85</f>
        <v>1488.17232969413</v>
      </c>
      <c r="I86" s="13" t="n">
        <f aca="false">TS_Setup!$B$15*C86+(1-TS_Setup!$B$15)*(I85+J85)</f>
        <v>1883.31257304696</v>
      </c>
      <c r="J86" s="16" t="n">
        <f aca="false">TS_Setup!$B$16*(I86-I85)+(1-TS_Setup!$B$16)*J85</f>
        <v>52.3185697798909</v>
      </c>
      <c r="K86" s="13" t="n">
        <f aca="false">I85+J85</f>
        <v>1876.03583393504</v>
      </c>
      <c r="L86" s="13" t="n">
        <f aca="false">TS_Setup!$B$17*(C86-N79)+(1-TS_Setup!$B$17)*(L85+M85)</f>
        <v>1878.87758757349</v>
      </c>
      <c r="M86" s="16" t="n">
        <f aca="false">TS_Setup!$B$18*(L86-L85)+(1-TS_Setup!$B$18)*M85</f>
        <v>52.5949536883373</v>
      </c>
      <c r="N86" s="13" t="n">
        <f aca="false">TS_Setup!$B$19*(C86-L86)+(1-TS_Setup!$B$19)*N79</f>
        <v>2.11750604409102</v>
      </c>
      <c r="O86" s="13" t="n">
        <f aca="false">L85+M85+N79</f>
        <v>1872.92704857521</v>
      </c>
      <c r="P86" s="13" t="n">
        <f aca="false">C86-C85</f>
        <v>584</v>
      </c>
      <c r="Q86" s="13" t="n">
        <f aca="false">TS_Setup!$B$34+TS_Setup!$B$33*C85</f>
        <v>1307.76612536045</v>
      </c>
      <c r="R86" s="13" t="n">
        <f aca="false">C85+TS_Setup!$B$37+TS_Setup!$B$36*P85</f>
        <v>1473.8769076821</v>
      </c>
      <c r="S86" s="13" t="n">
        <f aca="false">P86-P85</f>
        <v>727</v>
      </c>
      <c r="T86" s="13" t="n">
        <f aca="false">AVERAGE(C83:C89)</f>
        <v>1725.85714285714</v>
      </c>
      <c r="U86" s="13" t="n">
        <f aca="false">C86-T86</f>
        <v>230.142857142857</v>
      </c>
    </row>
    <row r="87" customFormat="false" ht="15" hidden="false" customHeight="false" outlineLevel="0" collapsed="false">
      <c r="A87" s="11" t="n">
        <f aca="false">Daily!A87</f>
        <v>43969</v>
      </c>
      <c r="B87" s="12" t="str">
        <f aca="false">Daily!B87</f>
        <v>Mon</v>
      </c>
      <c r="C87" s="13" t="n">
        <f aca="false">Daily!C87</f>
        <v>1800</v>
      </c>
      <c r="D87" s="12" t="str">
        <f aca="false">IF(ROW()&lt;=89,"Train","Test")</f>
        <v>Train</v>
      </c>
      <c r="E87" s="13" t="n">
        <f aca="false">C86</f>
        <v>1956</v>
      </c>
      <c r="F87" s="13" t="n">
        <f aca="false">AVERAGE(C80:C86)</f>
        <v>1579.42857142857</v>
      </c>
      <c r="G87" s="13" t="n">
        <f aca="false">TS_Setup!$B$14*C87+(1-TS_Setup!$B$14)*G86</f>
        <v>1703.74280929577</v>
      </c>
      <c r="H87" s="13" t="n">
        <f aca="false">G86</f>
        <v>1651.91201430118</v>
      </c>
      <c r="I87" s="13" t="n">
        <f aca="false">TS_Setup!$B$15*C87+(1-TS_Setup!$B$15)*(I86+J86)</f>
        <v>1923.2887088296</v>
      </c>
      <c r="J87" s="16" t="n">
        <f aca="false">TS_Setup!$B$16*(I87-I86)+(1-TS_Setup!$B$16)*J86</f>
        <v>49.9488224524202</v>
      </c>
      <c r="K87" s="13" t="n">
        <f aca="false">I86+J86</f>
        <v>1935.63114282685</v>
      </c>
      <c r="L87" s="13" t="n">
        <f aca="false">TS_Setup!$B$17*(C87-N80)+(1-TS_Setup!$B$17)*(L86+M86)</f>
        <v>1920.15827935707</v>
      </c>
      <c r="M87" s="16" t="n">
        <f aca="false">TS_Setup!$B$18*(L87-L86)+(1-TS_Setup!$B$18)*M86</f>
        <v>50.3886726169084</v>
      </c>
      <c r="N87" s="13" t="n">
        <f aca="false">TS_Setup!$B$19*(C87-L87)+(1-TS_Setup!$B$19)*N80</f>
        <v>-4.07395221419022</v>
      </c>
      <c r="O87" s="13" t="n">
        <f aca="false">L86+M86+N80</f>
        <v>1928.57115800868</v>
      </c>
      <c r="P87" s="13" t="n">
        <f aca="false">C87-C86</f>
        <v>-156</v>
      </c>
      <c r="Q87" s="13" t="n">
        <f aca="false">TS_Setup!$B$34+TS_Setup!$B$33*C86</f>
        <v>1829.16310756507</v>
      </c>
      <c r="R87" s="13" t="n">
        <f aca="false">C86+TS_Setup!$B$37+TS_Setup!$B$36*P86</f>
        <v>1722.37840066276</v>
      </c>
      <c r="S87" s="13" t="n">
        <f aca="false">P87-P86</f>
        <v>-740</v>
      </c>
      <c r="T87" s="13" t="n">
        <f aca="false">AVERAGE(C84:C90)</f>
        <v>1881.57142857143</v>
      </c>
      <c r="U87" s="13" t="n">
        <f aca="false">C87-T87</f>
        <v>-81.5714285714287</v>
      </c>
    </row>
    <row r="88" customFormat="false" ht="15" hidden="false" customHeight="false" outlineLevel="0" collapsed="false">
      <c r="A88" s="11" t="n">
        <f aca="false">Daily!A88</f>
        <v>43970</v>
      </c>
      <c r="B88" s="12" t="str">
        <f aca="false">Daily!B88</f>
        <v>Tue</v>
      </c>
      <c r="C88" s="13" t="n">
        <f aca="false">Daily!C88</f>
        <v>1874</v>
      </c>
      <c r="D88" s="12" t="str">
        <f aca="false">IF(ROW()&lt;=89,"Train","Test")</f>
        <v>Train</v>
      </c>
      <c r="E88" s="13" t="n">
        <f aca="false">C87</f>
        <v>1800</v>
      </c>
      <c r="F88" s="13" t="n">
        <f aca="false">AVERAGE(C81:C87)</f>
        <v>1682.42857142857</v>
      </c>
      <c r="G88" s="13" t="n">
        <f aca="false">TS_Setup!$B$14*C88+(1-TS_Setup!$B$14)*G87</f>
        <v>1763.33282604225</v>
      </c>
      <c r="H88" s="13" t="n">
        <f aca="false">G87</f>
        <v>1703.74280929577</v>
      </c>
      <c r="I88" s="13" t="n">
        <f aca="false">TS_Setup!$B$15*C88+(1-TS_Setup!$B$15)*(I87+J87)</f>
        <v>1964.20691593536</v>
      </c>
      <c r="J88" s="16" t="n">
        <f aca="false">TS_Setup!$B$16*(I88-I87)+(1-TS_Setup!$B$16)*J87</f>
        <v>48.2149443058607</v>
      </c>
      <c r="K88" s="13" t="n">
        <f aca="false">I87+J87</f>
        <v>1973.23753128202</v>
      </c>
      <c r="L88" s="13" t="n">
        <f aca="false">TS_Setup!$B$17*(C88-N81)+(1-TS_Setup!$B$17)*(L87+M87)</f>
        <v>1961.38615912613</v>
      </c>
      <c r="M88" s="16" t="n">
        <f aca="false">TS_Setup!$B$18*(L88-L87)+(1-TS_Setup!$B$18)*M87</f>
        <v>48.6023180115785</v>
      </c>
      <c r="N88" s="13" t="n">
        <f aca="false">TS_Setup!$B$19*(C88-L88)+(1-TS_Setup!$B$19)*N81</f>
        <v>6.603575492769</v>
      </c>
      <c r="O88" s="13" t="n">
        <f aca="false">L87+M87+N81</f>
        <v>1978.09991872552</v>
      </c>
      <c r="P88" s="13" t="n">
        <f aca="false">C88-C87</f>
        <v>74</v>
      </c>
      <c r="Q88" s="13" t="n">
        <f aca="false">TS_Setup!$B$34+TS_Setup!$B$33*C87</f>
        <v>1689.88583149671</v>
      </c>
      <c r="R88" s="13" t="n">
        <f aca="false">C87+TS_Setup!$B$37+TS_Setup!$B$36*P87</f>
        <v>1907.87619322715</v>
      </c>
      <c r="S88" s="13" t="n">
        <f aca="false">P88-P87</f>
        <v>230</v>
      </c>
      <c r="T88" s="13" t="n">
        <f aca="false">AVERAGE(C85:C91)</f>
        <v>1912</v>
      </c>
      <c r="U88" s="13" t="n">
        <f aca="false">C88-T88</f>
        <v>-38</v>
      </c>
    </row>
    <row r="89" customFormat="false" ht="15" hidden="false" customHeight="false" outlineLevel="0" collapsed="false">
      <c r="A89" s="11" t="n">
        <f aca="false">Daily!A89</f>
        <v>43971</v>
      </c>
      <c r="B89" s="12" t="str">
        <f aca="false">Daily!B89</f>
        <v>Wed</v>
      </c>
      <c r="C89" s="13" t="n">
        <f aca="false">Daily!C89</f>
        <v>2115</v>
      </c>
      <c r="D89" s="12" t="str">
        <f aca="false">IF(ROW()&lt;=89,"Train","Test")</f>
        <v>Train</v>
      </c>
      <c r="E89" s="13" t="n">
        <f aca="false">C88</f>
        <v>1874</v>
      </c>
      <c r="F89" s="13" t="n">
        <f aca="false">AVERAGE(C82:C88)</f>
        <v>1628.14285714286</v>
      </c>
      <c r="G89" s="13" t="n">
        <f aca="false">TS_Setup!$B$14*C89+(1-TS_Setup!$B$14)*G88</f>
        <v>1886.41633692746</v>
      </c>
      <c r="H89" s="13" t="n">
        <f aca="false">G88</f>
        <v>1763.33282604225</v>
      </c>
      <c r="I89" s="13" t="n">
        <f aca="false">TS_Setup!$B$15*C89+(1-TS_Setup!$B$15)*(I88+J88)</f>
        <v>2021.75647095927</v>
      </c>
      <c r="J89" s="16" t="n">
        <f aca="false">TS_Setup!$B$16*(I89-I88)+(1-TS_Setup!$B$16)*J88</f>
        <v>50.0071895637261</v>
      </c>
      <c r="K89" s="13" t="n">
        <f aca="false">I88+J88</f>
        <v>2012.42186024122</v>
      </c>
      <c r="L89" s="13" t="n">
        <f aca="false">TS_Setup!$B$17*(C89-N82)+(1-TS_Setup!$B$17)*(L88+M88)</f>
        <v>2018.39581979529</v>
      </c>
      <c r="M89" s="16" t="n">
        <f aca="false">TS_Setup!$B$18*(L89-L88)+(1-TS_Setup!$B$18)*M88</f>
        <v>50.2417498298076</v>
      </c>
      <c r="N89" s="13" t="n">
        <f aca="false">TS_Setup!$B$19*(C89-L89)+(1-TS_Setup!$B$19)*N82</f>
        <v>10.344844537884</v>
      </c>
      <c r="O89" s="13" t="n">
        <f aca="false">L88+M88+N82</f>
        <v>2019.46201525472</v>
      </c>
      <c r="P89" s="13" t="n">
        <f aca="false">C89-C88</f>
        <v>241</v>
      </c>
      <c r="Q89" s="13" t="n">
        <f aca="false">TS_Setup!$B$34+TS_Setup!$B$33*C88</f>
        <v>1755.95325732401</v>
      </c>
      <c r="R89" s="13" t="n">
        <f aca="false">C88+TS_Setup!$B$37+TS_Setup!$B$36*P88</f>
        <v>1875.73498743011</v>
      </c>
      <c r="S89" s="13" t="n">
        <f aca="false">P89-P88</f>
        <v>167</v>
      </c>
      <c r="T89" s="13" t="n">
        <f aca="false">AVERAGE(C86:C92)</f>
        <v>2010.28571428571</v>
      </c>
      <c r="U89" s="13" t="n">
        <f aca="false">C89-T89</f>
        <v>104.714285714286</v>
      </c>
    </row>
    <row r="90" customFormat="false" ht="15" hidden="false" customHeight="false" outlineLevel="0" collapsed="false">
      <c r="A90" s="11" t="n">
        <f aca="false">Daily!A90</f>
        <v>43972</v>
      </c>
      <c r="B90" s="12" t="str">
        <f aca="false">Daily!B90</f>
        <v>Thu</v>
      </c>
      <c r="C90" s="13" t="n">
        <f aca="false">Daily!C90</f>
        <v>2539</v>
      </c>
      <c r="D90" s="55" t="str">
        <f aca="false">IF(ROW()&lt;=89,"Train","Test")</f>
        <v>Test</v>
      </c>
      <c r="E90" s="13" t="n">
        <f aca="false">C89</f>
        <v>2115</v>
      </c>
      <c r="F90" s="13" t="n">
        <f aca="false">AVERAGE(C83:C89)</f>
        <v>1725.85714285714</v>
      </c>
      <c r="G90" s="13" t="n">
        <f aca="false">TS_Setup!$B$14*C90+(1-TS_Setup!$B$14)*G89</f>
        <v>2114.82061900285</v>
      </c>
      <c r="H90" s="13" t="n">
        <f aca="false">G89</f>
        <v>1886.41633692746</v>
      </c>
      <c r="I90" s="13" t="n">
        <f aca="false">TS_Setup!$B$15*C90+(1-TS_Setup!$B$15)*(I89+J89)</f>
        <v>2114.2821674154</v>
      </c>
      <c r="J90" s="16" t="n">
        <f aca="false">TS_Setup!$B$16*(I90-I89)+(1-TS_Setup!$B$16)*J89</f>
        <v>58.1707428870683</v>
      </c>
      <c r="K90" s="13" t="n">
        <f aca="false">I89+J89</f>
        <v>2071.76366052299</v>
      </c>
      <c r="L90" s="13" t="n">
        <f aca="false">TS_Setup!$B$17*(C90-N83)+(1-TS_Setup!$B$17)*(L89+M89)</f>
        <v>2110.00862439686</v>
      </c>
      <c r="M90" s="16" t="n">
        <f aca="false">TS_Setup!$B$18*(L90-L89)+(1-TS_Setup!$B$18)*M89</f>
        <v>58.3091055103002</v>
      </c>
      <c r="N90" s="13" t="n">
        <f aca="false">TS_Setup!$B$19*(C90-L90)+(1-TS_Setup!$B$19)*N83</f>
        <v>4.52435364491202</v>
      </c>
      <c r="O90" s="13" t="n">
        <f aca="false">L89+M89+N83</f>
        <v>2068.87437759367</v>
      </c>
      <c r="P90" s="13" t="n">
        <f aca="false">C90-C89</f>
        <v>424</v>
      </c>
      <c r="Q90" s="13" t="n">
        <f aca="false">TS_Setup!$B$34+TS_Setup!$B$33*C89</f>
        <v>1971.11879278859</v>
      </c>
      <c r="R90" s="13" t="n">
        <f aca="false">C89+TS_Setup!$B$37+TS_Setup!$B$36*P89</f>
        <v>2039.66724235139</v>
      </c>
      <c r="S90" s="13" t="n">
        <f aca="false">P90-P89</f>
        <v>183</v>
      </c>
      <c r="T90" s="13" t="n">
        <f aca="false">AVERAGE(C87:C93)</f>
        <v>1980</v>
      </c>
      <c r="U90" s="13" t="n">
        <f aca="false">C90-T90</f>
        <v>559</v>
      </c>
    </row>
    <row r="91" customFormat="false" ht="15" hidden="false" customHeight="false" outlineLevel="0" collapsed="false">
      <c r="A91" s="11" t="n">
        <f aca="false">Daily!A91</f>
        <v>43973</v>
      </c>
      <c r="B91" s="12" t="str">
        <f aca="false">Daily!B91</f>
        <v>Fri</v>
      </c>
      <c r="C91" s="13" t="n">
        <f aca="false">Daily!C91</f>
        <v>1728</v>
      </c>
      <c r="D91" s="55" t="str">
        <f aca="false">IF(ROW()&lt;=89,"Train","Test")</f>
        <v>Test</v>
      </c>
      <c r="E91" s="13" t="n">
        <f aca="false">C90</f>
        <v>2539</v>
      </c>
      <c r="F91" s="13" t="n">
        <f aca="false">AVERAGE(C84:C90)</f>
        <v>1881.57142857143</v>
      </c>
      <c r="G91" s="13" t="n">
        <f aca="false">TS_Setup!$B$14*C91+(1-TS_Setup!$B$14)*G90</f>
        <v>1979.43340235185</v>
      </c>
      <c r="H91" s="13" t="n">
        <f aca="false">G90</f>
        <v>2114.82061900285</v>
      </c>
      <c r="I91" s="13" t="n">
        <f aca="false">TS_Setup!$B$15*C91+(1-TS_Setup!$B$15)*(I90+J90)</f>
        <v>2132.00769546495</v>
      </c>
      <c r="J91" s="16" t="n">
        <f aca="false">TS_Setup!$B$16*(I91-I90)+(1-TS_Setup!$B$16)*J90</f>
        <v>50.4052616382635</v>
      </c>
      <c r="K91" s="13" t="n">
        <f aca="false">I90+J90</f>
        <v>2172.45291030247</v>
      </c>
      <c r="L91" s="13" t="n">
        <f aca="false">TS_Setup!$B$17*(C91-N84)+(1-TS_Setup!$B$17)*(L90+M90)</f>
        <v>2129.40257845998</v>
      </c>
      <c r="M91" s="16" t="n">
        <f aca="false">TS_Setup!$B$18*(L91-L90)+(1-TS_Setup!$B$18)*M90</f>
        <v>50.7206509781011</v>
      </c>
      <c r="N91" s="13" t="n">
        <f aca="false">TS_Setup!$B$19*(C91-L91)+(1-TS_Setup!$B$19)*N84</f>
        <v>-2.13312461196364</v>
      </c>
      <c r="O91" s="13" t="n">
        <f aca="false">L90+M90+N84</f>
        <v>2170.21763008154</v>
      </c>
      <c r="P91" s="13" t="n">
        <f aca="false">C91-C90</f>
        <v>-811</v>
      </c>
      <c r="Q91" s="13" t="n">
        <f aca="false">TS_Setup!$B$34+TS_Setup!$B$33*C90</f>
        <v>2349.66728671796</v>
      </c>
      <c r="R91" s="13" t="n">
        <f aca="false">C90+TS_Setup!$B$37+TS_Setup!$B$36*P90</f>
        <v>2379.21576121722</v>
      </c>
      <c r="S91" s="13" t="n">
        <f aca="false">P91-P90</f>
        <v>-1235</v>
      </c>
      <c r="T91" s="13" t="n">
        <f aca="false">AVERAGE(C88:C94)</f>
        <v>1916.57142857143</v>
      </c>
      <c r="U91" s="13" t="n">
        <f aca="false">C91-T91</f>
        <v>-188.571428571429</v>
      </c>
    </row>
    <row r="92" customFormat="false" ht="15" hidden="false" customHeight="false" outlineLevel="0" collapsed="false">
      <c r="A92" s="11" t="n">
        <f aca="false">Daily!A92</f>
        <v>43974</v>
      </c>
      <c r="B92" s="12" t="str">
        <f aca="false">Daily!B92</f>
        <v>Sat</v>
      </c>
      <c r="C92" s="13" t="n">
        <f aca="false">Daily!C92</f>
        <v>2060</v>
      </c>
      <c r="D92" s="55" t="str">
        <f aca="false">IF(ROW()&lt;=89,"Train","Test")</f>
        <v>Test</v>
      </c>
      <c r="E92" s="13" t="n">
        <f aca="false">C91</f>
        <v>1728</v>
      </c>
      <c r="F92" s="13" t="n">
        <f aca="false">AVERAGE(C85:C91)</f>
        <v>1912</v>
      </c>
      <c r="G92" s="13" t="n">
        <f aca="false">TS_Setup!$B$14*C92+(1-TS_Setup!$B$14)*G91</f>
        <v>2007.6317115287</v>
      </c>
      <c r="H92" s="13" t="n">
        <f aca="false">G91</f>
        <v>1979.43340235185</v>
      </c>
      <c r="I92" s="13" t="n">
        <f aca="false">TS_Setup!$B$15*C92+(1-TS_Setup!$B$15)*(I91+J91)</f>
        <v>2171.27337800682</v>
      </c>
      <c r="J92" s="16" t="n">
        <f aca="false">TS_Setup!$B$16*(I92-I91)+(1-TS_Setup!$B$16)*J91</f>
        <v>48.2664624517562</v>
      </c>
      <c r="K92" s="13" t="n">
        <f aca="false">I91+J91</f>
        <v>2182.41295710321</v>
      </c>
      <c r="L92" s="13" t="n">
        <f aca="false">TS_Setup!$B$17*(C92-N85)+(1-TS_Setup!$B$17)*(L91+M91)</f>
        <v>2168.71662259048</v>
      </c>
      <c r="M92" s="16" t="n">
        <f aca="false">TS_Setup!$B$18*(L92-L91)+(1-TS_Setup!$B$18)*M91</f>
        <v>48.4963626428187</v>
      </c>
      <c r="N92" s="13" t="n">
        <f aca="false">TS_Setup!$B$19*(C92-L92)+(1-TS_Setup!$B$19)*N85</f>
        <v>8.31516366591786</v>
      </c>
      <c r="O92" s="13" t="n">
        <f aca="false">L91+M91+N85</f>
        <v>2189.62053235912</v>
      </c>
      <c r="P92" s="13" t="n">
        <f aca="false">C92-C91</f>
        <v>332</v>
      </c>
      <c r="Q92" s="13" t="n">
        <f aca="false">TS_Setup!$B$34+TS_Setup!$B$33*C91</f>
        <v>1625.60401177286</v>
      </c>
      <c r="R92" s="13" t="n">
        <f aca="false">C91+TS_Setup!$B$37+TS_Setup!$B$36*P91</f>
        <v>2138.147887997</v>
      </c>
      <c r="S92" s="13" t="n">
        <f aca="false">P92-P91</f>
        <v>1143</v>
      </c>
      <c r="T92" s="13" t="n">
        <f aca="false">AVERAGE(C89:C95)</f>
        <v>1854.57142857143</v>
      </c>
      <c r="U92" s="13" t="n">
        <f aca="false">C92-T92</f>
        <v>205.428571428571</v>
      </c>
    </row>
    <row r="93" customFormat="false" ht="15" hidden="false" customHeight="false" outlineLevel="0" collapsed="false">
      <c r="A93" s="11" t="n">
        <f aca="false">Daily!A93</f>
        <v>43975</v>
      </c>
      <c r="B93" s="12" t="str">
        <f aca="false">Daily!B93</f>
        <v>Sun</v>
      </c>
      <c r="C93" s="13" t="n">
        <f aca="false">Daily!C93</f>
        <v>1744</v>
      </c>
      <c r="D93" s="55" t="str">
        <f aca="false">IF(ROW()&lt;=89,"Train","Test")</f>
        <v>Test</v>
      </c>
      <c r="E93" s="13" t="n">
        <f aca="false">C92</f>
        <v>2060</v>
      </c>
      <c r="F93" s="13" t="n">
        <f aca="false">AVERAGE(C86:C92)</f>
        <v>2010.28571428571</v>
      </c>
      <c r="G93" s="13" t="n">
        <f aca="false">TS_Setup!$B$14*C93+(1-TS_Setup!$B$14)*G92</f>
        <v>1915.36061249366</v>
      </c>
      <c r="H93" s="13" t="n">
        <f aca="false">G92</f>
        <v>2007.6317115287</v>
      </c>
      <c r="I93" s="13" t="n">
        <f aca="false">TS_Setup!$B$15*C93+(1-TS_Setup!$B$15)*(I92+J92)</f>
        <v>2176.26571497684</v>
      </c>
      <c r="J93" s="16" t="n">
        <f aca="false">TS_Setup!$B$16*(I93-I92)+(1-TS_Setup!$B$16)*J92</f>
        <v>39.957830359264</v>
      </c>
      <c r="K93" s="13" t="n">
        <f aca="false">I92+J92</f>
        <v>2219.53984045857</v>
      </c>
      <c r="L93" s="13" t="n">
        <f aca="false">TS_Setup!$B$17*(C93-N86)+(1-TS_Setup!$B$17)*(L92+M92)</f>
        <v>2175.38390200089</v>
      </c>
      <c r="M93" s="16" t="n">
        <f aca="false">TS_Setup!$B$18*(L93-L92)+(1-TS_Setup!$B$18)*M92</f>
        <v>40.3396914124986</v>
      </c>
      <c r="N93" s="13" t="n">
        <f aca="false">TS_Setup!$B$19*(C93-L93)+(1-TS_Setup!$B$19)*N86</f>
        <v>-2.21750803635879</v>
      </c>
      <c r="O93" s="13" t="n">
        <f aca="false">L92+M92+N86</f>
        <v>2219.33049127739</v>
      </c>
      <c r="P93" s="13" t="n">
        <f aca="false">C93-C92</f>
        <v>-316</v>
      </c>
      <c r="Q93" s="13" t="n">
        <f aca="false">TS_Setup!$B$34+TS_Setup!$B$33*C92</f>
        <v>1922.01462494397</v>
      </c>
      <c r="R93" s="13" t="n">
        <f aca="false">C92+TS_Setup!$B$37+TS_Setup!$B$36*P92</f>
        <v>1942.67224353604</v>
      </c>
      <c r="S93" s="13" t="n">
        <f aca="false">P93-P92</f>
        <v>-648</v>
      </c>
      <c r="T93" s="13" t="n">
        <f aca="false">AVERAGE(C90:C96)</f>
        <v>1862.85714285714</v>
      </c>
      <c r="U93" s="13" t="n">
        <f aca="false">C93-T93</f>
        <v>-118.857142857143</v>
      </c>
    </row>
    <row r="94" customFormat="false" ht="15" hidden="false" customHeight="false" outlineLevel="0" collapsed="false">
      <c r="A94" s="11" t="n">
        <f aca="false">Daily!A94</f>
        <v>43976</v>
      </c>
      <c r="B94" s="12" t="str">
        <f aca="false">Daily!B94</f>
        <v>Mon</v>
      </c>
      <c r="C94" s="13" t="n">
        <f aca="false">Daily!C94</f>
        <v>1356</v>
      </c>
      <c r="D94" s="55" t="str">
        <f aca="false">IF(ROW()&lt;=89,"Train","Test")</f>
        <v>Test</v>
      </c>
      <c r="E94" s="13" t="n">
        <f aca="false">C93</f>
        <v>1744</v>
      </c>
      <c r="F94" s="13" t="n">
        <f aca="false">AVERAGE(C87:C93)</f>
        <v>1980</v>
      </c>
      <c r="G94" s="13" t="n">
        <f aca="false">TS_Setup!$B$14*C94+(1-TS_Setup!$B$14)*G93</f>
        <v>1719.58439812088</v>
      </c>
      <c r="H94" s="13" t="n">
        <f aca="false">G93</f>
        <v>1915.36061249366</v>
      </c>
      <c r="I94" s="13" t="n">
        <f aca="false">TS_Setup!$B$15*C94+(1-TS_Setup!$B$15)*(I93+J93)</f>
        <v>2137.94320271052</v>
      </c>
      <c r="J94" s="16" t="n">
        <f aca="false">TS_Setup!$B$16*(I94-I93)+(1-TS_Setup!$B$16)*J93</f>
        <v>24.9280045751515</v>
      </c>
      <c r="K94" s="13" t="n">
        <f aca="false">I93+J93</f>
        <v>2216.22354533611</v>
      </c>
      <c r="L94" s="13" t="n">
        <f aca="false">TS_Setup!$B$17*(C94-N87)+(1-TS_Setup!$B$17)*(L93+M93)</f>
        <v>2140.42642498786</v>
      </c>
      <c r="M94" s="16" t="n">
        <f aca="false">TS_Setup!$B$18*(L94-L93)+(1-TS_Setup!$B$18)*M93</f>
        <v>25.6567435695204</v>
      </c>
      <c r="N94" s="13" t="n">
        <f aca="false">TS_Setup!$B$19*(C94-L94)+(1-TS_Setup!$B$19)*N87</f>
        <v>-11.8774769419269</v>
      </c>
      <c r="O94" s="13" t="n">
        <f aca="false">L93+M93+N87</f>
        <v>2211.6496411992</v>
      </c>
      <c r="P94" s="13" t="n">
        <f aca="false">C94-C93</f>
        <v>-388</v>
      </c>
      <c r="Q94" s="13" t="n">
        <f aca="false">TS_Setup!$B$34+TS_Setup!$B$33*C93</f>
        <v>1639.88886060038</v>
      </c>
      <c r="R94" s="13" t="n">
        <f aca="false">C93+TS_Setup!$B$37+TS_Setup!$B$36*P93</f>
        <v>1925.71355378162</v>
      </c>
      <c r="S94" s="13" t="n">
        <f aca="false">P94-P93</f>
        <v>-72</v>
      </c>
      <c r="T94" s="13" t="n">
        <f aca="false">AVERAGE(C91:C97)</f>
        <v>1866.14285714286</v>
      </c>
      <c r="U94" s="13" t="n">
        <f aca="false">C94-T94</f>
        <v>-510.142857142857</v>
      </c>
    </row>
    <row r="95" customFormat="false" ht="15" hidden="false" customHeight="false" outlineLevel="0" collapsed="false">
      <c r="A95" s="11" t="n">
        <f aca="false">Daily!A95</f>
        <v>43977</v>
      </c>
      <c r="B95" s="12" t="str">
        <f aca="false">Daily!B95</f>
        <v>Tue</v>
      </c>
      <c r="C95" s="13" t="n">
        <f aca="false">Daily!C95</f>
        <v>1440</v>
      </c>
      <c r="D95" s="55" t="str">
        <f aca="false">IF(ROW()&lt;=89,"Train","Test")</f>
        <v>Test</v>
      </c>
      <c r="E95" s="13" t="n">
        <f aca="false">C94</f>
        <v>1356</v>
      </c>
      <c r="F95" s="13" t="n">
        <f aca="false">AVERAGE(C88:C94)</f>
        <v>1916.57142857143</v>
      </c>
      <c r="G95" s="13" t="n">
        <f aca="false">TS_Setup!$B$14*C95+(1-TS_Setup!$B$14)*G94</f>
        <v>1621.72985877857</v>
      </c>
      <c r="H95" s="13" t="n">
        <f aca="false">G94</f>
        <v>1719.58439812088</v>
      </c>
      <c r="I95" s="13" t="n">
        <f aca="false">TS_Setup!$B$15*C95+(1-TS_Setup!$B$15)*(I94+J94)</f>
        <v>2097.08992742268</v>
      </c>
      <c r="J95" s="16" t="n">
        <f aca="false">TS_Setup!$B$16*(I95-I94)+(1-TS_Setup!$B$16)*J94</f>
        <v>12.2979988414563</v>
      </c>
      <c r="K95" s="13" t="n">
        <f aca="false">I94+J94</f>
        <v>2162.87120728567</v>
      </c>
      <c r="L95" s="13" t="n">
        <f aca="false">TS_Setup!$B$17*(C95-N88)+(1-TS_Setup!$B$17)*(L94+M94)</f>
        <v>2101.60673508097</v>
      </c>
      <c r="M95" s="16" t="n">
        <f aca="false">TS_Setup!$B$18*(L95-L94)+(1-TS_Setup!$B$18)*M94</f>
        <v>13.0838390416197</v>
      </c>
      <c r="N95" s="13" t="n">
        <f aca="false">TS_Setup!$B$19*(C95-L95)+(1-TS_Setup!$B$19)*N88</f>
        <v>-0.0785276129683536</v>
      </c>
      <c r="O95" s="13" t="n">
        <f aca="false">L94+M94+N88</f>
        <v>2172.68674405015</v>
      </c>
      <c r="P95" s="13" t="n">
        <f aca="false">C95-C94</f>
        <v>84</v>
      </c>
      <c r="Q95" s="13" t="n">
        <f aca="false">TS_Setup!$B$34+TS_Setup!$B$33*C94</f>
        <v>1293.48127653293</v>
      </c>
      <c r="R95" s="13" t="n">
        <f aca="false">C94+TS_Setup!$B$37+TS_Setup!$B$36*P94</f>
        <v>1570.94036603113</v>
      </c>
      <c r="S95" s="13" t="n">
        <f aca="false">P95-P94</f>
        <v>472</v>
      </c>
      <c r="T95" s="13" t="n">
        <f aca="false">AVERAGE(C92:C98)</f>
        <v>1965.85714285714</v>
      </c>
      <c r="U95" s="13" t="n">
        <f aca="false">C95-T95</f>
        <v>-525.857142857143</v>
      </c>
    </row>
    <row r="96" customFormat="false" ht="15" hidden="false" customHeight="false" outlineLevel="0" collapsed="false">
      <c r="A96" s="11" t="n">
        <f aca="false">Daily!A96</f>
        <v>43978</v>
      </c>
      <c r="B96" s="12" t="str">
        <f aca="false">Daily!B96</f>
        <v>Wed</v>
      </c>
      <c r="C96" s="13" t="n">
        <f aca="false">Daily!C96</f>
        <v>2173</v>
      </c>
      <c r="D96" s="55" t="str">
        <f aca="false">IF(ROW()&lt;=89,"Train","Test")</f>
        <v>Test</v>
      </c>
      <c r="E96" s="13" t="n">
        <f aca="false">C95</f>
        <v>1440</v>
      </c>
      <c r="F96" s="13" t="n">
        <f aca="false">AVERAGE(C89:C95)</f>
        <v>1854.57142857143</v>
      </c>
      <c r="G96" s="13" t="n">
        <f aca="false">TS_Setup!$B$14*C96+(1-TS_Setup!$B$14)*G95</f>
        <v>1814.67440820607</v>
      </c>
      <c r="H96" s="13" t="n">
        <f aca="false">G95</f>
        <v>1621.72985877857</v>
      </c>
      <c r="I96" s="13" t="n">
        <f aca="false">TS_Setup!$B$15*C96+(1-TS_Setup!$B$15)*(I95+J95)</f>
        <v>2115.1766249741</v>
      </c>
      <c r="J96" s="16" t="n">
        <f aca="false">TS_Setup!$B$16*(I96-I95)+(1-TS_Setup!$B$16)*J95</f>
        <v>13.4094289937694</v>
      </c>
      <c r="K96" s="13" t="n">
        <f aca="false">I95+J95</f>
        <v>2109.38792626413</v>
      </c>
      <c r="L96" s="13" t="n">
        <f aca="false">TS_Setup!$B$17*(C96-N89)+(1-TS_Setup!$B$17)*(L95+M95)</f>
        <v>2118.91145728046</v>
      </c>
      <c r="M96" s="16" t="n">
        <f aca="false">TS_Setup!$B$18*(L96-L95)+(1-TS_Setup!$B$18)*M95</f>
        <v>13.9069112574061</v>
      </c>
      <c r="N96" s="13" t="n">
        <f aca="false">TS_Setup!$B$19*(C96-L96)+(1-TS_Setup!$B$19)*N89</f>
        <v>10.7822815197005</v>
      </c>
      <c r="O96" s="13" t="n">
        <f aca="false">L95+M95+N89</f>
        <v>2125.03541866047</v>
      </c>
      <c r="P96" s="13" t="n">
        <f aca="false">C96-C95</f>
        <v>733</v>
      </c>
      <c r="Q96" s="13" t="n">
        <f aca="false">TS_Setup!$B$34+TS_Setup!$B$33*C95</f>
        <v>1368.47673287743</v>
      </c>
      <c r="R96" s="13" t="n">
        <f aca="false">C95+TS_Setup!$B$37+TS_Setup!$B$36*P95</f>
        <v>1437.12015239546</v>
      </c>
      <c r="S96" s="13" t="n">
        <f aca="false">P96-P95</f>
        <v>649</v>
      </c>
      <c r="T96" s="13" t="n">
        <f aca="false">AVERAGE(C93:C99)</f>
        <v>2093.85714285714</v>
      </c>
      <c r="U96" s="13" t="n">
        <f aca="false">C96-T96</f>
        <v>79.1428571428573</v>
      </c>
    </row>
    <row r="97" customFormat="false" ht="15" hidden="false" customHeight="false" outlineLevel="0" collapsed="false">
      <c r="A97" s="11" t="n">
        <f aca="false">Daily!A97</f>
        <v>43979</v>
      </c>
      <c r="B97" s="12" t="str">
        <f aca="false">Daily!B97</f>
        <v>Thu</v>
      </c>
      <c r="C97" s="13" t="n">
        <f aca="false">Daily!C97</f>
        <v>2562</v>
      </c>
      <c r="D97" s="55" t="str">
        <f aca="false">IF(ROW()&lt;=89,"Train","Test")</f>
        <v>Test</v>
      </c>
      <c r="E97" s="13" t="n">
        <f aca="false">C96</f>
        <v>2173</v>
      </c>
      <c r="F97" s="13" t="n">
        <f aca="false">AVERAGE(C90:C96)</f>
        <v>1862.85714285714</v>
      </c>
      <c r="G97" s="13" t="n">
        <f aca="false">TS_Setup!$B$14*C97+(1-TS_Setup!$B$14)*G96</f>
        <v>2076.23836533395</v>
      </c>
      <c r="H97" s="13" t="n">
        <f aca="false">G96</f>
        <v>1814.67440820607</v>
      </c>
      <c r="I97" s="13" t="n">
        <f aca="false">TS_Setup!$B$15*C97+(1-TS_Setup!$B$15)*(I96+J96)</f>
        <v>2168.02672305679</v>
      </c>
      <c r="J97" s="16" t="n">
        <f aca="false">TS_Setup!$B$16*(I97-I96)+(1-TS_Setup!$B$16)*J96</f>
        <v>20.9820374588428</v>
      </c>
      <c r="K97" s="13" t="n">
        <f aca="false">I96+J96</f>
        <v>2128.58605396787</v>
      </c>
      <c r="L97" s="13" t="n">
        <f aca="false">TS_Setup!$B$17*(C97-N90)+(1-TS_Setup!$B$17)*(L96+M96)</f>
        <v>2170.18820898579</v>
      </c>
      <c r="M97" s="16" t="n">
        <f aca="false">TS_Setup!$B$18*(L97-L96)+(1-TS_Setup!$B$18)*M96</f>
        <v>21.1940301447495</v>
      </c>
      <c r="N97" s="13" t="n">
        <f aca="false">TS_Setup!$B$19*(C97-L97)+(1-TS_Setup!$B$19)*N90</f>
        <v>8.39722801860504</v>
      </c>
      <c r="O97" s="13" t="n">
        <f aca="false">L96+M96+N90</f>
        <v>2137.34272218278</v>
      </c>
      <c r="P97" s="13" t="n">
        <f aca="false">C97-C96</f>
        <v>389</v>
      </c>
      <c r="Q97" s="13" t="n">
        <f aca="false">TS_Setup!$B$34+TS_Setup!$B$33*C96</f>
        <v>2022.90136978836</v>
      </c>
      <c r="R97" s="13" t="n">
        <f aca="false">C96+TS_Setup!$B$37+TS_Setup!$B$36*P96</f>
        <v>1870.61735864641</v>
      </c>
      <c r="S97" s="13" t="n">
        <f aca="false">P97-P96</f>
        <v>-344</v>
      </c>
      <c r="T97" s="13" t="n">
        <f aca="false">AVERAGE(C94:C100)</f>
        <v>2256.57142857143</v>
      </c>
      <c r="U97" s="13" t="n">
        <f aca="false">C97-T97</f>
        <v>305.428571428572</v>
      </c>
    </row>
    <row r="98" customFormat="false" ht="15" hidden="false" customHeight="false" outlineLevel="0" collapsed="false">
      <c r="A98" s="11" t="n">
        <f aca="false">Daily!A98</f>
        <v>43980</v>
      </c>
      <c r="B98" s="12" t="str">
        <f aca="false">Daily!B98</f>
        <v>Fri</v>
      </c>
      <c r="C98" s="13" t="n">
        <f aca="false">Daily!C98</f>
        <v>2426</v>
      </c>
      <c r="D98" s="55" t="str">
        <f aca="false">IF(ROW()&lt;=89,"Train","Test")</f>
        <v>Test</v>
      </c>
      <c r="E98" s="13" t="n">
        <f aca="false">C97</f>
        <v>2562</v>
      </c>
      <c r="F98" s="13" t="n">
        <f aca="false">AVERAGE(C91:C97)</f>
        <v>1866.14285714286</v>
      </c>
      <c r="G98" s="13" t="n">
        <f aca="false">TS_Setup!$B$14*C98+(1-TS_Setup!$B$14)*G97</f>
        <v>2198.65493746707</v>
      </c>
      <c r="H98" s="13" t="n">
        <f aca="false">G97</f>
        <v>2076.23836533395</v>
      </c>
      <c r="I98" s="13" t="n">
        <f aca="false">TS_Setup!$B$15*C98+(1-TS_Setup!$B$15)*(I97+J97)</f>
        <v>2210.57496330871</v>
      </c>
      <c r="J98" s="16" t="n">
        <f aca="false">TS_Setup!$B$16*(I98-I97)+(1-TS_Setup!$B$16)*J97</f>
        <v>25.1227483951137</v>
      </c>
      <c r="K98" s="13" t="n">
        <f aca="false">I97+J97</f>
        <v>2189.00876051563</v>
      </c>
      <c r="L98" s="13" t="n">
        <f aca="false">TS_Setup!$B$17*(C98-N91)+(1-TS_Setup!$B$17)*(L97+M97)</f>
        <v>2212.2163170529</v>
      </c>
      <c r="M98" s="16" t="n">
        <f aca="false">TS_Setup!$B$18*(L98-L97)+(1-TS_Setup!$B$18)*M97</f>
        <v>25.2566753396108</v>
      </c>
      <c r="N98" s="13" t="n">
        <f aca="false">TS_Setup!$B$19*(C98-L98)+(1-TS_Setup!$B$19)*N91</f>
        <v>0.026043463626984</v>
      </c>
      <c r="O98" s="13" t="n">
        <f aca="false">L97+M97+N91</f>
        <v>2189.24911451857</v>
      </c>
      <c r="P98" s="13" t="n">
        <f aca="false">C98-C97</f>
        <v>-136</v>
      </c>
      <c r="Q98" s="13" t="n">
        <f aca="false">TS_Setup!$B$34+TS_Setup!$B$33*C97</f>
        <v>2370.20175690753</v>
      </c>
      <c r="R98" s="13" t="n">
        <f aca="false">C97+TS_Setup!$B$37+TS_Setup!$B$36*P97</f>
        <v>2418.36768383851</v>
      </c>
      <c r="S98" s="13" t="n">
        <f aca="false">P98-P97</f>
        <v>-525</v>
      </c>
      <c r="T98" s="13" t="n">
        <f aca="false">AVERAGE(C95:C101)</f>
        <v>2616</v>
      </c>
      <c r="U98" s="13" t="n">
        <f aca="false">C98-T98</f>
        <v>-190</v>
      </c>
    </row>
    <row r="99" customFormat="false" ht="15" hidden="false" customHeight="false" outlineLevel="0" collapsed="false">
      <c r="A99" s="11" t="n">
        <f aca="false">Daily!A99</f>
        <v>43981</v>
      </c>
      <c r="B99" s="12" t="str">
        <f aca="false">Daily!B99</f>
        <v>Sat</v>
      </c>
      <c r="C99" s="13" t="n">
        <f aca="false">Daily!C99</f>
        <v>2956</v>
      </c>
      <c r="D99" s="55" t="str">
        <f aca="false">IF(ROW()&lt;=89,"Train","Test")</f>
        <v>Test</v>
      </c>
      <c r="E99" s="13" t="n">
        <f aca="false">C98</f>
        <v>2426</v>
      </c>
      <c r="F99" s="13" t="n">
        <f aca="false">AVERAGE(C92:C98)</f>
        <v>1965.85714285714</v>
      </c>
      <c r="G99" s="13" t="n">
        <f aca="false">TS_Setup!$B$14*C99+(1-TS_Setup!$B$14)*G98</f>
        <v>2463.72570935359</v>
      </c>
      <c r="H99" s="13" t="n">
        <f aca="false">G98</f>
        <v>2198.65493746707</v>
      </c>
      <c r="I99" s="13" t="n">
        <f aca="false">TS_Setup!$B$15*C99+(1-TS_Setup!$B$15)*(I98+J98)</f>
        <v>2301.24521993878</v>
      </c>
      <c r="J99" s="16" t="n">
        <f aca="false">TS_Setup!$B$16*(I99-I98)+(1-TS_Setup!$B$16)*J98</f>
        <v>37.7078699762246</v>
      </c>
      <c r="K99" s="13" t="n">
        <f aca="false">I98+J98</f>
        <v>2235.69771170382</v>
      </c>
      <c r="L99" s="13" t="n">
        <f aca="false">TS_Setup!$B$17*(C99-N92)+(1-TS_Setup!$B$17)*(L98+M98)</f>
        <v>2299.97163465937</v>
      </c>
      <c r="M99" s="16" t="n">
        <f aca="false">TS_Setup!$B$18*(L99-L98)+(1-TS_Setup!$B$18)*M98</f>
        <v>37.4439105816483</v>
      </c>
      <c r="N99" s="13" t="n">
        <f aca="false">TS_Setup!$B$19*(C99-L99)+(1-TS_Setup!$B$19)*N92</f>
        <v>14.792295682665</v>
      </c>
      <c r="O99" s="13" t="n">
        <f aca="false">L98+M98+N92</f>
        <v>2245.78815605843</v>
      </c>
      <c r="P99" s="13" t="n">
        <f aca="false">C99-C98</f>
        <v>530</v>
      </c>
      <c r="Q99" s="13" t="n">
        <f aca="false">TS_Setup!$B$34+TS_Setup!$B$33*C98</f>
        <v>2248.78054187358</v>
      </c>
      <c r="R99" s="13" t="n">
        <f aca="false">C98+TS_Setup!$B$37+TS_Setup!$B$36*P98</f>
        <v>2524.64652315785</v>
      </c>
      <c r="S99" s="13" t="n">
        <f aca="false">P99-P98</f>
        <v>666</v>
      </c>
      <c r="T99" s="13" t="n">
        <f aca="false">AVERAGE(C96:C102)</f>
        <v>3016.28571428571</v>
      </c>
      <c r="U99" s="13" t="n">
        <f aca="false">C99-T99</f>
        <v>-60.2857142857142</v>
      </c>
    </row>
    <row r="100" customFormat="false" ht="15" hidden="false" customHeight="false" outlineLevel="0" collapsed="false">
      <c r="A100" s="11" t="n">
        <f aca="false">Daily!A100</f>
        <v>43982</v>
      </c>
      <c r="B100" s="12" t="str">
        <f aca="false">Daily!B100</f>
        <v>Sun</v>
      </c>
      <c r="C100" s="13" t="n">
        <f aca="false">Daily!C100</f>
        <v>2883</v>
      </c>
      <c r="D100" s="55" t="str">
        <f aca="false">IF(ROW()&lt;=89,"Train","Test")</f>
        <v>Test</v>
      </c>
      <c r="E100" s="13" t="n">
        <f aca="false">C99</f>
        <v>2956</v>
      </c>
      <c r="F100" s="13" t="n">
        <f aca="false">AVERAGE(C93:C99)</f>
        <v>2093.85714285714</v>
      </c>
      <c r="G100" s="13" t="n">
        <f aca="false">TS_Setup!$B$14*C100+(1-TS_Setup!$B$14)*G99</f>
        <v>2610.47171107983</v>
      </c>
      <c r="H100" s="13" t="n">
        <f aca="false">G99</f>
        <v>2463.72570935359</v>
      </c>
      <c r="I100" s="13" t="n">
        <f aca="false">TS_Setup!$B$15*C100+(1-TS_Setup!$B$15)*(I99+J99)</f>
        <v>2388.46135873274</v>
      </c>
      <c r="J100" s="16" t="n">
        <f aca="false">TS_Setup!$B$16*(I100-I99)+(1-TS_Setup!$B$16)*J99</f>
        <v>47.2134575892297</v>
      </c>
      <c r="K100" s="13" t="n">
        <f aca="false">I99+J99</f>
        <v>2338.953089915</v>
      </c>
      <c r="L100" s="13" t="n">
        <f aca="false">TS_Setup!$B$17*(C100-N93)+(1-TS_Setup!$B$17)*(L99+M99)</f>
        <v>2385.62211796701</v>
      </c>
      <c r="M100" s="16" t="n">
        <f aca="false">TS_Setup!$B$18*(L100-L99)+(1-TS_Setup!$B$18)*M99</f>
        <v>46.8441922632162</v>
      </c>
      <c r="N100" s="13" t="n">
        <f aca="false">TS_Setup!$B$19*(C100-L100)+(1-TS_Setup!$B$19)*N93</f>
        <v>2.77844586433472</v>
      </c>
      <c r="O100" s="13" t="n">
        <f aca="false">L99+M99+N93</f>
        <v>2335.19803720466</v>
      </c>
      <c r="P100" s="13" t="n">
        <f aca="false">C100-C99</f>
        <v>-73</v>
      </c>
      <c r="Q100" s="13" t="n">
        <f aca="false">TS_Setup!$B$34+TS_Setup!$B$33*C99</f>
        <v>2721.9661592853</v>
      </c>
      <c r="R100" s="13" t="n">
        <f aca="false">C99+TS_Setup!$B$37+TS_Setup!$B$36*P99</f>
        <v>2747.29850984989</v>
      </c>
      <c r="S100" s="13" t="n">
        <f aca="false">P100-P99</f>
        <v>-603</v>
      </c>
      <c r="T100" s="13" t="n">
        <f aca="false">AVERAGE(C97:C103)</f>
        <v>3374</v>
      </c>
      <c r="U100" s="13" t="n">
        <f aca="false">C100-T100</f>
        <v>-491</v>
      </c>
    </row>
    <row r="101" customFormat="false" ht="15" hidden="false" customHeight="false" outlineLevel="0" collapsed="false">
      <c r="A101" s="11" t="n">
        <f aca="false">Daily!A101</f>
        <v>43983</v>
      </c>
      <c r="B101" s="12" t="str">
        <f aca="false">Daily!B101</f>
        <v>Mon</v>
      </c>
      <c r="C101" s="13" t="n">
        <f aca="false">Daily!C101</f>
        <v>3872</v>
      </c>
      <c r="D101" s="55" t="str">
        <f aca="false">IF(ROW()&lt;=89,"Train","Test")</f>
        <v>Test</v>
      </c>
      <c r="E101" s="13" t="n">
        <f aca="false">C100</f>
        <v>2883</v>
      </c>
      <c r="F101" s="13" t="n">
        <f aca="false">AVERAGE(C94:C100)</f>
        <v>2256.57142857143</v>
      </c>
      <c r="G101" s="13" t="n">
        <f aca="false">TS_Setup!$B$14*C101+(1-TS_Setup!$B$14)*G100</f>
        <v>3052.00661220189</v>
      </c>
      <c r="H101" s="13" t="n">
        <f aca="false">G100</f>
        <v>2610.47171107983</v>
      </c>
      <c r="I101" s="13" t="n">
        <f aca="false">TS_Setup!$B$15*C101+(1-TS_Setup!$B$15)*(I100+J100)</f>
        <v>2566.38040803667</v>
      </c>
      <c r="J101" s="16" t="n">
        <f aca="false">TS_Setup!$B$16*(I101-I100)+(1-TS_Setup!$B$16)*J100</f>
        <v>72.3089311984522</v>
      </c>
      <c r="K101" s="13" t="n">
        <f aca="false">I100+J100</f>
        <v>2435.67481632197</v>
      </c>
      <c r="L101" s="13" t="n">
        <f aca="false">TS_Setup!$B$17*(C101-N94)+(1-TS_Setup!$B$17)*(L100+M100)</f>
        <v>2560.19049290085</v>
      </c>
      <c r="M101" s="16" t="n">
        <f aca="false">TS_Setup!$B$18*(L101-L100)+(1-TS_Setup!$B$18)*M100</f>
        <v>71.7504078839891</v>
      </c>
      <c r="N101" s="13" t="n">
        <f aca="false">TS_Setup!$B$19*(C101-L101)+(1-TS_Setup!$B$19)*N94</f>
        <v>1.35939289848381</v>
      </c>
      <c r="O101" s="13" t="n">
        <f aca="false">L100+M100+N94</f>
        <v>2420.5888332883</v>
      </c>
      <c r="P101" s="13" t="n">
        <f aca="false">C101-C100</f>
        <v>989</v>
      </c>
      <c r="Q101" s="13" t="n">
        <f aca="false">TS_Setup!$B$34+TS_Setup!$B$33*C100</f>
        <v>2656.79153650972</v>
      </c>
      <c r="R101" s="13" t="n">
        <f aca="false">C100+TS_Setup!$B$37+TS_Setup!$B$36*P100</f>
        <v>2952.57306243953</v>
      </c>
      <c r="S101" s="13" t="n">
        <f aca="false">P101-P100</f>
        <v>1062</v>
      </c>
      <c r="T101" s="12"/>
      <c r="U101" s="12"/>
    </row>
    <row r="102" customFormat="false" ht="15" hidden="false" customHeight="false" outlineLevel="0" collapsed="false">
      <c r="A102" s="11" t="n">
        <f aca="false">Daily!A102</f>
        <v>43984</v>
      </c>
      <c r="B102" s="12" t="str">
        <f aca="false">Daily!B102</f>
        <v>Tue</v>
      </c>
      <c r="C102" s="13" t="n">
        <f aca="false">Daily!C102</f>
        <v>4242</v>
      </c>
      <c r="D102" s="55" t="str">
        <f aca="false">IF(ROW()&lt;=89,"Train","Test")</f>
        <v>Test</v>
      </c>
      <c r="E102" s="13" t="n">
        <f aca="false">C101</f>
        <v>3872</v>
      </c>
      <c r="F102" s="13" t="n">
        <f aca="false">AVERAGE(C95:C101)</f>
        <v>2616</v>
      </c>
      <c r="G102" s="13" t="n">
        <f aca="false">TS_Setup!$B$14*C102+(1-TS_Setup!$B$14)*G101</f>
        <v>3468.50429793123</v>
      </c>
      <c r="H102" s="13" t="n">
        <f aca="false">G101</f>
        <v>3052.00661220189</v>
      </c>
      <c r="I102" s="13" t="n">
        <f aca="false">TS_Setup!$B$15*C102+(1-TS_Setup!$B$15)*(I101+J101)</f>
        <v>2784.59060936472</v>
      </c>
      <c r="J102" s="16" t="n">
        <f aca="false">TS_Setup!$B$16*(I102-I101)+(1-TS_Setup!$B$16)*J101</f>
        <v>100.321975063336</v>
      </c>
      <c r="K102" s="13" t="n">
        <f aca="false">I101+J101</f>
        <v>2638.68933923512</v>
      </c>
      <c r="L102" s="13" t="n">
        <f aca="false">TS_Setup!$B$17*(C102-N95)+(1-TS_Setup!$B$17)*(L101+M101)</f>
        <v>2773.63301194572</v>
      </c>
      <c r="M102" s="16" t="n">
        <f aca="false">TS_Setup!$B$18*(L102-L101)+(1-TS_Setup!$B$18)*M101</f>
        <v>99.3803695603597</v>
      </c>
      <c r="N102" s="13" t="n">
        <f aca="false">TS_Setup!$B$19*(C102-L102)+(1-TS_Setup!$B$19)*N95</f>
        <v>14.6059275437041</v>
      </c>
      <c r="O102" s="13" t="n">
        <f aca="false">L101+M101+N95</f>
        <v>2631.86237317188</v>
      </c>
      <c r="P102" s="13" t="n">
        <f aca="false">C102-C101</f>
        <v>370</v>
      </c>
      <c r="Q102" s="13" t="n">
        <f aca="false">TS_Setup!$B$34+TS_Setup!$B$33*C101</f>
        <v>3539.77375466103</v>
      </c>
      <c r="R102" s="13" t="n">
        <f aca="false">C101+TS_Setup!$B$37+TS_Setup!$B$36*P101</f>
        <v>3451.47758175927</v>
      </c>
      <c r="S102" s="13" t="n">
        <f aca="false">P102-P101</f>
        <v>-619</v>
      </c>
      <c r="T102" s="12"/>
      <c r="U102" s="12"/>
    </row>
    <row r="103" customFormat="false" ht="15" hidden="false" customHeight="false" outlineLevel="0" collapsed="false">
      <c r="A103" s="11" t="n">
        <f aca="false">Daily!A103</f>
        <v>43985</v>
      </c>
      <c r="B103" s="12" t="str">
        <f aca="false">Daily!B103</f>
        <v>Wed</v>
      </c>
      <c r="C103" s="13" t="n">
        <f aca="false">Daily!C103</f>
        <v>4677</v>
      </c>
      <c r="D103" s="55" t="str">
        <f aca="false">IF(ROW()&lt;=89,"Train","Test")</f>
        <v>Test</v>
      </c>
      <c r="E103" s="13" t="n">
        <f aca="false">C102</f>
        <v>4242</v>
      </c>
      <c r="F103" s="13" t="n">
        <f aca="false">AVERAGE(C96:C102)</f>
        <v>3016.28571428571</v>
      </c>
      <c r="G103" s="13" t="n">
        <f aca="false">TS_Setup!$B$14*C103+(1-TS_Setup!$B$14)*G102</f>
        <v>3891.4777936553</v>
      </c>
      <c r="H103" s="13" t="n">
        <f aca="false">G102</f>
        <v>3468.50429793123</v>
      </c>
      <c r="I103" s="13" t="n">
        <f aca="false">TS_Setup!$B$15*C103+(1-TS_Setup!$B$15)*(I102+J102)</f>
        <v>3047.99253924511</v>
      </c>
      <c r="J103" s="16" t="n">
        <f aca="false">TS_Setup!$B$16*(I103-I102)+(1-TS_Setup!$B$16)*J102</f>
        <v>131.633326388209</v>
      </c>
      <c r="K103" s="13" t="n">
        <f aca="false">I102+J102</f>
        <v>2884.91258442806</v>
      </c>
      <c r="L103" s="13" t="n">
        <f aca="false">TS_Setup!$B$17*(C103-N96)+(1-TS_Setup!$B$17)*(L102+M102)</f>
        <v>3030.81536315981</v>
      </c>
      <c r="M103" s="16" t="n">
        <f aca="false">TS_Setup!$B$18*(L103-L102)+(1-TS_Setup!$B$18)*M102</f>
        <v>130.151755982837</v>
      </c>
      <c r="N103" s="13" t="n">
        <f aca="false">TS_Setup!$B$19*(C103-L103)+(1-TS_Setup!$B$19)*N96</f>
        <v>27.1363050729054</v>
      </c>
      <c r="O103" s="13" t="n">
        <f aca="false">L102+M102+N96</f>
        <v>2883.79566302578</v>
      </c>
      <c r="P103" s="13" t="n">
        <f aca="false">C103-C102</f>
        <v>435</v>
      </c>
      <c r="Q103" s="13" t="n">
        <f aca="false">TS_Setup!$B$34+TS_Setup!$B$33*C102</f>
        <v>3870.11088379752</v>
      </c>
      <c r="R103" s="13" t="n">
        <f aca="false">C102+TS_Setup!$B$37+TS_Setup!$B$36*P102</f>
        <v>4107.13587040435</v>
      </c>
      <c r="S103" s="13" t="n">
        <f aca="false">P103-P102</f>
        <v>65</v>
      </c>
      <c r="T103" s="12"/>
      <c r="U103" s="12"/>
    </row>
    <row r="105" customFormat="false" ht="39.75" hidden="false" customHeight="true" outlineLevel="0" collapsed="false">
      <c r="A105" s="19" t="s">
        <v>404</v>
      </c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</row>
  </sheetData>
  <mergeCells count="1">
    <mergeCell ref="A105:O10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U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1" min="2" style="0" width="9"/>
  </cols>
  <sheetData>
    <row r="1" customFormat="false" ht="19.7" hidden="false" customHeight="false" outlineLevel="0" collapsed="false">
      <c r="A1" s="1" t="s">
        <v>405</v>
      </c>
    </row>
    <row r="2" customFormat="false" ht="15" hidden="false" customHeight="false" outlineLevel="0" collapsed="false">
      <c r="A2" s="2" t="s">
        <v>406</v>
      </c>
    </row>
    <row r="3" customFormat="false" ht="15" hidden="false" customHeight="false" outlineLevel="0" collapsed="false">
      <c r="A3" s="36" t="s">
        <v>407</v>
      </c>
      <c r="B3" s="56" t="n">
        <f aca="false">INDEX($C$4:$U$4,MATCH(MIN($C$5:$U$5),$C$5:$U$5,0))</f>
        <v>0.35</v>
      </c>
    </row>
    <row r="4" customFormat="false" ht="15" hidden="false" customHeight="false" outlineLevel="0" collapsed="false">
      <c r="A4" s="40" t="s">
        <v>408</v>
      </c>
      <c r="C4" s="57" t="n">
        <v>0.05</v>
      </c>
      <c r="D4" s="57" t="n">
        <v>0.1</v>
      </c>
      <c r="E4" s="57" t="n">
        <v>0.15</v>
      </c>
      <c r="F4" s="57" t="n">
        <v>0.2</v>
      </c>
      <c r="G4" s="57" t="n">
        <v>0.25</v>
      </c>
      <c r="H4" s="57" t="n">
        <v>0.3</v>
      </c>
      <c r="I4" s="57" t="n">
        <v>0.35</v>
      </c>
      <c r="J4" s="57" t="n">
        <v>0.4</v>
      </c>
      <c r="K4" s="57" t="n">
        <v>0.45</v>
      </c>
      <c r="L4" s="57" t="n">
        <v>0.5</v>
      </c>
      <c r="M4" s="57" t="n">
        <v>0.55</v>
      </c>
      <c r="N4" s="57" t="n">
        <v>0.6</v>
      </c>
      <c r="O4" s="57" t="n">
        <v>0.65</v>
      </c>
      <c r="P4" s="57" t="n">
        <v>0.7</v>
      </c>
      <c r="Q4" s="57" t="n">
        <v>0.75</v>
      </c>
      <c r="R4" s="57" t="n">
        <v>0.8</v>
      </c>
      <c r="S4" s="57" t="n">
        <v>0.85</v>
      </c>
      <c r="T4" s="57" t="n">
        <v>0.9</v>
      </c>
      <c r="U4" s="57" t="n">
        <v>0.95</v>
      </c>
    </row>
    <row r="5" customFormat="false" ht="15" hidden="false" customHeight="false" outlineLevel="0" collapsed="false">
      <c r="A5" s="40" t="s">
        <v>363</v>
      </c>
      <c r="C5" s="13" t="n">
        <f aca="false">SUMPRODUCT((TS_Model!$C$6:$C$89-C8:C91)^2)</f>
        <v>17342978.1066428</v>
      </c>
      <c r="D5" s="13" t="n">
        <f aca="false">SUMPRODUCT((TS_Model!$C$6:$C$89-D8:D91)^2)</f>
        <v>9545890.27185794</v>
      </c>
      <c r="E5" s="13" t="n">
        <f aca="false">SUMPRODUCT((TS_Model!$C$6:$C$89-E8:E91)^2)</f>
        <v>7195014.43429069</v>
      </c>
      <c r="F5" s="13" t="n">
        <f aca="false">SUMPRODUCT((TS_Model!$C$6:$C$89-F8:F91)^2)</f>
        <v>6295519.42132667</v>
      </c>
      <c r="G5" s="13" t="n">
        <f aca="false">SUMPRODUCT((TS_Model!$C$6:$C$89-G8:G91)^2)</f>
        <v>5926535.69232464</v>
      </c>
      <c r="H5" s="13" t="n">
        <f aca="false">SUMPRODUCT((TS_Model!$C$6:$C$89-H8:H91)^2)</f>
        <v>5795959.32498404</v>
      </c>
      <c r="I5" s="13" t="n">
        <f aca="false">SUMPRODUCT((TS_Model!$C$6:$C$89-I8:I91)^2)</f>
        <v>5790817.43684786</v>
      </c>
      <c r="J5" s="13" t="n">
        <f aca="false">SUMPRODUCT((TS_Model!$C$6:$C$89-J8:J91)^2)</f>
        <v>5861181.81784384</v>
      </c>
      <c r="K5" s="13" t="n">
        <f aca="false">SUMPRODUCT((TS_Model!$C$6:$C$89-K8:K91)^2)</f>
        <v>5982778.51855163</v>
      </c>
      <c r="L5" s="13" t="n">
        <f aca="false">SUMPRODUCT((TS_Model!$C$6:$C$89-L8:L91)^2)</f>
        <v>6142929.54511355</v>
      </c>
      <c r="M5" s="13" t="n">
        <f aca="false">SUMPRODUCT((TS_Model!$C$6:$C$89-M8:M91)^2)</f>
        <v>6334637.51845244</v>
      </c>
      <c r="N5" s="13" t="n">
        <f aca="false">SUMPRODUCT((TS_Model!$C$6:$C$89-N8:N91)^2)</f>
        <v>6553876.6258844</v>
      </c>
      <c r="O5" s="13" t="n">
        <f aca="false">SUMPRODUCT((TS_Model!$C$6:$C$89-O8:O91)^2)</f>
        <v>6798264.96073382</v>
      </c>
      <c r="P5" s="13" t="n">
        <f aca="false">SUMPRODUCT((TS_Model!$C$6:$C$89-P8:P91)^2)</f>
        <v>7066374.25725661</v>
      </c>
      <c r="Q5" s="13" t="n">
        <f aca="false">SUMPRODUCT((TS_Model!$C$6:$C$89-Q8:Q91)^2)</f>
        <v>7357350.87934022</v>
      </c>
      <c r="R5" s="13" t="n">
        <f aca="false">SUMPRODUCT((TS_Model!$C$6:$C$89-R8:R91)^2)</f>
        <v>7670697.55830073</v>
      </c>
      <c r="S5" s="13" t="n">
        <f aca="false">SUMPRODUCT((TS_Model!$C$6:$C$89-S8:S91)^2)</f>
        <v>8006144.11073496</v>
      </c>
      <c r="T5" s="13" t="n">
        <f aca="false">SUMPRODUCT((TS_Model!$C$6:$C$89-T8:T91)^2)</f>
        <v>8363572.52437314</v>
      </c>
      <c r="U5" s="13" t="n">
        <f aca="false">SUMPRODUCT((TS_Model!$C$6:$C$89-U8:U91)^2)</f>
        <v>8742980.29645725</v>
      </c>
    </row>
    <row r="7" customFormat="false" ht="31.5" hidden="false" customHeight="true" outlineLevel="0" collapsed="false">
      <c r="A7" s="10" t="s">
        <v>24</v>
      </c>
      <c r="B7" s="10" t="s">
        <v>47</v>
      </c>
      <c r="C7" s="58" t="n">
        <f aca="false">C$4</f>
        <v>0.05</v>
      </c>
      <c r="D7" s="58" t="n">
        <f aca="false">D$4</f>
        <v>0.1</v>
      </c>
      <c r="E7" s="58" t="n">
        <f aca="false">E$4</f>
        <v>0.15</v>
      </c>
      <c r="F7" s="58" t="n">
        <f aca="false">F$4</f>
        <v>0.2</v>
      </c>
      <c r="G7" s="58" t="n">
        <f aca="false">G$4</f>
        <v>0.25</v>
      </c>
      <c r="H7" s="58" t="n">
        <f aca="false">H$4</f>
        <v>0.3</v>
      </c>
      <c r="I7" s="58" t="n">
        <f aca="false">I$4</f>
        <v>0.35</v>
      </c>
      <c r="J7" s="58" t="n">
        <f aca="false">J$4</f>
        <v>0.4</v>
      </c>
      <c r="K7" s="58" t="n">
        <f aca="false">K$4</f>
        <v>0.45</v>
      </c>
      <c r="L7" s="58" t="n">
        <f aca="false">L$4</f>
        <v>0.5</v>
      </c>
      <c r="M7" s="58" t="n">
        <f aca="false">M$4</f>
        <v>0.55</v>
      </c>
      <c r="N7" s="58" t="n">
        <f aca="false">N$4</f>
        <v>0.6</v>
      </c>
      <c r="O7" s="58" t="n">
        <f aca="false">O$4</f>
        <v>0.65</v>
      </c>
      <c r="P7" s="58" t="n">
        <f aca="false">P$4</f>
        <v>0.7</v>
      </c>
      <c r="Q7" s="58" t="n">
        <f aca="false">Q$4</f>
        <v>0.75</v>
      </c>
      <c r="R7" s="58" t="n">
        <f aca="false">R$4</f>
        <v>0.8</v>
      </c>
      <c r="S7" s="58" t="n">
        <f aca="false">S$4</f>
        <v>0.85</v>
      </c>
      <c r="T7" s="58" t="n">
        <f aca="false">T$4</f>
        <v>0.9</v>
      </c>
      <c r="U7" s="58" t="n">
        <f aca="false">U$4</f>
        <v>0.95</v>
      </c>
    </row>
    <row r="8" customFormat="false" ht="15" hidden="false" customHeight="false" outlineLevel="0" collapsed="false">
      <c r="A8" s="11" t="n">
        <f aca="false">Daily!A5</f>
        <v>43887</v>
      </c>
      <c r="B8" s="13" t="n">
        <f aca="false">Daily!C5</f>
        <v>3</v>
      </c>
      <c r="C8" s="13" t="n">
        <f aca="false">B8</f>
        <v>3</v>
      </c>
      <c r="D8" s="13" t="n">
        <f aca="false">B8</f>
        <v>3</v>
      </c>
      <c r="E8" s="13" t="n">
        <f aca="false">B8</f>
        <v>3</v>
      </c>
      <c r="F8" s="13" t="n">
        <f aca="false">B8</f>
        <v>3</v>
      </c>
      <c r="G8" s="13" t="n">
        <f aca="false">B8</f>
        <v>3</v>
      </c>
      <c r="H8" s="13" t="n">
        <f aca="false">B8</f>
        <v>3</v>
      </c>
      <c r="I8" s="13" t="n">
        <f aca="false">B8</f>
        <v>3</v>
      </c>
      <c r="J8" s="13" t="n">
        <f aca="false">B8</f>
        <v>3</v>
      </c>
      <c r="K8" s="13" t="n">
        <f aca="false">B8</f>
        <v>3</v>
      </c>
      <c r="L8" s="13" t="n">
        <f aca="false">B8</f>
        <v>3</v>
      </c>
      <c r="M8" s="13" t="n">
        <f aca="false">B8</f>
        <v>3</v>
      </c>
      <c r="N8" s="13" t="n">
        <f aca="false">B8</f>
        <v>3</v>
      </c>
      <c r="O8" s="13" t="n">
        <f aca="false">B8</f>
        <v>3</v>
      </c>
      <c r="P8" s="13" t="n">
        <f aca="false">B8</f>
        <v>3</v>
      </c>
      <c r="Q8" s="13" t="n">
        <f aca="false">B8</f>
        <v>3</v>
      </c>
      <c r="R8" s="13" t="n">
        <f aca="false">B8</f>
        <v>3</v>
      </c>
      <c r="S8" s="13" t="n">
        <f aca="false">B8</f>
        <v>3</v>
      </c>
      <c r="T8" s="13" t="n">
        <f aca="false">B8</f>
        <v>3</v>
      </c>
      <c r="U8" s="13" t="n">
        <f aca="false">B8</f>
        <v>3</v>
      </c>
    </row>
    <row r="9" customFormat="false" ht="15" hidden="false" customHeight="false" outlineLevel="0" collapsed="false">
      <c r="A9" s="11" t="n">
        <f aca="false">Daily!A6</f>
        <v>43888</v>
      </c>
      <c r="B9" s="13" t="n">
        <f aca="false">Daily!C6</f>
        <v>0</v>
      </c>
      <c r="C9" s="13" t="n">
        <f aca="false">C$4*$B9+(1-C$4)*C8</f>
        <v>2.85</v>
      </c>
      <c r="D9" s="13" t="n">
        <f aca="false">D$4*$B9+(1-D$4)*D8</f>
        <v>2.7</v>
      </c>
      <c r="E9" s="13" t="n">
        <f aca="false">E$4*$B9+(1-E$4)*E8</f>
        <v>2.55</v>
      </c>
      <c r="F9" s="13" t="n">
        <f aca="false">F$4*$B9+(1-F$4)*F8</f>
        <v>2.4</v>
      </c>
      <c r="G9" s="13" t="n">
        <f aca="false">G$4*$B9+(1-G$4)*G8</f>
        <v>2.25</v>
      </c>
      <c r="H9" s="13" t="n">
        <f aca="false">H$4*$B9+(1-H$4)*H8</f>
        <v>2.1</v>
      </c>
      <c r="I9" s="13" t="n">
        <f aca="false">I$4*$B9+(1-I$4)*I8</f>
        <v>1.95</v>
      </c>
      <c r="J9" s="13" t="n">
        <f aca="false">J$4*$B9+(1-J$4)*J8</f>
        <v>1.8</v>
      </c>
      <c r="K9" s="13" t="n">
        <f aca="false">K$4*$B9+(1-K$4)*K8</f>
        <v>1.65</v>
      </c>
      <c r="L9" s="13" t="n">
        <f aca="false">L$4*$B9+(1-L$4)*L8</f>
        <v>1.5</v>
      </c>
      <c r="M9" s="13" t="n">
        <f aca="false">M$4*$B9+(1-M$4)*M8</f>
        <v>1.35</v>
      </c>
      <c r="N9" s="13" t="n">
        <f aca="false">N$4*$B9+(1-N$4)*N8</f>
        <v>1.2</v>
      </c>
      <c r="O9" s="13" t="n">
        <f aca="false">O$4*$B9+(1-O$4)*O8</f>
        <v>1.05</v>
      </c>
      <c r="P9" s="13" t="n">
        <f aca="false">P$4*$B9+(1-P$4)*P8</f>
        <v>0.9</v>
      </c>
      <c r="Q9" s="13" t="n">
        <f aca="false">Q$4*$B9+(1-Q$4)*Q8</f>
        <v>0.75</v>
      </c>
      <c r="R9" s="13" t="n">
        <f aca="false">R$4*$B9+(1-R$4)*R8</f>
        <v>0.6</v>
      </c>
      <c r="S9" s="13" t="n">
        <f aca="false">S$4*$B9+(1-S$4)*S8</f>
        <v>0.45</v>
      </c>
      <c r="T9" s="13" t="n">
        <f aca="false">T$4*$B9+(1-T$4)*T8</f>
        <v>0.3</v>
      </c>
      <c r="U9" s="13" t="n">
        <f aca="false">U$4*$B9+(1-U$4)*U8</f>
        <v>0.15</v>
      </c>
    </row>
    <row r="10" customFormat="false" ht="15" hidden="false" customHeight="false" outlineLevel="0" collapsed="false">
      <c r="A10" s="11" t="n">
        <f aca="false">Daily!A7</f>
        <v>43889</v>
      </c>
      <c r="B10" s="13" t="n">
        <f aca="false">Daily!C7</f>
        <v>0</v>
      </c>
      <c r="C10" s="13" t="n">
        <f aca="false">C$4*$B10+(1-C$4)*C9</f>
        <v>2.7075</v>
      </c>
      <c r="D10" s="13" t="n">
        <f aca="false">D$4*$B10+(1-D$4)*D9</f>
        <v>2.43</v>
      </c>
      <c r="E10" s="13" t="n">
        <f aca="false">E$4*$B10+(1-E$4)*E9</f>
        <v>2.1675</v>
      </c>
      <c r="F10" s="13" t="n">
        <f aca="false">F$4*$B10+(1-F$4)*F9</f>
        <v>1.92</v>
      </c>
      <c r="G10" s="13" t="n">
        <f aca="false">G$4*$B10+(1-G$4)*G9</f>
        <v>1.6875</v>
      </c>
      <c r="H10" s="13" t="n">
        <f aca="false">H$4*$B10+(1-H$4)*H9</f>
        <v>1.47</v>
      </c>
      <c r="I10" s="13" t="n">
        <f aca="false">I$4*$B10+(1-I$4)*I9</f>
        <v>1.2675</v>
      </c>
      <c r="J10" s="13" t="n">
        <f aca="false">J$4*$B10+(1-J$4)*J9</f>
        <v>1.08</v>
      </c>
      <c r="K10" s="13" t="n">
        <f aca="false">K$4*$B10+(1-K$4)*K9</f>
        <v>0.9075</v>
      </c>
      <c r="L10" s="13" t="n">
        <f aca="false">L$4*$B10+(1-L$4)*L9</f>
        <v>0.75</v>
      </c>
      <c r="M10" s="13" t="n">
        <f aca="false">M$4*$B10+(1-M$4)*M9</f>
        <v>0.6075</v>
      </c>
      <c r="N10" s="13" t="n">
        <f aca="false">N$4*$B10+(1-N$4)*N9</f>
        <v>0.48</v>
      </c>
      <c r="O10" s="13" t="n">
        <f aca="false">O$4*$B10+(1-O$4)*O9</f>
        <v>0.3675</v>
      </c>
      <c r="P10" s="13" t="n">
        <f aca="false">P$4*$B10+(1-P$4)*P9</f>
        <v>0.27</v>
      </c>
      <c r="Q10" s="13" t="n">
        <f aca="false">Q$4*$B10+(1-Q$4)*Q9</f>
        <v>0.1875</v>
      </c>
      <c r="R10" s="13" t="n">
        <f aca="false">R$4*$B10+(1-R$4)*R9</f>
        <v>0.12</v>
      </c>
      <c r="S10" s="13" t="n">
        <f aca="false">S$4*$B10+(1-S$4)*S9</f>
        <v>0.0675</v>
      </c>
      <c r="T10" s="13" t="n">
        <f aca="false">T$4*$B10+(1-T$4)*T9</f>
        <v>0.03</v>
      </c>
      <c r="U10" s="13" t="n">
        <f aca="false">U$4*$B10+(1-U$4)*U9</f>
        <v>0.00750000000000001</v>
      </c>
    </row>
    <row r="11" customFormat="false" ht="15" hidden="false" customHeight="false" outlineLevel="0" collapsed="false">
      <c r="A11" s="11" t="n">
        <f aca="false">Daily!A8</f>
        <v>43890</v>
      </c>
      <c r="B11" s="13" t="n">
        <f aca="false">Daily!C8</f>
        <v>2</v>
      </c>
      <c r="C11" s="13" t="n">
        <f aca="false">C$4*$B11+(1-C$4)*C10</f>
        <v>2.672125</v>
      </c>
      <c r="D11" s="13" t="n">
        <f aca="false">D$4*$B11+(1-D$4)*D10</f>
        <v>2.387</v>
      </c>
      <c r="E11" s="13" t="n">
        <f aca="false">E$4*$B11+(1-E$4)*E10</f>
        <v>2.142375</v>
      </c>
      <c r="F11" s="13" t="n">
        <f aca="false">F$4*$B11+(1-F$4)*F10</f>
        <v>1.936</v>
      </c>
      <c r="G11" s="13" t="n">
        <f aca="false">G$4*$B11+(1-G$4)*G10</f>
        <v>1.765625</v>
      </c>
      <c r="H11" s="13" t="n">
        <f aca="false">H$4*$B11+(1-H$4)*H10</f>
        <v>1.629</v>
      </c>
      <c r="I11" s="13" t="n">
        <f aca="false">I$4*$B11+(1-I$4)*I10</f>
        <v>1.523875</v>
      </c>
      <c r="J11" s="13" t="n">
        <f aca="false">J$4*$B11+(1-J$4)*J10</f>
        <v>1.448</v>
      </c>
      <c r="K11" s="13" t="n">
        <f aca="false">K$4*$B11+(1-K$4)*K10</f>
        <v>1.399125</v>
      </c>
      <c r="L11" s="13" t="n">
        <f aca="false">L$4*$B11+(1-L$4)*L10</f>
        <v>1.375</v>
      </c>
      <c r="M11" s="13" t="n">
        <f aca="false">M$4*$B11+(1-M$4)*M10</f>
        <v>1.373375</v>
      </c>
      <c r="N11" s="13" t="n">
        <f aca="false">N$4*$B11+(1-N$4)*N10</f>
        <v>1.392</v>
      </c>
      <c r="O11" s="13" t="n">
        <f aca="false">O$4*$B11+(1-O$4)*O10</f>
        <v>1.428625</v>
      </c>
      <c r="P11" s="13" t="n">
        <f aca="false">P$4*$B11+(1-P$4)*P10</f>
        <v>1.481</v>
      </c>
      <c r="Q11" s="13" t="n">
        <f aca="false">Q$4*$B11+(1-Q$4)*Q10</f>
        <v>1.546875</v>
      </c>
      <c r="R11" s="13" t="n">
        <f aca="false">R$4*$B11+(1-R$4)*R10</f>
        <v>1.624</v>
      </c>
      <c r="S11" s="13" t="n">
        <f aca="false">S$4*$B11+(1-S$4)*S10</f>
        <v>1.710125</v>
      </c>
      <c r="T11" s="13" t="n">
        <f aca="false">T$4*$B11+(1-T$4)*T10</f>
        <v>1.803</v>
      </c>
      <c r="U11" s="13" t="n">
        <f aca="false">U$4*$B11+(1-U$4)*U10</f>
        <v>1.900375</v>
      </c>
    </row>
    <row r="12" customFormat="false" ht="15" hidden="false" customHeight="false" outlineLevel="0" collapsed="false">
      <c r="A12" s="11" t="n">
        <f aca="false">Daily!A9</f>
        <v>43891</v>
      </c>
      <c r="B12" s="13" t="n">
        <f aca="false">Daily!C9</f>
        <v>0</v>
      </c>
      <c r="C12" s="13" t="n">
        <f aca="false">C$4*$B12+(1-C$4)*C11</f>
        <v>2.53851875</v>
      </c>
      <c r="D12" s="13" t="n">
        <f aca="false">D$4*$B12+(1-D$4)*D11</f>
        <v>2.1483</v>
      </c>
      <c r="E12" s="13" t="n">
        <f aca="false">E$4*$B12+(1-E$4)*E11</f>
        <v>1.82101875</v>
      </c>
      <c r="F12" s="13" t="n">
        <f aca="false">F$4*$B12+(1-F$4)*F11</f>
        <v>1.5488</v>
      </c>
      <c r="G12" s="13" t="n">
        <f aca="false">G$4*$B12+(1-G$4)*G11</f>
        <v>1.32421875</v>
      </c>
      <c r="H12" s="13" t="n">
        <f aca="false">H$4*$B12+(1-H$4)*H11</f>
        <v>1.1403</v>
      </c>
      <c r="I12" s="13" t="n">
        <f aca="false">I$4*$B12+(1-I$4)*I11</f>
        <v>0.99051875</v>
      </c>
      <c r="J12" s="13" t="n">
        <f aca="false">J$4*$B12+(1-J$4)*J11</f>
        <v>0.8688</v>
      </c>
      <c r="K12" s="13" t="n">
        <f aca="false">K$4*$B12+(1-K$4)*K11</f>
        <v>0.76951875</v>
      </c>
      <c r="L12" s="13" t="n">
        <f aca="false">L$4*$B12+(1-L$4)*L11</f>
        <v>0.6875</v>
      </c>
      <c r="M12" s="13" t="n">
        <f aca="false">M$4*$B12+(1-M$4)*M11</f>
        <v>0.61801875</v>
      </c>
      <c r="N12" s="13" t="n">
        <f aca="false">N$4*$B12+(1-N$4)*N11</f>
        <v>0.5568</v>
      </c>
      <c r="O12" s="13" t="n">
        <f aca="false">O$4*$B12+(1-O$4)*O11</f>
        <v>0.50001875</v>
      </c>
      <c r="P12" s="13" t="n">
        <f aca="false">P$4*$B12+(1-P$4)*P11</f>
        <v>0.4443</v>
      </c>
      <c r="Q12" s="13" t="n">
        <f aca="false">Q$4*$B12+(1-Q$4)*Q11</f>
        <v>0.38671875</v>
      </c>
      <c r="R12" s="13" t="n">
        <f aca="false">R$4*$B12+(1-R$4)*R11</f>
        <v>0.3248</v>
      </c>
      <c r="S12" s="13" t="n">
        <f aca="false">S$4*$B12+(1-S$4)*S11</f>
        <v>0.25651875</v>
      </c>
      <c r="T12" s="13" t="n">
        <f aca="false">T$4*$B12+(1-T$4)*T11</f>
        <v>0.1803</v>
      </c>
      <c r="U12" s="13" t="n">
        <f aca="false">U$4*$B12+(1-U$4)*U11</f>
        <v>0.0950187500000001</v>
      </c>
    </row>
    <row r="13" customFormat="false" ht="15" hidden="false" customHeight="false" outlineLevel="0" collapsed="false">
      <c r="A13" s="11" t="n">
        <f aca="false">Daily!A10</f>
        <v>43892</v>
      </c>
      <c r="B13" s="13" t="n">
        <f aca="false">Daily!C10</f>
        <v>1</v>
      </c>
      <c r="C13" s="13" t="n">
        <f aca="false">C$4*$B13+(1-C$4)*C12</f>
        <v>2.4615928125</v>
      </c>
      <c r="D13" s="13" t="n">
        <f aca="false">D$4*$B13+(1-D$4)*D12</f>
        <v>2.03347</v>
      </c>
      <c r="E13" s="13" t="n">
        <f aca="false">E$4*$B13+(1-E$4)*E12</f>
        <v>1.6978659375</v>
      </c>
      <c r="F13" s="13" t="n">
        <f aca="false">F$4*$B13+(1-F$4)*F12</f>
        <v>1.43904</v>
      </c>
      <c r="G13" s="13" t="n">
        <f aca="false">G$4*$B13+(1-G$4)*G12</f>
        <v>1.2431640625</v>
      </c>
      <c r="H13" s="13" t="n">
        <f aca="false">H$4*$B13+(1-H$4)*H12</f>
        <v>1.09821</v>
      </c>
      <c r="I13" s="13" t="n">
        <f aca="false">I$4*$B13+(1-I$4)*I12</f>
        <v>0.9938371875</v>
      </c>
      <c r="J13" s="13" t="n">
        <f aca="false">J$4*$B13+(1-J$4)*J12</f>
        <v>0.92128</v>
      </c>
      <c r="K13" s="13" t="n">
        <f aca="false">K$4*$B13+(1-K$4)*K12</f>
        <v>0.8732353125</v>
      </c>
      <c r="L13" s="13" t="n">
        <f aca="false">L$4*$B13+(1-L$4)*L12</f>
        <v>0.84375</v>
      </c>
      <c r="M13" s="13" t="n">
        <f aca="false">M$4*$B13+(1-M$4)*M12</f>
        <v>0.8281084375</v>
      </c>
      <c r="N13" s="13" t="n">
        <f aca="false">N$4*$B13+(1-N$4)*N12</f>
        <v>0.82272</v>
      </c>
      <c r="O13" s="13" t="n">
        <f aca="false">O$4*$B13+(1-O$4)*O12</f>
        <v>0.8250065625</v>
      </c>
      <c r="P13" s="13" t="n">
        <f aca="false">P$4*$B13+(1-P$4)*P12</f>
        <v>0.83329</v>
      </c>
      <c r="Q13" s="13" t="n">
        <f aca="false">Q$4*$B13+(1-Q$4)*Q12</f>
        <v>0.8466796875</v>
      </c>
      <c r="R13" s="13" t="n">
        <f aca="false">R$4*$B13+(1-R$4)*R12</f>
        <v>0.86496</v>
      </c>
      <c r="S13" s="13" t="n">
        <f aca="false">S$4*$B13+(1-S$4)*S12</f>
        <v>0.8884778125</v>
      </c>
      <c r="T13" s="13" t="n">
        <f aca="false">T$4*$B13+(1-T$4)*T12</f>
        <v>0.91803</v>
      </c>
      <c r="U13" s="13" t="n">
        <f aca="false">U$4*$B13+(1-U$4)*U12</f>
        <v>0.9547509375</v>
      </c>
    </row>
    <row r="14" customFormat="false" ht="15" hidden="false" customHeight="false" outlineLevel="0" collapsed="false">
      <c r="A14" s="11" t="n">
        <f aca="false">Daily!A11</f>
        <v>43893</v>
      </c>
      <c r="B14" s="13" t="n">
        <f aca="false">Daily!C11</f>
        <v>0</v>
      </c>
      <c r="C14" s="13" t="n">
        <f aca="false">C$4*$B14+(1-C$4)*C13</f>
        <v>2.338513171875</v>
      </c>
      <c r="D14" s="13" t="n">
        <f aca="false">D$4*$B14+(1-D$4)*D13</f>
        <v>1.830123</v>
      </c>
      <c r="E14" s="13" t="n">
        <f aca="false">E$4*$B14+(1-E$4)*E13</f>
        <v>1.443186046875</v>
      </c>
      <c r="F14" s="13" t="n">
        <f aca="false">F$4*$B14+(1-F$4)*F13</f>
        <v>1.151232</v>
      </c>
      <c r="G14" s="13" t="n">
        <f aca="false">G$4*$B14+(1-G$4)*G13</f>
        <v>0.932373046875</v>
      </c>
      <c r="H14" s="13" t="n">
        <f aca="false">H$4*$B14+(1-H$4)*H13</f>
        <v>0.768747</v>
      </c>
      <c r="I14" s="13" t="n">
        <f aca="false">I$4*$B14+(1-I$4)*I13</f>
        <v>0.645994171875</v>
      </c>
      <c r="J14" s="13" t="n">
        <f aca="false">J$4*$B14+(1-J$4)*J13</f>
        <v>0.552768</v>
      </c>
      <c r="K14" s="13" t="n">
        <f aca="false">K$4*$B14+(1-K$4)*K13</f>
        <v>0.480279421875</v>
      </c>
      <c r="L14" s="13" t="n">
        <f aca="false">L$4*$B14+(1-L$4)*L13</f>
        <v>0.421875</v>
      </c>
      <c r="M14" s="13" t="n">
        <f aca="false">M$4*$B14+(1-M$4)*M13</f>
        <v>0.372648796875</v>
      </c>
      <c r="N14" s="13" t="n">
        <f aca="false">N$4*$B14+(1-N$4)*N13</f>
        <v>0.329088</v>
      </c>
      <c r="O14" s="13" t="n">
        <f aca="false">O$4*$B14+(1-O$4)*O13</f>
        <v>0.288752296875</v>
      </c>
      <c r="P14" s="13" t="n">
        <f aca="false">P$4*$B14+(1-P$4)*P13</f>
        <v>0.249987</v>
      </c>
      <c r="Q14" s="13" t="n">
        <f aca="false">Q$4*$B14+(1-Q$4)*Q13</f>
        <v>0.211669921875</v>
      </c>
      <c r="R14" s="13" t="n">
        <f aca="false">R$4*$B14+(1-R$4)*R13</f>
        <v>0.172992</v>
      </c>
      <c r="S14" s="13" t="n">
        <f aca="false">S$4*$B14+(1-S$4)*S13</f>
        <v>0.133271671875</v>
      </c>
      <c r="T14" s="13" t="n">
        <f aca="false">T$4*$B14+(1-T$4)*T13</f>
        <v>0.091803</v>
      </c>
      <c r="U14" s="13" t="n">
        <f aca="false">U$4*$B14+(1-U$4)*U13</f>
        <v>0.047737546875</v>
      </c>
    </row>
    <row r="15" customFormat="false" ht="15" hidden="false" customHeight="false" outlineLevel="0" collapsed="false">
      <c r="A15" s="11" t="n">
        <f aca="false">Daily!A12</f>
        <v>43894</v>
      </c>
      <c r="B15" s="13" t="n">
        <f aca="false">Daily!C12</f>
        <v>0</v>
      </c>
      <c r="C15" s="13" t="n">
        <f aca="false">C$4*$B15+(1-C$4)*C14</f>
        <v>2.22158751328125</v>
      </c>
      <c r="D15" s="13" t="n">
        <f aca="false">D$4*$B15+(1-D$4)*D14</f>
        <v>1.6471107</v>
      </c>
      <c r="E15" s="13" t="n">
        <f aca="false">E$4*$B15+(1-E$4)*E14</f>
        <v>1.22670813984375</v>
      </c>
      <c r="F15" s="13" t="n">
        <f aca="false">F$4*$B15+(1-F$4)*F14</f>
        <v>0.9209856</v>
      </c>
      <c r="G15" s="13" t="n">
        <f aca="false">G$4*$B15+(1-G$4)*G14</f>
        <v>0.69927978515625</v>
      </c>
      <c r="H15" s="13" t="n">
        <f aca="false">H$4*$B15+(1-H$4)*H14</f>
        <v>0.5381229</v>
      </c>
      <c r="I15" s="13" t="n">
        <f aca="false">I$4*$B15+(1-I$4)*I14</f>
        <v>0.41989621171875</v>
      </c>
      <c r="J15" s="13" t="n">
        <f aca="false">J$4*$B15+(1-J$4)*J14</f>
        <v>0.3316608</v>
      </c>
      <c r="K15" s="13" t="n">
        <f aca="false">K$4*$B15+(1-K$4)*K14</f>
        <v>0.26415368203125</v>
      </c>
      <c r="L15" s="13" t="n">
        <f aca="false">L$4*$B15+(1-L$4)*L14</f>
        <v>0.2109375</v>
      </c>
      <c r="M15" s="13" t="n">
        <f aca="false">M$4*$B15+(1-M$4)*M14</f>
        <v>0.16769195859375</v>
      </c>
      <c r="N15" s="13" t="n">
        <f aca="false">N$4*$B15+(1-N$4)*N14</f>
        <v>0.1316352</v>
      </c>
      <c r="O15" s="13" t="n">
        <f aca="false">O$4*$B15+(1-O$4)*O14</f>
        <v>0.10106330390625</v>
      </c>
      <c r="P15" s="13" t="n">
        <f aca="false">P$4*$B15+(1-P$4)*P14</f>
        <v>0.0749961</v>
      </c>
      <c r="Q15" s="13" t="n">
        <f aca="false">Q$4*$B15+(1-Q$4)*Q14</f>
        <v>0.05291748046875</v>
      </c>
      <c r="R15" s="13" t="n">
        <f aca="false">R$4*$B15+(1-R$4)*R14</f>
        <v>0.0345984</v>
      </c>
      <c r="S15" s="13" t="n">
        <f aca="false">S$4*$B15+(1-S$4)*S14</f>
        <v>0.01999075078125</v>
      </c>
      <c r="T15" s="13" t="n">
        <f aca="false">T$4*$B15+(1-T$4)*T14</f>
        <v>0.0091803</v>
      </c>
      <c r="U15" s="13" t="n">
        <f aca="false">U$4*$B15+(1-U$4)*U14</f>
        <v>0.00238687734375</v>
      </c>
    </row>
    <row r="16" customFormat="false" ht="15" hidden="false" customHeight="false" outlineLevel="0" collapsed="false">
      <c r="A16" s="11" t="n">
        <f aca="false">Daily!A13</f>
        <v>43895</v>
      </c>
      <c r="B16" s="13" t="n">
        <f aca="false">Daily!C13</f>
        <v>0</v>
      </c>
      <c r="C16" s="13" t="n">
        <f aca="false">C$4*$B16+(1-C$4)*C15</f>
        <v>2.11050813761719</v>
      </c>
      <c r="D16" s="13" t="n">
        <f aca="false">D$4*$B16+(1-D$4)*D15</f>
        <v>1.48239963</v>
      </c>
      <c r="E16" s="13" t="n">
        <f aca="false">E$4*$B16+(1-E$4)*E15</f>
        <v>1.04270191886719</v>
      </c>
      <c r="F16" s="13" t="n">
        <f aca="false">F$4*$B16+(1-F$4)*F15</f>
        <v>0.73678848</v>
      </c>
      <c r="G16" s="13" t="n">
        <f aca="false">G$4*$B16+(1-G$4)*G15</f>
        <v>0.524459838867188</v>
      </c>
      <c r="H16" s="13" t="n">
        <f aca="false">H$4*$B16+(1-H$4)*H15</f>
        <v>0.37668603</v>
      </c>
      <c r="I16" s="13" t="n">
        <f aca="false">I$4*$B16+(1-I$4)*I15</f>
        <v>0.272932537617188</v>
      </c>
      <c r="J16" s="13" t="n">
        <f aca="false">J$4*$B16+(1-J$4)*J15</f>
        <v>0.19899648</v>
      </c>
      <c r="K16" s="13" t="n">
        <f aca="false">K$4*$B16+(1-K$4)*K15</f>
        <v>0.145284525117188</v>
      </c>
      <c r="L16" s="13" t="n">
        <f aca="false">L$4*$B16+(1-L$4)*L15</f>
        <v>0.10546875</v>
      </c>
      <c r="M16" s="13" t="n">
        <f aca="false">M$4*$B16+(1-M$4)*M15</f>
        <v>0.0754613813671875</v>
      </c>
      <c r="N16" s="13" t="n">
        <f aca="false">N$4*$B16+(1-N$4)*N15</f>
        <v>0.05265408</v>
      </c>
      <c r="O16" s="13" t="n">
        <f aca="false">O$4*$B16+(1-O$4)*O15</f>
        <v>0.0353721563671875</v>
      </c>
      <c r="P16" s="13" t="n">
        <f aca="false">P$4*$B16+(1-P$4)*P15</f>
        <v>0.02249883</v>
      </c>
      <c r="Q16" s="13" t="n">
        <f aca="false">Q$4*$B16+(1-Q$4)*Q15</f>
        <v>0.0132293701171875</v>
      </c>
      <c r="R16" s="13" t="n">
        <f aca="false">R$4*$B16+(1-R$4)*R15</f>
        <v>0.00691968</v>
      </c>
      <c r="S16" s="13" t="n">
        <f aca="false">S$4*$B16+(1-S$4)*S15</f>
        <v>0.0029986126171875</v>
      </c>
      <c r="T16" s="13" t="n">
        <f aca="false">T$4*$B16+(1-T$4)*T15</f>
        <v>0.000918029999999999</v>
      </c>
      <c r="U16" s="13" t="n">
        <f aca="false">U$4*$B16+(1-U$4)*U15</f>
        <v>0.0001193438671875</v>
      </c>
    </row>
    <row r="17" customFormat="false" ht="15" hidden="false" customHeight="false" outlineLevel="0" collapsed="false">
      <c r="A17" s="11" t="n">
        <f aca="false">Daily!A14</f>
        <v>43896</v>
      </c>
      <c r="B17" s="13" t="n">
        <f aca="false">Daily!C14</f>
        <v>0</v>
      </c>
      <c r="C17" s="13" t="n">
        <f aca="false">C$4*$B17+(1-C$4)*C16</f>
        <v>2.00498273073633</v>
      </c>
      <c r="D17" s="13" t="n">
        <f aca="false">D$4*$B17+(1-D$4)*D16</f>
        <v>1.334159667</v>
      </c>
      <c r="E17" s="13" t="n">
        <f aca="false">E$4*$B17+(1-E$4)*E16</f>
        <v>0.886296631037109</v>
      </c>
      <c r="F17" s="13" t="n">
        <f aca="false">F$4*$B17+(1-F$4)*F16</f>
        <v>0.589430784</v>
      </c>
      <c r="G17" s="13" t="n">
        <f aca="false">G$4*$B17+(1-G$4)*G16</f>
        <v>0.393344879150391</v>
      </c>
      <c r="H17" s="13" t="n">
        <f aca="false">H$4*$B17+(1-H$4)*H16</f>
        <v>0.263680221</v>
      </c>
      <c r="I17" s="13" t="n">
        <f aca="false">I$4*$B17+(1-I$4)*I16</f>
        <v>0.177406149451172</v>
      </c>
      <c r="J17" s="13" t="n">
        <f aca="false">J$4*$B17+(1-J$4)*J16</f>
        <v>0.119397888</v>
      </c>
      <c r="K17" s="13" t="n">
        <f aca="false">K$4*$B17+(1-K$4)*K16</f>
        <v>0.0799064888144532</v>
      </c>
      <c r="L17" s="13" t="n">
        <f aca="false">L$4*$B17+(1-L$4)*L16</f>
        <v>0.052734375</v>
      </c>
      <c r="M17" s="13" t="n">
        <f aca="false">M$4*$B17+(1-M$4)*M16</f>
        <v>0.0339576216152344</v>
      </c>
      <c r="N17" s="13" t="n">
        <f aca="false">N$4*$B17+(1-N$4)*N16</f>
        <v>0.021061632</v>
      </c>
      <c r="O17" s="13" t="n">
        <f aca="false">O$4*$B17+(1-O$4)*O16</f>
        <v>0.0123802547285156</v>
      </c>
      <c r="P17" s="13" t="n">
        <f aca="false">P$4*$B17+(1-P$4)*P16</f>
        <v>0.006749649</v>
      </c>
      <c r="Q17" s="13" t="n">
        <f aca="false">Q$4*$B17+(1-Q$4)*Q16</f>
        <v>0.00330734252929688</v>
      </c>
      <c r="R17" s="13" t="n">
        <f aca="false">R$4*$B17+(1-R$4)*R16</f>
        <v>0.001383936</v>
      </c>
      <c r="S17" s="13" t="n">
        <f aca="false">S$4*$B17+(1-S$4)*S16</f>
        <v>0.000449791892578125</v>
      </c>
      <c r="T17" s="13" t="n">
        <f aca="false">T$4*$B17+(1-T$4)*T16</f>
        <v>9.18029999999999E-005</v>
      </c>
      <c r="U17" s="13" t="n">
        <f aca="false">U$4*$B17+(1-U$4)*U16</f>
        <v>5.96719335937502E-006</v>
      </c>
    </row>
    <row r="18" customFormat="false" ht="15" hidden="false" customHeight="false" outlineLevel="0" collapsed="false">
      <c r="A18" s="11" t="n">
        <f aca="false">Daily!A15</f>
        <v>43897</v>
      </c>
      <c r="B18" s="13" t="n">
        <f aca="false">Daily!C15</f>
        <v>1</v>
      </c>
      <c r="C18" s="13" t="n">
        <f aca="false">C$4*$B18+(1-C$4)*C17</f>
        <v>1.95473359419951</v>
      </c>
      <c r="D18" s="13" t="n">
        <f aca="false">D$4*$B18+(1-D$4)*D17</f>
        <v>1.3007437003</v>
      </c>
      <c r="E18" s="13" t="n">
        <f aca="false">E$4*$B18+(1-E$4)*E17</f>
        <v>0.903352136381543</v>
      </c>
      <c r="F18" s="13" t="n">
        <f aca="false">F$4*$B18+(1-F$4)*F17</f>
        <v>0.6715446272</v>
      </c>
      <c r="G18" s="13" t="n">
        <f aca="false">G$4*$B18+(1-G$4)*G17</f>
        <v>0.545008659362793</v>
      </c>
      <c r="H18" s="13" t="n">
        <f aca="false">H$4*$B18+(1-H$4)*H17</f>
        <v>0.4845761547</v>
      </c>
      <c r="I18" s="13" t="n">
        <f aca="false">I$4*$B18+(1-I$4)*I17</f>
        <v>0.465313997143262</v>
      </c>
      <c r="J18" s="13" t="n">
        <f aca="false">J$4*$B18+(1-J$4)*J17</f>
        <v>0.4716387328</v>
      </c>
      <c r="K18" s="13" t="n">
        <f aca="false">K$4*$B18+(1-K$4)*K17</f>
        <v>0.493948568847949</v>
      </c>
      <c r="L18" s="13" t="n">
        <f aca="false">L$4*$B18+(1-L$4)*L17</f>
        <v>0.5263671875</v>
      </c>
      <c r="M18" s="13" t="n">
        <f aca="false">M$4*$B18+(1-M$4)*M17</f>
        <v>0.565280929726856</v>
      </c>
      <c r="N18" s="13" t="n">
        <f aca="false">N$4*$B18+(1-N$4)*N17</f>
        <v>0.6084246528</v>
      </c>
      <c r="O18" s="13" t="n">
        <f aca="false">O$4*$B18+(1-O$4)*O17</f>
        <v>0.654333089154981</v>
      </c>
      <c r="P18" s="13" t="n">
        <f aca="false">P$4*$B18+(1-P$4)*P17</f>
        <v>0.7020248947</v>
      </c>
      <c r="Q18" s="13" t="n">
        <f aca="false">Q$4*$B18+(1-Q$4)*Q17</f>
        <v>0.750826835632324</v>
      </c>
      <c r="R18" s="13" t="n">
        <f aca="false">R$4*$B18+(1-R$4)*R17</f>
        <v>0.8002767872</v>
      </c>
      <c r="S18" s="13" t="n">
        <f aca="false">S$4*$B18+(1-S$4)*S17</f>
        <v>0.850067468783887</v>
      </c>
      <c r="T18" s="13" t="n">
        <f aca="false">T$4*$B18+(1-T$4)*T17</f>
        <v>0.9000091803</v>
      </c>
      <c r="U18" s="13" t="n">
        <f aca="false">U$4*$B18+(1-U$4)*U17</f>
        <v>0.950000298359668</v>
      </c>
    </row>
    <row r="19" customFormat="false" ht="15" hidden="false" customHeight="false" outlineLevel="0" collapsed="false">
      <c r="A19" s="11" t="n">
        <f aca="false">Daily!A16</f>
        <v>43898</v>
      </c>
      <c r="B19" s="13" t="n">
        <f aca="false">Daily!C16</f>
        <v>0</v>
      </c>
      <c r="C19" s="13" t="n">
        <f aca="false">C$4*$B19+(1-C$4)*C18</f>
        <v>1.85699691448953</v>
      </c>
      <c r="D19" s="13" t="n">
        <f aca="false">D$4*$B19+(1-D$4)*D18</f>
        <v>1.17066933027</v>
      </c>
      <c r="E19" s="13" t="n">
        <f aca="false">E$4*$B19+(1-E$4)*E18</f>
        <v>0.767849315924311</v>
      </c>
      <c r="F19" s="13" t="n">
        <f aca="false">F$4*$B19+(1-F$4)*F18</f>
        <v>0.53723570176</v>
      </c>
      <c r="G19" s="13" t="n">
        <f aca="false">G$4*$B19+(1-G$4)*G18</f>
        <v>0.408756494522095</v>
      </c>
      <c r="H19" s="13" t="n">
        <f aca="false">H$4*$B19+(1-H$4)*H18</f>
        <v>0.33920330829</v>
      </c>
      <c r="I19" s="13" t="n">
        <f aca="false">I$4*$B19+(1-I$4)*I18</f>
        <v>0.30245409814312</v>
      </c>
      <c r="J19" s="13" t="n">
        <f aca="false">J$4*$B19+(1-J$4)*J18</f>
        <v>0.28298323968</v>
      </c>
      <c r="K19" s="13" t="n">
        <f aca="false">K$4*$B19+(1-K$4)*K18</f>
        <v>0.271671712866372</v>
      </c>
      <c r="L19" s="13" t="n">
        <f aca="false">L$4*$B19+(1-L$4)*L18</f>
        <v>0.26318359375</v>
      </c>
      <c r="M19" s="13" t="n">
        <f aca="false">M$4*$B19+(1-M$4)*M18</f>
        <v>0.254376418377085</v>
      </c>
      <c r="N19" s="13" t="n">
        <f aca="false">N$4*$B19+(1-N$4)*N18</f>
        <v>0.24336986112</v>
      </c>
      <c r="O19" s="13" t="n">
        <f aca="false">O$4*$B19+(1-O$4)*O18</f>
        <v>0.229016581204243</v>
      </c>
      <c r="P19" s="13" t="n">
        <f aca="false">P$4*$B19+(1-P$4)*P18</f>
        <v>0.21060746841</v>
      </c>
      <c r="Q19" s="13" t="n">
        <f aca="false">Q$4*$B19+(1-Q$4)*Q18</f>
        <v>0.187706708908081</v>
      </c>
      <c r="R19" s="13" t="n">
        <f aca="false">R$4*$B19+(1-R$4)*R18</f>
        <v>0.16005535744</v>
      </c>
      <c r="S19" s="13" t="n">
        <f aca="false">S$4*$B19+(1-S$4)*S18</f>
        <v>0.127510120317583</v>
      </c>
      <c r="T19" s="13" t="n">
        <f aca="false">T$4*$B19+(1-T$4)*T18</f>
        <v>0.09000091803</v>
      </c>
      <c r="U19" s="13" t="n">
        <f aca="false">U$4*$B19+(1-U$4)*U18</f>
        <v>0.0475000149179834</v>
      </c>
    </row>
    <row r="20" customFormat="false" ht="15" hidden="false" customHeight="false" outlineLevel="0" collapsed="false">
      <c r="A20" s="11" t="n">
        <f aca="false">Daily!A17</f>
        <v>43899</v>
      </c>
      <c r="B20" s="13" t="n">
        <f aca="false">Daily!C17</f>
        <v>9</v>
      </c>
      <c r="C20" s="13" t="n">
        <f aca="false">C$4*$B20+(1-C$4)*C19</f>
        <v>2.21414706876506</v>
      </c>
      <c r="D20" s="13" t="n">
        <f aca="false">D$4*$B20+(1-D$4)*D19</f>
        <v>1.953602397243</v>
      </c>
      <c r="E20" s="13" t="n">
        <f aca="false">E$4*$B20+(1-E$4)*E19</f>
        <v>2.00267191853566</v>
      </c>
      <c r="F20" s="13" t="n">
        <f aca="false">F$4*$B20+(1-F$4)*F19</f>
        <v>2.229788561408</v>
      </c>
      <c r="G20" s="13" t="n">
        <f aca="false">G$4*$B20+(1-G$4)*G19</f>
        <v>2.55656737089157</v>
      </c>
      <c r="H20" s="13" t="n">
        <f aca="false">H$4*$B20+(1-H$4)*H19</f>
        <v>2.937442315803</v>
      </c>
      <c r="I20" s="13" t="n">
        <f aca="false">I$4*$B20+(1-I$4)*I19</f>
        <v>3.34659516379303</v>
      </c>
      <c r="J20" s="13" t="n">
        <f aca="false">J$4*$B20+(1-J$4)*J19</f>
        <v>3.769789943808</v>
      </c>
      <c r="K20" s="13" t="n">
        <f aca="false">K$4*$B20+(1-K$4)*K19</f>
        <v>4.1994194420765</v>
      </c>
      <c r="L20" s="13" t="n">
        <f aca="false">L$4*$B20+(1-L$4)*L19</f>
        <v>4.631591796875</v>
      </c>
      <c r="M20" s="13" t="n">
        <f aca="false">M$4*$B20+(1-M$4)*M19</f>
        <v>5.06446938826969</v>
      </c>
      <c r="N20" s="13" t="n">
        <f aca="false">N$4*$B20+(1-N$4)*N19</f>
        <v>5.497347944448</v>
      </c>
      <c r="O20" s="13" t="n">
        <f aca="false">O$4*$B20+(1-O$4)*O19</f>
        <v>5.93015580342149</v>
      </c>
      <c r="P20" s="13" t="n">
        <f aca="false">P$4*$B20+(1-P$4)*P19</f>
        <v>6.363182240523</v>
      </c>
      <c r="Q20" s="13" t="n">
        <f aca="false">Q$4*$B20+(1-Q$4)*Q19</f>
        <v>6.79692667722702</v>
      </c>
      <c r="R20" s="13" t="n">
        <f aca="false">R$4*$B20+(1-R$4)*R19</f>
        <v>7.232011071488</v>
      </c>
      <c r="S20" s="13" t="n">
        <f aca="false">S$4*$B20+(1-S$4)*S19</f>
        <v>7.66912651804764</v>
      </c>
      <c r="T20" s="13" t="n">
        <f aca="false">T$4*$B20+(1-T$4)*T19</f>
        <v>8.109000091803</v>
      </c>
      <c r="U20" s="13" t="n">
        <f aca="false">U$4*$B20+(1-U$4)*U19</f>
        <v>8.5523750007459</v>
      </c>
    </row>
    <row r="21" customFormat="false" ht="15" hidden="false" customHeight="false" outlineLevel="0" collapsed="false">
      <c r="A21" s="11" t="n">
        <f aca="false">Daily!A18</f>
        <v>43900</v>
      </c>
      <c r="B21" s="13" t="n">
        <f aca="false">Daily!C18</f>
        <v>3</v>
      </c>
      <c r="C21" s="13" t="n">
        <f aca="false">C$4*$B21+(1-C$4)*C20</f>
        <v>2.25343971532681</v>
      </c>
      <c r="D21" s="13" t="n">
        <f aca="false">D$4*$B21+(1-D$4)*D20</f>
        <v>2.0582421575187</v>
      </c>
      <c r="E21" s="13" t="n">
        <f aca="false">E$4*$B21+(1-E$4)*E20</f>
        <v>2.15227113075532</v>
      </c>
      <c r="F21" s="13" t="n">
        <f aca="false">F$4*$B21+(1-F$4)*F20</f>
        <v>2.3838308491264</v>
      </c>
      <c r="G21" s="13" t="n">
        <f aca="false">G$4*$B21+(1-G$4)*G20</f>
        <v>2.66742552816868</v>
      </c>
      <c r="H21" s="13" t="n">
        <f aca="false">H$4*$B21+(1-H$4)*H20</f>
        <v>2.9562096210621</v>
      </c>
      <c r="I21" s="13" t="n">
        <f aca="false">I$4*$B21+(1-I$4)*I20</f>
        <v>3.22528685646547</v>
      </c>
      <c r="J21" s="13" t="n">
        <f aca="false">J$4*$B21+(1-J$4)*J20</f>
        <v>3.4618739662848</v>
      </c>
      <c r="K21" s="13" t="n">
        <f aca="false">K$4*$B21+(1-K$4)*K20</f>
        <v>3.65968069314208</v>
      </c>
      <c r="L21" s="13" t="n">
        <f aca="false">L$4*$B21+(1-L$4)*L20</f>
        <v>3.8157958984375</v>
      </c>
      <c r="M21" s="13" t="n">
        <f aca="false">M$4*$B21+(1-M$4)*M20</f>
        <v>3.92901122472136</v>
      </c>
      <c r="N21" s="13" t="n">
        <f aca="false">N$4*$B21+(1-N$4)*N20</f>
        <v>3.9989391777792</v>
      </c>
      <c r="O21" s="13" t="n">
        <f aca="false">O$4*$B21+(1-O$4)*O20</f>
        <v>4.02555453119752</v>
      </c>
      <c r="P21" s="13" t="n">
        <f aca="false">P$4*$B21+(1-P$4)*P20</f>
        <v>4.0089546721569</v>
      </c>
      <c r="Q21" s="13" t="n">
        <f aca="false">Q$4*$B21+(1-Q$4)*Q20</f>
        <v>3.94923166930676</v>
      </c>
      <c r="R21" s="13" t="n">
        <f aca="false">R$4*$B21+(1-R$4)*R20</f>
        <v>3.8464022142976</v>
      </c>
      <c r="S21" s="13" t="n">
        <f aca="false">S$4*$B21+(1-S$4)*S20</f>
        <v>3.70036897770715</v>
      </c>
      <c r="T21" s="13" t="n">
        <f aca="false">T$4*$B21+(1-T$4)*T20</f>
        <v>3.5109000091803</v>
      </c>
      <c r="U21" s="13" t="n">
        <f aca="false">U$4*$B21+(1-U$4)*U20</f>
        <v>3.2776187500373</v>
      </c>
    </row>
    <row r="22" customFormat="false" ht="15" hidden="false" customHeight="false" outlineLevel="0" collapsed="false">
      <c r="A22" s="11" t="n">
        <f aca="false">Daily!A19</f>
        <v>43901</v>
      </c>
      <c r="B22" s="13" t="n">
        <f aca="false">Daily!C19</f>
        <v>1</v>
      </c>
      <c r="C22" s="13" t="n">
        <f aca="false">C$4*$B22+(1-C$4)*C21</f>
        <v>2.19076772956046</v>
      </c>
      <c r="D22" s="13" t="n">
        <f aca="false">D$4*$B22+(1-D$4)*D21</f>
        <v>1.95241794176683</v>
      </c>
      <c r="E22" s="13" t="n">
        <f aca="false">E$4*$B22+(1-E$4)*E21</f>
        <v>1.97943046114202</v>
      </c>
      <c r="F22" s="13" t="n">
        <f aca="false">F$4*$B22+(1-F$4)*F21</f>
        <v>2.10706467930112</v>
      </c>
      <c r="G22" s="13" t="n">
        <f aca="false">G$4*$B22+(1-G$4)*G21</f>
        <v>2.25056914612651</v>
      </c>
      <c r="H22" s="13" t="n">
        <f aca="false">H$4*$B22+(1-H$4)*H21</f>
        <v>2.36934673474347</v>
      </c>
      <c r="I22" s="13" t="n">
        <f aca="false">I$4*$B22+(1-I$4)*I21</f>
        <v>2.44643645670255</v>
      </c>
      <c r="J22" s="13" t="n">
        <f aca="false">J$4*$B22+(1-J$4)*J21</f>
        <v>2.47712437977088</v>
      </c>
      <c r="K22" s="13" t="n">
        <f aca="false">K$4*$B22+(1-K$4)*K21</f>
        <v>2.46282438122814</v>
      </c>
      <c r="L22" s="13" t="n">
        <f aca="false">L$4*$B22+(1-L$4)*L21</f>
        <v>2.40789794921875</v>
      </c>
      <c r="M22" s="13" t="n">
        <f aca="false">M$4*$B22+(1-M$4)*M21</f>
        <v>2.31805505112461</v>
      </c>
      <c r="N22" s="13" t="n">
        <f aca="false">N$4*$B22+(1-N$4)*N21</f>
        <v>2.19957567111168</v>
      </c>
      <c r="O22" s="13" t="n">
        <f aca="false">O$4*$B22+(1-O$4)*O21</f>
        <v>2.05894408591913</v>
      </c>
      <c r="P22" s="13" t="n">
        <f aca="false">P$4*$B22+(1-P$4)*P21</f>
        <v>1.90268640164707</v>
      </c>
      <c r="Q22" s="13" t="n">
        <f aca="false">Q$4*$B22+(1-Q$4)*Q21</f>
        <v>1.73730791732669</v>
      </c>
      <c r="R22" s="13" t="n">
        <f aca="false">R$4*$B22+(1-R$4)*R21</f>
        <v>1.56928044285952</v>
      </c>
      <c r="S22" s="13" t="n">
        <f aca="false">S$4*$B22+(1-S$4)*S21</f>
        <v>1.40505534665607</v>
      </c>
      <c r="T22" s="13" t="n">
        <f aca="false">T$4*$B22+(1-T$4)*T21</f>
        <v>1.25109000091803</v>
      </c>
      <c r="U22" s="13" t="n">
        <f aca="false">U$4*$B22+(1-U$4)*U21</f>
        <v>1.11388093750186</v>
      </c>
    </row>
    <row r="23" customFormat="false" ht="15" hidden="false" customHeight="false" outlineLevel="0" collapsed="false">
      <c r="A23" s="11" t="n">
        <f aca="false">Daily!A20</f>
        <v>43902</v>
      </c>
      <c r="B23" s="13" t="n">
        <f aca="false">Daily!C20</f>
        <v>1</v>
      </c>
      <c r="C23" s="13" t="n">
        <f aca="false">C$4*$B23+(1-C$4)*C22</f>
        <v>2.13122934308244</v>
      </c>
      <c r="D23" s="13" t="n">
        <f aca="false">D$4*$B23+(1-D$4)*D22</f>
        <v>1.85717614759015</v>
      </c>
      <c r="E23" s="13" t="n">
        <f aca="false">E$4*$B23+(1-E$4)*E22</f>
        <v>1.83251589197071</v>
      </c>
      <c r="F23" s="13" t="n">
        <f aca="false">F$4*$B23+(1-F$4)*F22</f>
        <v>1.8856517434409</v>
      </c>
      <c r="G23" s="13" t="n">
        <f aca="false">G$4*$B23+(1-G$4)*G22</f>
        <v>1.93792685959488</v>
      </c>
      <c r="H23" s="13" t="n">
        <f aca="false">H$4*$B23+(1-H$4)*H22</f>
        <v>1.95854271432043</v>
      </c>
      <c r="I23" s="13" t="n">
        <f aca="false">I$4*$B23+(1-I$4)*I22</f>
        <v>1.94018369685666</v>
      </c>
      <c r="J23" s="13" t="n">
        <f aca="false">J$4*$B23+(1-J$4)*J22</f>
        <v>1.88627462786253</v>
      </c>
      <c r="K23" s="13" t="n">
        <f aca="false">K$4*$B23+(1-K$4)*K22</f>
        <v>1.80455340967548</v>
      </c>
      <c r="L23" s="13" t="n">
        <f aca="false">L$4*$B23+(1-L$4)*L22</f>
        <v>1.70394897460938</v>
      </c>
      <c r="M23" s="13" t="n">
        <f aca="false">M$4*$B23+(1-M$4)*M22</f>
        <v>1.59312477300608</v>
      </c>
      <c r="N23" s="13" t="n">
        <f aca="false">N$4*$B23+(1-N$4)*N22</f>
        <v>1.47983026844467</v>
      </c>
      <c r="O23" s="13" t="n">
        <f aca="false">O$4*$B23+(1-O$4)*O22</f>
        <v>1.3706304300717</v>
      </c>
      <c r="P23" s="13" t="n">
        <f aca="false">P$4*$B23+(1-P$4)*P22</f>
        <v>1.27080592049412</v>
      </c>
      <c r="Q23" s="13" t="n">
        <f aca="false">Q$4*$B23+(1-Q$4)*Q22</f>
        <v>1.18432697933167</v>
      </c>
      <c r="R23" s="13" t="n">
        <f aca="false">R$4*$B23+(1-R$4)*R22</f>
        <v>1.1138560885719</v>
      </c>
      <c r="S23" s="13" t="n">
        <f aca="false">S$4*$B23+(1-S$4)*S22</f>
        <v>1.06075830199841</v>
      </c>
      <c r="T23" s="13" t="n">
        <f aca="false">T$4*$B23+(1-T$4)*T22</f>
        <v>1.0251090000918</v>
      </c>
      <c r="U23" s="13" t="n">
        <f aca="false">U$4*$B23+(1-U$4)*U22</f>
        <v>1.00569404687509</v>
      </c>
    </row>
    <row r="24" customFormat="false" ht="15" hidden="false" customHeight="false" outlineLevel="0" collapsed="false">
      <c r="A24" s="11" t="n">
        <f aca="false">Daily!A21</f>
        <v>43903</v>
      </c>
      <c r="B24" s="13" t="n">
        <f aca="false">Daily!C21</f>
        <v>9</v>
      </c>
      <c r="C24" s="13" t="n">
        <f aca="false">C$4*$B24+(1-C$4)*C23</f>
        <v>2.47466787592832</v>
      </c>
      <c r="D24" s="13" t="n">
        <f aca="false">D$4*$B24+(1-D$4)*D23</f>
        <v>2.57145853283113</v>
      </c>
      <c r="E24" s="13" t="n">
        <f aca="false">E$4*$B24+(1-E$4)*E23</f>
        <v>2.90763850817511</v>
      </c>
      <c r="F24" s="13" t="n">
        <f aca="false">F$4*$B24+(1-F$4)*F23</f>
        <v>3.30852139475272</v>
      </c>
      <c r="G24" s="13" t="n">
        <f aca="false">G$4*$B24+(1-G$4)*G23</f>
        <v>3.70344514469616</v>
      </c>
      <c r="H24" s="13" t="n">
        <f aca="false">H$4*$B24+(1-H$4)*H23</f>
        <v>4.0709799000243</v>
      </c>
      <c r="I24" s="13" t="n">
        <f aca="false">I$4*$B24+(1-I$4)*I23</f>
        <v>4.41111940295683</v>
      </c>
      <c r="J24" s="13" t="n">
        <f aca="false">J$4*$B24+(1-J$4)*J23</f>
        <v>4.73176477671752</v>
      </c>
      <c r="K24" s="13" t="n">
        <f aca="false">K$4*$B24+(1-K$4)*K23</f>
        <v>5.04250437532151</v>
      </c>
      <c r="L24" s="13" t="n">
        <f aca="false">L$4*$B24+(1-L$4)*L23</f>
        <v>5.35197448730469</v>
      </c>
      <c r="M24" s="13" t="n">
        <f aca="false">M$4*$B24+(1-M$4)*M23</f>
        <v>5.66690614785273</v>
      </c>
      <c r="N24" s="13" t="n">
        <f aca="false">N$4*$B24+(1-N$4)*N23</f>
        <v>5.99193210737787</v>
      </c>
      <c r="O24" s="13" t="n">
        <f aca="false">O$4*$B24+(1-O$4)*O23</f>
        <v>6.32972065052509</v>
      </c>
      <c r="P24" s="13" t="n">
        <f aca="false">P$4*$B24+(1-P$4)*P23</f>
        <v>6.68124177614824</v>
      </c>
      <c r="Q24" s="13" t="n">
        <f aca="false">Q$4*$B24+(1-Q$4)*Q23</f>
        <v>7.04608174483292</v>
      </c>
      <c r="R24" s="13" t="n">
        <f aca="false">R$4*$B24+(1-R$4)*R23</f>
        <v>7.42277121771438</v>
      </c>
      <c r="S24" s="13" t="n">
        <f aca="false">S$4*$B24+(1-S$4)*S23</f>
        <v>7.80911374529976</v>
      </c>
      <c r="T24" s="13" t="n">
        <f aca="false">T$4*$B24+(1-T$4)*T23</f>
        <v>8.20251090000918</v>
      </c>
      <c r="U24" s="13" t="n">
        <f aca="false">U$4*$B24+(1-U$4)*U23</f>
        <v>8.60028470234375</v>
      </c>
    </row>
    <row r="25" customFormat="false" ht="15" hidden="false" customHeight="false" outlineLevel="0" collapsed="false">
      <c r="A25" s="11" t="n">
        <f aca="false">Daily!A22</f>
        <v>43904</v>
      </c>
      <c r="B25" s="13" t="n">
        <f aca="false">Daily!C22</f>
        <v>0</v>
      </c>
      <c r="C25" s="13" t="n">
        <f aca="false">C$4*$B25+(1-C$4)*C24</f>
        <v>2.3509344821319</v>
      </c>
      <c r="D25" s="13" t="n">
        <f aca="false">D$4*$B25+(1-D$4)*D24</f>
        <v>2.31431267954802</v>
      </c>
      <c r="E25" s="13" t="n">
        <f aca="false">E$4*$B25+(1-E$4)*E24</f>
        <v>2.47149273194884</v>
      </c>
      <c r="F25" s="13" t="n">
        <f aca="false">F$4*$B25+(1-F$4)*F24</f>
        <v>2.64681711580217</v>
      </c>
      <c r="G25" s="13" t="n">
        <f aca="false">G$4*$B25+(1-G$4)*G24</f>
        <v>2.77758385852212</v>
      </c>
      <c r="H25" s="13" t="n">
        <f aca="false">H$4*$B25+(1-H$4)*H24</f>
        <v>2.84968593001701</v>
      </c>
      <c r="I25" s="13" t="n">
        <f aca="false">I$4*$B25+(1-I$4)*I24</f>
        <v>2.86722761192194</v>
      </c>
      <c r="J25" s="13" t="n">
        <f aca="false">J$4*$B25+(1-J$4)*J24</f>
        <v>2.83905886603051</v>
      </c>
      <c r="K25" s="13" t="n">
        <f aca="false">K$4*$B25+(1-K$4)*K24</f>
        <v>2.77337740642683</v>
      </c>
      <c r="L25" s="13" t="n">
        <f aca="false">L$4*$B25+(1-L$4)*L24</f>
        <v>2.67598724365234</v>
      </c>
      <c r="M25" s="13" t="n">
        <f aca="false">M$4*$B25+(1-M$4)*M24</f>
        <v>2.55010776653373</v>
      </c>
      <c r="N25" s="13" t="n">
        <f aca="false">N$4*$B25+(1-N$4)*N24</f>
        <v>2.39677284295115</v>
      </c>
      <c r="O25" s="13" t="n">
        <f aca="false">O$4*$B25+(1-O$4)*O24</f>
        <v>2.21540222768378</v>
      </c>
      <c r="P25" s="13" t="n">
        <f aca="false">P$4*$B25+(1-P$4)*P24</f>
        <v>2.00437253284447</v>
      </c>
      <c r="Q25" s="13" t="n">
        <f aca="false">Q$4*$B25+(1-Q$4)*Q24</f>
        <v>1.76152043620823</v>
      </c>
      <c r="R25" s="13" t="n">
        <f aca="false">R$4*$B25+(1-R$4)*R24</f>
        <v>1.48455424354288</v>
      </c>
      <c r="S25" s="13" t="n">
        <f aca="false">S$4*$B25+(1-S$4)*S24</f>
        <v>1.17136706179496</v>
      </c>
      <c r="T25" s="13" t="n">
        <f aca="false">T$4*$B25+(1-T$4)*T24</f>
        <v>0.820251090000918</v>
      </c>
      <c r="U25" s="13" t="n">
        <f aca="false">U$4*$B25+(1-U$4)*U24</f>
        <v>0.430014235117188</v>
      </c>
    </row>
    <row r="26" customFormat="false" ht="15" hidden="false" customHeight="false" outlineLevel="0" collapsed="false">
      <c r="A26" s="11" t="n">
        <f aca="false">Daily!A23</f>
        <v>43905</v>
      </c>
      <c r="B26" s="13" t="n">
        <f aca="false">Daily!C23</f>
        <v>34</v>
      </c>
      <c r="C26" s="13" t="n">
        <f aca="false">C$4*$B26+(1-C$4)*C25</f>
        <v>3.93338775802531</v>
      </c>
      <c r="D26" s="13" t="n">
        <f aca="false">D$4*$B26+(1-D$4)*D25</f>
        <v>5.48288141159322</v>
      </c>
      <c r="E26" s="13" t="n">
        <f aca="false">E$4*$B26+(1-E$4)*E25</f>
        <v>7.20076882215651</v>
      </c>
      <c r="F26" s="13" t="n">
        <f aca="false">F$4*$B26+(1-F$4)*F25</f>
        <v>8.91745369264174</v>
      </c>
      <c r="G26" s="13" t="n">
        <f aca="false">G$4*$B26+(1-G$4)*G25</f>
        <v>10.5831878938916</v>
      </c>
      <c r="H26" s="13" t="n">
        <f aca="false">H$4*$B26+(1-H$4)*H25</f>
        <v>12.1947801510119</v>
      </c>
      <c r="I26" s="13" t="n">
        <f aca="false">I$4*$B26+(1-I$4)*I25</f>
        <v>13.7636979477493</v>
      </c>
      <c r="J26" s="13" t="n">
        <f aca="false">J$4*$B26+(1-J$4)*J25</f>
        <v>15.3034353196183</v>
      </c>
      <c r="K26" s="13" t="n">
        <f aca="false">K$4*$B26+(1-K$4)*K25</f>
        <v>16.8253575735348</v>
      </c>
      <c r="L26" s="13" t="n">
        <f aca="false">L$4*$B26+(1-L$4)*L25</f>
        <v>18.3379936218262</v>
      </c>
      <c r="M26" s="13" t="n">
        <f aca="false">M$4*$B26+(1-M$4)*M25</f>
        <v>19.8475484949402</v>
      </c>
      <c r="N26" s="13" t="n">
        <f aca="false">N$4*$B26+(1-N$4)*N25</f>
        <v>21.3587091371805</v>
      </c>
      <c r="O26" s="13" t="n">
        <f aca="false">O$4*$B26+(1-O$4)*O25</f>
        <v>22.8753907796893</v>
      </c>
      <c r="P26" s="13" t="n">
        <f aca="false">P$4*$B26+(1-P$4)*P25</f>
        <v>24.4013117598533</v>
      </c>
      <c r="Q26" s="13" t="n">
        <f aca="false">Q$4*$B26+(1-Q$4)*Q25</f>
        <v>25.9403801090521</v>
      </c>
      <c r="R26" s="13" t="n">
        <f aca="false">R$4*$B26+(1-R$4)*R25</f>
        <v>27.4969108487086</v>
      </c>
      <c r="S26" s="13" t="n">
        <f aca="false">S$4*$B26+(1-S$4)*S25</f>
        <v>29.0757050592692</v>
      </c>
      <c r="T26" s="13" t="n">
        <f aca="false">T$4*$B26+(1-T$4)*T25</f>
        <v>30.6820251090001</v>
      </c>
      <c r="U26" s="13" t="n">
        <f aca="false">U$4*$B26+(1-U$4)*U25</f>
        <v>32.3215007117559</v>
      </c>
    </row>
    <row r="27" customFormat="false" ht="15" hidden="false" customHeight="false" outlineLevel="0" collapsed="false">
      <c r="A27" s="11" t="n">
        <f aca="false">Daily!A24</f>
        <v>43906</v>
      </c>
      <c r="B27" s="13" t="n">
        <f aca="false">Daily!C24</f>
        <v>151</v>
      </c>
      <c r="C27" s="13" t="n">
        <f aca="false">C$4*$B27+(1-C$4)*C26</f>
        <v>11.286718370124</v>
      </c>
      <c r="D27" s="13" t="n">
        <f aca="false">D$4*$B27+(1-D$4)*D26</f>
        <v>20.0345932704339</v>
      </c>
      <c r="E27" s="13" t="n">
        <f aca="false">E$4*$B27+(1-E$4)*E26</f>
        <v>28.770653498833</v>
      </c>
      <c r="F27" s="13" t="n">
        <f aca="false">F$4*$B27+(1-F$4)*F26</f>
        <v>37.3339629541134</v>
      </c>
      <c r="G27" s="13" t="n">
        <f aca="false">G$4*$B27+(1-G$4)*G26</f>
        <v>45.6873909204187</v>
      </c>
      <c r="H27" s="13" t="n">
        <f aca="false">H$4*$B27+(1-H$4)*H26</f>
        <v>53.8363461057083</v>
      </c>
      <c r="I27" s="13" t="n">
        <f aca="false">I$4*$B27+(1-I$4)*I26</f>
        <v>61.796403666037</v>
      </c>
      <c r="J27" s="13" t="n">
        <f aca="false">J$4*$B27+(1-J$4)*J26</f>
        <v>69.582061191771</v>
      </c>
      <c r="K27" s="13" t="n">
        <f aca="false">K$4*$B27+(1-K$4)*K26</f>
        <v>77.2039466654441</v>
      </c>
      <c r="L27" s="13" t="n">
        <f aca="false">L$4*$B27+(1-L$4)*L26</f>
        <v>84.6689968109131</v>
      </c>
      <c r="M27" s="13" t="n">
        <f aca="false">M$4*$B27+(1-M$4)*M26</f>
        <v>91.9813968227231</v>
      </c>
      <c r="N27" s="13" t="n">
        <f aca="false">N$4*$B27+(1-N$4)*N26</f>
        <v>99.1434836548722</v>
      </c>
      <c r="O27" s="13" t="n">
        <f aca="false">O$4*$B27+(1-O$4)*O26</f>
        <v>106.156386772891</v>
      </c>
      <c r="P27" s="13" t="n">
        <f aca="false">P$4*$B27+(1-P$4)*P26</f>
        <v>113.020393527956</v>
      </c>
      <c r="Q27" s="13" t="n">
        <f aca="false">Q$4*$B27+(1-Q$4)*Q26</f>
        <v>119.735095027263</v>
      </c>
      <c r="R27" s="13" t="n">
        <f aca="false">R$4*$B27+(1-R$4)*R26</f>
        <v>126.299382169742</v>
      </c>
      <c r="S27" s="13" t="n">
        <f aca="false">S$4*$B27+(1-S$4)*S26</f>
        <v>132.71135575889</v>
      </c>
      <c r="T27" s="13" t="n">
        <f aca="false">T$4*$B27+(1-T$4)*T26</f>
        <v>138.9682025109</v>
      </c>
      <c r="U27" s="13" t="n">
        <f aca="false">U$4*$B27+(1-U$4)*U26</f>
        <v>145.066075035588</v>
      </c>
    </row>
    <row r="28" customFormat="false" ht="15" hidden="false" customHeight="false" outlineLevel="0" collapsed="false">
      <c r="A28" s="11" t="n">
        <f aca="false">Daily!A25</f>
        <v>43907</v>
      </c>
      <c r="B28" s="13" t="n">
        <f aca="false">Daily!C25</f>
        <v>52</v>
      </c>
      <c r="C28" s="13" t="n">
        <f aca="false">C$4*$B28+(1-C$4)*C27</f>
        <v>13.3223824516178</v>
      </c>
      <c r="D28" s="13" t="n">
        <f aca="false">D$4*$B28+(1-D$4)*D27</f>
        <v>23.2311339433905</v>
      </c>
      <c r="E28" s="13" t="n">
        <f aca="false">E$4*$B28+(1-E$4)*E27</f>
        <v>32.2550554740081</v>
      </c>
      <c r="F28" s="13" t="n">
        <f aca="false">F$4*$B28+(1-F$4)*F27</f>
        <v>40.2671703632907</v>
      </c>
      <c r="G28" s="13" t="n">
        <f aca="false">G$4*$B28+(1-G$4)*G27</f>
        <v>47.265543190314</v>
      </c>
      <c r="H28" s="13" t="n">
        <f aca="false">H$4*$B28+(1-H$4)*H27</f>
        <v>53.2854422739958</v>
      </c>
      <c r="I28" s="13" t="n">
        <f aca="false">I$4*$B28+(1-I$4)*I27</f>
        <v>58.3676623829241</v>
      </c>
      <c r="J28" s="13" t="n">
        <f aca="false">J$4*$B28+(1-J$4)*J27</f>
        <v>62.5492367150626</v>
      </c>
      <c r="K28" s="13" t="n">
        <f aca="false">K$4*$B28+(1-K$4)*K27</f>
        <v>65.8621706659943</v>
      </c>
      <c r="L28" s="13" t="n">
        <f aca="false">L$4*$B28+(1-L$4)*L27</f>
        <v>68.3344984054565</v>
      </c>
      <c r="M28" s="13" t="n">
        <f aca="false">M$4*$B28+(1-M$4)*M27</f>
        <v>69.9916285702254</v>
      </c>
      <c r="N28" s="13" t="n">
        <f aca="false">N$4*$B28+(1-N$4)*N27</f>
        <v>70.8573934619489</v>
      </c>
      <c r="O28" s="13" t="n">
        <f aca="false">O$4*$B28+(1-O$4)*O27</f>
        <v>70.9547353705119</v>
      </c>
      <c r="P28" s="13" t="n">
        <f aca="false">P$4*$B28+(1-P$4)*P27</f>
        <v>70.3061180583868</v>
      </c>
      <c r="Q28" s="13" t="n">
        <f aca="false">Q$4*$B28+(1-Q$4)*Q27</f>
        <v>68.9337737568158</v>
      </c>
      <c r="R28" s="13" t="n">
        <f aca="false">R$4*$B28+(1-R$4)*R27</f>
        <v>66.8598764339483</v>
      </c>
      <c r="S28" s="13" t="n">
        <f aca="false">S$4*$B28+(1-S$4)*S27</f>
        <v>64.1067033638336</v>
      </c>
      <c r="T28" s="13" t="n">
        <f aca="false">T$4*$B28+(1-T$4)*T27</f>
        <v>60.69682025109</v>
      </c>
      <c r="U28" s="13" t="n">
        <f aca="false">U$4*$B28+(1-U$4)*U27</f>
        <v>56.6533037517794</v>
      </c>
    </row>
    <row r="29" customFormat="false" ht="15" hidden="false" customHeight="false" outlineLevel="0" collapsed="false">
      <c r="A29" s="11" t="n">
        <f aca="false">Daily!A26</f>
        <v>43908</v>
      </c>
      <c r="B29" s="13" t="n">
        <f aca="false">Daily!C26</f>
        <v>57</v>
      </c>
      <c r="C29" s="13" t="n">
        <f aca="false">C$4*$B29+(1-C$4)*C28</f>
        <v>15.5062633290369</v>
      </c>
      <c r="D29" s="13" t="n">
        <f aca="false">D$4*$B29+(1-D$4)*D28</f>
        <v>26.6080205490515</v>
      </c>
      <c r="E29" s="13" t="n">
        <f aca="false">E$4*$B29+(1-E$4)*E28</f>
        <v>35.9667971529069</v>
      </c>
      <c r="F29" s="13" t="n">
        <f aca="false">F$4*$B29+(1-F$4)*F28</f>
        <v>43.6137362906326</v>
      </c>
      <c r="G29" s="13" t="n">
        <f aca="false">G$4*$B29+(1-G$4)*G28</f>
        <v>49.6991573927355</v>
      </c>
      <c r="H29" s="13" t="n">
        <f aca="false">H$4*$B29+(1-H$4)*H28</f>
        <v>54.3998095917971</v>
      </c>
      <c r="I29" s="13" t="n">
        <f aca="false">I$4*$B29+(1-I$4)*I28</f>
        <v>57.8889805489007</v>
      </c>
      <c r="J29" s="13" t="n">
        <f aca="false">J$4*$B29+(1-J$4)*J28</f>
        <v>60.3295420290376</v>
      </c>
      <c r="K29" s="13" t="n">
        <f aca="false">K$4*$B29+(1-K$4)*K28</f>
        <v>61.8741938662969</v>
      </c>
      <c r="L29" s="13" t="n">
        <f aca="false">L$4*$B29+(1-L$4)*L28</f>
        <v>62.6672492027283</v>
      </c>
      <c r="M29" s="13" t="n">
        <f aca="false">M$4*$B29+(1-M$4)*M28</f>
        <v>62.8462328566014</v>
      </c>
      <c r="N29" s="13" t="n">
        <f aca="false">N$4*$B29+(1-N$4)*N28</f>
        <v>62.5429573847796</v>
      </c>
      <c r="O29" s="13" t="n">
        <f aca="false">O$4*$B29+(1-O$4)*O28</f>
        <v>61.8841573796792</v>
      </c>
      <c r="P29" s="13" t="n">
        <f aca="false">P$4*$B29+(1-P$4)*P28</f>
        <v>60.991835417516</v>
      </c>
      <c r="Q29" s="13" t="n">
        <f aca="false">Q$4*$B29+(1-Q$4)*Q28</f>
        <v>59.9834434392039</v>
      </c>
      <c r="R29" s="13" t="n">
        <f aca="false">R$4*$B29+(1-R$4)*R28</f>
        <v>58.9719752867897</v>
      </c>
      <c r="S29" s="13" t="n">
        <f aca="false">S$4*$B29+(1-S$4)*S28</f>
        <v>58.066005504575</v>
      </c>
      <c r="T29" s="13" t="n">
        <f aca="false">T$4*$B29+(1-T$4)*T28</f>
        <v>57.369682025109</v>
      </c>
      <c r="U29" s="13" t="n">
        <f aca="false">U$4*$B29+(1-U$4)*U28</f>
        <v>56.982665187589</v>
      </c>
    </row>
    <row r="30" customFormat="false" ht="15" hidden="false" customHeight="false" outlineLevel="0" collapsed="false">
      <c r="A30" s="11" t="n">
        <f aca="false">Daily!A27</f>
        <v>43909</v>
      </c>
      <c r="B30" s="13" t="n">
        <f aca="false">Daily!C27</f>
        <v>154</v>
      </c>
      <c r="C30" s="13" t="n">
        <f aca="false">C$4*$B30+(1-C$4)*C29</f>
        <v>22.4309501625851</v>
      </c>
      <c r="D30" s="13" t="n">
        <f aca="false">D$4*$B30+(1-D$4)*D29</f>
        <v>39.3472184941463</v>
      </c>
      <c r="E30" s="13" t="n">
        <f aca="false">E$4*$B30+(1-E$4)*E29</f>
        <v>53.6717775799708</v>
      </c>
      <c r="F30" s="13" t="n">
        <f aca="false">F$4*$B30+(1-F$4)*F29</f>
        <v>65.6909890325061</v>
      </c>
      <c r="G30" s="13" t="n">
        <f aca="false">G$4*$B30+(1-G$4)*G29</f>
        <v>75.7743680445516</v>
      </c>
      <c r="H30" s="13" t="n">
        <f aca="false">H$4*$B30+(1-H$4)*H29</f>
        <v>84.279866714258</v>
      </c>
      <c r="I30" s="13" t="n">
        <f aca="false">I$4*$B30+(1-I$4)*I29</f>
        <v>91.5278373567854</v>
      </c>
      <c r="J30" s="13" t="n">
        <f aca="false">J$4*$B30+(1-J$4)*J29</f>
        <v>97.7977252174225</v>
      </c>
      <c r="K30" s="13" t="n">
        <f aca="false">K$4*$B30+(1-K$4)*K29</f>
        <v>103.330806626463</v>
      </c>
      <c r="L30" s="13" t="n">
        <f aca="false">L$4*$B30+(1-L$4)*L29</f>
        <v>108.333624601364</v>
      </c>
      <c r="M30" s="13" t="n">
        <f aca="false">M$4*$B30+(1-M$4)*M29</f>
        <v>112.980804785471</v>
      </c>
      <c r="N30" s="13" t="n">
        <f aca="false">N$4*$B30+(1-N$4)*N29</f>
        <v>117.417182953912</v>
      </c>
      <c r="O30" s="13" t="n">
        <f aca="false">O$4*$B30+(1-O$4)*O29</f>
        <v>121.759455082888</v>
      </c>
      <c r="P30" s="13" t="n">
        <f aca="false">P$4*$B30+(1-P$4)*P29</f>
        <v>126.097550625255</v>
      </c>
      <c r="Q30" s="13" t="n">
        <f aca="false">Q$4*$B30+(1-Q$4)*Q29</f>
        <v>130.495860859801</v>
      </c>
      <c r="R30" s="13" t="n">
        <f aca="false">R$4*$B30+(1-R$4)*R29</f>
        <v>134.994395057358</v>
      </c>
      <c r="S30" s="13" t="n">
        <f aca="false">S$4*$B30+(1-S$4)*S29</f>
        <v>139.609900825686</v>
      </c>
      <c r="T30" s="13" t="n">
        <f aca="false">T$4*$B30+(1-T$4)*T29</f>
        <v>144.336968202511</v>
      </c>
      <c r="U30" s="13" t="n">
        <f aca="false">U$4*$B30+(1-U$4)*U29</f>
        <v>149.149133259379</v>
      </c>
    </row>
    <row r="31" customFormat="false" ht="15" hidden="false" customHeight="false" outlineLevel="0" collapsed="false">
      <c r="A31" s="11" t="n">
        <f aca="false">Daily!A28</f>
        <v>43910</v>
      </c>
      <c r="B31" s="13" t="n">
        <f aca="false">Daily!C28</f>
        <v>50</v>
      </c>
      <c r="C31" s="13" t="n">
        <f aca="false">C$4*$B31+(1-C$4)*C30</f>
        <v>23.8094026544558</v>
      </c>
      <c r="D31" s="13" t="n">
        <f aca="false">D$4*$B31+(1-D$4)*D30</f>
        <v>40.4124966447317</v>
      </c>
      <c r="E31" s="13" t="n">
        <f aca="false">E$4*$B31+(1-E$4)*E30</f>
        <v>53.1210109429752</v>
      </c>
      <c r="F31" s="13" t="n">
        <f aca="false">F$4*$B31+(1-F$4)*F30</f>
        <v>62.5527912260049</v>
      </c>
      <c r="G31" s="13" t="n">
        <f aca="false">G$4*$B31+(1-G$4)*G30</f>
        <v>69.3307760334137</v>
      </c>
      <c r="H31" s="13" t="n">
        <f aca="false">H$4*$B31+(1-H$4)*H30</f>
        <v>73.9959066999806</v>
      </c>
      <c r="I31" s="13" t="n">
        <f aca="false">I$4*$B31+(1-I$4)*I30</f>
        <v>76.9930942819105</v>
      </c>
      <c r="J31" s="13" t="n">
        <f aca="false">J$4*$B31+(1-J$4)*J30</f>
        <v>78.6786351304535</v>
      </c>
      <c r="K31" s="13" t="n">
        <f aca="false">K$4*$B31+(1-K$4)*K30</f>
        <v>79.3319436445548</v>
      </c>
      <c r="L31" s="13" t="n">
        <f aca="false">L$4*$B31+(1-L$4)*L30</f>
        <v>79.1668123006821</v>
      </c>
      <c r="M31" s="13" t="n">
        <f aca="false">M$4*$B31+(1-M$4)*M30</f>
        <v>78.3413621534618</v>
      </c>
      <c r="N31" s="13" t="n">
        <f aca="false">N$4*$B31+(1-N$4)*N30</f>
        <v>76.9668731815647</v>
      </c>
      <c r="O31" s="13" t="n">
        <f aca="false">O$4*$B31+(1-O$4)*O30</f>
        <v>75.1158092790107</v>
      </c>
      <c r="P31" s="13" t="n">
        <f aca="false">P$4*$B31+(1-P$4)*P30</f>
        <v>72.8292651875765</v>
      </c>
      <c r="Q31" s="13" t="n">
        <f aca="false">Q$4*$B31+(1-Q$4)*Q30</f>
        <v>70.1239652149503</v>
      </c>
      <c r="R31" s="13" t="n">
        <f aca="false">R$4*$B31+(1-R$4)*R30</f>
        <v>66.9988790114716</v>
      </c>
      <c r="S31" s="13" t="n">
        <f aca="false">S$4*$B31+(1-S$4)*S30</f>
        <v>63.4414851238529</v>
      </c>
      <c r="T31" s="13" t="n">
        <f aca="false">T$4*$B31+(1-T$4)*T30</f>
        <v>59.4336968202511</v>
      </c>
      <c r="U31" s="13" t="n">
        <f aca="false">U$4*$B31+(1-U$4)*U30</f>
        <v>54.957456662969</v>
      </c>
    </row>
    <row r="32" customFormat="false" ht="15" hidden="false" customHeight="false" outlineLevel="0" collapsed="false">
      <c r="A32" s="11" t="n">
        <f aca="false">Daily!A29</f>
        <v>43911</v>
      </c>
      <c r="B32" s="13" t="n">
        <f aca="false">Daily!C29</f>
        <v>134</v>
      </c>
      <c r="C32" s="13" t="n">
        <f aca="false">C$4*$B32+(1-C$4)*C31</f>
        <v>29.318932521733</v>
      </c>
      <c r="D32" s="13" t="n">
        <f aca="false">D$4*$B32+(1-D$4)*D31</f>
        <v>49.7712469802585</v>
      </c>
      <c r="E32" s="13" t="n">
        <f aca="false">E$4*$B32+(1-E$4)*E31</f>
        <v>65.2528593015289</v>
      </c>
      <c r="F32" s="13" t="n">
        <f aca="false">F$4*$B32+(1-F$4)*F31</f>
        <v>76.8422329808039</v>
      </c>
      <c r="G32" s="13" t="n">
        <f aca="false">G$4*$B32+(1-G$4)*G31</f>
        <v>85.4980820250603</v>
      </c>
      <c r="H32" s="13" t="n">
        <f aca="false">H$4*$B32+(1-H$4)*H31</f>
        <v>91.9971346899864</v>
      </c>
      <c r="I32" s="13" t="n">
        <f aca="false">I$4*$B32+(1-I$4)*I31</f>
        <v>96.9455112832418</v>
      </c>
      <c r="J32" s="13" t="n">
        <f aca="false">J$4*$B32+(1-J$4)*J31</f>
        <v>100.807181078272</v>
      </c>
      <c r="K32" s="13" t="n">
        <f aca="false">K$4*$B32+(1-K$4)*K31</f>
        <v>103.932569004505</v>
      </c>
      <c r="L32" s="13" t="n">
        <f aca="false">L$4*$B32+(1-L$4)*L31</f>
        <v>106.583406150341</v>
      </c>
      <c r="M32" s="13" t="n">
        <f aca="false">M$4*$B32+(1-M$4)*M31</f>
        <v>108.953612969058</v>
      </c>
      <c r="N32" s="13" t="n">
        <f aca="false">N$4*$B32+(1-N$4)*N31</f>
        <v>111.186749272626</v>
      </c>
      <c r="O32" s="13" t="n">
        <f aca="false">O$4*$B32+(1-O$4)*O31</f>
        <v>113.390533247654</v>
      </c>
      <c r="P32" s="13" t="n">
        <f aca="false">P$4*$B32+(1-P$4)*P31</f>
        <v>115.648779556273</v>
      </c>
      <c r="Q32" s="13" t="n">
        <f aca="false">Q$4*$B32+(1-Q$4)*Q31</f>
        <v>118.030991303738</v>
      </c>
      <c r="R32" s="13" t="n">
        <f aca="false">R$4*$B32+(1-R$4)*R31</f>
        <v>120.599775802294</v>
      </c>
      <c r="S32" s="13" t="n">
        <f aca="false">S$4*$B32+(1-S$4)*S31</f>
        <v>123.416222768578</v>
      </c>
      <c r="T32" s="13" t="n">
        <f aca="false">T$4*$B32+(1-T$4)*T31</f>
        <v>126.543369682025</v>
      </c>
      <c r="U32" s="13" t="n">
        <f aca="false">U$4*$B32+(1-U$4)*U31</f>
        <v>130.047872833148</v>
      </c>
    </row>
    <row r="33" customFormat="false" ht="15" hidden="false" customHeight="false" outlineLevel="0" collapsed="false">
      <c r="A33" s="11" t="n">
        <f aca="false">Daily!A30</f>
        <v>43912</v>
      </c>
      <c r="B33" s="13" t="n">
        <f aca="false">Daily!C30</f>
        <v>110</v>
      </c>
      <c r="C33" s="13" t="n">
        <f aca="false">C$4*$B33+(1-C$4)*C32</f>
        <v>33.3529858956464</v>
      </c>
      <c r="D33" s="13" t="n">
        <f aca="false">D$4*$B33+(1-D$4)*D32</f>
        <v>55.7941222822327</v>
      </c>
      <c r="E33" s="13" t="n">
        <f aca="false">E$4*$B33+(1-E$4)*E32</f>
        <v>71.9649304062996</v>
      </c>
      <c r="F33" s="13" t="n">
        <f aca="false">F$4*$B33+(1-F$4)*F32</f>
        <v>83.4737863846431</v>
      </c>
      <c r="G33" s="13" t="n">
        <f aca="false">G$4*$B33+(1-G$4)*G32</f>
        <v>91.6235615187952</v>
      </c>
      <c r="H33" s="13" t="n">
        <f aca="false">H$4*$B33+(1-H$4)*H32</f>
        <v>97.3979942829905</v>
      </c>
      <c r="I33" s="13" t="n">
        <f aca="false">I$4*$B33+(1-I$4)*I32</f>
        <v>101.514582334107</v>
      </c>
      <c r="J33" s="13" t="n">
        <f aca="false">J$4*$B33+(1-J$4)*J32</f>
        <v>104.484308646963</v>
      </c>
      <c r="K33" s="13" t="n">
        <f aca="false">K$4*$B33+(1-K$4)*K32</f>
        <v>106.662912952478</v>
      </c>
      <c r="L33" s="13" t="n">
        <f aca="false">L$4*$B33+(1-L$4)*L32</f>
        <v>108.291703075171</v>
      </c>
      <c r="M33" s="13" t="n">
        <f aca="false">M$4*$B33+(1-M$4)*M32</f>
        <v>109.529125836076</v>
      </c>
      <c r="N33" s="13" t="n">
        <f aca="false">N$4*$B33+(1-N$4)*N32</f>
        <v>110.47469970905</v>
      </c>
      <c r="O33" s="13" t="n">
        <f aca="false">O$4*$B33+(1-O$4)*O32</f>
        <v>111.186686636679</v>
      </c>
      <c r="P33" s="13" t="n">
        <f aca="false">P$4*$B33+(1-P$4)*P32</f>
        <v>111.694633866882</v>
      </c>
      <c r="Q33" s="13" t="n">
        <f aca="false">Q$4*$B33+(1-Q$4)*Q32</f>
        <v>112.007747825934</v>
      </c>
      <c r="R33" s="13" t="n">
        <f aca="false">R$4*$B33+(1-R$4)*R32</f>
        <v>112.119955160459</v>
      </c>
      <c r="S33" s="13" t="n">
        <f aca="false">S$4*$B33+(1-S$4)*S32</f>
        <v>112.012433415287</v>
      </c>
      <c r="T33" s="13" t="n">
        <f aca="false">T$4*$B33+(1-T$4)*T32</f>
        <v>111.654336968203</v>
      </c>
      <c r="U33" s="13" t="n">
        <f aca="false">U$4*$B33+(1-U$4)*U32</f>
        <v>111.002393641657</v>
      </c>
    </row>
    <row r="34" customFormat="false" ht="15" hidden="false" customHeight="false" outlineLevel="0" collapsed="false">
      <c r="A34" s="11" t="n">
        <f aca="false">Daily!A31</f>
        <v>43913</v>
      </c>
      <c r="B34" s="13" t="n">
        <f aca="false">Daily!C31</f>
        <v>82</v>
      </c>
      <c r="C34" s="13" t="n">
        <f aca="false">C$4*$B34+(1-C$4)*C33</f>
        <v>35.7853366008641</v>
      </c>
      <c r="D34" s="13" t="n">
        <f aca="false">D$4*$B34+(1-D$4)*D33</f>
        <v>58.4147100540094</v>
      </c>
      <c r="E34" s="13" t="n">
        <f aca="false">E$4*$B34+(1-E$4)*E33</f>
        <v>73.4701908453547</v>
      </c>
      <c r="F34" s="13" t="n">
        <f aca="false">F$4*$B34+(1-F$4)*F33</f>
        <v>83.1790291077145</v>
      </c>
      <c r="G34" s="13" t="n">
        <f aca="false">G$4*$B34+(1-G$4)*G33</f>
        <v>89.2176711390964</v>
      </c>
      <c r="H34" s="13" t="n">
        <f aca="false">H$4*$B34+(1-H$4)*H33</f>
        <v>92.7785959980933</v>
      </c>
      <c r="I34" s="13" t="n">
        <f aca="false">I$4*$B34+(1-I$4)*I33</f>
        <v>94.6844785171697</v>
      </c>
      <c r="J34" s="13" t="n">
        <f aca="false">J$4*$B34+(1-J$4)*J33</f>
        <v>95.490585188178</v>
      </c>
      <c r="K34" s="13" t="n">
        <f aca="false">K$4*$B34+(1-K$4)*K33</f>
        <v>95.5646021238628</v>
      </c>
      <c r="L34" s="13" t="n">
        <f aca="false">L$4*$B34+(1-L$4)*L33</f>
        <v>95.1458515375853</v>
      </c>
      <c r="M34" s="13" t="n">
        <f aca="false">M$4*$B34+(1-M$4)*M33</f>
        <v>94.3881066262342</v>
      </c>
      <c r="N34" s="13" t="n">
        <f aca="false">N$4*$B34+(1-N$4)*N33</f>
        <v>93.3898798836201</v>
      </c>
      <c r="O34" s="13" t="n">
        <f aca="false">O$4*$B34+(1-O$4)*O33</f>
        <v>92.2153403228376</v>
      </c>
      <c r="P34" s="13" t="n">
        <f aca="false">P$4*$B34+(1-P$4)*P33</f>
        <v>90.9083901600646</v>
      </c>
      <c r="Q34" s="13" t="n">
        <f aca="false">Q$4*$B34+(1-Q$4)*Q33</f>
        <v>89.5019369564836</v>
      </c>
      <c r="R34" s="13" t="n">
        <f aca="false">R$4*$B34+(1-R$4)*R33</f>
        <v>88.0239910320918</v>
      </c>
      <c r="S34" s="13" t="n">
        <f aca="false">S$4*$B34+(1-S$4)*S33</f>
        <v>86.501865012293</v>
      </c>
      <c r="T34" s="13" t="n">
        <f aca="false">T$4*$B34+(1-T$4)*T33</f>
        <v>84.9654336968202</v>
      </c>
      <c r="U34" s="13" t="n">
        <f aca="false">U$4*$B34+(1-U$4)*U33</f>
        <v>83.4501196820829</v>
      </c>
    </row>
    <row r="35" customFormat="false" ht="15" hidden="false" customHeight="false" outlineLevel="0" collapsed="false">
      <c r="A35" s="11" t="n">
        <f aca="false">Daily!A32</f>
        <v>43914</v>
      </c>
      <c r="B35" s="13" t="n">
        <f aca="false">Daily!C32</f>
        <v>114</v>
      </c>
      <c r="C35" s="13" t="n">
        <f aca="false">C$4*$B35+(1-C$4)*C34</f>
        <v>39.6960697708209</v>
      </c>
      <c r="D35" s="13" t="n">
        <f aca="false">D$4*$B35+(1-D$4)*D34</f>
        <v>63.9732390486085</v>
      </c>
      <c r="E35" s="13" t="n">
        <f aca="false">E$4*$B35+(1-E$4)*E34</f>
        <v>79.5496622185515</v>
      </c>
      <c r="F35" s="13" t="n">
        <f aca="false">F$4*$B35+(1-F$4)*F34</f>
        <v>89.3432232861716</v>
      </c>
      <c r="G35" s="13" t="n">
        <f aca="false">G$4*$B35+(1-G$4)*G34</f>
        <v>95.4132533543223</v>
      </c>
      <c r="H35" s="13" t="n">
        <f aca="false">H$4*$B35+(1-H$4)*H34</f>
        <v>99.1450171986653</v>
      </c>
      <c r="I35" s="13" t="n">
        <f aca="false">I$4*$B35+(1-I$4)*I34</f>
        <v>101.44491103616</v>
      </c>
      <c r="J35" s="13" t="n">
        <f aca="false">J$4*$B35+(1-J$4)*J34</f>
        <v>102.894351112907</v>
      </c>
      <c r="K35" s="13" t="n">
        <f aca="false">K$4*$B35+(1-K$4)*K34</f>
        <v>103.860531168125</v>
      </c>
      <c r="L35" s="13" t="n">
        <f aca="false">L$4*$B35+(1-L$4)*L34</f>
        <v>104.572925768793</v>
      </c>
      <c r="M35" s="13" t="n">
        <f aca="false">M$4*$B35+(1-M$4)*M34</f>
        <v>105.174647981805</v>
      </c>
      <c r="N35" s="13" t="n">
        <f aca="false">N$4*$B35+(1-N$4)*N34</f>
        <v>105.755951953448</v>
      </c>
      <c r="O35" s="13" t="n">
        <f aca="false">O$4*$B35+(1-O$4)*O34</f>
        <v>106.375369112993</v>
      </c>
      <c r="P35" s="13" t="n">
        <f aca="false">P$4*$B35+(1-P$4)*P34</f>
        <v>107.072517048019</v>
      </c>
      <c r="Q35" s="13" t="n">
        <f aca="false">Q$4*$B35+(1-Q$4)*Q34</f>
        <v>107.875484239121</v>
      </c>
      <c r="R35" s="13" t="n">
        <f aca="false">R$4*$B35+(1-R$4)*R34</f>
        <v>108.804798206418</v>
      </c>
      <c r="S35" s="13" t="n">
        <f aca="false">S$4*$B35+(1-S$4)*S34</f>
        <v>109.875279751844</v>
      </c>
      <c r="T35" s="13" t="n">
        <f aca="false">T$4*$B35+(1-T$4)*T34</f>
        <v>111.096543369682</v>
      </c>
      <c r="U35" s="13" t="n">
        <f aca="false">U$4*$B35+(1-U$4)*U34</f>
        <v>112.472505984104</v>
      </c>
    </row>
    <row r="36" customFormat="false" ht="15" hidden="false" customHeight="false" outlineLevel="0" collapsed="false">
      <c r="A36" s="11" t="n">
        <f aca="false">Daily!A33</f>
        <v>43915</v>
      </c>
      <c r="B36" s="13" t="n">
        <f aca="false">Daily!C33</f>
        <v>110</v>
      </c>
      <c r="C36" s="13" t="n">
        <f aca="false">C$4*$B36+(1-C$4)*C35</f>
        <v>43.2112662822798</v>
      </c>
      <c r="D36" s="13" t="n">
        <f aca="false">D$4*$B36+(1-D$4)*D35</f>
        <v>68.5759151437476</v>
      </c>
      <c r="E36" s="13" t="n">
        <f aca="false">E$4*$B36+(1-E$4)*E35</f>
        <v>84.1172128857687</v>
      </c>
      <c r="F36" s="13" t="n">
        <f aca="false">F$4*$B36+(1-F$4)*F35</f>
        <v>93.4745786289373</v>
      </c>
      <c r="G36" s="13" t="n">
        <f aca="false">G$4*$B36+(1-G$4)*G35</f>
        <v>99.0599400157417</v>
      </c>
      <c r="H36" s="13" t="n">
        <f aca="false">H$4*$B36+(1-H$4)*H35</f>
        <v>102.401512039066</v>
      </c>
      <c r="I36" s="13" t="n">
        <f aca="false">I$4*$B36+(1-I$4)*I35</f>
        <v>104.439192173504</v>
      </c>
      <c r="J36" s="13" t="n">
        <f aca="false">J$4*$B36+(1-J$4)*J35</f>
        <v>105.736610667744</v>
      </c>
      <c r="K36" s="13" t="n">
        <f aca="false">K$4*$B36+(1-K$4)*K35</f>
        <v>106.623292142469</v>
      </c>
      <c r="L36" s="13" t="n">
        <f aca="false">L$4*$B36+(1-L$4)*L35</f>
        <v>107.286462884396</v>
      </c>
      <c r="M36" s="13" t="n">
        <f aca="false">M$4*$B36+(1-M$4)*M35</f>
        <v>107.828591591812</v>
      </c>
      <c r="N36" s="13" t="n">
        <f aca="false">N$4*$B36+(1-N$4)*N35</f>
        <v>108.302380781379</v>
      </c>
      <c r="O36" s="13" t="n">
        <f aca="false">O$4*$B36+(1-O$4)*O35</f>
        <v>108.731379189548</v>
      </c>
      <c r="P36" s="13" t="n">
        <f aca="false">P$4*$B36+(1-P$4)*P35</f>
        <v>109.121755114406</v>
      </c>
      <c r="Q36" s="13" t="n">
        <f aca="false">Q$4*$B36+(1-Q$4)*Q35</f>
        <v>109.46887105978</v>
      </c>
      <c r="R36" s="13" t="n">
        <f aca="false">R$4*$B36+(1-R$4)*R35</f>
        <v>109.760959641284</v>
      </c>
      <c r="S36" s="13" t="n">
        <f aca="false">S$4*$B36+(1-S$4)*S35</f>
        <v>109.981291962777</v>
      </c>
      <c r="T36" s="13" t="n">
        <f aca="false">T$4*$B36+(1-T$4)*T35</f>
        <v>110.109654336968</v>
      </c>
      <c r="U36" s="13" t="n">
        <f aca="false">U$4*$B36+(1-U$4)*U35</f>
        <v>110.123625299205</v>
      </c>
    </row>
    <row r="37" customFormat="false" ht="15" hidden="false" customHeight="false" outlineLevel="0" collapsed="false">
      <c r="A37" s="11" t="n">
        <f aca="false">Daily!A34</f>
        <v>43916</v>
      </c>
      <c r="B37" s="13" t="n">
        <f aca="false">Daily!C34</f>
        <v>131</v>
      </c>
      <c r="C37" s="13" t="n">
        <f aca="false">C$4*$B37+(1-C$4)*C36</f>
        <v>47.6007029681658</v>
      </c>
      <c r="D37" s="13" t="n">
        <f aca="false">D$4*$B37+(1-D$4)*D36</f>
        <v>74.8183236293729</v>
      </c>
      <c r="E37" s="13" t="n">
        <f aca="false">E$4*$B37+(1-E$4)*E36</f>
        <v>91.1496309529034</v>
      </c>
      <c r="F37" s="13" t="n">
        <f aca="false">F$4*$B37+(1-F$4)*F36</f>
        <v>100.97966290315</v>
      </c>
      <c r="G37" s="13" t="n">
        <f aca="false">G$4*$B37+(1-G$4)*G36</f>
        <v>107.044955011806</v>
      </c>
      <c r="H37" s="13" t="n">
        <f aca="false">H$4*$B37+(1-H$4)*H36</f>
        <v>110.981058427346</v>
      </c>
      <c r="I37" s="13" t="n">
        <f aca="false">I$4*$B37+(1-I$4)*I36</f>
        <v>113.735474912778</v>
      </c>
      <c r="J37" s="13" t="n">
        <f aca="false">J$4*$B37+(1-J$4)*J36</f>
        <v>115.841966400646</v>
      </c>
      <c r="K37" s="13" t="n">
        <f aca="false">K$4*$B37+(1-K$4)*K36</f>
        <v>117.592810678358</v>
      </c>
      <c r="L37" s="13" t="n">
        <f aca="false">L$4*$B37+(1-L$4)*L36</f>
        <v>119.143231442198</v>
      </c>
      <c r="M37" s="13" t="n">
        <f aca="false">M$4*$B37+(1-M$4)*M36</f>
        <v>120.572866216316</v>
      </c>
      <c r="N37" s="13" t="n">
        <f aca="false">N$4*$B37+(1-N$4)*N36</f>
        <v>121.920952312552</v>
      </c>
      <c r="O37" s="13" t="n">
        <f aca="false">O$4*$B37+(1-O$4)*O36</f>
        <v>123.205982716342</v>
      </c>
      <c r="P37" s="13" t="n">
        <f aca="false">P$4*$B37+(1-P$4)*P36</f>
        <v>124.436526534322</v>
      </c>
      <c r="Q37" s="13" t="n">
        <f aca="false">Q$4*$B37+(1-Q$4)*Q36</f>
        <v>125.617217764945</v>
      </c>
      <c r="R37" s="13" t="n">
        <f aca="false">R$4*$B37+(1-R$4)*R36</f>
        <v>126.752191928257</v>
      </c>
      <c r="S37" s="13" t="n">
        <f aca="false">S$4*$B37+(1-S$4)*S36</f>
        <v>127.847193794416</v>
      </c>
      <c r="T37" s="13" t="n">
        <f aca="false">T$4*$B37+(1-T$4)*T36</f>
        <v>128.910965433697</v>
      </c>
      <c r="U37" s="13" t="n">
        <f aca="false">U$4*$B37+(1-U$4)*U36</f>
        <v>129.95618126496</v>
      </c>
    </row>
    <row r="38" customFormat="false" ht="15" hidden="false" customHeight="false" outlineLevel="0" collapsed="false">
      <c r="A38" s="11" t="n">
        <f aca="false">Daily!A35</f>
        <v>43917</v>
      </c>
      <c r="B38" s="13" t="n">
        <f aca="false">Daily!C35</f>
        <v>122</v>
      </c>
      <c r="C38" s="13" t="n">
        <f aca="false">C$4*$B38+(1-C$4)*C37</f>
        <v>51.3206678197575</v>
      </c>
      <c r="D38" s="13" t="n">
        <f aca="false">D$4*$B38+(1-D$4)*D37</f>
        <v>79.5364912664356</v>
      </c>
      <c r="E38" s="13" t="n">
        <f aca="false">E$4*$B38+(1-E$4)*E37</f>
        <v>95.7771863099679</v>
      </c>
      <c r="F38" s="13" t="n">
        <f aca="false">F$4*$B38+(1-F$4)*F37</f>
        <v>105.18373032252</v>
      </c>
      <c r="G38" s="13" t="n">
        <f aca="false">G$4*$B38+(1-G$4)*G37</f>
        <v>110.783716258855</v>
      </c>
      <c r="H38" s="13" t="n">
        <f aca="false">H$4*$B38+(1-H$4)*H37</f>
        <v>114.286740899142</v>
      </c>
      <c r="I38" s="13" t="n">
        <f aca="false">I$4*$B38+(1-I$4)*I37</f>
        <v>116.628058693306</v>
      </c>
      <c r="J38" s="13" t="n">
        <f aca="false">J$4*$B38+(1-J$4)*J37</f>
        <v>118.305179840388</v>
      </c>
      <c r="K38" s="13" t="n">
        <f aca="false">K$4*$B38+(1-K$4)*K37</f>
        <v>119.576045873097</v>
      </c>
      <c r="L38" s="13" t="n">
        <f aca="false">L$4*$B38+(1-L$4)*L37</f>
        <v>120.571615721099</v>
      </c>
      <c r="M38" s="13" t="n">
        <f aca="false">M$4*$B38+(1-M$4)*M37</f>
        <v>121.357789797342</v>
      </c>
      <c r="N38" s="13" t="n">
        <f aca="false">N$4*$B38+(1-N$4)*N37</f>
        <v>121.968380925021</v>
      </c>
      <c r="O38" s="13" t="n">
        <f aca="false">O$4*$B38+(1-O$4)*O37</f>
        <v>122.42209395072</v>
      </c>
      <c r="P38" s="13" t="n">
        <f aca="false">P$4*$B38+(1-P$4)*P37</f>
        <v>122.730957960297</v>
      </c>
      <c r="Q38" s="13" t="n">
        <f aca="false">Q$4*$B38+(1-Q$4)*Q37</f>
        <v>122.904304441236</v>
      </c>
      <c r="R38" s="13" t="n">
        <f aca="false">R$4*$B38+(1-R$4)*R37</f>
        <v>122.950438385651</v>
      </c>
      <c r="S38" s="13" t="n">
        <f aca="false">S$4*$B38+(1-S$4)*S37</f>
        <v>122.877079069162</v>
      </c>
      <c r="T38" s="13" t="n">
        <f aca="false">T$4*$B38+(1-T$4)*T37</f>
        <v>122.69109654337</v>
      </c>
      <c r="U38" s="13" t="n">
        <f aca="false">U$4*$B38+(1-U$4)*U37</f>
        <v>122.397809063248</v>
      </c>
    </row>
    <row r="39" customFormat="false" ht="15" hidden="false" customHeight="false" outlineLevel="0" collapsed="false">
      <c r="A39" s="11" t="n">
        <f aca="false">Daily!A36</f>
        <v>43918</v>
      </c>
      <c r="B39" s="13" t="n">
        <f aca="false">Daily!C36</f>
        <v>184</v>
      </c>
      <c r="C39" s="13" t="n">
        <f aca="false">C$4*$B39+(1-C$4)*C38</f>
        <v>57.9546344287697</v>
      </c>
      <c r="D39" s="13" t="n">
        <f aca="false">D$4*$B39+(1-D$4)*D38</f>
        <v>89.982842139792</v>
      </c>
      <c r="E39" s="13" t="n">
        <f aca="false">E$4*$B39+(1-E$4)*E38</f>
        <v>109.010608363473</v>
      </c>
      <c r="F39" s="13" t="n">
        <f aca="false">F$4*$B39+(1-F$4)*F38</f>
        <v>120.946984258016</v>
      </c>
      <c r="G39" s="13" t="n">
        <f aca="false">G$4*$B39+(1-G$4)*G38</f>
        <v>129.087787194141</v>
      </c>
      <c r="H39" s="13" t="n">
        <f aca="false">H$4*$B39+(1-H$4)*H38</f>
        <v>135.2007186294</v>
      </c>
      <c r="I39" s="13" t="n">
        <f aca="false">I$4*$B39+(1-I$4)*I38</f>
        <v>140.208238150649</v>
      </c>
      <c r="J39" s="13" t="n">
        <f aca="false">J$4*$B39+(1-J$4)*J38</f>
        <v>144.583107904233</v>
      </c>
      <c r="K39" s="13" t="n">
        <f aca="false">K$4*$B39+(1-K$4)*K38</f>
        <v>148.566825230203</v>
      </c>
      <c r="L39" s="13" t="n">
        <f aca="false">L$4*$B39+(1-L$4)*L38</f>
        <v>152.28580786055</v>
      </c>
      <c r="M39" s="13" t="n">
        <f aca="false">M$4*$B39+(1-M$4)*M38</f>
        <v>155.811005408804</v>
      </c>
      <c r="N39" s="13" t="n">
        <f aca="false">N$4*$B39+(1-N$4)*N38</f>
        <v>159.187352370008</v>
      </c>
      <c r="O39" s="13" t="n">
        <f aca="false">O$4*$B39+(1-O$4)*O38</f>
        <v>162.447732882752</v>
      </c>
      <c r="P39" s="13" t="n">
        <f aca="false">P$4*$B39+(1-P$4)*P38</f>
        <v>165.619287388089</v>
      </c>
      <c r="Q39" s="13" t="n">
        <f aca="false">Q$4*$B39+(1-Q$4)*Q38</f>
        <v>168.726076110309</v>
      </c>
      <c r="R39" s="13" t="n">
        <f aca="false">R$4*$B39+(1-R$4)*R38</f>
        <v>171.79008767713</v>
      </c>
      <c r="S39" s="13" t="n">
        <f aca="false">S$4*$B39+(1-S$4)*S38</f>
        <v>174.831561860374</v>
      </c>
      <c r="T39" s="13" t="n">
        <f aca="false">T$4*$B39+(1-T$4)*T38</f>
        <v>177.869109654337</v>
      </c>
      <c r="U39" s="13" t="n">
        <f aca="false">U$4*$B39+(1-U$4)*U38</f>
        <v>180.919890453162</v>
      </c>
    </row>
    <row r="40" customFormat="false" ht="15" hidden="false" customHeight="false" outlineLevel="0" collapsed="false">
      <c r="A40" s="11" t="n">
        <f aca="false">Daily!A37</f>
        <v>43919</v>
      </c>
      <c r="B40" s="13" t="n">
        <f aca="false">Daily!C37</f>
        <v>87</v>
      </c>
      <c r="C40" s="13" t="n">
        <f aca="false">C$4*$B40+(1-C$4)*C39</f>
        <v>59.4069027073312</v>
      </c>
      <c r="D40" s="13" t="n">
        <f aca="false">D$4*$B40+(1-D$4)*D39</f>
        <v>89.6845579258128</v>
      </c>
      <c r="E40" s="13" t="n">
        <f aca="false">E$4*$B40+(1-E$4)*E39</f>
        <v>105.709017108952</v>
      </c>
      <c r="F40" s="13" t="n">
        <f aca="false">F$4*$B40+(1-F$4)*F39</f>
        <v>114.157587406413</v>
      </c>
      <c r="G40" s="13" t="n">
        <f aca="false">G$4*$B40+(1-G$4)*G39</f>
        <v>118.565840395606</v>
      </c>
      <c r="H40" s="13" t="n">
        <f aca="false">H$4*$B40+(1-H$4)*H39</f>
        <v>120.74050304058</v>
      </c>
      <c r="I40" s="13" t="n">
        <f aca="false">I$4*$B40+(1-I$4)*I39</f>
        <v>121.585354797922</v>
      </c>
      <c r="J40" s="13" t="n">
        <f aca="false">J$4*$B40+(1-J$4)*J39</f>
        <v>121.54986474254</v>
      </c>
      <c r="K40" s="13" t="n">
        <f aca="false">K$4*$B40+(1-K$4)*K39</f>
        <v>120.861753876612</v>
      </c>
      <c r="L40" s="13" t="n">
        <f aca="false">L$4*$B40+(1-L$4)*L39</f>
        <v>119.642903930275</v>
      </c>
      <c r="M40" s="13" t="n">
        <f aca="false">M$4*$B40+(1-M$4)*M39</f>
        <v>117.964952433962</v>
      </c>
      <c r="N40" s="13" t="n">
        <f aca="false">N$4*$B40+(1-N$4)*N39</f>
        <v>115.874940948003</v>
      </c>
      <c r="O40" s="13" t="n">
        <f aca="false">O$4*$B40+(1-O$4)*O39</f>
        <v>113.406706508963</v>
      </c>
      <c r="P40" s="13" t="n">
        <f aca="false">P$4*$B40+(1-P$4)*P39</f>
        <v>110.585786216427</v>
      </c>
      <c r="Q40" s="13" t="n">
        <f aca="false">Q$4*$B40+(1-Q$4)*Q39</f>
        <v>107.431519027577</v>
      </c>
      <c r="R40" s="13" t="n">
        <f aca="false">R$4*$B40+(1-R$4)*R39</f>
        <v>103.958017535426</v>
      </c>
      <c r="S40" s="13" t="n">
        <f aca="false">S$4*$B40+(1-S$4)*S39</f>
        <v>100.174734279056</v>
      </c>
      <c r="T40" s="13" t="n">
        <f aca="false">T$4*$B40+(1-T$4)*T39</f>
        <v>96.0869109654337</v>
      </c>
      <c r="U40" s="13" t="n">
        <f aca="false">U$4*$B40+(1-U$4)*U39</f>
        <v>91.6959945226581</v>
      </c>
    </row>
    <row r="41" customFormat="false" ht="15" hidden="false" customHeight="false" outlineLevel="0" collapsed="false">
      <c r="A41" s="11" t="n">
        <f aca="false">Daily!A38</f>
        <v>43920</v>
      </c>
      <c r="B41" s="13" t="n">
        <f aca="false">Daily!C38</f>
        <v>145</v>
      </c>
      <c r="C41" s="13" t="n">
        <f aca="false">C$4*$B41+(1-C$4)*C40</f>
        <v>63.6865575719646</v>
      </c>
      <c r="D41" s="13" t="n">
        <f aca="false">D$4*$B41+(1-D$4)*D40</f>
        <v>95.2161021332315</v>
      </c>
      <c r="E41" s="13" t="n">
        <f aca="false">E$4*$B41+(1-E$4)*E40</f>
        <v>111.602664542609</v>
      </c>
      <c r="F41" s="13" t="n">
        <f aca="false">F$4*$B41+(1-F$4)*F40</f>
        <v>120.32606992513</v>
      </c>
      <c r="G41" s="13" t="n">
        <f aca="false">G$4*$B41+(1-G$4)*G40</f>
        <v>125.174380296704</v>
      </c>
      <c r="H41" s="13" t="n">
        <f aca="false">H$4*$B41+(1-H$4)*H40</f>
        <v>128.018352128406</v>
      </c>
      <c r="I41" s="13" t="n">
        <f aca="false">I$4*$B41+(1-I$4)*I40</f>
        <v>129.780480618649</v>
      </c>
      <c r="J41" s="13" t="n">
        <f aca="false">J$4*$B41+(1-J$4)*J40</f>
        <v>130.929918845524</v>
      </c>
      <c r="K41" s="13" t="n">
        <f aca="false">K$4*$B41+(1-K$4)*K40</f>
        <v>131.723964632136</v>
      </c>
      <c r="L41" s="13" t="n">
        <f aca="false">L$4*$B41+(1-L$4)*L40</f>
        <v>132.321451965137</v>
      </c>
      <c r="M41" s="13" t="n">
        <f aca="false">M$4*$B41+(1-M$4)*M40</f>
        <v>132.834228595283</v>
      </c>
      <c r="N41" s="13" t="n">
        <f aca="false">N$4*$B41+(1-N$4)*N40</f>
        <v>133.349976379201</v>
      </c>
      <c r="O41" s="13" t="n">
        <f aca="false">O$4*$B41+(1-O$4)*O40</f>
        <v>133.942347278137</v>
      </c>
      <c r="P41" s="13" t="n">
        <f aca="false">P$4*$B41+(1-P$4)*P40</f>
        <v>134.675735864928</v>
      </c>
      <c r="Q41" s="13" t="n">
        <f aca="false">Q$4*$B41+(1-Q$4)*Q40</f>
        <v>135.607879756894</v>
      </c>
      <c r="R41" s="13" t="n">
        <f aca="false">R$4*$B41+(1-R$4)*R40</f>
        <v>136.791603507085</v>
      </c>
      <c r="S41" s="13" t="n">
        <f aca="false">S$4*$B41+(1-S$4)*S40</f>
        <v>138.276210141858</v>
      </c>
      <c r="T41" s="13" t="n">
        <f aca="false">T$4*$B41+(1-T$4)*T40</f>
        <v>140.108691096543</v>
      </c>
      <c r="U41" s="13" t="n">
        <f aca="false">U$4*$B41+(1-U$4)*U40</f>
        <v>142.334799726133</v>
      </c>
    </row>
    <row r="42" customFormat="false" ht="15" hidden="false" customHeight="false" outlineLevel="0" collapsed="false">
      <c r="A42" s="11" t="n">
        <f aca="false">Daily!A39</f>
        <v>43921</v>
      </c>
      <c r="B42" s="13" t="n">
        <f aca="false">Daily!C39</f>
        <v>223</v>
      </c>
      <c r="C42" s="13" t="n">
        <f aca="false">C$4*$B42+(1-C$4)*C41</f>
        <v>71.6522296933664</v>
      </c>
      <c r="D42" s="13" t="n">
        <f aca="false">D$4*$B42+(1-D$4)*D41</f>
        <v>107.994491919908</v>
      </c>
      <c r="E42" s="13" t="n">
        <f aca="false">E$4*$B42+(1-E$4)*E41</f>
        <v>128.312264861218</v>
      </c>
      <c r="F42" s="13" t="n">
        <f aca="false">F$4*$B42+(1-F$4)*F41</f>
        <v>140.860855940104</v>
      </c>
      <c r="G42" s="13" t="n">
        <f aca="false">G$4*$B42+(1-G$4)*G41</f>
        <v>149.630785222528</v>
      </c>
      <c r="H42" s="13" t="n">
        <f aca="false">H$4*$B42+(1-H$4)*H41</f>
        <v>156.512846489884</v>
      </c>
      <c r="I42" s="13" t="n">
        <f aca="false">I$4*$B42+(1-I$4)*I41</f>
        <v>162.407312402122</v>
      </c>
      <c r="J42" s="13" t="n">
        <f aca="false">J$4*$B42+(1-J$4)*J41</f>
        <v>167.757951307314</v>
      </c>
      <c r="K42" s="13" t="n">
        <f aca="false">K$4*$B42+(1-K$4)*K41</f>
        <v>172.798180547675</v>
      </c>
      <c r="L42" s="13" t="n">
        <f aca="false">L$4*$B42+(1-L$4)*L41</f>
        <v>177.660725982569</v>
      </c>
      <c r="M42" s="13" t="n">
        <f aca="false">M$4*$B42+(1-M$4)*M41</f>
        <v>182.425402867877</v>
      </c>
      <c r="N42" s="13" t="n">
        <f aca="false">N$4*$B42+(1-N$4)*N41</f>
        <v>187.139990551681</v>
      </c>
      <c r="O42" s="13" t="n">
        <f aca="false">O$4*$B42+(1-O$4)*O41</f>
        <v>191.829821547348</v>
      </c>
      <c r="P42" s="13" t="n">
        <f aca="false">P$4*$B42+(1-P$4)*P41</f>
        <v>196.502720759478</v>
      </c>
      <c r="Q42" s="13" t="n">
        <f aca="false">Q$4*$B42+(1-Q$4)*Q41</f>
        <v>201.151969939224</v>
      </c>
      <c r="R42" s="13" t="n">
        <f aca="false">R$4*$B42+(1-R$4)*R41</f>
        <v>205.758320701417</v>
      </c>
      <c r="S42" s="13" t="n">
        <f aca="false">S$4*$B42+(1-S$4)*S41</f>
        <v>210.291431521279</v>
      </c>
      <c r="T42" s="13" t="n">
        <f aca="false">T$4*$B42+(1-T$4)*T41</f>
        <v>214.710869109654</v>
      </c>
      <c r="U42" s="13" t="n">
        <f aca="false">U$4*$B42+(1-U$4)*U41</f>
        <v>218.966739986307</v>
      </c>
    </row>
    <row r="43" customFormat="false" ht="15" hidden="false" customHeight="false" outlineLevel="0" collapsed="false">
      <c r="A43" s="11" t="n">
        <f aca="false">Daily!A40</f>
        <v>43922</v>
      </c>
      <c r="B43" s="13" t="n">
        <f aca="false">Daily!C40</f>
        <v>260</v>
      </c>
      <c r="C43" s="13" t="n">
        <f aca="false">C$4*$B43+(1-C$4)*C42</f>
        <v>81.0696182086981</v>
      </c>
      <c r="D43" s="13" t="n">
        <f aca="false">D$4*$B43+(1-D$4)*D42</f>
        <v>123.195042727918</v>
      </c>
      <c r="E43" s="13" t="n">
        <f aca="false">E$4*$B43+(1-E$4)*E42</f>
        <v>148.065425132035</v>
      </c>
      <c r="F43" s="13" t="n">
        <f aca="false">F$4*$B43+(1-F$4)*F42</f>
        <v>164.688684752083</v>
      </c>
      <c r="G43" s="13" t="n">
        <f aca="false">G$4*$B43+(1-G$4)*G42</f>
        <v>177.223088916896</v>
      </c>
      <c r="H43" s="13" t="n">
        <f aca="false">H$4*$B43+(1-H$4)*H42</f>
        <v>187.558992542919</v>
      </c>
      <c r="I43" s="13" t="n">
        <f aca="false">I$4*$B43+(1-I$4)*I42</f>
        <v>196.564753061379</v>
      </c>
      <c r="J43" s="13" t="n">
        <f aca="false">J$4*$B43+(1-J$4)*J42</f>
        <v>204.654770784389</v>
      </c>
      <c r="K43" s="13" t="n">
        <f aca="false">K$4*$B43+(1-K$4)*K42</f>
        <v>212.038999301221</v>
      </c>
      <c r="L43" s="13" t="n">
        <f aca="false">L$4*$B43+(1-L$4)*L42</f>
        <v>218.830362991284</v>
      </c>
      <c r="M43" s="13" t="n">
        <f aca="false">M$4*$B43+(1-M$4)*M42</f>
        <v>225.091431290545</v>
      </c>
      <c r="N43" s="13" t="n">
        <f aca="false">N$4*$B43+(1-N$4)*N42</f>
        <v>230.855996220672</v>
      </c>
      <c r="O43" s="13" t="n">
        <f aca="false">O$4*$B43+(1-O$4)*O42</f>
        <v>236.140437541572</v>
      </c>
      <c r="P43" s="13" t="n">
        <f aca="false">P$4*$B43+(1-P$4)*P42</f>
        <v>240.950816227844</v>
      </c>
      <c r="Q43" s="13" t="n">
        <f aca="false">Q$4*$B43+(1-Q$4)*Q42</f>
        <v>245.287992484806</v>
      </c>
      <c r="R43" s="13" t="n">
        <f aca="false">R$4*$B43+(1-R$4)*R42</f>
        <v>249.151664140283</v>
      </c>
      <c r="S43" s="13" t="n">
        <f aca="false">S$4*$B43+(1-S$4)*S42</f>
        <v>252.543714728192</v>
      </c>
      <c r="T43" s="13" t="n">
        <f aca="false">T$4*$B43+(1-T$4)*T42</f>
        <v>255.471086910965</v>
      </c>
      <c r="U43" s="13" t="n">
        <f aca="false">U$4*$B43+(1-U$4)*U42</f>
        <v>257.948336999315</v>
      </c>
    </row>
    <row r="44" customFormat="false" ht="15" hidden="false" customHeight="false" outlineLevel="0" collapsed="false">
      <c r="A44" s="11" t="n">
        <f aca="false">Daily!A41</f>
        <v>43923</v>
      </c>
      <c r="B44" s="13" t="n">
        <f aca="false">Daily!C41</f>
        <v>183</v>
      </c>
      <c r="C44" s="13" t="n">
        <f aca="false">C$4*$B44+(1-C$4)*C43</f>
        <v>86.1661372982632</v>
      </c>
      <c r="D44" s="13" t="n">
        <f aca="false">D$4*$B44+(1-D$4)*D43</f>
        <v>129.175538455126</v>
      </c>
      <c r="E44" s="13" t="n">
        <f aca="false">E$4*$B44+(1-E$4)*E43</f>
        <v>153.30561136223</v>
      </c>
      <c r="F44" s="13" t="n">
        <f aca="false">F$4*$B44+(1-F$4)*F43</f>
        <v>168.350947801667</v>
      </c>
      <c r="G44" s="13" t="n">
        <f aca="false">G$4*$B44+(1-G$4)*G43</f>
        <v>178.667316687672</v>
      </c>
      <c r="H44" s="13" t="n">
        <f aca="false">H$4*$B44+(1-H$4)*H43</f>
        <v>186.191294780043</v>
      </c>
      <c r="I44" s="13" t="n">
        <f aca="false">I$4*$B44+(1-I$4)*I43</f>
        <v>191.817089489897</v>
      </c>
      <c r="J44" s="13" t="n">
        <f aca="false">J$4*$B44+(1-J$4)*J43</f>
        <v>195.992862470633</v>
      </c>
      <c r="K44" s="13" t="n">
        <f aca="false">K$4*$B44+(1-K$4)*K43</f>
        <v>198.971449615672</v>
      </c>
      <c r="L44" s="13" t="n">
        <f aca="false">L$4*$B44+(1-L$4)*L43</f>
        <v>200.915181495642</v>
      </c>
      <c r="M44" s="13" t="n">
        <f aca="false">M$4*$B44+(1-M$4)*M43</f>
        <v>201.941144080745</v>
      </c>
      <c r="N44" s="13" t="n">
        <f aca="false">N$4*$B44+(1-N$4)*N43</f>
        <v>202.142398488269</v>
      </c>
      <c r="O44" s="13" t="n">
        <f aca="false">O$4*$B44+(1-O$4)*O43</f>
        <v>201.59915313955</v>
      </c>
      <c r="P44" s="13" t="n">
        <f aca="false">P$4*$B44+(1-P$4)*P43</f>
        <v>200.385244868353</v>
      </c>
      <c r="Q44" s="13" t="n">
        <f aca="false">Q$4*$B44+(1-Q$4)*Q43</f>
        <v>198.571998121202</v>
      </c>
      <c r="R44" s="13" t="n">
        <f aca="false">R$4*$B44+(1-R$4)*R43</f>
        <v>196.230332828057</v>
      </c>
      <c r="S44" s="13" t="n">
        <f aca="false">S$4*$B44+(1-S$4)*S43</f>
        <v>193.431557209229</v>
      </c>
      <c r="T44" s="13" t="n">
        <f aca="false">T$4*$B44+(1-T$4)*T43</f>
        <v>190.247108691097</v>
      </c>
      <c r="U44" s="13" t="n">
        <f aca="false">U$4*$B44+(1-U$4)*U43</f>
        <v>186.747416849966</v>
      </c>
    </row>
    <row r="45" customFormat="false" ht="15" hidden="false" customHeight="false" outlineLevel="0" collapsed="false">
      <c r="A45" s="11" t="n">
        <f aca="false">Daily!A42</f>
        <v>43924</v>
      </c>
      <c r="B45" s="13" t="n">
        <f aca="false">Daily!C42</f>
        <v>239</v>
      </c>
      <c r="C45" s="13" t="n">
        <f aca="false">C$4*$B45+(1-C$4)*C44</f>
        <v>93.80783043335</v>
      </c>
      <c r="D45" s="13" t="n">
        <f aca="false">D$4*$B45+(1-D$4)*D44</f>
        <v>140.157984609613</v>
      </c>
      <c r="E45" s="13" t="n">
        <f aca="false">E$4*$B45+(1-E$4)*E44</f>
        <v>166.159769657895</v>
      </c>
      <c r="F45" s="13" t="n">
        <f aca="false">F$4*$B45+(1-F$4)*F44</f>
        <v>182.480758241333</v>
      </c>
      <c r="G45" s="13" t="n">
        <f aca="false">G$4*$B45+(1-G$4)*G44</f>
        <v>193.750487515754</v>
      </c>
      <c r="H45" s="13" t="n">
        <f aca="false">H$4*$B45+(1-H$4)*H44</f>
        <v>202.03390634603</v>
      </c>
      <c r="I45" s="13" t="n">
        <f aca="false">I$4*$B45+(1-I$4)*I44</f>
        <v>208.331108168433</v>
      </c>
      <c r="J45" s="13" t="n">
        <f aca="false">J$4*$B45+(1-J$4)*J44</f>
        <v>213.19571748238</v>
      </c>
      <c r="K45" s="13" t="n">
        <f aca="false">K$4*$B45+(1-K$4)*K44</f>
        <v>216.984297288619</v>
      </c>
      <c r="L45" s="13" t="n">
        <f aca="false">L$4*$B45+(1-L$4)*L44</f>
        <v>219.957590747821</v>
      </c>
      <c r="M45" s="13" t="n">
        <f aca="false">M$4*$B45+(1-M$4)*M44</f>
        <v>222.323514836335</v>
      </c>
      <c r="N45" s="13" t="n">
        <f aca="false">N$4*$B45+(1-N$4)*N44</f>
        <v>224.256959395308</v>
      </c>
      <c r="O45" s="13" t="n">
        <f aca="false">O$4*$B45+(1-O$4)*O44</f>
        <v>225.909703598843</v>
      </c>
      <c r="P45" s="13" t="n">
        <f aca="false">P$4*$B45+(1-P$4)*P44</f>
        <v>227.415573460506</v>
      </c>
      <c r="Q45" s="13" t="n">
        <f aca="false">Q$4*$B45+(1-Q$4)*Q44</f>
        <v>228.8929995303</v>
      </c>
      <c r="R45" s="13" t="n">
        <f aca="false">R$4*$B45+(1-R$4)*R44</f>
        <v>230.446066565611</v>
      </c>
      <c r="S45" s="13" t="n">
        <f aca="false">S$4*$B45+(1-S$4)*S44</f>
        <v>232.164733581384</v>
      </c>
      <c r="T45" s="13" t="n">
        <f aca="false">T$4*$B45+(1-T$4)*T44</f>
        <v>234.12471086911</v>
      </c>
      <c r="U45" s="13" t="n">
        <f aca="false">U$4*$B45+(1-U$4)*U44</f>
        <v>236.387370842498</v>
      </c>
    </row>
    <row r="46" customFormat="false" ht="15" hidden="false" customHeight="false" outlineLevel="0" collapsed="false">
      <c r="A46" s="11" t="n">
        <f aca="false">Daily!A43</f>
        <v>43925</v>
      </c>
      <c r="B46" s="13" t="n">
        <f aca="false">Daily!C43</f>
        <v>79</v>
      </c>
      <c r="C46" s="13" t="n">
        <f aca="false">C$4*$B46+(1-C$4)*C45</f>
        <v>93.0674389116825</v>
      </c>
      <c r="D46" s="13" t="n">
        <f aca="false">D$4*$B46+(1-D$4)*D45</f>
        <v>134.042186148652</v>
      </c>
      <c r="E46" s="13" t="n">
        <f aca="false">E$4*$B46+(1-E$4)*E45</f>
        <v>153.085804209211</v>
      </c>
      <c r="F46" s="13" t="n">
        <f aca="false">F$4*$B46+(1-F$4)*F45</f>
        <v>161.784606593067</v>
      </c>
      <c r="G46" s="13" t="n">
        <f aca="false">G$4*$B46+(1-G$4)*G45</f>
        <v>165.062865636816</v>
      </c>
      <c r="H46" s="13" t="n">
        <f aca="false">H$4*$B46+(1-H$4)*H45</f>
        <v>165.123734442221</v>
      </c>
      <c r="I46" s="13" t="n">
        <f aca="false">I$4*$B46+(1-I$4)*I45</f>
        <v>163.065220309481</v>
      </c>
      <c r="J46" s="13" t="n">
        <f aca="false">J$4*$B46+(1-J$4)*J45</f>
        <v>159.517430489428</v>
      </c>
      <c r="K46" s="13" t="n">
        <f aca="false">K$4*$B46+(1-K$4)*K45</f>
        <v>154.891363508741</v>
      </c>
      <c r="L46" s="13" t="n">
        <f aca="false">L$4*$B46+(1-L$4)*L45</f>
        <v>149.478795373911</v>
      </c>
      <c r="M46" s="13" t="n">
        <f aca="false">M$4*$B46+(1-M$4)*M45</f>
        <v>143.495581676351</v>
      </c>
      <c r="N46" s="13" t="n">
        <f aca="false">N$4*$B46+(1-N$4)*N45</f>
        <v>137.102783758123</v>
      </c>
      <c r="O46" s="13" t="n">
        <f aca="false">O$4*$B46+(1-O$4)*O45</f>
        <v>130.418396259595</v>
      </c>
      <c r="P46" s="13" t="n">
        <f aca="false">P$4*$B46+(1-P$4)*P45</f>
        <v>123.524672038152</v>
      </c>
      <c r="Q46" s="13" t="n">
        <f aca="false">Q$4*$B46+(1-Q$4)*Q45</f>
        <v>116.473249882575</v>
      </c>
      <c r="R46" s="13" t="n">
        <f aca="false">R$4*$B46+(1-R$4)*R45</f>
        <v>109.289213313122</v>
      </c>
      <c r="S46" s="13" t="n">
        <f aca="false">S$4*$B46+(1-S$4)*S45</f>
        <v>101.974710037208</v>
      </c>
      <c r="T46" s="13" t="n">
        <f aca="false">T$4*$B46+(1-T$4)*T45</f>
        <v>94.512471086911</v>
      </c>
      <c r="U46" s="13" t="n">
        <f aca="false">U$4*$B46+(1-U$4)*U45</f>
        <v>86.8693685421249</v>
      </c>
    </row>
    <row r="47" customFormat="false" ht="15" hidden="false" customHeight="false" outlineLevel="0" collapsed="false">
      <c r="A47" s="11" t="n">
        <f aca="false">Daily!A44</f>
        <v>43926</v>
      </c>
      <c r="B47" s="13" t="n">
        <f aca="false">Daily!C44</f>
        <v>180</v>
      </c>
      <c r="C47" s="13" t="n">
        <f aca="false">C$4*$B47+(1-C$4)*C46</f>
        <v>97.4140669660984</v>
      </c>
      <c r="D47" s="13" t="n">
        <f aca="false">D$4*$B47+(1-D$4)*D46</f>
        <v>138.637967533787</v>
      </c>
      <c r="E47" s="13" t="n">
        <f aca="false">E$4*$B47+(1-E$4)*E46</f>
        <v>157.122933577829</v>
      </c>
      <c r="F47" s="13" t="n">
        <f aca="false">F$4*$B47+(1-F$4)*F46</f>
        <v>165.427685274453</v>
      </c>
      <c r="G47" s="13" t="n">
        <f aca="false">G$4*$B47+(1-G$4)*G46</f>
        <v>168.797149227612</v>
      </c>
      <c r="H47" s="13" t="n">
        <f aca="false">H$4*$B47+(1-H$4)*H46</f>
        <v>169.586614109555</v>
      </c>
      <c r="I47" s="13" t="n">
        <f aca="false">I$4*$B47+(1-I$4)*I46</f>
        <v>168.992393201163</v>
      </c>
      <c r="J47" s="13" t="n">
        <f aca="false">J$4*$B47+(1-J$4)*J46</f>
        <v>167.710458293657</v>
      </c>
      <c r="K47" s="13" t="n">
        <f aca="false">K$4*$B47+(1-K$4)*K46</f>
        <v>166.190249929807</v>
      </c>
      <c r="L47" s="13" t="n">
        <f aca="false">L$4*$B47+(1-L$4)*L46</f>
        <v>164.739397686955</v>
      </c>
      <c r="M47" s="13" t="n">
        <f aca="false">M$4*$B47+(1-M$4)*M46</f>
        <v>163.573011754358</v>
      </c>
      <c r="N47" s="13" t="n">
        <f aca="false">N$4*$B47+(1-N$4)*N46</f>
        <v>162.841113503249</v>
      </c>
      <c r="O47" s="13" t="n">
        <f aca="false">O$4*$B47+(1-O$4)*O46</f>
        <v>162.646438690858</v>
      </c>
      <c r="P47" s="13" t="n">
        <f aca="false">P$4*$B47+(1-P$4)*P46</f>
        <v>163.057401611446</v>
      </c>
      <c r="Q47" s="13" t="n">
        <f aca="false">Q$4*$B47+(1-Q$4)*Q46</f>
        <v>164.118312470644</v>
      </c>
      <c r="R47" s="13" t="n">
        <f aca="false">R$4*$B47+(1-R$4)*R46</f>
        <v>165.857842662624</v>
      </c>
      <c r="S47" s="13" t="n">
        <f aca="false">S$4*$B47+(1-S$4)*S46</f>
        <v>168.296206505581</v>
      </c>
      <c r="T47" s="13" t="n">
        <f aca="false">T$4*$B47+(1-T$4)*T46</f>
        <v>171.451247108691</v>
      </c>
      <c r="U47" s="13" t="n">
        <f aca="false">U$4*$B47+(1-U$4)*U46</f>
        <v>175.343468427106</v>
      </c>
    </row>
    <row r="48" customFormat="false" ht="15" hidden="false" customHeight="false" outlineLevel="0" collapsed="false">
      <c r="A48" s="11" t="n">
        <f aca="false">Daily!A45</f>
        <v>43927</v>
      </c>
      <c r="B48" s="13" t="n">
        <f aca="false">Daily!C45</f>
        <v>249</v>
      </c>
      <c r="C48" s="13" t="n">
        <f aca="false">C$4*$B48+(1-C$4)*C47</f>
        <v>104.993363617793</v>
      </c>
      <c r="D48" s="13" t="n">
        <f aca="false">D$4*$B48+(1-D$4)*D47</f>
        <v>149.674170780408</v>
      </c>
      <c r="E48" s="13" t="n">
        <f aca="false">E$4*$B48+(1-E$4)*E47</f>
        <v>170.904493541155</v>
      </c>
      <c r="F48" s="13" t="n">
        <f aca="false">F$4*$B48+(1-F$4)*F47</f>
        <v>182.142148219563</v>
      </c>
      <c r="G48" s="13" t="n">
        <f aca="false">G$4*$B48+(1-G$4)*G47</f>
        <v>188.847861920709</v>
      </c>
      <c r="H48" s="13" t="n">
        <f aca="false">H$4*$B48+(1-H$4)*H47</f>
        <v>193.410629876688</v>
      </c>
      <c r="I48" s="13" t="n">
        <f aca="false">I$4*$B48+(1-I$4)*I47</f>
        <v>196.995055580756</v>
      </c>
      <c r="J48" s="13" t="n">
        <f aca="false">J$4*$B48+(1-J$4)*J47</f>
        <v>200.226274976194</v>
      </c>
      <c r="K48" s="13" t="n">
        <f aca="false">K$4*$B48+(1-K$4)*K47</f>
        <v>203.454637461394</v>
      </c>
      <c r="L48" s="13" t="n">
        <f aca="false">L$4*$B48+(1-L$4)*L47</f>
        <v>206.869698843478</v>
      </c>
      <c r="M48" s="13" t="n">
        <f aca="false">M$4*$B48+(1-M$4)*M47</f>
        <v>210.557855289461</v>
      </c>
      <c r="N48" s="13" t="n">
        <f aca="false">N$4*$B48+(1-N$4)*N47</f>
        <v>214.5364454013</v>
      </c>
      <c r="O48" s="13" t="n">
        <f aca="false">O$4*$B48+(1-O$4)*O47</f>
        <v>218.7762535418</v>
      </c>
      <c r="P48" s="13" t="n">
        <f aca="false">P$4*$B48+(1-P$4)*P47</f>
        <v>223.217220483434</v>
      </c>
      <c r="Q48" s="13" t="n">
        <f aca="false">Q$4*$B48+(1-Q$4)*Q47</f>
        <v>227.779578117661</v>
      </c>
      <c r="R48" s="13" t="n">
        <f aca="false">R$4*$B48+(1-R$4)*R47</f>
        <v>232.371568532525</v>
      </c>
      <c r="S48" s="13" t="n">
        <f aca="false">S$4*$B48+(1-S$4)*S47</f>
        <v>236.894430975837</v>
      </c>
      <c r="T48" s="13" t="n">
        <f aca="false">T$4*$B48+(1-T$4)*T47</f>
        <v>241.245124710869</v>
      </c>
      <c r="U48" s="13" t="n">
        <f aca="false">U$4*$B48+(1-U$4)*U47</f>
        <v>245.317173421355</v>
      </c>
    </row>
    <row r="49" customFormat="false" ht="15" hidden="false" customHeight="false" outlineLevel="0" collapsed="false">
      <c r="A49" s="11" t="n">
        <f aca="false">Daily!A46</f>
        <v>43928</v>
      </c>
      <c r="B49" s="13" t="n">
        <f aca="false">Daily!C46</f>
        <v>107</v>
      </c>
      <c r="C49" s="13" t="n">
        <f aca="false">C$4*$B49+(1-C$4)*C48</f>
        <v>105.093695436904</v>
      </c>
      <c r="D49" s="13" t="n">
        <f aca="false">D$4*$B49+(1-D$4)*D48</f>
        <v>145.406753702367</v>
      </c>
      <c r="E49" s="13" t="n">
        <f aca="false">E$4*$B49+(1-E$4)*E48</f>
        <v>161.318819509982</v>
      </c>
      <c r="F49" s="13" t="n">
        <f aca="false">F$4*$B49+(1-F$4)*F48</f>
        <v>167.11371857565</v>
      </c>
      <c r="G49" s="13" t="n">
        <f aca="false">G$4*$B49+(1-G$4)*G48</f>
        <v>168.385896440532</v>
      </c>
      <c r="H49" s="13" t="n">
        <f aca="false">H$4*$B49+(1-H$4)*H48</f>
        <v>167.487440913682</v>
      </c>
      <c r="I49" s="13" t="n">
        <f aca="false">I$4*$B49+(1-I$4)*I48</f>
        <v>165.496786127491</v>
      </c>
      <c r="J49" s="13" t="n">
        <f aca="false">J$4*$B49+(1-J$4)*J48</f>
        <v>162.935764985716</v>
      </c>
      <c r="K49" s="13" t="n">
        <f aca="false">K$4*$B49+(1-K$4)*K48</f>
        <v>160.050050603767</v>
      </c>
      <c r="L49" s="13" t="n">
        <f aca="false">L$4*$B49+(1-L$4)*L48</f>
        <v>156.934849421739</v>
      </c>
      <c r="M49" s="13" t="n">
        <f aca="false">M$4*$B49+(1-M$4)*M48</f>
        <v>153.601034880257</v>
      </c>
      <c r="N49" s="13" t="n">
        <f aca="false">N$4*$B49+(1-N$4)*N48</f>
        <v>150.01457816052</v>
      </c>
      <c r="O49" s="13" t="n">
        <f aca="false">O$4*$B49+(1-O$4)*O48</f>
        <v>146.12168873963</v>
      </c>
      <c r="P49" s="13" t="n">
        <f aca="false">P$4*$B49+(1-P$4)*P48</f>
        <v>141.86516614503</v>
      </c>
      <c r="Q49" s="13" t="n">
        <f aca="false">Q$4*$B49+(1-Q$4)*Q48</f>
        <v>137.194894529415</v>
      </c>
      <c r="R49" s="13" t="n">
        <f aca="false">R$4*$B49+(1-R$4)*R48</f>
        <v>132.074313706505</v>
      </c>
      <c r="S49" s="13" t="n">
        <f aca="false">S$4*$B49+(1-S$4)*S48</f>
        <v>126.484164646376</v>
      </c>
      <c r="T49" s="13" t="n">
        <f aca="false">T$4*$B49+(1-T$4)*T48</f>
        <v>120.424512471087</v>
      </c>
      <c r="U49" s="13" t="n">
        <f aca="false">U$4*$B49+(1-U$4)*U48</f>
        <v>113.915858671068</v>
      </c>
    </row>
    <row r="50" customFormat="false" ht="15" hidden="false" customHeight="false" outlineLevel="0" collapsed="false">
      <c r="A50" s="11" t="n">
        <f aca="false">Daily!A47</f>
        <v>43929</v>
      </c>
      <c r="B50" s="13" t="n">
        <f aca="false">Daily!C47</f>
        <v>337</v>
      </c>
      <c r="C50" s="13" t="n">
        <f aca="false">C$4*$B50+(1-C$4)*C49</f>
        <v>116.689010665059</v>
      </c>
      <c r="D50" s="13" t="n">
        <f aca="false">D$4*$B50+(1-D$4)*D49</f>
        <v>164.566078332131</v>
      </c>
      <c r="E50" s="13" t="n">
        <f aca="false">E$4*$B50+(1-E$4)*E49</f>
        <v>187.670996583484</v>
      </c>
      <c r="F50" s="13" t="n">
        <f aca="false">F$4*$B50+(1-F$4)*F49</f>
        <v>201.09097486052</v>
      </c>
      <c r="G50" s="13" t="n">
        <f aca="false">G$4*$B50+(1-G$4)*G49</f>
        <v>210.539422330399</v>
      </c>
      <c r="H50" s="13" t="n">
        <f aca="false">H$4*$B50+(1-H$4)*H49</f>
        <v>218.341208639577</v>
      </c>
      <c r="I50" s="13" t="n">
        <f aca="false">I$4*$B50+(1-I$4)*I49</f>
        <v>225.522910982869</v>
      </c>
      <c r="J50" s="13" t="n">
        <f aca="false">J$4*$B50+(1-J$4)*J49</f>
        <v>232.56145899143</v>
      </c>
      <c r="K50" s="13" t="n">
        <f aca="false">K$4*$B50+(1-K$4)*K49</f>
        <v>239.677527832072</v>
      </c>
      <c r="L50" s="13" t="n">
        <f aca="false">L$4*$B50+(1-L$4)*L49</f>
        <v>246.967424710869</v>
      </c>
      <c r="M50" s="13" t="n">
        <f aca="false">M$4*$B50+(1-M$4)*M49</f>
        <v>254.470465696116</v>
      </c>
      <c r="N50" s="13" t="n">
        <f aca="false">N$4*$B50+(1-N$4)*N49</f>
        <v>262.205831264208</v>
      </c>
      <c r="O50" s="13" t="n">
        <f aca="false">O$4*$B50+(1-O$4)*O49</f>
        <v>270.192591058871</v>
      </c>
      <c r="P50" s="13" t="n">
        <f aca="false">P$4*$B50+(1-P$4)*P49</f>
        <v>278.459549843509</v>
      </c>
      <c r="Q50" s="13" t="n">
        <f aca="false">Q$4*$B50+(1-Q$4)*Q49</f>
        <v>287.048723632354</v>
      </c>
      <c r="R50" s="13" t="n">
        <f aca="false">R$4*$B50+(1-R$4)*R49</f>
        <v>296.014862741301</v>
      </c>
      <c r="S50" s="13" t="n">
        <f aca="false">S$4*$B50+(1-S$4)*S49</f>
        <v>305.422624696956</v>
      </c>
      <c r="T50" s="13" t="n">
        <f aca="false">T$4*$B50+(1-T$4)*T49</f>
        <v>315.342451247109</v>
      </c>
      <c r="U50" s="13" t="n">
        <f aca="false">U$4*$B50+(1-U$4)*U49</f>
        <v>325.845792933553</v>
      </c>
    </row>
    <row r="51" customFormat="false" ht="15" hidden="false" customHeight="false" outlineLevel="0" collapsed="false">
      <c r="A51" s="11" t="n">
        <f aca="false">Daily!A48</f>
        <v>43930</v>
      </c>
      <c r="B51" s="13" t="n">
        <f aca="false">Daily!C48</f>
        <v>874</v>
      </c>
      <c r="C51" s="13" t="n">
        <f aca="false">C$4*$B51+(1-C$4)*C50</f>
        <v>154.554560131806</v>
      </c>
      <c r="D51" s="13" t="n">
        <f aca="false">D$4*$B51+(1-D$4)*D50</f>
        <v>235.509470498918</v>
      </c>
      <c r="E51" s="13" t="n">
        <f aca="false">E$4*$B51+(1-E$4)*E50</f>
        <v>290.620347095962</v>
      </c>
      <c r="F51" s="13" t="n">
        <f aca="false">F$4*$B51+(1-F$4)*F50</f>
        <v>335.672779888416</v>
      </c>
      <c r="G51" s="13" t="n">
        <f aca="false">G$4*$B51+(1-G$4)*G50</f>
        <v>376.404566747799</v>
      </c>
      <c r="H51" s="13" t="n">
        <f aca="false">H$4*$B51+(1-H$4)*H50</f>
        <v>415.038846047704</v>
      </c>
      <c r="I51" s="13" t="n">
        <f aca="false">I$4*$B51+(1-I$4)*I50</f>
        <v>452.489892138865</v>
      </c>
      <c r="J51" s="13" t="n">
        <f aca="false">J$4*$B51+(1-J$4)*J50</f>
        <v>489.136875394858</v>
      </c>
      <c r="K51" s="13" t="n">
        <f aca="false">K$4*$B51+(1-K$4)*K50</f>
        <v>525.12264030764</v>
      </c>
      <c r="L51" s="13" t="n">
        <f aca="false">L$4*$B51+(1-L$4)*L50</f>
        <v>560.483712355435</v>
      </c>
      <c r="M51" s="13" t="n">
        <f aca="false">M$4*$B51+(1-M$4)*M50</f>
        <v>595.211709563252</v>
      </c>
      <c r="N51" s="13" t="n">
        <f aca="false">N$4*$B51+(1-N$4)*N50</f>
        <v>629.282332505683</v>
      </c>
      <c r="O51" s="13" t="n">
        <f aca="false">O$4*$B51+(1-O$4)*O50</f>
        <v>662.667406870605</v>
      </c>
      <c r="P51" s="13" t="n">
        <f aca="false">P$4*$B51+(1-P$4)*P50</f>
        <v>695.337864953053</v>
      </c>
      <c r="Q51" s="13" t="n">
        <f aca="false">Q$4*$B51+(1-Q$4)*Q50</f>
        <v>727.262180908089</v>
      </c>
      <c r="R51" s="13" t="n">
        <f aca="false">R$4*$B51+(1-R$4)*R50</f>
        <v>758.40297254826</v>
      </c>
      <c r="S51" s="13" t="n">
        <f aca="false">S$4*$B51+(1-S$4)*S50</f>
        <v>788.713393704544</v>
      </c>
      <c r="T51" s="13" t="n">
        <f aca="false">T$4*$B51+(1-T$4)*T50</f>
        <v>818.134245124711</v>
      </c>
      <c r="U51" s="13" t="n">
        <f aca="false">U$4*$B51+(1-U$4)*U50</f>
        <v>846.592289646678</v>
      </c>
    </row>
    <row r="52" customFormat="false" ht="15" hidden="false" customHeight="false" outlineLevel="0" collapsed="false">
      <c r="A52" s="11" t="n">
        <f aca="false">Daily!A49</f>
        <v>43931</v>
      </c>
      <c r="B52" s="13" t="n">
        <f aca="false">Daily!C49</f>
        <v>156</v>
      </c>
      <c r="C52" s="13" t="n">
        <f aca="false">C$4*$B52+(1-C$4)*C51</f>
        <v>154.626832125215</v>
      </c>
      <c r="D52" s="13" t="n">
        <f aca="false">D$4*$B52+(1-D$4)*D51</f>
        <v>227.558523449026</v>
      </c>
      <c r="E52" s="13" t="n">
        <f aca="false">E$4*$B52+(1-E$4)*E51</f>
        <v>270.427295031567</v>
      </c>
      <c r="F52" s="13" t="n">
        <f aca="false">F$4*$B52+(1-F$4)*F51</f>
        <v>299.738223910733</v>
      </c>
      <c r="G52" s="13" t="n">
        <f aca="false">G$4*$B52+(1-G$4)*G51</f>
        <v>321.303425060849</v>
      </c>
      <c r="H52" s="13" t="n">
        <f aca="false">H$4*$B52+(1-H$4)*H51</f>
        <v>337.327192233393</v>
      </c>
      <c r="I52" s="13" t="n">
        <f aca="false">I$4*$B52+(1-I$4)*I51</f>
        <v>348.718429890262</v>
      </c>
      <c r="J52" s="13" t="n">
        <f aca="false">J$4*$B52+(1-J$4)*J51</f>
        <v>355.882125236915</v>
      </c>
      <c r="K52" s="13" t="n">
        <f aca="false">K$4*$B52+(1-K$4)*K51</f>
        <v>359.017452169202</v>
      </c>
      <c r="L52" s="13" t="n">
        <f aca="false">L$4*$B52+(1-L$4)*L51</f>
        <v>358.241856177717</v>
      </c>
      <c r="M52" s="13" t="n">
        <f aca="false">M$4*$B52+(1-M$4)*M51</f>
        <v>353.645269303463</v>
      </c>
      <c r="N52" s="13" t="n">
        <f aca="false">N$4*$B52+(1-N$4)*N51</f>
        <v>345.312933002273</v>
      </c>
      <c r="O52" s="13" t="n">
        <f aca="false">O$4*$B52+(1-O$4)*O51</f>
        <v>333.333592404712</v>
      </c>
      <c r="P52" s="13" t="n">
        <f aca="false">P$4*$B52+(1-P$4)*P51</f>
        <v>317.801359485916</v>
      </c>
      <c r="Q52" s="13" t="n">
        <f aca="false">Q$4*$B52+(1-Q$4)*Q51</f>
        <v>298.815545227022</v>
      </c>
      <c r="R52" s="13" t="n">
        <f aca="false">R$4*$B52+(1-R$4)*R51</f>
        <v>276.480594509652</v>
      </c>
      <c r="S52" s="13" t="n">
        <f aca="false">S$4*$B52+(1-S$4)*S51</f>
        <v>250.907009055682</v>
      </c>
      <c r="T52" s="13" t="n">
        <f aca="false">T$4*$B52+(1-T$4)*T51</f>
        <v>222.213424512471</v>
      </c>
      <c r="U52" s="13" t="n">
        <f aca="false">U$4*$B52+(1-U$4)*U51</f>
        <v>190.529614482334</v>
      </c>
    </row>
    <row r="53" customFormat="false" ht="15" hidden="false" customHeight="false" outlineLevel="0" collapsed="false">
      <c r="A53" s="11" t="n">
        <f aca="false">Daily!A50</f>
        <v>43932</v>
      </c>
      <c r="B53" s="13" t="n">
        <f aca="false">Daily!C50</f>
        <v>297</v>
      </c>
      <c r="C53" s="13" t="n">
        <f aca="false">C$4*$B53+(1-C$4)*C52</f>
        <v>161.745490518955</v>
      </c>
      <c r="D53" s="13" t="n">
        <f aca="false">D$4*$B53+(1-D$4)*D52</f>
        <v>234.502671104123</v>
      </c>
      <c r="E53" s="13" t="n">
        <f aca="false">E$4*$B53+(1-E$4)*E52</f>
        <v>274.413200776832</v>
      </c>
      <c r="F53" s="13" t="n">
        <f aca="false">F$4*$B53+(1-F$4)*F52</f>
        <v>299.190579128586</v>
      </c>
      <c r="G53" s="13" t="n">
        <f aca="false">G$4*$B53+(1-G$4)*G52</f>
        <v>315.227568795637</v>
      </c>
      <c r="H53" s="13" t="n">
        <f aca="false">H$4*$B53+(1-H$4)*H52</f>
        <v>325.229034563375</v>
      </c>
      <c r="I53" s="13" t="n">
        <f aca="false">I$4*$B53+(1-I$4)*I52</f>
        <v>330.61697942867</v>
      </c>
      <c r="J53" s="13" t="n">
        <f aca="false">J$4*$B53+(1-J$4)*J52</f>
        <v>332.329275142149</v>
      </c>
      <c r="K53" s="13" t="n">
        <f aca="false">K$4*$B53+(1-K$4)*K52</f>
        <v>331.109598693061</v>
      </c>
      <c r="L53" s="13" t="n">
        <f aca="false">L$4*$B53+(1-L$4)*L52</f>
        <v>327.620928088859</v>
      </c>
      <c r="M53" s="13" t="n">
        <f aca="false">M$4*$B53+(1-M$4)*M52</f>
        <v>322.490371186559</v>
      </c>
      <c r="N53" s="13" t="n">
        <f aca="false">N$4*$B53+(1-N$4)*N52</f>
        <v>316.325173200909</v>
      </c>
      <c r="O53" s="13" t="n">
        <f aca="false">O$4*$B53+(1-O$4)*O52</f>
        <v>309.716757341649</v>
      </c>
      <c r="P53" s="13" t="n">
        <f aca="false">P$4*$B53+(1-P$4)*P52</f>
        <v>303.240407845775</v>
      </c>
      <c r="Q53" s="13" t="n">
        <f aca="false">Q$4*$B53+(1-Q$4)*Q52</f>
        <v>297.453886306756</v>
      </c>
      <c r="R53" s="13" t="n">
        <f aca="false">R$4*$B53+(1-R$4)*R52</f>
        <v>292.89611890193</v>
      </c>
      <c r="S53" s="13" t="n">
        <f aca="false">S$4*$B53+(1-S$4)*S52</f>
        <v>290.086051358352</v>
      </c>
      <c r="T53" s="13" t="n">
        <f aca="false">T$4*$B53+(1-T$4)*T52</f>
        <v>289.521342451247</v>
      </c>
      <c r="U53" s="13" t="n">
        <f aca="false">U$4*$B53+(1-U$4)*U52</f>
        <v>291.676480724117</v>
      </c>
    </row>
    <row r="54" customFormat="false" ht="15" hidden="false" customHeight="false" outlineLevel="0" collapsed="false">
      <c r="A54" s="11" t="n">
        <f aca="false">Daily!A51</f>
        <v>43933</v>
      </c>
      <c r="B54" s="13" t="n">
        <f aca="false">Daily!C51</f>
        <v>253</v>
      </c>
      <c r="C54" s="13" t="n">
        <f aca="false">C$4*$B54+(1-C$4)*C53</f>
        <v>166.308215993007</v>
      </c>
      <c r="D54" s="13" t="n">
        <f aca="false">D$4*$B54+(1-D$4)*D53</f>
        <v>236.352403993711</v>
      </c>
      <c r="E54" s="13" t="n">
        <f aca="false">E$4*$B54+(1-E$4)*E53</f>
        <v>271.201220660307</v>
      </c>
      <c r="F54" s="13" t="n">
        <f aca="false">F$4*$B54+(1-F$4)*F53</f>
        <v>289.952463302869</v>
      </c>
      <c r="G54" s="13" t="n">
        <f aca="false">G$4*$B54+(1-G$4)*G53</f>
        <v>299.670676596728</v>
      </c>
      <c r="H54" s="13" t="n">
        <f aca="false">H$4*$B54+(1-H$4)*H53</f>
        <v>303.560324194362</v>
      </c>
      <c r="I54" s="13" t="n">
        <f aca="false">I$4*$B54+(1-I$4)*I53</f>
        <v>303.451036628636</v>
      </c>
      <c r="J54" s="13" t="n">
        <f aca="false">J$4*$B54+(1-J$4)*J53</f>
        <v>300.597565085289</v>
      </c>
      <c r="K54" s="13" t="n">
        <f aca="false">K$4*$B54+(1-K$4)*K53</f>
        <v>295.960279281184</v>
      </c>
      <c r="L54" s="13" t="n">
        <f aca="false">L$4*$B54+(1-L$4)*L53</f>
        <v>290.310464044429</v>
      </c>
      <c r="M54" s="13" t="n">
        <f aca="false">M$4*$B54+(1-M$4)*M53</f>
        <v>284.270667033951</v>
      </c>
      <c r="N54" s="13" t="n">
        <f aca="false">N$4*$B54+(1-N$4)*N53</f>
        <v>278.330069280364</v>
      </c>
      <c r="O54" s="13" t="n">
        <f aca="false">O$4*$B54+(1-O$4)*O53</f>
        <v>272.850865069577</v>
      </c>
      <c r="P54" s="13" t="n">
        <f aca="false">P$4*$B54+(1-P$4)*P53</f>
        <v>268.072122353732</v>
      </c>
      <c r="Q54" s="13" t="n">
        <f aca="false">Q$4*$B54+(1-Q$4)*Q53</f>
        <v>264.113471576689</v>
      </c>
      <c r="R54" s="13" t="n">
        <f aca="false">R$4*$B54+(1-R$4)*R53</f>
        <v>260.979223780386</v>
      </c>
      <c r="S54" s="13" t="n">
        <f aca="false">S$4*$B54+(1-S$4)*S53</f>
        <v>258.562907703753</v>
      </c>
      <c r="T54" s="13" t="n">
        <f aca="false">T$4*$B54+(1-T$4)*T53</f>
        <v>256.652134245125</v>
      </c>
      <c r="U54" s="13" t="n">
        <f aca="false">U$4*$B54+(1-U$4)*U53</f>
        <v>254.933824036206</v>
      </c>
    </row>
    <row r="55" customFormat="false" ht="15" hidden="false" customHeight="false" outlineLevel="0" collapsed="false">
      <c r="A55" s="11" t="n">
        <f aca="false">Daily!A52</f>
        <v>43934</v>
      </c>
      <c r="B55" s="13" t="n">
        <f aca="false">Daily!C52</f>
        <v>173</v>
      </c>
      <c r="C55" s="13" t="n">
        <f aca="false">C$4*$B55+(1-C$4)*C54</f>
        <v>166.642805193357</v>
      </c>
      <c r="D55" s="13" t="n">
        <f aca="false">D$4*$B55+(1-D$4)*D54</f>
        <v>230.01716359434</v>
      </c>
      <c r="E55" s="13" t="n">
        <f aca="false">E$4*$B55+(1-E$4)*E54</f>
        <v>256.471037561261</v>
      </c>
      <c r="F55" s="13" t="n">
        <f aca="false">F$4*$B55+(1-F$4)*F54</f>
        <v>266.561970642295</v>
      </c>
      <c r="G55" s="13" t="n">
        <f aca="false">G$4*$B55+(1-G$4)*G54</f>
        <v>268.003007447546</v>
      </c>
      <c r="H55" s="13" t="n">
        <f aca="false">H$4*$B55+(1-H$4)*H54</f>
        <v>264.392226936054</v>
      </c>
      <c r="I55" s="13" t="n">
        <f aca="false">I$4*$B55+(1-I$4)*I54</f>
        <v>257.793173808613</v>
      </c>
      <c r="J55" s="13" t="n">
        <f aca="false">J$4*$B55+(1-J$4)*J54</f>
        <v>249.558539051174</v>
      </c>
      <c r="K55" s="13" t="n">
        <f aca="false">K$4*$B55+(1-K$4)*K54</f>
        <v>240.628153604651</v>
      </c>
      <c r="L55" s="13" t="n">
        <f aca="false">L$4*$B55+(1-L$4)*L54</f>
        <v>231.655232022215</v>
      </c>
      <c r="M55" s="13" t="n">
        <f aca="false">M$4*$B55+(1-M$4)*M54</f>
        <v>223.071800165278</v>
      </c>
      <c r="N55" s="13" t="n">
        <f aca="false">N$4*$B55+(1-N$4)*N54</f>
        <v>215.132027712146</v>
      </c>
      <c r="O55" s="13" t="n">
        <f aca="false">O$4*$B55+(1-O$4)*O54</f>
        <v>207.947802774352</v>
      </c>
      <c r="P55" s="13" t="n">
        <f aca="false">P$4*$B55+(1-P$4)*P54</f>
        <v>201.52163670612</v>
      </c>
      <c r="Q55" s="13" t="n">
        <f aca="false">Q$4*$B55+(1-Q$4)*Q54</f>
        <v>195.778367894172</v>
      </c>
      <c r="R55" s="13" t="n">
        <f aca="false">R$4*$B55+(1-R$4)*R54</f>
        <v>190.595844756077</v>
      </c>
      <c r="S55" s="13" t="n">
        <f aca="false">S$4*$B55+(1-S$4)*S54</f>
        <v>185.834436155563</v>
      </c>
      <c r="T55" s="13" t="n">
        <f aca="false">T$4*$B55+(1-T$4)*T54</f>
        <v>181.365213424513</v>
      </c>
      <c r="U55" s="13" t="n">
        <f aca="false">U$4*$B55+(1-U$4)*U54</f>
        <v>177.09669120181</v>
      </c>
    </row>
    <row r="56" customFormat="false" ht="15" hidden="false" customHeight="false" outlineLevel="0" collapsed="false">
      <c r="A56" s="11" t="n">
        <f aca="false">Daily!A53</f>
        <v>43935</v>
      </c>
      <c r="B56" s="13" t="n">
        <f aca="false">Daily!C53</f>
        <v>628</v>
      </c>
      <c r="C56" s="13" t="n">
        <f aca="false">C$4*$B56+(1-C$4)*C55</f>
        <v>189.710664933689</v>
      </c>
      <c r="D56" s="13" t="n">
        <f aca="false">D$4*$B56+(1-D$4)*D55</f>
        <v>269.815447234906</v>
      </c>
      <c r="E56" s="13" t="n">
        <f aca="false">E$4*$B56+(1-E$4)*E55</f>
        <v>312.200381927072</v>
      </c>
      <c r="F56" s="13" t="n">
        <f aca="false">F$4*$B56+(1-F$4)*F55</f>
        <v>338.849576513836</v>
      </c>
      <c r="G56" s="13" t="n">
        <f aca="false">G$4*$B56+(1-G$4)*G55</f>
        <v>358.002255585659</v>
      </c>
      <c r="H56" s="13" t="n">
        <f aca="false">H$4*$B56+(1-H$4)*H55</f>
        <v>373.474558855238</v>
      </c>
      <c r="I56" s="13" t="n">
        <f aca="false">I$4*$B56+(1-I$4)*I55</f>
        <v>387.365562975599</v>
      </c>
      <c r="J56" s="13" t="n">
        <f aca="false">J$4*$B56+(1-J$4)*J55</f>
        <v>400.935123430704</v>
      </c>
      <c r="K56" s="13" t="n">
        <f aca="false">K$4*$B56+(1-K$4)*K55</f>
        <v>414.945484482558</v>
      </c>
      <c r="L56" s="13" t="n">
        <f aca="false">L$4*$B56+(1-L$4)*L55</f>
        <v>429.827616011107</v>
      </c>
      <c r="M56" s="13" t="n">
        <f aca="false">M$4*$B56+(1-M$4)*M55</f>
        <v>445.782310074375</v>
      </c>
      <c r="N56" s="13" t="n">
        <f aca="false">N$4*$B56+(1-N$4)*N55</f>
        <v>462.852811084858</v>
      </c>
      <c r="O56" s="13" t="n">
        <f aca="false">O$4*$B56+(1-O$4)*O55</f>
        <v>480.981730971023</v>
      </c>
      <c r="P56" s="13" t="n">
        <f aca="false">P$4*$B56+(1-P$4)*P55</f>
        <v>500.056491011836</v>
      </c>
      <c r="Q56" s="13" t="n">
        <f aca="false">Q$4*$B56+(1-Q$4)*Q55</f>
        <v>519.944591973543</v>
      </c>
      <c r="R56" s="13" t="n">
        <f aca="false">R$4*$B56+(1-R$4)*R55</f>
        <v>540.519168951215</v>
      </c>
      <c r="S56" s="13" t="n">
        <f aca="false">S$4*$B56+(1-S$4)*S55</f>
        <v>561.675165423334</v>
      </c>
      <c r="T56" s="13" t="n">
        <f aca="false">T$4*$B56+(1-T$4)*T55</f>
        <v>583.336521342451</v>
      </c>
      <c r="U56" s="13" t="n">
        <f aca="false">U$4*$B56+(1-U$4)*U55</f>
        <v>605.454834560091</v>
      </c>
    </row>
    <row r="57" customFormat="false" ht="15" hidden="false" customHeight="false" outlineLevel="0" collapsed="false">
      <c r="A57" s="11" t="n">
        <f aca="false">Daily!A54</f>
        <v>43936</v>
      </c>
      <c r="B57" s="13" t="n">
        <f aca="false">Daily!C54</f>
        <v>321</v>
      </c>
      <c r="C57" s="13" t="n">
        <f aca="false">C$4*$B57+(1-C$4)*C56</f>
        <v>196.275131687004</v>
      </c>
      <c r="D57" s="13" t="n">
        <f aca="false">D$4*$B57+(1-D$4)*D56</f>
        <v>274.933902511415</v>
      </c>
      <c r="E57" s="13" t="n">
        <f aca="false">E$4*$B57+(1-E$4)*E56</f>
        <v>313.520324638011</v>
      </c>
      <c r="F57" s="13" t="n">
        <f aca="false">F$4*$B57+(1-F$4)*F56</f>
        <v>335.279661211069</v>
      </c>
      <c r="G57" s="13" t="n">
        <f aca="false">G$4*$B57+(1-G$4)*G56</f>
        <v>348.751691689244</v>
      </c>
      <c r="H57" s="13" t="n">
        <f aca="false">H$4*$B57+(1-H$4)*H56</f>
        <v>357.732191198666</v>
      </c>
      <c r="I57" s="13" t="n">
        <f aca="false">I$4*$B57+(1-I$4)*I56</f>
        <v>364.137615934139</v>
      </c>
      <c r="J57" s="13" t="n">
        <f aca="false">J$4*$B57+(1-J$4)*J56</f>
        <v>368.961074058422</v>
      </c>
      <c r="K57" s="13" t="n">
        <f aca="false">K$4*$B57+(1-K$4)*K56</f>
        <v>372.670016465407</v>
      </c>
      <c r="L57" s="13" t="n">
        <f aca="false">L$4*$B57+(1-L$4)*L56</f>
        <v>375.413808005554</v>
      </c>
      <c r="M57" s="13" t="n">
        <f aca="false">M$4*$B57+(1-M$4)*M56</f>
        <v>377.152039533469</v>
      </c>
      <c r="N57" s="13" t="n">
        <f aca="false">N$4*$B57+(1-N$4)*N56</f>
        <v>377.741124433943</v>
      </c>
      <c r="O57" s="13" t="n">
        <f aca="false">O$4*$B57+(1-O$4)*O56</f>
        <v>376.993605839858</v>
      </c>
      <c r="P57" s="13" t="n">
        <f aca="false">P$4*$B57+(1-P$4)*P56</f>
        <v>374.716947303551</v>
      </c>
      <c r="Q57" s="13" t="n">
        <f aca="false">Q$4*$B57+(1-Q$4)*Q56</f>
        <v>370.736147993386</v>
      </c>
      <c r="R57" s="13" t="n">
        <f aca="false">R$4*$B57+(1-R$4)*R56</f>
        <v>364.903833790243</v>
      </c>
      <c r="S57" s="13" t="n">
        <f aca="false">S$4*$B57+(1-S$4)*S56</f>
        <v>357.1012748135</v>
      </c>
      <c r="T57" s="13" t="n">
        <f aca="false">T$4*$B57+(1-T$4)*T56</f>
        <v>347.233652134245</v>
      </c>
      <c r="U57" s="13" t="n">
        <f aca="false">U$4*$B57+(1-U$4)*U56</f>
        <v>335.222741728005</v>
      </c>
    </row>
    <row r="58" customFormat="false" ht="15" hidden="false" customHeight="false" outlineLevel="0" collapsed="false">
      <c r="A58" s="11" t="n">
        <f aca="false">Daily!A55</f>
        <v>43937</v>
      </c>
      <c r="B58" s="13" t="n">
        <f aca="false">Daily!C55</f>
        <v>683</v>
      </c>
      <c r="C58" s="13" t="n">
        <f aca="false">C$4*$B58+(1-C$4)*C57</f>
        <v>220.611375102654</v>
      </c>
      <c r="D58" s="13" t="n">
        <f aca="false">D$4*$B58+(1-D$4)*D57</f>
        <v>315.740512260274</v>
      </c>
      <c r="E58" s="13" t="n">
        <f aca="false">E$4*$B58+(1-E$4)*E57</f>
        <v>368.94227594231</v>
      </c>
      <c r="F58" s="13" t="n">
        <f aca="false">F$4*$B58+(1-F$4)*F57</f>
        <v>404.823728968855</v>
      </c>
      <c r="G58" s="13" t="n">
        <f aca="false">G$4*$B58+(1-G$4)*G57</f>
        <v>432.313768766933</v>
      </c>
      <c r="H58" s="13" t="n">
        <f aca="false">H$4*$B58+(1-H$4)*H57</f>
        <v>455.312533839066</v>
      </c>
      <c r="I58" s="13" t="n">
        <f aca="false">I$4*$B58+(1-I$4)*I57</f>
        <v>475.73945035719</v>
      </c>
      <c r="J58" s="13" t="n">
        <f aca="false">J$4*$B58+(1-J$4)*J57</f>
        <v>494.576644435054</v>
      </c>
      <c r="K58" s="13" t="n">
        <f aca="false">K$4*$B58+(1-K$4)*K57</f>
        <v>512.318509055974</v>
      </c>
      <c r="L58" s="13" t="n">
        <f aca="false">L$4*$B58+(1-L$4)*L57</f>
        <v>529.206904002777</v>
      </c>
      <c r="M58" s="13" t="n">
        <f aca="false">M$4*$B58+(1-M$4)*M57</f>
        <v>545.368417790061</v>
      </c>
      <c r="N58" s="13" t="n">
        <f aca="false">N$4*$B58+(1-N$4)*N57</f>
        <v>560.896449773577</v>
      </c>
      <c r="O58" s="13" t="n">
        <f aca="false">O$4*$B58+(1-O$4)*O57</f>
        <v>575.89776204395</v>
      </c>
      <c r="P58" s="13" t="n">
        <f aca="false">P$4*$B58+(1-P$4)*P57</f>
        <v>590.515084191065</v>
      </c>
      <c r="Q58" s="13" t="n">
        <f aca="false">Q$4*$B58+(1-Q$4)*Q57</f>
        <v>604.934036998346</v>
      </c>
      <c r="R58" s="13" t="n">
        <f aca="false">R$4*$B58+(1-R$4)*R57</f>
        <v>619.380766758049</v>
      </c>
      <c r="S58" s="13" t="n">
        <f aca="false">S$4*$B58+(1-S$4)*S57</f>
        <v>634.115191222025</v>
      </c>
      <c r="T58" s="13" t="n">
        <f aca="false">T$4*$B58+(1-T$4)*T57</f>
        <v>649.423365213425</v>
      </c>
      <c r="U58" s="13" t="n">
        <f aca="false">U$4*$B58+(1-U$4)*U57</f>
        <v>665.6111370864</v>
      </c>
    </row>
    <row r="59" customFormat="false" ht="15" hidden="false" customHeight="false" outlineLevel="0" collapsed="false">
      <c r="A59" s="11" t="n">
        <f aca="false">Daily!A56</f>
        <v>43938</v>
      </c>
      <c r="B59" s="13" t="n">
        <f aca="false">Daily!C56</f>
        <v>512</v>
      </c>
      <c r="C59" s="13" t="n">
        <f aca="false">C$4*$B59+(1-C$4)*C58</f>
        <v>235.180806347521</v>
      </c>
      <c r="D59" s="13" t="n">
        <f aca="false">D$4*$B59+(1-D$4)*D58</f>
        <v>335.366461034246</v>
      </c>
      <c r="E59" s="13" t="n">
        <f aca="false">E$4*$B59+(1-E$4)*E58</f>
        <v>390.400934550963</v>
      </c>
      <c r="F59" s="13" t="n">
        <f aca="false">F$4*$B59+(1-F$4)*F58</f>
        <v>426.258983175084</v>
      </c>
      <c r="G59" s="13" t="n">
        <f aca="false">G$4*$B59+(1-G$4)*G58</f>
        <v>452.2353265752</v>
      </c>
      <c r="H59" s="13" t="n">
        <f aca="false">H$4*$B59+(1-H$4)*H58</f>
        <v>472.318773687347</v>
      </c>
      <c r="I59" s="13" t="n">
        <f aca="false">I$4*$B59+(1-I$4)*I58</f>
        <v>488.430642732174</v>
      </c>
      <c r="J59" s="13" t="n">
        <f aca="false">J$4*$B59+(1-J$4)*J58</f>
        <v>501.545986661032</v>
      </c>
      <c r="K59" s="13" t="n">
        <f aca="false">K$4*$B59+(1-K$4)*K58</f>
        <v>512.175179980786</v>
      </c>
      <c r="L59" s="13" t="n">
        <f aca="false">L$4*$B59+(1-L$4)*L58</f>
        <v>520.603452001388</v>
      </c>
      <c r="M59" s="13" t="n">
        <f aca="false">M$4*$B59+(1-M$4)*M58</f>
        <v>527.015788005528</v>
      </c>
      <c r="N59" s="13" t="n">
        <f aca="false">N$4*$B59+(1-N$4)*N58</f>
        <v>531.558579909431</v>
      </c>
      <c r="O59" s="13" t="n">
        <f aca="false">O$4*$B59+(1-O$4)*O58</f>
        <v>534.364216715383</v>
      </c>
      <c r="P59" s="13" t="n">
        <f aca="false">P$4*$B59+(1-P$4)*P58</f>
        <v>535.55452525732</v>
      </c>
      <c r="Q59" s="13" t="n">
        <f aca="false">Q$4*$B59+(1-Q$4)*Q58</f>
        <v>535.233509249587</v>
      </c>
      <c r="R59" s="13" t="n">
        <f aca="false">R$4*$B59+(1-R$4)*R58</f>
        <v>533.47615335161</v>
      </c>
      <c r="S59" s="13" t="n">
        <f aca="false">S$4*$B59+(1-S$4)*S58</f>
        <v>530.317278683304</v>
      </c>
      <c r="T59" s="13" t="n">
        <f aca="false">T$4*$B59+(1-T$4)*T58</f>
        <v>525.742336521342</v>
      </c>
      <c r="U59" s="13" t="n">
        <f aca="false">U$4*$B59+(1-U$4)*U58</f>
        <v>519.68055685432</v>
      </c>
    </row>
    <row r="60" customFormat="false" ht="15" hidden="false" customHeight="false" outlineLevel="0" collapsed="false">
      <c r="A60" s="11" t="n">
        <f aca="false">Daily!A57</f>
        <v>43939</v>
      </c>
      <c r="B60" s="13" t="n">
        <f aca="false">Daily!C57</f>
        <v>285</v>
      </c>
      <c r="C60" s="13" t="n">
        <f aca="false">C$4*$B60+(1-C$4)*C59</f>
        <v>237.671766030145</v>
      </c>
      <c r="D60" s="13" t="n">
        <f aca="false">D$4*$B60+(1-D$4)*D59</f>
        <v>330.329814930822</v>
      </c>
      <c r="E60" s="13" t="n">
        <f aca="false">E$4*$B60+(1-E$4)*E59</f>
        <v>374.590794368319</v>
      </c>
      <c r="F60" s="13" t="n">
        <f aca="false">F$4*$B60+(1-F$4)*F59</f>
        <v>398.007186540067</v>
      </c>
      <c r="G60" s="13" t="n">
        <f aca="false">G$4*$B60+(1-G$4)*G59</f>
        <v>410.4264949314</v>
      </c>
      <c r="H60" s="13" t="n">
        <f aca="false">H$4*$B60+(1-H$4)*H59</f>
        <v>416.123141581143</v>
      </c>
      <c r="I60" s="13" t="n">
        <f aca="false">I$4*$B60+(1-I$4)*I59</f>
        <v>417.229917775913</v>
      </c>
      <c r="J60" s="13" t="n">
        <f aca="false">J$4*$B60+(1-J$4)*J59</f>
        <v>414.927591996619</v>
      </c>
      <c r="K60" s="13" t="n">
        <f aca="false">K$4*$B60+(1-K$4)*K59</f>
        <v>409.946348989432</v>
      </c>
      <c r="L60" s="13" t="n">
        <f aca="false">L$4*$B60+(1-L$4)*L59</f>
        <v>402.801726000694</v>
      </c>
      <c r="M60" s="13" t="n">
        <f aca="false">M$4*$B60+(1-M$4)*M59</f>
        <v>393.907104602487</v>
      </c>
      <c r="N60" s="13" t="n">
        <f aca="false">N$4*$B60+(1-N$4)*N59</f>
        <v>383.623431963772</v>
      </c>
      <c r="O60" s="13" t="n">
        <f aca="false">O$4*$B60+(1-O$4)*O59</f>
        <v>372.277475850384</v>
      </c>
      <c r="P60" s="13" t="n">
        <f aca="false">P$4*$B60+(1-P$4)*P59</f>
        <v>360.166357577196</v>
      </c>
      <c r="Q60" s="13" t="n">
        <f aca="false">Q$4*$B60+(1-Q$4)*Q59</f>
        <v>347.558377312397</v>
      </c>
      <c r="R60" s="13" t="n">
        <f aca="false">R$4*$B60+(1-R$4)*R59</f>
        <v>334.695230670322</v>
      </c>
      <c r="S60" s="13" t="n">
        <f aca="false">S$4*$B60+(1-S$4)*S59</f>
        <v>321.797591802496</v>
      </c>
      <c r="T60" s="13" t="n">
        <f aca="false">T$4*$B60+(1-T$4)*T59</f>
        <v>309.074233652134</v>
      </c>
      <c r="U60" s="13" t="n">
        <f aca="false">U$4*$B60+(1-U$4)*U59</f>
        <v>296.734027842716</v>
      </c>
    </row>
    <row r="61" customFormat="false" ht="15" hidden="false" customHeight="false" outlineLevel="0" collapsed="false">
      <c r="A61" s="11" t="n">
        <f aca="false">Daily!A58</f>
        <v>43940</v>
      </c>
      <c r="B61" s="13" t="n">
        <f aca="false">Daily!C58</f>
        <v>583</v>
      </c>
      <c r="C61" s="13" t="n">
        <f aca="false">C$4*$B61+(1-C$4)*C60</f>
        <v>254.938177728638</v>
      </c>
      <c r="D61" s="13" t="n">
        <f aca="false">D$4*$B61+(1-D$4)*D60</f>
        <v>355.59683343774</v>
      </c>
      <c r="E61" s="13" t="n">
        <f aca="false">E$4*$B61+(1-E$4)*E60</f>
        <v>405.852175213071</v>
      </c>
      <c r="F61" s="13" t="n">
        <f aca="false">F$4*$B61+(1-F$4)*F60</f>
        <v>435.005749232054</v>
      </c>
      <c r="G61" s="13" t="n">
        <f aca="false">G$4*$B61+(1-G$4)*G60</f>
        <v>453.56987119855</v>
      </c>
      <c r="H61" s="13" t="n">
        <f aca="false">H$4*$B61+(1-H$4)*H60</f>
        <v>466.1861991068</v>
      </c>
      <c r="I61" s="13" t="n">
        <f aca="false">I$4*$B61+(1-I$4)*I60</f>
        <v>475.249446554343</v>
      </c>
      <c r="J61" s="13" t="n">
        <f aca="false">J$4*$B61+(1-J$4)*J60</f>
        <v>482.156555197972</v>
      </c>
      <c r="K61" s="13" t="n">
        <f aca="false">K$4*$B61+(1-K$4)*K60</f>
        <v>487.820491944188</v>
      </c>
      <c r="L61" s="13" t="n">
        <f aca="false">L$4*$B61+(1-L$4)*L60</f>
        <v>492.900863000347</v>
      </c>
      <c r="M61" s="13" t="n">
        <f aca="false">M$4*$B61+(1-M$4)*M60</f>
        <v>497.908197071119</v>
      </c>
      <c r="N61" s="13" t="n">
        <f aca="false">N$4*$B61+(1-N$4)*N60</f>
        <v>503.249372785509</v>
      </c>
      <c r="O61" s="13" t="n">
        <f aca="false">O$4*$B61+(1-O$4)*O60</f>
        <v>509.247116547634</v>
      </c>
      <c r="P61" s="13" t="n">
        <f aca="false">P$4*$B61+(1-P$4)*P60</f>
        <v>516.149907273159</v>
      </c>
      <c r="Q61" s="13" t="n">
        <f aca="false">Q$4*$B61+(1-Q$4)*Q60</f>
        <v>524.139594328099</v>
      </c>
      <c r="R61" s="13" t="n">
        <f aca="false">R$4*$B61+(1-R$4)*R60</f>
        <v>533.339046134064</v>
      </c>
      <c r="S61" s="13" t="n">
        <f aca="false">S$4*$B61+(1-S$4)*S60</f>
        <v>543.819638770374</v>
      </c>
      <c r="T61" s="13" t="n">
        <f aca="false">T$4*$B61+(1-T$4)*T60</f>
        <v>555.607423365213</v>
      </c>
      <c r="U61" s="13" t="n">
        <f aca="false">U$4*$B61+(1-U$4)*U60</f>
        <v>568.686701392136</v>
      </c>
    </row>
    <row r="62" customFormat="false" ht="15" hidden="false" customHeight="false" outlineLevel="0" collapsed="false">
      <c r="A62" s="11" t="n">
        <f aca="false">Daily!A59</f>
        <v>43941</v>
      </c>
      <c r="B62" s="13" t="n">
        <f aca="false">Daily!C59</f>
        <v>707</v>
      </c>
      <c r="C62" s="13" t="n">
        <f aca="false">C$4*$B62+(1-C$4)*C61</f>
        <v>277.541268842206</v>
      </c>
      <c r="D62" s="13" t="n">
        <f aca="false">D$4*$B62+(1-D$4)*D61</f>
        <v>390.737150093966</v>
      </c>
      <c r="E62" s="13" t="n">
        <f aca="false">E$4*$B62+(1-E$4)*E61</f>
        <v>451.02434893111</v>
      </c>
      <c r="F62" s="13" t="n">
        <f aca="false">F$4*$B62+(1-F$4)*F61</f>
        <v>489.404599385643</v>
      </c>
      <c r="G62" s="13" t="n">
        <f aca="false">G$4*$B62+(1-G$4)*G61</f>
        <v>516.927403398913</v>
      </c>
      <c r="H62" s="13" t="n">
        <f aca="false">H$4*$B62+(1-H$4)*H61</f>
        <v>538.43033937476</v>
      </c>
      <c r="I62" s="13" t="n">
        <f aca="false">I$4*$B62+(1-I$4)*I61</f>
        <v>556.362140260323</v>
      </c>
      <c r="J62" s="13" t="n">
        <f aca="false">J$4*$B62+(1-J$4)*J61</f>
        <v>572.093933118783</v>
      </c>
      <c r="K62" s="13" t="n">
        <f aca="false">K$4*$B62+(1-K$4)*K61</f>
        <v>586.451270569303</v>
      </c>
      <c r="L62" s="13" t="n">
        <f aca="false">L$4*$B62+(1-L$4)*L61</f>
        <v>599.950431500174</v>
      </c>
      <c r="M62" s="13" t="n">
        <f aca="false">M$4*$B62+(1-M$4)*M61</f>
        <v>612.908688682004</v>
      </c>
      <c r="N62" s="13" t="n">
        <f aca="false">N$4*$B62+(1-N$4)*N61</f>
        <v>625.499749114204</v>
      </c>
      <c r="O62" s="13" t="n">
        <f aca="false">O$4*$B62+(1-O$4)*O61</f>
        <v>637.786490791672</v>
      </c>
      <c r="P62" s="13" t="n">
        <f aca="false">P$4*$B62+(1-P$4)*P61</f>
        <v>649.744972181948</v>
      </c>
      <c r="Q62" s="13" t="n">
        <f aca="false">Q$4*$B62+(1-Q$4)*Q61</f>
        <v>661.284898582025</v>
      </c>
      <c r="R62" s="13" t="n">
        <f aca="false">R$4*$B62+(1-R$4)*R61</f>
        <v>672.267809226813</v>
      </c>
      <c r="S62" s="13" t="n">
        <f aca="false">S$4*$B62+(1-S$4)*S61</f>
        <v>682.522945815556</v>
      </c>
      <c r="T62" s="13" t="n">
        <f aca="false">T$4*$B62+(1-T$4)*T61</f>
        <v>691.860742336521</v>
      </c>
      <c r="U62" s="13" t="n">
        <f aca="false">U$4*$B62+(1-U$4)*U61</f>
        <v>700.084335069607</v>
      </c>
    </row>
    <row r="63" customFormat="false" ht="15" hidden="false" customHeight="false" outlineLevel="0" collapsed="false">
      <c r="A63" s="11" t="n">
        <f aca="false">Daily!A60</f>
        <v>43942</v>
      </c>
      <c r="B63" s="13" t="n">
        <f aca="false">Daily!C60</f>
        <v>677</v>
      </c>
      <c r="C63" s="13" t="n">
        <f aca="false">C$4*$B63+(1-C$4)*C62</f>
        <v>297.514205400096</v>
      </c>
      <c r="D63" s="13" t="n">
        <f aca="false">D$4*$B63+(1-D$4)*D62</f>
        <v>419.363435084569</v>
      </c>
      <c r="E63" s="13" t="n">
        <f aca="false">E$4*$B63+(1-E$4)*E62</f>
        <v>484.920696591444</v>
      </c>
      <c r="F63" s="13" t="n">
        <f aca="false">F$4*$B63+(1-F$4)*F62</f>
        <v>526.923679508515</v>
      </c>
      <c r="G63" s="13" t="n">
        <f aca="false">G$4*$B63+(1-G$4)*G62</f>
        <v>556.945552549184</v>
      </c>
      <c r="H63" s="13" t="n">
        <f aca="false">H$4*$B63+(1-H$4)*H62</f>
        <v>580.001237562332</v>
      </c>
      <c r="I63" s="13" t="n">
        <f aca="false">I$4*$B63+(1-I$4)*I62</f>
        <v>598.58539116921</v>
      </c>
      <c r="J63" s="13" t="n">
        <f aca="false">J$4*$B63+(1-J$4)*J62</f>
        <v>614.05635987127</v>
      </c>
      <c r="K63" s="13" t="n">
        <f aca="false">K$4*$B63+(1-K$4)*K62</f>
        <v>627.198198813117</v>
      </c>
      <c r="L63" s="13" t="n">
        <f aca="false">L$4*$B63+(1-L$4)*L62</f>
        <v>638.475215750087</v>
      </c>
      <c r="M63" s="13" t="n">
        <f aca="false">M$4*$B63+(1-M$4)*M62</f>
        <v>648.158909906902</v>
      </c>
      <c r="N63" s="13" t="n">
        <f aca="false">N$4*$B63+(1-N$4)*N62</f>
        <v>656.399899645681</v>
      </c>
      <c r="O63" s="13" t="n">
        <f aca="false">O$4*$B63+(1-O$4)*O62</f>
        <v>663.275271777085</v>
      </c>
      <c r="P63" s="13" t="n">
        <f aca="false">P$4*$B63+(1-P$4)*P62</f>
        <v>668.823491654584</v>
      </c>
      <c r="Q63" s="13" t="n">
        <f aca="false">Q$4*$B63+(1-Q$4)*Q62</f>
        <v>673.071224645506</v>
      </c>
      <c r="R63" s="13" t="n">
        <f aca="false">R$4*$B63+(1-R$4)*R62</f>
        <v>676.053561845363</v>
      </c>
      <c r="S63" s="13" t="n">
        <f aca="false">S$4*$B63+(1-S$4)*S62</f>
        <v>677.828441872333</v>
      </c>
      <c r="T63" s="13" t="n">
        <f aca="false">T$4*$B63+(1-T$4)*T62</f>
        <v>678.486074233652</v>
      </c>
      <c r="U63" s="13" t="n">
        <f aca="false">U$4*$B63+(1-U$4)*U62</f>
        <v>678.15421675348</v>
      </c>
    </row>
    <row r="64" customFormat="false" ht="15" hidden="false" customHeight="false" outlineLevel="0" collapsed="false">
      <c r="A64" s="11" t="n">
        <f aca="false">Daily!A61</f>
        <v>43943</v>
      </c>
      <c r="B64" s="13" t="n">
        <f aca="false">Daily!C61</f>
        <v>767</v>
      </c>
      <c r="C64" s="13" t="n">
        <f aca="false">C$4*$B64+(1-C$4)*C63</f>
        <v>320.988495130091</v>
      </c>
      <c r="D64" s="13" t="n">
        <f aca="false">D$4*$B64+(1-D$4)*D63</f>
        <v>454.127091576112</v>
      </c>
      <c r="E64" s="13" t="n">
        <f aca="false">E$4*$B64+(1-E$4)*E63</f>
        <v>527.232592102727</v>
      </c>
      <c r="F64" s="13" t="n">
        <f aca="false">F$4*$B64+(1-F$4)*F63</f>
        <v>574.938943606812</v>
      </c>
      <c r="G64" s="13" t="n">
        <f aca="false">G$4*$B64+(1-G$4)*G63</f>
        <v>609.459164411888</v>
      </c>
      <c r="H64" s="13" t="n">
        <f aca="false">H$4*$B64+(1-H$4)*H63</f>
        <v>636.100866293632</v>
      </c>
      <c r="I64" s="13" t="n">
        <f aca="false">I$4*$B64+(1-I$4)*I63</f>
        <v>657.530504259987</v>
      </c>
      <c r="J64" s="13" t="n">
        <f aca="false">J$4*$B64+(1-J$4)*J63</f>
        <v>675.233815922762</v>
      </c>
      <c r="K64" s="13" t="n">
        <f aca="false">K$4*$B64+(1-K$4)*K63</f>
        <v>690.109009347214</v>
      </c>
      <c r="L64" s="13" t="n">
        <f aca="false">L$4*$B64+(1-L$4)*L63</f>
        <v>702.737607875043</v>
      </c>
      <c r="M64" s="13" t="n">
        <f aca="false">M$4*$B64+(1-M$4)*M63</f>
        <v>713.521509458106</v>
      </c>
      <c r="N64" s="13" t="n">
        <f aca="false">N$4*$B64+(1-N$4)*N63</f>
        <v>722.759959858273</v>
      </c>
      <c r="O64" s="13" t="n">
        <f aca="false">O$4*$B64+(1-O$4)*O63</f>
        <v>730.69634512198</v>
      </c>
      <c r="P64" s="13" t="n">
        <f aca="false">P$4*$B64+(1-P$4)*P63</f>
        <v>737.547047496375</v>
      </c>
      <c r="Q64" s="13" t="n">
        <f aca="false">Q$4*$B64+(1-Q$4)*Q63</f>
        <v>743.517806161377</v>
      </c>
      <c r="R64" s="13" t="n">
        <f aca="false">R$4*$B64+(1-R$4)*R63</f>
        <v>748.810712369073</v>
      </c>
      <c r="S64" s="13" t="n">
        <f aca="false">S$4*$B64+(1-S$4)*S63</f>
        <v>753.62426628085</v>
      </c>
      <c r="T64" s="13" t="n">
        <f aca="false">T$4*$B64+(1-T$4)*T63</f>
        <v>758.148607423365</v>
      </c>
      <c r="U64" s="13" t="n">
        <f aca="false">U$4*$B64+(1-U$4)*U63</f>
        <v>762.557710837674</v>
      </c>
    </row>
    <row r="65" customFormat="false" ht="15" hidden="false" customHeight="false" outlineLevel="0" collapsed="false">
      <c r="A65" s="11" t="n">
        <f aca="false">Daily!A62</f>
        <v>43944</v>
      </c>
      <c r="B65" s="13" t="n">
        <f aca="false">Daily!C62</f>
        <v>641</v>
      </c>
      <c r="C65" s="13" t="n">
        <f aca="false">C$4*$B65+(1-C$4)*C64</f>
        <v>336.989070373586</v>
      </c>
      <c r="D65" s="13" t="n">
        <f aca="false">D$4*$B65+(1-D$4)*D64</f>
        <v>472.814382418501</v>
      </c>
      <c r="E65" s="13" t="n">
        <f aca="false">E$4*$B65+(1-E$4)*E64</f>
        <v>544.297703287318</v>
      </c>
      <c r="F65" s="13" t="n">
        <f aca="false">F$4*$B65+(1-F$4)*F64</f>
        <v>588.151154885449</v>
      </c>
      <c r="G65" s="13" t="n">
        <f aca="false">G$4*$B65+(1-G$4)*G64</f>
        <v>617.344373308916</v>
      </c>
      <c r="H65" s="13" t="n">
        <f aca="false">H$4*$B65+(1-H$4)*H64</f>
        <v>637.570606405543</v>
      </c>
      <c r="I65" s="13" t="n">
        <f aca="false">I$4*$B65+(1-I$4)*I64</f>
        <v>651.744827768991</v>
      </c>
      <c r="J65" s="13" t="n">
        <f aca="false">J$4*$B65+(1-J$4)*J64</f>
        <v>661.540289553657</v>
      </c>
      <c r="K65" s="13" t="n">
        <f aca="false">K$4*$B65+(1-K$4)*K64</f>
        <v>668.009955140968</v>
      </c>
      <c r="L65" s="13" t="n">
        <f aca="false">L$4*$B65+(1-L$4)*L64</f>
        <v>671.868803937522</v>
      </c>
      <c r="M65" s="13" t="n">
        <f aca="false">M$4*$B65+(1-M$4)*M64</f>
        <v>673.634679256148</v>
      </c>
      <c r="N65" s="13" t="n">
        <f aca="false">N$4*$B65+(1-N$4)*N64</f>
        <v>673.703983943309</v>
      </c>
      <c r="O65" s="13" t="n">
        <f aca="false">O$4*$B65+(1-O$4)*O64</f>
        <v>672.393720792693</v>
      </c>
      <c r="P65" s="13" t="n">
        <f aca="false">P$4*$B65+(1-P$4)*P64</f>
        <v>669.964114248913</v>
      </c>
      <c r="Q65" s="13" t="n">
        <f aca="false">Q$4*$B65+(1-Q$4)*Q64</f>
        <v>666.629451540344</v>
      </c>
      <c r="R65" s="13" t="n">
        <f aca="false">R$4*$B65+(1-R$4)*R64</f>
        <v>662.562142473815</v>
      </c>
      <c r="S65" s="13" t="n">
        <f aca="false">S$4*$B65+(1-S$4)*S64</f>
        <v>657.893639942128</v>
      </c>
      <c r="T65" s="13" t="n">
        <f aca="false">T$4*$B65+(1-T$4)*T64</f>
        <v>652.714860742336</v>
      </c>
      <c r="U65" s="13" t="n">
        <f aca="false">U$4*$B65+(1-U$4)*U64</f>
        <v>647.077885541884</v>
      </c>
    </row>
    <row r="66" customFormat="false" ht="15" hidden="false" customHeight="false" outlineLevel="0" collapsed="false">
      <c r="A66" s="11" t="n">
        <f aca="false">Daily!A63</f>
        <v>43945</v>
      </c>
      <c r="B66" s="13" t="n">
        <f aca="false">Daily!C63</f>
        <v>534</v>
      </c>
      <c r="C66" s="13" t="n">
        <f aca="false">C$4*$B66+(1-C$4)*C65</f>
        <v>346.839616854907</v>
      </c>
      <c r="D66" s="13" t="n">
        <f aca="false">D$4*$B66+(1-D$4)*D65</f>
        <v>478.932944176651</v>
      </c>
      <c r="E66" s="13" t="n">
        <f aca="false">E$4*$B66+(1-E$4)*E65</f>
        <v>542.75304779422</v>
      </c>
      <c r="F66" s="13" t="n">
        <f aca="false">F$4*$B66+(1-F$4)*F65</f>
        <v>577.32092390836</v>
      </c>
      <c r="G66" s="13" t="n">
        <f aca="false">G$4*$B66+(1-G$4)*G65</f>
        <v>596.508279981687</v>
      </c>
      <c r="H66" s="13" t="n">
        <f aca="false">H$4*$B66+(1-H$4)*H65</f>
        <v>606.49942448388</v>
      </c>
      <c r="I66" s="13" t="n">
        <f aca="false">I$4*$B66+(1-I$4)*I65</f>
        <v>610.534138049844</v>
      </c>
      <c r="J66" s="13" t="n">
        <f aca="false">J$4*$B66+(1-J$4)*J65</f>
        <v>610.524173732194</v>
      </c>
      <c r="K66" s="13" t="n">
        <f aca="false">K$4*$B66+(1-K$4)*K65</f>
        <v>607.705475327532</v>
      </c>
      <c r="L66" s="13" t="n">
        <f aca="false">L$4*$B66+(1-L$4)*L65</f>
        <v>602.934401968761</v>
      </c>
      <c r="M66" s="13" t="n">
        <f aca="false">M$4*$B66+(1-M$4)*M65</f>
        <v>596.835605665267</v>
      </c>
      <c r="N66" s="13" t="n">
        <f aca="false">N$4*$B66+(1-N$4)*N65</f>
        <v>589.881593577324</v>
      </c>
      <c r="O66" s="13" t="n">
        <f aca="false">O$4*$B66+(1-O$4)*O65</f>
        <v>582.437802277443</v>
      </c>
      <c r="P66" s="13" t="n">
        <f aca="false">P$4*$B66+(1-P$4)*P65</f>
        <v>574.789234274674</v>
      </c>
      <c r="Q66" s="13" t="n">
        <f aca="false">Q$4*$B66+(1-Q$4)*Q65</f>
        <v>567.157362885086</v>
      </c>
      <c r="R66" s="13" t="n">
        <f aca="false">R$4*$B66+(1-R$4)*R65</f>
        <v>559.712428494763</v>
      </c>
      <c r="S66" s="13" t="n">
        <f aca="false">S$4*$B66+(1-S$4)*S65</f>
        <v>552.584045991319</v>
      </c>
      <c r="T66" s="13" t="n">
        <f aca="false">T$4*$B66+(1-T$4)*T65</f>
        <v>545.871486074234</v>
      </c>
      <c r="U66" s="13" t="n">
        <f aca="false">U$4*$B66+(1-U$4)*U65</f>
        <v>539.653894277094</v>
      </c>
    </row>
    <row r="67" customFormat="false" ht="15" hidden="false" customHeight="false" outlineLevel="0" collapsed="false">
      <c r="A67" s="11" t="n">
        <f aca="false">Daily!A64</f>
        <v>43946</v>
      </c>
      <c r="B67" s="13" t="n">
        <f aca="false">Daily!C64</f>
        <v>922</v>
      </c>
      <c r="C67" s="13" t="n">
        <f aca="false">C$4*$B67+(1-C$4)*C66</f>
        <v>375.597636012162</v>
      </c>
      <c r="D67" s="13" t="n">
        <f aca="false">D$4*$B67+(1-D$4)*D66</f>
        <v>523.239649758986</v>
      </c>
      <c r="E67" s="13" t="n">
        <f aca="false">E$4*$B67+(1-E$4)*E66</f>
        <v>599.640090625087</v>
      </c>
      <c r="F67" s="13" t="n">
        <f aca="false">F$4*$B67+(1-F$4)*F66</f>
        <v>646.256739126688</v>
      </c>
      <c r="G67" s="13" t="n">
        <f aca="false">G$4*$B67+(1-G$4)*G66</f>
        <v>677.881209986265</v>
      </c>
      <c r="H67" s="13" t="n">
        <f aca="false">H$4*$B67+(1-H$4)*H66</f>
        <v>701.149597138716</v>
      </c>
      <c r="I67" s="13" t="n">
        <f aca="false">I$4*$B67+(1-I$4)*I66</f>
        <v>719.547189732399</v>
      </c>
      <c r="J67" s="13" t="n">
        <f aca="false">J$4*$B67+(1-J$4)*J66</f>
        <v>735.114504239317</v>
      </c>
      <c r="K67" s="13" t="n">
        <f aca="false">K$4*$B67+(1-K$4)*K66</f>
        <v>749.138011430143</v>
      </c>
      <c r="L67" s="13" t="n">
        <f aca="false">L$4*$B67+(1-L$4)*L66</f>
        <v>762.467200984381</v>
      </c>
      <c r="M67" s="13" t="n">
        <f aca="false">M$4*$B67+(1-M$4)*M66</f>
        <v>775.67602254937</v>
      </c>
      <c r="N67" s="13" t="n">
        <f aca="false">N$4*$B67+(1-N$4)*N66</f>
        <v>789.152637430929</v>
      </c>
      <c r="O67" s="13" t="n">
        <f aca="false">O$4*$B67+(1-O$4)*O66</f>
        <v>803.153230797105</v>
      </c>
      <c r="P67" s="13" t="n">
        <f aca="false">P$4*$B67+(1-P$4)*P66</f>
        <v>817.836770282402</v>
      </c>
      <c r="Q67" s="13" t="n">
        <f aca="false">Q$4*$B67+(1-Q$4)*Q66</f>
        <v>833.289340721272</v>
      </c>
      <c r="R67" s="13" t="n">
        <f aca="false">R$4*$B67+(1-R$4)*R66</f>
        <v>849.542485698953</v>
      </c>
      <c r="S67" s="13" t="n">
        <f aca="false">S$4*$B67+(1-S$4)*S66</f>
        <v>866.587606898698</v>
      </c>
      <c r="T67" s="13" t="n">
        <f aca="false">T$4*$B67+(1-T$4)*T66</f>
        <v>884.387148607424</v>
      </c>
      <c r="U67" s="13" t="n">
        <f aca="false">U$4*$B67+(1-U$4)*U66</f>
        <v>902.882694713855</v>
      </c>
    </row>
    <row r="68" customFormat="false" ht="15" hidden="false" customHeight="false" outlineLevel="0" collapsed="false">
      <c r="A68" s="11" t="n">
        <f aca="false">Daily!A65</f>
        <v>43947</v>
      </c>
      <c r="B68" s="13" t="n">
        <f aca="false">Daily!C65</f>
        <v>660</v>
      </c>
      <c r="C68" s="13" t="n">
        <f aca="false">C$4*$B68+(1-C$4)*C67</f>
        <v>389.817754211554</v>
      </c>
      <c r="D68" s="13" t="n">
        <f aca="false">D$4*$B68+(1-D$4)*D67</f>
        <v>536.915684783087</v>
      </c>
      <c r="E68" s="13" t="n">
        <f aca="false">E$4*$B68+(1-E$4)*E67</f>
        <v>608.694077031324</v>
      </c>
      <c r="F68" s="13" t="n">
        <f aca="false">F$4*$B68+(1-F$4)*F67</f>
        <v>649.00539130135</v>
      </c>
      <c r="G68" s="13" t="n">
        <f aca="false">G$4*$B68+(1-G$4)*G67</f>
        <v>673.410907489699</v>
      </c>
      <c r="H68" s="13" t="n">
        <f aca="false">H$4*$B68+(1-H$4)*H67</f>
        <v>688.804717997101</v>
      </c>
      <c r="I68" s="13" t="n">
        <f aca="false">I$4*$B68+(1-I$4)*I67</f>
        <v>698.705673326059</v>
      </c>
      <c r="J68" s="13" t="n">
        <f aca="false">J$4*$B68+(1-J$4)*J67</f>
        <v>705.06870254359</v>
      </c>
      <c r="K68" s="13" t="n">
        <f aca="false">K$4*$B68+(1-K$4)*K67</f>
        <v>709.025906286579</v>
      </c>
      <c r="L68" s="13" t="n">
        <f aca="false">L$4*$B68+(1-L$4)*L67</f>
        <v>711.23360049219</v>
      </c>
      <c r="M68" s="13" t="n">
        <f aca="false">M$4*$B68+(1-M$4)*M67</f>
        <v>712.054210147217</v>
      </c>
      <c r="N68" s="13" t="n">
        <f aca="false">N$4*$B68+(1-N$4)*N67</f>
        <v>711.661054972372</v>
      </c>
      <c r="O68" s="13" t="n">
        <f aca="false">O$4*$B68+(1-O$4)*O67</f>
        <v>710.103630778987</v>
      </c>
      <c r="P68" s="13" t="n">
        <f aca="false">P$4*$B68+(1-P$4)*P67</f>
        <v>707.351031084721</v>
      </c>
      <c r="Q68" s="13" t="n">
        <f aca="false">Q$4*$B68+(1-Q$4)*Q67</f>
        <v>703.322335180318</v>
      </c>
      <c r="R68" s="13" t="n">
        <f aca="false">R$4*$B68+(1-R$4)*R67</f>
        <v>697.908497139791</v>
      </c>
      <c r="S68" s="13" t="n">
        <f aca="false">S$4*$B68+(1-S$4)*S67</f>
        <v>690.988141034805</v>
      </c>
      <c r="T68" s="13" t="n">
        <f aca="false">T$4*$B68+(1-T$4)*T67</f>
        <v>682.438714860742</v>
      </c>
      <c r="U68" s="13" t="n">
        <f aca="false">U$4*$B68+(1-U$4)*U67</f>
        <v>672.144134735693</v>
      </c>
    </row>
    <row r="69" customFormat="false" ht="15" hidden="false" customHeight="false" outlineLevel="0" collapsed="false">
      <c r="A69" s="11" t="n">
        <f aca="false">Daily!A66</f>
        <v>43948</v>
      </c>
      <c r="B69" s="13" t="n">
        <f aca="false">Daily!C66</f>
        <v>739</v>
      </c>
      <c r="C69" s="13" t="n">
        <f aca="false">C$4*$B69+(1-C$4)*C68</f>
        <v>407.276866500976</v>
      </c>
      <c r="D69" s="13" t="n">
        <f aca="false">D$4*$B69+(1-D$4)*D68</f>
        <v>557.124116304779</v>
      </c>
      <c r="E69" s="13" t="n">
        <f aca="false">E$4*$B69+(1-E$4)*E68</f>
        <v>628.239965476626</v>
      </c>
      <c r="F69" s="13" t="n">
        <f aca="false">F$4*$B69+(1-F$4)*F68</f>
        <v>667.00431304108</v>
      </c>
      <c r="G69" s="13" t="n">
        <f aca="false">G$4*$B69+(1-G$4)*G68</f>
        <v>689.808180617274</v>
      </c>
      <c r="H69" s="13" t="n">
        <f aca="false">H$4*$B69+(1-H$4)*H68</f>
        <v>703.863302597971</v>
      </c>
      <c r="I69" s="13" t="n">
        <f aca="false">I$4*$B69+(1-I$4)*I68</f>
        <v>712.808687661939</v>
      </c>
      <c r="J69" s="13" t="n">
        <f aca="false">J$4*$B69+(1-J$4)*J68</f>
        <v>718.641221526154</v>
      </c>
      <c r="K69" s="13" t="n">
        <f aca="false">K$4*$B69+(1-K$4)*K68</f>
        <v>722.514248457618</v>
      </c>
      <c r="L69" s="13" t="n">
        <f aca="false">L$4*$B69+(1-L$4)*L68</f>
        <v>725.116800246095</v>
      </c>
      <c r="M69" s="13" t="n">
        <f aca="false">M$4*$B69+(1-M$4)*M68</f>
        <v>726.874394566248</v>
      </c>
      <c r="N69" s="13" t="n">
        <f aca="false">N$4*$B69+(1-N$4)*N68</f>
        <v>728.064421988949</v>
      </c>
      <c r="O69" s="13" t="n">
        <f aca="false">O$4*$B69+(1-O$4)*O68</f>
        <v>728.886270772645</v>
      </c>
      <c r="P69" s="13" t="n">
        <f aca="false">P$4*$B69+(1-P$4)*P68</f>
        <v>729.505309325416</v>
      </c>
      <c r="Q69" s="13" t="n">
        <f aca="false">Q$4*$B69+(1-Q$4)*Q68</f>
        <v>730.08058379508</v>
      </c>
      <c r="R69" s="13" t="n">
        <f aca="false">R$4*$B69+(1-R$4)*R68</f>
        <v>730.781699427958</v>
      </c>
      <c r="S69" s="13" t="n">
        <f aca="false">S$4*$B69+(1-S$4)*S68</f>
        <v>731.798221155221</v>
      </c>
      <c r="T69" s="13" t="n">
        <f aca="false">T$4*$B69+(1-T$4)*T68</f>
        <v>733.343871486074</v>
      </c>
      <c r="U69" s="13" t="n">
        <f aca="false">U$4*$B69+(1-U$4)*U68</f>
        <v>735.657206736785</v>
      </c>
    </row>
    <row r="70" customFormat="false" ht="15" hidden="false" customHeight="false" outlineLevel="0" collapsed="false">
      <c r="A70" s="11" t="n">
        <f aca="false">Daily!A67</f>
        <v>43949</v>
      </c>
      <c r="B70" s="13" t="n">
        <f aca="false">Daily!C67</f>
        <v>730</v>
      </c>
      <c r="C70" s="13" t="n">
        <f aca="false">C$4*$B70+(1-C$4)*C69</f>
        <v>423.413023175927</v>
      </c>
      <c r="D70" s="13" t="n">
        <f aca="false">D$4*$B70+(1-D$4)*D69</f>
        <v>574.411704674301</v>
      </c>
      <c r="E70" s="13" t="n">
        <f aca="false">E$4*$B70+(1-E$4)*E69</f>
        <v>643.503970655132</v>
      </c>
      <c r="F70" s="13" t="n">
        <f aca="false">F$4*$B70+(1-F$4)*F69</f>
        <v>679.603450432864</v>
      </c>
      <c r="G70" s="13" t="n">
        <f aca="false">G$4*$B70+(1-G$4)*G69</f>
        <v>699.856135462956</v>
      </c>
      <c r="H70" s="13" t="n">
        <f aca="false">H$4*$B70+(1-H$4)*H69</f>
        <v>711.70431181858</v>
      </c>
      <c r="I70" s="13" t="n">
        <f aca="false">I$4*$B70+(1-I$4)*I69</f>
        <v>718.82564698026</v>
      </c>
      <c r="J70" s="13" t="n">
        <f aca="false">J$4*$B70+(1-J$4)*J69</f>
        <v>723.184732915692</v>
      </c>
      <c r="K70" s="13" t="n">
        <f aca="false">K$4*$B70+(1-K$4)*K69</f>
        <v>725.88283665169</v>
      </c>
      <c r="L70" s="13" t="n">
        <f aca="false">L$4*$B70+(1-L$4)*L69</f>
        <v>727.558400123048</v>
      </c>
      <c r="M70" s="13" t="n">
        <f aca="false">M$4*$B70+(1-M$4)*M69</f>
        <v>728.593477554811</v>
      </c>
      <c r="N70" s="13" t="n">
        <f aca="false">N$4*$B70+(1-N$4)*N69</f>
        <v>729.22576879558</v>
      </c>
      <c r="O70" s="13" t="n">
        <f aca="false">O$4*$B70+(1-O$4)*O69</f>
        <v>729.610194770426</v>
      </c>
      <c r="P70" s="13" t="n">
        <f aca="false">P$4*$B70+(1-P$4)*P69</f>
        <v>729.851592797625</v>
      </c>
      <c r="Q70" s="13" t="n">
        <f aca="false">Q$4*$B70+(1-Q$4)*Q69</f>
        <v>730.02014594877</v>
      </c>
      <c r="R70" s="13" t="n">
        <f aca="false">R$4*$B70+(1-R$4)*R69</f>
        <v>730.156339885592</v>
      </c>
      <c r="S70" s="13" t="n">
        <f aca="false">S$4*$B70+(1-S$4)*S69</f>
        <v>730.269733173283</v>
      </c>
      <c r="T70" s="13" t="n">
        <f aca="false">T$4*$B70+(1-T$4)*T69</f>
        <v>730.334387148607</v>
      </c>
      <c r="U70" s="13" t="n">
        <f aca="false">U$4*$B70+(1-U$4)*U69</f>
        <v>730.282860336839</v>
      </c>
    </row>
    <row r="71" customFormat="false" ht="15" hidden="false" customHeight="false" outlineLevel="0" collapsed="false">
      <c r="A71" s="11" t="n">
        <f aca="false">Daily!A68</f>
        <v>43950</v>
      </c>
      <c r="B71" s="13" t="n">
        <f aca="false">Daily!C68</f>
        <v>948</v>
      </c>
      <c r="C71" s="13" t="n">
        <f aca="false">C$4*$B71+(1-C$4)*C70</f>
        <v>449.642372017131</v>
      </c>
      <c r="D71" s="13" t="n">
        <f aca="false">D$4*$B71+(1-D$4)*D70</f>
        <v>611.770534206871</v>
      </c>
      <c r="E71" s="13" t="n">
        <f aca="false">E$4*$B71+(1-E$4)*E70</f>
        <v>689.178375056862</v>
      </c>
      <c r="F71" s="13" t="n">
        <f aca="false">F$4*$B71+(1-F$4)*F70</f>
        <v>733.282760346291</v>
      </c>
      <c r="G71" s="13" t="n">
        <f aca="false">G$4*$B71+(1-G$4)*G70</f>
        <v>761.892101597217</v>
      </c>
      <c r="H71" s="13" t="n">
        <f aca="false">H$4*$B71+(1-H$4)*H70</f>
        <v>782.593018273006</v>
      </c>
      <c r="I71" s="13" t="n">
        <f aca="false">I$4*$B71+(1-I$4)*I70</f>
        <v>799.036670537169</v>
      </c>
      <c r="J71" s="13" t="n">
        <f aca="false">J$4*$B71+(1-J$4)*J70</f>
        <v>813.110839749415</v>
      </c>
      <c r="K71" s="13" t="n">
        <f aca="false">K$4*$B71+(1-K$4)*K70</f>
        <v>825.83556015843</v>
      </c>
      <c r="L71" s="13" t="n">
        <f aca="false">L$4*$B71+(1-L$4)*L70</f>
        <v>837.779200061524</v>
      </c>
      <c r="M71" s="13" t="n">
        <f aca="false">M$4*$B71+(1-M$4)*M70</f>
        <v>849.267064899665</v>
      </c>
      <c r="N71" s="13" t="n">
        <f aca="false">N$4*$B71+(1-N$4)*N70</f>
        <v>860.490307518232</v>
      </c>
      <c r="O71" s="13" t="n">
        <f aca="false">O$4*$B71+(1-O$4)*O70</f>
        <v>871.563568169649</v>
      </c>
      <c r="P71" s="13" t="n">
        <f aca="false">P$4*$B71+(1-P$4)*P70</f>
        <v>882.555477839287</v>
      </c>
      <c r="Q71" s="13" t="n">
        <f aca="false">Q$4*$B71+(1-Q$4)*Q70</f>
        <v>893.505036487193</v>
      </c>
      <c r="R71" s="13" t="n">
        <f aca="false">R$4*$B71+(1-R$4)*R70</f>
        <v>904.431267977118</v>
      </c>
      <c r="S71" s="13" t="n">
        <f aca="false">S$4*$B71+(1-S$4)*S70</f>
        <v>915.340459975992</v>
      </c>
      <c r="T71" s="13" t="n">
        <f aca="false">T$4*$B71+(1-T$4)*T70</f>
        <v>926.233438714861</v>
      </c>
      <c r="U71" s="13" t="n">
        <f aca="false">U$4*$B71+(1-U$4)*U70</f>
        <v>937.114143016842</v>
      </c>
    </row>
    <row r="72" customFormat="false" ht="15" hidden="false" customHeight="false" outlineLevel="0" collapsed="false">
      <c r="A72" s="11" t="n">
        <f aca="false">Daily!A69</f>
        <v>43951</v>
      </c>
      <c r="B72" s="13" t="n">
        <f aca="false">Daily!C69</f>
        <v>665</v>
      </c>
      <c r="C72" s="13" t="n">
        <f aca="false">C$4*$B72+(1-C$4)*C71</f>
        <v>460.410253416274</v>
      </c>
      <c r="D72" s="13" t="n">
        <f aca="false">D$4*$B72+(1-D$4)*D71</f>
        <v>617.093480786184</v>
      </c>
      <c r="E72" s="13" t="n">
        <f aca="false">E$4*$B72+(1-E$4)*E71</f>
        <v>685.551618798333</v>
      </c>
      <c r="F72" s="13" t="n">
        <f aca="false">F$4*$B72+(1-F$4)*F71</f>
        <v>719.626208277033</v>
      </c>
      <c r="G72" s="13" t="n">
        <f aca="false">G$4*$B72+(1-G$4)*G71</f>
        <v>737.669076197913</v>
      </c>
      <c r="H72" s="13" t="n">
        <f aca="false">H$4*$B72+(1-H$4)*H71</f>
        <v>747.315112791104</v>
      </c>
      <c r="I72" s="13" t="n">
        <f aca="false">I$4*$B72+(1-I$4)*I71</f>
        <v>752.12383584916</v>
      </c>
      <c r="J72" s="13" t="n">
        <f aca="false">J$4*$B72+(1-J$4)*J71</f>
        <v>753.866503849649</v>
      </c>
      <c r="K72" s="13" t="n">
        <f aca="false">K$4*$B72+(1-K$4)*K71</f>
        <v>753.459558087136</v>
      </c>
      <c r="L72" s="13" t="n">
        <f aca="false">L$4*$B72+(1-L$4)*L71</f>
        <v>751.389600030762</v>
      </c>
      <c r="M72" s="13" t="n">
        <f aca="false">M$4*$B72+(1-M$4)*M71</f>
        <v>747.920179204849</v>
      </c>
      <c r="N72" s="13" t="n">
        <f aca="false">N$4*$B72+(1-N$4)*N71</f>
        <v>743.196123007293</v>
      </c>
      <c r="O72" s="13" t="n">
        <f aca="false">O$4*$B72+(1-O$4)*O71</f>
        <v>737.297248859377</v>
      </c>
      <c r="P72" s="13" t="n">
        <f aca="false">P$4*$B72+(1-P$4)*P71</f>
        <v>730.266643351786</v>
      </c>
      <c r="Q72" s="13" t="n">
        <f aca="false">Q$4*$B72+(1-Q$4)*Q71</f>
        <v>722.126259121798</v>
      </c>
      <c r="R72" s="13" t="n">
        <f aca="false">R$4*$B72+(1-R$4)*R71</f>
        <v>712.886253595424</v>
      </c>
      <c r="S72" s="13" t="n">
        <f aca="false">S$4*$B72+(1-S$4)*S71</f>
        <v>702.551068996399</v>
      </c>
      <c r="T72" s="13" t="n">
        <f aca="false">T$4*$B72+(1-T$4)*T71</f>
        <v>691.123343871486</v>
      </c>
      <c r="U72" s="13" t="n">
        <f aca="false">U$4*$B72+(1-U$4)*U71</f>
        <v>678.605707150842</v>
      </c>
    </row>
    <row r="73" customFormat="false" ht="15" hidden="false" customHeight="false" outlineLevel="0" collapsed="false">
      <c r="A73" s="11" t="n">
        <f aca="false">Daily!A70</f>
        <v>43952</v>
      </c>
      <c r="B73" s="13" t="n">
        <f aca="false">Daily!C70</f>
        <v>1070</v>
      </c>
      <c r="C73" s="13" t="n">
        <f aca="false">C$4*$B73+(1-C$4)*C72</f>
        <v>490.88974074546</v>
      </c>
      <c r="D73" s="13" t="n">
        <f aca="false">D$4*$B73+(1-D$4)*D72</f>
        <v>662.384132707565</v>
      </c>
      <c r="E73" s="13" t="n">
        <f aca="false">E$4*$B73+(1-E$4)*E72</f>
        <v>743.218875978583</v>
      </c>
      <c r="F73" s="13" t="n">
        <f aca="false">F$4*$B73+(1-F$4)*F72</f>
        <v>789.700966621627</v>
      </c>
      <c r="G73" s="13" t="n">
        <f aca="false">G$4*$B73+(1-G$4)*G72</f>
        <v>820.751807148435</v>
      </c>
      <c r="H73" s="13" t="n">
        <f aca="false">H$4*$B73+(1-H$4)*H72</f>
        <v>844.120578953773</v>
      </c>
      <c r="I73" s="13" t="n">
        <f aca="false">I$4*$B73+(1-I$4)*I72</f>
        <v>863.380493301954</v>
      </c>
      <c r="J73" s="13" t="n">
        <f aca="false">J$4*$B73+(1-J$4)*J72</f>
        <v>880.31990230979</v>
      </c>
      <c r="K73" s="13" t="n">
        <f aca="false">K$4*$B73+(1-K$4)*K72</f>
        <v>895.902756947925</v>
      </c>
      <c r="L73" s="13" t="n">
        <f aca="false">L$4*$B73+(1-L$4)*L72</f>
        <v>910.694800015381</v>
      </c>
      <c r="M73" s="13" t="n">
        <f aca="false">M$4*$B73+(1-M$4)*M72</f>
        <v>925.064080642182</v>
      </c>
      <c r="N73" s="13" t="n">
        <f aca="false">N$4*$B73+(1-N$4)*N72</f>
        <v>939.278449202917</v>
      </c>
      <c r="O73" s="13" t="n">
        <f aca="false">O$4*$B73+(1-O$4)*O72</f>
        <v>953.554037100782</v>
      </c>
      <c r="P73" s="13" t="n">
        <f aca="false">P$4*$B73+(1-P$4)*P72</f>
        <v>968.079993005536</v>
      </c>
      <c r="Q73" s="13" t="n">
        <f aca="false">Q$4*$B73+(1-Q$4)*Q72</f>
        <v>983.03156478045</v>
      </c>
      <c r="R73" s="13" t="n">
        <f aca="false">R$4*$B73+(1-R$4)*R72</f>
        <v>998.577250719085</v>
      </c>
      <c r="S73" s="13" t="n">
        <f aca="false">S$4*$B73+(1-S$4)*S72</f>
        <v>1014.88266034946</v>
      </c>
      <c r="T73" s="13" t="n">
        <f aca="false">T$4*$B73+(1-T$4)*T72</f>
        <v>1032.11233438715</v>
      </c>
      <c r="U73" s="13" t="n">
        <f aca="false">U$4*$B73+(1-U$4)*U72</f>
        <v>1050.43028535754</v>
      </c>
    </row>
    <row r="74" customFormat="false" ht="15" hidden="false" customHeight="false" outlineLevel="0" collapsed="false">
      <c r="A74" s="11" t="n">
        <f aca="false">Daily!A71</f>
        <v>43953</v>
      </c>
      <c r="B74" s="13" t="n">
        <f aca="false">Daily!C71</f>
        <v>1123</v>
      </c>
      <c r="C74" s="13" t="n">
        <f aca="false">C$4*$B74+(1-C$4)*C73</f>
        <v>522.495253708187</v>
      </c>
      <c r="D74" s="13" t="n">
        <f aca="false">D$4*$B74+(1-D$4)*D73</f>
        <v>708.445719436809</v>
      </c>
      <c r="E74" s="13" t="n">
        <f aca="false">E$4*$B74+(1-E$4)*E73</f>
        <v>800.186044581795</v>
      </c>
      <c r="F74" s="13" t="n">
        <f aca="false">F$4*$B74+(1-F$4)*F73</f>
        <v>856.360773297301</v>
      </c>
      <c r="G74" s="13" t="n">
        <f aca="false">G$4*$B74+(1-G$4)*G73</f>
        <v>896.313855361326</v>
      </c>
      <c r="H74" s="13" t="n">
        <f aca="false">H$4*$B74+(1-H$4)*H73</f>
        <v>927.784405267641</v>
      </c>
      <c r="I74" s="13" t="n">
        <f aca="false">I$4*$B74+(1-I$4)*I73</f>
        <v>954.24732064627</v>
      </c>
      <c r="J74" s="13" t="n">
        <f aca="false">J$4*$B74+(1-J$4)*J73</f>
        <v>977.391941385874</v>
      </c>
      <c r="K74" s="13" t="n">
        <f aca="false">K$4*$B74+(1-K$4)*K73</f>
        <v>998.096516321359</v>
      </c>
      <c r="L74" s="13" t="n">
        <f aca="false">L$4*$B74+(1-L$4)*L73</f>
        <v>1016.84740000769</v>
      </c>
      <c r="M74" s="13" t="n">
        <f aca="false">M$4*$B74+(1-M$4)*M73</f>
        <v>1033.92883628898</v>
      </c>
      <c r="N74" s="13" t="n">
        <f aca="false">N$4*$B74+(1-N$4)*N73</f>
        <v>1049.51137968117</v>
      </c>
      <c r="O74" s="13" t="n">
        <f aca="false">O$4*$B74+(1-O$4)*O73</f>
        <v>1063.69391298527</v>
      </c>
      <c r="P74" s="13" t="n">
        <f aca="false">P$4*$B74+(1-P$4)*P73</f>
        <v>1076.52399790166</v>
      </c>
      <c r="Q74" s="13" t="n">
        <f aca="false">Q$4*$B74+(1-Q$4)*Q73</f>
        <v>1088.00789119511</v>
      </c>
      <c r="R74" s="13" t="n">
        <f aca="false">R$4*$B74+(1-R$4)*R73</f>
        <v>1098.11545014382</v>
      </c>
      <c r="S74" s="13" t="n">
        <f aca="false">S$4*$B74+(1-S$4)*S73</f>
        <v>1106.78239905242</v>
      </c>
      <c r="T74" s="13" t="n">
        <f aca="false">T$4*$B74+(1-T$4)*T73</f>
        <v>1113.91123343871</v>
      </c>
      <c r="U74" s="13" t="n">
        <f aca="false">U$4*$B74+(1-U$4)*U73</f>
        <v>1119.37151426788</v>
      </c>
    </row>
    <row r="75" customFormat="false" ht="15" hidden="false" customHeight="false" outlineLevel="0" collapsed="false">
      <c r="A75" s="11" t="n">
        <f aca="false">Daily!A72</f>
        <v>43954</v>
      </c>
      <c r="B75" s="13" t="n">
        <f aca="false">Daily!C72</f>
        <v>1342</v>
      </c>
      <c r="C75" s="13" t="n">
        <f aca="false">C$4*$B75+(1-C$4)*C74</f>
        <v>563.470491022778</v>
      </c>
      <c r="D75" s="13" t="n">
        <f aca="false">D$4*$B75+(1-D$4)*D74</f>
        <v>771.801147493128</v>
      </c>
      <c r="E75" s="13" t="n">
        <f aca="false">E$4*$B75+(1-E$4)*E74</f>
        <v>881.458137894526</v>
      </c>
      <c r="F75" s="13" t="n">
        <f aca="false">F$4*$B75+(1-F$4)*F74</f>
        <v>953.488618637841</v>
      </c>
      <c r="G75" s="13" t="n">
        <f aca="false">G$4*$B75+(1-G$4)*G74</f>
        <v>1007.73539152099</v>
      </c>
      <c r="H75" s="13" t="n">
        <f aca="false">H$4*$B75+(1-H$4)*H74</f>
        <v>1052.04908368735</v>
      </c>
      <c r="I75" s="13" t="n">
        <f aca="false">I$4*$B75+(1-I$4)*I74</f>
        <v>1089.96075842008</v>
      </c>
      <c r="J75" s="13" t="n">
        <f aca="false">J$4*$B75+(1-J$4)*J74</f>
        <v>1123.23516483152</v>
      </c>
      <c r="K75" s="13" t="n">
        <f aca="false">K$4*$B75+(1-K$4)*K74</f>
        <v>1152.85308397675</v>
      </c>
      <c r="L75" s="13" t="n">
        <f aca="false">L$4*$B75+(1-L$4)*L74</f>
        <v>1179.42370000385</v>
      </c>
      <c r="M75" s="13" t="n">
        <f aca="false">M$4*$B75+(1-M$4)*M74</f>
        <v>1203.36797633004</v>
      </c>
      <c r="N75" s="13" t="n">
        <f aca="false">N$4*$B75+(1-N$4)*N74</f>
        <v>1225.00455187247</v>
      </c>
      <c r="O75" s="13" t="n">
        <f aca="false">O$4*$B75+(1-O$4)*O74</f>
        <v>1244.59286954485</v>
      </c>
      <c r="P75" s="13" t="n">
        <f aca="false">P$4*$B75+(1-P$4)*P74</f>
        <v>1262.3571993705</v>
      </c>
      <c r="Q75" s="13" t="n">
        <f aca="false">Q$4*$B75+(1-Q$4)*Q74</f>
        <v>1278.50197279878</v>
      </c>
      <c r="R75" s="13" t="n">
        <f aca="false">R$4*$B75+(1-R$4)*R74</f>
        <v>1293.22309002876</v>
      </c>
      <c r="S75" s="13" t="n">
        <f aca="false">S$4*$B75+(1-S$4)*S74</f>
        <v>1306.71735985786</v>
      </c>
      <c r="T75" s="13" t="n">
        <f aca="false">T$4*$B75+(1-T$4)*T74</f>
        <v>1319.19112334387</v>
      </c>
      <c r="U75" s="13" t="n">
        <f aca="false">U$4*$B75+(1-U$4)*U74</f>
        <v>1330.86857571339</v>
      </c>
    </row>
    <row r="76" customFormat="false" ht="15" hidden="false" customHeight="false" outlineLevel="0" collapsed="false">
      <c r="A76" s="11" t="n">
        <f aca="false">Daily!A73</f>
        <v>43955</v>
      </c>
      <c r="B76" s="13" t="n">
        <f aca="false">Daily!C73</f>
        <v>1052</v>
      </c>
      <c r="C76" s="13" t="n">
        <f aca="false">C$4*$B76+(1-C$4)*C75</f>
        <v>587.896966471639</v>
      </c>
      <c r="D76" s="13" t="n">
        <f aca="false">D$4*$B76+(1-D$4)*D75</f>
        <v>799.821032743815</v>
      </c>
      <c r="E76" s="13" t="n">
        <f aca="false">E$4*$B76+(1-E$4)*E75</f>
        <v>907.039417210347</v>
      </c>
      <c r="F76" s="13" t="n">
        <f aca="false">F$4*$B76+(1-F$4)*F75</f>
        <v>973.190894910273</v>
      </c>
      <c r="G76" s="13" t="n">
        <f aca="false">G$4*$B76+(1-G$4)*G75</f>
        <v>1018.80154364075</v>
      </c>
      <c r="H76" s="13" t="n">
        <f aca="false">H$4*$B76+(1-H$4)*H75</f>
        <v>1052.03435858114</v>
      </c>
      <c r="I76" s="13" t="n">
        <f aca="false">I$4*$B76+(1-I$4)*I75</f>
        <v>1076.67449297305</v>
      </c>
      <c r="J76" s="13" t="n">
        <f aca="false">J$4*$B76+(1-J$4)*J75</f>
        <v>1094.74109889891</v>
      </c>
      <c r="K76" s="13" t="n">
        <f aca="false">K$4*$B76+(1-K$4)*K75</f>
        <v>1107.46919618721</v>
      </c>
      <c r="L76" s="13" t="n">
        <f aca="false">L$4*$B76+(1-L$4)*L75</f>
        <v>1115.71185000192</v>
      </c>
      <c r="M76" s="13" t="n">
        <f aca="false">M$4*$B76+(1-M$4)*M75</f>
        <v>1120.11558934852</v>
      </c>
      <c r="N76" s="13" t="n">
        <f aca="false">N$4*$B76+(1-N$4)*N75</f>
        <v>1121.20182074899</v>
      </c>
      <c r="O76" s="13" t="n">
        <f aca="false">O$4*$B76+(1-O$4)*O75</f>
        <v>1119.4075043407</v>
      </c>
      <c r="P76" s="13" t="n">
        <f aca="false">P$4*$B76+(1-P$4)*P75</f>
        <v>1115.10715981115</v>
      </c>
      <c r="Q76" s="13" t="n">
        <f aca="false">Q$4*$B76+(1-Q$4)*Q75</f>
        <v>1108.62549319969</v>
      </c>
      <c r="R76" s="13" t="n">
        <f aca="false">R$4*$B76+(1-R$4)*R75</f>
        <v>1100.24461800575</v>
      </c>
      <c r="S76" s="13" t="n">
        <f aca="false">S$4*$B76+(1-S$4)*S75</f>
        <v>1090.20760397868</v>
      </c>
      <c r="T76" s="13" t="n">
        <f aca="false">T$4*$B76+(1-T$4)*T75</f>
        <v>1078.71911233439</v>
      </c>
      <c r="U76" s="13" t="n">
        <f aca="false">U$4*$B76+(1-U$4)*U75</f>
        <v>1065.94342878567</v>
      </c>
    </row>
    <row r="77" customFormat="false" ht="15" hidden="false" customHeight="false" outlineLevel="0" collapsed="false">
      <c r="A77" s="11" t="n">
        <f aca="false">Daily!A74</f>
        <v>43956</v>
      </c>
      <c r="B77" s="13" t="n">
        <f aca="false">Daily!C74</f>
        <v>1023</v>
      </c>
      <c r="C77" s="13" t="n">
        <f aca="false">C$4*$B77+(1-C$4)*C76</f>
        <v>609.652118148057</v>
      </c>
      <c r="D77" s="13" t="n">
        <f aca="false">D$4*$B77+(1-D$4)*D76</f>
        <v>822.138929469434</v>
      </c>
      <c r="E77" s="13" t="n">
        <f aca="false">E$4*$B77+(1-E$4)*E76</f>
        <v>924.433504628795</v>
      </c>
      <c r="F77" s="13" t="n">
        <f aca="false">F$4*$B77+(1-F$4)*F76</f>
        <v>983.152715928218</v>
      </c>
      <c r="G77" s="13" t="n">
        <f aca="false">G$4*$B77+(1-G$4)*G76</f>
        <v>1019.85115773056</v>
      </c>
      <c r="H77" s="13" t="n">
        <f aca="false">H$4*$B77+(1-H$4)*H76</f>
        <v>1043.3240510068</v>
      </c>
      <c r="I77" s="13" t="n">
        <f aca="false">I$4*$B77+(1-I$4)*I76</f>
        <v>1057.88842043248</v>
      </c>
      <c r="J77" s="13" t="n">
        <f aca="false">J$4*$B77+(1-J$4)*J76</f>
        <v>1066.04465933935</v>
      </c>
      <c r="K77" s="13" t="n">
        <f aca="false">K$4*$B77+(1-K$4)*K76</f>
        <v>1069.45805790297</v>
      </c>
      <c r="L77" s="13" t="n">
        <f aca="false">L$4*$B77+(1-L$4)*L76</f>
        <v>1069.35592500096</v>
      </c>
      <c r="M77" s="13" t="n">
        <f aca="false">M$4*$B77+(1-M$4)*M76</f>
        <v>1066.70201520683</v>
      </c>
      <c r="N77" s="13" t="n">
        <f aca="false">N$4*$B77+(1-N$4)*N76</f>
        <v>1062.28072829959</v>
      </c>
      <c r="O77" s="13" t="n">
        <f aca="false">O$4*$B77+(1-O$4)*O76</f>
        <v>1056.74262651924</v>
      </c>
      <c r="P77" s="13" t="n">
        <f aca="false">P$4*$B77+(1-P$4)*P76</f>
        <v>1050.63214794334</v>
      </c>
      <c r="Q77" s="13" t="n">
        <f aca="false">Q$4*$B77+(1-Q$4)*Q76</f>
        <v>1044.40637329992</v>
      </c>
      <c r="R77" s="13" t="n">
        <f aca="false">R$4*$B77+(1-R$4)*R76</f>
        <v>1038.44892360115</v>
      </c>
      <c r="S77" s="13" t="n">
        <f aca="false">S$4*$B77+(1-S$4)*S76</f>
        <v>1033.0811405968</v>
      </c>
      <c r="T77" s="13" t="n">
        <f aca="false">T$4*$B77+(1-T$4)*T76</f>
        <v>1028.57191123344</v>
      </c>
      <c r="U77" s="13" t="n">
        <f aca="false">U$4*$B77+(1-U$4)*U76</f>
        <v>1025.14717143928</v>
      </c>
    </row>
    <row r="78" customFormat="false" ht="15" hidden="false" customHeight="false" outlineLevel="0" collapsed="false">
      <c r="A78" s="11" t="n">
        <f aca="false">Daily!A75</f>
        <v>43957</v>
      </c>
      <c r="B78" s="13" t="n">
        <f aca="false">Daily!C75</f>
        <v>1804</v>
      </c>
      <c r="C78" s="13" t="n">
        <f aca="false">C$4*$B78+(1-C$4)*C77</f>
        <v>669.369512240654</v>
      </c>
      <c r="D78" s="13" t="n">
        <f aca="false">D$4*$B78+(1-D$4)*D77</f>
        <v>920.32503652249</v>
      </c>
      <c r="E78" s="13" t="n">
        <f aca="false">E$4*$B78+(1-E$4)*E77</f>
        <v>1056.36847893448</v>
      </c>
      <c r="F78" s="13" t="n">
        <f aca="false">F$4*$B78+(1-F$4)*F77</f>
        <v>1147.32217274257</v>
      </c>
      <c r="G78" s="13" t="n">
        <f aca="false">G$4*$B78+(1-G$4)*G77</f>
        <v>1215.88836829792</v>
      </c>
      <c r="H78" s="13" t="n">
        <f aca="false">H$4*$B78+(1-H$4)*H77</f>
        <v>1271.52683570476</v>
      </c>
      <c r="I78" s="13" t="n">
        <f aca="false">I$4*$B78+(1-I$4)*I77</f>
        <v>1319.02747328111</v>
      </c>
      <c r="J78" s="13" t="n">
        <f aca="false">J$4*$B78+(1-J$4)*J77</f>
        <v>1361.22679560361</v>
      </c>
      <c r="K78" s="13" t="n">
        <f aca="false">K$4*$B78+(1-K$4)*K77</f>
        <v>1400.00193184663</v>
      </c>
      <c r="L78" s="13" t="n">
        <f aca="false">L$4*$B78+(1-L$4)*L77</f>
        <v>1436.67796250048</v>
      </c>
      <c r="M78" s="13" t="n">
        <f aca="false">M$4*$B78+(1-M$4)*M77</f>
        <v>1472.21590684308</v>
      </c>
      <c r="N78" s="13" t="n">
        <f aca="false">N$4*$B78+(1-N$4)*N77</f>
        <v>1507.31229131984</v>
      </c>
      <c r="O78" s="13" t="n">
        <f aca="false">O$4*$B78+(1-O$4)*O77</f>
        <v>1542.45991928174</v>
      </c>
      <c r="P78" s="13" t="n">
        <f aca="false">P$4*$B78+(1-P$4)*P77</f>
        <v>1577.989644383</v>
      </c>
      <c r="Q78" s="13" t="n">
        <f aca="false">Q$4*$B78+(1-Q$4)*Q77</f>
        <v>1614.10159332498</v>
      </c>
      <c r="R78" s="13" t="n">
        <f aca="false">R$4*$B78+(1-R$4)*R77</f>
        <v>1650.88978472023</v>
      </c>
      <c r="S78" s="13" t="n">
        <f aca="false">S$4*$B78+(1-S$4)*S77</f>
        <v>1688.36217108952</v>
      </c>
      <c r="T78" s="13" t="n">
        <f aca="false">T$4*$B78+(1-T$4)*T77</f>
        <v>1726.45719112334</v>
      </c>
      <c r="U78" s="13" t="n">
        <f aca="false">U$4*$B78+(1-U$4)*U77</f>
        <v>1765.05735857196</v>
      </c>
    </row>
    <row r="79" customFormat="false" ht="15" hidden="false" customHeight="false" outlineLevel="0" collapsed="false">
      <c r="A79" s="11" t="n">
        <f aca="false">Daily!A76</f>
        <v>43958</v>
      </c>
      <c r="B79" s="13" t="n">
        <f aca="false">Daily!C76</f>
        <v>863</v>
      </c>
      <c r="C79" s="13" t="n">
        <f aca="false">C$4*$B79+(1-C$4)*C78</f>
        <v>679.051036628621</v>
      </c>
      <c r="D79" s="13" t="n">
        <f aca="false">D$4*$B79+(1-D$4)*D78</f>
        <v>914.592532870241</v>
      </c>
      <c r="E79" s="13" t="n">
        <f aca="false">E$4*$B79+(1-E$4)*E78</f>
        <v>1027.3632070943</v>
      </c>
      <c r="F79" s="13" t="n">
        <f aca="false">F$4*$B79+(1-F$4)*F78</f>
        <v>1090.45773819406</v>
      </c>
      <c r="G79" s="13" t="n">
        <f aca="false">G$4*$B79+(1-G$4)*G78</f>
        <v>1127.66627622344</v>
      </c>
      <c r="H79" s="13" t="n">
        <f aca="false">H$4*$B79+(1-H$4)*H78</f>
        <v>1148.96878499333</v>
      </c>
      <c r="I79" s="13" t="n">
        <f aca="false">I$4*$B79+(1-I$4)*I78</f>
        <v>1159.41785763272</v>
      </c>
      <c r="J79" s="13" t="n">
        <f aca="false">J$4*$B79+(1-J$4)*J78</f>
        <v>1161.93607736217</v>
      </c>
      <c r="K79" s="13" t="n">
        <f aca="false">K$4*$B79+(1-K$4)*K78</f>
        <v>1158.35106251565</v>
      </c>
      <c r="L79" s="13" t="n">
        <f aca="false">L$4*$B79+(1-L$4)*L78</f>
        <v>1149.83898125024</v>
      </c>
      <c r="M79" s="13" t="n">
        <f aca="false">M$4*$B79+(1-M$4)*M78</f>
        <v>1137.14715807938</v>
      </c>
      <c r="N79" s="13" t="n">
        <f aca="false">N$4*$B79+(1-N$4)*N78</f>
        <v>1120.72491652794</v>
      </c>
      <c r="O79" s="13" t="n">
        <f aca="false">O$4*$B79+(1-O$4)*O78</f>
        <v>1100.81097174861</v>
      </c>
      <c r="P79" s="13" t="n">
        <f aca="false">P$4*$B79+(1-P$4)*P78</f>
        <v>1077.4968933149</v>
      </c>
      <c r="Q79" s="13" t="n">
        <f aca="false">Q$4*$B79+(1-Q$4)*Q78</f>
        <v>1050.77539833125</v>
      </c>
      <c r="R79" s="13" t="n">
        <f aca="false">R$4*$B79+(1-R$4)*R78</f>
        <v>1020.57795694405</v>
      </c>
      <c r="S79" s="13" t="n">
        <f aca="false">S$4*$B79+(1-S$4)*S78</f>
        <v>986.804325663428</v>
      </c>
      <c r="T79" s="13" t="n">
        <f aca="false">T$4*$B79+(1-T$4)*T78</f>
        <v>949.345719112335</v>
      </c>
      <c r="U79" s="13" t="n">
        <f aca="false">U$4*$B79+(1-U$4)*U78</f>
        <v>908.102867928598</v>
      </c>
    </row>
    <row r="80" customFormat="false" ht="15" hidden="false" customHeight="false" outlineLevel="0" collapsed="false">
      <c r="A80" s="11" t="n">
        <f aca="false">Daily!A77</f>
        <v>43959</v>
      </c>
      <c r="B80" s="13" t="n">
        <f aca="false">Daily!C77</f>
        <v>1829</v>
      </c>
      <c r="C80" s="13" t="n">
        <f aca="false">C$4*$B80+(1-C$4)*C79</f>
        <v>736.54848479719</v>
      </c>
      <c r="D80" s="13" t="n">
        <f aca="false">D$4*$B80+(1-D$4)*D79</f>
        <v>1006.03327958322</v>
      </c>
      <c r="E80" s="13" t="n">
        <f aca="false">E$4*$B80+(1-E$4)*E79</f>
        <v>1147.60872603016</v>
      </c>
      <c r="F80" s="13" t="n">
        <f aca="false">F$4*$B80+(1-F$4)*F79</f>
        <v>1238.16619055525</v>
      </c>
      <c r="G80" s="13" t="n">
        <f aca="false">G$4*$B80+(1-G$4)*G79</f>
        <v>1302.99970716758</v>
      </c>
      <c r="H80" s="13" t="n">
        <f aca="false">H$4*$B80+(1-H$4)*H79</f>
        <v>1352.97814949533</v>
      </c>
      <c r="I80" s="13" t="n">
        <f aca="false">I$4*$B80+(1-I$4)*I79</f>
        <v>1393.77160746127</v>
      </c>
      <c r="J80" s="13" t="n">
        <f aca="false">J$4*$B80+(1-J$4)*J79</f>
        <v>1428.7616464173</v>
      </c>
      <c r="K80" s="13" t="n">
        <f aca="false">K$4*$B80+(1-K$4)*K79</f>
        <v>1460.14308438361</v>
      </c>
      <c r="L80" s="13" t="n">
        <f aca="false">L$4*$B80+(1-L$4)*L79</f>
        <v>1489.41949062512</v>
      </c>
      <c r="M80" s="13" t="n">
        <f aca="false">M$4*$B80+(1-M$4)*M79</f>
        <v>1517.66622113572</v>
      </c>
      <c r="N80" s="13" t="n">
        <f aca="false">N$4*$B80+(1-N$4)*N79</f>
        <v>1545.68996661117</v>
      </c>
      <c r="O80" s="13" t="n">
        <f aca="false">O$4*$B80+(1-O$4)*O79</f>
        <v>1574.13384011201</v>
      </c>
      <c r="P80" s="13" t="n">
        <f aca="false">P$4*$B80+(1-P$4)*P79</f>
        <v>1603.54906799447</v>
      </c>
      <c r="Q80" s="13" t="n">
        <f aca="false">Q$4*$B80+(1-Q$4)*Q79</f>
        <v>1634.44384958281</v>
      </c>
      <c r="R80" s="13" t="n">
        <f aca="false">R$4*$B80+(1-R$4)*R79</f>
        <v>1667.31559138881</v>
      </c>
      <c r="S80" s="13" t="n">
        <f aca="false">S$4*$B80+(1-S$4)*S79</f>
        <v>1702.67064884951</v>
      </c>
      <c r="T80" s="13" t="n">
        <f aca="false">T$4*$B80+(1-T$4)*T79</f>
        <v>1741.03457191123</v>
      </c>
      <c r="U80" s="13" t="n">
        <f aca="false">U$4*$B80+(1-U$4)*U79</f>
        <v>1782.95514339643</v>
      </c>
    </row>
    <row r="81" customFormat="false" ht="15" hidden="false" customHeight="false" outlineLevel="0" collapsed="false">
      <c r="A81" s="11" t="n">
        <f aca="false">Daily!A78</f>
        <v>43960</v>
      </c>
      <c r="B81" s="13" t="n">
        <f aca="false">Daily!C78</f>
        <v>2554</v>
      </c>
      <c r="C81" s="13" t="n">
        <f aca="false">C$4*$B81+(1-C$4)*C80</f>
        <v>827.421060557331</v>
      </c>
      <c r="D81" s="13" t="n">
        <f aca="false">D$4*$B81+(1-D$4)*D80</f>
        <v>1160.8299516249</v>
      </c>
      <c r="E81" s="13" t="n">
        <f aca="false">E$4*$B81+(1-E$4)*E80</f>
        <v>1358.56741712563</v>
      </c>
      <c r="F81" s="13" t="n">
        <f aca="false">F$4*$B81+(1-F$4)*F80</f>
        <v>1501.3329524442</v>
      </c>
      <c r="G81" s="13" t="n">
        <f aca="false">G$4*$B81+(1-G$4)*G80</f>
        <v>1615.74978037568</v>
      </c>
      <c r="H81" s="13" t="n">
        <f aca="false">H$4*$B81+(1-H$4)*H80</f>
        <v>1713.28470464673</v>
      </c>
      <c r="I81" s="13" t="n">
        <f aca="false">I$4*$B81+(1-I$4)*I80</f>
        <v>1799.85154484983</v>
      </c>
      <c r="J81" s="13" t="n">
        <f aca="false">J$4*$B81+(1-J$4)*J80</f>
        <v>1878.85698785038</v>
      </c>
      <c r="K81" s="13" t="n">
        <f aca="false">K$4*$B81+(1-K$4)*K80</f>
        <v>1952.37869641098</v>
      </c>
      <c r="L81" s="13" t="n">
        <f aca="false">L$4*$B81+(1-L$4)*L80</f>
        <v>2021.70974531256</v>
      </c>
      <c r="M81" s="13" t="n">
        <f aca="false">M$4*$B81+(1-M$4)*M80</f>
        <v>2087.64979951108</v>
      </c>
      <c r="N81" s="13" t="n">
        <f aca="false">N$4*$B81+(1-N$4)*N80</f>
        <v>2150.67598664447</v>
      </c>
      <c r="O81" s="13" t="n">
        <f aca="false">O$4*$B81+(1-O$4)*O80</f>
        <v>2211.0468440392</v>
      </c>
      <c r="P81" s="13" t="n">
        <f aca="false">P$4*$B81+(1-P$4)*P80</f>
        <v>2268.86472039834</v>
      </c>
      <c r="Q81" s="13" t="n">
        <f aca="false">Q$4*$B81+(1-Q$4)*Q80</f>
        <v>2324.1109623957</v>
      </c>
      <c r="R81" s="13" t="n">
        <f aca="false">R$4*$B81+(1-R$4)*R80</f>
        <v>2376.66311827776</v>
      </c>
      <c r="S81" s="13" t="n">
        <f aca="false">S$4*$B81+(1-S$4)*S80</f>
        <v>2426.30059732743</v>
      </c>
      <c r="T81" s="13" t="n">
        <f aca="false">T$4*$B81+(1-T$4)*T80</f>
        <v>2472.70345719112</v>
      </c>
      <c r="U81" s="13" t="n">
        <f aca="false">U$4*$B81+(1-U$4)*U80</f>
        <v>2515.44775716982</v>
      </c>
    </row>
    <row r="82" customFormat="false" ht="15" hidden="false" customHeight="false" outlineLevel="0" collapsed="false">
      <c r="A82" s="11" t="n">
        <f aca="false">Daily!A79</f>
        <v>43961</v>
      </c>
      <c r="B82" s="13" t="n">
        <f aca="false">Daily!C79</f>
        <v>1463</v>
      </c>
      <c r="C82" s="13" t="n">
        <f aca="false">C$4*$B82+(1-C$4)*C81</f>
        <v>859.200007529464</v>
      </c>
      <c r="D82" s="13" t="n">
        <f aca="false">D$4*$B82+(1-D$4)*D81</f>
        <v>1191.04695646241</v>
      </c>
      <c r="E82" s="13" t="n">
        <f aca="false">E$4*$B82+(1-E$4)*E81</f>
        <v>1374.23230455679</v>
      </c>
      <c r="F82" s="13" t="n">
        <f aca="false">F$4*$B82+(1-F$4)*F81</f>
        <v>1493.66636195536</v>
      </c>
      <c r="G82" s="13" t="n">
        <f aca="false">G$4*$B82+(1-G$4)*G81</f>
        <v>1577.56233528176</v>
      </c>
      <c r="H82" s="13" t="n">
        <f aca="false">H$4*$B82+(1-H$4)*H81</f>
        <v>1638.19929325271</v>
      </c>
      <c r="I82" s="13" t="n">
        <f aca="false">I$4*$B82+(1-I$4)*I81</f>
        <v>1681.95350415239</v>
      </c>
      <c r="J82" s="13" t="n">
        <f aca="false">J$4*$B82+(1-J$4)*J81</f>
        <v>1712.51419271023</v>
      </c>
      <c r="K82" s="13" t="n">
        <f aca="false">K$4*$B82+(1-K$4)*K81</f>
        <v>1732.15828302604</v>
      </c>
      <c r="L82" s="13" t="n">
        <f aca="false">L$4*$B82+(1-L$4)*L81</f>
        <v>1742.35487265628</v>
      </c>
      <c r="M82" s="13" t="n">
        <f aca="false">M$4*$B82+(1-M$4)*M81</f>
        <v>1744.09240977998</v>
      </c>
      <c r="N82" s="13" t="n">
        <f aca="false">N$4*$B82+(1-N$4)*N81</f>
        <v>1738.07039465779</v>
      </c>
      <c r="O82" s="13" t="n">
        <f aca="false">O$4*$B82+(1-O$4)*O81</f>
        <v>1724.81639541372</v>
      </c>
      <c r="P82" s="13" t="n">
        <f aca="false">P$4*$B82+(1-P$4)*P81</f>
        <v>1704.7594161195</v>
      </c>
      <c r="Q82" s="13" t="n">
        <f aca="false">Q$4*$B82+(1-Q$4)*Q81</f>
        <v>1678.27774059893</v>
      </c>
      <c r="R82" s="13" t="n">
        <f aca="false">R$4*$B82+(1-R$4)*R81</f>
        <v>1645.73262365555</v>
      </c>
      <c r="S82" s="13" t="n">
        <f aca="false">S$4*$B82+(1-S$4)*S81</f>
        <v>1607.49508959911</v>
      </c>
      <c r="T82" s="13" t="n">
        <f aca="false">T$4*$B82+(1-T$4)*T81</f>
        <v>1563.97034571911</v>
      </c>
      <c r="U82" s="13" t="n">
        <f aca="false">U$4*$B82+(1-U$4)*U81</f>
        <v>1515.62238785849</v>
      </c>
    </row>
    <row r="83" customFormat="false" ht="15" hidden="false" customHeight="false" outlineLevel="0" collapsed="false">
      <c r="A83" s="11" t="n">
        <f aca="false">Daily!A80</f>
        <v>43962</v>
      </c>
      <c r="B83" s="13" t="n">
        <f aca="false">Daily!C80</f>
        <v>1079</v>
      </c>
      <c r="C83" s="13" t="n">
        <f aca="false">C$4*$B83+(1-C$4)*C82</f>
        <v>870.190007152991</v>
      </c>
      <c r="D83" s="13" t="n">
        <f aca="false">D$4*$B83+(1-D$4)*D82</f>
        <v>1179.84226081617</v>
      </c>
      <c r="E83" s="13" t="n">
        <f aca="false">E$4*$B83+(1-E$4)*E82</f>
        <v>1329.94745887327</v>
      </c>
      <c r="F83" s="13" t="n">
        <f aca="false">F$4*$B83+(1-F$4)*F82</f>
        <v>1410.73308956429</v>
      </c>
      <c r="G83" s="13" t="n">
        <f aca="false">G$4*$B83+(1-G$4)*G82</f>
        <v>1452.92175146132</v>
      </c>
      <c r="H83" s="13" t="n">
        <f aca="false">H$4*$B83+(1-H$4)*H82</f>
        <v>1470.4395052769</v>
      </c>
      <c r="I83" s="13" t="n">
        <f aca="false">I$4*$B83+(1-I$4)*I82</f>
        <v>1470.91977769905</v>
      </c>
      <c r="J83" s="13" t="n">
        <f aca="false">J$4*$B83+(1-J$4)*J82</f>
        <v>1459.10851562614</v>
      </c>
      <c r="K83" s="13" t="n">
        <f aca="false">K$4*$B83+(1-K$4)*K82</f>
        <v>1438.23705566432</v>
      </c>
      <c r="L83" s="13" t="n">
        <f aca="false">L$4*$B83+(1-L$4)*L82</f>
        <v>1410.67743632814</v>
      </c>
      <c r="M83" s="13" t="n">
        <f aca="false">M$4*$B83+(1-M$4)*M82</f>
        <v>1378.29158440099</v>
      </c>
      <c r="N83" s="13" t="n">
        <f aca="false">N$4*$B83+(1-N$4)*N82</f>
        <v>1342.62815786312</v>
      </c>
      <c r="O83" s="13" t="n">
        <f aca="false">O$4*$B83+(1-O$4)*O82</f>
        <v>1305.0357383948</v>
      </c>
      <c r="P83" s="13" t="n">
        <f aca="false">P$4*$B83+(1-P$4)*P82</f>
        <v>1266.72782483585</v>
      </c>
      <c r="Q83" s="13" t="n">
        <f aca="false">Q$4*$B83+(1-Q$4)*Q82</f>
        <v>1228.81943514973</v>
      </c>
      <c r="R83" s="13" t="n">
        <f aca="false">R$4*$B83+(1-R$4)*R82</f>
        <v>1192.34652473111</v>
      </c>
      <c r="S83" s="13" t="n">
        <f aca="false">S$4*$B83+(1-S$4)*S82</f>
        <v>1158.27426343987</v>
      </c>
      <c r="T83" s="13" t="n">
        <f aca="false">T$4*$B83+(1-T$4)*T82</f>
        <v>1127.49703457191</v>
      </c>
      <c r="U83" s="13" t="n">
        <f aca="false">U$4*$B83+(1-U$4)*U82</f>
        <v>1100.83111939292</v>
      </c>
    </row>
    <row r="84" customFormat="false" ht="15" hidden="false" customHeight="false" outlineLevel="0" collapsed="false">
      <c r="A84" s="11" t="n">
        <f aca="false">Daily!A81</f>
        <v>43963</v>
      </c>
      <c r="B84" s="13" t="n">
        <f aca="false">Daily!C81</f>
        <v>2254</v>
      </c>
      <c r="C84" s="13" t="n">
        <f aca="false">C$4*$B84+(1-C$4)*C83</f>
        <v>939.380506795342</v>
      </c>
      <c r="D84" s="13" t="n">
        <f aca="false">D$4*$B84+(1-D$4)*D83</f>
        <v>1287.25803473455</v>
      </c>
      <c r="E84" s="13" t="n">
        <f aca="false">E$4*$B84+(1-E$4)*E83</f>
        <v>1468.55534004228</v>
      </c>
      <c r="F84" s="13" t="n">
        <f aca="false">F$4*$B84+(1-F$4)*F83</f>
        <v>1579.38647165143</v>
      </c>
      <c r="G84" s="13" t="n">
        <f aca="false">G$4*$B84+(1-G$4)*G83</f>
        <v>1653.19131359599</v>
      </c>
      <c r="H84" s="13" t="n">
        <f aca="false">H$4*$B84+(1-H$4)*H83</f>
        <v>1705.50765369383</v>
      </c>
      <c r="I84" s="13" t="n">
        <f aca="false">I$4*$B84+(1-I$4)*I83</f>
        <v>1744.99785550438</v>
      </c>
      <c r="J84" s="13" t="n">
        <f aca="false">J$4*$B84+(1-J$4)*J83</f>
        <v>1777.06510937568</v>
      </c>
      <c r="K84" s="13" t="n">
        <f aca="false">K$4*$B84+(1-K$4)*K83</f>
        <v>1805.33038061538</v>
      </c>
      <c r="L84" s="13" t="n">
        <f aca="false">L$4*$B84+(1-L$4)*L83</f>
        <v>1832.33871816407</v>
      </c>
      <c r="M84" s="13" t="n">
        <f aca="false">M$4*$B84+(1-M$4)*M83</f>
        <v>1859.93121298045</v>
      </c>
      <c r="N84" s="13" t="n">
        <f aca="false">N$4*$B84+(1-N$4)*N83</f>
        <v>1889.45126314525</v>
      </c>
      <c r="O84" s="13" t="n">
        <f aca="false">O$4*$B84+(1-O$4)*O83</f>
        <v>1921.86250843818</v>
      </c>
      <c r="P84" s="13" t="n">
        <f aca="false">P$4*$B84+(1-P$4)*P83</f>
        <v>1957.81834745076</v>
      </c>
      <c r="Q84" s="13" t="n">
        <f aca="false">Q$4*$B84+(1-Q$4)*Q83</f>
        <v>1997.70485878743</v>
      </c>
      <c r="R84" s="13" t="n">
        <f aca="false">R$4*$B84+(1-R$4)*R83</f>
        <v>2041.66930494622</v>
      </c>
      <c r="S84" s="13" t="n">
        <f aca="false">S$4*$B84+(1-S$4)*S83</f>
        <v>2089.64113951598</v>
      </c>
      <c r="T84" s="13" t="n">
        <f aca="false">T$4*$B84+(1-T$4)*T83</f>
        <v>2141.34970345719</v>
      </c>
      <c r="U84" s="13" t="n">
        <f aca="false">U$4*$B84+(1-U$4)*U83</f>
        <v>2196.34155596965</v>
      </c>
    </row>
    <row r="85" customFormat="false" ht="15" hidden="false" customHeight="false" outlineLevel="0" collapsed="false">
      <c r="A85" s="11" t="n">
        <f aca="false">Daily!A82</f>
        <v>43964</v>
      </c>
      <c r="B85" s="13" t="n">
        <f aca="false">Daily!C82</f>
        <v>1431</v>
      </c>
      <c r="C85" s="13" t="n">
        <f aca="false">C$4*$B85+(1-C$4)*C84</f>
        <v>963.961481455575</v>
      </c>
      <c r="D85" s="13" t="n">
        <f aca="false">D$4*$B85+(1-D$4)*D84</f>
        <v>1301.63223126109</v>
      </c>
      <c r="E85" s="13" t="n">
        <f aca="false">E$4*$B85+(1-E$4)*E84</f>
        <v>1462.92203903594</v>
      </c>
      <c r="F85" s="13" t="n">
        <f aca="false">F$4*$B85+(1-F$4)*F84</f>
        <v>1549.70917732114</v>
      </c>
      <c r="G85" s="13" t="n">
        <f aca="false">G$4*$B85+(1-G$4)*G84</f>
        <v>1597.64348519699</v>
      </c>
      <c r="H85" s="13" t="n">
        <f aca="false">H$4*$B85+(1-H$4)*H84</f>
        <v>1623.15535758568</v>
      </c>
      <c r="I85" s="13" t="n">
        <f aca="false">I$4*$B85+(1-I$4)*I84</f>
        <v>1635.09860607785</v>
      </c>
      <c r="J85" s="13" t="n">
        <f aca="false">J$4*$B85+(1-J$4)*J84</f>
        <v>1638.63906562541</v>
      </c>
      <c r="K85" s="13" t="n">
        <f aca="false">K$4*$B85+(1-K$4)*K84</f>
        <v>1636.88170933846</v>
      </c>
      <c r="L85" s="13" t="n">
        <f aca="false">L$4*$B85+(1-L$4)*L84</f>
        <v>1631.66935908204</v>
      </c>
      <c r="M85" s="13" t="n">
        <f aca="false">M$4*$B85+(1-M$4)*M84</f>
        <v>1624.0190458412</v>
      </c>
      <c r="N85" s="13" t="n">
        <f aca="false">N$4*$B85+(1-N$4)*N84</f>
        <v>1614.3805052581</v>
      </c>
      <c r="O85" s="13" t="n">
        <f aca="false">O$4*$B85+(1-O$4)*O84</f>
        <v>1602.80187795336</v>
      </c>
      <c r="P85" s="13" t="n">
        <f aca="false">P$4*$B85+(1-P$4)*P84</f>
        <v>1589.04550423523</v>
      </c>
      <c r="Q85" s="13" t="n">
        <f aca="false">Q$4*$B85+(1-Q$4)*Q84</f>
        <v>1572.67621469686</v>
      </c>
      <c r="R85" s="13" t="n">
        <f aca="false">R$4*$B85+(1-R$4)*R84</f>
        <v>1553.13386098924</v>
      </c>
      <c r="S85" s="13" t="n">
        <f aca="false">S$4*$B85+(1-S$4)*S84</f>
        <v>1529.7961709274</v>
      </c>
      <c r="T85" s="13" t="n">
        <f aca="false">T$4*$B85+(1-T$4)*T84</f>
        <v>1502.03497034572</v>
      </c>
      <c r="U85" s="13" t="n">
        <f aca="false">U$4*$B85+(1-U$4)*U84</f>
        <v>1469.26707779848</v>
      </c>
    </row>
    <row r="86" customFormat="false" ht="15" hidden="false" customHeight="false" outlineLevel="0" collapsed="false">
      <c r="A86" s="11" t="n">
        <f aca="false">Daily!A83</f>
        <v>43965</v>
      </c>
      <c r="B86" s="13" t="n">
        <f aca="false">Daily!C83</f>
        <v>1449</v>
      </c>
      <c r="C86" s="13" t="n">
        <f aca="false">C$4*$B86+(1-C$4)*C85</f>
        <v>988.213407382796</v>
      </c>
      <c r="D86" s="13" t="n">
        <f aca="false">D$4*$B86+(1-D$4)*D85</f>
        <v>1316.36900813498</v>
      </c>
      <c r="E86" s="13" t="n">
        <f aca="false">E$4*$B86+(1-E$4)*E85</f>
        <v>1460.83373318055</v>
      </c>
      <c r="F86" s="13" t="n">
        <f aca="false">F$4*$B86+(1-F$4)*F85</f>
        <v>1529.56734185692</v>
      </c>
      <c r="G86" s="13" t="n">
        <f aca="false">G$4*$B86+(1-G$4)*G85</f>
        <v>1560.48261389775</v>
      </c>
      <c r="H86" s="13" t="n">
        <f aca="false">H$4*$B86+(1-H$4)*H85</f>
        <v>1570.90875030998</v>
      </c>
      <c r="I86" s="13" t="n">
        <f aca="false">I$4*$B86+(1-I$4)*I85</f>
        <v>1569.9640939506</v>
      </c>
      <c r="J86" s="13" t="n">
        <f aca="false">J$4*$B86+(1-J$4)*J85</f>
        <v>1562.78343937525</v>
      </c>
      <c r="K86" s="13" t="n">
        <f aca="false">K$4*$B86+(1-K$4)*K85</f>
        <v>1552.33494013615</v>
      </c>
      <c r="L86" s="13" t="n">
        <f aca="false">L$4*$B86+(1-L$4)*L85</f>
        <v>1540.33467954102</v>
      </c>
      <c r="M86" s="13" t="n">
        <f aca="false">M$4*$B86+(1-M$4)*M85</f>
        <v>1527.75857062854</v>
      </c>
      <c r="N86" s="13" t="n">
        <f aca="false">N$4*$B86+(1-N$4)*N85</f>
        <v>1515.15220210324</v>
      </c>
      <c r="O86" s="13" t="n">
        <f aca="false">O$4*$B86+(1-O$4)*O85</f>
        <v>1502.83065728368</v>
      </c>
      <c r="P86" s="13" t="n">
        <f aca="false">P$4*$B86+(1-P$4)*P85</f>
        <v>1491.01365127057</v>
      </c>
      <c r="Q86" s="13" t="n">
        <f aca="false">Q$4*$B86+(1-Q$4)*Q85</f>
        <v>1479.91905367421</v>
      </c>
      <c r="R86" s="13" t="n">
        <f aca="false">R$4*$B86+(1-R$4)*R85</f>
        <v>1469.82677219785</v>
      </c>
      <c r="S86" s="13" t="n">
        <f aca="false">S$4*$B86+(1-S$4)*S85</f>
        <v>1461.11942563911</v>
      </c>
      <c r="T86" s="13" t="n">
        <f aca="false">T$4*$B86+(1-T$4)*T85</f>
        <v>1454.30349703457</v>
      </c>
      <c r="U86" s="13" t="n">
        <f aca="false">U$4*$B86+(1-U$4)*U85</f>
        <v>1450.01335388992</v>
      </c>
    </row>
    <row r="87" customFormat="false" ht="15" hidden="false" customHeight="false" outlineLevel="0" collapsed="false">
      <c r="A87" s="11" t="n">
        <f aca="false">Daily!A84</f>
        <v>43966</v>
      </c>
      <c r="B87" s="13" t="n">
        <f aca="false">Daily!C84</f>
        <v>1515</v>
      </c>
      <c r="C87" s="13" t="n">
        <f aca="false">C$4*$B87+(1-C$4)*C86</f>
        <v>1014.55273701366</v>
      </c>
      <c r="D87" s="13" t="n">
        <f aca="false">D$4*$B87+(1-D$4)*D86</f>
        <v>1336.23210732149</v>
      </c>
      <c r="E87" s="13" t="n">
        <f aca="false">E$4*$B87+(1-E$4)*E86</f>
        <v>1468.95867320347</v>
      </c>
      <c r="F87" s="13" t="n">
        <f aca="false">F$4*$B87+(1-F$4)*F86</f>
        <v>1526.65387348553</v>
      </c>
      <c r="G87" s="13" t="n">
        <f aca="false">G$4*$B87+(1-G$4)*G86</f>
        <v>1549.11196042331</v>
      </c>
      <c r="H87" s="13" t="n">
        <f aca="false">H$4*$B87+(1-H$4)*H86</f>
        <v>1554.13612521698</v>
      </c>
      <c r="I87" s="13" t="n">
        <f aca="false">I$4*$B87+(1-I$4)*I86</f>
        <v>1550.72666106789</v>
      </c>
      <c r="J87" s="13" t="n">
        <f aca="false">J$4*$B87+(1-J$4)*J86</f>
        <v>1543.67006362515</v>
      </c>
      <c r="K87" s="13" t="n">
        <f aca="false">K$4*$B87+(1-K$4)*K86</f>
        <v>1535.53421707488</v>
      </c>
      <c r="L87" s="13" t="n">
        <f aca="false">L$4*$B87+(1-L$4)*L86</f>
        <v>1527.66733977051</v>
      </c>
      <c r="M87" s="13" t="n">
        <f aca="false">M$4*$B87+(1-M$4)*M86</f>
        <v>1520.74135678284</v>
      </c>
      <c r="N87" s="13" t="n">
        <f aca="false">N$4*$B87+(1-N$4)*N86</f>
        <v>1515.0608808413</v>
      </c>
      <c r="O87" s="13" t="n">
        <f aca="false">O$4*$B87+(1-O$4)*O86</f>
        <v>1510.74073004929</v>
      </c>
      <c r="P87" s="13" t="n">
        <f aca="false">P$4*$B87+(1-P$4)*P86</f>
        <v>1507.80409538117</v>
      </c>
      <c r="Q87" s="13" t="n">
        <f aca="false">Q$4*$B87+(1-Q$4)*Q86</f>
        <v>1506.22976341855</v>
      </c>
      <c r="R87" s="13" t="n">
        <f aca="false">R$4*$B87+(1-R$4)*R86</f>
        <v>1505.96535443957</v>
      </c>
      <c r="S87" s="13" t="n">
        <f aca="false">S$4*$B87+(1-S$4)*S86</f>
        <v>1506.91791384587</v>
      </c>
      <c r="T87" s="13" t="n">
        <f aca="false">T$4*$B87+(1-T$4)*T86</f>
        <v>1508.93034970346</v>
      </c>
      <c r="U87" s="13" t="n">
        <f aca="false">U$4*$B87+(1-U$4)*U86</f>
        <v>1511.7506676945</v>
      </c>
    </row>
    <row r="88" customFormat="false" ht="15" hidden="false" customHeight="false" outlineLevel="0" collapsed="false">
      <c r="A88" s="11" t="n">
        <f aca="false">Daily!A85</f>
        <v>43967</v>
      </c>
      <c r="B88" s="13" t="n">
        <f aca="false">Daily!C85</f>
        <v>1372</v>
      </c>
      <c r="C88" s="13" t="n">
        <f aca="false">C$4*$B88+(1-C$4)*C87</f>
        <v>1032.42510016297</v>
      </c>
      <c r="D88" s="13" t="n">
        <f aca="false">D$4*$B88+(1-D$4)*D87</f>
        <v>1339.80889658934</v>
      </c>
      <c r="E88" s="13" t="n">
        <f aca="false">E$4*$B88+(1-E$4)*E87</f>
        <v>1454.41487222295</v>
      </c>
      <c r="F88" s="13" t="n">
        <f aca="false">F$4*$B88+(1-F$4)*F87</f>
        <v>1495.72309878843</v>
      </c>
      <c r="G88" s="13" t="n">
        <f aca="false">G$4*$B88+(1-G$4)*G87</f>
        <v>1504.83397031748</v>
      </c>
      <c r="H88" s="13" t="n">
        <f aca="false">H$4*$B88+(1-H$4)*H87</f>
        <v>1499.49528765189</v>
      </c>
      <c r="I88" s="13" t="n">
        <f aca="false">I$4*$B88+(1-I$4)*I87</f>
        <v>1488.17232969413</v>
      </c>
      <c r="J88" s="13" t="n">
        <f aca="false">J$4*$B88+(1-J$4)*J87</f>
        <v>1475.00203817509</v>
      </c>
      <c r="K88" s="13" t="n">
        <f aca="false">K$4*$B88+(1-K$4)*K87</f>
        <v>1461.94381939119</v>
      </c>
      <c r="L88" s="13" t="n">
        <f aca="false">L$4*$B88+(1-L$4)*L87</f>
        <v>1449.83366988525</v>
      </c>
      <c r="M88" s="13" t="n">
        <f aca="false">M$4*$B88+(1-M$4)*M87</f>
        <v>1438.93361055228</v>
      </c>
      <c r="N88" s="13" t="n">
        <f aca="false">N$4*$B88+(1-N$4)*N87</f>
        <v>1429.22435233652</v>
      </c>
      <c r="O88" s="13" t="n">
        <f aca="false">O$4*$B88+(1-O$4)*O87</f>
        <v>1420.55925551725</v>
      </c>
      <c r="P88" s="13" t="n">
        <f aca="false">P$4*$B88+(1-P$4)*P87</f>
        <v>1412.74122861435</v>
      </c>
      <c r="Q88" s="13" t="n">
        <f aca="false">Q$4*$B88+(1-Q$4)*Q87</f>
        <v>1405.55744085464</v>
      </c>
      <c r="R88" s="13" t="n">
        <f aca="false">R$4*$B88+(1-R$4)*R87</f>
        <v>1398.79307088791</v>
      </c>
      <c r="S88" s="13" t="n">
        <f aca="false">S$4*$B88+(1-S$4)*S87</f>
        <v>1392.23768707688</v>
      </c>
      <c r="T88" s="13" t="n">
        <f aca="false">T$4*$B88+(1-T$4)*T87</f>
        <v>1385.69303497035</v>
      </c>
      <c r="U88" s="13" t="n">
        <f aca="false">U$4*$B88+(1-U$4)*U87</f>
        <v>1378.98753338472</v>
      </c>
    </row>
    <row r="89" customFormat="false" ht="15" hidden="false" customHeight="false" outlineLevel="0" collapsed="false">
      <c r="A89" s="11" t="n">
        <f aca="false">Daily!A86</f>
        <v>43968</v>
      </c>
      <c r="B89" s="13" t="n">
        <f aca="false">Daily!C86</f>
        <v>1956</v>
      </c>
      <c r="C89" s="13" t="n">
        <f aca="false">C$4*$B89+(1-C$4)*C88</f>
        <v>1078.60384515482</v>
      </c>
      <c r="D89" s="13" t="n">
        <f aca="false">D$4*$B89+(1-D$4)*D88</f>
        <v>1401.4280069304</v>
      </c>
      <c r="E89" s="13" t="n">
        <f aca="false">E$4*$B89+(1-E$4)*E88</f>
        <v>1529.6526413895</v>
      </c>
      <c r="F89" s="13" t="n">
        <f aca="false">F$4*$B89+(1-F$4)*F88</f>
        <v>1587.77847903074</v>
      </c>
      <c r="G89" s="13" t="n">
        <f aca="false">G$4*$B89+(1-G$4)*G88</f>
        <v>1617.62547773811</v>
      </c>
      <c r="H89" s="13" t="n">
        <f aca="false">H$4*$B89+(1-H$4)*H88</f>
        <v>1636.44670135632</v>
      </c>
      <c r="I89" s="13" t="n">
        <f aca="false">I$4*$B89+(1-I$4)*I88</f>
        <v>1651.91201430118</v>
      </c>
      <c r="J89" s="13" t="n">
        <f aca="false">J$4*$B89+(1-J$4)*J88</f>
        <v>1667.40122290505</v>
      </c>
      <c r="K89" s="13" t="n">
        <f aca="false">K$4*$B89+(1-K$4)*K88</f>
        <v>1684.26910066515</v>
      </c>
      <c r="L89" s="13" t="n">
        <f aca="false">L$4*$B89+(1-L$4)*L88</f>
        <v>1702.91683494263</v>
      </c>
      <c r="M89" s="13" t="n">
        <f aca="false">M$4*$B89+(1-M$4)*M88</f>
        <v>1723.32012474853</v>
      </c>
      <c r="N89" s="13" t="n">
        <f aca="false">N$4*$B89+(1-N$4)*N88</f>
        <v>1745.28974093461</v>
      </c>
      <c r="O89" s="13" t="n">
        <f aca="false">O$4*$B89+(1-O$4)*O88</f>
        <v>1768.59573943104</v>
      </c>
      <c r="P89" s="13" t="n">
        <f aca="false">P$4*$B89+(1-P$4)*P88</f>
        <v>1793.02236858431</v>
      </c>
      <c r="Q89" s="13" t="n">
        <f aca="false">Q$4*$B89+(1-Q$4)*Q88</f>
        <v>1818.38936021366</v>
      </c>
      <c r="R89" s="13" t="n">
        <f aca="false">R$4*$B89+(1-R$4)*R88</f>
        <v>1844.55861417758</v>
      </c>
      <c r="S89" s="13" t="n">
        <f aca="false">S$4*$B89+(1-S$4)*S88</f>
        <v>1871.43565306153</v>
      </c>
      <c r="T89" s="13" t="n">
        <f aca="false">T$4*$B89+(1-T$4)*T88</f>
        <v>1898.96930349703</v>
      </c>
      <c r="U89" s="13" t="n">
        <f aca="false">U$4*$B89+(1-U$4)*U88</f>
        <v>1927.14937666924</v>
      </c>
    </row>
    <row r="90" customFormat="false" ht="15" hidden="false" customHeight="false" outlineLevel="0" collapsed="false">
      <c r="A90" s="11" t="n">
        <f aca="false">Daily!A87</f>
        <v>43969</v>
      </c>
      <c r="B90" s="13" t="n">
        <f aca="false">Daily!C87</f>
        <v>1800</v>
      </c>
      <c r="C90" s="13" t="n">
        <f aca="false">C$4*$B90+(1-C$4)*C89</f>
        <v>1114.67365289708</v>
      </c>
      <c r="D90" s="13" t="n">
        <f aca="false">D$4*$B90+(1-D$4)*D89</f>
        <v>1441.28520623736</v>
      </c>
      <c r="E90" s="13" t="n">
        <f aca="false">E$4*$B90+(1-E$4)*E89</f>
        <v>1570.20474518108</v>
      </c>
      <c r="F90" s="13" t="n">
        <f aca="false">F$4*$B90+(1-F$4)*F89</f>
        <v>1630.22278322459</v>
      </c>
      <c r="G90" s="13" t="n">
        <f aca="false">G$4*$B90+(1-G$4)*G89</f>
        <v>1663.21910830358</v>
      </c>
      <c r="H90" s="13" t="n">
        <f aca="false">H$4*$B90+(1-H$4)*H89</f>
        <v>1685.51269094943</v>
      </c>
      <c r="I90" s="13" t="n">
        <f aca="false">I$4*$B90+(1-I$4)*I89</f>
        <v>1703.74280929577</v>
      </c>
      <c r="J90" s="13" t="n">
        <f aca="false">J$4*$B90+(1-J$4)*J89</f>
        <v>1720.44073374303</v>
      </c>
      <c r="K90" s="13" t="n">
        <f aca="false">K$4*$B90+(1-K$4)*K89</f>
        <v>1736.34800536583</v>
      </c>
      <c r="L90" s="13" t="n">
        <f aca="false">L$4*$B90+(1-L$4)*L89</f>
        <v>1751.45841747131</v>
      </c>
      <c r="M90" s="13" t="n">
        <f aca="false">M$4*$B90+(1-M$4)*M89</f>
        <v>1765.49405613684</v>
      </c>
      <c r="N90" s="13" t="n">
        <f aca="false">N$4*$B90+(1-N$4)*N89</f>
        <v>1778.11589637384</v>
      </c>
      <c r="O90" s="13" t="n">
        <f aca="false">O$4*$B90+(1-O$4)*O89</f>
        <v>1789.00850880086</v>
      </c>
      <c r="P90" s="13" t="n">
        <f aca="false">P$4*$B90+(1-P$4)*P89</f>
        <v>1797.90671057529</v>
      </c>
      <c r="Q90" s="13" t="n">
        <f aca="false">Q$4*$B90+(1-Q$4)*Q89</f>
        <v>1804.59734005341</v>
      </c>
      <c r="R90" s="13" t="n">
        <f aca="false">R$4*$B90+(1-R$4)*R89</f>
        <v>1808.91172283552</v>
      </c>
      <c r="S90" s="13" t="n">
        <f aca="false">S$4*$B90+(1-S$4)*S89</f>
        <v>1810.71534795923</v>
      </c>
      <c r="T90" s="13" t="n">
        <f aca="false">T$4*$B90+(1-T$4)*T89</f>
        <v>1809.8969303497</v>
      </c>
      <c r="U90" s="13" t="n">
        <f aca="false">U$4*$B90+(1-U$4)*U89</f>
        <v>1806.35746883346</v>
      </c>
    </row>
    <row r="91" customFormat="false" ht="15" hidden="false" customHeight="false" outlineLevel="0" collapsed="false">
      <c r="A91" s="11" t="n">
        <f aca="false">Daily!A88</f>
        <v>43970</v>
      </c>
      <c r="B91" s="13" t="n">
        <f aca="false">Daily!C88</f>
        <v>1874</v>
      </c>
      <c r="C91" s="13" t="n">
        <f aca="false">C$4*$B91+(1-C$4)*C90</f>
        <v>1152.63997025223</v>
      </c>
      <c r="D91" s="13" t="n">
        <f aca="false">D$4*$B91+(1-D$4)*D90</f>
        <v>1484.55668561363</v>
      </c>
      <c r="E91" s="13" t="n">
        <f aca="false">E$4*$B91+(1-E$4)*E90</f>
        <v>1615.77403340392</v>
      </c>
      <c r="F91" s="13" t="n">
        <f aca="false">F$4*$B91+(1-F$4)*F90</f>
        <v>1678.97822657967</v>
      </c>
      <c r="G91" s="13" t="n">
        <f aca="false">G$4*$B91+(1-G$4)*G90</f>
        <v>1715.91433122769</v>
      </c>
      <c r="H91" s="13" t="n">
        <f aca="false">H$4*$B91+(1-H$4)*H90</f>
        <v>1742.0588836646</v>
      </c>
      <c r="I91" s="13" t="n">
        <f aca="false">I$4*$B91+(1-I$4)*I90</f>
        <v>1763.33282604225</v>
      </c>
      <c r="J91" s="13" t="n">
        <f aca="false">J$4*$B91+(1-J$4)*J90</f>
        <v>1781.86444024582</v>
      </c>
      <c r="K91" s="13" t="n">
        <f aca="false">K$4*$B91+(1-K$4)*K90</f>
        <v>1798.29140295121</v>
      </c>
      <c r="L91" s="13" t="n">
        <f aca="false">L$4*$B91+(1-L$4)*L90</f>
        <v>1812.72920873566</v>
      </c>
      <c r="M91" s="13" t="n">
        <f aca="false">M$4*$B91+(1-M$4)*M90</f>
        <v>1825.17232526158</v>
      </c>
      <c r="N91" s="13" t="n">
        <f aca="false">N$4*$B91+(1-N$4)*N90</f>
        <v>1835.64635854954</v>
      </c>
      <c r="O91" s="13" t="n">
        <f aca="false">O$4*$B91+(1-O$4)*O90</f>
        <v>1844.2529780803</v>
      </c>
      <c r="P91" s="13" t="n">
        <f aca="false">P$4*$B91+(1-P$4)*P90</f>
        <v>1851.17201317259</v>
      </c>
      <c r="Q91" s="13" t="n">
        <f aca="false">Q$4*$B91+(1-Q$4)*Q90</f>
        <v>1856.64933501335</v>
      </c>
      <c r="R91" s="13" t="n">
        <f aca="false">R$4*$B91+(1-R$4)*R90</f>
        <v>1860.9823445671</v>
      </c>
      <c r="S91" s="13" t="n">
        <f aca="false">S$4*$B91+(1-S$4)*S90</f>
        <v>1864.50730219388</v>
      </c>
      <c r="T91" s="13" t="n">
        <f aca="false">T$4*$B91+(1-T$4)*T90</f>
        <v>1867.58969303497</v>
      </c>
      <c r="U91" s="13" t="n">
        <f aca="false">U$4*$B91+(1-U$4)*U90</f>
        <v>1870.61787344167</v>
      </c>
    </row>
    <row r="92" customFormat="false" ht="15" hidden="false" customHeight="false" outlineLevel="0" collapsed="false">
      <c r="A92" s="11" t="n">
        <f aca="false">Daily!A89</f>
        <v>43971</v>
      </c>
      <c r="B92" s="13" t="n">
        <f aca="false">Daily!C89</f>
        <v>2115</v>
      </c>
      <c r="C92" s="13" t="n">
        <f aca="false">C$4*$B92+(1-C$4)*C91</f>
        <v>1200.75797173962</v>
      </c>
      <c r="D92" s="13" t="n">
        <f aca="false">D$4*$B92+(1-D$4)*D91</f>
        <v>1547.60101705226</v>
      </c>
      <c r="E92" s="13" t="n">
        <f aca="false">E$4*$B92+(1-E$4)*E91</f>
        <v>1690.65792839333</v>
      </c>
      <c r="F92" s="13" t="n">
        <f aca="false">F$4*$B92+(1-F$4)*F91</f>
        <v>1766.18258126374</v>
      </c>
      <c r="G92" s="13" t="n">
        <f aca="false">G$4*$B92+(1-G$4)*G91</f>
        <v>1815.68574842077</v>
      </c>
      <c r="H92" s="13" t="n">
        <f aca="false">H$4*$B92+(1-H$4)*H91</f>
        <v>1853.94121856522</v>
      </c>
      <c r="I92" s="13" t="n">
        <f aca="false">I$4*$B92+(1-I$4)*I91</f>
        <v>1886.41633692746</v>
      </c>
      <c r="J92" s="13" t="n">
        <f aca="false">J$4*$B92+(1-J$4)*J91</f>
        <v>1915.11866414749</v>
      </c>
      <c r="K92" s="13" t="n">
        <f aca="false">K$4*$B92+(1-K$4)*K91</f>
        <v>1940.81027162317</v>
      </c>
      <c r="L92" s="13" t="n">
        <f aca="false">L$4*$B92+(1-L$4)*L91</f>
        <v>1963.86460436783</v>
      </c>
      <c r="M92" s="13" t="n">
        <f aca="false">M$4*$B92+(1-M$4)*M91</f>
        <v>1984.57754636771</v>
      </c>
      <c r="N92" s="13" t="n">
        <f aca="false">N$4*$B92+(1-N$4)*N91</f>
        <v>2003.25854341982</v>
      </c>
      <c r="O92" s="13" t="n">
        <f aca="false">O$4*$B92+(1-O$4)*O91</f>
        <v>2020.23854232811</v>
      </c>
      <c r="P92" s="13" t="n">
        <f aca="false">P$4*$B92+(1-P$4)*P91</f>
        <v>2035.85160395178</v>
      </c>
      <c r="Q92" s="13" t="n">
        <f aca="false">Q$4*$B92+(1-Q$4)*Q91</f>
        <v>2050.41233375334</v>
      </c>
      <c r="R92" s="13" t="n">
        <f aca="false">R$4*$B92+(1-R$4)*R91</f>
        <v>2064.19646891342</v>
      </c>
      <c r="S92" s="13" t="n">
        <f aca="false">S$4*$B92+(1-S$4)*S91</f>
        <v>2077.42609532908</v>
      </c>
      <c r="T92" s="13" t="n">
        <f aca="false">T$4*$B92+(1-T$4)*T91</f>
        <v>2090.2589693035</v>
      </c>
      <c r="U92" s="13" t="n">
        <f aca="false">U$4*$B92+(1-U$4)*U91</f>
        <v>2102.78089367208</v>
      </c>
    </row>
    <row r="93" customFormat="false" ht="15" hidden="false" customHeight="false" outlineLevel="0" collapsed="false">
      <c r="A93" s="11" t="n">
        <f aca="false">Daily!A90</f>
        <v>43972</v>
      </c>
      <c r="B93" s="13" t="n">
        <f aca="false">Daily!C90</f>
        <v>2539</v>
      </c>
      <c r="C93" s="13" t="n">
        <f aca="false">C$4*$B93+(1-C$4)*C92</f>
        <v>1267.67007315264</v>
      </c>
      <c r="D93" s="13" t="n">
        <f aca="false">D$4*$B93+(1-D$4)*D92</f>
        <v>1646.74091534704</v>
      </c>
      <c r="E93" s="13" t="n">
        <f aca="false">E$4*$B93+(1-E$4)*E92</f>
        <v>1817.90923913433</v>
      </c>
      <c r="F93" s="13" t="n">
        <f aca="false">F$4*$B93+(1-F$4)*F92</f>
        <v>1920.74606501099</v>
      </c>
      <c r="G93" s="13" t="n">
        <f aca="false">G$4*$B93+(1-G$4)*G92</f>
        <v>1996.51431131557</v>
      </c>
      <c r="H93" s="13" t="n">
        <f aca="false">H$4*$B93+(1-H$4)*H92</f>
        <v>2059.45885299565</v>
      </c>
      <c r="I93" s="13" t="n">
        <f aca="false">I$4*$B93+(1-I$4)*I92</f>
        <v>2114.82061900285</v>
      </c>
      <c r="J93" s="13" t="n">
        <f aca="false">J$4*$B93+(1-J$4)*J92</f>
        <v>2164.67119848849</v>
      </c>
      <c r="K93" s="13" t="n">
        <f aca="false">K$4*$B93+(1-K$4)*K92</f>
        <v>2209.99564939274</v>
      </c>
      <c r="L93" s="13" t="n">
        <f aca="false">L$4*$B93+(1-L$4)*L92</f>
        <v>2251.43230218391</v>
      </c>
      <c r="M93" s="13" t="n">
        <f aca="false">M$4*$B93+(1-M$4)*M92</f>
        <v>2289.50989586547</v>
      </c>
      <c r="N93" s="13" t="n">
        <f aca="false">N$4*$B93+(1-N$4)*N92</f>
        <v>2324.70341736793</v>
      </c>
      <c r="O93" s="13" t="n">
        <f aca="false">O$4*$B93+(1-O$4)*O92</f>
        <v>2357.43348981484</v>
      </c>
      <c r="P93" s="13" t="n">
        <f aca="false">P$4*$B93+(1-P$4)*P92</f>
        <v>2388.05548118553</v>
      </c>
      <c r="Q93" s="13" t="n">
        <f aca="false">Q$4*$B93+(1-Q$4)*Q92</f>
        <v>2416.85308343833</v>
      </c>
      <c r="R93" s="13" t="n">
        <f aca="false">R$4*$B93+(1-R$4)*R92</f>
        <v>2444.03929378268</v>
      </c>
      <c r="S93" s="13" t="n">
        <f aca="false">S$4*$B93+(1-S$4)*S92</f>
        <v>2469.76391429936</v>
      </c>
      <c r="T93" s="13" t="n">
        <f aca="false">T$4*$B93+(1-T$4)*T92</f>
        <v>2494.12589693035</v>
      </c>
      <c r="U93" s="13" t="n">
        <f aca="false">U$4*$B93+(1-U$4)*U92</f>
        <v>2517.1890446836</v>
      </c>
    </row>
    <row r="94" customFormat="false" ht="15" hidden="false" customHeight="false" outlineLevel="0" collapsed="false">
      <c r="A94" s="11" t="n">
        <f aca="false">Daily!A91</f>
        <v>43973</v>
      </c>
      <c r="B94" s="13" t="n">
        <f aca="false">Daily!C91</f>
        <v>1728</v>
      </c>
      <c r="C94" s="13" t="n">
        <f aca="false">C$4*$B94+(1-C$4)*C93</f>
        <v>1290.686569495</v>
      </c>
      <c r="D94" s="13" t="n">
        <f aca="false">D$4*$B94+(1-D$4)*D93</f>
        <v>1654.86682381233</v>
      </c>
      <c r="E94" s="13" t="n">
        <f aca="false">E$4*$B94+(1-E$4)*E93</f>
        <v>1804.42285326418</v>
      </c>
      <c r="F94" s="13" t="n">
        <f aca="false">F$4*$B94+(1-F$4)*F93</f>
        <v>1882.19685200879</v>
      </c>
      <c r="G94" s="13" t="n">
        <f aca="false">G$4*$B94+(1-G$4)*G93</f>
        <v>1929.38573348668</v>
      </c>
      <c r="H94" s="13" t="n">
        <f aca="false">H$4*$B94+(1-H$4)*H93</f>
        <v>1960.02119709696</v>
      </c>
      <c r="I94" s="13" t="n">
        <f aca="false">I$4*$B94+(1-I$4)*I93</f>
        <v>1979.43340235185</v>
      </c>
      <c r="J94" s="13" t="n">
        <f aca="false">J$4*$B94+(1-J$4)*J93</f>
        <v>1990.0027190931</v>
      </c>
      <c r="K94" s="13" t="n">
        <f aca="false">K$4*$B94+(1-K$4)*K93</f>
        <v>1993.09760716601</v>
      </c>
      <c r="L94" s="13" t="n">
        <f aca="false">L$4*$B94+(1-L$4)*L93</f>
        <v>1989.71615109196</v>
      </c>
      <c r="M94" s="13" t="n">
        <f aca="false">M$4*$B94+(1-M$4)*M93</f>
        <v>1980.67945313946</v>
      </c>
      <c r="N94" s="13" t="n">
        <f aca="false">N$4*$B94+(1-N$4)*N93</f>
        <v>1966.68136694717</v>
      </c>
      <c r="O94" s="13" t="n">
        <f aca="false">O$4*$B94+(1-O$4)*O93</f>
        <v>1948.30172143519</v>
      </c>
      <c r="P94" s="13" t="n">
        <f aca="false">P$4*$B94+(1-P$4)*P93</f>
        <v>1926.01664435566</v>
      </c>
      <c r="Q94" s="13" t="n">
        <f aca="false">Q$4*$B94+(1-Q$4)*Q93</f>
        <v>1900.21327085958</v>
      </c>
      <c r="R94" s="13" t="n">
        <f aca="false">R$4*$B94+(1-R$4)*R93</f>
        <v>1871.20785875654</v>
      </c>
      <c r="S94" s="13" t="n">
        <f aca="false">S$4*$B94+(1-S$4)*S93</f>
        <v>1839.2645871449</v>
      </c>
      <c r="T94" s="13" t="n">
        <f aca="false">T$4*$B94+(1-T$4)*T93</f>
        <v>1804.61258969303</v>
      </c>
      <c r="U94" s="13" t="n">
        <f aca="false">U$4*$B94+(1-U$4)*U93</f>
        <v>1767.45945223418</v>
      </c>
    </row>
    <row r="95" customFormat="false" ht="15" hidden="false" customHeight="false" outlineLevel="0" collapsed="false">
      <c r="A95" s="11" t="n">
        <f aca="false">Daily!A92</f>
        <v>43974</v>
      </c>
      <c r="B95" s="13" t="n">
        <f aca="false">Daily!C92</f>
        <v>2060</v>
      </c>
      <c r="C95" s="13" t="n">
        <f aca="false">C$4*$B95+(1-C$4)*C94</f>
        <v>1329.15224102025</v>
      </c>
      <c r="D95" s="13" t="n">
        <f aca="false">D$4*$B95+(1-D$4)*D94</f>
        <v>1695.3801414311</v>
      </c>
      <c r="E95" s="13" t="n">
        <f aca="false">E$4*$B95+(1-E$4)*E94</f>
        <v>1842.75942527455</v>
      </c>
      <c r="F95" s="13" t="n">
        <f aca="false">F$4*$B95+(1-F$4)*F94</f>
        <v>1917.75748160703</v>
      </c>
      <c r="G95" s="13" t="n">
        <f aca="false">G$4*$B95+(1-G$4)*G94</f>
        <v>1962.03930011501</v>
      </c>
      <c r="H95" s="13" t="n">
        <f aca="false">H$4*$B95+(1-H$4)*H94</f>
        <v>1990.01483796787</v>
      </c>
      <c r="I95" s="13" t="n">
        <f aca="false">I$4*$B95+(1-I$4)*I94</f>
        <v>2007.6317115287</v>
      </c>
      <c r="J95" s="13" t="n">
        <f aca="false">J$4*$B95+(1-J$4)*J94</f>
        <v>2018.00163145586</v>
      </c>
      <c r="K95" s="13" t="n">
        <f aca="false">K$4*$B95+(1-K$4)*K94</f>
        <v>2023.2036839413</v>
      </c>
      <c r="L95" s="13" t="n">
        <f aca="false">L$4*$B95+(1-L$4)*L94</f>
        <v>2024.85807554598</v>
      </c>
      <c r="M95" s="13" t="n">
        <f aca="false">M$4*$B95+(1-M$4)*M94</f>
        <v>2024.30575391276</v>
      </c>
      <c r="N95" s="13" t="n">
        <f aca="false">N$4*$B95+(1-N$4)*N94</f>
        <v>2022.67254677887</v>
      </c>
      <c r="O95" s="13" t="n">
        <f aca="false">O$4*$B95+(1-O$4)*O94</f>
        <v>2020.90560250232</v>
      </c>
      <c r="P95" s="13" t="n">
        <f aca="false">P$4*$B95+(1-P$4)*P94</f>
        <v>2019.8049933067</v>
      </c>
      <c r="Q95" s="13" t="n">
        <f aca="false">Q$4*$B95+(1-Q$4)*Q94</f>
        <v>2020.0533177149</v>
      </c>
      <c r="R95" s="13" t="n">
        <f aca="false">R$4*$B95+(1-R$4)*R94</f>
        <v>2022.24157175131</v>
      </c>
      <c r="S95" s="13" t="n">
        <f aca="false">S$4*$B95+(1-S$4)*S94</f>
        <v>2026.88968807174</v>
      </c>
      <c r="T95" s="13" t="n">
        <f aca="false">T$4*$B95+(1-T$4)*T94</f>
        <v>2034.4612589693</v>
      </c>
      <c r="U95" s="13" t="n">
        <f aca="false">U$4*$B95+(1-U$4)*U94</f>
        <v>2045.37297261171</v>
      </c>
    </row>
    <row r="96" customFormat="false" ht="15" hidden="false" customHeight="false" outlineLevel="0" collapsed="false">
      <c r="A96" s="11" t="n">
        <f aca="false">Daily!A93</f>
        <v>43975</v>
      </c>
      <c r="B96" s="13" t="n">
        <f aca="false">Daily!C93</f>
        <v>1744</v>
      </c>
      <c r="C96" s="13" t="n">
        <f aca="false">C$4*$B96+(1-C$4)*C95</f>
        <v>1349.89462896924</v>
      </c>
      <c r="D96" s="13" t="n">
        <f aca="false">D$4*$B96+(1-D$4)*D95</f>
        <v>1700.24212728799</v>
      </c>
      <c r="E96" s="13" t="n">
        <f aca="false">E$4*$B96+(1-E$4)*E95</f>
        <v>1827.94551148337</v>
      </c>
      <c r="F96" s="13" t="n">
        <f aca="false">F$4*$B96+(1-F$4)*F95</f>
        <v>1883.00598528563</v>
      </c>
      <c r="G96" s="13" t="n">
        <f aca="false">G$4*$B96+(1-G$4)*G95</f>
        <v>1907.52947508626</v>
      </c>
      <c r="H96" s="13" t="n">
        <f aca="false">H$4*$B96+(1-H$4)*H95</f>
        <v>1916.21038657751</v>
      </c>
      <c r="I96" s="13" t="n">
        <f aca="false">I$4*$B96+(1-I$4)*I95</f>
        <v>1915.36061249366</v>
      </c>
      <c r="J96" s="13" t="n">
        <f aca="false">J$4*$B96+(1-J$4)*J95</f>
        <v>1908.40097887351</v>
      </c>
      <c r="K96" s="13" t="n">
        <f aca="false">K$4*$B96+(1-K$4)*K95</f>
        <v>1897.56202616772</v>
      </c>
      <c r="L96" s="13" t="n">
        <f aca="false">L$4*$B96+(1-L$4)*L95</f>
        <v>1884.42903777299</v>
      </c>
      <c r="M96" s="13" t="n">
        <f aca="false">M$4*$B96+(1-M$4)*M95</f>
        <v>1870.13758926074</v>
      </c>
      <c r="N96" s="13" t="n">
        <f aca="false">N$4*$B96+(1-N$4)*N95</f>
        <v>1855.46901871155</v>
      </c>
      <c r="O96" s="13" t="n">
        <f aca="false">O$4*$B96+(1-O$4)*O95</f>
        <v>1840.91696087581</v>
      </c>
      <c r="P96" s="13" t="n">
        <f aca="false">P$4*$B96+(1-P$4)*P95</f>
        <v>1826.74149799201</v>
      </c>
      <c r="Q96" s="13" t="n">
        <f aca="false">Q$4*$B96+(1-Q$4)*Q95</f>
        <v>1813.01332942872</v>
      </c>
      <c r="R96" s="13" t="n">
        <f aca="false">R$4*$B96+(1-R$4)*R95</f>
        <v>1799.64831435026</v>
      </c>
      <c r="S96" s="13" t="n">
        <f aca="false">S$4*$B96+(1-S$4)*S95</f>
        <v>1786.43345321076</v>
      </c>
      <c r="T96" s="13" t="n">
        <f aca="false">T$4*$B96+(1-T$4)*T95</f>
        <v>1773.04612589693</v>
      </c>
      <c r="U96" s="13" t="n">
        <f aca="false">U$4*$B96+(1-U$4)*U95</f>
        <v>1759.06864863059</v>
      </c>
    </row>
    <row r="97" customFormat="false" ht="15" hidden="false" customHeight="false" outlineLevel="0" collapsed="false">
      <c r="A97" s="11" t="n">
        <f aca="false">Daily!A94</f>
        <v>43976</v>
      </c>
      <c r="B97" s="13" t="n">
        <f aca="false">Daily!C94</f>
        <v>1356</v>
      </c>
      <c r="C97" s="13" t="n">
        <f aca="false">C$4*$B97+(1-C$4)*C96</f>
        <v>1350.19989752078</v>
      </c>
      <c r="D97" s="13" t="n">
        <f aca="false">D$4*$B97+(1-D$4)*D96</f>
        <v>1665.81791455919</v>
      </c>
      <c r="E97" s="13" t="n">
        <f aca="false">E$4*$B97+(1-E$4)*E96</f>
        <v>1757.15368476086</v>
      </c>
      <c r="F97" s="13" t="n">
        <f aca="false">F$4*$B97+(1-F$4)*F96</f>
        <v>1777.6047882285</v>
      </c>
      <c r="G97" s="13" t="n">
        <f aca="false">G$4*$B97+(1-G$4)*G96</f>
        <v>1769.64710631469</v>
      </c>
      <c r="H97" s="13" t="n">
        <f aca="false">H$4*$B97+(1-H$4)*H96</f>
        <v>1748.14727060426</v>
      </c>
      <c r="I97" s="13" t="n">
        <f aca="false">I$4*$B97+(1-I$4)*I96</f>
        <v>1719.58439812088</v>
      </c>
      <c r="J97" s="13" t="n">
        <f aca="false">J$4*$B97+(1-J$4)*J96</f>
        <v>1687.44058732411</v>
      </c>
      <c r="K97" s="13" t="n">
        <f aca="false">K$4*$B97+(1-K$4)*K96</f>
        <v>1653.85911439225</v>
      </c>
      <c r="L97" s="13" t="n">
        <f aca="false">L$4*$B97+(1-L$4)*L96</f>
        <v>1620.21451888649</v>
      </c>
      <c r="M97" s="13" t="n">
        <f aca="false">M$4*$B97+(1-M$4)*M96</f>
        <v>1587.36191516733</v>
      </c>
      <c r="N97" s="13" t="n">
        <f aca="false">N$4*$B97+(1-N$4)*N96</f>
        <v>1555.78760748462</v>
      </c>
      <c r="O97" s="13" t="n">
        <f aca="false">O$4*$B97+(1-O$4)*O96</f>
        <v>1525.72093630653</v>
      </c>
      <c r="P97" s="13" t="n">
        <f aca="false">P$4*$B97+(1-P$4)*P96</f>
        <v>1497.2224493976</v>
      </c>
      <c r="Q97" s="13" t="n">
        <f aca="false">Q$4*$B97+(1-Q$4)*Q96</f>
        <v>1470.25333235718</v>
      </c>
      <c r="R97" s="13" t="n">
        <f aca="false">R$4*$B97+(1-R$4)*R96</f>
        <v>1444.72966287005</v>
      </c>
      <c r="S97" s="13" t="n">
        <f aca="false">S$4*$B97+(1-S$4)*S96</f>
        <v>1420.56501798161</v>
      </c>
      <c r="T97" s="13" t="n">
        <f aca="false">T$4*$B97+(1-T$4)*T96</f>
        <v>1397.70461258969</v>
      </c>
      <c r="U97" s="13" t="n">
        <f aca="false">U$4*$B97+(1-U$4)*U96</f>
        <v>1376.15343243153</v>
      </c>
    </row>
    <row r="98" customFormat="false" ht="15" hidden="false" customHeight="false" outlineLevel="0" collapsed="false">
      <c r="A98" s="11" t="n">
        <f aca="false">Daily!A95</f>
        <v>43977</v>
      </c>
      <c r="B98" s="13" t="n">
        <f aca="false">Daily!C95</f>
        <v>1440</v>
      </c>
      <c r="C98" s="13" t="n">
        <f aca="false">C$4*$B98+(1-C$4)*C97</f>
        <v>1354.68990264474</v>
      </c>
      <c r="D98" s="13" t="n">
        <f aca="false">D$4*$B98+(1-D$4)*D97</f>
        <v>1643.23612310327</v>
      </c>
      <c r="E98" s="13" t="n">
        <f aca="false">E$4*$B98+(1-E$4)*E97</f>
        <v>1709.58063204673</v>
      </c>
      <c r="F98" s="13" t="n">
        <f aca="false">F$4*$B98+(1-F$4)*F97</f>
        <v>1710.0838305828</v>
      </c>
      <c r="G98" s="13" t="n">
        <f aca="false">G$4*$B98+(1-G$4)*G97</f>
        <v>1687.23532973602</v>
      </c>
      <c r="H98" s="13" t="n">
        <f aca="false">H$4*$B98+(1-H$4)*H97</f>
        <v>1655.70308942298</v>
      </c>
      <c r="I98" s="13" t="n">
        <f aca="false">I$4*$B98+(1-I$4)*I97</f>
        <v>1621.72985877857</v>
      </c>
      <c r="J98" s="13" t="n">
        <f aca="false">J$4*$B98+(1-J$4)*J97</f>
        <v>1588.46435239447</v>
      </c>
      <c r="K98" s="13" t="n">
        <f aca="false">K$4*$B98+(1-K$4)*K97</f>
        <v>1557.62251291573</v>
      </c>
      <c r="L98" s="13" t="n">
        <f aca="false">L$4*$B98+(1-L$4)*L97</f>
        <v>1530.10725944325</v>
      </c>
      <c r="M98" s="13" t="n">
        <f aca="false">M$4*$B98+(1-M$4)*M97</f>
        <v>1506.3128618253</v>
      </c>
      <c r="N98" s="13" t="n">
        <f aca="false">N$4*$B98+(1-N$4)*N97</f>
        <v>1486.31504299385</v>
      </c>
      <c r="O98" s="13" t="n">
        <f aca="false">O$4*$B98+(1-O$4)*O97</f>
        <v>1470.00232770729</v>
      </c>
      <c r="P98" s="13" t="n">
        <f aca="false">P$4*$B98+(1-P$4)*P97</f>
        <v>1457.16673481928</v>
      </c>
      <c r="Q98" s="13" t="n">
        <f aca="false">Q$4*$B98+(1-Q$4)*Q97</f>
        <v>1447.5633330893</v>
      </c>
      <c r="R98" s="13" t="n">
        <f aca="false">R$4*$B98+(1-R$4)*R97</f>
        <v>1440.94593257401</v>
      </c>
      <c r="S98" s="13" t="n">
        <f aca="false">S$4*$B98+(1-S$4)*S97</f>
        <v>1437.08475269724</v>
      </c>
      <c r="T98" s="13" t="n">
        <f aca="false">T$4*$B98+(1-T$4)*T97</f>
        <v>1435.77046125897</v>
      </c>
      <c r="U98" s="13" t="n">
        <f aca="false">U$4*$B98+(1-U$4)*U97</f>
        <v>1436.80767162158</v>
      </c>
    </row>
    <row r="99" customFormat="false" ht="15" hidden="false" customHeight="false" outlineLevel="0" collapsed="false">
      <c r="A99" s="11" t="n">
        <f aca="false">Daily!A96</f>
        <v>43978</v>
      </c>
      <c r="B99" s="13" t="n">
        <f aca="false">Daily!C96</f>
        <v>2173</v>
      </c>
      <c r="C99" s="13" t="n">
        <f aca="false">C$4*$B99+(1-C$4)*C98</f>
        <v>1395.6054075125</v>
      </c>
      <c r="D99" s="13" t="n">
        <f aca="false">D$4*$B99+(1-D$4)*D98</f>
        <v>1696.21251079295</v>
      </c>
      <c r="E99" s="13" t="n">
        <f aca="false">E$4*$B99+(1-E$4)*E98</f>
        <v>1779.09353723972</v>
      </c>
      <c r="F99" s="13" t="n">
        <f aca="false">F$4*$B99+(1-F$4)*F98</f>
        <v>1802.66706446624</v>
      </c>
      <c r="G99" s="13" t="n">
        <f aca="false">G$4*$B99+(1-G$4)*G98</f>
        <v>1808.67649730202</v>
      </c>
      <c r="H99" s="13" t="n">
        <f aca="false">H$4*$B99+(1-H$4)*H98</f>
        <v>1810.89216259609</v>
      </c>
      <c r="I99" s="13" t="n">
        <f aca="false">I$4*$B99+(1-I$4)*I98</f>
        <v>1814.67440820607</v>
      </c>
      <c r="J99" s="13" t="n">
        <f aca="false">J$4*$B99+(1-J$4)*J98</f>
        <v>1822.27861143668</v>
      </c>
      <c r="K99" s="13" t="n">
        <f aca="false">K$4*$B99+(1-K$4)*K98</f>
        <v>1834.54238210365</v>
      </c>
      <c r="L99" s="13" t="n">
        <f aca="false">L$4*$B99+(1-L$4)*L98</f>
        <v>1851.55362972162</v>
      </c>
      <c r="M99" s="13" t="n">
        <f aca="false">M$4*$B99+(1-M$4)*M98</f>
        <v>1872.99078782138</v>
      </c>
      <c r="N99" s="13" t="n">
        <f aca="false">N$4*$B99+(1-N$4)*N98</f>
        <v>1898.32601719754</v>
      </c>
      <c r="O99" s="13" t="n">
        <f aca="false">O$4*$B99+(1-O$4)*O98</f>
        <v>1926.95081469755</v>
      </c>
      <c r="P99" s="13" t="n">
        <f aca="false">P$4*$B99+(1-P$4)*P98</f>
        <v>1958.25002044578</v>
      </c>
      <c r="Q99" s="13" t="n">
        <f aca="false">Q$4*$B99+(1-Q$4)*Q98</f>
        <v>1991.64083327232</v>
      </c>
      <c r="R99" s="13" t="n">
        <f aca="false">R$4*$B99+(1-R$4)*R98</f>
        <v>2026.5891865148</v>
      </c>
      <c r="S99" s="13" t="n">
        <f aca="false">S$4*$B99+(1-S$4)*S98</f>
        <v>2062.61271290459</v>
      </c>
      <c r="T99" s="13" t="n">
        <f aca="false">T$4*$B99+(1-T$4)*T98</f>
        <v>2099.2770461259</v>
      </c>
      <c r="U99" s="13" t="n">
        <f aca="false">U$4*$B99+(1-U$4)*U98</f>
        <v>2136.19038358108</v>
      </c>
    </row>
    <row r="100" customFormat="false" ht="15" hidden="false" customHeight="false" outlineLevel="0" collapsed="false">
      <c r="A100" s="11" t="n">
        <f aca="false">Daily!A97</f>
        <v>43979</v>
      </c>
      <c r="B100" s="13" t="n">
        <f aca="false">Daily!C97</f>
        <v>2562</v>
      </c>
      <c r="C100" s="13" t="n">
        <f aca="false">C$4*$B100+(1-C$4)*C99</f>
        <v>1453.92513713688</v>
      </c>
      <c r="D100" s="13" t="n">
        <f aca="false">D$4*$B100+(1-D$4)*D99</f>
        <v>1782.79125971365</v>
      </c>
      <c r="E100" s="13" t="n">
        <f aca="false">E$4*$B100+(1-E$4)*E99</f>
        <v>1896.52950665377</v>
      </c>
      <c r="F100" s="13" t="n">
        <f aca="false">F$4*$B100+(1-F$4)*F99</f>
        <v>1954.53365157299</v>
      </c>
      <c r="G100" s="13" t="n">
        <f aca="false">G$4*$B100+(1-G$4)*G99</f>
        <v>1997.00737297651</v>
      </c>
      <c r="H100" s="13" t="n">
        <f aca="false">H$4*$B100+(1-H$4)*H99</f>
        <v>2036.22451381726</v>
      </c>
      <c r="I100" s="13" t="n">
        <f aca="false">I$4*$B100+(1-I$4)*I99</f>
        <v>2076.23836533395</v>
      </c>
      <c r="J100" s="13" t="n">
        <f aca="false">J$4*$B100+(1-J$4)*J99</f>
        <v>2118.16716686201</v>
      </c>
      <c r="K100" s="13" t="n">
        <f aca="false">K$4*$B100+(1-K$4)*K99</f>
        <v>2161.89831015701</v>
      </c>
      <c r="L100" s="13" t="n">
        <f aca="false">L$4*$B100+(1-L$4)*L99</f>
        <v>2206.77681486081</v>
      </c>
      <c r="M100" s="13" t="n">
        <f aca="false">M$4*$B100+(1-M$4)*M99</f>
        <v>2251.94585451962</v>
      </c>
      <c r="N100" s="13" t="n">
        <f aca="false">N$4*$B100+(1-N$4)*N99</f>
        <v>2296.53040687902</v>
      </c>
      <c r="O100" s="13" t="n">
        <f aca="false">O$4*$B100+(1-O$4)*O99</f>
        <v>2339.73278514414</v>
      </c>
      <c r="P100" s="13" t="n">
        <f aca="false">P$4*$B100+(1-P$4)*P99</f>
        <v>2380.87500613374</v>
      </c>
      <c r="Q100" s="13" t="n">
        <f aca="false">Q$4*$B100+(1-Q$4)*Q99</f>
        <v>2419.41020831808</v>
      </c>
      <c r="R100" s="13" t="n">
        <f aca="false">R$4*$B100+(1-R$4)*R99</f>
        <v>2454.91783730296</v>
      </c>
      <c r="S100" s="13" t="n">
        <f aca="false">S$4*$B100+(1-S$4)*S99</f>
        <v>2487.09190693569</v>
      </c>
      <c r="T100" s="13" t="n">
        <f aca="false">T$4*$B100+(1-T$4)*T99</f>
        <v>2515.72770461259</v>
      </c>
      <c r="U100" s="13" t="n">
        <f aca="false">U$4*$B100+(1-U$4)*U99</f>
        <v>2540.70951917905</v>
      </c>
    </row>
    <row r="101" customFormat="false" ht="15" hidden="false" customHeight="false" outlineLevel="0" collapsed="false">
      <c r="A101" s="11" t="n">
        <f aca="false">Daily!A98</f>
        <v>43980</v>
      </c>
      <c r="B101" s="13" t="n">
        <f aca="false">Daily!C98</f>
        <v>2426</v>
      </c>
      <c r="C101" s="13" t="n">
        <f aca="false">C$4*$B101+(1-C$4)*C100</f>
        <v>1502.52888028003</v>
      </c>
      <c r="D101" s="13" t="n">
        <f aca="false">D$4*$B101+(1-D$4)*D100</f>
        <v>1847.11213374229</v>
      </c>
      <c r="E101" s="13" t="n">
        <f aca="false">E$4*$B101+(1-E$4)*E100</f>
        <v>1975.9500806557</v>
      </c>
      <c r="F101" s="13" t="n">
        <f aca="false">F$4*$B101+(1-F$4)*F100</f>
        <v>2048.8269212584</v>
      </c>
      <c r="G101" s="13" t="n">
        <f aca="false">G$4*$B101+(1-G$4)*G100</f>
        <v>2104.25552973238</v>
      </c>
      <c r="H101" s="13" t="n">
        <f aca="false">H$4*$B101+(1-H$4)*H100</f>
        <v>2153.15715967208</v>
      </c>
      <c r="I101" s="13" t="n">
        <f aca="false">I$4*$B101+(1-I$4)*I100</f>
        <v>2198.65493746707</v>
      </c>
      <c r="J101" s="13" t="n">
        <f aca="false">J$4*$B101+(1-J$4)*J100</f>
        <v>2241.3003001172</v>
      </c>
      <c r="K101" s="13" t="n">
        <f aca="false">K$4*$B101+(1-K$4)*K100</f>
        <v>2280.74407058636</v>
      </c>
      <c r="L101" s="13" t="n">
        <f aca="false">L$4*$B101+(1-L$4)*L100</f>
        <v>2316.38840743041</v>
      </c>
      <c r="M101" s="13" t="n">
        <f aca="false">M$4*$B101+(1-M$4)*M100</f>
        <v>2347.67563453383</v>
      </c>
      <c r="N101" s="13" t="n">
        <f aca="false">N$4*$B101+(1-N$4)*N100</f>
        <v>2374.21216275161</v>
      </c>
      <c r="O101" s="13" t="n">
        <f aca="false">O$4*$B101+(1-O$4)*O100</f>
        <v>2395.80647480045</v>
      </c>
      <c r="P101" s="13" t="n">
        <f aca="false">P$4*$B101+(1-P$4)*P100</f>
        <v>2412.46250184012</v>
      </c>
      <c r="Q101" s="13" t="n">
        <f aca="false">Q$4*$B101+(1-Q$4)*Q100</f>
        <v>2424.35255207952</v>
      </c>
      <c r="R101" s="13" t="n">
        <f aca="false">R$4*$B101+(1-R$4)*R100</f>
        <v>2431.78356746059</v>
      </c>
      <c r="S101" s="13" t="n">
        <f aca="false">S$4*$B101+(1-S$4)*S100</f>
        <v>2435.16378604035</v>
      </c>
      <c r="T101" s="13" t="n">
        <f aca="false">T$4*$B101+(1-T$4)*T100</f>
        <v>2434.97277046126</v>
      </c>
      <c r="U101" s="13" t="n">
        <f aca="false">U$4*$B101+(1-U$4)*U100</f>
        <v>2431.73547595895</v>
      </c>
    </row>
    <row r="102" customFormat="false" ht="15" hidden="false" customHeight="false" outlineLevel="0" collapsed="false">
      <c r="A102" s="11" t="n">
        <f aca="false">Daily!A99</f>
        <v>43981</v>
      </c>
      <c r="B102" s="13" t="n">
        <f aca="false">Daily!C99</f>
        <v>2956</v>
      </c>
      <c r="C102" s="13" t="n">
        <f aca="false">C$4*$B102+(1-C$4)*C101</f>
        <v>1575.20243626603</v>
      </c>
      <c r="D102" s="13" t="n">
        <f aca="false">D$4*$B102+(1-D$4)*D101</f>
        <v>1958.00092036806</v>
      </c>
      <c r="E102" s="13" t="n">
        <f aca="false">E$4*$B102+(1-E$4)*E101</f>
        <v>2122.95756855735</v>
      </c>
      <c r="F102" s="13" t="n">
        <f aca="false">F$4*$B102+(1-F$4)*F101</f>
        <v>2230.26153700672</v>
      </c>
      <c r="G102" s="13" t="n">
        <f aca="false">G$4*$B102+(1-G$4)*G101</f>
        <v>2317.19164729929</v>
      </c>
      <c r="H102" s="13" t="n">
        <f aca="false">H$4*$B102+(1-H$4)*H101</f>
        <v>2394.01001177046</v>
      </c>
      <c r="I102" s="13" t="n">
        <f aca="false">I$4*$B102+(1-I$4)*I101</f>
        <v>2463.72570935359</v>
      </c>
      <c r="J102" s="13" t="n">
        <f aca="false">J$4*$B102+(1-J$4)*J101</f>
        <v>2527.18018007032</v>
      </c>
      <c r="K102" s="13" t="n">
        <f aca="false">K$4*$B102+(1-K$4)*K101</f>
        <v>2584.6092388225</v>
      </c>
      <c r="L102" s="13" t="n">
        <f aca="false">L$4*$B102+(1-L$4)*L101</f>
        <v>2636.1942037152</v>
      </c>
      <c r="M102" s="13" t="n">
        <f aca="false">M$4*$B102+(1-M$4)*M101</f>
        <v>2682.25403554022</v>
      </c>
      <c r="N102" s="13" t="n">
        <f aca="false">N$4*$B102+(1-N$4)*N101</f>
        <v>2723.28486510064</v>
      </c>
      <c r="O102" s="13" t="n">
        <f aca="false">O$4*$B102+(1-O$4)*O101</f>
        <v>2759.93226618016</v>
      </c>
      <c r="P102" s="13" t="n">
        <f aca="false">P$4*$B102+(1-P$4)*P101</f>
        <v>2792.93875055204</v>
      </c>
      <c r="Q102" s="13" t="n">
        <f aca="false">Q$4*$B102+(1-Q$4)*Q101</f>
        <v>2823.08813801988</v>
      </c>
      <c r="R102" s="13" t="n">
        <f aca="false">R$4*$B102+(1-R$4)*R101</f>
        <v>2851.15671349212</v>
      </c>
      <c r="S102" s="13" t="n">
        <f aca="false">S$4*$B102+(1-S$4)*S101</f>
        <v>2877.87456790605</v>
      </c>
      <c r="T102" s="13" t="n">
        <f aca="false">T$4*$B102+(1-T$4)*T101</f>
        <v>2903.89727704613</v>
      </c>
      <c r="U102" s="13" t="n">
        <f aca="false">U$4*$B102+(1-U$4)*U101</f>
        <v>2929.78677379795</v>
      </c>
    </row>
    <row r="103" customFormat="false" ht="15" hidden="false" customHeight="false" outlineLevel="0" collapsed="false">
      <c r="A103" s="11" t="n">
        <f aca="false">Daily!A100</f>
        <v>43982</v>
      </c>
      <c r="B103" s="13" t="n">
        <f aca="false">Daily!C100</f>
        <v>2883</v>
      </c>
      <c r="C103" s="13" t="n">
        <f aca="false">C$4*$B103+(1-C$4)*C102</f>
        <v>1640.59231445273</v>
      </c>
      <c r="D103" s="13" t="n">
        <f aca="false">D$4*$B103+(1-D$4)*D102</f>
        <v>2050.50082833125</v>
      </c>
      <c r="E103" s="13" t="n">
        <f aca="false">E$4*$B103+(1-E$4)*E102</f>
        <v>2236.96393327374</v>
      </c>
      <c r="F103" s="13" t="n">
        <f aca="false">F$4*$B103+(1-F$4)*F102</f>
        <v>2360.80922960537</v>
      </c>
      <c r="G103" s="13" t="n">
        <f aca="false">G$4*$B103+(1-G$4)*G102</f>
        <v>2458.64373547447</v>
      </c>
      <c r="H103" s="13" t="n">
        <f aca="false">H$4*$B103+(1-H$4)*H102</f>
        <v>2540.70700823932</v>
      </c>
      <c r="I103" s="13" t="n">
        <f aca="false">I$4*$B103+(1-I$4)*I102</f>
        <v>2610.47171107983</v>
      </c>
      <c r="J103" s="13" t="n">
        <f aca="false">J$4*$B103+(1-J$4)*J102</f>
        <v>2669.50810804219</v>
      </c>
      <c r="K103" s="13" t="n">
        <f aca="false">K$4*$B103+(1-K$4)*K102</f>
        <v>2718.88508135237</v>
      </c>
      <c r="L103" s="13" t="n">
        <f aca="false">L$4*$B103+(1-L$4)*L102</f>
        <v>2759.5971018576</v>
      </c>
      <c r="M103" s="13" t="n">
        <f aca="false">M$4*$B103+(1-M$4)*M102</f>
        <v>2792.6643159931</v>
      </c>
      <c r="N103" s="13" t="n">
        <f aca="false">N$4*$B103+(1-N$4)*N102</f>
        <v>2819.11394604026</v>
      </c>
      <c r="O103" s="13" t="n">
        <f aca="false">O$4*$B103+(1-O$4)*O102</f>
        <v>2839.92629316306</v>
      </c>
      <c r="P103" s="13" t="n">
        <f aca="false">P$4*$B103+(1-P$4)*P102</f>
        <v>2855.98162516561</v>
      </c>
      <c r="Q103" s="13" t="n">
        <f aca="false">Q$4*$B103+(1-Q$4)*Q102</f>
        <v>2868.02203450497</v>
      </c>
      <c r="R103" s="13" t="n">
        <f aca="false">R$4*$B103+(1-R$4)*R102</f>
        <v>2876.63134269842</v>
      </c>
      <c r="S103" s="13" t="n">
        <f aca="false">S$4*$B103+(1-S$4)*S102</f>
        <v>2882.23118518591</v>
      </c>
      <c r="T103" s="13" t="n">
        <f aca="false">T$4*$B103+(1-T$4)*T102</f>
        <v>2885.08972770461</v>
      </c>
      <c r="U103" s="13" t="n">
        <f aca="false">U$4*$B103+(1-U$4)*U102</f>
        <v>2885.3393386899</v>
      </c>
    </row>
    <row r="104" customFormat="false" ht="15" hidden="false" customHeight="false" outlineLevel="0" collapsed="false">
      <c r="A104" s="11" t="n">
        <f aca="false">Daily!A101</f>
        <v>43983</v>
      </c>
      <c r="B104" s="13" t="n">
        <f aca="false">Daily!C101</f>
        <v>3872</v>
      </c>
      <c r="C104" s="13" t="n">
        <f aca="false">C$4*$B104+(1-C$4)*C103</f>
        <v>1752.16269873009</v>
      </c>
      <c r="D104" s="13" t="n">
        <f aca="false">D$4*$B104+(1-D$4)*D103</f>
        <v>2232.65074549813</v>
      </c>
      <c r="E104" s="13" t="n">
        <f aca="false">E$4*$B104+(1-E$4)*E103</f>
        <v>2482.21934328268</v>
      </c>
      <c r="F104" s="13" t="n">
        <f aca="false">F$4*$B104+(1-F$4)*F103</f>
        <v>2663.0473836843</v>
      </c>
      <c r="G104" s="13" t="n">
        <f aca="false">G$4*$B104+(1-G$4)*G103</f>
        <v>2811.98280160585</v>
      </c>
      <c r="H104" s="13" t="n">
        <f aca="false">H$4*$B104+(1-H$4)*H103</f>
        <v>2940.09490576752</v>
      </c>
      <c r="I104" s="13" t="n">
        <f aca="false">I$4*$B104+(1-I$4)*I103</f>
        <v>3052.00661220189</v>
      </c>
      <c r="J104" s="13" t="n">
        <f aca="false">J$4*$B104+(1-J$4)*J103</f>
        <v>3150.50486482532</v>
      </c>
      <c r="K104" s="13" t="n">
        <f aca="false">K$4*$B104+(1-K$4)*K103</f>
        <v>3237.78679474381</v>
      </c>
      <c r="L104" s="13" t="n">
        <f aca="false">L$4*$B104+(1-L$4)*L103</f>
        <v>3315.7985509288</v>
      </c>
      <c r="M104" s="13" t="n">
        <f aca="false">M$4*$B104+(1-M$4)*M103</f>
        <v>3386.2989421969</v>
      </c>
      <c r="N104" s="13" t="n">
        <f aca="false">N$4*$B104+(1-N$4)*N103</f>
        <v>3450.8455784161</v>
      </c>
      <c r="O104" s="13" t="n">
        <f aca="false">O$4*$B104+(1-O$4)*O103</f>
        <v>3510.77420260707</v>
      </c>
      <c r="P104" s="13" t="n">
        <f aca="false">P$4*$B104+(1-P$4)*P103</f>
        <v>3567.19448754968</v>
      </c>
      <c r="Q104" s="13" t="n">
        <f aca="false">Q$4*$B104+(1-Q$4)*Q103</f>
        <v>3621.00550862624</v>
      </c>
      <c r="R104" s="13" t="n">
        <f aca="false">R$4*$B104+(1-R$4)*R103</f>
        <v>3672.92626853968</v>
      </c>
      <c r="S104" s="13" t="n">
        <f aca="false">S$4*$B104+(1-S$4)*S103</f>
        <v>3723.53467777789</v>
      </c>
      <c r="T104" s="13" t="n">
        <f aca="false">T$4*$B104+(1-T$4)*T103</f>
        <v>3773.30897277046</v>
      </c>
      <c r="U104" s="13" t="n">
        <f aca="false">U$4*$B104+(1-U$4)*U103</f>
        <v>3822.66696693449</v>
      </c>
    </row>
    <row r="105" customFormat="false" ht="15" hidden="false" customHeight="false" outlineLevel="0" collapsed="false">
      <c r="A105" s="11" t="n">
        <f aca="false">Daily!A102</f>
        <v>43984</v>
      </c>
      <c r="B105" s="13" t="n">
        <f aca="false">Daily!C102</f>
        <v>4242</v>
      </c>
      <c r="C105" s="13" t="n">
        <f aca="false">C$4*$B105+(1-C$4)*C104</f>
        <v>1876.65456379359</v>
      </c>
      <c r="D105" s="13" t="n">
        <f aca="false">D$4*$B105+(1-D$4)*D104</f>
        <v>2433.58567094831</v>
      </c>
      <c r="E105" s="13" t="n">
        <f aca="false">E$4*$B105+(1-E$4)*E104</f>
        <v>2746.18644179028</v>
      </c>
      <c r="F105" s="13" t="n">
        <f aca="false">F$4*$B105+(1-F$4)*F104</f>
        <v>2978.83790694744</v>
      </c>
      <c r="G105" s="13" t="n">
        <f aca="false">G$4*$B105+(1-G$4)*G104</f>
        <v>3169.48710120439</v>
      </c>
      <c r="H105" s="13" t="n">
        <f aca="false">H$4*$B105+(1-H$4)*H104</f>
        <v>3330.66643403727</v>
      </c>
      <c r="I105" s="13" t="n">
        <f aca="false">I$4*$B105+(1-I$4)*I104</f>
        <v>3468.50429793123</v>
      </c>
      <c r="J105" s="13" t="n">
        <f aca="false">J$4*$B105+(1-J$4)*J104</f>
        <v>3587.10291889519</v>
      </c>
      <c r="K105" s="13" t="n">
        <f aca="false">K$4*$B105+(1-K$4)*K104</f>
        <v>3689.68273710909</v>
      </c>
      <c r="L105" s="13" t="n">
        <f aca="false">L$4*$B105+(1-L$4)*L104</f>
        <v>3778.8992754644</v>
      </c>
      <c r="M105" s="13" t="n">
        <f aca="false">M$4*$B105+(1-M$4)*M104</f>
        <v>3856.9345239886</v>
      </c>
      <c r="N105" s="13" t="n">
        <f aca="false">N$4*$B105+(1-N$4)*N104</f>
        <v>3925.53823136644</v>
      </c>
      <c r="O105" s="13" t="n">
        <f aca="false">O$4*$B105+(1-O$4)*O104</f>
        <v>3986.07097091247</v>
      </c>
      <c r="P105" s="13" t="n">
        <f aca="false">P$4*$B105+(1-P$4)*P104</f>
        <v>4039.5583462649</v>
      </c>
      <c r="Q105" s="13" t="n">
        <f aca="false">Q$4*$B105+(1-Q$4)*Q104</f>
        <v>4086.75137715656</v>
      </c>
      <c r="R105" s="13" t="n">
        <f aca="false">R$4*$B105+(1-R$4)*R104</f>
        <v>4128.18525370794</v>
      </c>
      <c r="S105" s="13" t="n">
        <f aca="false">S$4*$B105+(1-S$4)*S104</f>
        <v>4164.23020166668</v>
      </c>
      <c r="T105" s="13" t="n">
        <f aca="false">T$4*$B105+(1-T$4)*T104</f>
        <v>4195.13089727705</v>
      </c>
      <c r="U105" s="13" t="n">
        <f aca="false">U$4*$B105+(1-U$4)*U104</f>
        <v>4221.03334834673</v>
      </c>
    </row>
    <row r="106" customFormat="false" ht="15" hidden="false" customHeight="false" outlineLevel="0" collapsed="false">
      <c r="A106" s="11" t="n">
        <f aca="false">Daily!A103</f>
        <v>43985</v>
      </c>
      <c r="B106" s="13" t="n">
        <f aca="false">Daily!C103</f>
        <v>4677</v>
      </c>
      <c r="C106" s="13" t="n">
        <f aca="false">C$4*$B106+(1-C$4)*C105</f>
        <v>2016.67183560391</v>
      </c>
      <c r="D106" s="13" t="n">
        <f aca="false">D$4*$B106+(1-D$4)*D105</f>
        <v>2657.92710385348</v>
      </c>
      <c r="E106" s="13" t="n">
        <f aca="false">E$4*$B106+(1-E$4)*E105</f>
        <v>3035.80847552174</v>
      </c>
      <c r="F106" s="13" t="n">
        <f aca="false">F$4*$B106+(1-F$4)*F105</f>
        <v>3318.47032555795</v>
      </c>
      <c r="G106" s="13" t="n">
        <f aca="false">G$4*$B106+(1-G$4)*G105</f>
        <v>3546.36532590329</v>
      </c>
      <c r="H106" s="13" t="n">
        <f aca="false">H$4*$B106+(1-H$4)*H105</f>
        <v>3734.56650382609</v>
      </c>
      <c r="I106" s="13" t="n">
        <f aca="false">I$4*$B106+(1-I$4)*I105</f>
        <v>3891.4777936553</v>
      </c>
      <c r="J106" s="13" t="n">
        <f aca="false">J$4*$B106+(1-J$4)*J105</f>
        <v>4023.06175133711</v>
      </c>
      <c r="K106" s="13" t="n">
        <f aca="false">K$4*$B106+(1-K$4)*K105</f>
        <v>4133.97550541</v>
      </c>
      <c r="L106" s="13" t="n">
        <f aca="false">L$4*$B106+(1-L$4)*L105</f>
        <v>4227.9496377322</v>
      </c>
      <c r="M106" s="13" t="n">
        <f aca="false">M$4*$B106+(1-M$4)*M105</f>
        <v>4307.97053579487</v>
      </c>
      <c r="N106" s="13" t="n">
        <f aca="false">N$4*$B106+(1-N$4)*N105</f>
        <v>4376.41529254658</v>
      </c>
      <c r="O106" s="13" t="n">
        <f aca="false">O$4*$B106+(1-O$4)*O105</f>
        <v>4435.17483981937</v>
      </c>
      <c r="P106" s="13" t="n">
        <f aca="false">P$4*$B106+(1-P$4)*P105</f>
        <v>4485.76750387947</v>
      </c>
      <c r="Q106" s="13" t="n">
        <f aca="false">Q$4*$B106+(1-Q$4)*Q105</f>
        <v>4529.43784428914</v>
      </c>
      <c r="R106" s="13" t="n">
        <f aca="false">R$4*$B106+(1-R$4)*R105</f>
        <v>4567.23705074159</v>
      </c>
      <c r="S106" s="13" t="n">
        <f aca="false">S$4*$B106+(1-S$4)*S105</f>
        <v>4600.08453025</v>
      </c>
      <c r="T106" s="13" t="n">
        <f aca="false">T$4*$B106+(1-T$4)*T105</f>
        <v>4628.81308972771</v>
      </c>
      <c r="U106" s="13" t="n">
        <f aca="false">U$4*$B106+(1-U$4)*U105</f>
        <v>4654.20166741734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M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3" min="12" style="0" width="11"/>
  </cols>
  <sheetData>
    <row r="1" customFormat="false" ht="19.7" hidden="false" customHeight="false" outlineLevel="0" collapsed="false">
      <c r="A1" s="1" t="s">
        <v>409</v>
      </c>
    </row>
    <row r="2" customFormat="false" ht="15" hidden="false" customHeight="false" outlineLevel="0" collapsed="false">
      <c r="A2" s="2" t="s">
        <v>410</v>
      </c>
    </row>
    <row r="5" customFormat="false" ht="43.5" hidden="false" customHeight="true" outlineLevel="0" collapsed="false">
      <c r="A5" s="10" t="s">
        <v>411</v>
      </c>
      <c r="B5" s="10" t="s">
        <v>24</v>
      </c>
      <c r="C5" s="10" t="s">
        <v>412</v>
      </c>
      <c r="D5" s="10" t="s">
        <v>290</v>
      </c>
      <c r="E5" s="10" t="s">
        <v>293</v>
      </c>
      <c r="F5" s="10" t="s">
        <v>296</v>
      </c>
      <c r="G5" s="10" t="s">
        <v>299</v>
      </c>
      <c r="H5" s="10" t="s">
        <v>302</v>
      </c>
      <c r="I5" s="10" t="s">
        <v>305</v>
      </c>
      <c r="J5" s="10" t="s">
        <v>308</v>
      </c>
      <c r="K5" s="10" t="s">
        <v>311</v>
      </c>
      <c r="L5" s="10" t="s">
        <v>314</v>
      </c>
      <c r="M5" s="10" t="s">
        <v>413</v>
      </c>
    </row>
    <row r="6" customFormat="false" ht="15" hidden="false" customHeight="false" outlineLevel="0" collapsed="false">
      <c r="A6" s="15" t="n">
        <v>1</v>
      </c>
      <c r="B6" s="11" t="n">
        <f aca="false">TS_Model!A90</f>
        <v>43972</v>
      </c>
      <c r="C6" s="13" t="n">
        <f aca="false">TS_Model!C90</f>
        <v>2539</v>
      </c>
      <c r="D6" s="13" t="n">
        <f aca="false">TS_Model!$C$89</f>
        <v>2115</v>
      </c>
      <c r="E6" s="13" t="n">
        <f aca="false">INDEX(TS_Model!$C$83:$C$89,MOD($A6-1,7)+1)</f>
        <v>1449</v>
      </c>
      <c r="F6" s="13" t="n">
        <f aca="false">AVERAGE(TS_Model!$C$83:$C$89)</f>
        <v>1725.85714285714</v>
      </c>
      <c r="G6" s="13" t="n">
        <f aca="false">TS_Model!$G$89</f>
        <v>1886.41633692746</v>
      </c>
      <c r="H6" s="13" t="n">
        <f aca="false">TS_Model!$I$89+$A6*TS_Model!$J$89</f>
        <v>2071.76366052299</v>
      </c>
      <c r="I6" s="13" t="n">
        <f aca="false">TS_Model!$L$89+$A6*TS_Model!$M$89+INDEX(TS_Model!$N$83:$N$89,MOD($A6-1,7)+1)</f>
        <v>2068.87437759367</v>
      </c>
      <c r="J6" s="13" t="n">
        <f aca="false">TS_Setup!$B$34+TS_Setup!$B$33*TS_Model!$C$89</f>
        <v>1971.11879278859</v>
      </c>
      <c r="K6" s="13" t="n">
        <f aca="false">TS_Model!$C$89+M6</f>
        <v>2039.66724235139</v>
      </c>
      <c r="L6" s="13" t="n">
        <f aca="false">_xlfn.FORECAST.ETS(B6,TS_Model!$C$5:$C$89,TS_Model!$A$5:$A$89,7)</f>
        <v>2029.09480530391</v>
      </c>
      <c r="M6" s="16" t="n">
        <f aca="false">TS_Setup!$B$37+TS_Setup!$B$36*TS_Model!$P$89</f>
        <v>-75.3327576486111</v>
      </c>
    </row>
    <row r="7" customFormat="false" ht="15" hidden="false" customHeight="false" outlineLevel="0" collapsed="false">
      <c r="A7" s="15" t="n">
        <v>2</v>
      </c>
      <c r="B7" s="11" t="n">
        <f aca="false">TS_Model!A91</f>
        <v>43973</v>
      </c>
      <c r="C7" s="13" t="n">
        <f aca="false">TS_Model!C91</f>
        <v>1728</v>
      </c>
      <c r="D7" s="13" t="n">
        <f aca="false">TS_Model!$C$89</f>
        <v>2115</v>
      </c>
      <c r="E7" s="13" t="n">
        <f aca="false">INDEX(TS_Model!$C$83:$C$89,MOD($A7-1,7)+1)</f>
        <v>1515</v>
      </c>
      <c r="F7" s="13" t="n">
        <f aca="false">AVERAGE(TS_Model!$C$83:$C$89)</f>
        <v>1725.85714285714</v>
      </c>
      <c r="G7" s="13" t="n">
        <f aca="false">TS_Model!$G$89</f>
        <v>1886.41633692746</v>
      </c>
      <c r="H7" s="13" t="n">
        <f aca="false">TS_Model!$I$89+$A7*TS_Model!$J$89</f>
        <v>2121.77085008672</v>
      </c>
      <c r="I7" s="13" t="n">
        <f aca="false">TS_Model!$L$89+$A7*TS_Model!$M$89+INDEX(TS_Model!$N$83:$N$89,MOD($A7-1,7)+1)</f>
        <v>2120.77921962929</v>
      </c>
      <c r="J7" s="13" t="n">
        <f aca="false">TS_Setup!$B$34+TS_Setup!$B$33*J6</f>
        <v>1842.66121190504</v>
      </c>
      <c r="K7" s="13" t="n">
        <f aca="false">K6+M7</f>
        <v>2110.31683396333</v>
      </c>
      <c r="L7" s="13" t="n">
        <f aca="false">_xlfn.FORECAST.ETS(B7,TS_Model!$C$5:$C$89,TS_Model!$A$5:$A$89,7)</f>
        <v>2063.81841328288</v>
      </c>
      <c r="M7" s="16" t="n">
        <f aca="false">TS_Setup!$B$37+TS_Setup!$B$36*M6</f>
        <v>70.6495916119428</v>
      </c>
    </row>
    <row r="8" customFormat="false" ht="15" hidden="false" customHeight="false" outlineLevel="0" collapsed="false">
      <c r="A8" s="15" t="n">
        <v>3</v>
      </c>
      <c r="B8" s="11" t="n">
        <f aca="false">TS_Model!A92</f>
        <v>43974</v>
      </c>
      <c r="C8" s="13" t="n">
        <f aca="false">TS_Model!C92</f>
        <v>2060</v>
      </c>
      <c r="D8" s="13" t="n">
        <f aca="false">TS_Model!$C$89</f>
        <v>2115</v>
      </c>
      <c r="E8" s="13" t="n">
        <f aca="false">INDEX(TS_Model!$C$83:$C$89,MOD($A8-1,7)+1)</f>
        <v>1372</v>
      </c>
      <c r="F8" s="13" t="n">
        <f aca="false">AVERAGE(TS_Model!$C$83:$C$89)</f>
        <v>1725.85714285714</v>
      </c>
      <c r="G8" s="13" t="n">
        <f aca="false">TS_Model!$G$89</f>
        <v>1886.41633692746</v>
      </c>
      <c r="H8" s="13" t="n">
        <f aca="false">TS_Model!$I$89+$A8*TS_Model!$J$89</f>
        <v>2171.77803965045</v>
      </c>
      <c r="I8" s="13" t="n">
        <f aca="false">TS_Model!$L$89+$A8*TS_Model!$M$89+INDEX(TS_Model!$N$83:$N$89,MOD($A8-1,7)+1)</f>
        <v>2178.61837220575</v>
      </c>
      <c r="J8" s="13" t="n">
        <f aca="false">TS_Setup!$B$34+TS_Setup!$B$33*J7</f>
        <v>1727.97389167562</v>
      </c>
      <c r="K8" s="13" t="n">
        <f aca="false">K7+M8</f>
        <v>2113.5979795944</v>
      </c>
      <c r="L8" s="13" t="n">
        <f aca="false">_xlfn.FORECAST.ETS(B8,TS_Model!$C$5:$C$89,TS_Model!$A$5:$A$89,7)</f>
        <v>2100.54202126184</v>
      </c>
      <c r="M8" s="16" t="n">
        <f aca="false">TS_Setup!$B$37+TS_Setup!$B$36*M7</f>
        <v>3.28114563107202</v>
      </c>
    </row>
    <row r="9" customFormat="false" ht="15" hidden="false" customHeight="false" outlineLevel="0" collapsed="false">
      <c r="A9" s="15" t="n">
        <v>4</v>
      </c>
      <c r="B9" s="11" t="n">
        <f aca="false">TS_Model!A93</f>
        <v>43975</v>
      </c>
      <c r="C9" s="13" t="n">
        <f aca="false">TS_Model!C93</f>
        <v>1744</v>
      </c>
      <c r="D9" s="13" t="n">
        <f aca="false">TS_Model!$C$89</f>
        <v>2115</v>
      </c>
      <c r="E9" s="13" t="n">
        <f aca="false">INDEX(TS_Model!$C$83:$C$89,MOD($A9-1,7)+1)</f>
        <v>1956</v>
      </c>
      <c r="F9" s="13" t="n">
        <f aca="false">AVERAGE(TS_Model!$C$83:$C$89)</f>
        <v>1725.85714285714</v>
      </c>
      <c r="G9" s="13" t="n">
        <f aca="false">TS_Model!$G$89</f>
        <v>1886.41633692746</v>
      </c>
      <c r="H9" s="13" t="n">
        <f aca="false">TS_Model!$I$89+$A9*TS_Model!$J$89</f>
        <v>2221.78522921417</v>
      </c>
      <c r="I9" s="13" t="n">
        <f aca="false">TS_Model!$L$89+$A9*TS_Model!$M$89+INDEX(TS_Model!$N$83:$N$89,MOD($A9-1,7)+1)</f>
        <v>2221.48032515861</v>
      </c>
      <c r="J9" s="13" t="n">
        <f aca="false">TS_Setup!$B$34+TS_Setup!$B$33*J8</f>
        <v>1625.58070218117</v>
      </c>
      <c r="K9" s="13" t="n">
        <f aca="false">K8+M9</f>
        <v>2147.96855169975</v>
      </c>
      <c r="L9" s="13" t="n">
        <f aca="false">_xlfn.FORECAST.ETS(B9,TS_Model!$C$5:$C$89,TS_Model!$A$5:$A$89,7)</f>
        <v>2133.26562924081</v>
      </c>
      <c r="M9" s="16" t="n">
        <f aca="false">TS_Setup!$B$37+TS_Setup!$B$36*M8</f>
        <v>34.3705721053442</v>
      </c>
    </row>
    <row r="10" customFormat="false" ht="15" hidden="false" customHeight="false" outlineLevel="0" collapsed="false">
      <c r="A10" s="15" t="n">
        <v>5</v>
      </c>
      <c r="B10" s="11" t="n">
        <f aca="false">TS_Model!A94</f>
        <v>43976</v>
      </c>
      <c r="C10" s="13" t="n">
        <f aca="false">TS_Model!C94</f>
        <v>1356</v>
      </c>
      <c r="D10" s="13" t="n">
        <f aca="false">TS_Model!$C$89</f>
        <v>2115</v>
      </c>
      <c r="E10" s="13" t="n">
        <f aca="false">INDEX(TS_Model!$C$83:$C$89,MOD($A10-1,7)+1)</f>
        <v>1800</v>
      </c>
      <c r="F10" s="13" t="n">
        <f aca="false">AVERAGE(TS_Model!$C$83:$C$89)</f>
        <v>1725.85714285714</v>
      </c>
      <c r="G10" s="13" t="n">
        <f aca="false">TS_Model!$G$89</f>
        <v>1886.41633692746</v>
      </c>
      <c r="H10" s="13" t="n">
        <f aca="false">TS_Model!$I$89+$A10*TS_Model!$J$89</f>
        <v>2271.7924187779</v>
      </c>
      <c r="I10" s="13" t="n">
        <f aca="false">TS_Model!$L$89+$A10*TS_Model!$M$89+INDEX(TS_Model!$N$83:$N$89,MOD($A10-1,7)+1)</f>
        <v>2265.53061673014</v>
      </c>
      <c r="J10" s="13" t="n">
        <f aca="false">TS_Setup!$B$34+TS_Setup!$B$33*J9</f>
        <v>1534.16375012516</v>
      </c>
      <c r="K10" s="13" t="n">
        <f aca="false">K9+M10</f>
        <v>2167.99186635501</v>
      </c>
      <c r="L10" s="13" t="n">
        <f aca="false">_xlfn.FORECAST.ETS(B10,TS_Model!$C$5:$C$89,TS_Model!$A$5:$A$89,7)</f>
        <v>2168.98923721977</v>
      </c>
      <c r="M10" s="16" t="n">
        <f aca="false">TS_Setup!$B$37+TS_Setup!$B$36*M9</f>
        <v>20.0233146552669</v>
      </c>
    </row>
    <row r="11" customFormat="false" ht="15" hidden="false" customHeight="false" outlineLevel="0" collapsed="false">
      <c r="A11" s="15" t="n">
        <v>6</v>
      </c>
      <c r="B11" s="11" t="n">
        <f aca="false">TS_Model!A95</f>
        <v>43977</v>
      </c>
      <c r="C11" s="13" t="n">
        <f aca="false">TS_Model!C95</f>
        <v>1440</v>
      </c>
      <c r="D11" s="13" t="n">
        <f aca="false">TS_Model!$C$89</f>
        <v>2115</v>
      </c>
      <c r="E11" s="13" t="n">
        <f aca="false">INDEX(TS_Model!$C$83:$C$89,MOD($A11-1,7)+1)</f>
        <v>1874</v>
      </c>
      <c r="F11" s="13" t="n">
        <f aca="false">AVERAGE(TS_Model!$C$83:$C$89)</f>
        <v>1725.85714285714</v>
      </c>
      <c r="G11" s="13" t="n">
        <f aca="false">TS_Model!$G$89</f>
        <v>1886.41633692746</v>
      </c>
      <c r="H11" s="13" t="n">
        <f aca="false">TS_Model!$I$89+$A11*TS_Model!$J$89</f>
        <v>2321.79960834163</v>
      </c>
      <c r="I11" s="13" t="n">
        <f aca="false">TS_Model!$L$89+$A11*TS_Model!$M$89+INDEX(TS_Model!$N$83:$N$89,MOD($A11-1,7)+1)</f>
        <v>2326.44989426691</v>
      </c>
      <c r="J11" s="13" t="n">
        <f aca="false">TS_Setup!$B$34+TS_Setup!$B$33*J10</f>
        <v>1452.5464163506</v>
      </c>
      <c r="K11" s="13" t="n">
        <f aca="false">K10+M11</f>
        <v>2194.63620364346</v>
      </c>
      <c r="L11" s="13" t="n">
        <f aca="false">_xlfn.FORECAST.ETS(B11,TS_Model!$C$5:$C$89,TS_Model!$A$5:$A$89,7)</f>
        <v>2202.71284519873</v>
      </c>
      <c r="M11" s="16" t="n">
        <f aca="false">TS_Setup!$B$37+TS_Setup!$B$36*M10</f>
        <v>26.6443372884487</v>
      </c>
    </row>
    <row r="12" customFormat="false" ht="15" hidden="false" customHeight="false" outlineLevel="0" collapsed="false">
      <c r="A12" s="15" t="n">
        <v>7</v>
      </c>
      <c r="B12" s="11" t="n">
        <f aca="false">TS_Model!A96</f>
        <v>43978</v>
      </c>
      <c r="C12" s="13" t="n">
        <f aca="false">TS_Model!C96</f>
        <v>2173</v>
      </c>
      <c r="D12" s="13" t="n">
        <f aca="false">TS_Model!$C$89</f>
        <v>2115</v>
      </c>
      <c r="E12" s="13" t="n">
        <f aca="false">INDEX(TS_Model!$C$83:$C$89,MOD($A12-1,7)+1)</f>
        <v>2115</v>
      </c>
      <c r="F12" s="13" t="n">
        <f aca="false">AVERAGE(TS_Model!$C$83:$C$89)</f>
        <v>1725.85714285714</v>
      </c>
      <c r="G12" s="13" t="n">
        <f aca="false">TS_Model!$G$89</f>
        <v>1886.41633692746</v>
      </c>
      <c r="H12" s="13" t="n">
        <f aca="false">TS_Model!$I$89+$A12*TS_Model!$J$89</f>
        <v>2371.80679790535</v>
      </c>
      <c r="I12" s="13" t="n">
        <f aca="false">TS_Model!$L$89+$A12*TS_Model!$M$89+INDEX(TS_Model!$N$83:$N$89,MOD($A12-1,7)+1)</f>
        <v>2380.43291314183</v>
      </c>
      <c r="J12" s="13" t="n">
        <f aca="false">TS_Setup!$B$34+TS_Setup!$B$33*J11</f>
        <v>1379.6782116834</v>
      </c>
      <c r="K12" s="13" t="n">
        <f aca="false">K11+M12</f>
        <v>2218.22504821063</v>
      </c>
      <c r="L12" s="13" t="n">
        <f aca="false">_xlfn.FORECAST.ETS(B12,TS_Model!$C$5:$C$89,TS_Model!$A$5:$A$89,7)</f>
        <v>2237.4364531777</v>
      </c>
      <c r="M12" s="16" t="n">
        <f aca="false">TS_Setup!$B$37+TS_Setup!$B$36*M11</f>
        <v>23.5888445671642</v>
      </c>
    </row>
    <row r="13" customFormat="false" ht="15" hidden="false" customHeight="false" outlineLevel="0" collapsed="false">
      <c r="A13" s="15" t="n">
        <v>8</v>
      </c>
      <c r="B13" s="11" t="n">
        <f aca="false">TS_Model!A97</f>
        <v>43979</v>
      </c>
      <c r="C13" s="13" t="n">
        <f aca="false">TS_Model!C97</f>
        <v>2562</v>
      </c>
      <c r="D13" s="13" t="n">
        <f aca="false">TS_Model!$C$89</f>
        <v>2115</v>
      </c>
      <c r="E13" s="13" t="n">
        <f aca="false">INDEX(TS_Model!$C$83:$C$89,MOD($A13-1,7)+1)</f>
        <v>1449</v>
      </c>
      <c r="F13" s="13" t="n">
        <f aca="false">AVERAGE(TS_Model!$C$83:$C$89)</f>
        <v>1725.85714285714</v>
      </c>
      <c r="G13" s="13" t="n">
        <f aca="false">TS_Model!$G$89</f>
        <v>1886.41633692746</v>
      </c>
      <c r="H13" s="13" t="n">
        <f aca="false">TS_Model!$I$89+$A13*TS_Model!$J$89</f>
        <v>2421.81398746908</v>
      </c>
      <c r="I13" s="13" t="n">
        <f aca="false">TS_Model!$L$89+$A13*TS_Model!$M$89+INDEX(TS_Model!$N$83:$N$89,MOD($A13-1,7)+1)</f>
        <v>2420.56662640232</v>
      </c>
      <c r="J13" s="13" t="n">
        <f aca="false">TS_Setup!$B$34+TS_Setup!$B$33*J12</f>
        <v>1314.62125618314</v>
      </c>
      <c r="K13" s="13" t="n">
        <f aca="false">K12+M13</f>
        <v>2243.22395226362</v>
      </c>
      <c r="L13" s="13" t="n">
        <f aca="false">_xlfn.FORECAST.ETS(B13,TS_Model!$C$5:$C$89,TS_Model!$A$5:$A$89,7)</f>
        <v>2273.16006115666</v>
      </c>
      <c r="M13" s="16" t="n">
        <f aca="false">TS_Setup!$B$37+TS_Setup!$B$36*M12</f>
        <v>24.9989040529956</v>
      </c>
    </row>
    <row r="14" customFormat="false" ht="15" hidden="false" customHeight="false" outlineLevel="0" collapsed="false">
      <c r="A14" s="15" t="n">
        <v>9</v>
      </c>
      <c r="B14" s="11" t="n">
        <f aca="false">TS_Model!A98</f>
        <v>43980</v>
      </c>
      <c r="C14" s="13" t="n">
        <f aca="false">TS_Model!C98</f>
        <v>2426</v>
      </c>
      <c r="D14" s="13" t="n">
        <f aca="false">TS_Model!$C$89</f>
        <v>2115</v>
      </c>
      <c r="E14" s="13" t="n">
        <f aca="false">INDEX(TS_Model!$C$83:$C$89,MOD($A14-1,7)+1)</f>
        <v>1515</v>
      </c>
      <c r="F14" s="13" t="n">
        <f aca="false">AVERAGE(TS_Model!$C$83:$C$89)</f>
        <v>1725.85714285714</v>
      </c>
      <c r="G14" s="13" t="n">
        <f aca="false">TS_Model!$G$89</f>
        <v>1886.41633692746</v>
      </c>
      <c r="H14" s="13" t="n">
        <f aca="false">TS_Model!$I$89+$A14*TS_Model!$J$89</f>
        <v>2471.8211770328</v>
      </c>
      <c r="I14" s="13" t="n">
        <f aca="false">TS_Model!$L$89+$A14*TS_Model!$M$89+INDEX(TS_Model!$N$83:$N$89,MOD($A14-1,7)+1)</f>
        <v>2472.47146843794</v>
      </c>
      <c r="J14" s="13" t="n">
        <f aca="false">TS_Setup!$B$34+TS_Setup!$B$33*J13</f>
        <v>1256.53820777689</v>
      </c>
      <c r="K14" s="13" t="n">
        <f aca="false">K13+M14</f>
        <v>2267.572137125</v>
      </c>
      <c r="L14" s="13" t="n">
        <f aca="false">_xlfn.FORECAST.ETS(B14,TS_Model!$C$5:$C$89,TS_Model!$A$5:$A$89,7)</f>
        <v>2307.88366913562</v>
      </c>
      <c r="M14" s="16" t="n">
        <f aca="false">TS_Setup!$B$37+TS_Setup!$B$36*M13</f>
        <v>24.3481848613795</v>
      </c>
    </row>
    <row r="15" customFormat="false" ht="15" hidden="false" customHeight="false" outlineLevel="0" collapsed="false">
      <c r="A15" s="15" t="n">
        <v>10</v>
      </c>
      <c r="B15" s="11" t="n">
        <f aca="false">TS_Model!A99</f>
        <v>43981</v>
      </c>
      <c r="C15" s="13" t="n">
        <f aca="false">TS_Model!C99</f>
        <v>2956</v>
      </c>
      <c r="D15" s="13" t="n">
        <f aca="false">TS_Model!$C$89</f>
        <v>2115</v>
      </c>
      <c r="E15" s="13" t="n">
        <f aca="false">INDEX(TS_Model!$C$83:$C$89,MOD($A15-1,7)+1)</f>
        <v>1372</v>
      </c>
      <c r="F15" s="13" t="n">
        <f aca="false">AVERAGE(TS_Model!$C$83:$C$89)</f>
        <v>1725.85714285714</v>
      </c>
      <c r="G15" s="13" t="n">
        <f aca="false">TS_Model!$G$89</f>
        <v>1886.41633692746</v>
      </c>
      <c r="H15" s="13" t="n">
        <f aca="false">TS_Model!$I$89+$A15*TS_Model!$J$89</f>
        <v>2521.82836659653</v>
      </c>
      <c r="I15" s="13" t="n">
        <f aca="false">TS_Model!$L$89+$A15*TS_Model!$M$89+INDEX(TS_Model!$N$83:$N$89,MOD($A15-1,7)+1)</f>
        <v>2530.3106210144</v>
      </c>
      <c r="J15" s="13" t="n">
        <f aca="false">TS_Setup!$B$34+TS_Setup!$B$33*J14</f>
        <v>1204.68148490657</v>
      </c>
      <c r="K15" s="13" t="n">
        <f aca="false">K14+M15</f>
        <v>2292.2206181587</v>
      </c>
      <c r="L15" s="13" t="n">
        <f aca="false">_xlfn.FORECAST.ETS(B15,TS_Model!$C$5:$C$89,TS_Model!$A$5:$A$89,7)</f>
        <v>2344.60727711459</v>
      </c>
      <c r="M15" s="16" t="n">
        <f aca="false">TS_Setup!$B$37+TS_Setup!$B$36*M14</f>
        <v>24.6484810336987</v>
      </c>
    </row>
    <row r="16" customFormat="false" ht="15" hidden="false" customHeight="false" outlineLevel="0" collapsed="false">
      <c r="A16" s="15" t="n">
        <v>11</v>
      </c>
      <c r="B16" s="11" t="n">
        <f aca="false">TS_Model!A100</f>
        <v>43982</v>
      </c>
      <c r="C16" s="13" t="n">
        <f aca="false">TS_Model!C100</f>
        <v>2883</v>
      </c>
      <c r="D16" s="13" t="n">
        <f aca="false">TS_Model!$C$89</f>
        <v>2115</v>
      </c>
      <c r="E16" s="13" t="n">
        <f aca="false">INDEX(TS_Model!$C$83:$C$89,MOD($A16-1,7)+1)</f>
        <v>1956</v>
      </c>
      <c r="F16" s="13" t="n">
        <f aca="false">AVERAGE(TS_Model!$C$83:$C$89)</f>
        <v>1725.85714285714</v>
      </c>
      <c r="G16" s="13" t="n">
        <f aca="false">TS_Model!$G$89</f>
        <v>1886.41633692746</v>
      </c>
      <c r="H16" s="13" t="n">
        <f aca="false">TS_Model!$I$89+$A16*TS_Model!$J$89</f>
        <v>2571.83555616026</v>
      </c>
      <c r="I16" s="13" t="n">
        <f aca="false">TS_Model!$L$89+$A16*TS_Model!$M$89+INDEX(TS_Model!$N$83:$N$89,MOD($A16-1,7)+1)</f>
        <v>2573.17257396727</v>
      </c>
      <c r="J16" s="13" t="n">
        <f aca="false">TS_Setup!$B$34+TS_Setup!$B$33*J15</f>
        <v>1158.38364447575</v>
      </c>
      <c r="K16" s="13" t="n">
        <f aca="false">K15+M16</f>
        <v>2316.73051746272</v>
      </c>
      <c r="L16" s="13" t="n">
        <f aca="false">_xlfn.FORECAST.ETS(B16,TS_Model!$C$5:$C$89,TS_Model!$A$5:$A$89,7)</f>
        <v>2377.33088509355</v>
      </c>
      <c r="M16" s="16" t="n">
        <f aca="false">TS_Setup!$B$37+TS_Setup!$B$36*M15</f>
        <v>24.5098993040196</v>
      </c>
    </row>
    <row r="17" customFormat="false" ht="15" hidden="false" customHeight="false" outlineLevel="0" collapsed="false">
      <c r="A17" s="15" t="n">
        <v>12</v>
      </c>
      <c r="B17" s="11" t="n">
        <f aca="false">TS_Model!A101</f>
        <v>43983</v>
      </c>
      <c r="C17" s="13" t="n">
        <f aca="false">TS_Model!C101</f>
        <v>3872</v>
      </c>
      <c r="D17" s="13" t="n">
        <f aca="false">TS_Model!$C$89</f>
        <v>2115</v>
      </c>
      <c r="E17" s="13" t="n">
        <f aca="false">INDEX(TS_Model!$C$83:$C$89,MOD($A17-1,7)+1)</f>
        <v>1800</v>
      </c>
      <c r="F17" s="13" t="n">
        <f aca="false">AVERAGE(TS_Model!$C$83:$C$89)</f>
        <v>1725.85714285714</v>
      </c>
      <c r="G17" s="13" t="n">
        <f aca="false">TS_Model!$G$89</f>
        <v>1886.41633692746</v>
      </c>
      <c r="H17" s="13" t="n">
        <f aca="false">TS_Model!$I$89+$A17*TS_Model!$J$89</f>
        <v>2621.84274572398</v>
      </c>
      <c r="I17" s="13" t="n">
        <f aca="false">TS_Model!$L$89+$A17*TS_Model!$M$89+INDEX(TS_Model!$N$83:$N$89,MOD($A17-1,7)+1)</f>
        <v>2617.22286553879</v>
      </c>
      <c r="J17" s="13" t="n">
        <f aca="false">TS_Setup!$B$34+TS_Setup!$B$33*J16</f>
        <v>1117.04879125105</v>
      </c>
      <c r="K17" s="13" t="n">
        <f aca="false">K16+M17</f>
        <v>2341.30436994887</v>
      </c>
      <c r="L17" s="13" t="n">
        <f aca="false">_xlfn.FORECAST.ETS(B17,TS_Model!$C$5:$C$89,TS_Model!$A$5:$A$89,7)</f>
        <v>2413.05449307251</v>
      </c>
      <c r="M17" s="16" t="n">
        <f aca="false">TS_Setup!$B$37+TS_Setup!$B$36*M16</f>
        <v>24.5738524861482</v>
      </c>
    </row>
    <row r="18" customFormat="false" ht="15" hidden="false" customHeight="false" outlineLevel="0" collapsed="false">
      <c r="A18" s="15" t="n">
        <v>13</v>
      </c>
      <c r="B18" s="11" t="n">
        <f aca="false">TS_Model!A102</f>
        <v>43984</v>
      </c>
      <c r="C18" s="13" t="n">
        <f aca="false">TS_Model!C102</f>
        <v>4242</v>
      </c>
      <c r="D18" s="13" t="n">
        <f aca="false">TS_Model!$C$89</f>
        <v>2115</v>
      </c>
      <c r="E18" s="13" t="n">
        <f aca="false">INDEX(TS_Model!$C$83:$C$89,MOD($A18-1,7)+1)</f>
        <v>1874</v>
      </c>
      <c r="F18" s="13" t="n">
        <f aca="false">AVERAGE(TS_Model!$C$83:$C$89)</f>
        <v>1725.85714285714</v>
      </c>
      <c r="G18" s="13" t="n">
        <f aca="false">TS_Model!$G$89</f>
        <v>1886.41633692746</v>
      </c>
      <c r="H18" s="13" t="n">
        <f aca="false">TS_Model!$I$89+$A18*TS_Model!$J$89</f>
        <v>2671.84993528771</v>
      </c>
      <c r="I18" s="13" t="n">
        <f aca="false">TS_Model!$L$89+$A18*TS_Model!$M$89+INDEX(TS_Model!$N$83:$N$89,MOD($A18-1,7)+1)</f>
        <v>2678.14214307556</v>
      </c>
      <c r="J18" s="13" t="n">
        <f aca="false">TS_Setup!$B$34+TS_Setup!$B$33*J17</f>
        <v>1080.14490814963</v>
      </c>
      <c r="K18" s="13" t="n">
        <f aca="false">K17+M18</f>
        <v>2365.84870909647</v>
      </c>
      <c r="L18" s="13" t="n">
        <f aca="false">_xlfn.FORECAST.ETS(B18,TS_Model!$C$5:$C$89,TS_Model!$A$5:$A$89,7)</f>
        <v>2446.77810105148</v>
      </c>
      <c r="M18" s="16" t="n">
        <f aca="false">TS_Setup!$B$37+TS_Setup!$B$36*M17</f>
        <v>24.5443391476017</v>
      </c>
    </row>
    <row r="19" customFormat="false" ht="15" hidden="false" customHeight="false" outlineLevel="0" collapsed="false">
      <c r="A19" s="15" t="n">
        <v>14</v>
      </c>
      <c r="B19" s="11" t="n">
        <f aca="false">TS_Model!A103</f>
        <v>43985</v>
      </c>
      <c r="C19" s="13" t="n">
        <f aca="false">TS_Model!C103</f>
        <v>4677</v>
      </c>
      <c r="D19" s="13" t="n">
        <f aca="false">TS_Model!$C$89</f>
        <v>2115</v>
      </c>
      <c r="E19" s="13" t="n">
        <f aca="false">INDEX(TS_Model!$C$83:$C$89,MOD($A19-1,7)+1)</f>
        <v>2115</v>
      </c>
      <c r="F19" s="13" t="n">
        <f aca="false">AVERAGE(TS_Model!$C$83:$C$89)</f>
        <v>1725.85714285714</v>
      </c>
      <c r="G19" s="13" t="n">
        <f aca="false">TS_Model!$G$89</f>
        <v>1886.41633692746</v>
      </c>
      <c r="H19" s="13" t="n">
        <f aca="false">TS_Model!$I$89+$A19*TS_Model!$J$89</f>
        <v>2721.85712485143</v>
      </c>
      <c r="I19" s="13" t="n">
        <f aca="false">TS_Model!$L$89+$A19*TS_Model!$M$89+INDEX(TS_Model!$N$83:$N$89,MOD($A19-1,7)+1)</f>
        <v>2732.12516195048</v>
      </c>
      <c r="J19" s="13" t="n">
        <f aca="false">TS_Setup!$B$34+TS_Setup!$B$33*J18</f>
        <v>1047.19700869635</v>
      </c>
      <c r="K19" s="13" t="n">
        <f aca="false">K18+M19</f>
        <v>2390.40666816294</v>
      </c>
      <c r="L19" s="13" t="n">
        <f aca="false">_xlfn.FORECAST.ETS(B19,TS_Model!$C$5:$C$89,TS_Model!$A$5:$A$89,7)</f>
        <v>2481.50170903044</v>
      </c>
      <c r="M19" s="16" t="n">
        <f aca="false">TS_Setup!$B$37+TS_Setup!$B$36*M18</f>
        <v>24.5579590664731</v>
      </c>
    </row>
    <row r="22" customFormat="false" ht="15" hidden="false" customHeight="false" outlineLevel="0" collapsed="false">
      <c r="A22" s="8" t="s">
        <v>414</v>
      </c>
    </row>
    <row r="23" customFormat="false" ht="31.5" hidden="false" customHeight="true" outlineLevel="0" collapsed="false">
      <c r="A23" s="10" t="s">
        <v>205</v>
      </c>
      <c r="B23" s="10"/>
      <c r="C23" s="10" t="s">
        <v>415</v>
      </c>
      <c r="D23" s="10" t="s">
        <v>416</v>
      </c>
      <c r="E23" s="10" t="s">
        <v>417</v>
      </c>
      <c r="F23" s="10" t="s">
        <v>418</v>
      </c>
      <c r="G23" s="10" t="s">
        <v>419</v>
      </c>
      <c r="H23" s="10" t="s">
        <v>420</v>
      </c>
      <c r="I23" s="10" t="s">
        <v>421</v>
      </c>
      <c r="J23" s="10" t="s">
        <v>422</v>
      </c>
    </row>
    <row r="24" customFormat="false" ht="15" hidden="false" customHeight="false" outlineLevel="0" collapsed="false">
      <c r="A24" s="36" t="s">
        <v>290</v>
      </c>
      <c r="B24" s="36"/>
      <c r="C24" s="13" t="n">
        <f aca="false">SUMPRODUCT(ABS($C$6:$C$19-$D$6:$D$19))/14</f>
        <v>824.428571428571</v>
      </c>
      <c r="D24" s="13" t="n">
        <f aca="false">SQRT(SUMPRODUCT(($C$6:$C$19-$D$6:$D$19)^2)/14)</f>
        <v>1110.78923036088</v>
      </c>
      <c r="E24" s="35" t="n">
        <f aca="false">SUMPRODUCT(ABS($C$6:$C$19-$D$6:$D$19)/($C$6:$C$19+($C$6:$C$19=0))*($C$6:$C$19&lt;&gt;0))/SUMPRODUCT(--($C$6:$C$19&lt;&gt;0))*100</f>
        <v>28.8720882079616</v>
      </c>
      <c r="F24" s="35" t="n">
        <f aca="false">SUMPRODUCT(2*ABS($D$6:$D$19-$C$6:$C$19)/(ABS($C$6:$C$19)+ABS($D$6:$D$19)+0.0000000001))/14*100</f>
        <v>31.6003597295869</v>
      </c>
      <c r="G24" s="26" t="n">
        <f aca="false">C24/(SUMPRODUCT(ABS(TS_Model!$C$6:$C$89-TS_Model!$C$5:$C$88))/84)</f>
        <v>4.30403977625855</v>
      </c>
      <c r="H24" s="15" t="n">
        <f aca="false">RANK(D24,$D$24:$D$32,1)</f>
        <v>5</v>
      </c>
      <c r="I24" s="18" t="n">
        <f aca="false">D24/$D$24-1</f>
        <v>0</v>
      </c>
      <c r="J24" s="13" t="n">
        <f aca="false">SQRT(TS_Setup!B23/84)</f>
        <v>329.94364598187</v>
      </c>
    </row>
    <row r="25" customFormat="false" ht="15" hidden="false" customHeight="false" outlineLevel="0" collapsed="false">
      <c r="A25" s="36" t="s">
        <v>293</v>
      </c>
      <c r="B25" s="36"/>
      <c r="C25" s="13" t="n">
        <f aca="false">SUMPRODUCT(ABS($C$6:$C$19-$E$6:$E$19))/14</f>
        <v>1048.28571428571</v>
      </c>
      <c r="D25" s="13" t="n">
        <f aca="false">SQRT(SUMPRODUCT(($C$6:$C$19-$E$6:$E$19)^2)/14)</f>
        <v>1310.45630002901</v>
      </c>
      <c r="E25" s="35" t="n">
        <f aca="false">SUMPRODUCT(ABS($C$6:$C$19-$E$6:$E$19)/($C$6:$C$19+($C$6:$C$19=0))*($C$6:$C$19&lt;&gt;0))/SUMPRODUCT(--($C$6:$C$19&lt;&gt;0))*100</f>
        <v>35.5149984356274</v>
      </c>
      <c r="F25" s="35" t="n">
        <f aca="false">SUMPRODUCT(2*ABS($E$6:$E$19-$C$6:$C$19)/(ABS($C$6:$C$19)+ABS($E$6:$E$19)+0.0000000001))/14*100</f>
        <v>43.9690042624292</v>
      </c>
      <c r="G25" s="26" t="n">
        <f aca="false">C25/(SUMPRODUCT(ABS(TS_Model!$C$6:$C$89-TS_Model!$C$5:$C$88))/84)</f>
        <v>5.47271597265382</v>
      </c>
      <c r="H25" s="15" t="n">
        <f aca="false">RANK(D25,$D$24:$D$32,1)</f>
        <v>7</v>
      </c>
      <c r="I25" s="18" t="n">
        <f aca="false">D25/$D$24-1</f>
        <v>0.179752435665278</v>
      </c>
      <c r="J25" s="13" t="n">
        <f aca="false">SQRT(SUMPRODUCT((TS_Model!$C$12:$C$89-TS_Model!$C$5:$C$82)^2)/78)</f>
        <v>383.668343020241</v>
      </c>
    </row>
    <row r="26" customFormat="false" ht="15" hidden="false" customHeight="false" outlineLevel="0" collapsed="false">
      <c r="A26" s="36" t="s">
        <v>296</v>
      </c>
      <c r="B26" s="36"/>
      <c r="C26" s="13" t="n">
        <f aca="false">SUMPRODUCT(ABS($C$6:$C$19-$F$6:$F$19))/14</f>
        <v>986.244897959184</v>
      </c>
      <c r="D26" s="13" t="n">
        <f aca="false">SQRT(SUMPRODUCT(($C$6:$C$19-$F$6:$F$19)^2)/14)</f>
        <v>1333.07769573163</v>
      </c>
      <c r="E26" s="35" t="n">
        <f aca="false">SUMPRODUCT(ABS($C$6:$C$19-$F$6:$F$19)/($C$6:$C$19+($C$6:$C$19=0))*($C$6:$C$19&lt;&gt;0))/SUMPRODUCT(--($C$6:$C$19&lt;&gt;0))*100</f>
        <v>31.3003173323621</v>
      </c>
      <c r="F26" s="35" t="n">
        <f aca="false">SUMPRODUCT(2*ABS($F$6:$F$19-$C$6:$C$19)/(ABS($C$6:$C$19)+ABS($F$6:$F$19)+0.0000000001))/14*100</f>
        <v>39.3303797099868</v>
      </c>
      <c r="G26" s="26" t="n">
        <f aca="false">C26/(SUMPRODUCT(ABS(TS_Model!$C$6:$C$89-TS_Model!$C$5:$C$88))/84)</f>
        <v>5.148823581639</v>
      </c>
      <c r="H26" s="15" t="n">
        <f aca="false">RANK(D26,$D$24:$D$32,1)</f>
        <v>8</v>
      </c>
      <c r="I26" s="18" t="n">
        <f aca="false">D26/$D$24-1</f>
        <v>0.200117591434091</v>
      </c>
      <c r="J26" s="13" t="n">
        <f aca="false">SQRT(TS_Setup!B24/78)</f>
        <v>273.797710049331</v>
      </c>
    </row>
    <row r="27" customFormat="false" ht="15" hidden="false" customHeight="false" outlineLevel="0" collapsed="false">
      <c r="A27" s="36" t="s">
        <v>299</v>
      </c>
      <c r="B27" s="36"/>
      <c r="C27" s="13" t="n">
        <f aca="false">SUMPRODUCT(ABS($C$6:$C$19-$G$6:$G$19))/14</f>
        <v>914.535855602516</v>
      </c>
      <c r="D27" s="13" t="n">
        <f aca="false">SQRT(SUMPRODUCT(($C$6:$C$19-$G$6:$G$19)^2)/14)</f>
        <v>1231.36278131768</v>
      </c>
      <c r="E27" s="35" t="n">
        <f aca="false">SUMPRODUCT(ABS($C$6:$C$19-$G$6:$G$19)/($C$6:$C$19+($C$6:$C$19=0))*($C$6:$C$19&lt;&gt;0))/SUMPRODUCT(--($C$6:$C$19&lt;&gt;0))*100</f>
        <v>30.0433639031643</v>
      </c>
      <c r="F27" s="35" t="n">
        <f aca="false">SUMPRODUCT(2*ABS($G$6:$G$19-$C$6:$C$19)/(ABS($C$6:$C$19)+ABS($G$6:$G$19)+0.0000000001))/14*100</f>
        <v>35.7725014824536</v>
      </c>
      <c r="G27" s="26" t="n">
        <f aca="false">C27/(SUMPRODUCT(ABS(TS_Model!$C$6:$C$89-TS_Model!$C$5:$C$88))/84)</f>
        <v>4.77445692172849</v>
      </c>
      <c r="H27" s="15" t="n">
        <f aca="false">RANK(D27,$D$24:$D$32,1)</f>
        <v>6</v>
      </c>
      <c r="I27" s="18" t="n">
        <f aca="false">D27/$D$24-1</f>
        <v>0.10854764131772</v>
      </c>
      <c r="J27" s="13" t="n">
        <f aca="false">SQRT(TS_Setup!B25/84)</f>
        <v>262.56104589146</v>
      </c>
    </row>
    <row r="28" customFormat="false" ht="15" hidden="false" customHeight="false" outlineLevel="0" collapsed="false">
      <c r="A28" s="36" t="s">
        <v>302</v>
      </c>
      <c r="B28" s="36"/>
      <c r="C28" s="13" t="n">
        <f aca="false">SUMPRODUCT(ABS($C$6:$C$19-$H$6:$H$19))/14</f>
        <v>653.84019602836</v>
      </c>
      <c r="D28" s="13" t="n">
        <f aca="false">SQRT(SUMPRODUCT(($C$6:$C$19-$H$6:$H$19)^2)/14)</f>
        <v>863.044314632826</v>
      </c>
      <c r="E28" s="35" t="n">
        <f aca="false">SUMPRODUCT(ABS($C$6:$C$19-$H$6:$H$19)/($C$6:$C$19+($C$6:$C$19=0))*($C$6:$C$19&lt;&gt;0))/SUMPRODUCT(--($C$6:$C$19&lt;&gt;0))*100</f>
        <v>25.4199780518416</v>
      </c>
      <c r="F28" s="35" t="n">
        <f aca="false">SUMPRODUCT(2*ABS($H$6:$H$19-$C$6:$C$19)/(ABS($C$6:$C$19)+ABS($H$6:$H$19)+0.0000000001))/14*100</f>
        <v>24.8393517852257</v>
      </c>
      <c r="G28" s="26" t="n">
        <f aca="false">C28/(SUMPRODUCT(ABS(TS_Model!$C$6:$C$89-TS_Model!$C$5:$C$88))/84)</f>
        <v>3.4134603148777</v>
      </c>
      <c r="H28" s="15" t="n">
        <f aca="false">RANK(D28,$D$24:$D$32,1)</f>
        <v>2</v>
      </c>
      <c r="I28" s="18" t="n">
        <f aca="false">D28/$D$24-1</f>
        <v>-0.223035035771426</v>
      </c>
      <c r="J28" s="13" t="n">
        <f aca="false">SQRT(TS_Setup!B26/84)</f>
        <v>242.415165364336</v>
      </c>
    </row>
    <row r="29" customFormat="false" ht="15" hidden="false" customHeight="false" outlineLevel="0" collapsed="false">
      <c r="A29" s="36" t="s">
        <v>305</v>
      </c>
      <c r="B29" s="36"/>
      <c r="C29" s="13" t="n">
        <f aca="false">SUMPRODUCT(ABS($C$6:$C$19-$I$6:$I$19))/14</f>
        <v>653.524888573427</v>
      </c>
      <c r="D29" s="13" t="n">
        <f aca="false">SQRT(SUMPRODUCT(($C$6:$C$19-$I$6:$I$19)^2)/14)</f>
        <v>860.873386823853</v>
      </c>
      <c r="E29" s="35" t="n">
        <f aca="false">SUMPRODUCT(ABS($C$6:$C$19-$I$6:$I$19)/($C$6:$C$19+($C$6:$C$19=0))*($C$6:$C$19&lt;&gt;0))/SUMPRODUCT(--($C$6:$C$19&lt;&gt;0))*100</f>
        <v>25.4287429236672</v>
      </c>
      <c r="F29" s="35" t="n">
        <f aca="false">SUMPRODUCT(2*ABS($I$6:$I$19-$C$6:$C$19)/(ABS($C$6:$C$19)+ABS($I$6:$I$19)+0.0000000001))/14*100</f>
        <v>24.8374871148068</v>
      </c>
      <c r="G29" s="26" t="n">
        <f aca="false">C29/(SUMPRODUCT(ABS(TS_Model!$C$6:$C$89-TS_Model!$C$5:$C$88))/84)</f>
        <v>3.4118142100788</v>
      </c>
      <c r="H29" s="15" t="n">
        <f aca="false">RANK(D29,$D$24:$D$32,1)</f>
        <v>1</v>
      </c>
      <c r="I29" s="18" t="n">
        <f aca="false">D29/$D$24-1</f>
        <v>-0.224989436975214</v>
      </c>
      <c r="J29" s="13" t="n">
        <f aca="false">SQRT(TS_Setup!B27/78)</f>
        <v>252.047088920107</v>
      </c>
    </row>
    <row r="30" customFormat="false" ht="15" hidden="false" customHeight="false" outlineLevel="0" collapsed="false">
      <c r="A30" s="36" t="s">
        <v>308</v>
      </c>
      <c r="B30" s="36"/>
      <c r="C30" s="13" t="n">
        <f aca="false">SUMPRODUCT(ABS($C$6:$C$19-$J$6:$J$19))/14</f>
        <v>1254.02889132948</v>
      </c>
      <c r="D30" s="13" t="n">
        <f aca="false">SQRT(SUMPRODUCT(($C$6:$C$19-$J$6:$J$19)^2)/14)</f>
        <v>1708.14699495295</v>
      </c>
      <c r="E30" s="35" t="n">
        <f aca="false">SUMPRODUCT(ABS($C$6:$C$19-$J$6:$J$19)/($C$6:$C$19+($C$6:$C$19=0))*($C$6:$C$19&lt;&gt;0))/SUMPRODUCT(--($C$6:$C$19&lt;&gt;0))*100</f>
        <v>38.6917596085673</v>
      </c>
      <c r="F30" s="35" t="n">
        <f aca="false">SUMPRODUCT(2*ABS($J$6:$J$19-$C$6:$C$19)/(ABS($C$6:$C$19)+ABS($J$6:$J$19)+0.0000000001))/14*100</f>
        <v>54.8216370188495</v>
      </c>
      <c r="G30" s="26" t="n">
        <f aca="false">C30/(SUMPRODUCT(ABS(TS_Model!$C$6:$C$89-TS_Model!$C$5:$C$88))/84)</f>
        <v>6.54682578444226</v>
      </c>
      <c r="H30" s="15" t="n">
        <f aca="false">RANK(D30,$D$24:$D$32,1)</f>
        <v>9</v>
      </c>
      <c r="I30" s="18" t="n">
        <f aca="false">D30/$D$24-1</f>
        <v>0.537777778416162</v>
      </c>
      <c r="J30" s="13" t="n">
        <f aca="false">SQRT(TS_Setup!B28/84)</f>
        <v>322.179053976643</v>
      </c>
    </row>
    <row r="31" customFormat="false" ht="15" hidden="false" customHeight="false" outlineLevel="0" collapsed="false">
      <c r="A31" s="36" t="s">
        <v>311</v>
      </c>
      <c r="B31" s="36"/>
      <c r="C31" s="13" t="n">
        <f aca="false">SUMPRODUCT(ABS($C$6:$C$19-$K$6:$K$19))/14</f>
        <v>739.41159063549</v>
      </c>
      <c r="D31" s="13" t="n">
        <f aca="false">SQRT(SUMPRODUCT(($C$6:$C$19-$K$6:$K$19)^2)/14)</f>
        <v>991.819330783009</v>
      </c>
      <c r="E31" s="35" t="n">
        <f aca="false">SUMPRODUCT(ABS($C$6:$C$19-$K$6:$K$19)/($C$6:$C$19+($C$6:$C$19=0))*($C$6:$C$19&lt;&gt;0))/SUMPRODUCT(--($C$6:$C$19&lt;&gt;0))*100</f>
        <v>26.8317788117417</v>
      </c>
      <c r="F31" s="35" t="n">
        <f aca="false">SUMPRODUCT(2*ABS($K$6:$K$19-$C$6:$C$19)/(ABS($C$6:$C$19)+ABS($K$6:$K$19)+0.0000000001))/14*100</f>
        <v>28.0420065935099</v>
      </c>
      <c r="G31" s="26" t="n">
        <f aca="false">C31/(SUMPRODUCT(ABS(TS_Model!$C$6:$C$89-TS_Model!$C$5:$C$88))/84)</f>
        <v>3.86019724135371</v>
      </c>
      <c r="H31" s="15" t="n">
        <f aca="false">RANK(D31,$D$24:$D$32,1)</f>
        <v>4</v>
      </c>
      <c r="I31" s="18" t="n">
        <f aca="false">D31/$D$24-1</f>
        <v>-0.107103936846074</v>
      </c>
      <c r="J31" s="13" t="n">
        <f aca="false">SQRT(TS_Setup!B29/83)</f>
        <v>293.800448690183</v>
      </c>
    </row>
    <row r="32" customFormat="false" ht="15" hidden="false" customHeight="false" outlineLevel="0" collapsed="false">
      <c r="A32" s="36" t="s">
        <v>314</v>
      </c>
      <c r="B32" s="36"/>
      <c r="C32" s="13" t="n">
        <f aca="false">SUMPRODUCT(ABS($C$6:$C$19-$L$6:$L$19))/14</f>
        <v>706.382399887354</v>
      </c>
      <c r="D32" s="13" t="n">
        <f aca="false">SQRT(SUMPRODUCT(($C$6:$C$19-$L$6:$L$19)^2)/14)</f>
        <v>951.360748687015</v>
      </c>
      <c r="E32" s="35" t="n">
        <f aca="false">SUMPRODUCT(ABS($C$6:$C$19-$L$6:$L$19)/($C$6:$C$19+($C$6:$C$19=0))*($C$6:$C$19&lt;&gt;0))/SUMPRODUCT(--($C$6:$C$19&lt;&gt;0))*100</f>
        <v>25.7856575154873</v>
      </c>
      <c r="F32" s="35" t="n">
        <f aca="false">SUMPRODUCT(2*ABS($L$6:$L$19-$C$6:$C$19)/(ABS($C$6:$C$19)+ABS($L$6:$L$19)+0.0000000001))/14*100</f>
        <v>26.6905234582086</v>
      </c>
      <c r="G32" s="26" t="n">
        <f aca="false">C32/(SUMPRODUCT(ABS(TS_Model!$C$6:$C$89-TS_Model!$C$5:$C$88))/84)</f>
        <v>3.68776392731745</v>
      </c>
      <c r="H32" s="15" t="n">
        <f aca="false">RANK(D32,$D$24:$D$32,1)</f>
        <v>3</v>
      </c>
      <c r="I32" s="18" t="n">
        <f aca="false">D32/$D$24-1</f>
        <v>-0.143527212288571</v>
      </c>
      <c r="J32" s="13" t="s">
        <v>423</v>
      </c>
    </row>
    <row r="34" customFormat="false" ht="15" hidden="false" customHeight="false" outlineLevel="0" collapsed="false">
      <c r="A34" s="59" t="s">
        <v>424</v>
      </c>
      <c r="B34" s="59"/>
      <c r="C34" s="59" t="str">
        <f aca="false">INDEX($A$24:$A$32,MATCH(MIN($D$24:$D$32),$D$24:$D$32,0))</f>
        <v>Holt-Winters (add)</v>
      </c>
      <c r="D34" s="59"/>
      <c r="E34" s="59"/>
    </row>
    <row r="35" customFormat="false" ht="31.5" hidden="false" customHeight="true" outlineLevel="0" collapsed="false">
      <c r="A35" s="36" t="s">
        <v>425</v>
      </c>
      <c r="B35" s="36"/>
      <c r="C35" s="53" t="str">
        <f aca="false">IF(INDEX($H$24:$H$32,1)=1,"No model beats the Naive forecast on this test window. For a series still rising fast, tomorrow = today is hard to beat. That is a genuine result, not an error.","The best model improves on Naive RMSE by "&amp;TEXT(-INDEX($I$24:$I$32,MATCH($C$34,$A$24:$A$32,0)),"0%")&amp;".")</f>
        <v>The best model improves on Naive RMSE by 22%.</v>
      </c>
      <c r="D35" s="53"/>
      <c r="E35" s="53"/>
      <c r="F35" s="53"/>
      <c r="G35" s="53"/>
      <c r="H35" s="53"/>
      <c r="I35" s="53"/>
      <c r="J35" s="53"/>
    </row>
    <row r="36" customFormat="false" ht="42" hidden="false" customHeight="true" outlineLevel="0" collapsed="false">
      <c r="A36" s="19" t="s">
        <v>426</v>
      </c>
      <c r="B36" s="19"/>
      <c r="C36" s="19"/>
      <c r="D36" s="19"/>
      <c r="E36" s="19"/>
      <c r="F36" s="19"/>
      <c r="G36" s="19"/>
      <c r="H36" s="19"/>
      <c r="I36" s="19"/>
      <c r="J36" s="19"/>
    </row>
    <row r="38" customFormat="false" ht="15" hidden="false" customHeight="false" outlineLevel="0" collapsed="false">
      <c r="A38" s="8" t="s">
        <v>427</v>
      </c>
    </row>
    <row r="39" customFormat="false" ht="31.5" hidden="false" customHeight="true" outlineLevel="0" collapsed="false">
      <c r="A39" s="10" t="s">
        <v>205</v>
      </c>
      <c r="B39" s="10"/>
      <c r="C39" s="10" t="s">
        <v>415</v>
      </c>
      <c r="D39" s="10" t="s">
        <v>416</v>
      </c>
      <c r="E39" s="10" t="s">
        <v>417</v>
      </c>
    </row>
    <row r="40" customFormat="false" ht="15" hidden="false" customHeight="false" outlineLevel="0" collapsed="false">
      <c r="A40" s="36" t="s">
        <v>290</v>
      </c>
      <c r="B40" s="36"/>
      <c r="C40" s="13" t="n">
        <f aca="false">SUMPRODUCT(ABS(TS_Model!$C$90:$C$103-TS_Model!$E$90:$E$103))/14</f>
        <v>429.285714285714</v>
      </c>
      <c r="D40" s="13" t="n">
        <f aca="false">SQRT(SUMPRODUCT((TS_Model!$C$90:$C$103-TS_Model!$E$90:$E$103)^2)/14)</f>
        <v>500.196961206283</v>
      </c>
      <c r="E40" s="35" t="n">
        <f aca="false">SUMPRODUCT(ABS(TS_Model!$C$90:$C$103-TS_Model!$E$90:$E$103)/TS_Model!$C$90:$C$103)/14*100</f>
        <v>17.9188424910799</v>
      </c>
    </row>
    <row r="41" customFormat="false" ht="15" hidden="false" customHeight="false" outlineLevel="0" collapsed="false">
      <c r="A41" s="36" t="s">
        <v>296</v>
      </c>
      <c r="B41" s="36"/>
      <c r="C41" s="13" t="n">
        <f aca="false">SUMPRODUCT(ABS(TS_Model!$C$90:$C$103-TS_Model!$F$90:$F$103))/14</f>
        <v>767.173469387755</v>
      </c>
      <c r="D41" s="13" t="n">
        <f aca="false">SQRT(SUMPRODUCT((TS_Model!$C$90:$C$103-TS_Model!$F$90:$F$103)^2)/14)</f>
        <v>922.43149737362</v>
      </c>
      <c r="E41" s="35" t="n">
        <f aca="false">SUMPRODUCT(ABS(TS_Model!$C$90:$C$103-TS_Model!$F$90:$F$103)/TS_Model!$C$90:$C$103)/14*100</f>
        <v>27.4234141456618</v>
      </c>
    </row>
    <row r="42" customFormat="false" ht="15" hidden="false" customHeight="false" outlineLevel="0" collapsed="false">
      <c r="A42" s="36" t="s">
        <v>299</v>
      </c>
      <c r="B42" s="36"/>
      <c r="C42" s="13" t="n">
        <f aca="false">SUMPRODUCT(ABS(TS_Model!$C$90:$C$103-TS_Model!$H$90:$H$103))/14</f>
        <v>621.967264393898</v>
      </c>
      <c r="D42" s="13" t="n">
        <f aca="false">SQRT(SUMPRODUCT((TS_Model!$C$90:$C$103-TS_Model!$H$90:$H$103)^2)/14)</f>
        <v>719.356346629277</v>
      </c>
      <c r="E42" s="35" t="n">
        <f aca="false">SUMPRODUCT(ABS(TS_Model!$C$90:$C$103-TS_Model!$H$90:$H$103)/TS_Model!$C$90:$C$103)/14*100</f>
        <v>23.0981265715982</v>
      </c>
    </row>
    <row r="43" customFormat="false" ht="15" hidden="false" customHeight="false" outlineLevel="0" collapsed="false">
      <c r="A43" s="36" t="s">
        <v>302</v>
      </c>
      <c r="B43" s="36"/>
      <c r="C43" s="13" t="n">
        <f aca="false">SUMPRODUCT(ABS(TS_Model!$C$90:$C$103-TS_Model!$K$90:$K$103))/14</f>
        <v>708.773322686531</v>
      </c>
      <c r="D43" s="13" t="n">
        <f aca="false">SQRT(SUMPRODUCT((TS_Model!$C$90:$C$103-TS_Model!$K$90:$K$103)^2)/14)</f>
        <v>879.431326843788</v>
      </c>
      <c r="E43" s="35" t="n">
        <f aca="false">SUMPRODUCT(ABS(TS_Model!$C$90:$C$103-TS_Model!$K$90:$K$103)/TS_Model!$C$90:$C$103)/14*100</f>
        <v>26.9307245302991</v>
      </c>
    </row>
    <row r="44" customFormat="false" ht="15" hidden="false" customHeight="false" outlineLevel="0" collapsed="false">
      <c r="A44" s="36" t="s">
        <v>305</v>
      </c>
      <c r="B44" s="36"/>
      <c r="C44" s="13" t="n">
        <f aca="false">SUMPRODUCT(ABS(TS_Model!$C$90:$C$103-TS_Model!$O$90:$O$103))/14</f>
        <v>709.126453090204</v>
      </c>
      <c r="D44" s="13" t="n">
        <f aca="false">SQRT(SUMPRODUCT((TS_Model!$C$90:$C$103-TS_Model!$O$90:$O$103)^2)/14)</f>
        <v>881.807148150972</v>
      </c>
      <c r="E44" s="35" t="n">
        <f aca="false">SUMPRODUCT(ABS(TS_Model!$C$90:$C$103-TS_Model!$O$90:$O$103)/TS_Model!$C$90:$C$103)/14*100</f>
        <v>26.9277379849659</v>
      </c>
    </row>
    <row r="45" customFormat="false" ht="15" hidden="false" customHeight="false" outlineLevel="0" collapsed="false">
      <c r="A45" s="36" t="s">
        <v>308</v>
      </c>
      <c r="B45" s="36"/>
      <c r="C45" s="13" t="n">
        <f aca="false">SUMPRODUCT(ABS(TS_Model!$C$90:$C$103-TS_Model!$Q$90:$Q$103))/14</f>
        <v>516.025996819106</v>
      </c>
      <c r="D45" s="13" t="n">
        <f aca="false">SQRT(SUMPRODUCT((TS_Model!$C$90:$C$103-TS_Model!$Q$90:$Q$103)^2)/14)</f>
        <v>604.709024659526</v>
      </c>
      <c r="E45" s="35" t="n">
        <f aca="false">SUMPRODUCT(ABS(TS_Model!$C$90:$C$103-TS_Model!$Q$90:$Q$103)/TS_Model!$C$90:$C$103)/14*100</f>
        <v>19.7010524982205</v>
      </c>
    </row>
    <row r="46" customFormat="false" ht="15" hidden="false" customHeight="false" outlineLevel="0" collapsed="false">
      <c r="A46" s="36" t="s">
        <v>311</v>
      </c>
      <c r="B46" s="36"/>
      <c r="C46" s="13" t="n">
        <f aca="false">SUMPRODUCT(ABS(TS_Model!$C$90:$C$103-TS_Model!$R$90:$R$103))/14</f>
        <v>457.841844837169</v>
      </c>
      <c r="D46" s="13" t="n">
        <f aca="false">SQRT(SUMPRODUCT((TS_Model!$C$90:$C$103-TS_Model!$R$90:$R$103)^2)/14)</f>
        <v>539.827791659969</v>
      </c>
      <c r="E46" s="35" t="n">
        <f aca="false">SUMPRODUCT(ABS(TS_Model!$C$90:$C$103-TS_Model!$R$90:$R$103)/TS_Model!$C$90:$C$103)/14*100</f>
        <v>18.4768299255937</v>
      </c>
    </row>
    <row r="48" customFormat="false" ht="27.75" hidden="false" customHeight="true" outlineLevel="0" collapsed="false">
      <c r="A48" s="19" t="s">
        <v>428</v>
      </c>
      <c r="B48" s="19"/>
      <c r="C48" s="19"/>
      <c r="D48" s="19"/>
      <c r="E48" s="19"/>
      <c r="F48" s="19"/>
      <c r="G48" s="19"/>
      <c r="H48" s="19"/>
      <c r="I48" s="19"/>
      <c r="J48" s="19"/>
    </row>
  </sheetData>
  <mergeCells count="24"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4:B34"/>
    <mergeCell ref="C34:E34"/>
    <mergeCell ref="A35:B35"/>
    <mergeCell ref="C35:J35"/>
    <mergeCell ref="A36:J36"/>
    <mergeCell ref="A39:B39"/>
    <mergeCell ref="A40:B40"/>
    <mergeCell ref="A41:B41"/>
    <mergeCell ref="A42:B42"/>
    <mergeCell ref="A43:B43"/>
    <mergeCell ref="A44:B44"/>
    <mergeCell ref="A45:B45"/>
    <mergeCell ref="A46:B46"/>
    <mergeCell ref="A48:J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P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6" min="2" style="0" width="11"/>
  </cols>
  <sheetData>
    <row r="1" customFormat="false" ht="19.7" hidden="false" customHeight="false" outlineLevel="0" collapsed="false">
      <c r="A1" s="1" t="s">
        <v>429</v>
      </c>
    </row>
    <row r="2" customFormat="false" ht="15" hidden="false" customHeight="false" outlineLevel="0" collapsed="false">
      <c r="A2" s="2" t="s">
        <v>430</v>
      </c>
    </row>
    <row r="4" customFormat="false" ht="30" hidden="false" customHeight="true" outlineLevel="0" collapsed="false">
      <c r="A4" s="36" t="s">
        <v>287</v>
      </c>
      <c r="B4" s="60" t="str">
        <f aca="false">TS_Eval!$C$34</f>
        <v>Holt-Winters (add)</v>
      </c>
      <c r="C4" s="60"/>
      <c r="D4" s="60"/>
      <c r="E4" s="19" t="s">
        <v>431</v>
      </c>
      <c r="F4" s="19"/>
      <c r="G4" s="19"/>
      <c r="H4" s="19"/>
      <c r="I4" s="19"/>
      <c r="J4" s="19"/>
      <c r="K4" s="19"/>
      <c r="L4" s="19"/>
      <c r="M4" s="19"/>
    </row>
    <row r="6" customFormat="false" ht="43.5" hidden="false" customHeight="true" outlineLevel="0" collapsed="false">
      <c r="A6" s="10" t="s">
        <v>411</v>
      </c>
      <c r="B6" s="10" t="s">
        <v>24</v>
      </c>
      <c r="C6" s="10" t="s">
        <v>290</v>
      </c>
      <c r="D6" s="10" t="s">
        <v>293</v>
      </c>
      <c r="E6" s="10" t="s">
        <v>296</v>
      </c>
      <c r="F6" s="10" t="s">
        <v>299</v>
      </c>
      <c r="G6" s="10" t="s">
        <v>302</v>
      </c>
      <c r="H6" s="10" t="s">
        <v>305</v>
      </c>
      <c r="I6" s="10" t="s">
        <v>308</v>
      </c>
      <c r="J6" s="10" t="s">
        <v>311</v>
      </c>
      <c r="K6" s="10" t="s">
        <v>314</v>
      </c>
      <c r="L6" s="10" t="s">
        <v>432</v>
      </c>
      <c r="M6" s="10" t="s">
        <v>433</v>
      </c>
      <c r="N6" s="10" t="s">
        <v>434</v>
      </c>
      <c r="O6" s="10" t="s">
        <v>435</v>
      </c>
      <c r="P6" s="10" t="s">
        <v>413</v>
      </c>
    </row>
    <row r="7" customFormat="false" ht="15" hidden="false" customHeight="false" outlineLevel="0" collapsed="false">
      <c r="A7" s="15" t="n">
        <v>1</v>
      </c>
      <c r="B7" s="11" t="n">
        <f aca="false">Daily!$A$103+A7</f>
        <v>43986</v>
      </c>
      <c r="C7" s="13" t="n">
        <f aca="false">TS_Model!$C$103</f>
        <v>4677</v>
      </c>
      <c r="D7" s="13" t="n">
        <f aca="false">INDEX(TS_Model!$C$97:$C$103,MOD($A7-1,7)+1)</f>
        <v>2562</v>
      </c>
      <c r="E7" s="13" t="n">
        <f aca="false">AVERAGE(TS_Model!$C$97:$C$103)</f>
        <v>3374</v>
      </c>
      <c r="F7" s="13" t="n">
        <f aca="false">TS_Model!$G$103</f>
        <v>3891.4777936553</v>
      </c>
      <c r="G7" s="13" t="n">
        <f aca="false">TS_Model!$I$103+$A7*TS_Model!$J$103</f>
        <v>3179.62586563332</v>
      </c>
      <c r="H7" s="13" t="n">
        <f aca="false">TS_Model!$L$103+$A7*TS_Model!$M$103+INDEX(TS_Model!$N$97:$N$103,MOD($A7-1,7)+1)</f>
        <v>3169.36434716125</v>
      </c>
      <c r="I7" s="13" t="n">
        <f aca="false">TS_Setup!$B$34+TS_Setup!$B$33*TS_Model!$C$103</f>
        <v>4258.48021129582</v>
      </c>
      <c r="J7" s="13" t="n">
        <f aca="false">TS_Model!$C$103+P7</f>
        <v>4512.1394426791</v>
      </c>
      <c r="K7" s="13" t="n">
        <f aca="false">_xlfn.FORECAST.ETS(B7,TS_Model!$C$5:$C$103,TS_Model!$A$5:$A$103,7)</f>
        <v>4696.9499995516</v>
      </c>
      <c r="L7" s="61" t="n">
        <f aca="false">INDEX(C7:K7,MATCH($B$4,$C$6:$K$6,0))</f>
        <v>3169.36434716125</v>
      </c>
      <c r="M7" s="13" t="n">
        <f aca="false">IF($B$4="Excel ETS",_xlfn.FORECAST.ETS.CONFINT(B7,TS_Model!$C$5:$C$103,TS_Model!$A$5:$A$103,0.95,7),1.96*INDEX(TS_Eval!$J$24:$J$32,MATCH($B$4,TS_Eval!$A$24:$A$32,0))*SQRT($A7))</f>
        <v>494.012294283409</v>
      </c>
      <c r="N7" s="13" t="n">
        <f aca="false">MAX(0,L7-M7)</f>
        <v>2675.35205287784</v>
      </c>
      <c r="O7" s="13" t="n">
        <f aca="false">L7+M7</f>
        <v>3663.37664144466</v>
      </c>
      <c r="P7" s="16" t="n">
        <f aca="false">TS_Setup!$B$37+TS_Setup!$B$36*TS_Model!$P$103</f>
        <v>-164.8605573209</v>
      </c>
    </row>
    <row r="8" customFormat="false" ht="15" hidden="false" customHeight="false" outlineLevel="0" collapsed="false">
      <c r="A8" s="15" t="n">
        <v>2</v>
      </c>
      <c r="B8" s="11" t="n">
        <f aca="false">Daily!$A$103+A8</f>
        <v>43987</v>
      </c>
      <c r="C8" s="13" t="n">
        <f aca="false">TS_Model!$C$103</f>
        <v>4677</v>
      </c>
      <c r="D8" s="13" t="n">
        <f aca="false">INDEX(TS_Model!$C$97:$C$103,MOD($A8-1,7)+1)</f>
        <v>2426</v>
      </c>
      <c r="E8" s="13" t="n">
        <f aca="false">AVERAGE(TS_Model!$C$97:$C$103)</f>
        <v>3374</v>
      </c>
      <c r="F8" s="13" t="n">
        <f aca="false">TS_Model!$G$103</f>
        <v>3891.4777936553</v>
      </c>
      <c r="G8" s="13" t="n">
        <f aca="false">TS_Model!$I$103+$A8*TS_Model!$J$103</f>
        <v>3311.25919202152</v>
      </c>
      <c r="H8" s="13" t="n">
        <f aca="false">TS_Model!$L$103+$A8*TS_Model!$M$103+INDEX(TS_Model!$N$97:$N$103,MOD($A8-1,7)+1)</f>
        <v>3291.14491858911</v>
      </c>
      <c r="I8" s="13" t="n">
        <f aca="false">TS_Setup!$B$34+TS_Setup!$B$33*I7</f>
        <v>3884.82446673542</v>
      </c>
      <c r="J8" s="13" t="n">
        <f aca="false">J7+P8</f>
        <v>4624.10463694136</v>
      </c>
      <c r="K8" s="13" t="n">
        <f aca="false">_xlfn.FORECAST.ETS(B8,TS_Model!$C$5:$C$103,TS_Model!$A$5:$A$103,7)</f>
        <v>4942.7480672324</v>
      </c>
      <c r="L8" s="61" t="n">
        <f aca="false">INDEX(C8:K8,MATCH($B$4,$C$6:$K$6,0))</f>
        <v>3291.14491858911</v>
      </c>
      <c r="M8" s="13" t="n">
        <f aca="false">IF($B$4="Excel ETS",_xlfn.FORECAST.ETS.CONFINT(B8,TS_Model!$C$5:$C$103,TS_Model!$A$5:$A$103,0.95,7),1.96*INDEX(TS_Eval!$J$24:$J$32,MATCH($B$4,TS_Eval!$A$24:$A$32,0))*SQRT($A8))</f>
        <v>698.638886554645</v>
      </c>
      <c r="N8" s="13" t="n">
        <f aca="false">MAX(0,L8-M8)</f>
        <v>2592.50603203447</v>
      </c>
      <c r="O8" s="13" t="n">
        <f aca="false">L8+M8</f>
        <v>3989.78380514376</v>
      </c>
      <c r="P8" s="16" t="n">
        <f aca="false">TS_Setup!$B$37+TS_Setup!$B$36*P7</f>
        <v>111.965194262259</v>
      </c>
    </row>
    <row r="9" customFormat="false" ht="15" hidden="false" customHeight="false" outlineLevel="0" collapsed="false">
      <c r="A9" s="15" t="n">
        <v>3</v>
      </c>
      <c r="B9" s="11" t="n">
        <f aca="false">Daily!$A$103+A9</f>
        <v>43988</v>
      </c>
      <c r="C9" s="13" t="n">
        <f aca="false">TS_Model!$C$103</f>
        <v>4677</v>
      </c>
      <c r="D9" s="13" t="n">
        <f aca="false">INDEX(TS_Model!$C$97:$C$103,MOD($A9-1,7)+1)</f>
        <v>2956</v>
      </c>
      <c r="E9" s="13" t="n">
        <f aca="false">AVERAGE(TS_Model!$C$97:$C$103)</f>
        <v>3374</v>
      </c>
      <c r="F9" s="13" t="n">
        <f aca="false">TS_Model!$G$103</f>
        <v>3891.4777936553</v>
      </c>
      <c r="G9" s="13" t="n">
        <f aca="false">TS_Model!$I$103+$A9*TS_Model!$J$103</f>
        <v>3442.89251840973</v>
      </c>
      <c r="H9" s="13" t="n">
        <f aca="false">TS_Model!$L$103+$A9*TS_Model!$M$103+INDEX(TS_Model!$N$97:$N$103,MOD($A9-1,7)+1)</f>
        <v>3436.06292679099</v>
      </c>
      <c r="I9" s="13" t="n">
        <f aca="false">TS_Setup!$B$34+TS_Setup!$B$33*I8</f>
        <v>3551.2234776991</v>
      </c>
      <c r="J9" s="13" t="n">
        <f aca="false">J8+P9</f>
        <v>4608.31931351358</v>
      </c>
      <c r="K9" s="13" t="n">
        <f aca="false">_xlfn.FORECAST.ETS(B9,TS_Model!$C$5:$C$103,TS_Model!$A$5:$A$103,7)</f>
        <v>5190.54613491321</v>
      </c>
      <c r="L9" s="61" t="n">
        <f aca="false">INDEX(C9:K9,MATCH($B$4,$C$6:$K$6,0))</f>
        <v>3436.06292679099</v>
      </c>
      <c r="M9" s="13" t="n">
        <f aca="false">IF($B$4="Excel ETS",_xlfn.FORECAST.ETS.CONFINT(B9,TS_Model!$C$5:$C$103,TS_Model!$A$5:$A$103,0.95,7),1.96*INDEX(TS_Eval!$J$24:$J$32,MATCH($B$4,TS_Eval!$A$24:$A$32,0))*SQRT($A9))</f>
        <v>855.654393262532</v>
      </c>
      <c r="N9" s="13" t="n">
        <f aca="false">MAX(0,L9-M9)</f>
        <v>2580.40853352846</v>
      </c>
      <c r="O9" s="13" t="n">
        <f aca="false">L9+M9</f>
        <v>4291.71732005352</v>
      </c>
      <c r="P9" s="16" t="n">
        <f aca="false">TS_Setup!$B$37+TS_Setup!$B$36*P8</f>
        <v>-15.7853234277807</v>
      </c>
    </row>
    <row r="10" customFormat="false" ht="15" hidden="false" customHeight="false" outlineLevel="0" collapsed="false">
      <c r="A10" s="15" t="n">
        <v>4</v>
      </c>
      <c r="B10" s="11" t="n">
        <f aca="false">Daily!$A$103+A10</f>
        <v>43989</v>
      </c>
      <c r="C10" s="13" t="n">
        <f aca="false">TS_Model!$C$103</f>
        <v>4677</v>
      </c>
      <c r="D10" s="13" t="n">
        <f aca="false">INDEX(TS_Model!$C$97:$C$103,MOD($A10-1,7)+1)</f>
        <v>2883</v>
      </c>
      <c r="E10" s="13" t="n">
        <f aca="false">AVERAGE(TS_Model!$C$97:$C$103)</f>
        <v>3374</v>
      </c>
      <c r="F10" s="13" t="n">
        <f aca="false">TS_Model!$G$103</f>
        <v>3891.4777936553</v>
      </c>
      <c r="G10" s="13" t="n">
        <f aca="false">TS_Model!$I$103+$A10*TS_Model!$J$103</f>
        <v>3574.52584479794</v>
      </c>
      <c r="H10" s="13" t="n">
        <f aca="false">TS_Model!$L$103+$A10*TS_Model!$M$103+INDEX(TS_Model!$N$97:$N$103,MOD($A10-1,7)+1)</f>
        <v>3554.20083295549</v>
      </c>
      <c r="I10" s="13" t="n">
        <f aca="false">TS_Setup!$B$34+TS_Setup!$B$33*I9</f>
        <v>3253.38349663058</v>
      </c>
      <c r="J10" s="13" t="n">
        <f aca="false">J9+P10</f>
        <v>4651.48874655892</v>
      </c>
      <c r="K10" s="13" t="n">
        <f aca="false">_xlfn.FORECAST.ETS(B10,TS_Model!$C$5:$C$103,TS_Model!$A$5:$A$103,7)</f>
        <v>5434.34420259402</v>
      </c>
      <c r="L10" s="61" t="n">
        <f aca="false">INDEX(C10:K10,MATCH($B$4,$C$6:$K$6,0))</f>
        <v>3554.20083295549</v>
      </c>
      <c r="M10" s="13" t="n">
        <f aca="false">IF($B$4="Excel ETS",_xlfn.FORECAST.ETS.CONFINT(B10,TS_Model!$C$5:$C$103,TS_Model!$A$5:$A$103,0.95,7),1.96*INDEX(TS_Eval!$J$24:$J$32,MATCH($B$4,TS_Eval!$A$24:$A$32,0))*SQRT($A10))</f>
        <v>988.024588566817</v>
      </c>
      <c r="N10" s="13" t="n">
        <f aca="false">MAX(0,L10-M10)</f>
        <v>2566.17624438868</v>
      </c>
      <c r="O10" s="13" t="n">
        <f aca="false">L10+M10</f>
        <v>4542.22542152231</v>
      </c>
      <c r="P10" s="16" t="n">
        <f aca="false">TS_Setup!$B$37+TS_Setup!$B$36*P9</f>
        <v>43.1694330453382</v>
      </c>
    </row>
    <row r="11" customFormat="false" ht="15" hidden="false" customHeight="false" outlineLevel="0" collapsed="false">
      <c r="A11" s="15" t="n">
        <v>5</v>
      </c>
      <c r="B11" s="11" t="n">
        <f aca="false">Daily!$A$103+A11</f>
        <v>43990</v>
      </c>
      <c r="C11" s="13" t="n">
        <f aca="false">TS_Model!$C$103</f>
        <v>4677</v>
      </c>
      <c r="D11" s="13" t="n">
        <f aca="false">INDEX(TS_Model!$C$97:$C$103,MOD($A11-1,7)+1)</f>
        <v>3872</v>
      </c>
      <c r="E11" s="13" t="n">
        <f aca="false">AVERAGE(TS_Model!$C$97:$C$103)</f>
        <v>3374</v>
      </c>
      <c r="F11" s="13" t="n">
        <f aca="false">TS_Model!$G$103</f>
        <v>3891.4777936553</v>
      </c>
      <c r="G11" s="13" t="n">
        <f aca="false">TS_Model!$I$103+$A11*TS_Model!$J$103</f>
        <v>3706.15917118615</v>
      </c>
      <c r="H11" s="13" t="n">
        <f aca="false">TS_Model!$L$103+$A11*TS_Model!$M$103+INDEX(TS_Model!$N$97:$N$103,MOD($A11-1,7)+1)</f>
        <v>3682.93353597248</v>
      </c>
      <c r="I11" s="13" t="n">
        <f aca="false">TS_Setup!$B$34+TS_Setup!$B$33*I10</f>
        <v>2987.47105260832</v>
      </c>
      <c r="J11" s="13" t="n">
        <f aca="false">J10+P11</f>
        <v>4667.45153204109</v>
      </c>
      <c r="K11" s="13" t="n">
        <f aca="false">_xlfn.FORECAST.ETS(B11,TS_Model!$C$5:$C$103,TS_Model!$A$5:$A$103,7)</f>
        <v>5681.14227027482</v>
      </c>
      <c r="L11" s="61" t="n">
        <f aca="false">INDEX(C11:K11,MATCH($B$4,$C$6:$K$6,0))</f>
        <v>3682.93353597248</v>
      </c>
      <c r="M11" s="13" t="n">
        <f aca="false">IF($B$4="Excel ETS",_xlfn.FORECAST.ETS.CONFINT(B11,TS_Model!$C$5:$C$103,TS_Model!$A$5:$A$103,0.95,7),1.96*INDEX(TS_Eval!$J$24:$J$32,MATCH($B$4,TS_Eval!$A$24:$A$32,0))*SQRT($A11))</f>
        <v>1104.64507173833</v>
      </c>
      <c r="N11" s="13" t="n">
        <f aca="false">MAX(0,L11-M11)</f>
        <v>2578.28846423415</v>
      </c>
      <c r="O11" s="13" t="n">
        <f aca="false">L11+M11</f>
        <v>4787.57860771081</v>
      </c>
      <c r="P11" s="16" t="n">
        <f aca="false">TS_Setup!$B$37+TS_Setup!$B$36*P10</f>
        <v>15.9627854821736</v>
      </c>
    </row>
    <row r="12" customFormat="false" ht="15" hidden="false" customHeight="false" outlineLevel="0" collapsed="false">
      <c r="A12" s="15" t="n">
        <v>6</v>
      </c>
      <c r="B12" s="11" t="n">
        <f aca="false">Daily!$A$103+A12</f>
        <v>43991</v>
      </c>
      <c r="C12" s="13" t="n">
        <f aca="false">TS_Model!$C$103</f>
        <v>4677</v>
      </c>
      <c r="D12" s="13" t="n">
        <f aca="false">INDEX(TS_Model!$C$97:$C$103,MOD($A12-1,7)+1)</f>
        <v>4242</v>
      </c>
      <c r="E12" s="13" t="n">
        <f aca="false">AVERAGE(TS_Model!$C$97:$C$103)</f>
        <v>3374</v>
      </c>
      <c r="F12" s="13" t="n">
        <f aca="false">TS_Model!$G$103</f>
        <v>3891.4777936553</v>
      </c>
      <c r="G12" s="13" t="n">
        <f aca="false">TS_Model!$I$103+$A12*TS_Model!$J$103</f>
        <v>3837.79249757436</v>
      </c>
      <c r="H12" s="13" t="n">
        <f aca="false">TS_Model!$L$103+$A12*TS_Model!$M$103+INDEX(TS_Model!$N$97:$N$103,MOD($A12-1,7)+1)</f>
        <v>3826.33182660054</v>
      </c>
      <c r="I12" s="13" t="n">
        <f aca="false">TS_Setup!$B$34+TS_Setup!$B$33*I11</f>
        <v>2750.06361109485</v>
      </c>
      <c r="J12" s="13" t="n">
        <f aca="false">J11+P12</f>
        <v>4695.96973655826</v>
      </c>
      <c r="K12" s="13" t="n">
        <f aca="false">_xlfn.FORECAST.ETS(B12,TS_Model!$C$5:$C$103,TS_Model!$A$5:$A$103,7)</f>
        <v>5925.94033795563</v>
      </c>
      <c r="L12" s="61" t="n">
        <f aca="false">INDEX(C12:K12,MATCH($B$4,$C$6:$K$6,0))</f>
        <v>3826.33182660054</v>
      </c>
      <c r="M12" s="13" t="n">
        <f aca="false">IF($B$4="Excel ETS",_xlfn.FORECAST.ETS.CONFINT(B12,TS_Model!$C$5:$C$103,TS_Model!$A$5:$A$103,0.95,7),1.96*INDEX(TS_Eval!$J$24:$J$32,MATCH($B$4,TS_Eval!$A$24:$A$32,0))*SQRT($A12))</f>
        <v>1210.07804765599</v>
      </c>
      <c r="N12" s="13" t="n">
        <f aca="false">MAX(0,L12-M12)</f>
        <v>2616.25377894454</v>
      </c>
      <c r="O12" s="13" t="n">
        <f aca="false">L12+M12</f>
        <v>5036.40987425653</v>
      </c>
      <c r="P12" s="16" t="n">
        <f aca="false">TS_Setup!$B$37+TS_Setup!$B$36*P11</f>
        <v>28.5182045171713</v>
      </c>
    </row>
    <row r="13" customFormat="false" ht="15" hidden="false" customHeight="false" outlineLevel="0" collapsed="false">
      <c r="A13" s="15" t="n">
        <v>7</v>
      </c>
      <c r="B13" s="11" t="n">
        <f aca="false">Daily!$A$103+A13</f>
        <v>43992</v>
      </c>
      <c r="C13" s="13" t="n">
        <f aca="false">TS_Model!$C$103</f>
        <v>4677</v>
      </c>
      <c r="D13" s="13" t="n">
        <f aca="false">INDEX(TS_Model!$C$97:$C$103,MOD($A13-1,7)+1)</f>
        <v>4677</v>
      </c>
      <c r="E13" s="13" t="n">
        <f aca="false">AVERAGE(TS_Model!$C$97:$C$103)</f>
        <v>3374</v>
      </c>
      <c r="F13" s="13" t="n">
        <f aca="false">TS_Model!$G$103</f>
        <v>3891.4777936553</v>
      </c>
      <c r="G13" s="13" t="n">
        <f aca="false">TS_Model!$I$103+$A13*TS_Model!$J$103</f>
        <v>3969.42582396257</v>
      </c>
      <c r="H13" s="13" t="n">
        <f aca="false">TS_Model!$L$103+$A13*TS_Model!$M$103+INDEX(TS_Model!$N$97:$N$103,MOD($A13-1,7)+1)</f>
        <v>3969.01396011258</v>
      </c>
      <c r="I13" s="13" t="n">
        <f aca="false">TS_Setup!$B$34+TS_Setup!$B$33*I12</f>
        <v>2538.10552281054</v>
      </c>
      <c r="J13" s="13" t="n">
        <f aca="false">J12+P13</f>
        <v>4718.69382231169</v>
      </c>
      <c r="K13" s="13" t="n">
        <f aca="false">_xlfn.FORECAST.ETS(B13,TS_Model!$C$5:$C$103,TS_Model!$A$5:$A$103,7)</f>
        <v>6171.73840563644</v>
      </c>
      <c r="L13" s="61" t="n">
        <f aca="false">INDEX(C13:K13,MATCH($B$4,$C$6:$K$6,0))</f>
        <v>3969.01396011258</v>
      </c>
      <c r="M13" s="13" t="n">
        <f aca="false">IF($B$4="Excel ETS",_xlfn.FORECAST.ETS.CONFINT(B13,TS_Model!$C$5:$C$103,TS_Model!$A$5:$A$103,0.95,7),1.96*INDEX(TS_Eval!$J$24:$J$32,MATCH($B$4,TS_Eval!$A$24:$A$32,0))*SQRT($A13))</f>
        <v>1307.03367528236</v>
      </c>
      <c r="N13" s="13" t="n">
        <f aca="false">MAX(0,L13-M13)</f>
        <v>2661.98028483022</v>
      </c>
      <c r="O13" s="13" t="n">
        <f aca="false">L13+M13</f>
        <v>5276.04763539493</v>
      </c>
      <c r="P13" s="16" t="n">
        <f aca="false">TS_Setup!$B$37+TS_Setup!$B$36*P12</f>
        <v>22.7240857534243</v>
      </c>
    </row>
    <row r="14" customFormat="false" ht="15" hidden="false" customHeight="false" outlineLevel="0" collapsed="false">
      <c r="A14" s="15" t="n">
        <v>8</v>
      </c>
      <c r="B14" s="11" t="n">
        <f aca="false">Daily!$A$103+A14</f>
        <v>43993</v>
      </c>
      <c r="C14" s="13" t="n">
        <f aca="false">TS_Model!$C$103</f>
        <v>4677</v>
      </c>
      <c r="D14" s="13" t="n">
        <f aca="false">INDEX(TS_Model!$C$97:$C$103,MOD($A14-1,7)+1)</f>
        <v>2562</v>
      </c>
      <c r="E14" s="13" t="n">
        <f aca="false">AVERAGE(TS_Model!$C$97:$C$103)</f>
        <v>3374</v>
      </c>
      <c r="F14" s="13" t="n">
        <f aca="false">TS_Model!$G$103</f>
        <v>3891.4777936553</v>
      </c>
      <c r="G14" s="13" t="n">
        <f aca="false">TS_Model!$I$103+$A14*TS_Model!$J$103</f>
        <v>4101.05915035078</v>
      </c>
      <c r="H14" s="13" t="n">
        <f aca="false">TS_Model!$L$103+$A14*TS_Model!$M$103+INDEX(TS_Model!$N$97:$N$103,MOD($A14-1,7)+1)</f>
        <v>4080.42663904111</v>
      </c>
      <c r="I14" s="13" t="n">
        <f aca="false">TS_Setup!$B$34+TS_Setup!$B$33*I13</f>
        <v>2348.86869475352</v>
      </c>
      <c r="J14" s="13" t="n">
        <f aca="false">J13+P14</f>
        <v>4744.0917982917</v>
      </c>
      <c r="K14" s="13" t="n">
        <f aca="false">_xlfn.FORECAST.ETS(B14,TS_Model!$C$5:$C$103,TS_Model!$A$5:$A$103,7)</f>
        <v>6418.53647331724</v>
      </c>
      <c r="L14" s="61" t="n">
        <f aca="false">INDEX(C14:K14,MATCH($B$4,$C$6:$K$6,0))</f>
        <v>4080.42663904111</v>
      </c>
      <c r="M14" s="13" t="n">
        <f aca="false">IF($B$4="Excel ETS",_xlfn.FORECAST.ETS.CONFINT(B14,TS_Model!$C$5:$C$103,TS_Model!$A$5:$A$103,0.95,7),1.96*INDEX(TS_Eval!$J$24:$J$32,MATCH($B$4,TS_Eval!$A$24:$A$32,0))*SQRT($A14))</f>
        <v>1397.27777310929</v>
      </c>
      <c r="N14" s="13" t="n">
        <f aca="false">MAX(0,L14-M14)</f>
        <v>2683.14886593182</v>
      </c>
      <c r="O14" s="13" t="n">
        <f aca="false">L14+M14</f>
        <v>5477.70441215041</v>
      </c>
      <c r="P14" s="16" t="n">
        <f aca="false">TS_Setup!$B$37+TS_Setup!$B$36*P13</f>
        <v>25.3979759800129</v>
      </c>
    </row>
    <row r="15" customFormat="false" ht="15" hidden="false" customHeight="false" outlineLevel="0" collapsed="false">
      <c r="A15" s="15" t="n">
        <v>9</v>
      </c>
      <c r="B15" s="11" t="n">
        <f aca="false">Daily!$A$103+A15</f>
        <v>43994</v>
      </c>
      <c r="C15" s="13" t="n">
        <f aca="false">TS_Model!$C$103</f>
        <v>4677</v>
      </c>
      <c r="D15" s="13" t="n">
        <f aca="false">INDEX(TS_Model!$C$97:$C$103,MOD($A15-1,7)+1)</f>
        <v>2426</v>
      </c>
      <c r="E15" s="13" t="n">
        <f aca="false">AVERAGE(TS_Model!$C$97:$C$103)</f>
        <v>3374</v>
      </c>
      <c r="F15" s="13" t="n">
        <f aca="false">TS_Model!$G$103</f>
        <v>3891.4777936553</v>
      </c>
      <c r="G15" s="13" t="n">
        <f aca="false">TS_Model!$I$103+$A15*TS_Model!$J$103</f>
        <v>4232.69247673899</v>
      </c>
      <c r="H15" s="13" t="n">
        <f aca="false">TS_Model!$L$103+$A15*TS_Model!$M$103+INDEX(TS_Model!$N$97:$N$103,MOD($A15-1,7)+1)</f>
        <v>4202.20721046897</v>
      </c>
      <c r="I15" s="13" t="n">
        <f aca="false">TS_Setup!$B$34+TS_Setup!$B$33*I14</f>
        <v>2179.91747716636</v>
      </c>
      <c r="J15" s="13" t="n">
        <f aca="false">J14+P15</f>
        <v>4768.25581804207</v>
      </c>
      <c r="K15" s="13" t="n">
        <f aca="false">_xlfn.FORECAST.ETS(B15,TS_Model!$C$5:$C$103,TS_Model!$A$5:$A$103,7)</f>
        <v>6664.33454099805</v>
      </c>
      <c r="L15" s="61" t="n">
        <f aca="false">INDEX(C15:K15,MATCH($B$4,$C$6:$K$6,0))</f>
        <v>4202.20721046897</v>
      </c>
      <c r="M15" s="13" t="n">
        <f aca="false">IF($B$4="Excel ETS",_xlfn.FORECAST.ETS.CONFINT(B15,TS_Model!$C$5:$C$103,TS_Model!$A$5:$A$103,0.95,7),1.96*INDEX(TS_Eval!$J$24:$J$32,MATCH($B$4,TS_Eval!$A$24:$A$32,0))*SQRT($A15))</f>
        <v>1482.03688285023</v>
      </c>
      <c r="N15" s="13" t="n">
        <f aca="false">MAX(0,L15-M15)</f>
        <v>2720.17032761875</v>
      </c>
      <c r="O15" s="13" t="n">
        <f aca="false">L15+M15</f>
        <v>5684.2440933192</v>
      </c>
      <c r="P15" s="16" t="n">
        <f aca="false">TS_Setup!$B$37+TS_Setup!$B$36*P14</f>
        <v>24.1640197503649</v>
      </c>
    </row>
    <row r="16" customFormat="false" ht="15" hidden="false" customHeight="false" outlineLevel="0" collapsed="false">
      <c r="A16" s="15" t="n">
        <v>10</v>
      </c>
      <c r="B16" s="11" t="n">
        <f aca="false">Daily!$A$103+A16</f>
        <v>43995</v>
      </c>
      <c r="C16" s="13" t="n">
        <f aca="false">TS_Model!$C$103</f>
        <v>4677</v>
      </c>
      <c r="D16" s="13" t="n">
        <f aca="false">INDEX(TS_Model!$C$97:$C$103,MOD($A16-1,7)+1)</f>
        <v>2956</v>
      </c>
      <c r="E16" s="13" t="n">
        <f aca="false">AVERAGE(TS_Model!$C$97:$C$103)</f>
        <v>3374</v>
      </c>
      <c r="F16" s="13" t="n">
        <f aca="false">TS_Model!$G$103</f>
        <v>3891.4777936553</v>
      </c>
      <c r="G16" s="13" t="n">
        <f aca="false">TS_Model!$I$103+$A16*TS_Model!$J$103</f>
        <v>4364.3258031272</v>
      </c>
      <c r="H16" s="13" t="n">
        <f aca="false">TS_Model!$L$103+$A16*TS_Model!$M$103+INDEX(TS_Model!$N$97:$N$103,MOD($A16-1,7)+1)</f>
        <v>4347.12521867085</v>
      </c>
      <c r="I16" s="13" t="n">
        <f aca="false">TS_Setup!$B$34+TS_Setup!$B$33*I15</f>
        <v>2029.07731451269</v>
      </c>
      <c r="J16" s="13" t="n">
        <f aca="false">J15+P16</f>
        <v>4792.98928823641</v>
      </c>
      <c r="K16" s="13" t="n">
        <f aca="false">_xlfn.FORECAST.ETS(B16,TS_Model!$C$5:$C$103,TS_Model!$A$5:$A$103,7)</f>
        <v>6912.13260867886</v>
      </c>
      <c r="L16" s="61" t="n">
        <f aca="false">INDEX(C16:K16,MATCH($B$4,$C$6:$K$6,0))</f>
        <v>4347.12521867085</v>
      </c>
      <c r="M16" s="13" t="n">
        <f aca="false">IF($B$4="Excel ETS",_xlfn.FORECAST.ETS.CONFINT(B16,TS_Model!$C$5:$C$103,TS_Model!$A$5:$A$103,0.95,7),1.96*INDEX(TS_Eval!$J$24:$J$32,MATCH($B$4,TS_Eval!$A$24:$A$32,0))*SQRT($A16))</f>
        <v>1562.20404206095</v>
      </c>
      <c r="N16" s="13" t="n">
        <f aca="false">MAX(0,L16-M16)</f>
        <v>2784.9211766099</v>
      </c>
      <c r="O16" s="13" t="n">
        <f aca="false">L16+M16</f>
        <v>5909.3292607318</v>
      </c>
      <c r="P16" s="16" t="n">
        <f aca="false">TS_Setup!$B$37+TS_Setup!$B$36*P15</f>
        <v>24.7334701943458</v>
      </c>
    </row>
    <row r="17" customFormat="false" ht="15" hidden="false" customHeight="false" outlineLevel="0" collapsed="false">
      <c r="A17" s="15" t="n">
        <v>11</v>
      </c>
      <c r="B17" s="11" t="n">
        <f aca="false">Daily!$A$103+A17</f>
        <v>43996</v>
      </c>
      <c r="C17" s="13" t="n">
        <f aca="false">TS_Model!$C$103</f>
        <v>4677</v>
      </c>
      <c r="D17" s="13" t="n">
        <f aca="false">INDEX(TS_Model!$C$97:$C$103,MOD($A17-1,7)+1)</f>
        <v>2883</v>
      </c>
      <c r="E17" s="13" t="n">
        <f aca="false">AVERAGE(TS_Model!$C$97:$C$103)</f>
        <v>3374</v>
      </c>
      <c r="F17" s="13" t="n">
        <f aca="false">TS_Model!$G$103</f>
        <v>3891.4777936553</v>
      </c>
      <c r="G17" s="13" t="n">
        <f aca="false">TS_Model!$I$103+$A17*TS_Model!$J$103</f>
        <v>4495.95912951541</v>
      </c>
      <c r="H17" s="13" t="n">
        <f aca="false">TS_Model!$L$103+$A17*TS_Model!$M$103+INDEX(TS_Model!$N$97:$N$103,MOD($A17-1,7)+1)</f>
        <v>4465.26312483536</v>
      </c>
      <c r="I17" s="13" t="n">
        <f aca="false">TS_Setup!$B$34+TS_Setup!$B$33*I16</f>
        <v>1894.40675697351</v>
      </c>
      <c r="J17" s="13" t="n">
        <f aca="false">J16+P17</f>
        <v>4817.45996644482</v>
      </c>
      <c r="K17" s="13" t="n">
        <f aca="false">_xlfn.FORECAST.ETS(B17,TS_Model!$C$5:$C$103,TS_Model!$A$5:$A$103,7)</f>
        <v>7155.93067635966</v>
      </c>
      <c r="L17" s="61" t="n">
        <f aca="false">INDEX(C17:K17,MATCH($B$4,$C$6:$K$6,0))</f>
        <v>4465.26312483536</v>
      </c>
      <c r="M17" s="13" t="n">
        <f aca="false">IF($B$4="Excel ETS",_xlfn.FORECAST.ETS.CONFINT(B17,TS_Model!$C$5:$C$103,TS_Model!$A$5:$A$103,0.95,7),1.96*INDEX(TS_Eval!$J$24:$J$32,MATCH($B$4,TS_Eval!$A$24:$A$32,0))*SQRT($A17))</f>
        <v>1638.4534219607</v>
      </c>
      <c r="N17" s="13" t="n">
        <f aca="false">MAX(0,L17-M17)</f>
        <v>2826.80970287466</v>
      </c>
      <c r="O17" s="13" t="n">
        <f aca="false">L17+M17</f>
        <v>6103.71654679606</v>
      </c>
      <c r="P17" s="16" t="n">
        <f aca="false">TS_Setup!$B$37+TS_Setup!$B$36*P16</f>
        <v>24.4706782084076</v>
      </c>
    </row>
    <row r="18" customFormat="false" ht="15" hidden="false" customHeight="false" outlineLevel="0" collapsed="false">
      <c r="A18" s="15" t="n">
        <v>12</v>
      </c>
      <c r="B18" s="11" t="n">
        <f aca="false">Daily!$A$103+A18</f>
        <v>43997</v>
      </c>
      <c r="C18" s="13" t="n">
        <f aca="false">TS_Model!$C$103</f>
        <v>4677</v>
      </c>
      <c r="D18" s="13" t="n">
        <f aca="false">INDEX(TS_Model!$C$97:$C$103,MOD($A18-1,7)+1)</f>
        <v>3872</v>
      </c>
      <c r="E18" s="13" t="n">
        <f aca="false">AVERAGE(TS_Model!$C$97:$C$103)</f>
        <v>3374</v>
      </c>
      <c r="F18" s="13" t="n">
        <f aca="false">TS_Model!$G$103</f>
        <v>3891.4777936553</v>
      </c>
      <c r="G18" s="13" t="n">
        <f aca="false">TS_Model!$I$103+$A18*TS_Model!$J$103</f>
        <v>4627.59245590362</v>
      </c>
      <c r="H18" s="13" t="n">
        <f aca="false">TS_Model!$L$103+$A18*TS_Model!$M$103+INDEX(TS_Model!$N$97:$N$103,MOD($A18-1,7)+1)</f>
        <v>4593.99582785234</v>
      </c>
      <c r="I18" s="13" t="n">
        <f aca="false">TS_Setup!$B$34+TS_Setup!$B$33*I17</f>
        <v>1774.17247222568</v>
      </c>
      <c r="J18" s="13" t="n">
        <f aca="false">J17+P18</f>
        <v>4842.05191881958</v>
      </c>
      <c r="K18" s="13" t="n">
        <f aca="false">_xlfn.FORECAST.ETS(B18,TS_Model!$C$5:$C$103,TS_Model!$A$5:$A$103,7)</f>
        <v>7402.72874404047</v>
      </c>
      <c r="L18" s="61" t="n">
        <f aca="false">INDEX(C18:K18,MATCH($B$4,$C$6:$K$6,0))</f>
        <v>4593.99582785234</v>
      </c>
      <c r="M18" s="13" t="n">
        <f aca="false">IF($B$4="Excel ETS",_xlfn.FORECAST.ETS.CONFINT(B18,TS_Model!$C$5:$C$103,TS_Model!$A$5:$A$103,0.95,7),1.96*INDEX(TS_Eval!$J$24:$J$32,MATCH($B$4,TS_Eval!$A$24:$A$32,0))*SQRT($A18))</f>
        <v>1711.30878652506</v>
      </c>
      <c r="N18" s="13" t="n">
        <f aca="false">MAX(0,L18-M18)</f>
        <v>2882.68704132728</v>
      </c>
      <c r="O18" s="13" t="n">
        <f aca="false">L18+M18</f>
        <v>6305.30461437741</v>
      </c>
      <c r="P18" s="16" t="n">
        <f aca="false">TS_Setup!$B$37+TS_Setup!$B$36*P17</f>
        <v>24.591952374761</v>
      </c>
    </row>
    <row r="19" customFormat="false" ht="15" hidden="false" customHeight="false" outlineLevel="0" collapsed="false">
      <c r="A19" s="15" t="n">
        <v>13</v>
      </c>
      <c r="B19" s="11" t="n">
        <f aca="false">Daily!$A$103+A19</f>
        <v>43998</v>
      </c>
      <c r="C19" s="13" t="n">
        <f aca="false">TS_Model!$C$103</f>
        <v>4677</v>
      </c>
      <c r="D19" s="13" t="n">
        <f aca="false">INDEX(TS_Model!$C$97:$C$103,MOD($A19-1,7)+1)</f>
        <v>4242</v>
      </c>
      <c r="E19" s="13" t="n">
        <f aca="false">AVERAGE(TS_Model!$C$97:$C$103)</f>
        <v>3374</v>
      </c>
      <c r="F19" s="13" t="n">
        <f aca="false">TS_Model!$G$103</f>
        <v>3891.4777936553</v>
      </c>
      <c r="G19" s="13" t="n">
        <f aca="false">TS_Model!$I$103+$A19*TS_Model!$J$103</f>
        <v>4759.22578229183</v>
      </c>
      <c r="H19" s="13" t="n">
        <f aca="false">TS_Model!$L$103+$A19*TS_Model!$M$103+INDEX(TS_Model!$N$97:$N$103,MOD($A19-1,7)+1)</f>
        <v>4737.3941184804</v>
      </c>
      <c r="I19" s="13" t="n">
        <f aca="false">TS_Setup!$B$34+TS_Setup!$B$33*I18</f>
        <v>1666.82693588141</v>
      </c>
      <c r="J19" s="13" t="n">
        <f aca="false">J18+P19</f>
        <v>4866.58790516717</v>
      </c>
      <c r="K19" s="13" t="n">
        <f aca="false">_xlfn.FORECAST.ETS(B19,TS_Model!$C$5:$C$103,TS_Model!$A$5:$A$103,7)</f>
        <v>7647.52681172128</v>
      </c>
      <c r="L19" s="61" t="n">
        <f aca="false">INDEX(C19:K19,MATCH($B$4,$C$6:$K$6,0))</f>
        <v>4737.3941184804</v>
      </c>
      <c r="M19" s="13" t="n">
        <f aca="false">IF($B$4="Excel ETS",_xlfn.FORECAST.ETS.CONFINT(B19,TS_Model!$C$5:$C$103,TS_Model!$A$5:$A$103,0.95,7),1.96*INDEX(TS_Eval!$J$24:$J$32,MATCH($B$4,TS_Eval!$A$24:$A$32,0))*SQRT($A19))</f>
        <v>1781.18665774844</v>
      </c>
      <c r="N19" s="13" t="n">
        <f aca="false">MAX(0,L19-M19)</f>
        <v>2956.20746073196</v>
      </c>
      <c r="O19" s="13" t="n">
        <f aca="false">L19+M19</f>
        <v>6518.58077622884</v>
      </c>
      <c r="P19" s="16" t="n">
        <f aca="false">TS_Setup!$B$37+TS_Setup!$B$36*P18</f>
        <v>24.5359863475924</v>
      </c>
    </row>
    <row r="20" customFormat="false" ht="15" hidden="false" customHeight="false" outlineLevel="0" collapsed="false">
      <c r="A20" s="15" t="n">
        <v>14</v>
      </c>
      <c r="B20" s="11" t="n">
        <f aca="false">Daily!$A$103+A20</f>
        <v>43999</v>
      </c>
      <c r="C20" s="13" t="n">
        <f aca="false">TS_Model!$C$103</f>
        <v>4677</v>
      </c>
      <c r="D20" s="13" t="n">
        <f aca="false">INDEX(TS_Model!$C$97:$C$103,MOD($A20-1,7)+1)</f>
        <v>4677</v>
      </c>
      <c r="E20" s="13" t="n">
        <f aca="false">AVERAGE(TS_Model!$C$97:$C$103)</f>
        <v>3374</v>
      </c>
      <c r="F20" s="13" t="n">
        <f aca="false">TS_Model!$G$103</f>
        <v>3891.4777936553</v>
      </c>
      <c r="G20" s="13" t="n">
        <f aca="false">TS_Model!$I$103+$A20*TS_Model!$J$103</f>
        <v>4890.85910868003</v>
      </c>
      <c r="H20" s="13" t="n">
        <f aca="false">TS_Model!$L$103+$A20*TS_Model!$M$103+INDEX(TS_Model!$N$97:$N$103,MOD($A20-1,7)+1)</f>
        <v>4880.07625199244</v>
      </c>
      <c r="I20" s="13" t="n">
        <f aca="false">TS_Setup!$B$34+TS_Setup!$B$33*I19</f>
        <v>1570.9885134447</v>
      </c>
      <c r="J20" s="13" t="n">
        <f aca="false">J19+P20</f>
        <v>4891.14971891306</v>
      </c>
      <c r="K20" s="13" t="n">
        <f aca="false">_xlfn.FORECAST.ETS(B20,TS_Model!$C$5:$C$103,TS_Model!$A$5:$A$103,7)</f>
        <v>7893.32487940208</v>
      </c>
      <c r="L20" s="61" t="n">
        <f aca="false">INDEX(C20:K20,MATCH($B$4,$C$6:$K$6,0))</f>
        <v>4880.07625199244</v>
      </c>
      <c r="M20" s="13" t="n">
        <f aca="false">IF($B$4="Excel ETS",_xlfn.FORECAST.ETS.CONFINT(B20,TS_Model!$C$5:$C$103,TS_Model!$A$5:$A$103,0.95,7),1.96*INDEX(TS_Eval!$J$24:$J$32,MATCH($B$4,TS_Eval!$A$24:$A$32,0))*SQRT($A20))</f>
        <v>1848.42475006266</v>
      </c>
      <c r="N20" s="13" t="n">
        <f aca="false">MAX(0,L20-M20)</f>
        <v>3031.65150192978</v>
      </c>
      <c r="O20" s="13" t="n">
        <f aca="false">L20+M20</f>
        <v>6728.5010020551</v>
      </c>
      <c r="P20" s="16" t="n">
        <f aca="false">TS_Setup!$B$37+TS_Setup!$B$36*P19</f>
        <v>24.5618137458852</v>
      </c>
    </row>
    <row r="22" customFormat="false" ht="51.75" hidden="false" customHeight="true" outlineLevel="0" collapsed="false">
      <c r="A22" s="19" t="s">
        <v>436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</row>
    <row r="24" customFormat="false" ht="15" hidden="false" customHeight="false" outlineLevel="0" collapsed="false">
      <c r="A24" s="8" t="s">
        <v>437</v>
      </c>
    </row>
    <row r="25" customFormat="false" ht="15" hidden="false" customHeight="false" outlineLevel="0" collapsed="false">
      <c r="A25" s="36" t="s">
        <v>438</v>
      </c>
      <c r="B25" s="13" t="n">
        <f aca="false">SUM(L7:L20)</f>
        <v>56235.5407395239</v>
      </c>
    </row>
    <row r="26" customFormat="false" ht="15" hidden="false" customHeight="false" outlineLevel="0" collapsed="false">
      <c r="A26" s="36" t="s">
        <v>439</v>
      </c>
      <c r="B26" s="13" t="n">
        <f aca="false">AVERAGE(L7:L20)</f>
        <v>4016.82433853742</v>
      </c>
    </row>
    <row r="27" customFormat="false" ht="15" hidden="false" customHeight="false" outlineLevel="0" collapsed="false">
      <c r="A27" s="36" t="s">
        <v>440</v>
      </c>
      <c r="B27" s="13" t="n">
        <f aca="false">AVERAGE(Daily!C97:C103)</f>
        <v>3374</v>
      </c>
    </row>
    <row r="28" customFormat="false" ht="15" hidden="false" customHeight="false" outlineLevel="0" collapsed="false">
      <c r="A28" s="36" t="s">
        <v>267</v>
      </c>
      <c r="B28" s="18" t="n">
        <f aca="false">B26/B27-1</f>
        <v>0.190522921913878</v>
      </c>
    </row>
    <row r="29" customFormat="false" ht="15" hidden="false" customHeight="false" outlineLevel="0" collapsed="false">
      <c r="A29" s="36" t="s">
        <v>441</v>
      </c>
      <c r="B29" s="13" t="n">
        <f aca="false">O20-N20</f>
        <v>3696.84950012532</v>
      </c>
    </row>
    <row r="30" customFormat="false" ht="15" hidden="false" customHeight="false" outlineLevel="0" collapsed="false">
      <c r="A30" s="36" t="s">
        <v>442</v>
      </c>
      <c r="B30" s="13" t="n">
        <f aca="false">O7-N7</f>
        <v>988.024588566817</v>
      </c>
    </row>
    <row r="32" customFormat="false" ht="15" hidden="false" customHeight="false" outlineLevel="0" collapsed="false">
      <c r="A32" s="8" t="s">
        <v>443</v>
      </c>
    </row>
    <row r="33" customFormat="false" ht="31.5" hidden="false" customHeight="true" outlineLevel="0" collapsed="false">
      <c r="A33" s="10" t="s">
        <v>24</v>
      </c>
      <c r="B33" s="10" t="s">
        <v>412</v>
      </c>
      <c r="C33" s="10" t="s">
        <v>444</v>
      </c>
      <c r="D33" s="10" t="s">
        <v>434</v>
      </c>
      <c r="E33" s="10" t="s">
        <v>435</v>
      </c>
    </row>
    <row r="34" customFormat="false" ht="15" hidden="false" customHeight="false" outlineLevel="0" collapsed="false">
      <c r="A34" s="11" t="n">
        <f aca="false">Daily!A74</f>
        <v>43956</v>
      </c>
      <c r="B34" s="13" t="n">
        <f aca="false">Daily!C74</f>
        <v>1023</v>
      </c>
      <c r="C34" s="12"/>
      <c r="D34" s="12"/>
      <c r="E34" s="12"/>
    </row>
    <row r="35" customFormat="false" ht="15" hidden="false" customHeight="false" outlineLevel="0" collapsed="false">
      <c r="A35" s="11" t="n">
        <f aca="false">Daily!A75</f>
        <v>43957</v>
      </c>
      <c r="B35" s="13" t="n">
        <f aca="false">Daily!C75</f>
        <v>1804</v>
      </c>
      <c r="C35" s="12"/>
      <c r="D35" s="12"/>
      <c r="E35" s="12"/>
    </row>
    <row r="36" customFormat="false" ht="15" hidden="false" customHeight="false" outlineLevel="0" collapsed="false">
      <c r="A36" s="11" t="n">
        <f aca="false">Daily!A76</f>
        <v>43958</v>
      </c>
      <c r="B36" s="13" t="n">
        <f aca="false">Daily!C76</f>
        <v>863</v>
      </c>
      <c r="C36" s="12"/>
      <c r="D36" s="12"/>
      <c r="E36" s="12"/>
    </row>
    <row r="37" customFormat="false" ht="15" hidden="false" customHeight="false" outlineLevel="0" collapsed="false">
      <c r="A37" s="11" t="n">
        <f aca="false">Daily!A77</f>
        <v>43959</v>
      </c>
      <c r="B37" s="13" t="n">
        <f aca="false">Daily!C77</f>
        <v>1829</v>
      </c>
      <c r="C37" s="12"/>
      <c r="D37" s="12"/>
      <c r="E37" s="12"/>
    </row>
    <row r="38" customFormat="false" ht="15" hidden="false" customHeight="false" outlineLevel="0" collapsed="false">
      <c r="A38" s="11" t="n">
        <f aca="false">Daily!A78</f>
        <v>43960</v>
      </c>
      <c r="B38" s="13" t="n">
        <f aca="false">Daily!C78</f>
        <v>2554</v>
      </c>
      <c r="C38" s="12"/>
      <c r="D38" s="12"/>
      <c r="E38" s="12"/>
    </row>
    <row r="39" customFormat="false" ht="15" hidden="false" customHeight="false" outlineLevel="0" collapsed="false">
      <c r="A39" s="11" t="n">
        <f aca="false">Daily!A79</f>
        <v>43961</v>
      </c>
      <c r="B39" s="13" t="n">
        <f aca="false">Daily!C79</f>
        <v>1463</v>
      </c>
      <c r="C39" s="12"/>
      <c r="D39" s="12"/>
      <c r="E39" s="12"/>
    </row>
    <row r="40" customFormat="false" ht="15" hidden="false" customHeight="false" outlineLevel="0" collapsed="false">
      <c r="A40" s="11" t="n">
        <f aca="false">Daily!A80</f>
        <v>43962</v>
      </c>
      <c r="B40" s="13" t="n">
        <f aca="false">Daily!C80</f>
        <v>1079</v>
      </c>
      <c r="C40" s="12"/>
      <c r="D40" s="12"/>
      <c r="E40" s="12"/>
    </row>
    <row r="41" customFormat="false" ht="15" hidden="false" customHeight="false" outlineLevel="0" collapsed="false">
      <c r="A41" s="11" t="n">
        <f aca="false">Daily!A81</f>
        <v>43963</v>
      </c>
      <c r="B41" s="13" t="n">
        <f aca="false">Daily!C81</f>
        <v>2254</v>
      </c>
      <c r="C41" s="12"/>
      <c r="D41" s="12"/>
      <c r="E41" s="12"/>
    </row>
    <row r="42" customFormat="false" ht="15" hidden="false" customHeight="false" outlineLevel="0" collapsed="false">
      <c r="A42" s="11" t="n">
        <f aca="false">Daily!A82</f>
        <v>43964</v>
      </c>
      <c r="B42" s="13" t="n">
        <f aca="false">Daily!C82</f>
        <v>1431</v>
      </c>
      <c r="C42" s="12"/>
      <c r="D42" s="12"/>
      <c r="E42" s="12"/>
    </row>
    <row r="43" customFormat="false" ht="15" hidden="false" customHeight="false" outlineLevel="0" collapsed="false">
      <c r="A43" s="11" t="n">
        <f aca="false">Daily!A83</f>
        <v>43965</v>
      </c>
      <c r="B43" s="13" t="n">
        <f aca="false">Daily!C83</f>
        <v>1449</v>
      </c>
      <c r="C43" s="12"/>
      <c r="D43" s="12"/>
      <c r="E43" s="12"/>
    </row>
    <row r="44" customFormat="false" ht="15" hidden="false" customHeight="false" outlineLevel="0" collapsed="false">
      <c r="A44" s="11" t="n">
        <f aca="false">Daily!A84</f>
        <v>43966</v>
      </c>
      <c r="B44" s="13" t="n">
        <f aca="false">Daily!C84</f>
        <v>1515</v>
      </c>
      <c r="C44" s="12"/>
      <c r="D44" s="12"/>
      <c r="E44" s="12"/>
    </row>
    <row r="45" customFormat="false" ht="15" hidden="false" customHeight="false" outlineLevel="0" collapsed="false">
      <c r="A45" s="11" t="n">
        <f aca="false">Daily!A85</f>
        <v>43967</v>
      </c>
      <c r="B45" s="13" t="n">
        <f aca="false">Daily!C85</f>
        <v>1372</v>
      </c>
      <c r="C45" s="12"/>
      <c r="D45" s="12"/>
      <c r="E45" s="12"/>
    </row>
    <row r="46" customFormat="false" ht="15" hidden="false" customHeight="false" outlineLevel="0" collapsed="false">
      <c r="A46" s="11" t="n">
        <f aca="false">Daily!A86</f>
        <v>43968</v>
      </c>
      <c r="B46" s="13" t="n">
        <f aca="false">Daily!C86</f>
        <v>1956</v>
      </c>
      <c r="C46" s="12"/>
      <c r="D46" s="12"/>
      <c r="E46" s="12"/>
    </row>
    <row r="47" customFormat="false" ht="15" hidden="false" customHeight="false" outlineLevel="0" collapsed="false">
      <c r="A47" s="11" t="n">
        <f aca="false">Daily!A87</f>
        <v>43969</v>
      </c>
      <c r="B47" s="13" t="n">
        <f aca="false">Daily!C87</f>
        <v>1800</v>
      </c>
      <c r="C47" s="12"/>
      <c r="D47" s="12"/>
      <c r="E47" s="12"/>
    </row>
    <row r="48" customFormat="false" ht="15" hidden="false" customHeight="false" outlineLevel="0" collapsed="false">
      <c r="A48" s="11" t="n">
        <f aca="false">Daily!A88</f>
        <v>43970</v>
      </c>
      <c r="B48" s="13" t="n">
        <f aca="false">Daily!C88</f>
        <v>1874</v>
      </c>
      <c r="C48" s="12"/>
      <c r="D48" s="12"/>
      <c r="E48" s="12"/>
    </row>
    <row r="49" customFormat="false" ht="15" hidden="false" customHeight="false" outlineLevel="0" collapsed="false">
      <c r="A49" s="11" t="n">
        <f aca="false">Daily!A89</f>
        <v>43971</v>
      </c>
      <c r="B49" s="13" t="n">
        <f aca="false">Daily!C89</f>
        <v>2115</v>
      </c>
      <c r="C49" s="12"/>
      <c r="D49" s="12"/>
      <c r="E49" s="12"/>
    </row>
    <row r="50" customFormat="false" ht="15" hidden="false" customHeight="false" outlineLevel="0" collapsed="false">
      <c r="A50" s="11" t="n">
        <f aca="false">Daily!A90</f>
        <v>43972</v>
      </c>
      <c r="B50" s="13" t="n">
        <f aca="false">Daily!C90</f>
        <v>2539</v>
      </c>
      <c r="C50" s="12"/>
      <c r="D50" s="12"/>
      <c r="E50" s="12"/>
    </row>
    <row r="51" customFormat="false" ht="15" hidden="false" customHeight="false" outlineLevel="0" collapsed="false">
      <c r="A51" s="11" t="n">
        <f aca="false">Daily!A91</f>
        <v>43973</v>
      </c>
      <c r="B51" s="13" t="n">
        <f aca="false">Daily!C91</f>
        <v>1728</v>
      </c>
      <c r="C51" s="12"/>
      <c r="D51" s="12"/>
      <c r="E51" s="12"/>
    </row>
    <row r="52" customFormat="false" ht="15" hidden="false" customHeight="false" outlineLevel="0" collapsed="false">
      <c r="A52" s="11" t="n">
        <f aca="false">Daily!A92</f>
        <v>43974</v>
      </c>
      <c r="B52" s="13" t="n">
        <f aca="false">Daily!C92</f>
        <v>2060</v>
      </c>
      <c r="C52" s="12"/>
      <c r="D52" s="12"/>
      <c r="E52" s="12"/>
    </row>
    <row r="53" customFormat="false" ht="15" hidden="false" customHeight="false" outlineLevel="0" collapsed="false">
      <c r="A53" s="11" t="n">
        <f aca="false">Daily!A93</f>
        <v>43975</v>
      </c>
      <c r="B53" s="13" t="n">
        <f aca="false">Daily!C93</f>
        <v>1744</v>
      </c>
      <c r="C53" s="12"/>
      <c r="D53" s="12"/>
      <c r="E53" s="12"/>
    </row>
    <row r="54" customFormat="false" ht="15" hidden="false" customHeight="false" outlineLevel="0" collapsed="false">
      <c r="A54" s="11" t="n">
        <f aca="false">Daily!A94</f>
        <v>43976</v>
      </c>
      <c r="B54" s="13" t="n">
        <f aca="false">Daily!C94</f>
        <v>1356</v>
      </c>
      <c r="C54" s="12"/>
      <c r="D54" s="12"/>
      <c r="E54" s="12"/>
    </row>
    <row r="55" customFormat="false" ht="15" hidden="false" customHeight="false" outlineLevel="0" collapsed="false">
      <c r="A55" s="11" t="n">
        <f aca="false">Daily!A95</f>
        <v>43977</v>
      </c>
      <c r="B55" s="13" t="n">
        <f aca="false">Daily!C95</f>
        <v>1440</v>
      </c>
      <c r="C55" s="12"/>
      <c r="D55" s="12"/>
      <c r="E55" s="12"/>
    </row>
    <row r="56" customFormat="false" ht="15" hidden="false" customHeight="false" outlineLevel="0" collapsed="false">
      <c r="A56" s="11" t="n">
        <f aca="false">Daily!A96</f>
        <v>43978</v>
      </c>
      <c r="B56" s="13" t="n">
        <f aca="false">Daily!C96</f>
        <v>2173</v>
      </c>
      <c r="C56" s="12"/>
      <c r="D56" s="12"/>
      <c r="E56" s="12"/>
    </row>
    <row r="57" customFormat="false" ht="15" hidden="false" customHeight="false" outlineLevel="0" collapsed="false">
      <c r="A57" s="11" t="n">
        <f aca="false">Daily!A97</f>
        <v>43979</v>
      </c>
      <c r="B57" s="13" t="n">
        <f aca="false">Daily!C97</f>
        <v>2562</v>
      </c>
      <c r="C57" s="12"/>
      <c r="D57" s="12"/>
      <c r="E57" s="12"/>
    </row>
    <row r="58" customFormat="false" ht="15" hidden="false" customHeight="false" outlineLevel="0" collapsed="false">
      <c r="A58" s="11" t="n">
        <f aca="false">Daily!A98</f>
        <v>43980</v>
      </c>
      <c r="B58" s="13" t="n">
        <f aca="false">Daily!C98</f>
        <v>2426</v>
      </c>
      <c r="C58" s="12"/>
      <c r="D58" s="12"/>
      <c r="E58" s="12"/>
    </row>
    <row r="59" customFormat="false" ht="15" hidden="false" customHeight="false" outlineLevel="0" collapsed="false">
      <c r="A59" s="11" t="n">
        <f aca="false">Daily!A99</f>
        <v>43981</v>
      </c>
      <c r="B59" s="13" t="n">
        <f aca="false">Daily!C99</f>
        <v>2956</v>
      </c>
      <c r="C59" s="12"/>
      <c r="D59" s="12"/>
      <c r="E59" s="12"/>
    </row>
    <row r="60" customFormat="false" ht="15" hidden="false" customHeight="false" outlineLevel="0" collapsed="false">
      <c r="A60" s="11" t="n">
        <f aca="false">Daily!A100</f>
        <v>43982</v>
      </c>
      <c r="B60" s="13" t="n">
        <f aca="false">Daily!C100</f>
        <v>2883</v>
      </c>
      <c r="C60" s="12"/>
      <c r="D60" s="12"/>
      <c r="E60" s="12"/>
    </row>
    <row r="61" customFormat="false" ht="15" hidden="false" customHeight="false" outlineLevel="0" collapsed="false">
      <c r="A61" s="11" t="n">
        <f aca="false">Daily!A101</f>
        <v>43983</v>
      </c>
      <c r="B61" s="13" t="n">
        <f aca="false">Daily!C101</f>
        <v>3872</v>
      </c>
      <c r="C61" s="12"/>
      <c r="D61" s="12"/>
      <c r="E61" s="12"/>
    </row>
    <row r="62" customFormat="false" ht="15" hidden="false" customHeight="false" outlineLevel="0" collapsed="false">
      <c r="A62" s="11" t="n">
        <f aca="false">Daily!A102</f>
        <v>43984</v>
      </c>
      <c r="B62" s="13" t="n">
        <f aca="false">Daily!C102</f>
        <v>4242</v>
      </c>
      <c r="C62" s="12"/>
      <c r="D62" s="12"/>
      <c r="E62" s="12"/>
    </row>
    <row r="63" customFormat="false" ht="15" hidden="false" customHeight="false" outlineLevel="0" collapsed="false">
      <c r="A63" s="11" t="n">
        <f aca="false">Daily!A103</f>
        <v>43985</v>
      </c>
      <c r="B63" s="13" t="n">
        <f aca="false">Daily!C103</f>
        <v>4677</v>
      </c>
      <c r="C63" s="12"/>
      <c r="D63" s="12"/>
      <c r="E63" s="12"/>
    </row>
    <row r="64" customFormat="false" ht="15" hidden="false" customHeight="false" outlineLevel="0" collapsed="false">
      <c r="A64" s="11" t="n">
        <f aca="false">B7</f>
        <v>43986</v>
      </c>
      <c r="B64" s="12"/>
      <c r="C64" s="13" t="n">
        <f aca="false">L7</f>
        <v>3169.36434716125</v>
      </c>
      <c r="D64" s="13" t="n">
        <f aca="false">N7</f>
        <v>2675.35205287784</v>
      </c>
      <c r="E64" s="13" t="n">
        <f aca="false">O7</f>
        <v>3663.37664144466</v>
      </c>
    </row>
    <row r="65" customFormat="false" ht="15" hidden="false" customHeight="false" outlineLevel="0" collapsed="false">
      <c r="A65" s="11" t="n">
        <f aca="false">B8</f>
        <v>43987</v>
      </c>
      <c r="B65" s="12"/>
      <c r="C65" s="13" t="n">
        <f aca="false">L8</f>
        <v>3291.14491858911</v>
      </c>
      <c r="D65" s="13" t="n">
        <f aca="false">N8</f>
        <v>2592.50603203447</v>
      </c>
      <c r="E65" s="13" t="n">
        <f aca="false">O8</f>
        <v>3989.78380514376</v>
      </c>
    </row>
    <row r="66" customFormat="false" ht="15" hidden="false" customHeight="false" outlineLevel="0" collapsed="false">
      <c r="A66" s="11" t="n">
        <f aca="false">B9</f>
        <v>43988</v>
      </c>
      <c r="B66" s="12"/>
      <c r="C66" s="13" t="n">
        <f aca="false">L9</f>
        <v>3436.06292679099</v>
      </c>
      <c r="D66" s="13" t="n">
        <f aca="false">N9</f>
        <v>2580.40853352846</v>
      </c>
      <c r="E66" s="13" t="n">
        <f aca="false">O9</f>
        <v>4291.71732005352</v>
      </c>
    </row>
    <row r="67" customFormat="false" ht="15" hidden="false" customHeight="false" outlineLevel="0" collapsed="false">
      <c r="A67" s="11" t="n">
        <f aca="false">B10</f>
        <v>43989</v>
      </c>
      <c r="B67" s="12"/>
      <c r="C67" s="13" t="n">
        <f aca="false">L10</f>
        <v>3554.20083295549</v>
      </c>
      <c r="D67" s="13" t="n">
        <f aca="false">N10</f>
        <v>2566.17624438868</v>
      </c>
      <c r="E67" s="13" t="n">
        <f aca="false">O10</f>
        <v>4542.22542152231</v>
      </c>
    </row>
    <row r="68" customFormat="false" ht="15" hidden="false" customHeight="false" outlineLevel="0" collapsed="false">
      <c r="A68" s="11" t="n">
        <f aca="false">B11</f>
        <v>43990</v>
      </c>
      <c r="B68" s="12"/>
      <c r="C68" s="13" t="n">
        <f aca="false">L11</f>
        <v>3682.93353597248</v>
      </c>
      <c r="D68" s="13" t="n">
        <f aca="false">N11</f>
        <v>2578.28846423415</v>
      </c>
      <c r="E68" s="13" t="n">
        <f aca="false">O11</f>
        <v>4787.57860771081</v>
      </c>
    </row>
    <row r="69" customFormat="false" ht="15" hidden="false" customHeight="false" outlineLevel="0" collapsed="false">
      <c r="A69" s="11" t="n">
        <f aca="false">B12</f>
        <v>43991</v>
      </c>
      <c r="B69" s="12"/>
      <c r="C69" s="13" t="n">
        <f aca="false">L12</f>
        <v>3826.33182660054</v>
      </c>
      <c r="D69" s="13" t="n">
        <f aca="false">N12</f>
        <v>2616.25377894454</v>
      </c>
      <c r="E69" s="13" t="n">
        <f aca="false">O12</f>
        <v>5036.40987425653</v>
      </c>
    </row>
    <row r="70" customFormat="false" ht="15" hidden="false" customHeight="false" outlineLevel="0" collapsed="false">
      <c r="A70" s="11" t="n">
        <f aca="false">B13</f>
        <v>43992</v>
      </c>
      <c r="B70" s="12"/>
      <c r="C70" s="13" t="n">
        <f aca="false">L13</f>
        <v>3969.01396011258</v>
      </c>
      <c r="D70" s="13" t="n">
        <f aca="false">N13</f>
        <v>2661.98028483022</v>
      </c>
      <c r="E70" s="13" t="n">
        <f aca="false">O13</f>
        <v>5276.04763539493</v>
      </c>
    </row>
    <row r="71" customFormat="false" ht="15" hidden="false" customHeight="false" outlineLevel="0" collapsed="false">
      <c r="A71" s="11" t="n">
        <f aca="false">B14</f>
        <v>43993</v>
      </c>
      <c r="B71" s="12"/>
      <c r="C71" s="13" t="n">
        <f aca="false">L14</f>
        <v>4080.42663904111</v>
      </c>
      <c r="D71" s="13" t="n">
        <f aca="false">N14</f>
        <v>2683.14886593182</v>
      </c>
      <c r="E71" s="13" t="n">
        <f aca="false">O14</f>
        <v>5477.70441215041</v>
      </c>
    </row>
    <row r="72" customFormat="false" ht="15" hidden="false" customHeight="false" outlineLevel="0" collapsed="false">
      <c r="A72" s="11" t="n">
        <f aca="false">B15</f>
        <v>43994</v>
      </c>
      <c r="B72" s="12"/>
      <c r="C72" s="13" t="n">
        <f aca="false">L15</f>
        <v>4202.20721046897</v>
      </c>
      <c r="D72" s="13" t="n">
        <f aca="false">N15</f>
        <v>2720.17032761875</v>
      </c>
      <c r="E72" s="13" t="n">
        <f aca="false">O15</f>
        <v>5684.2440933192</v>
      </c>
    </row>
    <row r="73" customFormat="false" ht="15" hidden="false" customHeight="false" outlineLevel="0" collapsed="false">
      <c r="A73" s="11" t="n">
        <f aca="false">B16</f>
        <v>43995</v>
      </c>
      <c r="B73" s="12"/>
      <c r="C73" s="13" t="n">
        <f aca="false">L16</f>
        <v>4347.12521867085</v>
      </c>
      <c r="D73" s="13" t="n">
        <f aca="false">N16</f>
        <v>2784.9211766099</v>
      </c>
      <c r="E73" s="13" t="n">
        <f aca="false">O16</f>
        <v>5909.3292607318</v>
      </c>
    </row>
    <row r="74" customFormat="false" ht="15" hidden="false" customHeight="false" outlineLevel="0" collapsed="false">
      <c r="A74" s="11" t="n">
        <f aca="false">B17</f>
        <v>43996</v>
      </c>
      <c r="B74" s="12"/>
      <c r="C74" s="13" t="n">
        <f aca="false">L17</f>
        <v>4465.26312483536</v>
      </c>
      <c r="D74" s="13" t="n">
        <f aca="false">N17</f>
        <v>2826.80970287466</v>
      </c>
      <c r="E74" s="13" t="n">
        <f aca="false">O17</f>
        <v>6103.71654679606</v>
      </c>
    </row>
    <row r="75" customFormat="false" ht="15" hidden="false" customHeight="false" outlineLevel="0" collapsed="false">
      <c r="A75" s="11" t="n">
        <f aca="false">B18</f>
        <v>43997</v>
      </c>
      <c r="B75" s="12"/>
      <c r="C75" s="13" t="n">
        <f aca="false">L18</f>
        <v>4593.99582785234</v>
      </c>
      <c r="D75" s="13" t="n">
        <f aca="false">N18</f>
        <v>2882.68704132728</v>
      </c>
      <c r="E75" s="13" t="n">
        <f aca="false">O18</f>
        <v>6305.30461437741</v>
      </c>
    </row>
    <row r="76" customFormat="false" ht="15" hidden="false" customHeight="false" outlineLevel="0" collapsed="false">
      <c r="A76" s="11" t="n">
        <f aca="false">B19</f>
        <v>43998</v>
      </c>
      <c r="B76" s="12"/>
      <c r="C76" s="13" t="n">
        <f aca="false">L19</f>
        <v>4737.3941184804</v>
      </c>
      <c r="D76" s="13" t="n">
        <f aca="false">N19</f>
        <v>2956.20746073196</v>
      </c>
      <c r="E76" s="13" t="n">
        <f aca="false">O19</f>
        <v>6518.58077622884</v>
      </c>
    </row>
    <row r="77" customFormat="false" ht="15" hidden="false" customHeight="false" outlineLevel="0" collapsed="false">
      <c r="A77" s="11" t="n">
        <f aca="false">B20</f>
        <v>43999</v>
      </c>
      <c r="B77" s="12"/>
      <c r="C77" s="13" t="n">
        <f aca="false">L20</f>
        <v>4880.07625199244</v>
      </c>
      <c r="D77" s="13" t="n">
        <f aca="false">N20</f>
        <v>3031.65150192978</v>
      </c>
      <c r="E77" s="13" t="n">
        <f aca="false">O20</f>
        <v>6728.5010020551</v>
      </c>
    </row>
  </sheetData>
  <mergeCells count="3">
    <mergeCell ref="B4:D4"/>
    <mergeCell ref="E4:M4"/>
    <mergeCell ref="A22:O22"/>
  </mergeCells>
  <dataValidations count="1">
    <dataValidation allowBlank="false" errorStyle="stop" operator="between" showDropDown="false" showErrorMessage="false" showInputMessage="false" sqref="B4" type="list">
      <formula1>"Naive,Seasonal naive,Moving average (7),SES,Holt linear,Holt-Winters (add),AR(1),ARIMA(1,1,0),Excel ETS"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L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2"/>
    <col collapsed="false" customWidth="true" hidden="false" outlineLevel="0" max="4" min="4" style="0" width="18"/>
    <col collapsed="false" customWidth="true" hidden="false" outlineLevel="0" max="12" min="5" style="0" width="11"/>
  </cols>
  <sheetData>
    <row r="1" customFormat="false" ht="19.7" hidden="false" customHeight="false" outlineLevel="0" collapsed="false">
      <c r="A1" s="1" t="s">
        <v>445</v>
      </c>
    </row>
    <row r="2" customFormat="false" ht="15" hidden="false" customHeight="false" outlineLevel="0" collapsed="false">
      <c r="A2" s="2" t="s">
        <v>446</v>
      </c>
    </row>
    <row r="4" customFormat="false" ht="43.5" hidden="false" customHeight="true" outlineLevel="0" collapsed="false">
      <c r="A4" s="10" t="s">
        <v>447</v>
      </c>
      <c r="B4" s="10" t="s">
        <v>448</v>
      </c>
      <c r="C4" s="10" t="s">
        <v>449</v>
      </c>
      <c r="D4" s="10" t="s">
        <v>450</v>
      </c>
      <c r="E4" s="10" t="s">
        <v>451</v>
      </c>
      <c r="F4" s="10" t="s">
        <v>452</v>
      </c>
      <c r="G4" s="10" t="s">
        <v>453</v>
      </c>
      <c r="H4" s="10" t="s">
        <v>454</v>
      </c>
      <c r="I4" s="10" t="s">
        <v>455</v>
      </c>
      <c r="J4" s="10" t="s">
        <v>456</v>
      </c>
      <c r="K4" s="10" t="s">
        <v>457</v>
      </c>
      <c r="L4" s="10" t="s">
        <v>458</v>
      </c>
    </row>
    <row r="5" customFormat="false" ht="15" hidden="false" customHeight="false" outlineLevel="0" collapsed="false">
      <c r="A5" s="15" t="n">
        <v>1</v>
      </c>
      <c r="B5" s="33" t="n">
        <v>45</v>
      </c>
      <c r="C5" s="11" t="n">
        <f aca="false">INDEX(TS_Model!$A$5:$A$103,B5)</f>
        <v>43931</v>
      </c>
      <c r="D5" s="12" t="str">
        <f aca="false">TEXT(INDEX(TS_Model!$A$5:$A$103,B5+1),"d mmm")&amp;" - "&amp;TEXT(INDEX(TS_Model!$A$5:$A$103,B5+14),"d mmm")</f>
        <v>11 Apr - 24 Apr</v>
      </c>
      <c r="E5" s="13" t="n">
        <f aca="false">SUMPRODUCT(ABS(INDEX(TS_Model!$C$5:$C$103,B5+1):INDEX(TS_Model!$C$5:$C$103,B5+14)-INDEX(TS_Model!$C$5:$C$103,B5)))/14</f>
        <v>348.357142857143</v>
      </c>
      <c r="F5" s="13" t="n">
        <f aca="false">SUMPRODUCT(ABS(INDEX(TS_Model!$C$5:$C$103,B5+1):INDEX(TS_Model!$C$5:$C$103,B5+14)-AVERAGE(INDEX(TS_Model!$C$5:$C$103,B5-6):INDEX(TS_Model!$C$5:$C$103,B5))))/14</f>
        <v>241.255102040816</v>
      </c>
      <c r="G5" s="13" t="n">
        <f aca="false">SUMPRODUCT(ABS(INDEX(TS_Model!$C$5:$C$103,B5+1):INDEX(TS_Model!$C$5:$C$103,B5+14)-INDEX(TS_Model!$G$5:$G$103,B5)))/14</f>
        <v>214.866162888497</v>
      </c>
      <c r="H5" s="13" t="n">
        <f aca="false">SUMPRODUCT(ABS(INDEX(TS_Model!$C$5:$C$103,B5+1):INDEX(TS_Model!$C$5:$C$103,B5+14)-(INDEX(TS_Model!$I$5:$I$103,B5)+{1;2;3;4;5;6;7;8;9;10;11;12;13;14}*INDEX(TS_Model!$J$5:$J$103,B5))))/14</f>
        <v>146.827880373476</v>
      </c>
      <c r="I5" s="13" t="n">
        <f aca="false">SQRT(SUMPRODUCT((INDEX(TS_Model!$C$5:$C$103,B5+1):INDEX(TS_Model!$C$5:$C$103,B5+14)-INDEX(TS_Model!$C$5:$C$103,B5))^2)/14)</f>
        <v>397.267002692863</v>
      </c>
      <c r="J5" s="13" t="n">
        <f aca="false">SQRT(SUMPRODUCT((INDEX(TS_Model!$C$5:$C$103,B5+1):INDEX(TS_Model!$C$5:$C$103,B5+14)-AVERAGE(INDEX(TS_Model!$C$5:$C$103,B5-6):INDEX(TS_Model!$C$5:$C$103,B5)))^2)/14)</f>
        <v>292.239854662333</v>
      </c>
      <c r="K5" s="13" t="n">
        <f aca="false">SQRT(SUMPRODUCT((INDEX(TS_Model!$C$5:$C$103,B5+1):INDEX(TS_Model!$C$5:$C$103,B5+14)-INDEX(TS_Model!$G$5:$G$103,B5))^2)/14)</f>
        <v>246.357020242912</v>
      </c>
      <c r="L5" s="13" t="n">
        <f aca="false">SQRT(SUMPRODUCT((INDEX(TS_Model!$C$5:$C$103,B5+1):INDEX(TS_Model!$C$5:$C$103,B5+14)-(INDEX(TS_Model!$I$5:$I$103,B5)+{1;2;3;4;5;6;7;8;9;10;11;12;13;14}*INDEX(TS_Model!$J$5:$J$103,B5)))^2)/14)</f>
        <v>168.131535117586</v>
      </c>
    </row>
    <row r="6" customFormat="false" ht="15" hidden="false" customHeight="false" outlineLevel="0" collapsed="false">
      <c r="A6" s="15" t="n">
        <v>2</v>
      </c>
      <c r="B6" s="33" t="n">
        <v>55</v>
      </c>
      <c r="C6" s="11" t="n">
        <f aca="false">INDEX(TS_Model!$A$5:$A$103,B6)</f>
        <v>43941</v>
      </c>
      <c r="D6" s="12" t="str">
        <f aca="false">TEXT(INDEX(TS_Model!$A$5:$A$103,B6+1),"d mmm")&amp;" - "&amp;TEXT(INDEX(TS_Model!$A$5:$A$103,B6+14),"d mmm")</f>
        <v>21 Apr - 4 May</v>
      </c>
      <c r="E6" s="13" t="n">
        <f aca="false">SUMPRODUCT(ABS(INDEX(TS_Model!$C$5:$C$103,B6+1):INDEX(TS_Model!$C$5:$C$103,B6+14)-INDEX(TS_Model!$C$5:$C$103,B6)))/14</f>
        <v>192</v>
      </c>
      <c r="F6" s="13" t="n">
        <f aca="false">SUMPRODUCT(ABS(INDEX(TS_Model!$C$5:$C$103,B6+1):INDEX(TS_Model!$C$5:$C$103,B6+14)-AVERAGE(INDEX(TS_Model!$C$5:$C$103,B6-6):INDEX(TS_Model!$C$5:$C$103,B6))))/14</f>
        <v>316.571428571429</v>
      </c>
      <c r="G6" s="13" t="n">
        <f aca="false">SUMPRODUCT(ABS(INDEX(TS_Model!$C$5:$C$103,B6+1):INDEX(TS_Model!$C$5:$C$103,B6+14)-INDEX(TS_Model!$G$5:$G$103,B6)))/14</f>
        <v>294.68959406258</v>
      </c>
      <c r="H6" s="13" t="n">
        <f aca="false">SUMPRODUCT(ABS(INDEX(TS_Model!$C$5:$C$103,B6+1):INDEX(TS_Model!$C$5:$C$103,B6+14)-(INDEX(TS_Model!$I$5:$I$103,B6)+{1;2;3;4;5;6;7;8;9;10;11;12;13;14}*INDEX(TS_Model!$J$5:$J$103,B6))))/14</f>
        <v>171.862664632007</v>
      </c>
      <c r="I6" s="13" t="n">
        <f aca="false">SQRT(SUMPRODUCT((INDEX(TS_Model!$C$5:$C$103,B6+1):INDEX(TS_Model!$C$5:$C$103,B6+14)-INDEX(TS_Model!$C$5:$C$103,B6))^2)/14)</f>
        <v>263.992965274239</v>
      </c>
      <c r="J6" s="13" t="n">
        <f aca="false">SQRT(SUMPRODUCT((INDEX(TS_Model!$C$5:$C$103,B6+1):INDEX(TS_Model!$C$5:$C$103,B6+14)-AVERAGE(INDEX(TS_Model!$C$5:$C$103,B6-6):INDEX(TS_Model!$C$5:$C$103,B6)))^2)/14)</f>
        <v>387.387429336786</v>
      </c>
      <c r="K6" s="13" t="n">
        <f aca="false">SQRT(SUMPRODUCT((INDEX(TS_Model!$C$5:$C$103,B6+1):INDEX(TS_Model!$C$5:$C$103,B6+14)-INDEX(TS_Model!$G$5:$G$103,B6))^2)/14)</f>
        <v>367.17963935835</v>
      </c>
      <c r="L6" s="13" t="n">
        <f aca="false">SQRT(SUMPRODUCT((INDEX(TS_Model!$C$5:$C$103,B6+1):INDEX(TS_Model!$C$5:$C$103,B6+14)-(INDEX(TS_Model!$I$5:$I$103,B6)+{1;2;3;4;5;6;7;8;9;10;11;12;13;14}*INDEX(TS_Model!$J$5:$J$103,B6)))^2)/14)</f>
        <v>218.462283393913</v>
      </c>
    </row>
    <row r="7" customFormat="false" ht="15" hidden="false" customHeight="false" outlineLevel="0" collapsed="false">
      <c r="A7" s="15" t="n">
        <v>3</v>
      </c>
      <c r="B7" s="33" t="n">
        <v>65</v>
      </c>
      <c r="C7" s="11" t="n">
        <f aca="false">INDEX(TS_Model!$A$5:$A$103,B7)</f>
        <v>43951</v>
      </c>
      <c r="D7" s="12" t="str">
        <f aca="false">TEXT(INDEX(TS_Model!$A$5:$A$103,B7+1),"d mmm")&amp;" - "&amp;TEXT(INDEX(TS_Model!$A$5:$A$103,B7+14),"d mmm")</f>
        <v>1 May - 14 May</v>
      </c>
      <c r="E7" s="13" t="n">
        <f aca="false">SUMPRODUCT(ABS(INDEX(TS_Model!$C$5:$C$103,B7+1):INDEX(TS_Model!$C$5:$C$103,B7+14)-INDEX(TS_Model!$C$5:$C$103,B7)))/14</f>
        <v>787.571428571429</v>
      </c>
      <c r="F7" s="13" t="n">
        <f aca="false">SUMPRODUCT(ABS(INDEX(TS_Model!$C$5:$C$103,B7+1):INDEX(TS_Model!$C$5:$C$103,B7+14)-AVERAGE(INDEX(TS_Model!$C$5:$C$103,B7-6):INDEX(TS_Model!$C$5:$C$103,B7))))/14</f>
        <v>710</v>
      </c>
      <c r="G7" s="13" t="n">
        <f aca="false">SUMPRODUCT(ABS(INDEX(TS_Model!$C$5:$C$103,B7+1):INDEX(TS_Model!$C$5:$C$103,B7+14)-INDEX(TS_Model!$G$5:$G$103,B7)))/14</f>
        <v>700.447592722269</v>
      </c>
      <c r="H7" s="13" t="n">
        <f aca="false">SUMPRODUCT(ABS(INDEX(TS_Model!$C$5:$C$103,B7+1):INDEX(TS_Model!$C$5:$C$103,B7+14)-(INDEX(TS_Model!$I$5:$I$103,B7)+{1;2;3;4;5;6;7;8;9;10;11;12;13;14}*INDEX(TS_Model!$J$5:$J$103,B7))))/14</f>
        <v>437.194269429219</v>
      </c>
      <c r="I7" s="13" t="n">
        <f aca="false">SQRT(SUMPRODUCT((INDEX(TS_Model!$C$5:$C$103,B7+1):INDEX(TS_Model!$C$5:$C$103,B7+14)-INDEX(TS_Model!$C$5:$C$103,B7))^2)/14)</f>
        <v>922.122009280768</v>
      </c>
      <c r="J7" s="13" t="n">
        <f aca="false">SQRT(SUMPRODUCT((INDEX(TS_Model!$C$5:$C$103,B7+1):INDEX(TS_Model!$C$5:$C$103,B7+14)-AVERAGE(INDEX(TS_Model!$C$5:$C$103,B7-6):INDEX(TS_Model!$C$5:$C$103,B7)))^2)/14)</f>
        <v>856.819843898331</v>
      </c>
      <c r="K7" s="13" t="n">
        <f aca="false">SQRT(SUMPRODUCT((INDEX(TS_Model!$C$5:$C$103,B7+1):INDEX(TS_Model!$C$5:$C$103,B7+14)-INDEX(TS_Model!$G$5:$G$103,B7))^2)/14)</f>
        <v>848.921124161945</v>
      </c>
      <c r="L7" s="13" t="n">
        <f aca="false">SQRT(SUMPRODUCT((INDEX(TS_Model!$C$5:$C$103,B7+1):INDEX(TS_Model!$C$5:$C$103,B7+14)-(INDEX(TS_Model!$I$5:$I$103,B7)+{1;2;3;4;5;6;7;8;9;10;11;12;13;14}*INDEX(TS_Model!$J$5:$J$103,B7)))^2)/14)</f>
        <v>600.03425020486</v>
      </c>
    </row>
    <row r="8" customFormat="false" ht="15" hidden="false" customHeight="false" outlineLevel="0" collapsed="false">
      <c r="A8" s="15" t="n">
        <v>4</v>
      </c>
      <c r="B8" s="33" t="n">
        <v>75</v>
      </c>
      <c r="C8" s="11" t="n">
        <f aca="false">INDEX(TS_Model!$A$5:$A$103,B8)</f>
        <v>43961</v>
      </c>
      <c r="D8" s="12" t="str">
        <f aca="false">TEXT(INDEX(TS_Model!$A$5:$A$103,B8+1),"d mmm")&amp;" - "&amp;TEXT(INDEX(TS_Model!$A$5:$A$103,B8+14),"d mmm")</f>
        <v>11 May - 24 May</v>
      </c>
      <c r="E8" s="13" t="n">
        <f aca="false">SUMPRODUCT(ABS(INDEX(TS_Model!$C$5:$C$103,B8+1):INDEX(TS_Model!$C$5:$C$103,B8+14)-INDEX(TS_Model!$C$5:$C$103,B8)))/14</f>
        <v>391.142857142857</v>
      </c>
      <c r="F8" s="13" t="n">
        <f aca="false">SUMPRODUCT(ABS(INDEX(TS_Model!$C$5:$C$103,B8+1):INDEX(TS_Model!$C$5:$C$103,B8+14)-AVERAGE(INDEX(TS_Model!$C$5:$C$103,B8-6):INDEX(TS_Model!$C$5:$C$103,B8))))/14</f>
        <v>369.897959183673</v>
      </c>
      <c r="G8" s="13" t="n">
        <f aca="false">SUMPRODUCT(ABS(INDEX(TS_Model!$C$5:$C$103,B8+1):INDEX(TS_Model!$C$5:$C$103,B8+14)-INDEX(TS_Model!$G$5:$G$103,B8)))/14</f>
        <v>321.156141670747</v>
      </c>
      <c r="H8" s="13" t="n">
        <f aca="false">SUMPRODUCT(ABS(INDEX(TS_Model!$C$5:$C$103,B8+1):INDEX(TS_Model!$C$5:$C$103,B8+14)-(INDEX(TS_Model!$I$5:$I$103,B8)+{1;2;3;4;5;6;7;8;9;10;11;12;13;14}*INDEX(TS_Model!$J$5:$J$103,B8))))/14</f>
        <v>432.925748552686</v>
      </c>
      <c r="I8" s="13" t="n">
        <f aca="false">SQRT(SUMPRODUCT((INDEX(TS_Model!$C$5:$C$103,B8+1):INDEX(TS_Model!$C$5:$C$103,B8+14)-INDEX(TS_Model!$C$5:$C$103,B8))^2)/14)</f>
        <v>492.758706525966</v>
      </c>
      <c r="J8" s="13" t="n">
        <f aca="false">SQRT(SUMPRODUCT((INDEX(TS_Model!$C$5:$C$103,B8+1):INDEX(TS_Model!$C$5:$C$103,B8+14)-AVERAGE(INDEX(TS_Model!$C$5:$C$103,B8-6):INDEX(TS_Model!$C$5:$C$103,B8)))^2)/14)</f>
        <v>462.459198420879</v>
      </c>
      <c r="K8" s="13" t="n">
        <f aca="false">SQRT(SUMPRODUCT((INDEX(TS_Model!$C$5:$C$103,B8+1):INDEX(TS_Model!$C$5:$C$103,B8+14)-INDEX(TS_Model!$G$5:$G$103,B8))^2)/14)</f>
        <v>389.949194759043</v>
      </c>
      <c r="L8" s="13" t="n">
        <f aca="false">SQRT(SUMPRODUCT((INDEX(TS_Model!$C$5:$C$103,B8+1):INDEX(TS_Model!$C$5:$C$103,B8+14)-(INDEX(TS_Model!$I$5:$I$103,B8)+{1;2;3;4;5;6;7;8;9;10;11;12;13;14}*INDEX(TS_Model!$J$5:$J$103,B8)))^2)/14)</f>
        <v>479.245327107014</v>
      </c>
    </row>
    <row r="9" customFormat="false" ht="15" hidden="false" customHeight="false" outlineLevel="0" collapsed="false">
      <c r="A9" s="15" t="n">
        <v>5</v>
      </c>
      <c r="B9" s="33" t="n">
        <v>85</v>
      </c>
      <c r="C9" s="11" t="n">
        <f aca="false">INDEX(TS_Model!$A$5:$A$103,B9)</f>
        <v>43971</v>
      </c>
      <c r="D9" s="12" t="str">
        <f aca="false">TEXT(INDEX(TS_Model!$A$5:$A$103,B9+1),"d mmm")&amp;" - "&amp;TEXT(INDEX(TS_Model!$A$5:$A$103,B9+14),"d mmm")</f>
        <v>21 May - 3 Jun</v>
      </c>
      <c r="E9" s="13" t="n">
        <f aca="false">SUMPRODUCT(ABS(INDEX(TS_Model!$C$5:$C$103,B9+1):INDEX(TS_Model!$C$5:$C$103,B9+14)-INDEX(TS_Model!$C$5:$C$103,B9)))/14</f>
        <v>824.428571428571</v>
      </c>
      <c r="F9" s="13" t="n">
        <f aca="false">SUMPRODUCT(ABS(INDEX(TS_Model!$C$5:$C$103,B9+1):INDEX(TS_Model!$C$5:$C$103,B9+14)-AVERAGE(INDEX(TS_Model!$C$5:$C$103,B9-6):INDEX(TS_Model!$C$5:$C$103,B9))))/14</f>
        <v>986.244897959184</v>
      </c>
      <c r="G9" s="13" t="n">
        <f aca="false">SUMPRODUCT(ABS(INDEX(TS_Model!$C$5:$C$103,B9+1):INDEX(TS_Model!$C$5:$C$103,B9+14)-INDEX(TS_Model!$G$5:$G$103,B9)))/14</f>
        <v>914.535855602516</v>
      </c>
      <c r="H9" s="13" t="n">
        <f aca="false">SUMPRODUCT(ABS(INDEX(TS_Model!$C$5:$C$103,B9+1):INDEX(TS_Model!$C$5:$C$103,B9+14)-(INDEX(TS_Model!$I$5:$I$103,B9)+{1;2;3;4;5;6;7;8;9;10;11;12;13;14}*INDEX(TS_Model!$J$5:$J$103,B9))))/14</f>
        <v>653.84019602836</v>
      </c>
      <c r="I9" s="13" t="n">
        <f aca="false">SQRT(SUMPRODUCT((INDEX(TS_Model!$C$5:$C$103,B9+1):INDEX(TS_Model!$C$5:$C$103,B9+14)-INDEX(TS_Model!$C$5:$C$103,B9))^2)/14)</f>
        <v>1110.78923036088</v>
      </c>
      <c r="J9" s="13" t="n">
        <f aca="false">SQRT(SUMPRODUCT((INDEX(TS_Model!$C$5:$C$103,B9+1):INDEX(TS_Model!$C$5:$C$103,B9+14)-AVERAGE(INDEX(TS_Model!$C$5:$C$103,B9-6):INDEX(TS_Model!$C$5:$C$103,B9)))^2)/14)</f>
        <v>1333.07769573163</v>
      </c>
      <c r="K9" s="13" t="n">
        <f aca="false">SQRT(SUMPRODUCT((INDEX(TS_Model!$C$5:$C$103,B9+1):INDEX(TS_Model!$C$5:$C$103,B9+14)-INDEX(TS_Model!$G$5:$G$103,B9))^2)/14)</f>
        <v>1231.36278131768</v>
      </c>
      <c r="L9" s="13" t="n">
        <f aca="false">SQRT(SUMPRODUCT((INDEX(TS_Model!$C$5:$C$103,B9+1):INDEX(TS_Model!$C$5:$C$103,B9+14)-(INDEX(TS_Model!$I$5:$I$103,B9)+{1;2;3;4;5;6;7;8;9;10;11;12;13;14}*INDEX(TS_Model!$J$5:$J$103,B9)))^2)/14)</f>
        <v>863.044314632826</v>
      </c>
    </row>
    <row r="10" customFormat="false" ht="15" hidden="false" customHeight="false" outlineLevel="0" collapsed="false">
      <c r="A10" s="20" t="s">
        <v>138</v>
      </c>
      <c r="B10" s="20"/>
      <c r="C10" s="20"/>
      <c r="D10" s="20"/>
      <c r="E10" s="22" t="n">
        <f aca="false">AVERAGE(E5:E9)</f>
        <v>508.7</v>
      </c>
      <c r="F10" s="22" t="n">
        <f aca="false">AVERAGE(F5:F9)</f>
        <v>524.79387755102</v>
      </c>
      <c r="G10" s="22" t="n">
        <f aca="false">AVERAGE(G5:G9)</f>
        <v>489.139069389322</v>
      </c>
      <c r="H10" s="22" t="n">
        <f aca="false">AVERAGE(H5:H9)</f>
        <v>368.53015180315</v>
      </c>
      <c r="I10" s="22" t="n">
        <f aca="false">AVERAGE(I5:I9)</f>
        <v>637.385982826943</v>
      </c>
      <c r="J10" s="22" t="n">
        <f aca="false">AVERAGE(J5:J9)</f>
        <v>666.396804409991</v>
      </c>
      <c r="K10" s="22" t="n">
        <f aca="false">AVERAGE(K5:K9)</f>
        <v>616.753951967986</v>
      </c>
      <c r="L10" s="22" t="n">
        <f aca="false">AVERAGE(L5:L9)</f>
        <v>465.78354209124</v>
      </c>
    </row>
    <row r="11" customFormat="false" ht="15" hidden="false" customHeight="false" outlineLevel="0" collapsed="false">
      <c r="A11" s="36" t="s">
        <v>459</v>
      </c>
      <c r="B11" s="36"/>
      <c r="C11" s="36"/>
      <c r="D11" s="36"/>
      <c r="E11" s="59" t="str">
        <f aca="false">INDEX({"Naive","MA(7)","SES","Holt"},MATCH(MIN(I10:L10),I10:L10,0))</f>
        <v>Holt</v>
      </c>
    </row>
    <row r="13" customFormat="false" ht="55.5" hidden="false" customHeight="true" outlineLevel="0" collapsed="false">
      <c r="A13" s="19" t="s">
        <v>460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</row>
  </sheetData>
  <mergeCells count="3">
    <mergeCell ref="A10:D10"/>
    <mergeCell ref="A11:D11"/>
    <mergeCell ref="A13:L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P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  <col collapsed="false" customWidth="true" hidden="false" outlineLevel="0" max="10" min="10" style="0" width="12"/>
    <col collapsed="false" customWidth="true" hidden="false" outlineLevel="0" max="16" min="11" style="0" width="14"/>
  </cols>
  <sheetData>
    <row r="1" customFormat="false" ht="19.7" hidden="false" customHeight="false" outlineLevel="0" collapsed="false">
      <c r="A1" s="1" t="s">
        <v>461</v>
      </c>
    </row>
    <row r="2" customFormat="false" ht="15" hidden="false" customHeight="false" outlineLevel="0" collapsed="false">
      <c r="A2" s="2" t="s">
        <v>462</v>
      </c>
    </row>
    <row r="4" customFormat="false" ht="15" hidden="false" customHeight="false" outlineLevel="0" collapsed="false">
      <c r="A4" s="8" t="s">
        <v>463</v>
      </c>
    </row>
    <row r="5" customFormat="false" ht="31.5" hidden="false" customHeight="true" outlineLevel="0" collapsed="false">
      <c r="A5" s="10" t="s">
        <v>464</v>
      </c>
      <c r="B5" s="10" t="s">
        <v>465</v>
      </c>
      <c r="C5" s="10" t="s">
        <v>191</v>
      </c>
      <c r="D5" s="10" t="s">
        <v>466</v>
      </c>
      <c r="E5" s="10" t="s">
        <v>467</v>
      </c>
      <c r="F5" s="10" t="s">
        <v>468</v>
      </c>
    </row>
    <row r="6" customFormat="false" ht="15" hidden="false" customHeight="false" outlineLevel="0" collapsed="false">
      <c r="A6" s="36" t="s">
        <v>469</v>
      </c>
      <c r="B6" s="38" t="n">
        <f aca="false">INDEX(LINEST(TS_Model!$P$6:$P$103,TS_Model!$C$5:$C$102,TRUE(),TRUE()),1,1)</f>
        <v>0.009793353500432</v>
      </c>
      <c r="C6" s="38" t="n">
        <f aca="false">INDEX(LINEST(TS_Model!$P$6:$P$103,TS_Model!$C$5:$C$102,TRUE(),TRUE()),2,1)</f>
        <v>0.0390403612613323</v>
      </c>
      <c r="D6" s="26" t="n">
        <f aca="false">B6/C6</f>
        <v>0.250852020422564</v>
      </c>
      <c r="E6" s="43" t="n">
        <v>-2.89</v>
      </c>
      <c r="F6" s="36" t="str">
        <f aca="false">IF(D6&lt;E6,"Stationary","Not stationary")</f>
        <v>Not stationary</v>
      </c>
    </row>
    <row r="7" customFormat="false" ht="15" hidden="false" customHeight="false" outlineLevel="0" collapsed="false">
      <c r="A7" s="36" t="s">
        <v>470</v>
      </c>
      <c r="B7" s="38" t="n">
        <f aca="false">INDEX(LINEST(TS_Model!$S$7:$S$103,TS_Model!$P$6:$P$102,TRUE(),TRUE()),1,1)</f>
        <v>-1.34373528108203</v>
      </c>
      <c r="C7" s="38" t="n">
        <f aca="false">INDEX(LINEST(TS_Model!$S$7:$S$103,TS_Model!$P$6:$P$102,TRUE(),TRUE()),2,1)</f>
        <v>0.0970069552299301</v>
      </c>
      <c r="D7" s="26" t="n">
        <f aca="false">B7/C7</f>
        <v>-13.8519478103096</v>
      </c>
      <c r="E7" s="43" t="n">
        <v>-2.89</v>
      </c>
      <c r="F7" s="36" t="str">
        <f aca="false">IF(D7&lt;E7,"Stationary","Not stationary")</f>
        <v>Stationary</v>
      </c>
    </row>
    <row r="8" customFormat="false" ht="15" hidden="false" customHeight="false" outlineLevel="0" collapsed="false">
      <c r="A8" s="59" t="s">
        <v>471</v>
      </c>
      <c r="B8" s="62" t="n">
        <f aca="false">IF(D6&lt;E6,0,IF(D7&lt;E7,1,2))</f>
        <v>1</v>
      </c>
    </row>
    <row r="9" customFormat="false" ht="43.5" hidden="false" customHeight="true" outlineLevel="0" collapsed="false">
      <c r="A9" s="19" t="s">
        <v>472</v>
      </c>
      <c r="B9" s="19"/>
      <c r="C9" s="19"/>
      <c r="D9" s="19"/>
      <c r="E9" s="19"/>
      <c r="F9" s="19"/>
      <c r="G9" s="19"/>
      <c r="H9" s="19"/>
    </row>
    <row r="11" customFormat="false" ht="15" hidden="false" customHeight="false" outlineLevel="0" collapsed="false">
      <c r="A11" s="8" t="s">
        <v>473</v>
      </c>
      <c r="J11" s="8" t="s">
        <v>474</v>
      </c>
    </row>
    <row r="12" customFormat="false" ht="31.5" hidden="false" customHeight="true" outlineLevel="0" collapsed="false">
      <c r="A12" s="10" t="s">
        <v>475</v>
      </c>
      <c r="B12" s="10" t="s">
        <v>476</v>
      </c>
      <c r="C12" s="10" t="s">
        <v>477</v>
      </c>
      <c r="D12" s="10" t="s">
        <v>478</v>
      </c>
      <c r="E12" s="10" t="s">
        <v>479</v>
      </c>
      <c r="J12" s="10" t="s">
        <v>25</v>
      </c>
      <c r="K12" s="10" t="s">
        <v>480</v>
      </c>
      <c r="L12" s="10" t="s">
        <v>481</v>
      </c>
      <c r="M12" s="10" t="s">
        <v>482</v>
      </c>
    </row>
    <row r="13" customFormat="false" ht="15" hidden="false" customHeight="false" outlineLevel="0" collapsed="false">
      <c r="A13" s="63" t="n">
        <v>1</v>
      </c>
      <c r="B13" s="17" t="n">
        <f aca="false">SUMPRODUCT((TS_Model!$C$6:$C$103-AVERAGE(TS_Model!$C$5:$C$103))*(TS_Model!$C$5:$C$102-AVERAGE(TS_Model!$C$5:$C$103)))/DEVSQ(TS_Model!$C$5:$C$103)</f>
        <v>0.859427240922261</v>
      </c>
      <c r="C13" s="17" t="n">
        <f aca="false">SUMPRODUCT((TS_Model!$P$7:$P$103-AVERAGE(TS_Model!$P$6:$P$103))*(TS_Model!$P$6:$P$102-AVERAGE(TS_Model!$P$6:$P$103)))/DEVSQ(TS_Model!$P$6:$P$103)</f>
        <v>-0.339558669915608</v>
      </c>
      <c r="D13" s="17" t="n">
        <f aca="false">1.96/SQRT(99)</f>
        <v>0.196987411790806</v>
      </c>
      <c r="E13" s="17" t="n">
        <f aca="false">-1.96/SQRT(99)</f>
        <v>-0.196987411790806</v>
      </c>
      <c r="J13" s="36" t="s">
        <v>160</v>
      </c>
      <c r="K13" s="13" t="n">
        <f aca="false">AVERAGEIFS(TS_Model!$U$5:$U$103,TS_Model!$B$5:$B$103,J13)</f>
        <v>-111.263736263736</v>
      </c>
      <c r="L13" s="13" t="n">
        <f aca="false">K13-AVERAGE($K$13:$K$19)</f>
        <v>-99.0903790087464</v>
      </c>
      <c r="M13" s="26" t="n">
        <f aca="false">SUMPRODUCT((TS_Model!$B$5:$B$103=J13)*ISNUMBER(TS_Model!$T$5:$T$103)*TS_Model!$C$5:$C$103/(TS_Model!$T$5:$T$103+(TS_Model!$T$5:$T$103=0)))/SUMPRODUCT((TS_Model!$B$5:$B$103=J13)*ISNUMBER(TS_Model!$T$5:$T$103)*(TS_Model!$T$5:$T$103&gt;0))</f>
        <v>1.32166012276774</v>
      </c>
    </row>
    <row r="14" customFormat="false" ht="15" hidden="false" customHeight="false" outlineLevel="0" collapsed="false">
      <c r="A14" s="63" t="n">
        <v>2</v>
      </c>
      <c r="B14" s="17" t="n">
        <f aca="false">SUMPRODUCT((TS_Model!$C$7:$C$103-AVERAGE(TS_Model!$C$5:$C$103))*(TS_Model!$C$5:$C$101-AVERAGE(TS_Model!$C$5:$C$103)))/DEVSQ(TS_Model!$C$5:$C$103)</f>
        <v>0.775816264450397</v>
      </c>
      <c r="C14" s="17" t="n">
        <f aca="false">SUMPRODUCT((TS_Model!$P$8:$P$103-AVERAGE(TS_Model!$P$6:$P$103))*(TS_Model!$P$6:$P$101-AVERAGE(TS_Model!$P$6:$P$103)))/DEVSQ(TS_Model!$P$6:$P$103)</f>
        <v>-0.13126054775812</v>
      </c>
      <c r="D14" s="17" t="n">
        <f aca="false">1.96/SQRT(99)</f>
        <v>0.196987411790806</v>
      </c>
      <c r="E14" s="17" t="n">
        <f aca="false">-1.96/SQRT(99)</f>
        <v>-0.196987411790806</v>
      </c>
      <c r="J14" s="36" t="s">
        <v>161</v>
      </c>
      <c r="K14" s="13" t="n">
        <f aca="false">AVERAGEIFS(TS_Model!$U$5:$U$103,TS_Model!$B$5:$B$103,J14)</f>
        <v>-16.2307692307692</v>
      </c>
      <c r="L14" s="13" t="n">
        <f aca="false">K14-AVERAGE($K$13:$K$19)</f>
        <v>-4.05741197577933</v>
      </c>
      <c r="M14" s="26" t="n">
        <f aca="false">SUMPRODUCT((TS_Model!$B$5:$B$103=J14)*ISNUMBER(TS_Model!$T$5:$T$103)*TS_Model!$C$5:$C$103/(TS_Model!$T$5:$T$103+(TS_Model!$T$5:$T$103=0)))/SUMPRODUCT((TS_Model!$B$5:$B$103=J14)*ISNUMBER(TS_Model!$T$5:$T$103)*(TS_Model!$T$5:$T$103&gt;0))</f>
        <v>0.889401464515013</v>
      </c>
    </row>
    <row r="15" customFormat="false" ht="15" hidden="false" customHeight="false" outlineLevel="0" collapsed="false">
      <c r="A15" s="63" t="n">
        <v>3</v>
      </c>
      <c r="B15" s="17" t="n">
        <f aca="false">SUMPRODUCT((TS_Model!$C$8:$C$103-AVERAGE(TS_Model!$C$5:$C$103))*(TS_Model!$C$5:$C$100-AVERAGE(TS_Model!$C$5:$C$103)))/DEVSQ(TS_Model!$C$5:$C$103)</f>
        <v>0.72088330030218</v>
      </c>
      <c r="C15" s="17" t="n">
        <f aca="false">SUMPRODUCT((TS_Model!$P$9:$P$103-AVERAGE(TS_Model!$P$6:$P$103))*(TS_Model!$P$6:$P$100-AVERAGE(TS_Model!$P$6:$P$103)))/DEVSQ(TS_Model!$P$6:$P$103)</f>
        <v>0.317008584630315</v>
      </c>
      <c r="D15" s="17" t="n">
        <f aca="false">1.96/SQRT(99)</f>
        <v>0.196987411790806</v>
      </c>
      <c r="E15" s="17" t="n">
        <f aca="false">-1.96/SQRT(99)</f>
        <v>-0.196987411790806</v>
      </c>
      <c r="J15" s="36" t="s">
        <v>162</v>
      </c>
      <c r="K15" s="13" t="n">
        <f aca="false">AVERAGEIFS(TS_Model!$U$5:$U$103,TS_Model!$B$5:$B$103,J15)</f>
        <v>43.5384615384616</v>
      </c>
      <c r="L15" s="13" t="n">
        <f aca="false">K15-AVERAGE($K$13:$K$19)</f>
        <v>55.7118187934515</v>
      </c>
      <c r="M15" s="26" t="n">
        <f aca="false">SUMPRODUCT((TS_Model!$B$5:$B$103=J15)*ISNUMBER(TS_Model!$T$5:$T$103)*TS_Model!$C$5:$C$103/(TS_Model!$T$5:$T$103+(TS_Model!$T$5:$T$103=0)))/SUMPRODUCT((TS_Model!$B$5:$B$103=J15)*ISNUMBER(TS_Model!$T$5:$T$103)*(TS_Model!$T$5:$T$103&gt;0))</f>
        <v>0.897579174065168</v>
      </c>
    </row>
    <row r="16" customFormat="false" ht="15" hidden="false" customHeight="false" outlineLevel="0" collapsed="false">
      <c r="A16" s="63" t="n">
        <v>4</v>
      </c>
      <c r="B16" s="17" t="n">
        <f aca="false">SUMPRODUCT((TS_Model!$C$9:$C$103-AVERAGE(TS_Model!$C$5:$C$103))*(TS_Model!$C$5:$C$99-AVERAGE(TS_Model!$C$5:$C$103)))/DEVSQ(TS_Model!$C$5:$C$103)</f>
        <v>0.662994428880607</v>
      </c>
      <c r="C16" s="17" t="n">
        <f aca="false">SUMPRODUCT((TS_Model!$P$10:$P$103-AVERAGE(TS_Model!$P$6:$P$103))*(TS_Model!$P$6:$P$99-AVERAGE(TS_Model!$P$6:$P$103)))/DEVSQ(TS_Model!$P$6:$P$103)</f>
        <v>-0.0752878601571456</v>
      </c>
      <c r="D16" s="17" t="n">
        <f aca="false">1.96/SQRT(99)</f>
        <v>0.196987411790806</v>
      </c>
      <c r="E16" s="17" t="n">
        <f aca="false">-1.96/SQRT(99)</f>
        <v>-0.196987411790806</v>
      </c>
      <c r="J16" s="36" t="s">
        <v>163</v>
      </c>
      <c r="K16" s="13" t="n">
        <f aca="false">AVERAGEIFS(TS_Model!$U$5:$U$103,TS_Model!$B$5:$B$103,J16)</f>
        <v>44.2417582417583</v>
      </c>
      <c r="L16" s="13" t="n">
        <f aca="false">K16-AVERAGE($K$13:$K$19)</f>
        <v>56.4151154967482</v>
      </c>
      <c r="M16" s="26" t="n">
        <f aca="false">SUMPRODUCT((TS_Model!$B$5:$B$103=J16)*ISNUMBER(TS_Model!$T$5:$T$103)*TS_Model!$C$5:$C$103/(TS_Model!$T$5:$T$103+(TS_Model!$T$5:$T$103=0)))/SUMPRODUCT((TS_Model!$B$5:$B$103=J16)*ISNUMBER(TS_Model!$T$5:$T$103)*(TS_Model!$T$5:$T$103&gt;0))</f>
        <v>1.03422225490645</v>
      </c>
    </row>
    <row r="17" customFormat="false" ht="15" hidden="false" customHeight="false" outlineLevel="0" collapsed="false">
      <c r="A17" s="63" t="n">
        <v>5</v>
      </c>
      <c r="B17" s="17" t="n">
        <f aca="false">SUMPRODUCT((TS_Model!$C$10:$C$103-AVERAGE(TS_Model!$C$5:$C$103))*(TS_Model!$C$5:$C$98-AVERAGE(TS_Model!$C$5:$C$103)))/DEVSQ(TS_Model!$C$5:$C$103)</f>
        <v>0.610163823621352</v>
      </c>
      <c r="C17" s="17" t="n">
        <f aca="false">SUMPRODUCT((TS_Model!$P$11:$P$103-AVERAGE(TS_Model!$P$6:$P$103))*(TS_Model!$P$6:$P$98-AVERAGE(TS_Model!$P$6:$P$103)))/DEVSQ(TS_Model!$P$6:$P$103)</f>
        <v>-0.116524849643035</v>
      </c>
      <c r="D17" s="17" t="n">
        <f aca="false">1.96/SQRT(99)</f>
        <v>0.196987411790806</v>
      </c>
      <c r="E17" s="17" t="n">
        <f aca="false">-1.96/SQRT(99)</f>
        <v>-0.196987411790806</v>
      </c>
      <c r="J17" s="36" t="s">
        <v>164</v>
      </c>
      <c r="K17" s="13" t="n">
        <f aca="false">AVERAGEIFS(TS_Model!$U$5:$U$103,TS_Model!$B$5:$B$103,J17)</f>
        <v>-40.989010989011</v>
      </c>
      <c r="L17" s="13" t="n">
        <f aca="false">K17-AVERAGE($K$13:$K$19)</f>
        <v>-28.8156537340211</v>
      </c>
      <c r="M17" s="26" t="n">
        <f aca="false">SUMPRODUCT((TS_Model!$B$5:$B$103=J17)*ISNUMBER(TS_Model!$T$5:$T$103)*TS_Model!$C$5:$C$103/(TS_Model!$T$5:$T$103+(TS_Model!$T$5:$T$103=0)))/SUMPRODUCT((TS_Model!$B$5:$B$103=J17)*ISNUMBER(TS_Model!$T$5:$T$103)*(TS_Model!$T$5:$T$103&gt;0))</f>
        <v>0.787574109888925</v>
      </c>
    </row>
    <row r="18" customFormat="false" ht="15" hidden="false" customHeight="false" outlineLevel="0" collapsed="false">
      <c r="A18" s="63" t="n">
        <v>6</v>
      </c>
      <c r="B18" s="17" t="n">
        <f aca="false">SUMPRODUCT((TS_Model!$C$11:$C$103-AVERAGE(TS_Model!$C$5:$C$103))*(TS_Model!$C$5:$C$97-AVERAGE(TS_Model!$C$5:$C$103)))/DEVSQ(TS_Model!$C$5:$C$103)</f>
        <v>0.590953161047451</v>
      </c>
      <c r="C18" s="17" t="n">
        <f aca="false">SUMPRODUCT((TS_Model!$P$12:$P$103-AVERAGE(TS_Model!$P$6:$P$103))*(TS_Model!$P$6:$P$97-AVERAGE(TS_Model!$P$6:$P$103)))/DEVSQ(TS_Model!$P$6:$P$103)</f>
        <v>0.174474522818728</v>
      </c>
      <c r="D18" s="17" t="n">
        <f aca="false">1.96/SQRT(99)</f>
        <v>0.196987411790806</v>
      </c>
      <c r="E18" s="17" t="n">
        <f aca="false">-1.96/SQRT(99)</f>
        <v>-0.196987411790806</v>
      </c>
      <c r="J18" s="36" t="s">
        <v>165</v>
      </c>
      <c r="K18" s="13" t="n">
        <f aca="false">AVERAGEIFS(TS_Model!$U$5:$U$103,TS_Model!$B$5:$B$103,J18)</f>
        <v>45.6632653061225</v>
      </c>
      <c r="L18" s="13" t="n">
        <f aca="false">K18-AVERAGE($K$13:$K$19)</f>
        <v>57.8366225611124</v>
      </c>
      <c r="M18" s="26" t="n">
        <f aca="false">SUMPRODUCT((TS_Model!$B$5:$B$103=J18)*ISNUMBER(TS_Model!$T$5:$T$103)*TS_Model!$C$5:$C$103/(TS_Model!$T$5:$T$103+(TS_Model!$T$5:$T$103=0)))/SUMPRODUCT((TS_Model!$B$5:$B$103=J18)*ISNUMBER(TS_Model!$T$5:$T$103)*(TS_Model!$T$5:$T$103&gt;0))</f>
        <v>1.00283144278855</v>
      </c>
    </row>
    <row r="19" customFormat="false" ht="15" hidden="false" customHeight="false" outlineLevel="0" collapsed="false">
      <c r="A19" s="63" t="n">
        <v>7</v>
      </c>
      <c r="B19" s="17" t="n">
        <f aca="false">SUMPRODUCT((TS_Model!$C$12:$C$103-AVERAGE(TS_Model!$C$5:$C$103))*(TS_Model!$C$5:$C$96-AVERAGE(TS_Model!$C$5:$C$103)))/DEVSQ(TS_Model!$C$5:$C$103)</f>
        <v>0.543396583656159</v>
      </c>
      <c r="C19" s="17" t="n">
        <f aca="false">SUMPRODUCT((TS_Model!$P$13:$P$103-AVERAGE(TS_Model!$P$6:$P$103))*(TS_Model!$P$6:$P$96-AVERAGE(TS_Model!$P$6:$P$103)))/DEVSQ(TS_Model!$P$6:$P$103)</f>
        <v>-0.0541752085254032</v>
      </c>
      <c r="D19" s="17" t="n">
        <f aca="false">1.96/SQRT(99)</f>
        <v>0.196987411790806</v>
      </c>
      <c r="E19" s="17" t="n">
        <f aca="false">-1.96/SQRT(99)</f>
        <v>-0.196987411790806</v>
      </c>
      <c r="J19" s="36" t="s">
        <v>166</v>
      </c>
      <c r="K19" s="13" t="n">
        <f aca="false">AVERAGEIFS(TS_Model!$U$5:$U$103,TS_Model!$B$5:$B$103,J19)</f>
        <v>-50.1734693877551</v>
      </c>
      <c r="L19" s="13" t="n">
        <f aca="false">K19-AVERAGE($K$13:$K$19)</f>
        <v>-38.0001121327652</v>
      </c>
      <c r="M19" s="26" t="n">
        <f aca="false">SUMPRODUCT((TS_Model!$B$5:$B$103=J19)*ISNUMBER(TS_Model!$T$5:$T$103)*TS_Model!$C$5:$C$103/(TS_Model!$T$5:$T$103+(TS_Model!$T$5:$T$103=0)))/SUMPRODUCT((TS_Model!$B$5:$B$103=J19)*ISNUMBER(TS_Model!$T$5:$T$103)*(TS_Model!$T$5:$T$103&gt;0))</f>
        <v>0.767571653239695</v>
      </c>
    </row>
    <row r="20" customFormat="false" ht="15" hidden="false" customHeight="false" outlineLevel="0" collapsed="false">
      <c r="A20" s="63" t="n">
        <v>8</v>
      </c>
      <c r="B20" s="17" t="n">
        <f aca="false">SUMPRODUCT((TS_Model!$C$13:$C$103-AVERAGE(TS_Model!$C$5:$C$103))*(TS_Model!$C$5:$C$95-AVERAGE(TS_Model!$C$5:$C$103)))/DEVSQ(TS_Model!$C$5:$C$103)</f>
        <v>0.516337361612048</v>
      </c>
      <c r="C20" s="17" t="n">
        <f aca="false">SUMPRODUCT((TS_Model!$P$14:$P$103-AVERAGE(TS_Model!$P$6:$P$103))*(TS_Model!$P$6:$P$95-AVERAGE(TS_Model!$P$6:$P$103)))/DEVSQ(TS_Model!$P$6:$P$103)</f>
        <v>-0.0741113689692601</v>
      </c>
      <c r="D20" s="17" t="n">
        <f aca="false">1.96/SQRT(99)</f>
        <v>0.196987411790806</v>
      </c>
      <c r="E20" s="17" t="n">
        <f aca="false">-1.96/SQRT(99)</f>
        <v>-0.196987411790806</v>
      </c>
      <c r="J20" s="59" t="s">
        <v>483</v>
      </c>
      <c r="K20" s="49" t="str">
        <f aca="false">INDEX($J$13:$J$19,MATCH(MAX($M$13:$M$19),$M$13:$M$19,0))</f>
        <v>Mon</v>
      </c>
    </row>
    <row r="21" customFormat="false" ht="15" hidden="false" customHeight="false" outlineLevel="0" collapsed="false">
      <c r="A21" s="63" t="n">
        <v>9</v>
      </c>
      <c r="B21" s="17" t="n">
        <f aca="false">SUMPRODUCT((TS_Model!$C$14:$C$103-AVERAGE(TS_Model!$C$5:$C$103))*(TS_Model!$C$5:$C$94-AVERAGE(TS_Model!$C$5:$C$103)))/DEVSQ(TS_Model!$C$5:$C$103)</f>
        <v>0.525803500645379</v>
      </c>
      <c r="C21" s="17" t="n">
        <f aca="false">SUMPRODUCT((TS_Model!$P$15:$P$103-AVERAGE(TS_Model!$P$6:$P$103))*(TS_Model!$P$6:$P$94-AVERAGE(TS_Model!$P$6:$P$103)))/DEVSQ(TS_Model!$P$6:$P$103)</f>
        <v>0.136327117119299</v>
      </c>
      <c r="D21" s="17" t="n">
        <f aca="false">1.96/SQRT(99)</f>
        <v>0.196987411790806</v>
      </c>
      <c r="E21" s="17" t="n">
        <f aca="false">-1.96/SQRT(99)</f>
        <v>-0.196987411790806</v>
      </c>
      <c r="J21" s="59" t="s">
        <v>484</v>
      </c>
      <c r="K21" s="49" t="str">
        <f aca="false">INDEX($J$13:$J$19,MATCH(MIN($M$13:$M$19),$M$13:$M$19,0))</f>
        <v>Sun</v>
      </c>
    </row>
    <row r="22" customFormat="false" ht="15" hidden="false" customHeight="false" outlineLevel="0" collapsed="false">
      <c r="A22" s="63" t="n">
        <v>10</v>
      </c>
      <c r="B22" s="17" t="n">
        <f aca="false">SUMPRODUCT((TS_Model!$C$15:$C$103-AVERAGE(TS_Model!$C$5:$C$103))*(TS_Model!$C$5:$C$93-AVERAGE(TS_Model!$C$5:$C$103)))/DEVSQ(TS_Model!$C$5:$C$103)</f>
        <v>0.520647650293977</v>
      </c>
      <c r="C22" s="17" t="n">
        <f aca="false">SUMPRODUCT((TS_Model!$P$16:$P$103-AVERAGE(TS_Model!$P$6:$P$103))*(TS_Model!$P$6:$P$93-AVERAGE(TS_Model!$P$6:$P$103)))/DEVSQ(TS_Model!$P$6:$P$103)</f>
        <v>-0.271085696080032</v>
      </c>
      <c r="D22" s="17" t="n">
        <f aca="false">1.96/SQRT(99)</f>
        <v>0.196987411790806</v>
      </c>
      <c r="E22" s="17" t="n">
        <f aca="false">-1.96/SQRT(99)</f>
        <v>-0.196987411790806</v>
      </c>
      <c r="J22" s="59" t="s">
        <v>485</v>
      </c>
      <c r="K22" s="56" t="n">
        <f aca="false">MAX($M$13:$M$19)-MIN($M$13:$M$19)</f>
        <v>0.554088469528049</v>
      </c>
    </row>
    <row r="23" customFormat="false" ht="15" hidden="false" customHeight="false" outlineLevel="0" collapsed="false">
      <c r="A23" s="63" t="n">
        <v>11</v>
      </c>
      <c r="B23" s="17" t="n">
        <f aca="false">SUMPRODUCT((TS_Model!$C$16:$C$103-AVERAGE(TS_Model!$C$5:$C$103))*(TS_Model!$C$5:$C$92-AVERAGE(TS_Model!$C$5:$C$103)))/DEVSQ(TS_Model!$C$5:$C$103)</f>
        <v>0.533326442060354</v>
      </c>
      <c r="C23" s="17" t="n">
        <f aca="false">SUMPRODUCT((TS_Model!$P$17:$P$103-AVERAGE(TS_Model!$P$6:$P$103))*(TS_Model!$P$6:$P$92-AVERAGE(TS_Model!$P$6:$P$103)))/DEVSQ(TS_Model!$P$6:$P$103)</f>
        <v>0.246775567555055</v>
      </c>
      <c r="D23" s="17" t="n">
        <f aca="false">1.96/SQRT(99)</f>
        <v>0.196987411790806</v>
      </c>
      <c r="E23" s="17" t="n">
        <f aca="false">-1.96/SQRT(99)</f>
        <v>-0.196987411790806</v>
      </c>
    </row>
    <row r="24" customFormat="false" ht="15" hidden="false" customHeight="true" outlineLevel="0" collapsed="false">
      <c r="A24" s="63" t="n">
        <v>12</v>
      </c>
      <c r="B24" s="17" t="n">
        <f aca="false">SUMPRODUCT((TS_Model!$C$17:$C$103-AVERAGE(TS_Model!$C$5:$C$103))*(TS_Model!$C$5:$C$91-AVERAGE(TS_Model!$C$5:$C$103)))/DEVSQ(TS_Model!$C$5:$C$103)</f>
        <v>0.501857643669463</v>
      </c>
      <c r="C24" s="17" t="n">
        <f aca="false">SUMPRODUCT((TS_Model!$P$18:$P$103-AVERAGE(TS_Model!$P$6:$P$103))*(TS_Model!$P$6:$P$91-AVERAGE(TS_Model!$P$6:$P$103)))/DEVSQ(TS_Model!$P$6:$P$103)</f>
        <v>-0.057367860703234</v>
      </c>
      <c r="D24" s="17" t="n">
        <f aca="false">1.96/SQRT(99)</f>
        <v>0.196987411790806</v>
      </c>
      <c r="E24" s="17" t="n">
        <f aca="false">-1.96/SQRT(99)</f>
        <v>-0.196987411790806</v>
      </c>
      <c r="J24" s="19" t="s">
        <v>486</v>
      </c>
      <c r="K24" s="19"/>
      <c r="L24" s="19"/>
      <c r="M24" s="19"/>
      <c r="N24" s="19"/>
      <c r="O24" s="19"/>
      <c r="P24" s="19"/>
    </row>
    <row r="25" customFormat="false" ht="15" hidden="false" customHeight="false" outlineLevel="0" collapsed="false">
      <c r="A25" s="63" t="n">
        <v>13</v>
      </c>
      <c r="B25" s="17" t="n">
        <f aca="false">SUMPRODUCT((TS_Model!$C$18:$C$103-AVERAGE(TS_Model!$C$5:$C$103))*(TS_Model!$C$5:$C$90-AVERAGE(TS_Model!$C$5:$C$103)))/DEVSQ(TS_Model!$C$5:$C$103)</f>
        <v>0.489274007970296</v>
      </c>
      <c r="C25" s="17" t="n">
        <f aca="false">SUMPRODUCT((TS_Model!$P$19:$P$103-AVERAGE(TS_Model!$P$6:$P$103))*(TS_Model!$P$6:$P$90-AVERAGE(TS_Model!$P$6:$P$103)))/DEVSQ(TS_Model!$P$6:$P$103)</f>
        <v>0.00971378867295963</v>
      </c>
      <c r="D25" s="17" t="n">
        <f aca="false">1.96/SQRT(99)</f>
        <v>0.196987411790806</v>
      </c>
      <c r="E25" s="17" t="n">
        <f aca="false">-1.96/SQRT(99)</f>
        <v>-0.196987411790806</v>
      </c>
      <c r="J25" s="19"/>
      <c r="K25" s="19"/>
      <c r="L25" s="19"/>
      <c r="M25" s="19"/>
      <c r="N25" s="19"/>
      <c r="O25" s="19"/>
      <c r="P25" s="19"/>
    </row>
    <row r="26" customFormat="false" ht="15" hidden="false" customHeight="false" outlineLevel="0" collapsed="false">
      <c r="A26" s="63" t="n">
        <v>14</v>
      </c>
      <c r="B26" s="17" t="n">
        <f aca="false">SUMPRODUCT((TS_Model!$C$19:$C$103-AVERAGE(TS_Model!$C$5:$C$103))*(TS_Model!$C$5:$C$89-AVERAGE(TS_Model!$C$5:$C$103)))/DEVSQ(TS_Model!$C$5:$C$103)</f>
        <v>0.442763583209193</v>
      </c>
      <c r="C26" s="17" t="n">
        <f aca="false">SUMPRODUCT((TS_Model!$P$20:$P$103-AVERAGE(TS_Model!$P$6:$P$103))*(TS_Model!$P$6:$P$89-AVERAGE(TS_Model!$P$6:$P$103)))/DEVSQ(TS_Model!$P$6:$P$103)</f>
        <v>-0.0407495165333799</v>
      </c>
      <c r="D26" s="17" t="n">
        <f aca="false">1.96/SQRT(99)</f>
        <v>0.196987411790806</v>
      </c>
      <c r="E26" s="17" t="n">
        <f aca="false">-1.96/SQRT(99)</f>
        <v>-0.196987411790806</v>
      </c>
      <c r="J26" s="19"/>
      <c r="K26" s="19"/>
      <c r="L26" s="19"/>
      <c r="M26" s="19"/>
      <c r="N26" s="19"/>
      <c r="O26" s="19"/>
      <c r="P26" s="19"/>
    </row>
    <row r="27" customFormat="false" ht="15" hidden="false" customHeight="false" outlineLevel="0" collapsed="false">
      <c r="A27" s="63" t="n">
        <v>15</v>
      </c>
      <c r="B27" s="17" t="n">
        <f aca="false">SUMPRODUCT((TS_Model!$C$20:$C$103-AVERAGE(TS_Model!$C$5:$C$103))*(TS_Model!$C$5:$C$88-AVERAGE(TS_Model!$C$5:$C$103)))/DEVSQ(TS_Model!$C$5:$C$103)</f>
        <v>0.416272902891674</v>
      </c>
      <c r="C27" s="17" t="n">
        <f aca="false">SUMPRODUCT((TS_Model!$P$21:$P$103-AVERAGE(TS_Model!$P$6:$P$103))*(TS_Model!$P$6:$P$88-AVERAGE(TS_Model!$P$6:$P$103)))/DEVSQ(TS_Model!$P$6:$P$103)</f>
        <v>0.139731734356191</v>
      </c>
      <c r="D27" s="17" t="n">
        <f aca="false">1.96/SQRT(99)</f>
        <v>0.196987411790806</v>
      </c>
      <c r="E27" s="17" t="n">
        <f aca="false">-1.96/SQRT(99)</f>
        <v>-0.196987411790806</v>
      </c>
      <c r="J27" s="19"/>
      <c r="K27" s="19"/>
      <c r="L27" s="19"/>
      <c r="M27" s="19"/>
      <c r="N27" s="19"/>
      <c r="O27" s="19"/>
      <c r="P27" s="19"/>
    </row>
    <row r="28" customFormat="false" ht="15" hidden="false" customHeight="false" outlineLevel="0" collapsed="false">
      <c r="A28" s="63" t="n">
        <v>16</v>
      </c>
      <c r="B28" s="17" t="n">
        <f aca="false">SUMPRODUCT((TS_Model!$C$21:$C$103-AVERAGE(TS_Model!$C$5:$C$103))*(TS_Model!$C$5:$C$87-AVERAGE(TS_Model!$C$5:$C$103)))/DEVSQ(TS_Model!$C$5:$C$103)</f>
        <v>0.380382648417233</v>
      </c>
      <c r="C28" s="17" t="n">
        <f aca="false">SUMPRODUCT((TS_Model!$P$22:$P$103-AVERAGE(TS_Model!$P$6:$P$103))*(TS_Model!$P$6:$P$87-AVERAGE(TS_Model!$P$6:$P$103)))/DEVSQ(TS_Model!$P$6:$P$103)</f>
        <v>-0.109315665990216</v>
      </c>
      <c r="D28" s="17" t="n">
        <f aca="false">1.96/SQRT(99)</f>
        <v>0.196987411790806</v>
      </c>
      <c r="E28" s="17" t="n">
        <f aca="false">-1.96/SQRT(99)</f>
        <v>-0.196987411790806</v>
      </c>
    </row>
    <row r="29" customFormat="false" ht="15" hidden="false" customHeight="false" outlineLevel="0" collapsed="false">
      <c r="A29" s="63" t="n">
        <v>17</v>
      </c>
      <c r="B29" s="17" t="n">
        <f aca="false">SUMPRODUCT((TS_Model!$C$22:$C$103-AVERAGE(TS_Model!$C$5:$C$103))*(TS_Model!$C$5:$C$86-AVERAGE(TS_Model!$C$5:$C$103)))/DEVSQ(TS_Model!$C$5:$C$103)</f>
        <v>0.359808033531966</v>
      </c>
      <c r="C29" s="17" t="n">
        <f aca="false">SUMPRODUCT((TS_Model!$P$23:$P$103-AVERAGE(TS_Model!$P$6:$P$103))*(TS_Model!$P$6:$P$86-AVERAGE(TS_Model!$P$6:$P$103)))/DEVSQ(TS_Model!$P$6:$P$103)</f>
        <v>-0.0215329595845105</v>
      </c>
      <c r="D29" s="17" t="n">
        <f aca="false">1.96/SQRT(99)</f>
        <v>0.196987411790806</v>
      </c>
      <c r="E29" s="17" t="n">
        <f aca="false">-1.96/SQRT(99)</f>
        <v>-0.196987411790806</v>
      </c>
    </row>
    <row r="30" customFormat="false" ht="15" hidden="false" customHeight="false" outlineLevel="0" collapsed="false">
      <c r="A30" s="63" t="n">
        <v>18</v>
      </c>
      <c r="B30" s="17" t="n">
        <f aca="false">SUMPRODUCT((TS_Model!$C$23:$C$103-AVERAGE(TS_Model!$C$5:$C$103))*(TS_Model!$C$5:$C$85-AVERAGE(TS_Model!$C$5:$C$103)))/DEVSQ(TS_Model!$C$5:$C$103)</f>
        <v>0.334524598018404</v>
      </c>
      <c r="C30" s="17" t="n">
        <f aca="false">SUMPRODUCT((TS_Model!$P$24:$P$103-AVERAGE(TS_Model!$P$6:$P$103))*(TS_Model!$P$6:$P$85-AVERAGE(TS_Model!$P$6:$P$103)))/DEVSQ(TS_Model!$P$6:$P$103)</f>
        <v>0.0279969516039801</v>
      </c>
      <c r="D30" s="17" t="n">
        <f aca="false">1.96/SQRT(99)</f>
        <v>0.196987411790806</v>
      </c>
      <c r="E30" s="17" t="n">
        <f aca="false">-1.96/SQRT(99)</f>
        <v>-0.196987411790806</v>
      </c>
    </row>
    <row r="31" customFormat="false" ht="15" hidden="false" customHeight="false" outlineLevel="0" collapsed="false">
      <c r="A31" s="63" t="n">
        <v>19</v>
      </c>
      <c r="B31" s="17" t="n">
        <f aca="false">SUMPRODUCT((TS_Model!$C$24:$C$103-AVERAGE(TS_Model!$C$5:$C$103))*(TS_Model!$C$5:$C$84-AVERAGE(TS_Model!$C$5:$C$103)))/DEVSQ(TS_Model!$C$5:$C$103)</f>
        <v>0.327422785245044</v>
      </c>
      <c r="C31" s="17" t="n">
        <f aca="false">SUMPRODUCT((TS_Model!$P$25:$P$103-AVERAGE(TS_Model!$P$6:$P$103))*(TS_Model!$P$6:$P$84-AVERAGE(TS_Model!$P$6:$P$103)))/DEVSQ(TS_Model!$P$6:$P$103)</f>
        <v>-0.0108240885535379</v>
      </c>
      <c r="D31" s="17" t="n">
        <f aca="false">1.96/SQRT(99)</f>
        <v>0.196987411790806</v>
      </c>
      <c r="E31" s="17" t="n">
        <f aca="false">-1.96/SQRT(99)</f>
        <v>-0.196987411790806</v>
      </c>
    </row>
    <row r="32" customFormat="false" ht="15" hidden="false" customHeight="false" outlineLevel="0" collapsed="false">
      <c r="A32" s="63" t="n">
        <v>20</v>
      </c>
      <c r="B32" s="17" t="n">
        <f aca="false">SUMPRODUCT((TS_Model!$C$25:$C$103-AVERAGE(TS_Model!$C$5:$C$103))*(TS_Model!$C$5:$C$83-AVERAGE(TS_Model!$C$5:$C$103)))/DEVSQ(TS_Model!$C$5:$C$103)</f>
        <v>0.31608292320259</v>
      </c>
      <c r="C32" s="17" t="n">
        <f aca="false">SUMPRODUCT((TS_Model!$P$26:$P$103-AVERAGE(TS_Model!$P$6:$P$103))*(TS_Model!$P$6:$P$83-AVERAGE(TS_Model!$P$6:$P$103)))/DEVSQ(TS_Model!$P$6:$P$103)</f>
        <v>0.0733736784819401</v>
      </c>
      <c r="D32" s="17" t="n">
        <f aca="false">1.96/SQRT(99)</f>
        <v>0.196987411790806</v>
      </c>
      <c r="E32" s="17" t="n">
        <f aca="false">-1.96/SQRT(99)</f>
        <v>-0.196987411790806</v>
      </c>
    </row>
    <row r="33" customFormat="false" ht="15" hidden="false" customHeight="false" outlineLevel="0" collapsed="false">
      <c r="A33" s="63" t="n">
        <v>21</v>
      </c>
      <c r="B33" s="17" t="n">
        <f aca="false">SUMPRODUCT((TS_Model!$C$26:$C$103-AVERAGE(TS_Model!$C$5:$C$103))*(TS_Model!$C$5:$C$82-AVERAGE(TS_Model!$C$5:$C$103)))/DEVSQ(TS_Model!$C$5:$C$103)</f>
        <v>0.296167014971719</v>
      </c>
      <c r="C33" s="17" t="n">
        <f aca="false">SUMPRODUCT((TS_Model!$P$27:$P$103-AVERAGE(TS_Model!$P$6:$P$103))*(TS_Model!$P$6:$P$82-AVERAGE(TS_Model!$P$6:$P$103)))/DEVSQ(TS_Model!$P$6:$P$103)</f>
        <v>-0.172251153401074</v>
      </c>
      <c r="D33" s="17" t="n">
        <f aca="false">1.96/SQRT(99)</f>
        <v>0.196987411790806</v>
      </c>
      <c r="E33" s="17" t="n">
        <f aca="false">-1.96/SQRT(99)</f>
        <v>-0.196987411790806</v>
      </c>
    </row>
    <row r="35" customFormat="false" ht="43.5" hidden="false" customHeight="true" outlineLevel="0" collapsed="false">
      <c r="A35" s="19" t="s">
        <v>487</v>
      </c>
      <c r="B35" s="19"/>
      <c r="C35" s="19"/>
      <c r="D35" s="19"/>
      <c r="E35" s="19"/>
      <c r="F35" s="19"/>
      <c r="G35" s="19"/>
      <c r="H35" s="19"/>
    </row>
  </sheetData>
  <mergeCells count="3">
    <mergeCell ref="A9:H9"/>
    <mergeCell ref="J24:P27"/>
    <mergeCell ref="A35:H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Y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41" min="2" style="0" width="12"/>
  </cols>
  <sheetData>
    <row r="1" customFormat="false" ht="19.7" hidden="false" customHeight="false" outlineLevel="0" collapsed="false">
      <c r="A1" s="1" t="s">
        <v>488</v>
      </c>
    </row>
    <row r="2" customFormat="false" ht="15" hidden="false" customHeight="false" outlineLevel="0" collapsed="false">
      <c r="A2" s="2" t="s">
        <v>489</v>
      </c>
    </row>
    <row r="4" customFormat="false" ht="15" hidden="false" customHeight="false" outlineLevel="0" collapsed="false">
      <c r="A4" s="8" t="s">
        <v>490</v>
      </c>
    </row>
    <row r="5" customFormat="false" ht="43.5" hidden="false" customHeight="true" outlineLevel="0" collapsed="false">
      <c r="A5" s="10" t="s">
        <v>24</v>
      </c>
      <c r="B5" s="10" t="s">
        <v>76</v>
      </c>
      <c r="C5" s="10" t="s">
        <v>73</v>
      </c>
      <c r="D5" s="10" t="s">
        <v>77</v>
      </c>
      <c r="E5" s="10" t="s">
        <v>75</v>
      </c>
      <c r="F5" s="10" t="s">
        <v>74</v>
      </c>
      <c r="G5" s="10" t="s">
        <v>72</v>
      </c>
      <c r="H5" s="10" t="s">
        <v>71</v>
      </c>
      <c r="I5" s="10" t="s">
        <v>70</v>
      </c>
      <c r="J5" s="10" t="s">
        <v>491</v>
      </c>
      <c r="K5" s="10" t="s">
        <v>492</v>
      </c>
      <c r="L5" s="10" t="s">
        <v>493</v>
      </c>
      <c r="M5" s="10" t="s">
        <v>494</v>
      </c>
      <c r="N5" s="10" t="s">
        <v>495</v>
      </c>
      <c r="O5" s="10" t="s">
        <v>496</v>
      </c>
      <c r="P5" s="10" t="s">
        <v>497</v>
      </c>
      <c r="Q5" s="10" t="s">
        <v>498</v>
      </c>
      <c r="R5" s="10" t="s">
        <v>499</v>
      </c>
      <c r="S5" s="10" t="s">
        <v>500</v>
      </c>
      <c r="T5" s="10" t="s">
        <v>501</v>
      </c>
      <c r="U5" s="10" t="s">
        <v>502</v>
      </c>
      <c r="V5" s="10" t="s">
        <v>503</v>
      </c>
      <c r="W5" s="10" t="s">
        <v>504</v>
      </c>
      <c r="X5" s="10" t="s">
        <v>505</v>
      </c>
      <c r="Y5" s="10" t="s">
        <v>506</v>
      </c>
    </row>
    <row r="6" customFormat="false" ht="15" hidden="false" customHeight="false" outlineLevel="0" collapsed="false">
      <c r="A6" s="11" t="n">
        <f aca="false">Daily!A5</f>
        <v>43887</v>
      </c>
      <c r="B6" s="13" t="n">
        <f aca="false">SUMIFS(Data!$B$2:$B$2797,Data!$A$2:$A$2797,$A6,Data!$F$2:$F$2797,B$5)</f>
        <v>0</v>
      </c>
      <c r="C6" s="13" t="n">
        <f aca="false">SUMIFS(Data!$B$2:$B$2797,Data!$A$2:$A$2797,$A6,Data!$F$2:$F$2797,C$5)</f>
        <v>0</v>
      </c>
      <c r="D6" s="13" t="n">
        <f aca="false">SUMIFS(Data!$B$2:$B$2797,Data!$A$2:$A$2797,$A6,Data!$F$2:$F$2797,D$5)</f>
        <v>0</v>
      </c>
      <c r="E6" s="13" t="n">
        <f aca="false">SUMIFS(Data!$B$2:$B$2797,Data!$A$2:$A$2797,$A6,Data!$F$2:$F$2797,E$5)</f>
        <v>0</v>
      </c>
      <c r="F6" s="13" t="n">
        <f aca="false">SUMIFS(Data!$B$2:$B$2797,Data!$A$2:$A$2797,$A6,Data!$F$2:$F$2797,F$5)</f>
        <v>1</v>
      </c>
      <c r="G6" s="13" t="n">
        <f aca="false">SUMIFS(Data!$B$2:$B$2797,Data!$A$2:$A$2797,$A6,Data!$F$2:$F$2797,G$5)</f>
        <v>0</v>
      </c>
      <c r="H6" s="13" t="n">
        <f aca="false">SUMIFS(Data!$B$2:$B$2797,Data!$A$2:$A$2797,$A6,Data!$F$2:$F$2797,H$5)</f>
        <v>0</v>
      </c>
      <c r="I6" s="13" t="n">
        <f aca="false">SUMIFS(Data!$B$2:$B$2797,Data!$A$2:$A$2797,$A6,Data!$F$2:$F$2797,I$5)</f>
        <v>2</v>
      </c>
      <c r="J6" s="13" t="n">
        <f aca="false">B6</f>
        <v>0</v>
      </c>
      <c r="K6" s="13" t="n">
        <f aca="false">C6</f>
        <v>0</v>
      </c>
      <c r="L6" s="13" t="n">
        <f aca="false">D6</f>
        <v>0</v>
      </c>
      <c r="M6" s="13" t="n">
        <f aca="false">E6</f>
        <v>0</v>
      </c>
      <c r="N6" s="13" t="n">
        <f aca="false">F6</f>
        <v>1</v>
      </c>
      <c r="O6" s="13" t="n">
        <f aca="false">G6</f>
        <v>0</v>
      </c>
      <c r="P6" s="13" t="n">
        <f aca="false">H6</f>
        <v>0</v>
      </c>
      <c r="Q6" s="13" t="n">
        <f aca="false">I6</f>
        <v>2</v>
      </c>
      <c r="R6" s="16" t="n">
        <f aca="false">(B10-B6)/4</f>
        <v>0</v>
      </c>
      <c r="S6" s="16" t="n">
        <f aca="false">(C10-C6)/4</f>
        <v>0</v>
      </c>
      <c r="T6" s="16" t="n">
        <f aca="false">(D10-D6)/4</f>
        <v>0</v>
      </c>
      <c r="U6" s="16" t="n">
        <f aca="false">(E10-E6)/4</f>
        <v>0</v>
      </c>
      <c r="V6" s="16" t="n">
        <f aca="false">(F10-F6)/4</f>
        <v>-0.25</v>
      </c>
      <c r="W6" s="16" t="n">
        <f aca="false">(G10-G6)/4</f>
        <v>0</v>
      </c>
      <c r="X6" s="16" t="n">
        <f aca="false">(H10-H6)/4</f>
        <v>0</v>
      </c>
      <c r="Y6" s="16" t="n">
        <f aca="false">(I10-I6)/4</f>
        <v>-0.5</v>
      </c>
    </row>
    <row r="7" customFormat="false" ht="15" hidden="false" customHeight="false" outlineLevel="0" collapsed="false">
      <c r="A7" s="11" t="n">
        <f aca="false">Daily!A6</f>
        <v>43888</v>
      </c>
      <c r="B7" s="13" t="n">
        <f aca="false">SUMIFS(Data!$B$2:$B$2797,Data!$A$2:$A$2797,$A7,Data!$F$2:$F$2797,B$5)</f>
        <v>0</v>
      </c>
      <c r="C7" s="13" t="n">
        <f aca="false">SUMIFS(Data!$B$2:$B$2797,Data!$A$2:$A$2797,$A7,Data!$F$2:$F$2797,C$5)</f>
        <v>0</v>
      </c>
      <c r="D7" s="13" t="n">
        <f aca="false">SUMIFS(Data!$B$2:$B$2797,Data!$A$2:$A$2797,$A7,Data!$F$2:$F$2797,D$5)</f>
        <v>0</v>
      </c>
      <c r="E7" s="13" t="n">
        <f aca="false">SUMIFS(Data!$B$2:$B$2797,Data!$A$2:$A$2797,$A7,Data!$F$2:$F$2797,E$5)</f>
        <v>0</v>
      </c>
      <c r="F7" s="13" t="n">
        <f aca="false">SUMIFS(Data!$B$2:$B$2797,Data!$A$2:$A$2797,$A7,Data!$F$2:$F$2797,F$5)</f>
        <v>0</v>
      </c>
      <c r="G7" s="13" t="n">
        <f aca="false">SUMIFS(Data!$B$2:$B$2797,Data!$A$2:$A$2797,$A7,Data!$F$2:$F$2797,G$5)</f>
        <v>0</v>
      </c>
      <c r="H7" s="13" t="n">
        <f aca="false">SUMIFS(Data!$B$2:$B$2797,Data!$A$2:$A$2797,$A7,Data!$F$2:$F$2797,H$5)</f>
        <v>0</v>
      </c>
      <c r="I7" s="13" t="n">
        <f aca="false">SUMIFS(Data!$B$2:$B$2797,Data!$A$2:$A$2797,$A7,Data!$F$2:$F$2797,I$5)</f>
        <v>0</v>
      </c>
      <c r="J7" s="13" t="n">
        <f aca="false">TS_Setup!$B$15*B7+(1-TS_Setup!$B$15)*(J6+R6)</f>
        <v>0</v>
      </c>
      <c r="K7" s="13" t="n">
        <f aca="false">TS_Setup!$B$15*C7+(1-TS_Setup!$B$15)*(K6+S6)</f>
        <v>0</v>
      </c>
      <c r="L7" s="13" t="n">
        <f aca="false">TS_Setup!$B$15*D7+(1-TS_Setup!$B$15)*(L6+T6)</f>
        <v>0</v>
      </c>
      <c r="M7" s="13" t="n">
        <f aca="false">TS_Setup!$B$15*E7+(1-TS_Setup!$B$15)*(M6+U6)</f>
        <v>0</v>
      </c>
      <c r="N7" s="13" t="n">
        <f aca="false">TS_Setup!$B$15*F7+(1-TS_Setup!$B$15)*(N6+V6)</f>
        <v>0.68175</v>
      </c>
      <c r="O7" s="13" t="n">
        <f aca="false">TS_Setup!$B$15*G7+(1-TS_Setup!$B$15)*(O6+W6)</f>
        <v>0</v>
      </c>
      <c r="P7" s="13" t="n">
        <f aca="false">TS_Setup!$B$15*H7+(1-TS_Setup!$B$15)*(P6+X6)</f>
        <v>0</v>
      </c>
      <c r="Q7" s="13" t="n">
        <f aca="false">TS_Setup!$B$15*I7+(1-TS_Setup!$B$15)*(Q6+Y6)</f>
        <v>1.3635</v>
      </c>
      <c r="R7" s="16" t="n">
        <f aca="false">TS_Setup!$B$16*(J7-J6)+(1-TS_Setup!$B$16)*R6</f>
        <v>0</v>
      </c>
      <c r="S7" s="16" t="n">
        <f aca="false">TS_Setup!$B$16*(K7-K6)+(1-TS_Setup!$B$16)*S6</f>
        <v>0</v>
      </c>
      <c r="T7" s="16" t="n">
        <f aca="false">TS_Setup!$B$16*(L7-L6)+(1-TS_Setup!$B$16)*T6</f>
        <v>0</v>
      </c>
      <c r="U7" s="16" t="n">
        <f aca="false">TS_Setup!$B$16*(M7-M6)+(1-TS_Setup!$B$16)*U6</f>
        <v>0</v>
      </c>
      <c r="V7" s="16" t="n">
        <f aca="false">TS_Setup!$B$16*(N7-N6)+(1-TS_Setup!$B$16)*V6</f>
        <v>-0.263104</v>
      </c>
      <c r="W7" s="16" t="n">
        <f aca="false">TS_Setup!$B$16*(O7-O6)+(1-TS_Setup!$B$16)*W6</f>
        <v>0</v>
      </c>
      <c r="X7" s="16" t="n">
        <f aca="false">TS_Setup!$B$16*(P7-P6)+(1-TS_Setup!$B$16)*X6</f>
        <v>0</v>
      </c>
      <c r="Y7" s="16" t="n">
        <f aca="false">TS_Setup!$B$16*(Q7-Q6)+(1-TS_Setup!$B$16)*Y6</f>
        <v>-0.526208</v>
      </c>
    </row>
    <row r="8" customFormat="false" ht="15" hidden="false" customHeight="false" outlineLevel="0" collapsed="false">
      <c r="A8" s="11" t="n">
        <f aca="false">Daily!A7</f>
        <v>43889</v>
      </c>
      <c r="B8" s="13" t="n">
        <f aca="false">SUMIFS(Data!$B$2:$B$2797,Data!$A$2:$A$2797,$A8,Data!$F$2:$F$2797,B$5)</f>
        <v>0</v>
      </c>
      <c r="C8" s="13" t="n">
        <f aca="false">SUMIFS(Data!$B$2:$B$2797,Data!$A$2:$A$2797,$A8,Data!$F$2:$F$2797,C$5)</f>
        <v>0</v>
      </c>
      <c r="D8" s="13" t="n">
        <f aca="false">SUMIFS(Data!$B$2:$B$2797,Data!$A$2:$A$2797,$A8,Data!$F$2:$F$2797,D$5)</f>
        <v>0</v>
      </c>
      <c r="E8" s="13" t="n">
        <f aca="false">SUMIFS(Data!$B$2:$B$2797,Data!$A$2:$A$2797,$A8,Data!$F$2:$F$2797,E$5)</f>
        <v>0</v>
      </c>
      <c r="F8" s="13" t="n">
        <f aca="false">SUMIFS(Data!$B$2:$B$2797,Data!$A$2:$A$2797,$A8,Data!$F$2:$F$2797,F$5)</f>
        <v>0</v>
      </c>
      <c r="G8" s="13" t="n">
        <f aca="false">SUMIFS(Data!$B$2:$B$2797,Data!$A$2:$A$2797,$A8,Data!$F$2:$F$2797,G$5)</f>
        <v>0</v>
      </c>
      <c r="H8" s="13" t="n">
        <f aca="false">SUMIFS(Data!$B$2:$B$2797,Data!$A$2:$A$2797,$A8,Data!$F$2:$F$2797,H$5)</f>
        <v>0</v>
      </c>
      <c r="I8" s="13" t="n">
        <f aca="false">SUMIFS(Data!$B$2:$B$2797,Data!$A$2:$A$2797,$A8,Data!$F$2:$F$2797,I$5)</f>
        <v>0</v>
      </c>
      <c r="J8" s="13" t="n">
        <f aca="false">TS_Setup!$B$15*B8+(1-TS_Setup!$B$15)*(J7+R7)</f>
        <v>0</v>
      </c>
      <c r="K8" s="13" t="n">
        <f aca="false">TS_Setup!$B$15*C8+(1-TS_Setup!$B$15)*(K7+S7)</f>
        <v>0</v>
      </c>
      <c r="L8" s="13" t="n">
        <f aca="false">TS_Setup!$B$15*D8+(1-TS_Setup!$B$15)*(L7+T7)</f>
        <v>0</v>
      </c>
      <c r="M8" s="13" t="n">
        <f aca="false">TS_Setup!$B$15*E8+(1-TS_Setup!$B$15)*(M7+U7)</f>
        <v>0</v>
      </c>
      <c r="N8" s="13" t="n">
        <f aca="false">TS_Setup!$B$15*F8+(1-TS_Setup!$B$15)*(N7+V7)</f>
        <v>0.380549214</v>
      </c>
      <c r="O8" s="13" t="n">
        <f aca="false">TS_Setup!$B$15*G8+(1-TS_Setup!$B$15)*(O7+W7)</f>
        <v>0</v>
      </c>
      <c r="P8" s="13" t="n">
        <f aca="false">TS_Setup!$B$15*H8+(1-TS_Setup!$B$15)*(P7+X7)</f>
        <v>0</v>
      </c>
      <c r="Q8" s="13" t="n">
        <f aca="false">TS_Setup!$B$15*I8+(1-TS_Setup!$B$15)*(Q7+Y7)</f>
        <v>0.761098428</v>
      </c>
      <c r="R8" s="16" t="n">
        <f aca="false">TS_Setup!$B$16*(J8-J7)+(1-TS_Setup!$B$16)*R7</f>
        <v>0</v>
      </c>
      <c r="S8" s="16" t="n">
        <f aca="false">TS_Setup!$B$16*(K8-K7)+(1-TS_Setup!$B$16)*S7</f>
        <v>0</v>
      </c>
      <c r="T8" s="16" t="n">
        <f aca="false">TS_Setup!$B$16*(L8-L7)+(1-TS_Setup!$B$16)*T7</f>
        <v>0</v>
      </c>
      <c r="U8" s="16" t="n">
        <f aca="false">TS_Setup!$B$16*(M8-M7)+(1-TS_Setup!$B$16)*U7</f>
        <v>0</v>
      </c>
      <c r="V8" s="16" t="n">
        <f aca="false">TS_Setup!$B$16*(N8-N7)+(1-TS_Setup!$B$16)*V7</f>
        <v>-0.270418582912</v>
      </c>
      <c r="W8" s="16" t="n">
        <f aca="false">TS_Setup!$B$16*(O8-O7)+(1-TS_Setup!$B$16)*W7</f>
        <v>0</v>
      </c>
      <c r="X8" s="16" t="n">
        <f aca="false">TS_Setup!$B$16*(P8-P7)+(1-TS_Setup!$B$16)*X7</f>
        <v>0</v>
      </c>
      <c r="Y8" s="16" t="n">
        <f aca="false">TS_Setup!$B$16*(Q8-Q7)+(1-TS_Setup!$B$16)*Y7</f>
        <v>-0.540837165824</v>
      </c>
    </row>
    <row r="9" customFormat="false" ht="15" hidden="false" customHeight="false" outlineLevel="0" collapsed="false">
      <c r="A9" s="11" t="n">
        <f aca="false">Daily!A8</f>
        <v>43890</v>
      </c>
      <c r="B9" s="13" t="n">
        <f aca="false">SUMIFS(Data!$B$2:$B$2797,Data!$A$2:$A$2797,$A9,Data!$F$2:$F$2797,B$5)</f>
        <v>0</v>
      </c>
      <c r="C9" s="13" t="n">
        <f aca="false">SUMIFS(Data!$B$2:$B$2797,Data!$A$2:$A$2797,$A9,Data!$F$2:$F$2797,C$5)</f>
        <v>0</v>
      </c>
      <c r="D9" s="13" t="n">
        <f aca="false">SUMIFS(Data!$B$2:$B$2797,Data!$A$2:$A$2797,$A9,Data!$F$2:$F$2797,D$5)</f>
        <v>0</v>
      </c>
      <c r="E9" s="13" t="n">
        <f aca="false">SUMIFS(Data!$B$2:$B$2797,Data!$A$2:$A$2797,$A9,Data!$F$2:$F$2797,E$5)</f>
        <v>0</v>
      </c>
      <c r="F9" s="13" t="n">
        <f aca="false">SUMIFS(Data!$B$2:$B$2797,Data!$A$2:$A$2797,$A9,Data!$F$2:$F$2797,F$5)</f>
        <v>1</v>
      </c>
      <c r="G9" s="13" t="n">
        <f aca="false">SUMIFS(Data!$B$2:$B$2797,Data!$A$2:$A$2797,$A9,Data!$F$2:$F$2797,G$5)</f>
        <v>0</v>
      </c>
      <c r="H9" s="13" t="n">
        <f aca="false">SUMIFS(Data!$B$2:$B$2797,Data!$A$2:$A$2797,$A9,Data!$F$2:$F$2797,H$5)</f>
        <v>0</v>
      </c>
      <c r="I9" s="13" t="n">
        <f aca="false">SUMIFS(Data!$B$2:$B$2797,Data!$A$2:$A$2797,$A9,Data!$F$2:$F$2797,I$5)</f>
        <v>1</v>
      </c>
      <c r="J9" s="13" t="n">
        <f aca="false">TS_Setup!$B$15*B9+(1-TS_Setup!$B$15)*(J8+R8)</f>
        <v>0</v>
      </c>
      <c r="K9" s="13" t="n">
        <f aca="false">TS_Setup!$B$15*C9+(1-TS_Setup!$B$15)*(K8+S8)</f>
        <v>0</v>
      </c>
      <c r="L9" s="13" t="n">
        <f aca="false">TS_Setup!$B$15*D9+(1-TS_Setup!$B$15)*(L8+T8)</f>
        <v>0</v>
      </c>
      <c r="M9" s="13" t="n">
        <f aca="false">TS_Setup!$B$15*E9+(1-TS_Setup!$B$15)*(M8+U8)</f>
        <v>0</v>
      </c>
      <c r="N9" s="13" t="n">
        <f aca="false">TS_Setup!$B$15*F9+(1-TS_Setup!$B$15)*(N8+V8)</f>
        <v>0.191108743658992</v>
      </c>
      <c r="O9" s="13" t="n">
        <f aca="false">TS_Setup!$B$15*G9+(1-TS_Setup!$B$15)*(O8+W8)</f>
        <v>0</v>
      </c>
      <c r="P9" s="13" t="n">
        <f aca="false">TS_Setup!$B$15*H9+(1-TS_Setup!$B$15)*(P8+X8)</f>
        <v>0</v>
      </c>
      <c r="Q9" s="13" t="n">
        <f aca="false">TS_Setup!$B$15*I9+(1-TS_Setup!$B$15)*(Q8+Y8)</f>
        <v>0.291217487317984</v>
      </c>
      <c r="R9" s="16" t="n">
        <f aca="false">TS_Setup!$B$16*(J9-J8)+(1-TS_Setup!$B$16)*R8</f>
        <v>0</v>
      </c>
      <c r="S9" s="16" t="n">
        <f aca="false">TS_Setup!$B$16*(K9-K8)+(1-TS_Setup!$B$16)*S8</f>
        <v>0</v>
      </c>
      <c r="T9" s="16" t="n">
        <f aca="false">TS_Setup!$B$16*(L9-L8)+(1-TS_Setup!$B$16)*T8</f>
        <v>0</v>
      </c>
      <c r="U9" s="16" t="n">
        <f aca="false">TS_Setup!$B$16*(M9-M8)+(1-TS_Setup!$B$16)*U8</f>
        <v>0</v>
      </c>
      <c r="V9" s="16" t="n">
        <f aca="false">TS_Setup!$B$16*(N9-N8)+(1-TS_Setup!$B$16)*V8</f>
        <v>-0.25487078529837</v>
      </c>
      <c r="W9" s="16" t="n">
        <f aca="false">TS_Setup!$B$16*(O9-O8)+(1-TS_Setup!$B$16)*W8</f>
        <v>0</v>
      </c>
      <c r="X9" s="16" t="n">
        <f aca="false">TS_Setup!$B$16*(P9-P8)+(1-TS_Setup!$B$16)*X8</f>
        <v>0</v>
      </c>
      <c r="Y9" s="16" t="n">
        <f aca="false">TS_Setup!$B$16*(Q9-Q8)+(1-TS_Setup!$B$16)*Y8</f>
        <v>-0.527213570596739</v>
      </c>
    </row>
    <row r="10" customFormat="false" ht="15" hidden="false" customHeight="false" outlineLevel="0" collapsed="false">
      <c r="A10" s="11" t="n">
        <f aca="false">Daily!A9</f>
        <v>43891</v>
      </c>
      <c r="B10" s="13" t="n">
        <f aca="false">SUMIFS(Data!$B$2:$B$2797,Data!$A$2:$A$2797,$A10,Data!$F$2:$F$2797,B$5)</f>
        <v>0</v>
      </c>
      <c r="C10" s="13" t="n">
        <f aca="false">SUMIFS(Data!$B$2:$B$2797,Data!$A$2:$A$2797,$A10,Data!$F$2:$F$2797,C$5)</f>
        <v>0</v>
      </c>
      <c r="D10" s="13" t="n">
        <f aca="false">SUMIFS(Data!$B$2:$B$2797,Data!$A$2:$A$2797,$A10,Data!$F$2:$F$2797,D$5)</f>
        <v>0</v>
      </c>
      <c r="E10" s="13" t="n">
        <f aca="false">SUMIFS(Data!$B$2:$B$2797,Data!$A$2:$A$2797,$A10,Data!$F$2:$F$2797,E$5)</f>
        <v>0</v>
      </c>
      <c r="F10" s="13" t="n">
        <f aca="false">SUMIFS(Data!$B$2:$B$2797,Data!$A$2:$A$2797,$A10,Data!$F$2:$F$2797,F$5)</f>
        <v>0</v>
      </c>
      <c r="G10" s="13" t="n">
        <f aca="false">SUMIFS(Data!$B$2:$B$2797,Data!$A$2:$A$2797,$A10,Data!$F$2:$F$2797,G$5)</f>
        <v>0</v>
      </c>
      <c r="H10" s="13" t="n">
        <f aca="false">SUMIFS(Data!$B$2:$B$2797,Data!$A$2:$A$2797,$A10,Data!$F$2:$F$2797,H$5)</f>
        <v>0</v>
      </c>
      <c r="I10" s="13" t="n">
        <f aca="false">SUMIFS(Data!$B$2:$B$2797,Data!$A$2:$A$2797,$A10,Data!$F$2:$F$2797,I$5)</f>
        <v>0</v>
      </c>
      <c r="J10" s="13" t="n">
        <f aca="false">TS_Setup!$B$15*B10+(1-TS_Setup!$B$15)*(J9+R9)</f>
        <v>0</v>
      </c>
      <c r="K10" s="13" t="n">
        <f aca="false">TS_Setup!$B$15*C10+(1-TS_Setup!$B$15)*(K9+S9)</f>
        <v>0</v>
      </c>
      <c r="L10" s="13" t="n">
        <f aca="false">TS_Setup!$B$15*D10+(1-TS_Setup!$B$15)*(L9+T9)</f>
        <v>0</v>
      </c>
      <c r="M10" s="13" t="n">
        <f aca="false">TS_Setup!$B$15*E10+(1-TS_Setup!$B$15)*(M9+U9)</f>
        <v>0</v>
      </c>
      <c r="N10" s="13" t="n">
        <f aca="false">TS_Setup!$B$15*F10+(1-TS_Setup!$B$15)*(N9+V9)</f>
        <v>-0.0579596958501941</v>
      </c>
      <c r="O10" s="13" t="n">
        <f aca="false">TS_Setup!$B$15*G10+(1-TS_Setup!$B$15)*(O9+W9)</f>
        <v>0</v>
      </c>
      <c r="P10" s="13" t="n">
        <f aca="false">TS_Setup!$B$15*H10+(1-TS_Setup!$B$15)*(P9+X9)</f>
        <v>0</v>
      </c>
      <c r="Q10" s="13" t="n">
        <f aca="false">TS_Setup!$B$15*I10+(1-TS_Setup!$B$15)*(Q9+Y9)</f>
        <v>-0.214520439700388</v>
      </c>
      <c r="R10" s="16" t="n">
        <f aca="false">TS_Setup!$B$16*(J10-J9)+(1-TS_Setup!$B$16)*R9</f>
        <v>0</v>
      </c>
      <c r="S10" s="16" t="n">
        <f aca="false">TS_Setup!$B$16*(K10-K9)+(1-TS_Setup!$B$16)*S9</f>
        <v>0</v>
      </c>
      <c r="T10" s="16" t="n">
        <f aca="false">TS_Setup!$B$16*(L10-L9)+(1-TS_Setup!$B$16)*T9</f>
        <v>0</v>
      </c>
      <c r="U10" s="16" t="n">
        <f aca="false">TS_Setup!$B$16*(M10-M9)+(1-TS_Setup!$B$16)*U9</f>
        <v>0</v>
      </c>
      <c r="V10" s="16" t="n">
        <f aca="false">TS_Setup!$B$16*(N10-N9)+(1-TS_Setup!$B$16)*V9</f>
        <v>-0.253756734906846</v>
      </c>
      <c r="W10" s="16" t="n">
        <f aca="false">TS_Setup!$B$16*(O10-O9)+(1-TS_Setup!$B$16)*W9</f>
        <v>0</v>
      </c>
      <c r="X10" s="16" t="n">
        <f aca="false">TS_Setup!$B$16*(P10-P9)+(1-TS_Setup!$B$16)*X9</f>
        <v>0</v>
      </c>
      <c r="Y10" s="16" t="n">
        <f aca="false">TS_Setup!$B$16*(Q10-Q9)+(1-TS_Setup!$B$16)*Y9</f>
        <v>-0.523090247029693</v>
      </c>
    </row>
    <row r="11" customFormat="false" ht="15" hidden="false" customHeight="false" outlineLevel="0" collapsed="false">
      <c r="A11" s="11" t="n">
        <f aca="false">Daily!A10</f>
        <v>43892</v>
      </c>
      <c r="B11" s="13" t="n">
        <f aca="false">SUMIFS(Data!$B$2:$B$2797,Data!$A$2:$A$2797,$A11,Data!$F$2:$F$2797,B$5)</f>
        <v>0</v>
      </c>
      <c r="C11" s="13" t="n">
        <f aca="false">SUMIFS(Data!$B$2:$B$2797,Data!$A$2:$A$2797,$A11,Data!$F$2:$F$2797,C$5)</f>
        <v>0</v>
      </c>
      <c r="D11" s="13" t="n">
        <f aca="false">SUMIFS(Data!$B$2:$B$2797,Data!$A$2:$A$2797,$A11,Data!$F$2:$F$2797,D$5)</f>
        <v>0</v>
      </c>
      <c r="E11" s="13" t="n">
        <f aca="false">SUMIFS(Data!$B$2:$B$2797,Data!$A$2:$A$2797,$A11,Data!$F$2:$F$2797,E$5)</f>
        <v>1</v>
      </c>
      <c r="F11" s="13" t="n">
        <f aca="false">SUMIFS(Data!$B$2:$B$2797,Data!$A$2:$A$2797,$A11,Data!$F$2:$F$2797,F$5)</f>
        <v>0</v>
      </c>
      <c r="G11" s="13" t="n">
        <f aca="false">SUMIFS(Data!$B$2:$B$2797,Data!$A$2:$A$2797,$A11,Data!$F$2:$F$2797,G$5)</f>
        <v>0</v>
      </c>
      <c r="H11" s="13" t="n">
        <f aca="false">SUMIFS(Data!$B$2:$B$2797,Data!$A$2:$A$2797,$A11,Data!$F$2:$F$2797,H$5)</f>
        <v>0</v>
      </c>
      <c r="I11" s="13" t="n">
        <f aca="false">SUMIFS(Data!$B$2:$B$2797,Data!$A$2:$A$2797,$A11,Data!$F$2:$F$2797,I$5)</f>
        <v>0</v>
      </c>
      <c r="J11" s="13" t="n">
        <f aca="false">TS_Setup!$B$15*B11+(1-TS_Setup!$B$15)*(J10+R10)</f>
        <v>0</v>
      </c>
      <c r="K11" s="13" t="n">
        <f aca="false">TS_Setup!$B$15*C11+(1-TS_Setup!$B$15)*(K10+S10)</f>
        <v>0</v>
      </c>
      <c r="L11" s="13" t="n">
        <f aca="false">TS_Setup!$B$15*D11+(1-TS_Setup!$B$15)*(L10+T10)</f>
        <v>0</v>
      </c>
      <c r="M11" s="13" t="n">
        <f aca="false">TS_Setup!$B$15*E11+(1-TS_Setup!$B$15)*(M10+U10)</f>
        <v>0.091</v>
      </c>
      <c r="N11" s="13" t="n">
        <f aca="false">TS_Setup!$B$15*F11+(1-TS_Setup!$B$15)*(N10+V10)</f>
        <v>-0.28335023555815</v>
      </c>
      <c r="O11" s="13" t="n">
        <f aca="false">TS_Setup!$B$15*G11+(1-TS_Setup!$B$15)*(O10+W10)</f>
        <v>0</v>
      </c>
      <c r="P11" s="13" t="n">
        <f aca="false">TS_Setup!$B$15*H11+(1-TS_Setup!$B$15)*(P10+X10)</f>
        <v>0</v>
      </c>
      <c r="Q11" s="13" t="n">
        <f aca="false">TS_Setup!$B$15*I11+(1-TS_Setup!$B$15)*(Q10+Y10)</f>
        <v>-0.670488114237644</v>
      </c>
      <c r="R11" s="16" t="n">
        <f aca="false">TS_Setup!$B$16*(J11-J10)+(1-TS_Setup!$B$16)*R10</f>
        <v>0</v>
      </c>
      <c r="S11" s="16" t="n">
        <f aca="false">TS_Setup!$B$16*(K11-K10)+(1-TS_Setup!$B$16)*S10</f>
        <v>0</v>
      </c>
      <c r="T11" s="16" t="n">
        <f aca="false">TS_Setup!$B$16*(L11-L10)+(1-TS_Setup!$B$16)*T10</f>
        <v>0</v>
      </c>
      <c r="U11" s="16" t="n">
        <f aca="false">TS_Setup!$B$16*(M11-M10)+(1-TS_Setup!$B$16)*U10</f>
        <v>0.017472</v>
      </c>
      <c r="V11" s="16" t="n">
        <f aca="false">TS_Setup!$B$16*(N11-N10)+(1-TS_Setup!$B$16)*V10</f>
        <v>-0.248310425428659</v>
      </c>
      <c r="W11" s="16" t="n">
        <f aca="false">TS_Setup!$B$16*(O11-O10)+(1-TS_Setup!$B$16)*W10</f>
        <v>0</v>
      </c>
      <c r="X11" s="16" t="n">
        <f aca="false">TS_Setup!$B$16*(P11-P10)+(1-TS_Setup!$B$16)*X10</f>
        <v>0</v>
      </c>
      <c r="Y11" s="16" t="n">
        <f aca="false">TS_Setup!$B$16*(Q11-Q10)+(1-TS_Setup!$B$16)*Y10</f>
        <v>-0.510202713111145</v>
      </c>
    </row>
    <row r="12" customFormat="false" ht="15" hidden="false" customHeight="false" outlineLevel="0" collapsed="false">
      <c r="A12" s="11" t="n">
        <f aca="false">Daily!A11</f>
        <v>43893</v>
      </c>
      <c r="B12" s="13" t="n">
        <f aca="false">SUMIFS(Data!$B$2:$B$2797,Data!$A$2:$A$2797,$A12,Data!$F$2:$F$2797,B$5)</f>
        <v>0</v>
      </c>
      <c r="C12" s="13" t="n">
        <f aca="false">SUMIFS(Data!$B$2:$B$2797,Data!$A$2:$A$2797,$A12,Data!$F$2:$F$2797,C$5)</f>
        <v>0</v>
      </c>
      <c r="D12" s="13" t="n">
        <f aca="false">SUMIFS(Data!$B$2:$B$2797,Data!$A$2:$A$2797,$A12,Data!$F$2:$F$2797,D$5)</f>
        <v>0</v>
      </c>
      <c r="E12" s="13" t="n">
        <f aca="false">SUMIFS(Data!$B$2:$B$2797,Data!$A$2:$A$2797,$A12,Data!$F$2:$F$2797,E$5)</f>
        <v>0</v>
      </c>
      <c r="F12" s="13" t="n">
        <f aca="false">SUMIFS(Data!$B$2:$B$2797,Data!$A$2:$A$2797,$A12,Data!$F$2:$F$2797,F$5)</f>
        <v>0</v>
      </c>
      <c r="G12" s="13" t="n">
        <f aca="false">SUMIFS(Data!$B$2:$B$2797,Data!$A$2:$A$2797,$A12,Data!$F$2:$F$2797,G$5)</f>
        <v>0</v>
      </c>
      <c r="H12" s="13" t="n">
        <f aca="false">SUMIFS(Data!$B$2:$B$2797,Data!$A$2:$A$2797,$A12,Data!$F$2:$F$2797,H$5)</f>
        <v>0</v>
      </c>
      <c r="I12" s="13" t="n">
        <f aca="false">SUMIFS(Data!$B$2:$B$2797,Data!$A$2:$A$2797,$A12,Data!$F$2:$F$2797,I$5)</f>
        <v>0</v>
      </c>
      <c r="J12" s="13" t="n">
        <f aca="false">TS_Setup!$B$15*B12+(1-TS_Setup!$B$15)*(J11+R11)</f>
        <v>0</v>
      </c>
      <c r="K12" s="13" t="n">
        <f aca="false">TS_Setup!$B$15*C12+(1-TS_Setup!$B$15)*(K11+S11)</f>
        <v>0</v>
      </c>
      <c r="L12" s="13" t="n">
        <f aca="false">TS_Setup!$B$15*D12+(1-TS_Setup!$B$15)*(L11+T11)</f>
        <v>0</v>
      </c>
      <c r="M12" s="13" t="n">
        <f aca="false">TS_Setup!$B$15*E12+(1-TS_Setup!$B$15)*(M11+U11)</f>
        <v>0.098601048</v>
      </c>
      <c r="N12" s="13" t="n">
        <f aca="false">TS_Setup!$B$15*F12+(1-TS_Setup!$B$15)*(N11+V11)</f>
        <v>-0.48327954083701</v>
      </c>
      <c r="O12" s="13" t="n">
        <f aca="false">TS_Setup!$B$15*G12+(1-TS_Setup!$B$15)*(O11+W11)</f>
        <v>0</v>
      </c>
      <c r="P12" s="13" t="n">
        <f aca="false">TS_Setup!$B$15*H12+(1-TS_Setup!$B$15)*(P11+X11)</f>
        <v>0</v>
      </c>
      <c r="Q12" s="13" t="n">
        <f aca="false">TS_Setup!$B$15*I12+(1-TS_Setup!$B$15)*(Q11+Y11)</f>
        <v>-1.07324796206005</v>
      </c>
      <c r="R12" s="16" t="n">
        <f aca="false">TS_Setup!$B$16*(J12-J11)+(1-TS_Setup!$B$16)*R11</f>
        <v>0</v>
      </c>
      <c r="S12" s="16" t="n">
        <f aca="false">TS_Setup!$B$16*(K12-K11)+(1-TS_Setup!$B$16)*S11</f>
        <v>0</v>
      </c>
      <c r="T12" s="16" t="n">
        <f aca="false">TS_Setup!$B$16*(L12-L11)+(1-TS_Setup!$B$16)*T11</f>
        <v>0</v>
      </c>
      <c r="U12" s="16" t="n">
        <f aca="false">TS_Setup!$B$16*(M12-M11)+(1-TS_Setup!$B$16)*U11</f>
        <v>0.015576777216</v>
      </c>
      <c r="V12" s="16" t="n">
        <f aca="false">TS_Setup!$B$16*(N12-N11)+(1-TS_Setup!$B$16)*V11</f>
        <v>-0.239021250359898</v>
      </c>
      <c r="W12" s="16" t="n">
        <f aca="false">TS_Setup!$B$16*(O12-O11)+(1-TS_Setup!$B$16)*W11</f>
        <v>0</v>
      </c>
      <c r="X12" s="16" t="n">
        <f aca="false">TS_Setup!$B$16*(P12-P11)+(1-TS_Setup!$B$16)*X11</f>
        <v>0</v>
      </c>
      <c r="Y12" s="16" t="n">
        <f aca="false">TS_Setup!$B$16*(Q12-Q11)+(1-TS_Setup!$B$16)*Y11</f>
        <v>-0.489573682975707</v>
      </c>
    </row>
    <row r="13" customFormat="false" ht="15" hidden="false" customHeight="false" outlineLevel="0" collapsed="false">
      <c r="A13" s="11" t="n">
        <f aca="false">Daily!A12</f>
        <v>43894</v>
      </c>
      <c r="B13" s="13" t="n">
        <f aca="false">SUMIFS(Data!$B$2:$B$2797,Data!$A$2:$A$2797,$A13,Data!$F$2:$F$2797,B$5)</f>
        <v>0</v>
      </c>
      <c r="C13" s="13" t="n">
        <f aca="false">SUMIFS(Data!$B$2:$B$2797,Data!$A$2:$A$2797,$A13,Data!$F$2:$F$2797,C$5)</f>
        <v>0</v>
      </c>
      <c r="D13" s="13" t="n">
        <f aca="false">SUMIFS(Data!$B$2:$B$2797,Data!$A$2:$A$2797,$A13,Data!$F$2:$F$2797,D$5)</f>
        <v>0</v>
      </c>
      <c r="E13" s="13" t="n">
        <f aca="false">SUMIFS(Data!$B$2:$B$2797,Data!$A$2:$A$2797,$A13,Data!$F$2:$F$2797,E$5)</f>
        <v>0</v>
      </c>
      <c r="F13" s="13" t="n">
        <f aca="false">SUMIFS(Data!$B$2:$B$2797,Data!$A$2:$A$2797,$A13,Data!$F$2:$F$2797,F$5)</f>
        <v>0</v>
      </c>
      <c r="G13" s="13" t="n">
        <f aca="false">SUMIFS(Data!$B$2:$B$2797,Data!$A$2:$A$2797,$A13,Data!$F$2:$F$2797,G$5)</f>
        <v>0</v>
      </c>
      <c r="H13" s="13" t="n">
        <f aca="false">SUMIFS(Data!$B$2:$B$2797,Data!$A$2:$A$2797,$A13,Data!$F$2:$F$2797,H$5)</f>
        <v>0</v>
      </c>
      <c r="I13" s="13" t="n">
        <f aca="false">SUMIFS(Data!$B$2:$B$2797,Data!$A$2:$A$2797,$A13,Data!$F$2:$F$2797,I$5)</f>
        <v>0</v>
      </c>
      <c r="J13" s="13" t="n">
        <f aca="false">TS_Setup!$B$15*B13+(1-TS_Setup!$B$15)*(J12+R12)</f>
        <v>0</v>
      </c>
      <c r="K13" s="13" t="n">
        <f aca="false">TS_Setup!$B$15*C13+(1-TS_Setup!$B$15)*(K12+S12)</f>
        <v>0</v>
      </c>
      <c r="L13" s="13" t="n">
        <f aca="false">TS_Setup!$B$15*D13+(1-TS_Setup!$B$15)*(L12+T12)</f>
        <v>0</v>
      </c>
      <c r="M13" s="13" t="n">
        <f aca="false">TS_Setup!$B$15*E13+(1-TS_Setup!$B$15)*(M12+U12)</f>
        <v>0.103787643121344</v>
      </c>
      <c r="N13" s="13" t="n">
        <f aca="false">TS_Setup!$B$15*F13+(1-TS_Setup!$B$15)*(N12+V12)</f>
        <v>-0.656571419197989</v>
      </c>
      <c r="O13" s="13" t="n">
        <f aca="false">TS_Setup!$B$15*G13+(1-TS_Setup!$B$15)*(O12+W12)</f>
        <v>0</v>
      </c>
      <c r="P13" s="13" t="n">
        <f aca="false">TS_Setup!$B$15*H13+(1-TS_Setup!$B$15)*(P12+X12)</f>
        <v>0</v>
      </c>
      <c r="Q13" s="13" t="n">
        <f aca="false">TS_Setup!$B$15*I13+(1-TS_Setup!$B$15)*(Q12+Y12)</f>
        <v>-1.4206048753375</v>
      </c>
      <c r="R13" s="16" t="n">
        <f aca="false">TS_Setup!$B$16*(J13-J12)+(1-TS_Setup!$B$16)*R12</f>
        <v>0</v>
      </c>
      <c r="S13" s="16" t="n">
        <f aca="false">TS_Setup!$B$16*(K13-K12)+(1-TS_Setup!$B$16)*S12</f>
        <v>0</v>
      </c>
      <c r="T13" s="16" t="n">
        <f aca="false">TS_Setup!$B$16*(L13-L12)+(1-TS_Setup!$B$16)*T12</f>
        <v>0</v>
      </c>
      <c r="U13" s="16" t="n">
        <f aca="false">TS_Setup!$B$16*(M13-M12)+(1-TS_Setup!$B$16)*U12</f>
        <v>0.0135818622538261</v>
      </c>
      <c r="V13" s="16" t="n">
        <f aca="false">TS_Setup!$B$16*(N13-N12)+(1-TS_Setup!$B$16)*V12</f>
        <v>-0.226401210936106</v>
      </c>
      <c r="W13" s="16" t="n">
        <f aca="false">TS_Setup!$B$16*(O13-O12)+(1-TS_Setup!$B$16)*W12</f>
        <v>0</v>
      </c>
      <c r="X13" s="16" t="n">
        <f aca="false">TS_Setup!$B$16*(P13-P12)+(1-TS_Setup!$B$16)*X12</f>
        <v>0</v>
      </c>
      <c r="Y13" s="16" t="n">
        <f aca="false">TS_Setup!$B$16*(Q13-Q12)+(1-TS_Setup!$B$16)*Y12</f>
        <v>-0.462268063193642</v>
      </c>
    </row>
    <row r="14" customFormat="false" ht="15" hidden="false" customHeight="false" outlineLevel="0" collapsed="false">
      <c r="A14" s="11" t="n">
        <f aca="false">Daily!A13</f>
        <v>43895</v>
      </c>
      <c r="B14" s="13" t="n">
        <f aca="false">SUMIFS(Data!$B$2:$B$2797,Data!$A$2:$A$2797,$A14,Data!$F$2:$F$2797,B$5)</f>
        <v>0</v>
      </c>
      <c r="C14" s="13" t="n">
        <f aca="false">SUMIFS(Data!$B$2:$B$2797,Data!$A$2:$A$2797,$A14,Data!$F$2:$F$2797,C$5)</f>
        <v>0</v>
      </c>
      <c r="D14" s="13" t="n">
        <f aca="false">SUMIFS(Data!$B$2:$B$2797,Data!$A$2:$A$2797,$A14,Data!$F$2:$F$2797,D$5)</f>
        <v>0</v>
      </c>
      <c r="E14" s="13" t="n">
        <f aca="false">SUMIFS(Data!$B$2:$B$2797,Data!$A$2:$A$2797,$A14,Data!$F$2:$F$2797,E$5)</f>
        <v>0</v>
      </c>
      <c r="F14" s="13" t="n">
        <f aca="false">SUMIFS(Data!$B$2:$B$2797,Data!$A$2:$A$2797,$A14,Data!$F$2:$F$2797,F$5)</f>
        <v>0</v>
      </c>
      <c r="G14" s="13" t="n">
        <f aca="false">SUMIFS(Data!$B$2:$B$2797,Data!$A$2:$A$2797,$A14,Data!$F$2:$F$2797,G$5)</f>
        <v>0</v>
      </c>
      <c r="H14" s="13" t="n">
        <f aca="false">SUMIFS(Data!$B$2:$B$2797,Data!$A$2:$A$2797,$A14,Data!$F$2:$F$2797,H$5)</f>
        <v>0</v>
      </c>
      <c r="I14" s="13" t="n">
        <f aca="false">SUMIFS(Data!$B$2:$B$2797,Data!$A$2:$A$2797,$A14,Data!$F$2:$F$2797,I$5)</f>
        <v>0</v>
      </c>
      <c r="J14" s="13" t="n">
        <f aca="false">TS_Setup!$B$15*B14+(1-TS_Setup!$B$15)*(J13+R13)</f>
        <v>0</v>
      </c>
      <c r="K14" s="13" t="n">
        <f aca="false">TS_Setup!$B$15*C14+(1-TS_Setup!$B$15)*(K13+S13)</f>
        <v>0</v>
      </c>
      <c r="L14" s="13" t="n">
        <f aca="false">TS_Setup!$B$15*D14+(1-TS_Setup!$B$15)*(L13+T13)</f>
        <v>0</v>
      </c>
      <c r="M14" s="13" t="n">
        <f aca="false">TS_Setup!$B$15*E14+(1-TS_Setup!$B$15)*(M13+U13)</f>
        <v>0.10668888038603</v>
      </c>
      <c r="N14" s="13" t="n">
        <f aca="false">TS_Setup!$B$15*F14+(1-TS_Setup!$B$15)*(N13+V13)</f>
        <v>-0.802622120791892</v>
      </c>
      <c r="O14" s="13" t="n">
        <f aca="false">TS_Setup!$B$15*G14+(1-TS_Setup!$B$15)*(O13+W13)</f>
        <v>0</v>
      </c>
      <c r="P14" s="13" t="n">
        <f aca="false">TS_Setup!$B$15*H14+(1-TS_Setup!$B$15)*(P13+X13)</f>
        <v>0</v>
      </c>
      <c r="Q14" s="13" t="n">
        <f aca="false">TS_Setup!$B$15*I14+(1-TS_Setup!$B$15)*(Q13+Y13)</f>
        <v>-1.71153150112481</v>
      </c>
      <c r="R14" s="16" t="n">
        <f aca="false">TS_Setup!$B$16*(J14-J13)+(1-TS_Setup!$B$16)*R13</f>
        <v>0</v>
      </c>
      <c r="S14" s="16" t="n">
        <f aca="false">TS_Setup!$B$16*(K14-K13)+(1-TS_Setup!$B$16)*S13</f>
        <v>0</v>
      </c>
      <c r="T14" s="16" t="n">
        <f aca="false">TS_Setup!$B$16*(L14-L13)+(1-TS_Setup!$B$16)*T13</f>
        <v>0</v>
      </c>
      <c r="U14" s="16" t="n">
        <f aca="false">TS_Setup!$B$16*(M14-M13)+(1-TS_Setup!$B$16)*U13</f>
        <v>0.0115311822559111</v>
      </c>
      <c r="V14" s="16" t="n">
        <f aca="false">TS_Setup!$B$16*(N14-N13)+(1-TS_Setup!$B$16)*V13</f>
        <v>-0.210973913142403</v>
      </c>
      <c r="W14" s="16" t="n">
        <f aca="false">TS_Setup!$B$16*(O14-O13)+(1-TS_Setup!$B$16)*W13</f>
        <v>0</v>
      </c>
      <c r="X14" s="16" t="n">
        <f aca="false">TS_Setup!$B$16*(P14-P13)+(1-TS_Setup!$B$16)*X13</f>
        <v>0</v>
      </c>
      <c r="Y14" s="16" t="n">
        <f aca="false">TS_Setup!$B$16*(Q14-Q13)+(1-TS_Setup!$B$16)*Y13</f>
        <v>-0.429370507211626</v>
      </c>
    </row>
    <row r="15" customFormat="false" ht="15" hidden="false" customHeight="false" outlineLevel="0" collapsed="false">
      <c r="A15" s="11" t="n">
        <f aca="false">Daily!A14</f>
        <v>43896</v>
      </c>
      <c r="B15" s="13" t="n">
        <f aca="false">SUMIFS(Data!$B$2:$B$2797,Data!$A$2:$A$2797,$A15,Data!$F$2:$F$2797,B$5)</f>
        <v>0</v>
      </c>
      <c r="C15" s="13" t="n">
        <f aca="false">SUMIFS(Data!$B$2:$B$2797,Data!$A$2:$A$2797,$A15,Data!$F$2:$F$2797,C$5)</f>
        <v>0</v>
      </c>
      <c r="D15" s="13" t="n">
        <f aca="false">SUMIFS(Data!$B$2:$B$2797,Data!$A$2:$A$2797,$A15,Data!$F$2:$F$2797,D$5)</f>
        <v>0</v>
      </c>
      <c r="E15" s="13" t="n">
        <f aca="false">SUMIFS(Data!$B$2:$B$2797,Data!$A$2:$A$2797,$A15,Data!$F$2:$F$2797,E$5)</f>
        <v>0</v>
      </c>
      <c r="F15" s="13" t="n">
        <f aca="false">SUMIFS(Data!$B$2:$B$2797,Data!$A$2:$A$2797,$A15,Data!$F$2:$F$2797,F$5)</f>
        <v>0</v>
      </c>
      <c r="G15" s="13" t="n">
        <f aca="false">SUMIFS(Data!$B$2:$B$2797,Data!$A$2:$A$2797,$A15,Data!$F$2:$F$2797,G$5)</f>
        <v>0</v>
      </c>
      <c r="H15" s="13" t="n">
        <f aca="false">SUMIFS(Data!$B$2:$B$2797,Data!$A$2:$A$2797,$A15,Data!$F$2:$F$2797,H$5)</f>
        <v>0</v>
      </c>
      <c r="I15" s="13" t="n">
        <f aca="false">SUMIFS(Data!$B$2:$B$2797,Data!$A$2:$A$2797,$A15,Data!$F$2:$F$2797,I$5)</f>
        <v>0</v>
      </c>
      <c r="J15" s="13" t="n">
        <f aca="false">TS_Setup!$B$15*B15+(1-TS_Setup!$B$15)*(J14+R14)</f>
        <v>0</v>
      </c>
      <c r="K15" s="13" t="n">
        <f aca="false">TS_Setup!$B$15*C15+(1-TS_Setup!$B$15)*(K14+S14)</f>
        <v>0</v>
      </c>
      <c r="L15" s="13" t="n">
        <f aca="false">TS_Setup!$B$15*D15+(1-TS_Setup!$B$15)*(L14+T14)</f>
        <v>0</v>
      </c>
      <c r="M15" s="13" t="n">
        <f aca="false">TS_Setup!$B$15*E15+(1-TS_Setup!$B$15)*(M14+U14)</f>
        <v>0.107462036941524</v>
      </c>
      <c r="N15" s="13" t="n">
        <f aca="false">TS_Setup!$B$15*F15+(1-TS_Setup!$B$15)*(N14+V14)</f>
        <v>-0.921358794846274</v>
      </c>
      <c r="O15" s="13" t="n">
        <f aca="false">TS_Setup!$B$15*G15+(1-TS_Setup!$B$15)*(O14+W14)</f>
        <v>0</v>
      </c>
      <c r="P15" s="13" t="n">
        <f aca="false">TS_Setup!$B$15*H15+(1-TS_Setup!$B$15)*(P14+X14)</f>
        <v>0</v>
      </c>
      <c r="Q15" s="13" t="n">
        <f aca="false">TS_Setup!$B$15*I15+(1-TS_Setup!$B$15)*(Q14+Y14)</f>
        <v>-1.94607992557782</v>
      </c>
      <c r="R15" s="16" t="n">
        <f aca="false">TS_Setup!$B$16*(J15-J14)+(1-TS_Setup!$B$16)*R14</f>
        <v>0</v>
      </c>
      <c r="S15" s="16" t="n">
        <f aca="false">TS_Setup!$B$16*(K15-K14)+(1-TS_Setup!$B$16)*S14</f>
        <v>0</v>
      </c>
      <c r="T15" s="16" t="n">
        <f aca="false">TS_Setup!$B$16*(L15-L14)+(1-TS_Setup!$B$16)*T14</f>
        <v>0</v>
      </c>
      <c r="U15" s="16" t="n">
        <f aca="false">TS_Setup!$B$16*(M15-M14)+(1-TS_Setup!$B$16)*U14</f>
        <v>0.0094656413214311</v>
      </c>
      <c r="V15" s="16" t="n">
        <f aca="false">TS_Setup!$B$16*(N15-N14)+(1-TS_Setup!$B$16)*V14</f>
        <v>-0.193264363237503</v>
      </c>
      <c r="W15" s="16" t="n">
        <f aca="false">TS_Setup!$B$16*(O15-O14)+(1-TS_Setup!$B$16)*W14</f>
        <v>0</v>
      </c>
      <c r="X15" s="16" t="n">
        <f aca="false">TS_Setup!$B$16*(P15-P14)+(1-TS_Setup!$B$16)*X14</f>
        <v>0</v>
      </c>
      <c r="Y15" s="16" t="n">
        <f aca="false">TS_Setup!$B$16*(Q15-Q14)+(1-TS_Setup!$B$16)*Y14</f>
        <v>-0.391964667321972</v>
      </c>
    </row>
    <row r="16" customFormat="false" ht="15" hidden="false" customHeight="false" outlineLevel="0" collapsed="false">
      <c r="A16" s="11" t="n">
        <f aca="false">Daily!A15</f>
        <v>43897</v>
      </c>
      <c r="B16" s="13" t="n">
        <f aca="false">SUMIFS(Data!$B$2:$B$2797,Data!$A$2:$A$2797,$A16,Data!$F$2:$F$2797,B$5)</f>
        <v>0</v>
      </c>
      <c r="C16" s="13" t="n">
        <f aca="false">SUMIFS(Data!$B$2:$B$2797,Data!$A$2:$A$2797,$A16,Data!$F$2:$F$2797,C$5)</f>
        <v>0</v>
      </c>
      <c r="D16" s="13" t="n">
        <f aca="false">SUMIFS(Data!$B$2:$B$2797,Data!$A$2:$A$2797,$A16,Data!$F$2:$F$2797,D$5)</f>
        <v>0</v>
      </c>
      <c r="E16" s="13" t="n">
        <f aca="false">SUMIFS(Data!$B$2:$B$2797,Data!$A$2:$A$2797,$A16,Data!$F$2:$F$2797,E$5)</f>
        <v>0</v>
      </c>
      <c r="F16" s="13" t="n">
        <f aca="false">SUMIFS(Data!$B$2:$B$2797,Data!$A$2:$A$2797,$A16,Data!$F$2:$F$2797,F$5)</f>
        <v>0</v>
      </c>
      <c r="G16" s="13" t="n">
        <f aca="false">SUMIFS(Data!$B$2:$B$2797,Data!$A$2:$A$2797,$A16,Data!$F$2:$F$2797,G$5)</f>
        <v>0</v>
      </c>
      <c r="H16" s="13" t="n">
        <f aca="false">SUMIFS(Data!$B$2:$B$2797,Data!$A$2:$A$2797,$A16,Data!$F$2:$F$2797,H$5)</f>
        <v>0</v>
      </c>
      <c r="I16" s="13" t="n">
        <f aca="false">SUMIFS(Data!$B$2:$B$2797,Data!$A$2:$A$2797,$A16,Data!$F$2:$F$2797,I$5)</f>
        <v>1</v>
      </c>
      <c r="J16" s="13" t="n">
        <f aca="false">TS_Setup!$B$15*B16+(1-TS_Setup!$B$15)*(J15+R15)</f>
        <v>0</v>
      </c>
      <c r="K16" s="13" t="n">
        <f aca="false">TS_Setup!$B$15*C16+(1-TS_Setup!$B$15)*(K15+S15)</f>
        <v>0</v>
      </c>
      <c r="L16" s="13" t="n">
        <f aca="false">TS_Setup!$B$15*D16+(1-TS_Setup!$B$15)*(L15+T15)</f>
        <v>0</v>
      </c>
      <c r="M16" s="13" t="n">
        <f aca="false">TS_Setup!$B$15*E16+(1-TS_Setup!$B$15)*(M15+U15)</f>
        <v>0.106287259541026</v>
      </c>
      <c r="N16" s="13" t="n">
        <f aca="false">TS_Setup!$B$15*F16+(1-TS_Setup!$B$15)*(N15+V15)</f>
        <v>-1.01319245069815</v>
      </c>
      <c r="O16" s="13" t="n">
        <f aca="false">TS_Setup!$B$15*G16+(1-TS_Setup!$B$15)*(O15+W15)</f>
        <v>0</v>
      </c>
      <c r="P16" s="13" t="n">
        <f aca="false">TS_Setup!$B$15*H16+(1-TS_Setup!$B$15)*(P15+X15)</f>
        <v>0</v>
      </c>
      <c r="Q16" s="13" t="n">
        <f aca="false">TS_Setup!$B$15*I16+(1-TS_Setup!$B$15)*(Q15+Y15)</f>
        <v>-2.03428253494591</v>
      </c>
      <c r="R16" s="16" t="n">
        <f aca="false">TS_Setup!$B$16*(J16-J15)+(1-TS_Setup!$B$16)*R15</f>
        <v>0</v>
      </c>
      <c r="S16" s="16" t="n">
        <f aca="false">TS_Setup!$B$16*(K16-K15)+(1-TS_Setup!$B$16)*S15</f>
        <v>0</v>
      </c>
      <c r="T16" s="16" t="n">
        <f aca="false">TS_Setup!$B$16*(L16-L15)+(1-TS_Setup!$B$16)*T15</f>
        <v>0</v>
      </c>
      <c r="U16" s="16" t="n">
        <f aca="false">TS_Setup!$B$16*(M16-M15)+(1-TS_Setup!$B$16)*U15</f>
        <v>0.00742268092682075</v>
      </c>
      <c r="V16" s="16" t="n">
        <f aca="false">TS_Setup!$B$16*(N16-N15)+(1-TS_Setup!$B$16)*V15</f>
        <v>-0.173789667419463</v>
      </c>
      <c r="W16" s="16" t="n">
        <f aca="false">TS_Setup!$B$16*(O16-O15)+(1-TS_Setup!$B$16)*W15</f>
        <v>0</v>
      </c>
      <c r="X16" s="16" t="n">
        <f aca="false">TS_Setup!$B$16*(P16-P15)+(1-TS_Setup!$B$16)*X15</f>
        <v>0</v>
      </c>
      <c r="Y16" s="16" t="n">
        <f aca="false">TS_Setup!$B$16*(Q16-Q15)+(1-TS_Setup!$B$16)*Y15</f>
        <v>-0.333642352194827</v>
      </c>
    </row>
    <row r="17" customFormat="false" ht="15" hidden="false" customHeight="false" outlineLevel="0" collapsed="false">
      <c r="A17" s="11" t="n">
        <f aca="false">Daily!A16</f>
        <v>43898</v>
      </c>
      <c r="B17" s="13" t="n">
        <f aca="false">SUMIFS(Data!$B$2:$B$2797,Data!$A$2:$A$2797,$A17,Data!$F$2:$F$2797,B$5)</f>
        <v>0</v>
      </c>
      <c r="C17" s="13" t="n">
        <f aca="false">SUMIFS(Data!$B$2:$B$2797,Data!$A$2:$A$2797,$A17,Data!$F$2:$F$2797,C$5)</f>
        <v>0</v>
      </c>
      <c r="D17" s="13" t="n">
        <f aca="false">SUMIFS(Data!$B$2:$B$2797,Data!$A$2:$A$2797,$A17,Data!$F$2:$F$2797,D$5)</f>
        <v>0</v>
      </c>
      <c r="E17" s="13" t="n">
        <f aca="false">SUMIFS(Data!$B$2:$B$2797,Data!$A$2:$A$2797,$A17,Data!$F$2:$F$2797,E$5)</f>
        <v>0</v>
      </c>
      <c r="F17" s="13" t="n">
        <f aca="false">SUMIFS(Data!$B$2:$B$2797,Data!$A$2:$A$2797,$A17,Data!$F$2:$F$2797,F$5)</f>
        <v>0</v>
      </c>
      <c r="G17" s="13" t="n">
        <f aca="false">SUMIFS(Data!$B$2:$B$2797,Data!$A$2:$A$2797,$A17,Data!$F$2:$F$2797,G$5)</f>
        <v>0</v>
      </c>
      <c r="H17" s="13" t="n">
        <f aca="false">SUMIFS(Data!$B$2:$B$2797,Data!$A$2:$A$2797,$A17,Data!$F$2:$F$2797,H$5)</f>
        <v>0</v>
      </c>
      <c r="I17" s="13" t="n">
        <f aca="false">SUMIFS(Data!$B$2:$B$2797,Data!$A$2:$A$2797,$A17,Data!$F$2:$F$2797,I$5)</f>
        <v>0</v>
      </c>
      <c r="J17" s="13" t="n">
        <f aca="false">TS_Setup!$B$15*B17+(1-TS_Setup!$B$15)*(J16+R16)</f>
        <v>0</v>
      </c>
      <c r="K17" s="13" t="n">
        <f aca="false">TS_Setup!$B$15*C17+(1-TS_Setup!$B$15)*(K16+S16)</f>
        <v>0</v>
      </c>
      <c r="L17" s="13" t="n">
        <f aca="false">TS_Setup!$B$15*D17+(1-TS_Setup!$B$15)*(L16+T16)</f>
        <v>0</v>
      </c>
      <c r="M17" s="13" t="n">
        <f aca="false">TS_Setup!$B$15*E17+(1-TS_Setup!$B$15)*(M16+U16)</f>
        <v>0.103362335885273</v>
      </c>
      <c r="N17" s="13" t="n">
        <f aca="false">TS_Setup!$B$15*F17+(1-TS_Setup!$B$15)*(N16+V16)</f>
        <v>-1.07896674536891</v>
      </c>
      <c r="O17" s="13" t="n">
        <f aca="false">TS_Setup!$B$15*G17+(1-TS_Setup!$B$15)*(O16+W16)</f>
        <v>0</v>
      </c>
      <c r="P17" s="13" t="n">
        <f aca="false">TS_Setup!$B$15*H17+(1-TS_Setup!$B$15)*(P16+X16)</f>
        <v>0</v>
      </c>
      <c r="Q17" s="13" t="n">
        <f aca="false">TS_Setup!$B$15*I17+(1-TS_Setup!$B$15)*(Q16+Y16)</f>
        <v>-2.15244372241093</v>
      </c>
      <c r="R17" s="16" t="n">
        <f aca="false">TS_Setup!$B$16*(J17-J16)+(1-TS_Setup!$B$16)*R16</f>
        <v>0</v>
      </c>
      <c r="S17" s="16" t="n">
        <f aca="false">TS_Setup!$B$16*(K17-K16)+(1-TS_Setup!$B$16)*S16</f>
        <v>0</v>
      </c>
      <c r="T17" s="16" t="n">
        <f aca="false">TS_Setup!$B$16*(L17-L16)+(1-TS_Setup!$B$16)*T16</f>
        <v>0</v>
      </c>
      <c r="U17" s="16" t="n">
        <f aca="false">TS_Setup!$B$16*(M17-M16)+(1-TS_Setup!$B$16)*U16</f>
        <v>0.00543594084696652</v>
      </c>
      <c r="V17" s="16" t="n">
        <f aca="false">TS_Setup!$B$16*(N17-N16)+(1-TS_Setup!$B$16)*V16</f>
        <v>-0.153050715851712</v>
      </c>
      <c r="W17" s="16" t="n">
        <f aca="false">TS_Setup!$B$16*(O17-O16)+(1-TS_Setup!$B$16)*W16</f>
        <v>0</v>
      </c>
      <c r="X17" s="16" t="n">
        <f aca="false">TS_Setup!$B$16*(P17-P16)+(1-TS_Setup!$B$16)*X16</f>
        <v>0</v>
      </c>
      <c r="Y17" s="16" t="n">
        <f aca="false">TS_Setup!$B$16*(Q17-Q16)+(1-TS_Setup!$B$16)*Y16</f>
        <v>-0.292269968566704</v>
      </c>
    </row>
    <row r="18" customFormat="false" ht="15" hidden="false" customHeight="false" outlineLevel="0" collapsed="false">
      <c r="A18" s="11" t="n">
        <f aca="false">Daily!A17</f>
        <v>43899</v>
      </c>
      <c r="B18" s="13" t="n">
        <f aca="false">SUMIFS(Data!$B$2:$B$2797,Data!$A$2:$A$2797,$A18,Data!$F$2:$F$2797,B$5)</f>
        <v>0</v>
      </c>
      <c r="C18" s="13" t="n">
        <f aca="false">SUMIFS(Data!$B$2:$B$2797,Data!$A$2:$A$2797,$A18,Data!$F$2:$F$2797,C$5)</f>
        <v>0</v>
      </c>
      <c r="D18" s="13" t="n">
        <f aca="false">SUMIFS(Data!$B$2:$B$2797,Data!$A$2:$A$2797,$A18,Data!$F$2:$F$2797,D$5)</f>
        <v>0</v>
      </c>
      <c r="E18" s="13" t="n">
        <f aca="false">SUMIFS(Data!$B$2:$B$2797,Data!$A$2:$A$2797,$A18,Data!$F$2:$F$2797,E$5)</f>
        <v>0</v>
      </c>
      <c r="F18" s="13" t="n">
        <f aca="false">SUMIFS(Data!$B$2:$B$2797,Data!$A$2:$A$2797,$A18,Data!$F$2:$F$2797,F$5)</f>
        <v>0</v>
      </c>
      <c r="G18" s="13" t="n">
        <f aca="false">SUMIFS(Data!$B$2:$B$2797,Data!$A$2:$A$2797,$A18,Data!$F$2:$F$2797,G$5)</f>
        <v>0</v>
      </c>
      <c r="H18" s="13" t="n">
        <f aca="false">SUMIFS(Data!$B$2:$B$2797,Data!$A$2:$A$2797,$A18,Data!$F$2:$F$2797,H$5)</f>
        <v>0</v>
      </c>
      <c r="I18" s="13" t="n">
        <f aca="false">SUMIFS(Data!$B$2:$B$2797,Data!$A$2:$A$2797,$A18,Data!$F$2:$F$2797,I$5)</f>
        <v>9</v>
      </c>
      <c r="J18" s="13" t="n">
        <f aca="false">TS_Setup!$B$15*B18+(1-TS_Setup!$B$15)*(J17+R17)</f>
        <v>0</v>
      </c>
      <c r="K18" s="13" t="n">
        <f aca="false">TS_Setup!$B$15*C18+(1-TS_Setup!$B$15)*(K17+S17)</f>
        <v>0</v>
      </c>
      <c r="L18" s="13" t="n">
        <f aca="false">TS_Setup!$B$15*D18+(1-TS_Setup!$B$15)*(L17+T17)</f>
        <v>0</v>
      </c>
      <c r="M18" s="13" t="n">
        <f aca="false">TS_Setup!$B$15*E18+(1-TS_Setup!$B$15)*(M17+U17)</f>
        <v>0.0988976335496057</v>
      </c>
      <c r="N18" s="13" t="n">
        <f aca="false">TS_Setup!$B$15*F18+(1-TS_Setup!$B$15)*(N17+V17)</f>
        <v>-1.11990387224955</v>
      </c>
      <c r="O18" s="13" t="n">
        <f aca="false">TS_Setup!$B$15*G18+(1-TS_Setup!$B$15)*(O17+W17)</f>
        <v>0</v>
      </c>
      <c r="P18" s="13" t="n">
        <f aca="false">TS_Setup!$B$15*H18+(1-TS_Setup!$B$15)*(P17+X17)</f>
        <v>0</v>
      </c>
      <c r="Q18" s="13" t="n">
        <f aca="false">TS_Setup!$B$15*I18+(1-TS_Setup!$B$15)*(Q17+Y17)</f>
        <v>-1.40324474509867</v>
      </c>
      <c r="R18" s="16" t="n">
        <f aca="false">TS_Setup!$B$16*(J18-J17)+(1-TS_Setup!$B$16)*R17</f>
        <v>0</v>
      </c>
      <c r="S18" s="16" t="n">
        <f aca="false">TS_Setup!$B$16*(K18-K17)+(1-TS_Setup!$B$16)*S17</f>
        <v>0</v>
      </c>
      <c r="T18" s="16" t="n">
        <f aca="false">TS_Setup!$B$16*(L18-L17)+(1-TS_Setup!$B$16)*T17</f>
        <v>0</v>
      </c>
      <c r="U18" s="16" t="n">
        <f aca="false">TS_Setup!$B$16*(M18-M17)+(1-TS_Setup!$B$16)*U17</f>
        <v>0.00353501735590084</v>
      </c>
      <c r="V18" s="16" t="n">
        <f aca="false">TS_Setup!$B$16*(N18-N17)+(1-TS_Setup!$B$16)*V17</f>
        <v>-0.131524906769265</v>
      </c>
      <c r="W18" s="16" t="n">
        <f aca="false">TS_Setup!$B$16*(O18-O17)+(1-TS_Setup!$B$16)*W17</f>
        <v>0</v>
      </c>
      <c r="X18" s="16" t="n">
        <f aca="false">TS_Setup!$B$16*(P18-P17)+(1-TS_Setup!$B$16)*X17</f>
        <v>0</v>
      </c>
      <c r="Y18" s="16" t="n">
        <f aca="false">TS_Setup!$B$16*(Q18-Q17)+(1-TS_Setup!$B$16)*Y17</f>
        <v>-0.0923079309579426</v>
      </c>
    </row>
    <row r="19" customFormat="false" ht="15" hidden="false" customHeight="false" outlineLevel="0" collapsed="false">
      <c r="A19" s="11" t="n">
        <f aca="false">Daily!A18</f>
        <v>43900</v>
      </c>
      <c r="B19" s="13" t="n">
        <f aca="false">SUMIFS(Data!$B$2:$B$2797,Data!$A$2:$A$2797,$A19,Data!$F$2:$F$2797,B$5)</f>
        <v>0</v>
      </c>
      <c r="C19" s="13" t="n">
        <f aca="false">SUMIFS(Data!$B$2:$B$2797,Data!$A$2:$A$2797,$A19,Data!$F$2:$F$2797,C$5)</f>
        <v>1</v>
      </c>
      <c r="D19" s="13" t="n">
        <f aca="false">SUMIFS(Data!$B$2:$B$2797,Data!$A$2:$A$2797,$A19,Data!$F$2:$F$2797,D$5)</f>
        <v>0</v>
      </c>
      <c r="E19" s="13" t="n">
        <f aca="false">SUMIFS(Data!$B$2:$B$2797,Data!$A$2:$A$2797,$A19,Data!$F$2:$F$2797,E$5)</f>
        <v>0</v>
      </c>
      <c r="F19" s="13" t="n">
        <f aca="false">SUMIFS(Data!$B$2:$B$2797,Data!$A$2:$A$2797,$A19,Data!$F$2:$F$2797,F$5)</f>
        <v>0</v>
      </c>
      <c r="G19" s="13" t="n">
        <f aca="false">SUMIFS(Data!$B$2:$B$2797,Data!$A$2:$A$2797,$A19,Data!$F$2:$F$2797,G$5)</f>
        <v>0</v>
      </c>
      <c r="H19" s="13" t="n">
        <f aca="false">SUMIFS(Data!$B$2:$B$2797,Data!$A$2:$A$2797,$A19,Data!$F$2:$F$2797,H$5)</f>
        <v>0</v>
      </c>
      <c r="I19" s="13" t="n">
        <f aca="false">SUMIFS(Data!$B$2:$B$2797,Data!$A$2:$A$2797,$A19,Data!$F$2:$F$2797,I$5)</f>
        <v>2</v>
      </c>
      <c r="J19" s="13" t="n">
        <f aca="false">TS_Setup!$B$15*B19+(1-TS_Setup!$B$15)*(J18+R18)</f>
        <v>0</v>
      </c>
      <c r="K19" s="13" t="n">
        <f aca="false">TS_Setup!$B$15*C19+(1-TS_Setup!$B$15)*(K18+S18)</f>
        <v>0.091</v>
      </c>
      <c r="L19" s="13" t="n">
        <f aca="false">TS_Setup!$B$15*D19+(1-TS_Setup!$B$15)*(L18+T18)</f>
        <v>0</v>
      </c>
      <c r="M19" s="13" t="n">
        <f aca="false">TS_Setup!$B$15*E19+(1-TS_Setup!$B$15)*(M18+U18)</f>
        <v>0.0931112796731054</v>
      </c>
      <c r="N19" s="13" t="n">
        <f aca="false">TS_Setup!$B$15*F19+(1-TS_Setup!$B$15)*(N18+V18)</f>
        <v>-1.1375487601281</v>
      </c>
      <c r="O19" s="13" t="n">
        <f aca="false">TS_Setup!$B$15*G19+(1-TS_Setup!$B$15)*(O18+W18)</f>
        <v>0</v>
      </c>
      <c r="P19" s="13" t="n">
        <f aca="false">TS_Setup!$B$15*H19+(1-TS_Setup!$B$15)*(P18+X18)</f>
        <v>0</v>
      </c>
      <c r="Q19" s="13" t="n">
        <f aca="false">TS_Setup!$B$15*I19+(1-TS_Setup!$B$15)*(Q18+Y18)</f>
        <v>-1.17745738253546</v>
      </c>
      <c r="R19" s="16" t="n">
        <f aca="false">TS_Setup!$B$16*(J19-J18)+(1-TS_Setup!$B$16)*R18</f>
        <v>0</v>
      </c>
      <c r="S19" s="16" t="n">
        <f aca="false">TS_Setup!$B$16*(K19-K18)+(1-TS_Setup!$B$16)*S18</f>
        <v>0.017472</v>
      </c>
      <c r="T19" s="16" t="n">
        <f aca="false">TS_Setup!$B$16*(L19-L18)+(1-TS_Setup!$B$16)*T18</f>
        <v>0</v>
      </c>
      <c r="U19" s="16" t="n">
        <f aca="false">TS_Setup!$B$16*(M19-M18)+(1-TS_Setup!$B$16)*U18</f>
        <v>0.00174531407927983</v>
      </c>
      <c r="V19" s="16" t="n">
        <f aca="false">TS_Setup!$B$16*(N19-N18)+(1-TS_Setup!$B$16)*V18</f>
        <v>-0.109659943142249</v>
      </c>
      <c r="W19" s="16" t="n">
        <f aca="false">TS_Setup!$B$16*(O19-O18)+(1-TS_Setup!$B$16)*W18</f>
        <v>0</v>
      </c>
      <c r="X19" s="16" t="n">
        <f aca="false">TS_Setup!$B$16*(P19-P18)+(1-TS_Setup!$B$16)*X18</f>
        <v>0</v>
      </c>
      <c r="Y19" s="16" t="n">
        <f aca="false">TS_Setup!$B$16*(Q19-Q18)+(1-TS_Setup!$B$16)*Y18</f>
        <v>-0.0312336346018815</v>
      </c>
    </row>
    <row r="20" customFormat="false" ht="15" hidden="false" customHeight="false" outlineLevel="0" collapsed="false">
      <c r="A20" s="11" t="n">
        <f aca="false">Daily!A19</f>
        <v>43901</v>
      </c>
      <c r="B20" s="13" t="n">
        <f aca="false">SUMIFS(Data!$B$2:$B$2797,Data!$A$2:$A$2797,$A20,Data!$F$2:$F$2797,B$5)</f>
        <v>0</v>
      </c>
      <c r="C20" s="13" t="n">
        <f aca="false">SUMIFS(Data!$B$2:$B$2797,Data!$A$2:$A$2797,$A20,Data!$F$2:$F$2797,C$5)</f>
        <v>0</v>
      </c>
      <c r="D20" s="13" t="n">
        <f aca="false">SUMIFS(Data!$B$2:$B$2797,Data!$A$2:$A$2797,$A20,Data!$F$2:$F$2797,D$5)</f>
        <v>0</v>
      </c>
      <c r="E20" s="13" t="n">
        <f aca="false">SUMIFS(Data!$B$2:$B$2797,Data!$A$2:$A$2797,$A20,Data!$F$2:$F$2797,E$5)</f>
        <v>1</v>
      </c>
      <c r="F20" s="13" t="n">
        <f aca="false">SUMIFS(Data!$B$2:$B$2797,Data!$A$2:$A$2797,$A20,Data!$F$2:$F$2797,F$5)</f>
        <v>0</v>
      </c>
      <c r="G20" s="13" t="n">
        <f aca="false">SUMIFS(Data!$B$2:$B$2797,Data!$A$2:$A$2797,$A20,Data!$F$2:$F$2797,G$5)</f>
        <v>0</v>
      </c>
      <c r="H20" s="13" t="n">
        <f aca="false">SUMIFS(Data!$B$2:$B$2797,Data!$A$2:$A$2797,$A20,Data!$F$2:$F$2797,H$5)</f>
        <v>0</v>
      </c>
      <c r="I20" s="13" t="n">
        <f aca="false">SUMIFS(Data!$B$2:$B$2797,Data!$A$2:$A$2797,$A20,Data!$F$2:$F$2797,I$5)</f>
        <v>0</v>
      </c>
      <c r="J20" s="13" t="n">
        <f aca="false">TS_Setup!$B$15*B20+(1-TS_Setup!$B$15)*(J19+R19)</f>
        <v>0</v>
      </c>
      <c r="K20" s="13" t="n">
        <f aca="false">TS_Setup!$B$15*C20+(1-TS_Setup!$B$15)*(K19+S19)</f>
        <v>0.098601048</v>
      </c>
      <c r="L20" s="13" t="n">
        <f aca="false">TS_Setup!$B$15*D20+(1-TS_Setup!$B$15)*(L19+T19)</f>
        <v>0</v>
      </c>
      <c r="M20" s="13" t="n">
        <f aca="false">TS_Setup!$B$15*E20+(1-TS_Setup!$B$15)*(M19+U19)</f>
        <v>0.177224643720918</v>
      </c>
      <c r="N20" s="13" t="n">
        <f aca="false">TS_Setup!$B$15*F20+(1-TS_Setup!$B$15)*(N19+V19)</f>
        <v>-1.13371271127275</v>
      </c>
      <c r="O20" s="13" t="n">
        <f aca="false">TS_Setup!$B$15*G20+(1-TS_Setup!$B$15)*(O19+W19)</f>
        <v>0</v>
      </c>
      <c r="P20" s="13" t="n">
        <f aca="false">TS_Setup!$B$15*H20+(1-TS_Setup!$B$15)*(P19+X19)</f>
        <v>0</v>
      </c>
      <c r="Q20" s="13" t="n">
        <f aca="false">TS_Setup!$B$15*I20+(1-TS_Setup!$B$15)*(Q19+Y19)</f>
        <v>-1.09870013457784</v>
      </c>
      <c r="R20" s="16" t="n">
        <f aca="false">TS_Setup!$B$16*(J20-J19)+(1-TS_Setup!$B$16)*R19</f>
        <v>0</v>
      </c>
      <c r="S20" s="16" t="n">
        <f aca="false">TS_Setup!$B$16*(K20-K19)+(1-TS_Setup!$B$16)*S19</f>
        <v>0.015576777216</v>
      </c>
      <c r="T20" s="16" t="n">
        <f aca="false">TS_Setup!$B$16*(L20-L19)+(1-TS_Setup!$B$16)*T19</f>
        <v>0</v>
      </c>
      <c r="U20" s="16" t="n">
        <f aca="false">TS_Setup!$B$16*(M20-M19)+(1-TS_Setup!$B$16)*U19</f>
        <v>0.0175599796732382</v>
      </c>
      <c r="V20" s="16" t="n">
        <f aca="false">TS_Setup!$B$16*(N20-N19)+(1-TS_Setup!$B$16)*V19</f>
        <v>-0.087868712678709</v>
      </c>
      <c r="W20" s="16" t="n">
        <f aca="false">TS_Setup!$B$16*(O20-O19)+(1-TS_Setup!$B$16)*W19</f>
        <v>0</v>
      </c>
      <c r="X20" s="16" t="n">
        <f aca="false">TS_Setup!$B$16*(P20-P19)+(1-TS_Setup!$B$16)*X19</f>
        <v>0</v>
      </c>
      <c r="Y20" s="16" t="n">
        <f aca="false">TS_Setup!$B$16*(Q20-Q19)+(1-TS_Setup!$B$16)*Y19</f>
        <v>-0.0101153851504579</v>
      </c>
    </row>
    <row r="21" customFormat="false" ht="15" hidden="false" customHeight="false" outlineLevel="0" collapsed="false">
      <c r="A21" s="11" t="n">
        <f aca="false">Daily!A20</f>
        <v>43902</v>
      </c>
      <c r="B21" s="13" t="n">
        <f aca="false">SUMIFS(Data!$B$2:$B$2797,Data!$A$2:$A$2797,$A21,Data!$F$2:$F$2797,B$5)</f>
        <v>0</v>
      </c>
      <c r="C21" s="13" t="n">
        <f aca="false">SUMIFS(Data!$B$2:$B$2797,Data!$A$2:$A$2797,$A21,Data!$F$2:$F$2797,C$5)</f>
        <v>0</v>
      </c>
      <c r="D21" s="13" t="n">
        <f aca="false">SUMIFS(Data!$B$2:$B$2797,Data!$A$2:$A$2797,$A21,Data!$F$2:$F$2797,D$5)</f>
        <v>0</v>
      </c>
      <c r="E21" s="13" t="n">
        <f aca="false">SUMIFS(Data!$B$2:$B$2797,Data!$A$2:$A$2797,$A21,Data!$F$2:$F$2797,E$5)</f>
        <v>1</v>
      </c>
      <c r="F21" s="13" t="n">
        <f aca="false">SUMIFS(Data!$B$2:$B$2797,Data!$A$2:$A$2797,$A21,Data!$F$2:$F$2797,F$5)</f>
        <v>0</v>
      </c>
      <c r="G21" s="13" t="n">
        <f aca="false">SUMIFS(Data!$B$2:$B$2797,Data!$A$2:$A$2797,$A21,Data!$F$2:$F$2797,G$5)</f>
        <v>0</v>
      </c>
      <c r="H21" s="13" t="n">
        <f aca="false">SUMIFS(Data!$B$2:$B$2797,Data!$A$2:$A$2797,$A21,Data!$F$2:$F$2797,H$5)</f>
        <v>0</v>
      </c>
      <c r="I21" s="13" t="n">
        <f aca="false">SUMIFS(Data!$B$2:$B$2797,Data!$A$2:$A$2797,$A21,Data!$F$2:$F$2797,I$5)</f>
        <v>0</v>
      </c>
      <c r="J21" s="13" t="n">
        <f aca="false">TS_Setup!$B$15*B21+(1-TS_Setup!$B$15)*(J20+R20)</f>
        <v>0</v>
      </c>
      <c r="K21" s="13" t="n">
        <f aca="false">TS_Setup!$B$15*C21+(1-TS_Setup!$B$15)*(K20+S20)</f>
        <v>0.103787643121344</v>
      </c>
      <c r="L21" s="13" t="n">
        <f aca="false">TS_Setup!$B$15*D21+(1-TS_Setup!$B$15)*(L20+T20)</f>
        <v>0</v>
      </c>
      <c r="M21" s="13" t="n">
        <f aca="false">TS_Setup!$B$15*E21+(1-TS_Setup!$B$15)*(M20+U20)</f>
        <v>0.268059222665288</v>
      </c>
      <c r="N21" s="13" t="n">
        <f aca="false">TS_Setup!$B$15*F21+(1-TS_Setup!$B$15)*(N20+V20)</f>
        <v>-1.11041751437187</v>
      </c>
      <c r="O21" s="13" t="n">
        <f aca="false">TS_Setup!$B$15*G21+(1-TS_Setup!$B$15)*(O20+W20)</f>
        <v>0</v>
      </c>
      <c r="P21" s="13" t="n">
        <f aca="false">TS_Setup!$B$15*H21+(1-TS_Setup!$B$15)*(P20+X20)</f>
        <v>0</v>
      </c>
      <c r="Q21" s="13" t="n">
        <f aca="false">TS_Setup!$B$15*I21+(1-TS_Setup!$B$15)*(Q20+Y20)</f>
        <v>-1.00791330743303</v>
      </c>
      <c r="R21" s="16" t="n">
        <f aca="false">TS_Setup!$B$16*(J21-J20)+(1-TS_Setup!$B$16)*R20</f>
        <v>0</v>
      </c>
      <c r="S21" s="16" t="n">
        <f aca="false">TS_Setup!$B$16*(K21-K20)+(1-TS_Setup!$B$16)*S20</f>
        <v>0.0135818622538261</v>
      </c>
      <c r="T21" s="16" t="n">
        <f aca="false">TS_Setup!$B$16*(L21-L20)+(1-TS_Setup!$B$16)*T20</f>
        <v>0</v>
      </c>
      <c r="U21" s="16" t="n">
        <f aca="false">TS_Setup!$B$16*(M21-M20)+(1-TS_Setup!$B$16)*U20</f>
        <v>0.0316287027332955</v>
      </c>
      <c r="V21" s="16" t="n">
        <f aca="false">TS_Setup!$B$16*(N21-N20)+(1-TS_Setup!$B$16)*V20</f>
        <v>-0.0665252420394291</v>
      </c>
      <c r="W21" s="16" t="n">
        <f aca="false">TS_Setup!$B$16*(O21-O20)+(1-TS_Setup!$B$16)*W20</f>
        <v>0</v>
      </c>
      <c r="X21" s="16" t="n">
        <f aca="false">TS_Setup!$B$16*(P21-P20)+(1-TS_Setup!$B$16)*X20</f>
        <v>0</v>
      </c>
      <c r="Y21" s="16" t="n">
        <f aca="false">TS_Setup!$B$16*(Q21-Q20)+(1-TS_Setup!$B$16)*Y20</f>
        <v>0.00925783961023501</v>
      </c>
    </row>
    <row r="22" customFormat="false" ht="15" hidden="false" customHeight="false" outlineLevel="0" collapsed="false">
      <c r="A22" s="11" t="n">
        <f aca="false">Daily!A21</f>
        <v>43903</v>
      </c>
      <c r="B22" s="13" t="n">
        <f aca="false">SUMIFS(Data!$B$2:$B$2797,Data!$A$2:$A$2797,$A22,Data!$F$2:$F$2797,B$5)</f>
        <v>0</v>
      </c>
      <c r="C22" s="13" t="n">
        <f aca="false">SUMIFS(Data!$B$2:$B$2797,Data!$A$2:$A$2797,$A22,Data!$F$2:$F$2797,C$5)</f>
        <v>7</v>
      </c>
      <c r="D22" s="13" t="n">
        <f aca="false">SUMIFS(Data!$B$2:$B$2797,Data!$A$2:$A$2797,$A22,Data!$F$2:$F$2797,D$5)</f>
        <v>0</v>
      </c>
      <c r="E22" s="13" t="n">
        <f aca="false">SUMIFS(Data!$B$2:$B$2797,Data!$A$2:$A$2797,$A22,Data!$F$2:$F$2797,E$5)</f>
        <v>0</v>
      </c>
      <c r="F22" s="13" t="n">
        <f aca="false">SUMIFS(Data!$B$2:$B$2797,Data!$A$2:$A$2797,$A22,Data!$F$2:$F$2797,F$5)</f>
        <v>1</v>
      </c>
      <c r="G22" s="13" t="n">
        <f aca="false">SUMIFS(Data!$B$2:$B$2797,Data!$A$2:$A$2797,$A22,Data!$F$2:$F$2797,G$5)</f>
        <v>0</v>
      </c>
      <c r="H22" s="13" t="n">
        <f aca="false">SUMIFS(Data!$B$2:$B$2797,Data!$A$2:$A$2797,$A22,Data!$F$2:$F$2797,H$5)</f>
        <v>0</v>
      </c>
      <c r="I22" s="13" t="n">
        <f aca="false">SUMIFS(Data!$B$2:$B$2797,Data!$A$2:$A$2797,$A22,Data!$F$2:$F$2797,I$5)</f>
        <v>1</v>
      </c>
      <c r="J22" s="13" t="n">
        <f aca="false">TS_Setup!$B$15*B22+(1-TS_Setup!$B$15)*(J21+R21)</f>
        <v>0</v>
      </c>
      <c r="K22" s="13" t="n">
        <f aca="false">TS_Setup!$B$15*C22+(1-TS_Setup!$B$15)*(K21+S21)</f>
        <v>0.74368888038603</v>
      </c>
      <c r="L22" s="13" t="n">
        <f aca="false">TS_Setup!$B$15*D22+(1-TS_Setup!$B$15)*(L21+T21)</f>
        <v>0</v>
      </c>
      <c r="M22" s="13" t="n">
        <f aca="false">TS_Setup!$B$15*E22+(1-TS_Setup!$B$15)*(M21+U21)</f>
        <v>0.272416324187313</v>
      </c>
      <c r="N22" s="13" t="n">
        <f aca="false">TS_Setup!$B$15*F22+(1-TS_Setup!$B$15)*(N21+V21)</f>
        <v>-0.978840965577875</v>
      </c>
      <c r="O22" s="13" t="n">
        <f aca="false">TS_Setup!$B$15*G22+(1-TS_Setup!$B$15)*(O21+W21)</f>
        <v>0</v>
      </c>
      <c r="P22" s="13" t="n">
        <f aca="false">TS_Setup!$B$15*H22+(1-TS_Setup!$B$15)*(P21+X21)</f>
        <v>0</v>
      </c>
      <c r="Q22" s="13" t="n">
        <f aca="false">TS_Setup!$B$15*I22+(1-TS_Setup!$B$15)*(Q21+Y21)</f>
        <v>-0.816777820250918</v>
      </c>
      <c r="R22" s="16" t="n">
        <f aca="false">TS_Setup!$B$16*(J22-J21)+(1-TS_Setup!$B$16)*R21</f>
        <v>0</v>
      </c>
      <c r="S22" s="16" t="n">
        <f aca="false">TS_Setup!$B$16*(K22-K21)+(1-TS_Setup!$B$16)*S21</f>
        <v>0.133835182255911</v>
      </c>
      <c r="T22" s="16" t="n">
        <f aca="false">TS_Setup!$B$16*(L22-L21)+(1-TS_Setup!$B$16)*T21</f>
        <v>0</v>
      </c>
      <c r="U22" s="16" t="n">
        <f aca="false">TS_Setup!$B$16*(M22-M21)+(1-TS_Setup!$B$16)*U21</f>
        <v>0.0263925553007314</v>
      </c>
      <c r="V22" s="16" t="n">
        <f aca="false">TS_Setup!$B$16*(N22-N21)+(1-TS_Setup!$B$16)*V21</f>
        <v>-0.0284896981994108</v>
      </c>
      <c r="W22" s="16" t="n">
        <f aca="false">TS_Setup!$B$16*(O22-O21)+(1-TS_Setup!$B$16)*W21</f>
        <v>0</v>
      </c>
      <c r="X22" s="16" t="n">
        <f aca="false">TS_Setup!$B$16*(P22-P21)+(1-TS_Setup!$B$16)*X21</f>
        <v>0</v>
      </c>
      <c r="Y22" s="16" t="n">
        <f aca="false">TS_Setup!$B$16*(Q22-Q21)+(1-TS_Setup!$B$16)*Y21</f>
        <v>0.0441783479440348</v>
      </c>
    </row>
    <row r="23" customFormat="false" ht="15" hidden="false" customHeight="false" outlineLevel="0" collapsed="false">
      <c r="A23" s="11" t="n">
        <f aca="false">Daily!A22</f>
        <v>43904</v>
      </c>
      <c r="B23" s="13" t="n">
        <f aca="false">SUMIFS(Data!$B$2:$B$2797,Data!$A$2:$A$2797,$A23,Data!$F$2:$F$2797,B$5)</f>
        <v>0</v>
      </c>
      <c r="C23" s="13" t="n">
        <f aca="false">SUMIFS(Data!$B$2:$B$2797,Data!$A$2:$A$2797,$A23,Data!$F$2:$F$2797,C$5)</f>
        <v>0</v>
      </c>
      <c r="D23" s="13" t="n">
        <f aca="false">SUMIFS(Data!$B$2:$B$2797,Data!$A$2:$A$2797,$A23,Data!$F$2:$F$2797,D$5)</f>
        <v>0</v>
      </c>
      <c r="E23" s="13" t="n">
        <f aca="false">SUMIFS(Data!$B$2:$B$2797,Data!$A$2:$A$2797,$A23,Data!$F$2:$F$2797,E$5)</f>
        <v>0</v>
      </c>
      <c r="F23" s="13" t="n">
        <f aca="false">SUMIFS(Data!$B$2:$B$2797,Data!$A$2:$A$2797,$A23,Data!$F$2:$F$2797,F$5)</f>
        <v>0</v>
      </c>
      <c r="G23" s="13" t="n">
        <f aca="false">SUMIFS(Data!$B$2:$B$2797,Data!$A$2:$A$2797,$A23,Data!$F$2:$F$2797,G$5)</f>
        <v>0</v>
      </c>
      <c r="H23" s="13" t="n">
        <f aca="false">SUMIFS(Data!$B$2:$B$2797,Data!$A$2:$A$2797,$A23,Data!$F$2:$F$2797,H$5)</f>
        <v>0</v>
      </c>
      <c r="I23" s="13" t="n">
        <f aca="false">SUMIFS(Data!$B$2:$B$2797,Data!$A$2:$A$2797,$A23,Data!$F$2:$F$2797,I$5)</f>
        <v>0</v>
      </c>
      <c r="J23" s="13" t="n">
        <f aca="false">TS_Setup!$B$15*B23+(1-TS_Setup!$B$15)*(J22+R22)</f>
        <v>0</v>
      </c>
      <c r="K23" s="13" t="n">
        <f aca="false">TS_Setup!$B$15*C23+(1-TS_Setup!$B$15)*(K22+S22)</f>
        <v>0.797669372941524</v>
      </c>
      <c r="L23" s="13" t="n">
        <f aca="false">TS_Setup!$B$15*D23+(1-TS_Setup!$B$15)*(L22+T22)</f>
        <v>0</v>
      </c>
      <c r="M23" s="13" t="n">
        <f aca="false">TS_Setup!$B$15*E23+(1-TS_Setup!$B$15)*(M22+U22)</f>
        <v>0.271617271454632</v>
      </c>
      <c r="N23" s="13" t="n">
        <f aca="false">TS_Setup!$B$15*F23+(1-TS_Setup!$B$15)*(N22+V22)</f>
        <v>-0.915663573373553</v>
      </c>
      <c r="O23" s="13" t="n">
        <f aca="false">TS_Setup!$B$15*G23+(1-TS_Setup!$B$15)*(O22+W22)</f>
        <v>0</v>
      </c>
      <c r="P23" s="13" t="n">
        <f aca="false">TS_Setup!$B$15*H23+(1-TS_Setup!$B$15)*(P22+X22)</f>
        <v>0</v>
      </c>
      <c r="Q23" s="13" t="n">
        <f aca="false">TS_Setup!$B$15*I23+(1-TS_Setup!$B$15)*(Q22+Y22)</f>
        <v>-0.702292920326957</v>
      </c>
      <c r="R23" s="16" t="n">
        <f aca="false">TS_Setup!$B$16*(J23-J22)+(1-TS_Setup!$B$16)*R22</f>
        <v>0</v>
      </c>
      <c r="S23" s="16" t="n">
        <f aca="false">TS_Setup!$B$16*(K23-K22)+(1-TS_Setup!$B$16)*S22</f>
        <v>0.118503081833431</v>
      </c>
      <c r="T23" s="16" t="n">
        <f aca="false">TS_Setup!$B$16*(L23-L22)+(1-TS_Setup!$B$16)*T22</f>
        <v>0</v>
      </c>
      <c r="U23" s="16" t="n">
        <f aca="false">TS_Setup!$B$16*(M23-M22)+(1-TS_Setup!$B$16)*U22</f>
        <v>0.0211717665583163</v>
      </c>
      <c r="V23" s="16" t="n">
        <f aca="false">TS_Setup!$B$16*(N23-N22)+(1-TS_Setup!$B$16)*V22</f>
        <v>-0.0108896168418941</v>
      </c>
      <c r="W23" s="16" t="n">
        <f aca="false">TS_Setup!$B$16*(O23-O22)+(1-TS_Setup!$B$16)*W22</f>
        <v>0</v>
      </c>
      <c r="X23" s="16" t="n">
        <f aca="false">TS_Setup!$B$16*(P23-P22)+(1-TS_Setup!$B$16)*X22</f>
        <v>0</v>
      </c>
      <c r="Y23" s="16" t="n">
        <f aca="false">TS_Setup!$B$16*(Q23-Q22)+(1-TS_Setup!$B$16)*Y22</f>
        <v>0.0576772059241807</v>
      </c>
    </row>
    <row r="24" customFormat="false" ht="15" hidden="false" customHeight="false" outlineLevel="0" collapsed="false">
      <c r="A24" s="11" t="n">
        <f aca="false">Daily!A23</f>
        <v>43905</v>
      </c>
      <c r="B24" s="13" t="n">
        <f aca="false">SUMIFS(Data!$B$2:$B$2797,Data!$A$2:$A$2797,$A24,Data!$F$2:$F$2797,B$5)</f>
        <v>0</v>
      </c>
      <c r="C24" s="13" t="n">
        <f aca="false">SUMIFS(Data!$B$2:$B$2797,Data!$A$2:$A$2797,$A24,Data!$F$2:$F$2797,C$5)</f>
        <v>0</v>
      </c>
      <c r="D24" s="13" t="n">
        <f aca="false">SUMIFS(Data!$B$2:$B$2797,Data!$A$2:$A$2797,$A24,Data!$F$2:$F$2797,D$5)</f>
        <v>0</v>
      </c>
      <c r="E24" s="13" t="n">
        <f aca="false">SUMIFS(Data!$B$2:$B$2797,Data!$A$2:$A$2797,$A24,Data!$F$2:$F$2797,E$5)</f>
        <v>0</v>
      </c>
      <c r="F24" s="13" t="n">
        <f aca="false">SUMIFS(Data!$B$2:$B$2797,Data!$A$2:$A$2797,$A24,Data!$F$2:$F$2797,F$5)</f>
        <v>0</v>
      </c>
      <c r="G24" s="13" t="n">
        <f aca="false">SUMIFS(Data!$B$2:$B$2797,Data!$A$2:$A$2797,$A24,Data!$F$2:$F$2797,G$5)</f>
        <v>16</v>
      </c>
      <c r="H24" s="13" t="n">
        <f aca="false">SUMIFS(Data!$B$2:$B$2797,Data!$A$2:$A$2797,$A24,Data!$F$2:$F$2797,H$5)</f>
        <v>1</v>
      </c>
      <c r="I24" s="13" t="n">
        <f aca="false">SUMIFS(Data!$B$2:$B$2797,Data!$A$2:$A$2797,$A24,Data!$F$2:$F$2797,I$5)</f>
        <v>17</v>
      </c>
      <c r="J24" s="13" t="n">
        <f aca="false">TS_Setup!$B$15*B24+(1-TS_Setup!$B$15)*(J23+R23)</f>
        <v>0</v>
      </c>
      <c r="K24" s="13" t="n">
        <f aca="false">TS_Setup!$B$15*C24+(1-TS_Setup!$B$15)*(K23+S23)</f>
        <v>0.832800761390434</v>
      </c>
      <c r="L24" s="13" t="n">
        <f aca="false">TS_Setup!$B$15*D24+(1-TS_Setup!$B$15)*(L23+T23)</f>
        <v>0</v>
      </c>
      <c r="M24" s="13" t="n">
        <f aca="false">TS_Setup!$B$15*E24+(1-TS_Setup!$B$15)*(M23+U23)</f>
        <v>0.26614523555377</v>
      </c>
      <c r="N24" s="13" t="n">
        <f aca="false">TS_Setup!$B$15*F24+(1-TS_Setup!$B$15)*(N23+V23)</f>
        <v>-0.842236849905841</v>
      </c>
      <c r="O24" s="13" t="n">
        <f aca="false">TS_Setup!$B$15*G24+(1-TS_Setup!$B$15)*(O23+W23)</f>
        <v>1.456</v>
      </c>
      <c r="P24" s="13" t="n">
        <f aca="false">TS_Setup!$B$15*H24+(1-TS_Setup!$B$15)*(P23+X23)</f>
        <v>0.091</v>
      </c>
      <c r="Q24" s="13" t="n">
        <f aca="false">TS_Setup!$B$15*I24+(1-TS_Setup!$B$15)*(Q23+Y23)</f>
        <v>0.961044315607877</v>
      </c>
      <c r="R24" s="16" t="n">
        <f aca="false">TS_Setup!$B$16*(J24-J23)+(1-TS_Setup!$B$16)*R23</f>
        <v>0</v>
      </c>
      <c r="S24" s="16" t="n">
        <f aca="false">TS_Setup!$B$16*(K24-K23)+(1-TS_Setup!$B$16)*S23</f>
        <v>0.102495716703603</v>
      </c>
      <c r="T24" s="16" t="n">
        <f aca="false">TS_Setup!$B$16*(L24-L23)+(1-TS_Setup!$B$16)*T23</f>
        <v>0</v>
      </c>
      <c r="U24" s="16" t="n">
        <f aca="false">TS_Setup!$B$16*(M24-M23)+(1-TS_Setup!$B$16)*U23</f>
        <v>0.0160561564861541</v>
      </c>
      <c r="V24" s="16" t="n">
        <f aca="false">TS_Setup!$B$16*(N24-N23)+(1-TS_Setup!$B$16)*V23</f>
        <v>0.00529912049755016</v>
      </c>
      <c r="W24" s="16" t="n">
        <f aca="false">TS_Setup!$B$16*(O24-O23)+(1-TS_Setup!$B$16)*W23</f>
        <v>0.279552</v>
      </c>
      <c r="X24" s="16" t="n">
        <f aca="false">TS_Setup!$B$16*(P24-P23)+(1-TS_Setup!$B$16)*X23</f>
        <v>0.017472</v>
      </c>
      <c r="Y24" s="16" t="n">
        <f aca="false">TS_Setup!$B$16*(Q24-Q23)+(1-TS_Setup!$B$16)*Y23</f>
        <v>0.365963931686226</v>
      </c>
    </row>
    <row r="25" customFormat="false" ht="15" hidden="false" customHeight="false" outlineLevel="0" collapsed="false">
      <c r="A25" s="11" t="n">
        <f aca="false">Daily!A24</f>
        <v>43906</v>
      </c>
      <c r="B25" s="13" t="n">
        <f aca="false">SUMIFS(Data!$B$2:$B$2797,Data!$A$2:$A$2797,$A25,Data!$F$2:$F$2797,B$5)</f>
        <v>0</v>
      </c>
      <c r="C25" s="13" t="n">
        <f aca="false">SUMIFS(Data!$B$2:$B$2797,Data!$A$2:$A$2797,$A25,Data!$F$2:$F$2797,C$5)</f>
        <v>0</v>
      </c>
      <c r="D25" s="13" t="n">
        <f aca="false">SUMIFS(Data!$B$2:$B$2797,Data!$A$2:$A$2797,$A25,Data!$F$2:$F$2797,D$5)</f>
        <v>0</v>
      </c>
      <c r="E25" s="13" t="n">
        <f aca="false">SUMIFS(Data!$B$2:$B$2797,Data!$A$2:$A$2797,$A25,Data!$F$2:$F$2797,E$5)</f>
        <v>0</v>
      </c>
      <c r="F25" s="13" t="n">
        <f aca="false">SUMIFS(Data!$B$2:$B$2797,Data!$A$2:$A$2797,$A25,Data!$F$2:$F$2797,F$5)</f>
        <v>1</v>
      </c>
      <c r="G25" s="13" t="n">
        <f aca="false">SUMIFS(Data!$B$2:$B$2797,Data!$A$2:$A$2797,$A25,Data!$F$2:$F$2797,G$5)</f>
        <v>2</v>
      </c>
      <c r="H25" s="13" t="n">
        <f aca="false">SUMIFS(Data!$B$2:$B$2797,Data!$A$2:$A$2797,$A25,Data!$F$2:$F$2797,H$5)</f>
        <v>1</v>
      </c>
      <c r="I25" s="13" t="n">
        <f aca="false">SUMIFS(Data!$B$2:$B$2797,Data!$A$2:$A$2797,$A25,Data!$F$2:$F$2797,I$5)</f>
        <v>147</v>
      </c>
      <c r="J25" s="13" t="n">
        <f aca="false">TS_Setup!$B$15*B25+(1-TS_Setup!$B$15)*(J24+R24)</f>
        <v>0</v>
      </c>
      <c r="K25" s="13" t="n">
        <f aca="false">TS_Setup!$B$15*C25+(1-TS_Setup!$B$15)*(K24+S24)</f>
        <v>0.85018449858748</v>
      </c>
      <c r="L25" s="13" t="n">
        <f aca="false">TS_Setup!$B$15*D25+(1-TS_Setup!$B$15)*(L24+T24)</f>
        <v>0</v>
      </c>
      <c r="M25" s="13" t="n">
        <f aca="false">TS_Setup!$B$15*E25+(1-TS_Setup!$B$15)*(M24+U24)</f>
        <v>0.256521065364291</v>
      </c>
      <c r="N25" s="13" t="n">
        <f aca="false">TS_Setup!$B$15*F25+(1-TS_Setup!$B$15)*(N24+V24)</f>
        <v>-0.669776396032137</v>
      </c>
      <c r="O25" s="13" t="n">
        <f aca="false">TS_Setup!$B$15*G25+(1-TS_Setup!$B$15)*(O24+W24)</f>
        <v>1.759616768</v>
      </c>
      <c r="P25" s="13" t="n">
        <f aca="false">TS_Setup!$B$15*H25+(1-TS_Setup!$B$15)*(P24+X24)</f>
        <v>0.189601048</v>
      </c>
      <c r="Q25" s="13" t="n">
        <f aca="false">TS_Setup!$B$15*I25+(1-TS_Setup!$B$15)*(Q24+Y24)</f>
        <v>14.5832504967903</v>
      </c>
      <c r="R25" s="16" t="n">
        <f aca="false">TS_Setup!$B$16*(J25-J24)+(1-TS_Setup!$B$16)*R24</f>
        <v>0</v>
      </c>
      <c r="S25" s="16" t="n">
        <f aca="false">TS_Setup!$B$16*(K25-K24)+(1-TS_Setup!$B$16)*S24</f>
        <v>0.0861542166383441</v>
      </c>
      <c r="T25" s="16" t="n">
        <f aca="false">TS_Setup!$B$16*(L25-L24)+(1-TS_Setup!$B$16)*T24</f>
        <v>0</v>
      </c>
      <c r="U25" s="16" t="n">
        <f aca="false">TS_Setup!$B$16*(M25-M24)+(1-TS_Setup!$B$16)*U24</f>
        <v>0.0111255337644325</v>
      </c>
      <c r="V25" s="16" t="n">
        <f aca="false">TS_Setup!$B$16*(N25-N24)+(1-TS_Setup!$B$16)*V24</f>
        <v>0.0373940965057718</v>
      </c>
      <c r="W25" s="16" t="n">
        <f aca="false">TS_Setup!$B$16*(O25-O24)+(1-TS_Setup!$B$16)*W24</f>
        <v>0.284172435456</v>
      </c>
      <c r="X25" s="16" t="n">
        <f aca="false">TS_Setup!$B$16*(P25-P24)+(1-TS_Setup!$B$16)*X24</f>
        <v>0.033048777216</v>
      </c>
      <c r="Y25" s="16" t="n">
        <f aca="false">TS_Setup!$B$16*(Q25-Q24)+(1-TS_Setup!$B$16)*Y24</f>
        <v>2.9111624435895</v>
      </c>
    </row>
    <row r="26" customFormat="false" ht="15" hidden="false" customHeight="false" outlineLevel="0" collapsed="false">
      <c r="A26" s="11" t="n">
        <f aca="false">Daily!A25</f>
        <v>43907</v>
      </c>
      <c r="B26" s="13" t="n">
        <f aca="false">SUMIFS(Data!$B$2:$B$2797,Data!$A$2:$A$2797,$A26,Data!$F$2:$F$2797,B$5)</f>
        <v>0</v>
      </c>
      <c r="C26" s="13" t="n">
        <f aca="false">SUMIFS(Data!$B$2:$B$2797,Data!$A$2:$A$2797,$A26,Data!$F$2:$F$2797,C$5)</f>
        <v>2</v>
      </c>
      <c r="D26" s="13" t="n">
        <f aca="false">SUMIFS(Data!$B$2:$B$2797,Data!$A$2:$A$2797,$A26,Data!$F$2:$F$2797,D$5)</f>
        <v>0</v>
      </c>
      <c r="E26" s="13" t="n">
        <f aca="false">SUMIFS(Data!$B$2:$B$2797,Data!$A$2:$A$2797,$A26,Data!$F$2:$F$2797,E$5)</f>
        <v>0</v>
      </c>
      <c r="F26" s="13" t="n">
        <f aca="false">SUMIFS(Data!$B$2:$B$2797,Data!$A$2:$A$2797,$A26,Data!$F$2:$F$2797,F$5)</f>
        <v>1</v>
      </c>
      <c r="G26" s="13" t="n">
        <f aca="false">SUMIFS(Data!$B$2:$B$2797,Data!$A$2:$A$2797,$A26,Data!$F$2:$F$2797,G$5)</f>
        <v>2</v>
      </c>
      <c r="H26" s="13" t="n">
        <f aca="false">SUMIFS(Data!$B$2:$B$2797,Data!$A$2:$A$2797,$A26,Data!$F$2:$F$2797,H$5)</f>
        <v>18</v>
      </c>
      <c r="I26" s="13" t="n">
        <f aca="false">SUMIFS(Data!$B$2:$B$2797,Data!$A$2:$A$2797,$A26,Data!$F$2:$F$2797,I$5)</f>
        <v>29</v>
      </c>
      <c r="J26" s="13" t="n">
        <f aca="false">TS_Setup!$B$15*B26+(1-TS_Setup!$B$15)*(J25+R25)</f>
        <v>0</v>
      </c>
      <c r="K26" s="13" t="n">
        <f aca="false">TS_Setup!$B$15*C26+(1-TS_Setup!$B$15)*(K25+S25)</f>
        <v>1.03313189214027</v>
      </c>
      <c r="L26" s="13" t="n">
        <f aca="false">TS_Setup!$B$15*D26+(1-TS_Setup!$B$15)*(L25+T25)</f>
        <v>0</v>
      </c>
      <c r="M26" s="13" t="n">
        <f aca="false">TS_Setup!$B$15*E26+(1-TS_Setup!$B$15)*(M25+U25)</f>
        <v>0.24329075860801</v>
      </c>
      <c r="N26" s="13" t="n">
        <f aca="false">TS_Setup!$B$15*F26+(1-TS_Setup!$B$15)*(N25+V25)</f>
        <v>-0.483835510269466</v>
      </c>
      <c r="O26" s="13" t="n">
        <f aca="false">TS_Setup!$B$15*G26+(1-TS_Setup!$B$15)*(O25+W25)</f>
        <v>2.0398043859415</v>
      </c>
      <c r="P26" s="13" t="n">
        <f aca="false">TS_Setup!$B$15*H26+(1-TS_Setup!$B$15)*(P25+X25)</f>
        <v>1.84038869112134</v>
      </c>
      <c r="Q26" s="13" t="n">
        <f aca="false">TS_Setup!$B$15*I26+(1-TS_Setup!$B$15)*(Q25+Y25)</f>
        <v>18.5414213628053</v>
      </c>
      <c r="R26" s="16" t="n">
        <f aca="false">TS_Setup!$B$16*(J26-J25)+(1-TS_Setup!$B$16)*R25</f>
        <v>0</v>
      </c>
      <c r="S26" s="16" t="n">
        <f aca="false">TS_Setup!$B$16*(K26-K25)+(1-TS_Setup!$B$16)*S25</f>
        <v>0.104738506605919</v>
      </c>
      <c r="T26" s="16" t="n">
        <f aca="false">TS_Setup!$B$16*(L26-L25)+(1-TS_Setup!$B$16)*T25</f>
        <v>0</v>
      </c>
      <c r="U26" s="16" t="n">
        <f aca="false">TS_Setup!$B$16*(M26-M25)+(1-TS_Setup!$B$16)*U25</f>
        <v>0.00644921238445548</v>
      </c>
      <c r="V26" s="16" t="n">
        <f aca="false">TS_Setup!$B$16*(N26-N25)+(1-TS_Setup!$B$16)*V25</f>
        <v>0.0659150800430964</v>
      </c>
      <c r="W26" s="16" t="n">
        <f aca="false">TS_Setup!$B$16*(O26-O25)+(1-TS_Setup!$B$16)*W25</f>
        <v>0.283407350493217</v>
      </c>
      <c r="X26" s="16" t="n">
        <f aca="false">TS_Setup!$B$16*(P26-P25)+(1-TS_Setup!$B$16)*X25</f>
        <v>0.343654639469826</v>
      </c>
      <c r="Y26" s="16" t="n">
        <f aca="false">TS_Setup!$B$16*(Q26-Q25)+(1-TS_Setup!$B$16)*Y25</f>
        <v>3.11218806069519</v>
      </c>
    </row>
    <row r="27" customFormat="false" ht="15" hidden="false" customHeight="false" outlineLevel="0" collapsed="false">
      <c r="A27" s="11" t="n">
        <f aca="false">Daily!A26</f>
        <v>43908</v>
      </c>
      <c r="B27" s="13" t="n">
        <f aca="false">SUMIFS(Data!$B$2:$B$2797,Data!$A$2:$A$2797,$A27,Data!$F$2:$F$2797,B$5)</f>
        <v>1</v>
      </c>
      <c r="C27" s="13" t="n">
        <f aca="false">SUMIFS(Data!$B$2:$B$2797,Data!$A$2:$A$2797,$A27,Data!$F$2:$F$2797,C$5)</f>
        <v>0</v>
      </c>
      <c r="D27" s="13" t="n">
        <f aca="false">SUMIFS(Data!$B$2:$B$2797,Data!$A$2:$A$2797,$A27,Data!$F$2:$F$2797,D$5)</f>
        <v>0</v>
      </c>
      <c r="E27" s="13" t="n">
        <f aca="false">SUMIFS(Data!$B$2:$B$2797,Data!$A$2:$A$2797,$A27,Data!$F$2:$F$2797,E$5)</f>
        <v>10</v>
      </c>
      <c r="F27" s="13" t="n">
        <f aca="false">SUMIFS(Data!$B$2:$B$2797,Data!$A$2:$A$2797,$A27,Data!$F$2:$F$2797,F$5)</f>
        <v>2</v>
      </c>
      <c r="G27" s="13" t="n">
        <f aca="false">SUMIFS(Data!$B$2:$B$2797,Data!$A$2:$A$2797,$A27,Data!$F$2:$F$2797,G$5)</f>
        <v>3</v>
      </c>
      <c r="H27" s="13" t="n">
        <f aca="false">SUMIFS(Data!$B$2:$B$2797,Data!$A$2:$A$2797,$A27,Data!$F$2:$F$2797,H$5)</f>
        <v>5</v>
      </c>
      <c r="I27" s="13" t="n">
        <f aca="false">SUMIFS(Data!$B$2:$B$2797,Data!$A$2:$A$2797,$A27,Data!$F$2:$F$2797,I$5)</f>
        <v>36</v>
      </c>
      <c r="J27" s="13" t="n">
        <f aca="false">TS_Setup!$B$15*B27+(1-TS_Setup!$B$15)*(J26+R26)</f>
        <v>0.091</v>
      </c>
      <c r="K27" s="13" t="n">
        <f aca="false">TS_Setup!$B$15*C27+(1-TS_Setup!$B$15)*(K26+S26)</f>
        <v>1.03432419246029</v>
      </c>
      <c r="L27" s="13" t="n">
        <f aca="false">TS_Setup!$B$15*D27+(1-TS_Setup!$B$15)*(L26+T26)</f>
        <v>0</v>
      </c>
      <c r="M27" s="13" t="n">
        <f aca="false">TS_Setup!$B$15*E27+(1-TS_Setup!$B$15)*(M26+U26)</f>
        <v>1.13701363363215</v>
      </c>
      <c r="N27" s="13" t="n">
        <f aca="false">TS_Setup!$B$15*F27+(1-TS_Setup!$B$15)*(N26+V26)</f>
        <v>-0.19788967107577</v>
      </c>
      <c r="O27" s="13" t="n">
        <f aca="false">TS_Setup!$B$15*G27+(1-TS_Setup!$B$15)*(O26+W26)</f>
        <v>2.38479946841916</v>
      </c>
      <c r="P27" s="13" t="n">
        <f aca="false">TS_Setup!$B$15*H27+(1-TS_Setup!$B$15)*(P26+X26)</f>
        <v>2.44029538750737</v>
      </c>
      <c r="Q27" s="13" t="n">
        <f aca="false">TS_Setup!$B$15*I27+(1-TS_Setup!$B$15)*(Q26+Y26)</f>
        <v>22.9591309659619</v>
      </c>
      <c r="R27" s="16" t="n">
        <f aca="false">TS_Setup!$B$16*(J27-J26)+(1-TS_Setup!$B$16)*R26</f>
        <v>0.017472</v>
      </c>
      <c r="S27" s="16" t="n">
        <f aca="false">TS_Setup!$B$16*(K27-K26)+(1-TS_Setup!$B$16)*S26</f>
        <v>0.084857634999025</v>
      </c>
      <c r="T27" s="16" t="n">
        <f aca="false">TS_Setup!$B$16*(L27-L26)+(1-TS_Setup!$B$16)*T26</f>
        <v>0</v>
      </c>
      <c r="U27" s="16" t="n">
        <f aca="false">TS_Setup!$B$16*(M27-M26)+(1-TS_Setup!$B$16)*U26</f>
        <v>0.176805755611275</v>
      </c>
      <c r="V27" s="16" t="n">
        <f aca="false">TS_Setup!$B$16*(N27-N26)+(1-TS_Setup!$B$16)*V26</f>
        <v>0.108160985800012</v>
      </c>
      <c r="W27" s="16" t="n">
        <f aca="false">TS_Setup!$B$16*(O27-O26)+(1-TS_Setup!$B$16)*W26</f>
        <v>0.295232195034229</v>
      </c>
      <c r="X27" s="16" t="n">
        <f aca="false">TS_Setup!$B$16*(P27-P26)+(1-TS_Setup!$B$16)*X26</f>
        <v>0.392855034397737</v>
      </c>
      <c r="Y27" s="16" t="n">
        <f aca="false">TS_Setup!$B$16*(Q27-Q26)+(1-TS_Setup!$B$16)*Y26</f>
        <v>3.36284819684779</v>
      </c>
    </row>
    <row r="28" customFormat="false" ht="15" hidden="false" customHeight="false" outlineLevel="0" collapsed="false">
      <c r="A28" s="11" t="n">
        <f aca="false">Daily!A27</f>
        <v>43909</v>
      </c>
      <c r="B28" s="13" t="n">
        <f aca="false">SUMIFS(Data!$B$2:$B$2797,Data!$A$2:$A$2797,$A28,Data!$F$2:$F$2797,B$5)</f>
        <v>0</v>
      </c>
      <c r="C28" s="13" t="n">
        <f aca="false">SUMIFS(Data!$B$2:$B$2797,Data!$A$2:$A$2797,$A28,Data!$F$2:$F$2797,C$5)</f>
        <v>53</v>
      </c>
      <c r="D28" s="13" t="n">
        <f aca="false">SUMIFS(Data!$B$2:$B$2797,Data!$A$2:$A$2797,$A28,Data!$F$2:$F$2797,D$5)</f>
        <v>0</v>
      </c>
      <c r="E28" s="13" t="n">
        <f aca="false">SUMIFS(Data!$B$2:$B$2797,Data!$A$2:$A$2797,$A28,Data!$F$2:$F$2797,E$5)</f>
        <v>8</v>
      </c>
      <c r="F28" s="13" t="n">
        <f aca="false">SUMIFS(Data!$B$2:$B$2797,Data!$A$2:$A$2797,$A28,Data!$F$2:$F$2797,F$5)</f>
        <v>0</v>
      </c>
      <c r="G28" s="13" t="n">
        <f aca="false">SUMIFS(Data!$B$2:$B$2797,Data!$A$2:$A$2797,$A28,Data!$F$2:$F$2797,G$5)</f>
        <v>3</v>
      </c>
      <c r="H28" s="13" t="n">
        <f aca="false">SUMIFS(Data!$B$2:$B$2797,Data!$A$2:$A$2797,$A28,Data!$F$2:$F$2797,H$5)</f>
        <v>53</v>
      </c>
      <c r="I28" s="13" t="n">
        <f aca="false">SUMIFS(Data!$B$2:$B$2797,Data!$A$2:$A$2797,$A28,Data!$F$2:$F$2797,I$5)</f>
        <v>37</v>
      </c>
      <c r="J28" s="13" t="n">
        <f aca="false">TS_Setup!$B$15*B28+(1-TS_Setup!$B$15)*(J27+R27)</f>
        <v>0.098601048</v>
      </c>
      <c r="K28" s="13" t="n">
        <f aca="false">TS_Setup!$B$15*C28+(1-TS_Setup!$B$15)*(K27+S27)</f>
        <v>5.84033628116052</v>
      </c>
      <c r="L28" s="13" t="n">
        <f aca="false">TS_Setup!$B$15*D28+(1-TS_Setup!$B$15)*(L27+T27)</f>
        <v>0</v>
      </c>
      <c r="M28" s="13" t="n">
        <f aca="false">TS_Setup!$B$15*E28+(1-TS_Setup!$B$15)*(M27+U27)</f>
        <v>1.92226182482227</v>
      </c>
      <c r="N28" s="13" t="n">
        <f aca="false">TS_Setup!$B$15*F28+(1-TS_Setup!$B$15)*(N27+V27)</f>
        <v>-0.0815633749156643</v>
      </c>
      <c r="O28" s="13" t="n">
        <f aca="false">TS_Setup!$B$15*G28+(1-TS_Setup!$B$15)*(O27+W27)</f>
        <v>2.70914878207913</v>
      </c>
      <c r="P28" s="13" t="n">
        <f aca="false">TS_Setup!$B$15*H28+(1-TS_Setup!$B$15)*(P27+X27)</f>
        <v>7.39833373351175</v>
      </c>
      <c r="Q28" s="13" t="n">
        <f aca="false">TS_Setup!$B$15*I28+(1-TS_Setup!$B$15)*(Q27+Y27)</f>
        <v>27.293679058994</v>
      </c>
      <c r="R28" s="16" t="n">
        <f aca="false">TS_Setup!$B$16*(J28-J27)+(1-TS_Setup!$B$16)*R27</f>
        <v>0.015576777216</v>
      </c>
      <c r="S28" s="16" t="n">
        <f aca="false">TS_Setup!$B$16*(K28-K27)+(1-TS_Setup!$B$16)*S27</f>
        <v>0.991319290109656</v>
      </c>
      <c r="T28" s="16" t="n">
        <f aca="false">TS_Setup!$B$16*(L28-L27)+(1-TS_Setup!$B$16)*T27</f>
        <v>0</v>
      </c>
      <c r="U28" s="16" t="n">
        <f aca="false">TS_Setup!$B$16*(M28-M27)+(1-TS_Setup!$B$16)*U27</f>
        <v>0.293626703242414</v>
      </c>
      <c r="V28" s="16" t="n">
        <f aca="false">TS_Setup!$B$16*(N28-N27)+(1-TS_Setup!$B$16)*V27</f>
        <v>0.10972872538915</v>
      </c>
      <c r="W28" s="16" t="n">
        <f aca="false">TS_Setup!$B$16*(O28-O27)+(1-TS_Setup!$B$16)*W27</f>
        <v>0.300822681810372</v>
      </c>
      <c r="X28" s="16" t="n">
        <f aca="false">TS_Setup!$B$16*(P28-P27)+(1-TS_Setup!$B$16)*X27</f>
        <v>1.26937023022621</v>
      </c>
      <c r="Y28" s="16" t="n">
        <f aca="false">TS_Setup!$B$16*(Q28-Q27)+(1-TS_Setup!$B$16)*Y27</f>
        <v>3.54941457691518</v>
      </c>
    </row>
    <row r="29" customFormat="false" ht="15" hidden="false" customHeight="false" outlineLevel="0" collapsed="false">
      <c r="A29" s="11" t="n">
        <f aca="false">Daily!A28</f>
        <v>43910</v>
      </c>
      <c r="B29" s="13" t="n">
        <f aca="false">SUMIFS(Data!$B$2:$B$2797,Data!$A$2:$A$2797,$A29,Data!$F$2:$F$2797,B$5)</f>
        <v>0</v>
      </c>
      <c r="C29" s="13" t="n">
        <f aca="false">SUMIFS(Data!$B$2:$B$2797,Data!$A$2:$A$2797,$A29,Data!$F$2:$F$2797,C$5)</f>
        <v>5</v>
      </c>
      <c r="D29" s="13" t="n">
        <f aca="false">SUMIFS(Data!$B$2:$B$2797,Data!$A$2:$A$2797,$A29,Data!$F$2:$F$2797,D$5)</f>
        <v>1</v>
      </c>
      <c r="E29" s="13" t="n">
        <f aca="false">SUMIFS(Data!$B$2:$B$2797,Data!$A$2:$A$2797,$A29,Data!$F$2:$F$2797,E$5)</f>
        <v>9</v>
      </c>
      <c r="F29" s="13" t="n">
        <f aca="false">SUMIFS(Data!$B$2:$B$2797,Data!$A$2:$A$2797,$A29,Data!$F$2:$F$2797,F$5)</f>
        <v>0</v>
      </c>
      <c r="G29" s="13" t="n">
        <f aca="false">SUMIFS(Data!$B$2:$B$2797,Data!$A$2:$A$2797,$A29,Data!$F$2:$F$2797,G$5)</f>
        <v>1</v>
      </c>
      <c r="H29" s="13" t="n">
        <f aca="false">SUMIFS(Data!$B$2:$B$2797,Data!$A$2:$A$2797,$A29,Data!$F$2:$F$2797,H$5)</f>
        <v>14</v>
      </c>
      <c r="I29" s="13" t="n">
        <f aca="false">SUMIFS(Data!$B$2:$B$2797,Data!$A$2:$A$2797,$A29,Data!$F$2:$F$2797,I$5)</f>
        <v>20</v>
      </c>
      <c r="J29" s="13" t="n">
        <f aca="false">TS_Setup!$B$15*B29+(1-TS_Setup!$B$15)*(J28+R28)</f>
        <v>0.103787643121344</v>
      </c>
      <c r="K29" s="13" t="n">
        <f aca="false">TS_Setup!$B$15*C29+(1-TS_Setup!$B$15)*(K28+S28)</f>
        <v>6.66497491428459</v>
      </c>
      <c r="L29" s="13" t="n">
        <f aca="false">TS_Setup!$B$15*D29+(1-TS_Setup!$B$15)*(L28+T28)</f>
        <v>0.091</v>
      </c>
      <c r="M29" s="13" t="n">
        <f aca="false">TS_Setup!$B$15*E29+(1-TS_Setup!$B$15)*(M28+U28)</f>
        <v>2.8332426720108</v>
      </c>
      <c r="N29" s="13" t="n">
        <f aca="false">TS_Setup!$B$15*F29+(1-TS_Setup!$B$15)*(N28+V28)</f>
        <v>0.0256023035803981</v>
      </c>
      <c r="O29" s="13" t="n">
        <f aca="false">TS_Setup!$B$15*G29+(1-TS_Setup!$B$15)*(O28+W28)</f>
        <v>2.82706406067556</v>
      </c>
      <c r="P29" s="13" t="n">
        <f aca="false">TS_Setup!$B$15*H29+(1-TS_Setup!$B$15)*(P28+X28)</f>
        <v>9.1529429030378</v>
      </c>
      <c r="Q29" s="13" t="n">
        <f aca="false">TS_Setup!$B$15*I29+(1-TS_Setup!$B$15)*(Q28+Y28)</f>
        <v>29.8563721150415</v>
      </c>
      <c r="R29" s="16" t="n">
        <f aca="false">TS_Setup!$B$16*(J29-J28)+(1-TS_Setup!$B$16)*R28</f>
        <v>0.0135818622538261</v>
      </c>
      <c r="S29" s="16" t="n">
        <f aca="false">TS_Setup!$B$16*(K29-K28)+(1-TS_Setup!$B$16)*S28</f>
        <v>0.959316603968424</v>
      </c>
      <c r="T29" s="16" t="n">
        <f aca="false">TS_Setup!$B$16*(L29-L28)+(1-TS_Setup!$B$16)*T28</f>
        <v>0.017472</v>
      </c>
      <c r="U29" s="16" t="n">
        <f aca="false">TS_Setup!$B$16*(M29-M28)+(1-TS_Setup!$B$16)*U28</f>
        <v>0.412158698880068</v>
      </c>
      <c r="V29" s="16" t="n">
        <f aca="false">TS_Setup!$B$16*(N29-N28)+(1-TS_Setup!$B$16)*V28</f>
        <v>0.109236620385677</v>
      </c>
      <c r="W29" s="16" t="n">
        <f aca="false">TS_Setup!$B$16*(O29-O28)+(1-TS_Setup!$B$16)*W28</f>
        <v>0.265704460393295</v>
      </c>
      <c r="X29" s="16" t="n">
        <f aca="false">TS_Setup!$B$16*(P29-P28)+(1-TS_Setup!$B$16)*X28</f>
        <v>1.36253610657178</v>
      </c>
      <c r="Y29" s="16" t="n">
        <f aca="false">TS_Setup!$B$16*(Q29-Q28)+(1-TS_Setup!$B$16)*Y28</f>
        <v>3.35996404490857</v>
      </c>
    </row>
    <row r="30" customFormat="false" ht="15" hidden="false" customHeight="false" outlineLevel="0" collapsed="false">
      <c r="A30" s="11" t="n">
        <f aca="false">Daily!A29</f>
        <v>43911</v>
      </c>
      <c r="B30" s="13" t="n">
        <f aca="false">SUMIFS(Data!$B$2:$B$2797,Data!$A$2:$A$2797,$A30,Data!$F$2:$F$2797,B$5)</f>
        <v>0</v>
      </c>
      <c r="C30" s="13" t="n">
        <f aca="false">SUMIFS(Data!$B$2:$B$2797,Data!$A$2:$A$2797,$A30,Data!$F$2:$F$2797,C$5)</f>
        <v>12</v>
      </c>
      <c r="D30" s="13" t="n">
        <f aca="false">SUMIFS(Data!$B$2:$B$2797,Data!$A$2:$A$2797,$A30,Data!$F$2:$F$2797,D$5)</f>
        <v>0</v>
      </c>
      <c r="E30" s="13" t="n">
        <f aca="false">SUMIFS(Data!$B$2:$B$2797,Data!$A$2:$A$2797,$A30,Data!$F$2:$F$2797,E$5)</f>
        <v>25</v>
      </c>
      <c r="F30" s="13" t="n">
        <f aca="false">SUMIFS(Data!$B$2:$B$2797,Data!$A$2:$A$2797,$A30,Data!$F$2:$F$2797,F$5)</f>
        <v>3</v>
      </c>
      <c r="G30" s="13" t="n">
        <f aca="false">SUMIFS(Data!$B$2:$B$2797,Data!$A$2:$A$2797,$A30,Data!$F$2:$F$2797,G$5)</f>
        <v>6</v>
      </c>
      <c r="H30" s="13" t="n">
        <f aca="false">SUMIFS(Data!$B$2:$B$2797,Data!$A$2:$A$2797,$A30,Data!$F$2:$F$2797,H$5)</f>
        <v>49</v>
      </c>
      <c r="I30" s="13" t="n">
        <f aca="false">SUMIFS(Data!$B$2:$B$2797,Data!$A$2:$A$2797,$A30,Data!$F$2:$F$2797,I$5)</f>
        <v>39</v>
      </c>
      <c r="J30" s="13" t="n">
        <f aca="false">TS_Setup!$B$15*B30+(1-TS_Setup!$B$15)*(J29+R29)</f>
        <v>0.10668888038603</v>
      </c>
      <c r="K30" s="13" t="n">
        <f aca="false">TS_Setup!$B$15*C30+(1-TS_Setup!$B$15)*(K29+S29)</f>
        <v>8.02248099009199</v>
      </c>
      <c r="L30" s="13" t="n">
        <f aca="false">TS_Setup!$B$15*D30+(1-TS_Setup!$B$15)*(L29+T29)</f>
        <v>0.098601048</v>
      </c>
      <c r="M30" s="13" t="n">
        <f aca="false">TS_Setup!$B$15*E30+(1-TS_Setup!$B$15)*(M29+U29)</f>
        <v>5.2250698461398</v>
      </c>
      <c r="N30" s="13" t="n">
        <f aca="false">TS_Setup!$B$15*F30+(1-TS_Setup!$B$15)*(N29+V29)</f>
        <v>0.395568581885162</v>
      </c>
      <c r="O30" s="13" t="n">
        <f aca="false">TS_Setup!$B$15*G30+(1-TS_Setup!$B$15)*(O29+W29)</f>
        <v>3.35732658565159</v>
      </c>
      <c r="P30" s="13" t="n">
        <f aca="false">TS_Setup!$B$15*H30+(1-TS_Setup!$B$15)*(P29+X29)</f>
        <v>14.0175704197351</v>
      </c>
      <c r="Q30" s="13" t="n">
        <f aca="false">TS_Setup!$B$15*I30+(1-TS_Setup!$B$15)*(Q29+Y29)</f>
        <v>33.7426495693946</v>
      </c>
      <c r="R30" s="16" t="n">
        <f aca="false">TS_Setup!$B$16*(J30-J29)+(1-TS_Setup!$B$16)*R29</f>
        <v>0.0115311822559111</v>
      </c>
      <c r="S30" s="16" t="n">
        <f aca="false">TS_Setup!$B$16*(K30-K29)+(1-TS_Setup!$B$16)*S29</f>
        <v>1.03576898256151</v>
      </c>
      <c r="T30" s="16" t="n">
        <f aca="false">TS_Setup!$B$16*(L30-L29)+(1-TS_Setup!$B$16)*T29</f>
        <v>0.015576777216</v>
      </c>
      <c r="U30" s="16" t="n">
        <f aca="false">TS_Setup!$B$16*(M30-M29)+(1-TS_Setup!$B$16)*U29</f>
        <v>0.792255046127863</v>
      </c>
      <c r="V30" s="16" t="n">
        <f aca="false">TS_Setup!$B$16*(N30-N29)+(1-TS_Setup!$B$16)*V29</f>
        <v>0.159296714706142</v>
      </c>
      <c r="W30" s="16" t="n">
        <f aca="false">TS_Setup!$B$16*(O30-O29)+(1-TS_Setup!$B$16)*W29</f>
        <v>0.31649960879318</v>
      </c>
      <c r="X30" s="16" t="n">
        <f aca="false">TS_Setup!$B$16*(P30-P29)+(1-TS_Setup!$B$16)*X29</f>
        <v>2.03493765731588</v>
      </c>
      <c r="Y30" s="16" t="n">
        <f aca="false">TS_Setup!$B$16*(Q30-Q29)+(1-TS_Setup!$B$16)*Y29</f>
        <v>3.46101621952193</v>
      </c>
    </row>
    <row r="31" customFormat="false" ht="15" hidden="false" customHeight="false" outlineLevel="0" collapsed="false">
      <c r="A31" s="11" t="n">
        <f aca="false">Daily!A30</f>
        <v>43912</v>
      </c>
      <c r="B31" s="13" t="n">
        <f aca="false">SUMIFS(Data!$B$2:$B$2797,Data!$A$2:$A$2797,$A31,Data!$F$2:$F$2797,B$5)</f>
        <v>0</v>
      </c>
      <c r="C31" s="13" t="n">
        <f aca="false">SUMIFS(Data!$B$2:$B$2797,Data!$A$2:$A$2797,$A31,Data!$F$2:$F$2797,C$5)</f>
        <v>4</v>
      </c>
      <c r="D31" s="13" t="n">
        <f aca="false">SUMIFS(Data!$B$2:$B$2797,Data!$A$2:$A$2797,$A31,Data!$F$2:$F$2797,D$5)</f>
        <v>0</v>
      </c>
      <c r="E31" s="13" t="n">
        <f aca="false">SUMIFS(Data!$B$2:$B$2797,Data!$A$2:$A$2797,$A31,Data!$F$2:$F$2797,E$5)</f>
        <v>4</v>
      </c>
      <c r="F31" s="13" t="n">
        <f aca="false">SUMIFS(Data!$B$2:$B$2797,Data!$A$2:$A$2797,$A31,Data!$F$2:$F$2797,F$5)</f>
        <v>1</v>
      </c>
      <c r="G31" s="13" t="n">
        <f aca="false">SUMIFS(Data!$B$2:$B$2797,Data!$A$2:$A$2797,$A31,Data!$F$2:$F$2797,G$5)</f>
        <v>0</v>
      </c>
      <c r="H31" s="13" t="n">
        <f aca="false">SUMIFS(Data!$B$2:$B$2797,Data!$A$2:$A$2797,$A31,Data!$F$2:$F$2797,H$5)</f>
        <v>60</v>
      </c>
      <c r="I31" s="13" t="n">
        <f aca="false">SUMIFS(Data!$B$2:$B$2797,Data!$A$2:$A$2797,$A31,Data!$F$2:$F$2797,I$5)</f>
        <v>41</v>
      </c>
      <c r="J31" s="13" t="n">
        <f aca="false">TS_Setup!$B$15*B31+(1-TS_Setup!$B$15)*(J30+R30)</f>
        <v>0.107462036941524</v>
      </c>
      <c r="K31" s="13" t="n">
        <f aca="false">TS_Setup!$B$15*C31+(1-TS_Setup!$B$15)*(K30+S30)</f>
        <v>8.59794922514203</v>
      </c>
      <c r="L31" s="13" t="n">
        <f aca="false">TS_Setup!$B$15*D31+(1-TS_Setup!$B$15)*(L30+T30)</f>
        <v>0.103787643121344</v>
      </c>
      <c r="M31" s="13" t="n">
        <f aca="false">TS_Setup!$B$15*E31+(1-TS_Setup!$B$15)*(M30+U30)</f>
        <v>5.83374832707131</v>
      </c>
      <c r="N31" s="13" t="n">
        <f aca="false">TS_Setup!$B$15*F31+(1-TS_Setup!$B$15)*(N30+V30)</f>
        <v>0.595372554601495</v>
      </c>
      <c r="O31" s="13" t="n">
        <f aca="false">TS_Setup!$B$15*G31+(1-TS_Setup!$B$15)*(O30+W30)</f>
        <v>3.33950801075029</v>
      </c>
      <c r="P31" s="13" t="n">
        <f aca="false">TS_Setup!$B$15*H31+(1-TS_Setup!$B$15)*(P30+X30)</f>
        <v>20.0517298420394</v>
      </c>
      <c r="Q31" s="13" t="n">
        <f aca="false">TS_Setup!$B$15*I31+(1-TS_Setup!$B$15)*(Q30+Y30)</f>
        <v>37.5491322021251</v>
      </c>
      <c r="R31" s="16" t="n">
        <f aca="false">TS_Setup!$B$16*(J31-J30)+(1-TS_Setup!$B$16)*R30</f>
        <v>0.0094656413214311</v>
      </c>
      <c r="S31" s="16" t="n">
        <f aca="false">TS_Setup!$B$16*(K31-K30)+(1-TS_Setup!$B$16)*S30</f>
        <v>0.947391239039306</v>
      </c>
      <c r="T31" s="16" t="n">
        <f aca="false">TS_Setup!$B$16*(L31-L30)+(1-TS_Setup!$B$16)*T30</f>
        <v>0.0135818622538261</v>
      </c>
      <c r="U31" s="16" t="n">
        <f aca="false">TS_Setup!$B$16*(M31-M30)+(1-TS_Setup!$B$16)*U30</f>
        <v>0.757008345610162</v>
      </c>
      <c r="V31" s="16" t="n">
        <f aca="false">TS_Setup!$B$16*(N31-N30)+(1-TS_Setup!$B$16)*V30</f>
        <v>0.167074108244098</v>
      </c>
      <c r="W31" s="16" t="n">
        <f aca="false">TS_Setup!$B$16*(O31-O30)+(1-TS_Setup!$B$16)*W30</f>
        <v>0.252310517523841</v>
      </c>
      <c r="X31" s="16" t="n">
        <f aca="false">TS_Setup!$B$16*(P31-P30)+(1-TS_Setup!$B$16)*X30</f>
        <v>2.80278823619365</v>
      </c>
      <c r="Y31" s="16" t="n">
        <f aca="false">TS_Setup!$B$16*(Q31-Q30)+(1-TS_Setup!$B$16)*Y30</f>
        <v>3.52734577085798</v>
      </c>
    </row>
    <row r="32" customFormat="false" ht="15" hidden="false" customHeight="false" outlineLevel="0" collapsed="false">
      <c r="A32" s="11" t="n">
        <f aca="false">Daily!A31</f>
        <v>43913</v>
      </c>
      <c r="B32" s="13" t="n">
        <f aca="false">SUMIFS(Data!$B$2:$B$2797,Data!$A$2:$A$2797,$A32,Data!$F$2:$F$2797,B$5)</f>
        <v>0</v>
      </c>
      <c r="C32" s="13" t="n">
        <f aca="false">SUMIFS(Data!$B$2:$B$2797,Data!$A$2:$A$2797,$A32,Data!$F$2:$F$2797,C$5)</f>
        <v>5</v>
      </c>
      <c r="D32" s="13" t="n">
        <f aca="false">SUMIFS(Data!$B$2:$B$2797,Data!$A$2:$A$2797,$A32,Data!$F$2:$F$2797,D$5)</f>
        <v>0</v>
      </c>
      <c r="E32" s="13" t="n">
        <f aca="false">SUMIFS(Data!$B$2:$B$2797,Data!$A$2:$A$2797,$A32,Data!$F$2:$F$2797,E$5)</f>
        <v>16</v>
      </c>
      <c r="F32" s="13" t="n">
        <f aca="false">SUMIFS(Data!$B$2:$B$2797,Data!$A$2:$A$2797,$A32,Data!$F$2:$F$2797,F$5)</f>
        <v>0</v>
      </c>
      <c r="G32" s="13" t="n">
        <f aca="false">SUMIFS(Data!$B$2:$B$2797,Data!$A$2:$A$2797,$A32,Data!$F$2:$F$2797,G$5)</f>
        <v>1</v>
      </c>
      <c r="H32" s="13" t="n">
        <f aca="false">SUMIFS(Data!$B$2:$B$2797,Data!$A$2:$A$2797,$A32,Data!$F$2:$F$2797,H$5)</f>
        <v>41</v>
      </c>
      <c r="I32" s="13" t="n">
        <f aca="false">SUMIFS(Data!$B$2:$B$2797,Data!$A$2:$A$2797,$A32,Data!$F$2:$F$2797,I$5)</f>
        <v>19</v>
      </c>
      <c r="J32" s="13" t="n">
        <f aca="false">TS_Setup!$B$15*B32+(1-TS_Setup!$B$15)*(J31+R31)</f>
        <v>0.106287259541026</v>
      </c>
      <c r="K32" s="13" t="n">
        <f aca="false">TS_Setup!$B$15*C32+(1-TS_Setup!$B$15)*(K31+S31)</f>
        <v>9.13171448194083</v>
      </c>
      <c r="L32" s="13" t="n">
        <f aca="false">TS_Setup!$B$15*D32+(1-TS_Setup!$B$15)*(L31+T31)</f>
        <v>0.10668888038603</v>
      </c>
      <c r="M32" s="13" t="n">
        <f aca="false">TS_Setup!$B$15*E32+(1-TS_Setup!$B$15)*(M31+U31)</f>
        <v>7.44699781546746</v>
      </c>
      <c r="N32" s="13" t="n">
        <f aca="false">TS_Setup!$B$15*F32+(1-TS_Setup!$B$15)*(N31+V31)</f>
        <v>0.693064016526645</v>
      </c>
      <c r="O32" s="13" t="n">
        <f aca="false">TS_Setup!$B$15*G32+(1-TS_Setup!$B$15)*(O31+W31)</f>
        <v>3.35596304220119</v>
      </c>
      <c r="P32" s="13" t="n">
        <f aca="false">TS_Setup!$B$15*H32+(1-TS_Setup!$B$15)*(P31+X31)</f>
        <v>24.5057569331138</v>
      </c>
      <c r="Q32" s="13" t="n">
        <f aca="false">TS_Setup!$B$15*I32+(1-TS_Setup!$B$15)*(Q31+Y31)</f>
        <v>39.0675184774416</v>
      </c>
      <c r="R32" s="16" t="n">
        <f aca="false">TS_Setup!$B$16*(J32-J31)+(1-TS_Setup!$B$16)*R31</f>
        <v>0.00742268092682075</v>
      </c>
      <c r="S32" s="16" t="n">
        <f aca="false">TS_Setup!$B$16*(K32-K31)+(1-TS_Setup!$B$16)*S31</f>
        <v>0.86797505044913</v>
      </c>
      <c r="T32" s="16" t="n">
        <f aca="false">TS_Setup!$B$16*(L32-L31)+(1-TS_Setup!$B$16)*T31</f>
        <v>0.0115311822559111</v>
      </c>
      <c r="U32" s="16" t="n">
        <f aca="false">TS_Setup!$B$16*(M32-M31)+(1-TS_Setup!$B$16)*U31</f>
        <v>0.921406645025072</v>
      </c>
      <c r="V32" s="16" t="n">
        <f aca="false">TS_Setup!$B$16*(N32-N31)+(1-TS_Setup!$B$16)*V31</f>
        <v>0.15375264015086</v>
      </c>
      <c r="W32" s="16" t="n">
        <f aca="false">TS_Setup!$B$16*(O32-O31)+(1-TS_Setup!$B$16)*W31</f>
        <v>0.207026264197835</v>
      </c>
      <c r="X32" s="16" t="n">
        <f aca="false">TS_Setup!$B$16*(P32-P31)+(1-TS_Setup!$B$16)*X31</f>
        <v>3.11982609633076</v>
      </c>
      <c r="Y32" s="16" t="n">
        <f aca="false">TS_Setup!$B$16*(Q32-Q31)+(1-TS_Setup!$B$16)*Y31</f>
        <v>3.14162554771402</v>
      </c>
    </row>
    <row r="33" customFormat="false" ht="15" hidden="false" customHeight="false" outlineLevel="0" collapsed="false">
      <c r="A33" s="11" t="n">
        <f aca="false">Daily!A32</f>
        <v>43914</v>
      </c>
      <c r="B33" s="13" t="n">
        <f aca="false">SUMIFS(Data!$B$2:$B$2797,Data!$A$2:$A$2797,$A33,Data!$F$2:$F$2797,B$5)</f>
        <v>0</v>
      </c>
      <c r="C33" s="13" t="n">
        <f aca="false">SUMIFS(Data!$B$2:$B$2797,Data!$A$2:$A$2797,$A33,Data!$F$2:$F$2797,C$5)</f>
        <v>2</v>
      </c>
      <c r="D33" s="13" t="n">
        <f aca="false">SUMIFS(Data!$B$2:$B$2797,Data!$A$2:$A$2797,$A33,Data!$F$2:$F$2797,D$5)</f>
        <v>1</v>
      </c>
      <c r="E33" s="13" t="n">
        <f aca="false">SUMIFS(Data!$B$2:$B$2797,Data!$A$2:$A$2797,$A33,Data!$F$2:$F$2797,E$5)</f>
        <v>5</v>
      </c>
      <c r="F33" s="13" t="n">
        <f aca="false">SUMIFS(Data!$B$2:$B$2797,Data!$A$2:$A$2797,$A33,Data!$F$2:$F$2797,F$5)</f>
        <v>0</v>
      </c>
      <c r="G33" s="13" t="n">
        <f aca="false">SUMIFS(Data!$B$2:$B$2797,Data!$A$2:$A$2797,$A33,Data!$F$2:$F$2797,G$5)</f>
        <v>39</v>
      </c>
      <c r="H33" s="13" t="n">
        <f aca="false">SUMIFS(Data!$B$2:$B$2797,Data!$A$2:$A$2797,$A33,Data!$F$2:$F$2797,H$5)</f>
        <v>45</v>
      </c>
      <c r="I33" s="13" t="n">
        <f aca="false">SUMIFS(Data!$B$2:$B$2797,Data!$A$2:$A$2797,$A33,Data!$F$2:$F$2797,I$5)</f>
        <v>22</v>
      </c>
      <c r="J33" s="13" t="n">
        <f aca="false">TS_Setup!$B$15*B33+(1-TS_Setup!$B$15)*(J32+R32)</f>
        <v>0.103362335885273</v>
      </c>
      <c r="K33" s="13" t="n">
        <f aca="false">TS_Setup!$B$15*C33+(1-TS_Setup!$B$15)*(K32+S32)</f>
        <v>9.27171778494248</v>
      </c>
      <c r="L33" s="13" t="n">
        <f aca="false">TS_Setup!$B$15*D33+(1-TS_Setup!$B$15)*(L32+T32)</f>
        <v>0.198462036941524</v>
      </c>
      <c r="M33" s="13" t="n">
        <f aca="false">TS_Setup!$B$15*E33+(1-TS_Setup!$B$15)*(M32+U32)</f>
        <v>8.06187965458771</v>
      </c>
      <c r="N33" s="13" t="n">
        <f aca="false">TS_Setup!$B$15*F33+(1-TS_Setup!$B$15)*(N32+V32)</f>
        <v>0.769756340919852</v>
      </c>
      <c r="O33" s="13" t="n">
        <f aca="false">TS_Setup!$B$15*G33+(1-TS_Setup!$B$15)*(O32+W32)</f>
        <v>6.78775727951671</v>
      </c>
      <c r="P33" s="13" t="n">
        <f aca="false">TS_Setup!$B$15*H33+(1-TS_Setup!$B$15)*(P32+X32)</f>
        <v>29.2066549737651</v>
      </c>
      <c r="Q33" s="13" t="n">
        <f aca="false">TS_Setup!$B$15*I33+(1-TS_Setup!$B$15)*(Q32+Y32)</f>
        <v>40.3701119188665</v>
      </c>
      <c r="R33" s="16" t="n">
        <f aca="false">TS_Setup!$B$16*(J33-J32)+(1-TS_Setup!$B$16)*R32</f>
        <v>0.00543594084696652</v>
      </c>
      <c r="S33" s="16" t="n">
        <f aca="false">TS_Setup!$B$16*(K33-K32)+(1-TS_Setup!$B$16)*S32</f>
        <v>0.728204474939212</v>
      </c>
      <c r="T33" s="16" t="n">
        <f aca="false">TS_Setup!$B$16*(L33-L32)+(1-TS_Setup!$B$16)*T32</f>
        <v>0.0269376413214311</v>
      </c>
      <c r="U33" s="16" t="n">
        <f aca="false">TS_Setup!$B$16*(M33-M32)+(1-TS_Setup!$B$16)*U32</f>
        <v>0.862553882291347</v>
      </c>
      <c r="V33" s="16" t="n">
        <f aca="false">TS_Setup!$B$16*(N33-N32)+(1-TS_Setup!$B$16)*V32</f>
        <v>0.138957059525391</v>
      </c>
      <c r="W33" s="16" t="n">
        <f aca="false">TS_Setup!$B$16*(O33-O32)+(1-TS_Setup!$B$16)*W32</f>
        <v>0.826181715036431</v>
      </c>
      <c r="X33" s="16" t="n">
        <f aca="false">TS_Setup!$B$16*(P33-P32)+(1-TS_Setup!$B$16)*X32</f>
        <v>3.42339190964031</v>
      </c>
      <c r="Y33" s="16" t="n">
        <f aca="false">TS_Setup!$B$16*(Q33-Q32)+(1-TS_Setup!$B$16)*Y32</f>
        <v>2.7885313833065</v>
      </c>
    </row>
    <row r="34" customFormat="false" ht="15" hidden="false" customHeight="false" outlineLevel="0" collapsed="false">
      <c r="A34" s="11" t="n">
        <f aca="false">Daily!A33</f>
        <v>43915</v>
      </c>
      <c r="B34" s="13" t="n">
        <f aca="false">SUMIFS(Data!$B$2:$B$2797,Data!$A$2:$A$2797,$A34,Data!$F$2:$F$2797,B$5)</f>
        <v>0</v>
      </c>
      <c r="C34" s="13" t="n">
        <f aca="false">SUMIFS(Data!$B$2:$B$2797,Data!$A$2:$A$2797,$A34,Data!$F$2:$F$2797,C$5)</f>
        <v>21</v>
      </c>
      <c r="D34" s="13" t="n">
        <f aca="false">SUMIFS(Data!$B$2:$B$2797,Data!$A$2:$A$2797,$A34,Data!$F$2:$F$2797,D$5)</f>
        <v>0</v>
      </c>
      <c r="E34" s="13" t="n">
        <f aca="false">SUMIFS(Data!$B$2:$B$2797,Data!$A$2:$A$2797,$A34,Data!$F$2:$F$2797,E$5)</f>
        <v>9</v>
      </c>
      <c r="F34" s="13" t="n">
        <f aca="false">SUMIFS(Data!$B$2:$B$2797,Data!$A$2:$A$2797,$A34,Data!$F$2:$F$2797,F$5)</f>
        <v>5</v>
      </c>
      <c r="G34" s="13" t="n">
        <f aca="false">SUMIFS(Data!$B$2:$B$2797,Data!$A$2:$A$2797,$A34,Data!$F$2:$F$2797,G$5)</f>
        <v>41</v>
      </c>
      <c r="H34" s="13" t="n">
        <f aca="false">SUMIFS(Data!$B$2:$B$2797,Data!$A$2:$A$2797,$A34,Data!$F$2:$F$2797,H$5)</f>
        <v>31</v>
      </c>
      <c r="I34" s="13" t="n">
        <f aca="false">SUMIFS(Data!$B$2:$B$2797,Data!$A$2:$A$2797,$A34,Data!$F$2:$F$2797,I$5)</f>
        <v>3</v>
      </c>
      <c r="J34" s="13" t="n">
        <f aca="false">TS_Setup!$B$15*B34+(1-TS_Setup!$B$15)*(J33+R33)</f>
        <v>0.0988976335496057</v>
      </c>
      <c r="K34" s="13" t="n">
        <f aca="false">TS_Setup!$B$15*C34+(1-TS_Setup!$B$15)*(K33+S33)</f>
        <v>11.0009293342325</v>
      </c>
      <c r="L34" s="13" t="n">
        <f aca="false">TS_Setup!$B$15*D34+(1-TS_Setup!$B$15)*(L33+T33)</f>
        <v>0.204888307541026</v>
      </c>
      <c r="M34" s="13" t="n">
        <f aca="false">TS_Setup!$B$15*E34+(1-TS_Setup!$B$15)*(M33+U33)</f>
        <v>8.93131008502306</v>
      </c>
      <c r="N34" s="13" t="n">
        <f aca="false">TS_Setup!$B$15*F34+(1-TS_Setup!$B$15)*(N33+V33)</f>
        <v>1.28102048100473</v>
      </c>
      <c r="O34" s="13" t="n">
        <f aca="false">TS_Setup!$B$15*G34+(1-TS_Setup!$B$15)*(O33+W33)</f>
        <v>10.6520705460488</v>
      </c>
      <c r="P34" s="13" t="n">
        <f aca="false">TS_Setup!$B$15*H34+(1-TS_Setup!$B$15)*(P33+X33)</f>
        <v>32.4817126170155</v>
      </c>
      <c r="Q34" s="13" t="n">
        <f aca="false">TS_Setup!$B$15*I34+(1-TS_Setup!$B$15)*(Q33+Y33)</f>
        <v>39.5042067616752</v>
      </c>
      <c r="R34" s="16" t="n">
        <f aca="false">TS_Setup!$B$16*(J34-J33)+(1-TS_Setup!$B$16)*R33</f>
        <v>0.00353501735590084</v>
      </c>
      <c r="S34" s="16" t="n">
        <f aca="false">TS_Setup!$B$16*(K34-K33)+(1-TS_Setup!$B$16)*S33</f>
        <v>0.92039783321456</v>
      </c>
      <c r="T34" s="16" t="n">
        <f aca="false">TS_Setup!$B$16*(L34-L33)+(1-TS_Setup!$B$16)*T33</f>
        <v>0.0229994581428207</v>
      </c>
      <c r="U34" s="16" t="n">
        <f aca="false">TS_Setup!$B$16*(M34-M33)+(1-TS_Setup!$B$16)*U33</f>
        <v>0.863874179534996</v>
      </c>
      <c r="V34" s="16" t="n">
        <f aca="false">TS_Setup!$B$16*(N34-N33)+(1-TS_Setup!$B$16)*V33</f>
        <v>0.210440018992812</v>
      </c>
      <c r="W34" s="16" t="n">
        <f aca="false">TS_Setup!$B$16*(O34-O33)+(1-TS_Setup!$B$16)*W33</f>
        <v>1.4095029729236</v>
      </c>
      <c r="X34" s="16" t="n">
        <f aca="false">TS_Setup!$B$16*(P34-P33)+(1-TS_Setup!$B$16)*X33</f>
        <v>3.39491173049345</v>
      </c>
      <c r="Y34" s="16" t="n">
        <f aca="false">TS_Setup!$B$16*(Q34-Q33)+(1-TS_Setup!$B$16)*Y33</f>
        <v>2.08687956753093</v>
      </c>
    </row>
    <row r="35" customFormat="false" ht="15" hidden="false" customHeight="false" outlineLevel="0" collapsed="false">
      <c r="A35" s="11" t="n">
        <f aca="false">Daily!A34</f>
        <v>43916</v>
      </c>
      <c r="B35" s="13" t="n">
        <f aca="false">SUMIFS(Data!$B$2:$B$2797,Data!$A$2:$A$2797,$A35,Data!$F$2:$F$2797,B$5)</f>
        <v>1</v>
      </c>
      <c r="C35" s="13" t="n">
        <f aca="false">SUMIFS(Data!$B$2:$B$2797,Data!$A$2:$A$2797,$A35,Data!$F$2:$F$2797,C$5)</f>
        <v>12</v>
      </c>
      <c r="D35" s="13" t="n">
        <f aca="false">SUMIFS(Data!$B$2:$B$2797,Data!$A$2:$A$2797,$A35,Data!$F$2:$F$2797,D$5)</f>
        <v>0</v>
      </c>
      <c r="E35" s="13" t="n">
        <f aca="false">SUMIFS(Data!$B$2:$B$2797,Data!$A$2:$A$2797,$A35,Data!$F$2:$F$2797,E$5)</f>
        <v>7</v>
      </c>
      <c r="F35" s="13" t="n">
        <f aca="false">SUMIFS(Data!$B$2:$B$2797,Data!$A$2:$A$2797,$A35,Data!$F$2:$F$2797,F$5)</f>
        <v>5</v>
      </c>
      <c r="G35" s="13" t="n">
        <f aca="false">SUMIFS(Data!$B$2:$B$2797,Data!$A$2:$A$2797,$A35,Data!$F$2:$F$2797,G$5)</f>
        <v>9</v>
      </c>
      <c r="H35" s="13" t="n">
        <f aca="false">SUMIFS(Data!$B$2:$B$2797,Data!$A$2:$A$2797,$A35,Data!$F$2:$F$2797,H$5)</f>
        <v>88</v>
      </c>
      <c r="I35" s="13" t="n">
        <f aca="false">SUMIFS(Data!$B$2:$B$2797,Data!$A$2:$A$2797,$A35,Data!$F$2:$F$2797,I$5)</f>
        <v>9</v>
      </c>
      <c r="J35" s="13" t="n">
        <f aca="false">TS_Setup!$B$15*B35+(1-TS_Setup!$B$15)*(J34+R34)</f>
        <v>0.184111279673105</v>
      </c>
      <c r="K35" s="13" t="n">
        <f aca="false">TS_Setup!$B$15*C35+(1-TS_Setup!$B$15)*(K34+S34)</f>
        <v>11.9284863952093</v>
      </c>
      <c r="L35" s="13" t="n">
        <f aca="false">TS_Setup!$B$15*D35+(1-TS_Setup!$B$15)*(L34+T34)</f>
        <v>0.207149979006617</v>
      </c>
      <c r="M35" s="13" t="n">
        <f aca="false">TS_Setup!$B$15*E35+(1-TS_Setup!$B$15)*(M34+U34)</f>
        <v>9.54082249648328</v>
      </c>
      <c r="N35" s="13" t="n">
        <f aca="false">TS_Setup!$B$15*F35+(1-TS_Setup!$B$15)*(N34+V34)</f>
        <v>1.81073759449776</v>
      </c>
      <c r="O35" s="13" t="n">
        <f aca="false">TS_Setup!$B$15*G35+(1-TS_Setup!$B$15)*(O34+W34)</f>
        <v>11.7829703287459</v>
      </c>
      <c r="P35" s="13" t="n">
        <f aca="false">TS_Setup!$B$15*H35+(1-TS_Setup!$B$15)*(P34+X34)</f>
        <v>40.6198515318856</v>
      </c>
      <c r="Q35" s="13" t="n">
        <f aca="false">TS_Setup!$B$15*I35+(1-TS_Setup!$B$15)*(Q34+Y34)</f>
        <v>38.6252974732484</v>
      </c>
      <c r="R35" s="16" t="n">
        <f aca="false">TS_Setup!$B$16*(J35-J34)+(1-TS_Setup!$B$16)*R34</f>
        <v>0.0192173140792798</v>
      </c>
      <c r="S35" s="16" t="n">
        <f aca="false">TS_Setup!$B$16*(K35-K34)+(1-TS_Setup!$B$16)*S34</f>
        <v>0.921772404944926</v>
      </c>
      <c r="T35" s="16" t="n">
        <f aca="false">TS_Setup!$B$16*(L35-L34)+(1-TS_Setup!$B$16)*T34</f>
        <v>0.0190178031007926</v>
      </c>
      <c r="U35" s="16" t="n">
        <f aca="false">TS_Setup!$B$16*(M35-M34)+(1-TS_Setup!$B$16)*U34</f>
        <v>0.815036720064638</v>
      </c>
      <c r="V35" s="16" t="n">
        <f aca="false">TS_Setup!$B$16*(N35-N34)+(1-TS_Setup!$B$16)*V34</f>
        <v>0.271741221136855</v>
      </c>
      <c r="W35" s="16" t="n">
        <f aca="false">TS_Setup!$B$16*(O35-O34)+(1-TS_Setup!$B$16)*W34</f>
        <v>1.35601116040011</v>
      </c>
      <c r="X35" s="16" t="n">
        <f aca="false">TS_Setup!$B$16*(P35-P34)+(1-TS_Setup!$B$16)*X34</f>
        <v>4.30561134989377</v>
      </c>
      <c r="Y35" s="16" t="n">
        <f aca="false">TS_Setup!$B$16*(Q35-Q34)+(1-TS_Setup!$B$16)*Y34</f>
        <v>1.51744810718704</v>
      </c>
    </row>
    <row r="36" customFormat="false" ht="15" hidden="false" customHeight="false" outlineLevel="0" collapsed="false">
      <c r="A36" s="11" t="n">
        <f aca="false">Daily!A35</f>
        <v>43917</v>
      </c>
      <c r="B36" s="13" t="n">
        <f aca="false">SUMIFS(Data!$B$2:$B$2797,Data!$A$2:$A$2797,$A36,Data!$F$2:$F$2797,B$5)</f>
        <v>0</v>
      </c>
      <c r="C36" s="13" t="n">
        <f aca="false">SUMIFS(Data!$B$2:$B$2797,Data!$A$2:$A$2797,$A36,Data!$F$2:$F$2797,C$5)</f>
        <v>0</v>
      </c>
      <c r="D36" s="13" t="n">
        <f aca="false">SUMIFS(Data!$B$2:$B$2797,Data!$A$2:$A$2797,$A36,Data!$F$2:$F$2797,D$5)</f>
        <v>0</v>
      </c>
      <c r="E36" s="13" t="n">
        <f aca="false">SUMIFS(Data!$B$2:$B$2797,Data!$A$2:$A$2797,$A36,Data!$F$2:$F$2797,E$5)</f>
        <v>16</v>
      </c>
      <c r="F36" s="13" t="n">
        <f aca="false">SUMIFS(Data!$B$2:$B$2797,Data!$A$2:$A$2797,$A36,Data!$F$2:$F$2797,F$5)</f>
        <v>2</v>
      </c>
      <c r="G36" s="13" t="n">
        <f aca="false">SUMIFS(Data!$B$2:$B$2797,Data!$A$2:$A$2797,$A36,Data!$F$2:$F$2797,G$5)</f>
        <v>59</v>
      </c>
      <c r="H36" s="13" t="n">
        <f aca="false">SUMIFS(Data!$B$2:$B$2797,Data!$A$2:$A$2797,$A36,Data!$F$2:$F$2797,H$5)</f>
        <v>34</v>
      </c>
      <c r="I36" s="13" t="n">
        <f aca="false">SUMIFS(Data!$B$2:$B$2797,Data!$A$2:$A$2797,$A36,Data!$F$2:$F$2797,I$5)</f>
        <v>11</v>
      </c>
      <c r="J36" s="13" t="n">
        <f aca="false">TS_Setup!$B$15*B36+(1-TS_Setup!$B$15)*(J35+R35)</f>
        <v>0.184825691720918</v>
      </c>
      <c r="K36" s="13" t="n">
        <f aca="false">TS_Setup!$B$15*C36+(1-TS_Setup!$B$15)*(K35+S35)</f>
        <v>11.6808852493402</v>
      </c>
      <c r="L36" s="13" t="n">
        <f aca="false">TS_Setup!$B$15*D36+(1-TS_Setup!$B$15)*(L35+T35)</f>
        <v>0.205586513935635</v>
      </c>
      <c r="M36" s="13" t="n">
        <f aca="false">TS_Setup!$B$15*E36+(1-TS_Setup!$B$15)*(M35+U35)</f>
        <v>10.8694760278421</v>
      </c>
      <c r="N36" s="13" t="n">
        <f aca="false">TS_Setup!$B$15*F36+(1-TS_Setup!$B$15)*(N35+V35)</f>
        <v>2.07497324341187</v>
      </c>
      <c r="O36" s="13" t="n">
        <f aca="false">TS_Setup!$B$15*G36+(1-TS_Setup!$B$15)*(O35+W35)</f>
        <v>17.3123341736337</v>
      </c>
      <c r="P36" s="13" t="n">
        <f aca="false">TS_Setup!$B$15*H36+(1-TS_Setup!$B$15)*(P35+X35)</f>
        <v>43.9312457595375</v>
      </c>
      <c r="Q36" s="13" t="n">
        <f aca="false">TS_Setup!$B$15*I36+(1-TS_Setup!$B$15)*(Q35+Y35)</f>
        <v>37.4907557326158</v>
      </c>
      <c r="R36" s="16" t="n">
        <f aca="false">TS_Setup!$B$16*(J36-J35)+(1-TS_Setup!$B$16)*R35</f>
        <v>0.0156647568892382</v>
      </c>
      <c r="S36" s="16" t="n">
        <f aca="false">TS_Setup!$B$16*(K36-K35)+(1-TS_Setup!$B$16)*S35</f>
        <v>0.697252683188631</v>
      </c>
      <c r="T36" s="16" t="n">
        <f aca="false">TS_Setup!$B$16*(L36-L35)+(1-TS_Setup!$B$16)*T35</f>
        <v>0.0150661996118119</v>
      </c>
      <c r="U36" s="16" t="n">
        <f aca="false">TS_Setup!$B$16*(M36-M35)+(1-TS_Setup!$B$16)*U35</f>
        <v>0.913651147833113</v>
      </c>
      <c r="V36" s="16" t="n">
        <f aca="false">TS_Setup!$B$16*(N36-N35)+(1-TS_Setup!$B$16)*V35</f>
        <v>0.270300151270087</v>
      </c>
      <c r="W36" s="16" t="n">
        <f aca="false">TS_Setup!$B$16*(O36-O35)+(1-TS_Setup!$B$16)*W35</f>
        <v>2.15729487582175</v>
      </c>
      <c r="X36" s="16" t="n">
        <f aca="false">TS_Setup!$B$16*(P36-P35)+(1-TS_Setup!$B$16)*X35</f>
        <v>4.11472166242332</v>
      </c>
      <c r="Y36" s="16" t="n">
        <f aca="false">TS_Setup!$B$16*(Q36-Q35)+(1-TS_Setup!$B$16)*Y35</f>
        <v>1.00826605640567</v>
      </c>
    </row>
    <row r="37" customFormat="false" ht="15" hidden="false" customHeight="false" outlineLevel="0" collapsed="false">
      <c r="A37" s="11" t="n">
        <f aca="false">Daily!A36</f>
        <v>43918</v>
      </c>
      <c r="B37" s="13" t="n">
        <f aca="false">SUMIFS(Data!$B$2:$B$2797,Data!$A$2:$A$2797,$A37,Data!$F$2:$F$2797,B$5)</f>
        <v>0</v>
      </c>
      <c r="C37" s="13" t="n">
        <f aca="false">SUMIFS(Data!$B$2:$B$2797,Data!$A$2:$A$2797,$A37,Data!$F$2:$F$2797,C$5)</f>
        <v>5</v>
      </c>
      <c r="D37" s="13" t="n">
        <f aca="false">SUMIFS(Data!$B$2:$B$2797,Data!$A$2:$A$2797,$A37,Data!$F$2:$F$2797,D$5)</f>
        <v>0</v>
      </c>
      <c r="E37" s="13" t="n">
        <f aca="false">SUMIFS(Data!$B$2:$B$2797,Data!$A$2:$A$2797,$A37,Data!$F$2:$F$2797,E$5)</f>
        <v>8</v>
      </c>
      <c r="F37" s="13" t="n">
        <f aca="false">SUMIFS(Data!$B$2:$B$2797,Data!$A$2:$A$2797,$A37,Data!$F$2:$F$2797,F$5)</f>
        <v>12</v>
      </c>
      <c r="G37" s="13" t="n">
        <f aca="false">SUMIFS(Data!$B$2:$B$2797,Data!$A$2:$A$2797,$A37,Data!$F$2:$F$2797,G$5)</f>
        <v>8</v>
      </c>
      <c r="H37" s="13" t="n">
        <f aca="false">SUMIFS(Data!$B$2:$B$2797,Data!$A$2:$A$2797,$A37,Data!$F$2:$F$2797,H$5)</f>
        <v>122</v>
      </c>
      <c r="I37" s="13" t="n">
        <f aca="false">SUMIFS(Data!$B$2:$B$2797,Data!$A$2:$A$2797,$A37,Data!$F$2:$F$2797,I$5)</f>
        <v>29</v>
      </c>
      <c r="J37" s="13" t="n">
        <f aca="false">TS_Setup!$B$15*B37+(1-TS_Setup!$B$15)*(J36+R36)</f>
        <v>0.182245817786632</v>
      </c>
      <c r="K37" s="13" t="n">
        <f aca="false">TS_Setup!$B$15*C37+(1-TS_Setup!$B$15)*(K36+S36)</f>
        <v>11.7067273806687</v>
      </c>
      <c r="L37" s="13" t="n">
        <f aca="false">TS_Setup!$B$15*D37+(1-TS_Setup!$B$15)*(L36+T36)</f>
        <v>0.20057331661463</v>
      </c>
      <c r="M37" s="13" t="n">
        <f aca="false">TS_Setup!$B$15*E37+(1-TS_Setup!$B$15)*(M36+U36)</f>
        <v>11.4388626026887</v>
      </c>
      <c r="N37" s="13" t="n">
        <f aca="false">TS_Setup!$B$15*F37+(1-TS_Setup!$B$15)*(N36+V36)</f>
        <v>3.2238535157659</v>
      </c>
      <c r="O37" s="13" t="n">
        <f aca="false">TS_Setup!$B$15*G37+(1-TS_Setup!$B$15)*(O36+W36)</f>
        <v>18.4258928059551</v>
      </c>
      <c r="P37" s="13" t="n">
        <f aca="false">TS_Setup!$B$15*H37+(1-TS_Setup!$B$15)*(P36+X36)</f>
        <v>54.7757843865624</v>
      </c>
      <c r="Q37" s="13" t="n">
        <f aca="false">TS_Setup!$B$15*I37+(1-TS_Setup!$B$15)*(Q36+Y36)</f>
        <v>37.6346108062206</v>
      </c>
      <c r="R37" s="16" t="n">
        <f aca="false">TS_Setup!$B$16*(J37-J36)+(1-TS_Setup!$B$16)*R36</f>
        <v>0.0121617877711215</v>
      </c>
      <c r="S37" s="16" t="n">
        <f aca="false">TS_Setup!$B$16*(K37-K36)+(1-TS_Setup!$B$16)*S36</f>
        <v>0.568341857231486</v>
      </c>
      <c r="T37" s="16" t="n">
        <f aca="false">TS_Setup!$B$16*(L37-L36)+(1-TS_Setup!$B$16)*T36</f>
        <v>0.0112109554007109</v>
      </c>
      <c r="U37" s="16" t="n">
        <f aca="false">TS_Setup!$B$16*(M37-M36)+(1-TS_Setup!$B$16)*U36</f>
        <v>0.847552349819717</v>
      </c>
      <c r="V37" s="16" t="n">
        <f aca="false">TS_Setup!$B$16*(N37-N36)+(1-TS_Setup!$B$16)*V36</f>
        <v>0.438987534518204</v>
      </c>
      <c r="W37" s="16" t="n">
        <f aca="false">TS_Setup!$B$16*(O37-O36)+(1-TS_Setup!$B$16)*W36</f>
        <v>1.95689751706967</v>
      </c>
      <c r="X37" s="16" t="n">
        <f aca="false">TS_Setup!$B$16*(P37-P36)+(1-TS_Setup!$B$16)*X36</f>
        <v>5.40684651962682</v>
      </c>
      <c r="Y37" s="16" t="n">
        <f aca="false">TS_Setup!$B$16*(Q37-Q36)+(1-TS_Setup!$B$16)*Y36</f>
        <v>0.842299147707891</v>
      </c>
    </row>
    <row r="38" customFormat="false" ht="15" hidden="false" customHeight="false" outlineLevel="0" collapsed="false">
      <c r="A38" s="11" t="n">
        <f aca="false">Daily!A37</f>
        <v>43919</v>
      </c>
      <c r="B38" s="13" t="n">
        <f aca="false">SUMIFS(Data!$B$2:$B$2797,Data!$A$2:$A$2797,$A38,Data!$F$2:$F$2797,B$5)</f>
        <v>4</v>
      </c>
      <c r="C38" s="13" t="n">
        <f aca="false">SUMIFS(Data!$B$2:$B$2797,Data!$A$2:$A$2797,$A38,Data!$F$2:$F$2797,C$5)</f>
        <v>0</v>
      </c>
      <c r="D38" s="13" t="n">
        <f aca="false">SUMIFS(Data!$B$2:$B$2797,Data!$A$2:$A$2797,$A38,Data!$F$2:$F$2797,D$5)</f>
        <v>0</v>
      </c>
      <c r="E38" s="13" t="n">
        <f aca="false">SUMIFS(Data!$B$2:$B$2797,Data!$A$2:$A$2797,$A38,Data!$F$2:$F$2797,E$5)</f>
        <v>12</v>
      </c>
      <c r="F38" s="13" t="n">
        <f aca="false">SUMIFS(Data!$B$2:$B$2797,Data!$A$2:$A$2797,$A38,Data!$F$2:$F$2797,F$5)</f>
        <v>4</v>
      </c>
      <c r="G38" s="13" t="n">
        <f aca="false">SUMIFS(Data!$B$2:$B$2797,Data!$A$2:$A$2797,$A38,Data!$F$2:$F$2797,G$5)</f>
        <v>4</v>
      </c>
      <c r="H38" s="13" t="n">
        <f aca="false">SUMIFS(Data!$B$2:$B$2797,Data!$A$2:$A$2797,$A38,Data!$F$2:$F$2797,H$5)</f>
        <v>30</v>
      </c>
      <c r="I38" s="13" t="n">
        <f aca="false">SUMIFS(Data!$B$2:$B$2797,Data!$A$2:$A$2797,$A38,Data!$F$2:$F$2797,I$5)</f>
        <v>33</v>
      </c>
      <c r="J38" s="13" t="n">
        <f aca="false">TS_Setup!$B$15*B38+(1-TS_Setup!$B$15)*(J37+R37)</f>
        <v>0.540716513451998</v>
      </c>
      <c r="K38" s="13" t="n">
        <f aca="false">TS_Setup!$B$15*C38+(1-TS_Setup!$B$15)*(K37+S37)</f>
        <v>11.1580379372513</v>
      </c>
      <c r="L38" s="13" t="n">
        <f aca="false">TS_Setup!$B$15*D38+(1-TS_Setup!$B$15)*(L37+T37)</f>
        <v>0.192511903261944</v>
      </c>
      <c r="M38" s="13" t="n">
        <f aca="false">TS_Setup!$B$15*E38+(1-TS_Setup!$B$15)*(M37+U37)</f>
        <v>12.2603511918302</v>
      </c>
      <c r="N38" s="13" t="n">
        <f aca="false">TS_Setup!$B$15*F38+(1-TS_Setup!$B$15)*(N37+V37)</f>
        <v>3.69352251470825</v>
      </c>
      <c r="O38" s="13" t="n">
        <f aca="false">TS_Setup!$B$15*G38+(1-TS_Setup!$B$15)*(O37+W37)</f>
        <v>18.8919564036295</v>
      </c>
      <c r="P38" s="13" t="n">
        <f aca="false">TS_Setup!$B$15*H38+(1-TS_Setup!$B$15)*(P37+X37)</f>
        <v>57.436011493726</v>
      </c>
      <c r="Q38" s="13" t="n">
        <f aca="false">TS_Setup!$B$15*I38+(1-TS_Setup!$B$15)*(Q37+Y37)</f>
        <v>37.978511148121</v>
      </c>
      <c r="R38" s="16" t="n">
        <f aca="false">TS_Setup!$B$16*(J38-J37)+(1-TS_Setup!$B$16)*R37</f>
        <v>0.0786530980868164</v>
      </c>
      <c r="S38" s="16" t="n">
        <f aca="false">TS_Setup!$B$16*(K38-K37)+(1-TS_Setup!$B$16)*S37</f>
        <v>0.353871847506894</v>
      </c>
      <c r="T38" s="16" t="n">
        <f aca="false">TS_Setup!$B$16*(L38-L37)+(1-TS_Setup!$B$16)*T37</f>
        <v>0.00751066060005891</v>
      </c>
      <c r="U38" s="16" t="n">
        <f aca="false">TS_Setup!$B$16*(M38-M37)+(1-TS_Setup!$B$16)*U37</f>
        <v>0.842548107769489</v>
      </c>
      <c r="V38" s="16" t="n">
        <f aca="false">TS_Setup!$B$16*(N38-N37)+(1-TS_Setup!$B$16)*V37</f>
        <v>0.44487837568764</v>
      </c>
      <c r="W38" s="16" t="n">
        <f aca="false">TS_Setup!$B$16*(O38-O37)+(1-TS_Setup!$B$16)*W37</f>
        <v>1.67065740454578</v>
      </c>
      <c r="X38" s="16" t="n">
        <f aca="false">TS_Setup!$B$16*(P38-P37)+(1-TS_Setup!$B$16)*X37</f>
        <v>4.87949559243388</v>
      </c>
      <c r="Y38" s="16" t="n">
        <f aca="false">TS_Setup!$B$16*(Q38-Q37)+(1-TS_Setup!$B$16)*Y37</f>
        <v>0.746606576992853</v>
      </c>
    </row>
    <row r="39" customFormat="false" ht="15" hidden="false" customHeight="false" outlineLevel="0" collapsed="false">
      <c r="A39" s="11" t="n">
        <f aca="false">Daily!A38</f>
        <v>43920</v>
      </c>
      <c r="B39" s="13" t="n">
        <f aca="false">SUMIFS(Data!$B$2:$B$2797,Data!$A$2:$A$2797,$A39,Data!$F$2:$F$2797,B$5)</f>
        <v>0</v>
      </c>
      <c r="C39" s="13" t="n">
        <f aca="false">SUMIFS(Data!$B$2:$B$2797,Data!$A$2:$A$2797,$A39,Data!$F$2:$F$2797,C$5)</f>
        <v>6</v>
      </c>
      <c r="D39" s="13" t="n">
        <f aca="false">SUMIFS(Data!$B$2:$B$2797,Data!$A$2:$A$2797,$A39,Data!$F$2:$F$2797,D$5)</f>
        <v>1</v>
      </c>
      <c r="E39" s="13" t="n">
        <f aca="false">SUMIFS(Data!$B$2:$B$2797,Data!$A$2:$A$2797,$A39,Data!$F$2:$F$2797,E$5)</f>
        <v>18</v>
      </c>
      <c r="F39" s="13" t="n">
        <f aca="false">SUMIFS(Data!$B$2:$B$2797,Data!$A$2:$A$2797,$A39,Data!$F$2:$F$2797,F$5)</f>
        <v>8</v>
      </c>
      <c r="G39" s="13" t="n">
        <f aca="false">SUMIFS(Data!$B$2:$B$2797,Data!$A$2:$A$2797,$A39,Data!$F$2:$F$2797,G$5)</f>
        <v>26</v>
      </c>
      <c r="H39" s="13" t="n">
        <f aca="false">SUMIFS(Data!$B$2:$B$2797,Data!$A$2:$A$2797,$A39,Data!$F$2:$F$2797,H$5)</f>
        <v>59</v>
      </c>
      <c r="I39" s="13" t="n">
        <f aca="false">SUMIFS(Data!$B$2:$B$2797,Data!$A$2:$A$2797,$A39,Data!$F$2:$F$2797,I$5)</f>
        <v>27</v>
      </c>
      <c r="J39" s="13" t="n">
        <f aca="false">TS_Setup!$B$15*B39+(1-TS_Setup!$B$15)*(J38+R38)</f>
        <v>0.563006976888782</v>
      </c>
      <c r="K39" s="13" t="n">
        <f aca="false">TS_Setup!$B$15*C39+(1-TS_Setup!$B$15)*(K38+S38)</f>
        <v>11.0103259943452</v>
      </c>
      <c r="L39" s="13" t="n">
        <f aca="false">TS_Setup!$B$15*D39+(1-TS_Setup!$B$15)*(L38+T38)</f>
        <v>0.272820510550561</v>
      </c>
      <c r="M39" s="13" t="n">
        <f aca="false">TS_Setup!$B$15*E39+(1-TS_Setup!$B$15)*(M38+U38)</f>
        <v>13.5485354633361</v>
      </c>
      <c r="N39" s="13" t="n">
        <f aca="false">TS_Setup!$B$15*F39+(1-TS_Setup!$B$15)*(N38+V38)</f>
        <v>4.48980640936986</v>
      </c>
      <c r="O39" s="13" t="n">
        <f aca="false">TS_Setup!$B$15*G39+(1-TS_Setup!$B$15)*(O38+W38)</f>
        <v>21.0574159516313</v>
      </c>
      <c r="P39" s="13" t="n">
        <f aca="false">TS_Setup!$B$15*H39+(1-TS_Setup!$B$15)*(P38+X38)</f>
        <v>62.0137959413193</v>
      </c>
      <c r="Q39" s="13" t="n">
        <f aca="false">TS_Setup!$B$15*I39+(1-TS_Setup!$B$15)*(Q38+Y38)</f>
        <v>37.6581320121285</v>
      </c>
      <c r="R39" s="16" t="n">
        <f aca="false">TS_Setup!$B$16*(J39-J38)+(1-TS_Setup!$B$16)*R38</f>
        <v>0.0678314722340103</v>
      </c>
      <c r="S39" s="16" t="n">
        <f aca="false">TS_Setup!$B$16*(K39-K38)+(1-TS_Setup!$B$16)*S38</f>
        <v>0.257567759747598</v>
      </c>
      <c r="T39" s="16" t="n">
        <f aca="false">TS_Setup!$B$16*(L39-L38)+(1-TS_Setup!$B$16)*T38</f>
        <v>0.021487866364262</v>
      </c>
      <c r="U39" s="16" t="n">
        <f aca="false">TS_Setup!$B$16*(M39-M38)+(1-TS_Setup!$B$16)*U38</f>
        <v>0.928110251206884</v>
      </c>
      <c r="V39" s="16" t="n">
        <f aca="false">TS_Setup!$B$16*(N39-N38)+(1-TS_Setup!$B$16)*V38</f>
        <v>0.512348235330643</v>
      </c>
      <c r="W39" s="16" t="n">
        <f aca="false">TS_Setup!$B$16*(O39-O38)+(1-TS_Setup!$B$16)*W38</f>
        <v>1.76565941608934</v>
      </c>
      <c r="X39" s="16" t="n">
        <f aca="false">TS_Setup!$B$16*(P39-P38)+(1-TS_Setup!$B$16)*X38</f>
        <v>4.8215670526245</v>
      </c>
      <c r="Y39" s="16" t="n">
        <f aca="false">TS_Setup!$B$16*(Q39-Q38)+(1-TS_Setup!$B$16)*Y38</f>
        <v>0.541745320099665</v>
      </c>
    </row>
    <row r="40" customFormat="false" ht="15" hidden="false" customHeight="false" outlineLevel="0" collapsed="false">
      <c r="A40" s="11" t="n">
        <f aca="false">Daily!A39</f>
        <v>43921</v>
      </c>
      <c r="B40" s="13" t="n">
        <f aca="false">SUMIFS(Data!$B$2:$B$2797,Data!$A$2:$A$2797,$A40,Data!$F$2:$F$2797,B$5)</f>
        <v>0</v>
      </c>
      <c r="C40" s="13" t="n">
        <f aca="false">SUMIFS(Data!$B$2:$B$2797,Data!$A$2:$A$2797,$A40,Data!$F$2:$F$2797,C$5)</f>
        <v>14</v>
      </c>
      <c r="D40" s="13" t="n">
        <f aca="false">SUMIFS(Data!$B$2:$B$2797,Data!$A$2:$A$2797,$A40,Data!$F$2:$F$2797,D$5)</f>
        <v>2</v>
      </c>
      <c r="E40" s="13" t="n">
        <f aca="false">SUMIFS(Data!$B$2:$B$2797,Data!$A$2:$A$2797,$A40,Data!$F$2:$F$2797,E$5)</f>
        <v>37</v>
      </c>
      <c r="F40" s="13" t="n">
        <f aca="false">SUMIFS(Data!$B$2:$B$2797,Data!$A$2:$A$2797,$A40,Data!$F$2:$F$2797,F$5)</f>
        <v>7</v>
      </c>
      <c r="G40" s="13" t="n">
        <f aca="false">SUMIFS(Data!$B$2:$B$2797,Data!$A$2:$A$2797,$A40,Data!$F$2:$F$2797,G$5)</f>
        <v>29</v>
      </c>
      <c r="H40" s="13" t="n">
        <f aca="false">SUMIFS(Data!$B$2:$B$2797,Data!$A$2:$A$2797,$A40,Data!$F$2:$F$2797,H$5)</f>
        <v>23</v>
      </c>
      <c r="I40" s="13" t="n">
        <f aca="false">SUMIFS(Data!$B$2:$B$2797,Data!$A$2:$A$2797,$A40,Data!$F$2:$F$2797,I$5)</f>
        <v>111</v>
      </c>
      <c r="J40" s="13" t="n">
        <f aca="false">TS_Setup!$B$15*B40+(1-TS_Setup!$B$15)*(J39+R39)</f>
        <v>0.573432150252618</v>
      </c>
      <c r="K40" s="13" t="n">
        <f aca="false">TS_Setup!$B$15*C40+(1-TS_Setup!$B$15)*(K39+S39)</f>
        <v>11.5165154224703</v>
      </c>
      <c r="L40" s="13" t="n">
        <f aca="false">TS_Setup!$B$15*D40+(1-TS_Setup!$B$15)*(L39+T39)</f>
        <v>0.449526314615574</v>
      </c>
      <c r="M40" s="13" t="n">
        <f aca="false">TS_Setup!$B$15*E40+(1-TS_Setup!$B$15)*(M39+U39)</f>
        <v>16.5262709545196</v>
      </c>
      <c r="N40" s="13" t="n">
        <f aca="false">TS_Setup!$B$15*F40+(1-TS_Setup!$B$15)*(N39+V39)</f>
        <v>5.18395857203276</v>
      </c>
      <c r="O40" s="13" t="n">
        <f aca="false">TS_Setup!$B$15*G40+(1-TS_Setup!$B$15)*(O39+W39)</f>
        <v>23.3851755092581</v>
      </c>
      <c r="P40" s="13" t="n">
        <f aca="false">TS_Setup!$B$15*H40+(1-TS_Setup!$B$15)*(P39+X39)</f>
        <v>62.8463449614949</v>
      </c>
      <c r="Q40" s="13" t="n">
        <f aca="false">TS_Setup!$B$15*I40+(1-TS_Setup!$B$15)*(Q39+Y39)</f>
        <v>44.8246884949954</v>
      </c>
      <c r="R40" s="16" t="n">
        <f aca="false">TS_Setup!$B$16*(J40-J39)+(1-TS_Setup!$B$16)*R39</f>
        <v>0.0568094628509368</v>
      </c>
      <c r="S40" s="16" t="n">
        <f aca="false">TS_Setup!$B$16*(K40-K39)+(1-TS_Setup!$B$16)*S39</f>
        <v>0.305303120076089</v>
      </c>
      <c r="T40" s="16" t="n">
        <f aca="false">TS_Setup!$B$16*(L40-L39)+(1-TS_Setup!$B$16)*T39</f>
        <v>0.0512897104028062</v>
      </c>
      <c r="U40" s="16" t="n">
        <f aca="false">TS_Setup!$B$16*(M40-M39)+(1-TS_Setup!$B$16)*U39</f>
        <v>1.32163829728239</v>
      </c>
      <c r="V40" s="16" t="n">
        <f aca="false">TS_Setup!$B$16*(N40-N39)+(1-TS_Setup!$B$16)*V39</f>
        <v>0.547254589378436</v>
      </c>
      <c r="W40" s="16" t="n">
        <f aca="false">TS_Setup!$B$16*(O40-O39)+(1-TS_Setup!$B$16)*W39</f>
        <v>1.87358264326453</v>
      </c>
      <c r="X40" s="16" t="n">
        <f aca="false">TS_Setup!$B$16*(P40-P39)+(1-TS_Setup!$B$16)*X39</f>
        <v>4.05567559039431</v>
      </c>
      <c r="Y40" s="16" t="n">
        <f aca="false">TS_Setup!$B$16*(Q40-Q39)+(1-TS_Setup!$B$16)*Y39</f>
        <v>1.81370906335098</v>
      </c>
    </row>
    <row r="41" customFormat="false" ht="15" hidden="false" customHeight="false" outlineLevel="0" collapsed="false">
      <c r="A41" s="11" t="n">
        <f aca="false">Daily!A40</f>
        <v>43922</v>
      </c>
      <c r="B41" s="13" t="n">
        <f aca="false">SUMIFS(Data!$B$2:$B$2797,Data!$A$2:$A$2797,$A41,Data!$F$2:$F$2797,B$5)</f>
        <v>3</v>
      </c>
      <c r="C41" s="13" t="n">
        <f aca="false">SUMIFS(Data!$B$2:$B$2797,Data!$A$2:$A$2797,$A41,Data!$F$2:$F$2797,C$5)</f>
        <v>6</v>
      </c>
      <c r="D41" s="13" t="n">
        <f aca="false">SUMIFS(Data!$B$2:$B$2797,Data!$A$2:$A$2797,$A41,Data!$F$2:$F$2797,D$5)</f>
        <v>4</v>
      </c>
      <c r="E41" s="13" t="n">
        <f aca="false">SUMIFS(Data!$B$2:$B$2797,Data!$A$2:$A$2797,$A41,Data!$F$2:$F$2797,E$5)</f>
        <v>0</v>
      </c>
      <c r="F41" s="13" t="n">
        <f aca="false">SUMIFS(Data!$B$2:$B$2797,Data!$A$2:$A$2797,$A41,Data!$F$2:$F$2797,F$5)</f>
        <v>13</v>
      </c>
      <c r="G41" s="13" t="n">
        <f aca="false">SUMIFS(Data!$B$2:$B$2797,Data!$A$2:$A$2797,$A41,Data!$F$2:$F$2797,G$5)</f>
        <v>20</v>
      </c>
      <c r="H41" s="13" t="n">
        <f aca="false">SUMIFS(Data!$B$2:$B$2797,Data!$A$2:$A$2797,$A41,Data!$F$2:$F$2797,H$5)</f>
        <v>181</v>
      </c>
      <c r="I41" s="13" t="n">
        <f aca="false">SUMIFS(Data!$B$2:$B$2797,Data!$A$2:$A$2797,$A41,Data!$F$2:$F$2797,I$5)</f>
        <v>33</v>
      </c>
      <c r="J41" s="13" t="n">
        <f aca="false">TS_Setup!$B$15*B41+(1-TS_Setup!$B$15)*(J40+R40)</f>
        <v>0.845889626311132</v>
      </c>
      <c r="K41" s="13" t="n">
        <f aca="false">TS_Setup!$B$15*C41+(1-TS_Setup!$B$15)*(K40+S40)</f>
        <v>11.2920330551747</v>
      </c>
      <c r="L41" s="13" t="n">
        <f aca="false">TS_Setup!$B$15*D41+(1-TS_Setup!$B$15)*(L40+T40)</f>
        <v>0.819241766741708</v>
      </c>
      <c r="M41" s="13" t="n">
        <f aca="false">TS_Setup!$B$15*E41+(1-TS_Setup!$B$15)*(M40+U40)</f>
        <v>16.223749509888</v>
      </c>
      <c r="N41" s="13" t="n">
        <f aca="false">TS_Setup!$B$15*F41+(1-TS_Setup!$B$15)*(N40+V40)</f>
        <v>6.39267276372278</v>
      </c>
      <c r="O41" s="13" t="n">
        <f aca="false">TS_Setup!$B$15*G41+(1-TS_Setup!$B$15)*(O40+W40)</f>
        <v>24.780211160643</v>
      </c>
      <c r="P41" s="13" t="n">
        <f aca="false">TS_Setup!$B$15*H41+(1-TS_Setup!$B$15)*(P40+X40)</f>
        <v>77.2849366816673</v>
      </c>
      <c r="Q41" s="13" t="n">
        <f aca="false">TS_Setup!$B$15*I41+(1-TS_Setup!$B$15)*(Q40+Y40)</f>
        <v>45.3973033805368</v>
      </c>
      <c r="R41" s="16" t="n">
        <f aca="false">TS_Setup!$B$16*(J41-J40)+(1-TS_Setup!$B$16)*R40</f>
        <v>0.0982138813867915</v>
      </c>
      <c r="S41" s="16" t="n">
        <f aca="false">TS_Setup!$B$16*(K41-K40)+(1-TS_Setup!$B$16)*S40</f>
        <v>0.203584306500718</v>
      </c>
      <c r="T41" s="16" t="n">
        <f aca="false">TS_Setup!$B$16*(L41-L40)+(1-TS_Setup!$B$16)*T40</f>
        <v>0.112427452813685</v>
      </c>
      <c r="U41" s="16" t="n">
        <f aca="false">TS_Setup!$B$16*(M41-M40)+(1-TS_Setup!$B$16)*U40</f>
        <v>1.00979962683491</v>
      </c>
      <c r="V41" s="16" t="n">
        <f aca="false">TS_Setup!$B$16*(N41-N40)+(1-TS_Setup!$B$16)*V40</f>
        <v>0.67425483302226</v>
      </c>
      <c r="W41" s="16" t="n">
        <f aca="false">TS_Setup!$B$16*(O41-O40)+(1-TS_Setup!$B$16)*W40</f>
        <v>1.78170162082365</v>
      </c>
      <c r="X41" s="16" t="n">
        <f aca="false">TS_Setup!$B$16*(P41-P40)+(1-TS_Setup!$B$16)*X40</f>
        <v>6.04919548731171</v>
      </c>
      <c r="Y41" s="16" t="n">
        <f aca="false">TS_Setup!$B$16*(Q41-Q40)+(1-TS_Setup!$B$16)*Y40</f>
        <v>1.57541898121155</v>
      </c>
    </row>
    <row r="42" customFormat="false" ht="15" hidden="false" customHeight="false" outlineLevel="0" collapsed="false">
      <c r="A42" s="11" t="n">
        <f aca="false">Daily!A41</f>
        <v>43923</v>
      </c>
      <c r="B42" s="13" t="n">
        <f aca="false">SUMIFS(Data!$B$2:$B$2797,Data!$A$2:$A$2797,$A42,Data!$F$2:$F$2797,B$5)</f>
        <v>0</v>
      </c>
      <c r="C42" s="13" t="n">
        <f aca="false">SUMIFS(Data!$B$2:$B$2797,Data!$A$2:$A$2797,$A42,Data!$F$2:$F$2797,C$5)</f>
        <v>5</v>
      </c>
      <c r="D42" s="13" t="n">
        <f aca="false">SUMIFS(Data!$B$2:$B$2797,Data!$A$2:$A$2797,$A42,Data!$F$2:$F$2797,D$5)</f>
        <v>0</v>
      </c>
      <c r="E42" s="13" t="n">
        <f aca="false">SUMIFS(Data!$B$2:$B$2797,Data!$A$2:$A$2797,$A42,Data!$F$2:$F$2797,E$5)</f>
        <v>3</v>
      </c>
      <c r="F42" s="13" t="n">
        <f aca="false">SUMIFS(Data!$B$2:$B$2797,Data!$A$2:$A$2797,$A42,Data!$F$2:$F$2797,F$5)</f>
        <v>4</v>
      </c>
      <c r="G42" s="13" t="n">
        <f aca="false">SUMIFS(Data!$B$2:$B$2797,Data!$A$2:$A$2797,$A42,Data!$F$2:$F$2797,G$5)</f>
        <v>37</v>
      </c>
      <c r="H42" s="13" t="n">
        <f aca="false">SUMIFS(Data!$B$2:$B$2797,Data!$A$2:$A$2797,$A42,Data!$F$2:$F$2797,H$5)</f>
        <v>102</v>
      </c>
      <c r="I42" s="13" t="n">
        <f aca="false">SUMIFS(Data!$B$2:$B$2797,Data!$A$2:$A$2797,$A42,Data!$F$2:$F$2797,I$5)</f>
        <v>32</v>
      </c>
      <c r="J42" s="13" t="n">
        <f aca="false">TS_Setup!$B$15*B42+(1-TS_Setup!$B$15)*(J41+R41)</f>
        <v>0.858190088497412</v>
      </c>
      <c r="K42" s="13" t="n">
        <f aca="false">TS_Setup!$B$15*C42+(1-TS_Setup!$B$15)*(K41+S41)</f>
        <v>10.904516181763</v>
      </c>
      <c r="L42" s="13" t="n">
        <f aca="false">TS_Setup!$B$15*D42+(1-TS_Setup!$B$15)*(L41+T41)</f>
        <v>0.846887320575852</v>
      </c>
      <c r="M42" s="13" t="n">
        <f aca="false">TS_Setup!$B$15*E42+(1-TS_Setup!$B$15)*(M41+U41)</f>
        <v>15.9382961652811</v>
      </c>
      <c r="N42" s="13" t="n">
        <f aca="false">TS_Setup!$B$15*F42+(1-TS_Setup!$B$15)*(N41+V41)</f>
        <v>6.78783718544124</v>
      </c>
      <c r="O42" s="13" t="n">
        <f aca="false">TS_Setup!$B$15*G42+(1-TS_Setup!$B$15)*(O41+W41)</f>
        <v>27.5117787183532</v>
      </c>
      <c r="P42" s="13" t="n">
        <f aca="false">TS_Setup!$B$15*H42+(1-TS_Setup!$B$15)*(P41+X41)</f>
        <v>85.0327261416019</v>
      </c>
      <c r="Q42" s="13" t="n">
        <f aca="false">TS_Setup!$B$15*I42+(1-TS_Setup!$B$15)*(Q41+Y41)</f>
        <v>45.6102046268293</v>
      </c>
      <c r="R42" s="16" t="n">
        <f aca="false">TS_Setup!$B$16*(J42-J41)+(1-TS_Setup!$B$16)*R41</f>
        <v>0.0817185049002934</v>
      </c>
      <c r="S42" s="16" t="n">
        <f aca="false">TS_Setup!$B$16*(K42-K41)+(1-TS_Setup!$B$16)*S41</f>
        <v>0.0900928799575249</v>
      </c>
      <c r="T42" s="16" t="n">
        <f aca="false">TS_Setup!$B$16*(L42-L41)+(1-TS_Setup!$B$16)*T41</f>
        <v>0.0961493282096133</v>
      </c>
      <c r="U42" s="16" t="n">
        <f aca="false">TS_Setup!$B$16*(M42-M41)+(1-TS_Setup!$B$16)*U41</f>
        <v>0.761111056318083</v>
      </c>
      <c r="V42" s="16" t="n">
        <f aca="false">TS_Setup!$B$16*(N42-N41)+(1-TS_Setup!$B$16)*V41</f>
        <v>0.620669474051931</v>
      </c>
      <c r="W42" s="16" t="n">
        <f aca="false">TS_Setup!$B$16*(O42-O41)+(1-TS_Setup!$B$16)*W41</f>
        <v>1.96407588070587</v>
      </c>
      <c r="X42" s="16" t="n">
        <f aca="false">TS_Setup!$B$16*(P42-P41)+(1-TS_Setup!$B$16)*X41</f>
        <v>6.3753255300553</v>
      </c>
      <c r="Y42" s="16" t="n">
        <f aca="false">TS_Setup!$B$16*(Q42-Q41)+(1-TS_Setup!$B$16)*Y41</f>
        <v>1.31381557610708</v>
      </c>
    </row>
    <row r="43" customFormat="false" ht="15" hidden="false" customHeight="false" outlineLevel="0" collapsed="false">
      <c r="A43" s="11" t="n">
        <f aca="false">Daily!A42</f>
        <v>43924</v>
      </c>
      <c r="B43" s="13" t="n">
        <f aca="false">SUMIFS(Data!$B$2:$B$2797,Data!$A$2:$A$2797,$A43,Data!$F$2:$F$2797,B$5)</f>
        <v>0</v>
      </c>
      <c r="C43" s="13" t="n">
        <f aca="false">SUMIFS(Data!$B$2:$B$2797,Data!$A$2:$A$2797,$A43,Data!$F$2:$F$2797,C$5)</f>
        <v>6</v>
      </c>
      <c r="D43" s="13" t="n">
        <f aca="false">SUMIFS(Data!$B$2:$B$2797,Data!$A$2:$A$2797,$A43,Data!$F$2:$F$2797,D$5)</f>
        <v>0</v>
      </c>
      <c r="E43" s="13" t="n">
        <f aca="false">SUMIFS(Data!$B$2:$B$2797,Data!$A$2:$A$2797,$A43,Data!$F$2:$F$2797,E$5)</f>
        <v>3</v>
      </c>
      <c r="F43" s="13" t="n">
        <f aca="false">SUMIFS(Data!$B$2:$B$2797,Data!$A$2:$A$2797,$A43,Data!$F$2:$F$2797,F$5)</f>
        <v>6</v>
      </c>
      <c r="G43" s="13" t="n">
        <f aca="false">SUMIFS(Data!$B$2:$B$2797,Data!$A$2:$A$2797,$A43,Data!$F$2:$F$2797,G$5)</f>
        <v>32</v>
      </c>
      <c r="H43" s="13" t="n">
        <f aca="false">SUMIFS(Data!$B$2:$B$2797,Data!$A$2:$A$2797,$A43,Data!$F$2:$F$2797,H$5)</f>
        <v>152</v>
      </c>
      <c r="I43" s="13" t="n">
        <f aca="false">SUMIFS(Data!$B$2:$B$2797,Data!$A$2:$A$2797,$A43,Data!$F$2:$F$2797,I$5)</f>
        <v>40</v>
      </c>
      <c r="J43" s="13" t="n">
        <f aca="false">TS_Setup!$B$15*B43+(1-TS_Setup!$B$15)*(J42+R42)</f>
        <v>0.854376911398515</v>
      </c>
      <c r="K43" s="13" t="n">
        <f aca="false">TS_Setup!$B$15*C43+(1-TS_Setup!$B$15)*(K42+S42)</f>
        <v>10.5400996371039</v>
      </c>
      <c r="L43" s="13" t="n">
        <f aca="false">TS_Setup!$B$15*D43+(1-TS_Setup!$B$15)*(L42+T42)</f>
        <v>0.857220313745988</v>
      </c>
      <c r="M43" s="13" t="n">
        <f aca="false">TS_Setup!$B$15*E43+(1-TS_Setup!$B$15)*(M42+U42)</f>
        <v>15.4527611644337</v>
      </c>
      <c r="N43" s="13" t="n">
        <f aca="false">TS_Setup!$B$15*F43+(1-TS_Setup!$B$15)*(N42+V42)</f>
        <v>7.28033255347929</v>
      </c>
      <c r="O43" s="13" t="n">
        <f aca="false">TS_Setup!$B$15*G43+(1-TS_Setup!$B$15)*(O42+W42)</f>
        <v>29.7055518305447</v>
      </c>
      <c r="P43" s="13" t="n">
        <f aca="false">TS_Setup!$B$15*H43+(1-TS_Setup!$B$15)*(P42+X42)</f>
        <v>96.9219189695364</v>
      </c>
      <c r="Q43" s="13" t="n">
        <f aca="false">TS_Setup!$B$15*I43+(1-TS_Setup!$B$15)*(Q42+Y42)</f>
        <v>46.2939343644691</v>
      </c>
      <c r="R43" s="16" t="n">
        <f aca="false">TS_Setup!$B$16*(J43-J42)+(1-TS_Setup!$B$16)*R42</f>
        <v>0.0652964219564487</v>
      </c>
      <c r="S43" s="16" t="n">
        <f aca="false">TS_Setup!$B$16*(K43-K42)+(1-TS_Setup!$B$16)*S42</f>
        <v>0.00282707043114407</v>
      </c>
      <c r="T43" s="16" t="n">
        <f aca="false">TS_Setup!$B$16*(L43-L42)+(1-TS_Setup!$B$16)*T42</f>
        <v>0.0796725918820336</v>
      </c>
      <c r="U43" s="16" t="n">
        <f aca="false">TS_Setup!$B$16*(M43-M42)+(1-TS_Setup!$B$16)*U42</f>
        <v>0.521755013342302</v>
      </c>
      <c r="V43" s="16" t="n">
        <f aca="false">TS_Setup!$B$16*(N43-N42)+(1-TS_Setup!$B$16)*V42</f>
        <v>0.596060045697266</v>
      </c>
      <c r="W43" s="16" t="n">
        <f aca="false">TS_Setup!$B$16*(O43-O42)+(1-TS_Setup!$B$16)*W42</f>
        <v>2.00817774915111</v>
      </c>
      <c r="X43" s="16" t="n">
        <f aca="false">TS_Setup!$B$16*(P43-P42)+(1-TS_Setup!$B$16)*X42</f>
        <v>7.43398805124811</v>
      </c>
      <c r="Y43" s="16" t="n">
        <f aca="false">TS_Setup!$B$16*(Q43-Q42)+(1-TS_Setup!$B$16)*Y42</f>
        <v>1.19283909512138</v>
      </c>
    </row>
    <row r="44" customFormat="false" ht="15" hidden="false" customHeight="false" outlineLevel="0" collapsed="false">
      <c r="A44" s="11" t="n">
        <f aca="false">Daily!A43</f>
        <v>43925</v>
      </c>
      <c r="B44" s="13" t="n">
        <f aca="false">SUMIFS(Data!$B$2:$B$2797,Data!$A$2:$A$2797,$A44,Data!$F$2:$F$2797,B$5)</f>
        <v>3</v>
      </c>
      <c r="C44" s="13" t="n">
        <f aca="false">SUMIFS(Data!$B$2:$B$2797,Data!$A$2:$A$2797,$A44,Data!$F$2:$F$2797,C$5)</f>
        <v>10</v>
      </c>
      <c r="D44" s="13" t="n">
        <f aca="false">SUMIFS(Data!$B$2:$B$2797,Data!$A$2:$A$2797,$A44,Data!$F$2:$F$2797,D$5)</f>
        <v>3</v>
      </c>
      <c r="E44" s="13" t="n">
        <f aca="false">SUMIFS(Data!$B$2:$B$2797,Data!$A$2:$A$2797,$A44,Data!$F$2:$F$2797,E$5)</f>
        <v>0</v>
      </c>
      <c r="F44" s="13" t="n">
        <f aca="false">SUMIFS(Data!$B$2:$B$2797,Data!$A$2:$A$2797,$A44,Data!$F$2:$F$2797,F$5)</f>
        <v>7</v>
      </c>
      <c r="G44" s="13" t="n">
        <f aca="false">SUMIFS(Data!$B$2:$B$2797,Data!$A$2:$A$2797,$A44,Data!$F$2:$F$2797,G$5)</f>
        <v>26</v>
      </c>
      <c r="H44" s="13" t="n">
        <f aca="false">SUMIFS(Data!$B$2:$B$2797,Data!$A$2:$A$2797,$A44,Data!$F$2:$F$2797,H$5)</f>
        <v>30</v>
      </c>
      <c r="I44" s="13" t="n">
        <f aca="false">SUMIFS(Data!$B$2:$B$2797,Data!$A$2:$A$2797,$A44,Data!$F$2:$F$2797,I$5)</f>
        <v>0</v>
      </c>
      <c r="J44" s="13" t="n">
        <f aca="false">TS_Setup!$B$15*B44+(1-TS_Setup!$B$15)*(J43+R43)</f>
        <v>1.10898306001966</v>
      </c>
      <c r="K44" s="13" t="n">
        <f aca="false">TS_Setup!$B$15*C44+(1-TS_Setup!$B$15)*(K43+S43)</f>
        <v>10.4935203771494</v>
      </c>
      <c r="L44" s="13" t="n">
        <f aca="false">TS_Setup!$B$15*D44+(1-TS_Setup!$B$15)*(L43+T43)</f>
        <v>1.12463565121587</v>
      </c>
      <c r="M44" s="13" t="n">
        <f aca="false">TS_Setup!$B$15*E44+(1-TS_Setup!$B$15)*(M43+U43)</f>
        <v>14.5208352055984</v>
      </c>
      <c r="N44" s="13" t="n">
        <f aca="false">TS_Setup!$B$15*F44+(1-TS_Setup!$B$15)*(N43+V43)</f>
        <v>7.79664087265149</v>
      </c>
      <c r="O44" s="13" t="n">
        <f aca="false">TS_Setup!$B$15*G44+(1-TS_Setup!$B$15)*(O43+W43)</f>
        <v>31.1937801879435</v>
      </c>
      <c r="P44" s="13" t="n">
        <f aca="false">TS_Setup!$B$15*H44+(1-TS_Setup!$B$15)*(P43+X43)</f>
        <v>97.5895194818932</v>
      </c>
      <c r="Q44" s="13" t="n">
        <f aca="false">TS_Setup!$B$15*I44+(1-TS_Setup!$B$15)*(Q43+Y43)</f>
        <v>43.1654770747678</v>
      </c>
      <c r="R44" s="16" t="n">
        <f aca="false">TS_Setup!$B$16*(J44-J43)+(1-TS_Setup!$B$16)*R43</f>
        <v>0.101643889476071</v>
      </c>
      <c r="S44" s="16" t="n">
        <f aca="false">TS_Setup!$B$16*(K44-K43)+(1-TS_Setup!$B$16)*S43</f>
        <v>-0.00665894500290882</v>
      </c>
      <c r="T44" s="16" t="n">
        <f aca="false">TS_Setup!$B$16*(L44-L43)+(1-TS_Setup!$B$16)*T43</f>
        <v>0.115719199034901</v>
      </c>
      <c r="U44" s="16" t="n">
        <f aca="false">TS_Setup!$B$16*(M44-M43)+(1-TS_Setup!$B$16)*U43</f>
        <v>0.242648266684201</v>
      </c>
      <c r="V44" s="16" t="n">
        <f aca="false">TS_Setup!$B$16*(N44-N43)+(1-TS_Setup!$B$16)*V43</f>
        <v>0.580747714204453</v>
      </c>
      <c r="W44" s="16" t="n">
        <f aca="false">TS_Setup!$B$16*(O44-O43)+(1-TS_Setup!$B$16)*W43</f>
        <v>1.90834746593466</v>
      </c>
      <c r="X44" s="16" t="n">
        <f aca="false">TS_Setup!$B$16*(P44-P43)+(1-TS_Setup!$B$16)*X43</f>
        <v>6.13484164378096</v>
      </c>
      <c r="Y44" s="16" t="n">
        <f aca="false">TS_Setup!$B$16*(Q44-Q43)+(1-TS_Setup!$B$16)*Y43</f>
        <v>0.363150189235413</v>
      </c>
    </row>
    <row r="45" customFormat="false" ht="15" hidden="false" customHeight="false" outlineLevel="0" collapsed="false">
      <c r="A45" s="11" t="n">
        <f aca="false">Daily!A44</f>
        <v>43926</v>
      </c>
      <c r="B45" s="13" t="n">
        <f aca="false">SUMIFS(Data!$B$2:$B$2797,Data!$A$2:$A$2797,$A45,Data!$F$2:$F$2797,B$5)</f>
        <v>2</v>
      </c>
      <c r="C45" s="13" t="n">
        <f aca="false">SUMIFS(Data!$B$2:$B$2797,Data!$A$2:$A$2797,$A45,Data!$F$2:$F$2797,C$5)</f>
        <v>6</v>
      </c>
      <c r="D45" s="13" t="n">
        <f aca="false">SUMIFS(Data!$B$2:$B$2797,Data!$A$2:$A$2797,$A45,Data!$F$2:$F$2797,D$5)</f>
        <v>1</v>
      </c>
      <c r="E45" s="13" t="n">
        <f aca="false">SUMIFS(Data!$B$2:$B$2797,Data!$A$2:$A$2797,$A45,Data!$F$2:$F$2797,E$5)</f>
        <v>17</v>
      </c>
      <c r="F45" s="13" t="n">
        <f aca="false">SUMIFS(Data!$B$2:$B$2797,Data!$A$2:$A$2797,$A45,Data!$F$2:$F$2797,F$5)</f>
        <v>3</v>
      </c>
      <c r="G45" s="13" t="n">
        <f aca="false">SUMIFS(Data!$B$2:$B$2797,Data!$A$2:$A$2797,$A45,Data!$F$2:$F$2797,G$5)</f>
        <v>32</v>
      </c>
      <c r="H45" s="13" t="n">
        <f aca="false">SUMIFS(Data!$B$2:$B$2797,Data!$A$2:$A$2797,$A45,Data!$F$2:$F$2797,H$5)</f>
        <v>78</v>
      </c>
      <c r="I45" s="13" t="n">
        <f aca="false">SUMIFS(Data!$B$2:$B$2797,Data!$A$2:$A$2797,$A45,Data!$F$2:$F$2797,I$5)</f>
        <v>41</v>
      </c>
      <c r="J45" s="13" t="n">
        <f aca="false">TS_Setup!$B$15*B45+(1-TS_Setup!$B$15)*(J44+R44)</f>
        <v>1.28245989709162</v>
      </c>
      <c r="K45" s="13" t="n">
        <f aca="false">TS_Setup!$B$15*C45+(1-TS_Setup!$B$15)*(K44+S44)</f>
        <v>10.0785570418211</v>
      </c>
      <c r="L45" s="13" t="n">
        <f aca="false">TS_Setup!$B$15*D45+(1-TS_Setup!$B$15)*(L44+T44)</f>
        <v>1.21848255887795</v>
      </c>
      <c r="M45" s="13" t="n">
        <f aca="false">TS_Setup!$B$15*E45+(1-TS_Setup!$B$15)*(M44+U44)</f>
        <v>14.9670064763048</v>
      </c>
      <c r="N45" s="13" t="n">
        <f aca="false">TS_Setup!$B$15*F45+(1-TS_Setup!$B$15)*(N44+V44)</f>
        <v>7.88804622545205</v>
      </c>
      <c r="O45" s="13" t="n">
        <f aca="false">TS_Setup!$B$15*G45+(1-TS_Setup!$B$15)*(O44+W44)</f>
        <v>33.0018340373753</v>
      </c>
      <c r="P45" s="13" t="n">
        <f aca="false">TS_Setup!$B$15*H45+(1-TS_Setup!$B$15)*(P44+X44)</f>
        <v>101.383444263238</v>
      </c>
      <c r="Q45" s="13" t="n">
        <f aca="false">TS_Setup!$B$15*I45+(1-TS_Setup!$B$15)*(Q44+Y44)</f>
        <v>43.2985221829789</v>
      </c>
      <c r="R45" s="16" t="n">
        <f aca="false">TS_Setup!$B$16*(J45-J44)+(1-TS_Setup!$B$16)*R44</f>
        <v>0.115435815414481</v>
      </c>
      <c r="S45" s="16" t="n">
        <f aca="false">TS_Setup!$B$16*(K45-K44)+(1-TS_Setup!$B$16)*S44</f>
        <v>-0.0850533879453721</v>
      </c>
      <c r="T45" s="16" t="n">
        <f aca="false">TS_Setup!$B$16*(L45-L44)+(1-TS_Setup!$B$16)*T44</f>
        <v>0.111519719091319</v>
      </c>
      <c r="U45" s="16" t="n">
        <f aca="false">TS_Setup!$B$16*(M45-M44)+(1-TS_Setup!$B$16)*U44</f>
        <v>0.28172468345648</v>
      </c>
      <c r="V45" s="16" t="n">
        <f aca="false">TS_Setup!$B$16*(N45-N44)+(1-TS_Setup!$B$16)*V44</f>
        <v>0.486793980814906</v>
      </c>
      <c r="W45" s="16" t="n">
        <f aca="false">TS_Setup!$B$16*(O45-O44)+(1-TS_Setup!$B$16)*W44</f>
        <v>1.8890910915661</v>
      </c>
      <c r="X45" s="16" t="n">
        <f aca="false">TS_Setup!$B$16*(P45-P44)+(1-TS_Setup!$B$16)*X44</f>
        <v>5.68538560619318</v>
      </c>
      <c r="Y45" s="16" t="n">
        <f aca="false">TS_Setup!$B$16*(Q45-Q44)+(1-TS_Setup!$B$16)*Y44</f>
        <v>0.318970013678749</v>
      </c>
    </row>
    <row r="46" customFormat="false" ht="15" hidden="false" customHeight="false" outlineLevel="0" collapsed="false">
      <c r="A46" s="11" t="n">
        <f aca="false">Daily!A45</f>
        <v>43927</v>
      </c>
      <c r="B46" s="13" t="n">
        <f aca="false">SUMIFS(Data!$B$2:$B$2797,Data!$A$2:$A$2797,$A46,Data!$F$2:$F$2797,B$5)</f>
        <v>1</v>
      </c>
      <c r="C46" s="13" t="n">
        <f aca="false">SUMIFS(Data!$B$2:$B$2797,Data!$A$2:$A$2797,$A46,Data!$F$2:$F$2797,C$5)</f>
        <v>3</v>
      </c>
      <c r="D46" s="13" t="n">
        <f aca="false">SUMIFS(Data!$B$2:$B$2797,Data!$A$2:$A$2797,$A46,Data!$F$2:$F$2797,D$5)</f>
        <v>4</v>
      </c>
      <c r="E46" s="13" t="n">
        <f aca="false">SUMIFS(Data!$B$2:$B$2797,Data!$A$2:$A$2797,$A46,Data!$F$2:$F$2797,E$5)</f>
        <v>1</v>
      </c>
      <c r="F46" s="13" t="n">
        <f aca="false">SUMIFS(Data!$B$2:$B$2797,Data!$A$2:$A$2797,$A46,Data!$F$2:$F$2797,F$5)</f>
        <v>0</v>
      </c>
      <c r="G46" s="13" t="n">
        <f aca="false">SUMIFS(Data!$B$2:$B$2797,Data!$A$2:$A$2797,$A46,Data!$F$2:$F$2797,G$5)</f>
        <v>92</v>
      </c>
      <c r="H46" s="13" t="n">
        <f aca="false">SUMIFS(Data!$B$2:$B$2797,Data!$A$2:$A$2797,$A46,Data!$F$2:$F$2797,H$5)</f>
        <v>97</v>
      </c>
      <c r="I46" s="13" t="n">
        <f aca="false">SUMIFS(Data!$B$2:$B$2797,Data!$A$2:$A$2797,$A46,Data!$F$2:$F$2797,I$5)</f>
        <v>51</v>
      </c>
      <c r="J46" s="13" t="n">
        <f aca="false">TS_Setup!$B$15*B46+(1-TS_Setup!$B$15)*(J45+R45)</f>
        <v>1.36168720266805</v>
      </c>
      <c r="K46" s="13" t="n">
        <f aca="false">TS_Setup!$B$15*C46+(1-TS_Setup!$B$15)*(K45+S45)</f>
        <v>9.35709482137307</v>
      </c>
      <c r="L46" s="13" t="n">
        <f aca="false">TS_Setup!$B$15*D46+(1-TS_Setup!$B$15)*(L45+T45)</f>
        <v>1.57297207067407</v>
      </c>
      <c r="M46" s="13" t="n">
        <f aca="false">TS_Setup!$B$15*E46+(1-TS_Setup!$B$15)*(M45+U45)</f>
        <v>13.952096624223</v>
      </c>
      <c r="N46" s="13" t="n">
        <f aca="false">TS_Setup!$B$15*F46+(1-TS_Setup!$B$15)*(N45+V45)</f>
        <v>7.61272974749666</v>
      </c>
      <c r="O46" s="13" t="n">
        <f aca="false">TS_Setup!$B$15*G46+(1-TS_Setup!$B$15)*(O45+W45)</f>
        <v>40.0878509422077</v>
      </c>
      <c r="P46" s="13" t="n">
        <f aca="false">TS_Setup!$B$15*H46+(1-TS_Setup!$B$15)*(P45+X45)</f>
        <v>106.152566351313</v>
      </c>
      <c r="Q46" s="13" t="n">
        <f aca="false">TS_Setup!$B$15*I46+(1-TS_Setup!$B$15)*(Q45+Y45)</f>
        <v>44.2893004067618</v>
      </c>
      <c r="R46" s="16" t="n">
        <f aca="false">TS_Setup!$B$16*(J46-J45)+(1-TS_Setup!$B$16)*R45</f>
        <v>0.108483781525575</v>
      </c>
      <c r="S46" s="16" t="n">
        <f aca="false">TS_Setup!$B$16*(K46-K45)+(1-TS_Setup!$B$16)*S45</f>
        <v>-0.20724388378589</v>
      </c>
      <c r="T46" s="16" t="n">
        <f aca="false">TS_Setup!$B$16*(L46-L45)+(1-TS_Setup!$B$16)*T45</f>
        <v>0.15816991929064</v>
      </c>
      <c r="U46" s="16" t="n">
        <f aca="false">TS_Setup!$B$16*(M46-M45)+(1-TS_Setup!$B$16)*U45</f>
        <v>0.0327708526331302</v>
      </c>
      <c r="V46" s="16" t="n">
        <f aca="false">TS_Setup!$B$16*(N46-N45)+(1-TS_Setup!$B$16)*V45</f>
        <v>0.34046877273101</v>
      </c>
      <c r="W46" s="16" t="n">
        <f aca="false">TS_Setup!$B$16*(O46-O45)+(1-TS_Setup!$B$16)*W45</f>
        <v>2.88690084771324</v>
      </c>
      <c r="X46" s="16" t="n">
        <f aca="false">TS_Setup!$B$16*(P46-P45)+(1-TS_Setup!$B$16)*X45</f>
        <v>5.50946301071449</v>
      </c>
      <c r="Y46" s="16" t="n">
        <f aca="false">TS_Setup!$B$16*(Q46-Q45)+(1-TS_Setup!$B$16)*Y45</f>
        <v>0.447957190018747</v>
      </c>
    </row>
    <row r="47" customFormat="false" ht="15" hidden="false" customHeight="false" outlineLevel="0" collapsed="false">
      <c r="A47" s="11" t="n">
        <f aca="false">Daily!A46</f>
        <v>43928</v>
      </c>
      <c r="B47" s="13" t="n">
        <f aca="false">SUMIFS(Data!$B$2:$B$2797,Data!$A$2:$A$2797,$A47,Data!$F$2:$F$2797,B$5)</f>
        <v>3</v>
      </c>
      <c r="C47" s="13" t="n">
        <f aca="false">SUMIFS(Data!$B$2:$B$2797,Data!$A$2:$A$2797,$A47,Data!$F$2:$F$2797,C$5)</f>
        <v>12</v>
      </c>
      <c r="D47" s="13" t="n">
        <f aca="false">SUMIFS(Data!$B$2:$B$2797,Data!$A$2:$A$2797,$A47,Data!$F$2:$F$2797,D$5)</f>
        <v>2</v>
      </c>
      <c r="E47" s="13" t="n">
        <f aca="false">SUMIFS(Data!$B$2:$B$2797,Data!$A$2:$A$2797,$A47,Data!$F$2:$F$2797,E$5)</f>
        <v>1</v>
      </c>
      <c r="F47" s="13" t="n">
        <f aca="false">SUMIFS(Data!$B$2:$B$2797,Data!$A$2:$A$2797,$A47,Data!$F$2:$F$2797,F$5)</f>
        <v>1</v>
      </c>
      <c r="G47" s="13" t="n">
        <f aca="false">SUMIFS(Data!$B$2:$B$2797,Data!$A$2:$A$2797,$A47,Data!$F$2:$F$2797,G$5)</f>
        <v>23</v>
      </c>
      <c r="H47" s="13" t="n">
        <f aca="false">SUMIFS(Data!$B$2:$B$2797,Data!$A$2:$A$2797,$A47,Data!$F$2:$F$2797,H$5)</f>
        <v>0</v>
      </c>
      <c r="I47" s="13" t="n">
        <f aca="false">SUMIFS(Data!$B$2:$B$2797,Data!$A$2:$A$2797,$A47,Data!$F$2:$F$2797,I$5)</f>
        <v>65</v>
      </c>
      <c r="J47" s="13" t="n">
        <f aca="false">TS_Setup!$B$15*B47+(1-TS_Setup!$B$15)*(J46+R46)</f>
        <v>1.609385424632</v>
      </c>
      <c r="K47" s="13" t="n">
        <f aca="false">TS_Setup!$B$15*C47+(1-TS_Setup!$B$15)*(K46+S46)</f>
        <v>9.40921450226675</v>
      </c>
      <c r="L47" s="13" t="n">
        <f aca="false">TS_Setup!$B$15*D47+(1-TS_Setup!$B$15)*(L46+T46)</f>
        <v>1.75560806887792</v>
      </c>
      <c r="M47" s="13" t="n">
        <f aca="false">TS_Setup!$B$15*E47+(1-TS_Setup!$B$15)*(M46+U46)</f>
        <v>12.8032445364623</v>
      </c>
      <c r="N47" s="13" t="n">
        <f aca="false">TS_Setup!$B$15*F47+(1-TS_Setup!$B$15)*(N46+V46)</f>
        <v>7.32045745488696</v>
      </c>
      <c r="O47" s="13" t="n">
        <f aca="false">TS_Setup!$B$15*G47+(1-TS_Setup!$B$15)*(O46+W46)</f>
        <v>41.1570493770381</v>
      </c>
      <c r="P47" s="13" t="n">
        <f aca="false">TS_Setup!$B$15*H47+(1-TS_Setup!$B$15)*(P46+X46)</f>
        <v>101.500784690083</v>
      </c>
      <c r="Q47" s="13" t="n">
        <f aca="false">TS_Setup!$B$15*I47+(1-TS_Setup!$B$15)*(Q46+Y46)</f>
        <v>46.5811671554735</v>
      </c>
      <c r="R47" s="16" t="n">
        <f aca="false">TS_Setup!$B$16*(J47-J46)+(1-TS_Setup!$B$16)*R46</f>
        <v>0.135212954089744</v>
      </c>
      <c r="S47" s="16" t="n">
        <f aca="false">TS_Setup!$B$16*(K47-K46)+(1-TS_Setup!$B$16)*S46</f>
        <v>-0.157446079367413</v>
      </c>
      <c r="T47" s="16" t="n">
        <f aca="false">TS_Setup!$B$16*(L47-L46)+(1-TS_Setup!$B$16)*T46</f>
        <v>0.162867406441977</v>
      </c>
      <c r="U47" s="16" t="n">
        <f aca="false">TS_Setup!$B$16*(M47-M46)+(1-TS_Setup!$B$16)*U46</f>
        <v>-0.194100751922501</v>
      </c>
      <c r="V47" s="16" t="n">
        <f aca="false">TS_Setup!$B$16*(N47-N46)+(1-TS_Setup!$B$16)*V46</f>
        <v>0.218982488185592</v>
      </c>
      <c r="W47" s="16" t="n">
        <f aca="false">TS_Setup!$B$16*(O47-O46)+(1-TS_Setup!$B$16)*W46</f>
        <v>2.53790198443974</v>
      </c>
      <c r="X47" s="16" t="n">
        <f aca="false">TS_Setup!$B$16*(P47-P46)+(1-TS_Setup!$B$16)*X46</f>
        <v>3.55850403370115</v>
      </c>
      <c r="Y47" s="16" t="n">
        <f aca="false">TS_Setup!$B$16*(Q47-Q46)+(1-TS_Setup!$B$16)*Y46</f>
        <v>0.801987825287798</v>
      </c>
    </row>
    <row r="48" customFormat="false" ht="15" hidden="false" customHeight="false" outlineLevel="0" collapsed="false">
      <c r="A48" s="11" t="n">
        <f aca="false">Daily!A47</f>
        <v>43929</v>
      </c>
      <c r="B48" s="13" t="n">
        <f aca="false">SUMIFS(Data!$B$2:$B$2797,Data!$A$2:$A$2797,$A48,Data!$F$2:$F$2797,B$5)</f>
        <v>10</v>
      </c>
      <c r="C48" s="13" t="n">
        <f aca="false">SUMIFS(Data!$B$2:$B$2797,Data!$A$2:$A$2797,$A48,Data!$F$2:$F$2797,C$5)</f>
        <v>8</v>
      </c>
      <c r="D48" s="13" t="n">
        <f aca="false">SUMIFS(Data!$B$2:$B$2797,Data!$A$2:$A$2797,$A48,Data!$F$2:$F$2797,D$5)</f>
        <v>6</v>
      </c>
      <c r="E48" s="13" t="n">
        <f aca="false">SUMIFS(Data!$B$2:$B$2797,Data!$A$2:$A$2797,$A48,Data!$F$2:$F$2797,E$5)</f>
        <v>1</v>
      </c>
      <c r="F48" s="13" t="n">
        <f aca="false">SUMIFS(Data!$B$2:$B$2797,Data!$A$2:$A$2797,$A48,Data!$F$2:$F$2797,F$5)</f>
        <v>0</v>
      </c>
      <c r="G48" s="13" t="n">
        <f aca="false">SUMIFS(Data!$B$2:$B$2797,Data!$A$2:$A$2797,$A48,Data!$F$2:$F$2797,G$5)</f>
        <v>25</v>
      </c>
      <c r="H48" s="13" t="n">
        <f aca="false">SUMIFS(Data!$B$2:$B$2797,Data!$A$2:$A$2797,$A48,Data!$F$2:$F$2797,H$5)</f>
        <v>159</v>
      </c>
      <c r="I48" s="13" t="n">
        <f aca="false">SUMIFS(Data!$B$2:$B$2797,Data!$A$2:$A$2797,$A48,Data!$F$2:$F$2797,I$5)</f>
        <v>128</v>
      </c>
      <c r="J48" s="13" t="n">
        <f aca="false">TS_Setup!$B$15*B48+(1-TS_Setup!$B$15)*(J47+R47)</f>
        <v>2.49583992625807</v>
      </c>
      <c r="K48" s="13" t="n">
        <f aca="false">TS_Setup!$B$15*C48+(1-TS_Setup!$B$15)*(K47+S47)</f>
        <v>9.1378574964155</v>
      </c>
      <c r="L48" s="13" t="n">
        <f aca="false">TS_Setup!$B$15*D48+(1-TS_Setup!$B$15)*(L47+T47)</f>
        <v>2.28989420706579</v>
      </c>
      <c r="M48" s="13" t="n">
        <f aca="false">TS_Setup!$B$15*E48+(1-TS_Setup!$B$15)*(M47+U47)</f>
        <v>11.5527117001466</v>
      </c>
      <c r="N48" s="13" t="n">
        <f aca="false">TS_Setup!$B$15*F48+(1-TS_Setup!$B$15)*(N47+V47)</f>
        <v>6.85335090825295</v>
      </c>
      <c r="O48" s="13" t="n">
        <f aca="false">TS_Setup!$B$15*G48+(1-TS_Setup!$B$15)*(O47+W47)</f>
        <v>41.9937107875834</v>
      </c>
      <c r="P48" s="13" t="n">
        <f aca="false">TS_Setup!$B$15*H48+(1-TS_Setup!$B$15)*(P47+X47)</f>
        <v>109.96789344992</v>
      </c>
      <c r="Q48" s="13" t="n">
        <f aca="false">TS_Setup!$B$15*I48+(1-TS_Setup!$B$15)*(Q47+Y47)</f>
        <v>54.719287877512</v>
      </c>
      <c r="R48" s="16" t="n">
        <f aca="false">TS_Setup!$B$16*(J48-J47)+(1-TS_Setup!$B$16)*R47</f>
        <v>0.279451331216718</v>
      </c>
      <c r="S48" s="16" t="n">
        <f aca="false">TS_Setup!$B$16*(K48-K47)+(1-TS_Setup!$B$16)*S47</f>
        <v>-0.17931697725231</v>
      </c>
      <c r="T48" s="16" t="n">
        <f aca="false">TS_Setup!$B$16*(L48-L47)+(1-TS_Setup!$B$16)*T47</f>
        <v>0.234179802937188</v>
      </c>
      <c r="U48" s="16" t="n">
        <f aca="false">TS_Setup!$B$16*(M48-M47)+(1-TS_Setup!$B$16)*U47</f>
        <v>-0.39693571212598</v>
      </c>
      <c r="V48" s="16" t="n">
        <f aca="false">TS_Setup!$B$16*(N48-N47)+(1-TS_Setup!$B$16)*V47</f>
        <v>0.0872533935002284</v>
      </c>
      <c r="W48" s="16" t="n">
        <f aca="false">TS_Setup!$B$16*(O48-O47)+(1-TS_Setup!$B$16)*W47</f>
        <v>2.211263794252</v>
      </c>
      <c r="X48" s="16" t="n">
        <f aca="false">TS_Setup!$B$16*(P48-P47)+(1-TS_Setup!$B$16)*X47</f>
        <v>4.50095614111919</v>
      </c>
      <c r="Y48" s="16" t="n">
        <f aca="false">TS_Setup!$B$16*(Q48-Q47)+(1-TS_Setup!$B$16)*Y47</f>
        <v>2.21052534146394</v>
      </c>
    </row>
    <row r="49" customFormat="false" ht="15" hidden="false" customHeight="false" outlineLevel="0" collapsed="false">
      <c r="A49" s="11" t="n">
        <f aca="false">Daily!A48</f>
        <v>43930</v>
      </c>
      <c r="B49" s="13" t="n">
        <f aca="false">SUMIFS(Data!$B$2:$B$2797,Data!$A$2:$A$2797,$A49,Data!$F$2:$F$2797,B$5)</f>
        <v>5</v>
      </c>
      <c r="C49" s="13" t="n">
        <f aca="false">SUMIFS(Data!$B$2:$B$2797,Data!$A$2:$A$2797,$A49,Data!$F$2:$F$2797,C$5)</f>
        <v>7</v>
      </c>
      <c r="D49" s="13" t="n">
        <f aca="false">SUMIFS(Data!$B$2:$B$2797,Data!$A$2:$A$2797,$A49,Data!$F$2:$F$2797,D$5)</f>
        <v>1</v>
      </c>
      <c r="E49" s="13" t="n">
        <f aca="false">SUMIFS(Data!$B$2:$B$2797,Data!$A$2:$A$2797,$A49,Data!$F$2:$F$2797,E$5)</f>
        <v>2</v>
      </c>
      <c r="F49" s="13" t="n">
        <f aca="false">SUMIFS(Data!$B$2:$B$2797,Data!$A$2:$A$2797,$A49,Data!$F$2:$F$2797,F$5)</f>
        <v>35</v>
      </c>
      <c r="G49" s="13" t="n">
        <f aca="false">SUMIFS(Data!$B$2:$B$2797,Data!$A$2:$A$2797,$A49,Data!$F$2:$F$2797,G$5)</f>
        <v>58</v>
      </c>
      <c r="H49" s="13" t="n">
        <f aca="false">SUMIFS(Data!$B$2:$B$2797,Data!$A$2:$A$2797,$A49,Data!$F$2:$F$2797,H$5)</f>
        <v>674</v>
      </c>
      <c r="I49" s="13" t="n">
        <f aca="false">SUMIFS(Data!$B$2:$B$2797,Data!$A$2:$A$2797,$A49,Data!$F$2:$F$2797,I$5)</f>
        <v>92</v>
      </c>
      <c r="J49" s="13" t="n">
        <f aca="false">TS_Setup!$B$15*B49+(1-TS_Setup!$B$15)*(J48+R48)</f>
        <v>2.97773975304458</v>
      </c>
      <c r="K49" s="13" t="n">
        <f aca="false">TS_Setup!$B$15*C49+(1-TS_Setup!$B$15)*(K48+S48)</f>
        <v>8.78031333191934</v>
      </c>
      <c r="L49" s="13" t="n">
        <f aca="false">TS_Setup!$B$15*D49+(1-TS_Setup!$B$15)*(L48+T48)</f>
        <v>2.3853832750927</v>
      </c>
      <c r="M49" s="13" t="n">
        <f aca="false">TS_Setup!$B$15*E49+(1-TS_Setup!$B$15)*(M48+U48)</f>
        <v>10.3226003731108</v>
      </c>
      <c r="N49" s="13" t="n">
        <f aca="false">TS_Setup!$B$15*F49+(1-TS_Setup!$B$15)*(N48+V48)</f>
        <v>9.49400931029364</v>
      </c>
      <c r="O49" s="13" t="n">
        <f aca="false">TS_Setup!$B$15*G49+(1-TS_Setup!$B$15)*(O48+W48)</f>
        <v>45.4603218948884</v>
      </c>
      <c r="P49" s="13" t="n">
        <f aca="false">TS_Setup!$B$15*H49+(1-TS_Setup!$B$15)*(P48+X48)</f>
        <v>165.386184278254</v>
      </c>
      <c r="Q49" s="13" t="n">
        <f aca="false">TS_Setup!$B$15*I49+(1-TS_Setup!$B$15)*(Q48+Y48)</f>
        <v>60.1212002160492</v>
      </c>
      <c r="R49" s="16" t="n">
        <f aca="false">TS_Setup!$B$16*(J49-J48)+(1-TS_Setup!$B$16)*R48</f>
        <v>0.318321442366118</v>
      </c>
      <c r="S49" s="16" t="n">
        <f aca="false">TS_Setup!$B$16*(K49-K48)+(1-TS_Setup!$B$16)*S48</f>
        <v>-0.213536597203129</v>
      </c>
      <c r="T49" s="16" t="n">
        <f aca="false">TS_Setup!$B$16*(L49-L48)+(1-TS_Setup!$B$16)*T48</f>
        <v>0.207551181834416</v>
      </c>
      <c r="U49" s="16" t="n">
        <f aca="false">TS_Setup!$B$16*(M49-M48)+(1-TS_Setup!$B$16)*U48</f>
        <v>-0.556905430188676</v>
      </c>
      <c r="V49" s="16" t="n">
        <f aca="false">TS_Setup!$B$16*(N49-N48)+(1-TS_Setup!$B$16)*V48</f>
        <v>0.577507155139997</v>
      </c>
      <c r="W49" s="16" t="n">
        <f aca="false">TS_Setup!$B$16*(O49-O48)+(1-TS_Setup!$B$16)*W48</f>
        <v>2.45229047835817</v>
      </c>
      <c r="X49" s="16" t="n">
        <f aca="false">TS_Setup!$B$16*(P49-P48)+(1-TS_Setup!$B$16)*X48</f>
        <v>14.2770844010646</v>
      </c>
      <c r="Y49" s="16" t="n">
        <f aca="false">TS_Setup!$B$16*(Q49-Q48)+(1-TS_Setup!$B$16)*Y48</f>
        <v>2.82327164490199</v>
      </c>
    </row>
    <row r="50" customFormat="false" ht="15" hidden="false" customHeight="false" outlineLevel="0" collapsed="false">
      <c r="A50" s="11" t="n">
        <f aca="false">Daily!A49</f>
        <v>43931</v>
      </c>
      <c r="B50" s="13" t="n">
        <f aca="false">SUMIFS(Data!$B$2:$B$2797,Data!$A$2:$A$2797,$A50,Data!$F$2:$F$2797,B$5)</f>
        <v>0</v>
      </c>
      <c r="C50" s="13" t="n">
        <f aca="false">SUMIFS(Data!$B$2:$B$2797,Data!$A$2:$A$2797,$A50,Data!$F$2:$F$2797,C$5)</f>
        <v>1</v>
      </c>
      <c r="D50" s="13" t="n">
        <f aca="false">SUMIFS(Data!$B$2:$B$2797,Data!$A$2:$A$2797,$A50,Data!$F$2:$F$2797,D$5)</f>
        <v>3</v>
      </c>
      <c r="E50" s="13" t="n">
        <f aca="false">SUMIFS(Data!$B$2:$B$2797,Data!$A$2:$A$2797,$A50,Data!$F$2:$F$2797,E$5)</f>
        <v>0</v>
      </c>
      <c r="F50" s="13" t="n">
        <f aca="false">SUMIFS(Data!$B$2:$B$2797,Data!$A$2:$A$2797,$A50,Data!$F$2:$F$2797,F$5)</f>
        <v>0</v>
      </c>
      <c r="G50" s="13" t="n">
        <f aca="false">SUMIFS(Data!$B$2:$B$2797,Data!$A$2:$A$2797,$A50,Data!$F$2:$F$2797,G$5)</f>
        <v>36</v>
      </c>
      <c r="H50" s="13" t="n">
        <f aca="false">SUMIFS(Data!$B$2:$B$2797,Data!$A$2:$A$2797,$A50,Data!$F$2:$F$2797,H$5)</f>
        <v>30</v>
      </c>
      <c r="I50" s="13" t="n">
        <f aca="false">SUMIFS(Data!$B$2:$B$2797,Data!$A$2:$A$2797,$A50,Data!$F$2:$F$2797,I$5)</f>
        <v>86</v>
      </c>
      <c r="J50" s="13" t="n">
        <f aca="false">TS_Setup!$B$15*B50+(1-TS_Setup!$B$15)*(J49+R49)</f>
        <v>2.99611962662832</v>
      </c>
      <c r="K50" s="13" t="n">
        <f aca="false">TS_Setup!$B$15*C50+(1-TS_Setup!$B$15)*(K49+S49)</f>
        <v>7.87820005185704</v>
      </c>
      <c r="L50" s="13" t="n">
        <f aca="false">TS_Setup!$B$15*D50+(1-TS_Setup!$B$15)*(L49+T49)</f>
        <v>2.62997742134675</v>
      </c>
      <c r="M50" s="13" t="n">
        <f aca="false">TS_Setup!$B$15*E50+(1-TS_Setup!$B$15)*(M49+U49)</f>
        <v>8.87701670311619</v>
      </c>
      <c r="N50" s="13" t="n">
        <f aca="false">TS_Setup!$B$15*F50+(1-TS_Setup!$B$15)*(N49+V49)</f>
        <v>9.15500846707917</v>
      </c>
      <c r="O50" s="13" t="n">
        <f aca="false">TS_Setup!$B$15*G50+(1-TS_Setup!$B$15)*(O49+W49)</f>
        <v>46.8285646472811</v>
      </c>
      <c r="P50" s="13" t="n">
        <f aca="false">TS_Setup!$B$15*H50+(1-TS_Setup!$B$15)*(P49+X49)</f>
        <v>166.043911229501</v>
      </c>
      <c r="Q50" s="13" t="n">
        <f aca="false">TS_Setup!$B$15*I50+(1-TS_Setup!$B$15)*(Q49+Y49)</f>
        <v>65.0425249216046</v>
      </c>
      <c r="R50" s="16" t="n">
        <f aca="false">TS_Setup!$B$16*(J50-J49)+(1-TS_Setup!$B$16)*R49</f>
        <v>0.260732661159902</v>
      </c>
      <c r="S50" s="16" t="n">
        <f aca="false">TS_Setup!$B$16*(K50-K49)+(1-TS_Setup!$B$16)*S49</f>
        <v>-0.34574332031209</v>
      </c>
      <c r="T50" s="16" t="n">
        <f aca="false">TS_Setup!$B$16*(L50-L49)+(1-TS_Setup!$B$16)*T49</f>
        <v>0.214663431002985</v>
      </c>
      <c r="U50" s="16" t="n">
        <f aca="false">TS_Setup!$B$16*(M50-M49)+(1-TS_Setup!$B$16)*U49</f>
        <v>-0.727531652231411</v>
      </c>
      <c r="V50" s="16" t="n">
        <f aca="false">TS_Setup!$B$16*(N50-N49)+(1-TS_Setup!$B$16)*V49</f>
        <v>0.401537619455941</v>
      </c>
      <c r="W50" s="16" t="n">
        <f aca="false">TS_Setup!$B$16*(O50-O49)+(1-TS_Setup!$B$16)*W49</f>
        <v>2.24415331497281</v>
      </c>
      <c r="X50" s="16" t="n">
        <f aca="false">TS_Setup!$B$16*(P50-P49)+(1-TS_Setup!$B$16)*X49</f>
        <v>11.6621677706995</v>
      </c>
      <c r="Y50" s="16" t="n">
        <f aca="false">TS_Setup!$B$16*(Q50-Q49)+(1-TS_Setup!$B$16)*Y49</f>
        <v>3.22609783254745</v>
      </c>
    </row>
    <row r="51" customFormat="false" ht="15" hidden="false" customHeight="false" outlineLevel="0" collapsed="false">
      <c r="A51" s="11" t="n">
        <f aca="false">Daily!A50</f>
        <v>43932</v>
      </c>
      <c r="B51" s="13" t="n">
        <f aca="false">SUMIFS(Data!$B$2:$B$2797,Data!$A$2:$A$2797,$A51,Data!$F$2:$F$2797,B$5)</f>
        <v>1</v>
      </c>
      <c r="C51" s="13" t="n">
        <f aca="false">SUMIFS(Data!$B$2:$B$2797,Data!$A$2:$A$2797,$A51,Data!$F$2:$F$2797,C$5)</f>
        <v>8</v>
      </c>
      <c r="D51" s="13" t="n">
        <f aca="false">SUMIFS(Data!$B$2:$B$2797,Data!$A$2:$A$2797,$A51,Data!$F$2:$F$2797,D$5)</f>
        <v>0</v>
      </c>
      <c r="E51" s="13" t="n">
        <f aca="false">SUMIFS(Data!$B$2:$B$2797,Data!$A$2:$A$2797,$A51,Data!$F$2:$F$2797,E$5)</f>
        <v>1</v>
      </c>
      <c r="F51" s="13" t="n">
        <f aca="false">SUMIFS(Data!$B$2:$B$2797,Data!$A$2:$A$2797,$A51,Data!$F$2:$F$2797,F$5)</f>
        <v>0</v>
      </c>
      <c r="G51" s="13" t="n">
        <f aca="false">SUMIFS(Data!$B$2:$B$2797,Data!$A$2:$A$2797,$A51,Data!$F$2:$F$2797,G$5)</f>
        <v>45</v>
      </c>
      <c r="H51" s="13" t="n">
        <f aca="false">SUMIFS(Data!$B$2:$B$2797,Data!$A$2:$A$2797,$A51,Data!$F$2:$F$2797,H$5)</f>
        <v>138</v>
      </c>
      <c r="I51" s="13" t="n">
        <f aca="false">SUMIFS(Data!$B$2:$B$2797,Data!$A$2:$A$2797,$A51,Data!$F$2:$F$2797,I$5)</f>
        <v>104</v>
      </c>
      <c r="J51" s="13" t="n">
        <f aca="false">TS_Setup!$B$15*B51+(1-TS_Setup!$B$15)*(J50+R50)</f>
        <v>3.0514787295995</v>
      </c>
      <c r="K51" s="13" t="n">
        <f aca="false">TS_Setup!$B$15*C51+(1-TS_Setup!$B$15)*(K50+S50)</f>
        <v>7.57500316897436</v>
      </c>
      <c r="L51" s="13" t="n">
        <f aca="false">TS_Setup!$B$15*D51+(1-TS_Setup!$B$15)*(L50+T50)</f>
        <v>2.58577853478591</v>
      </c>
      <c r="M51" s="13" t="n">
        <f aca="false">TS_Setup!$B$15*E51+(1-TS_Setup!$B$15)*(M50+U50)</f>
        <v>7.49888191125427</v>
      </c>
      <c r="N51" s="13" t="n">
        <f aca="false">TS_Setup!$B$15*F51+(1-TS_Setup!$B$15)*(N50+V50)</f>
        <v>8.68690039266042</v>
      </c>
      <c r="O51" s="13" t="n">
        <f aca="false">TS_Setup!$B$15*G51+(1-TS_Setup!$B$15)*(O50+W50)</f>
        <v>48.7021006276888</v>
      </c>
      <c r="P51" s="13" t="n">
        <f aca="false">TS_Setup!$B$15*H51+(1-TS_Setup!$B$15)*(P50+X50)</f>
        <v>174.092825811182</v>
      </c>
      <c r="Q51" s="13" t="n">
        <f aca="false">TS_Setup!$B$15*I51+(1-TS_Setup!$B$15)*(Q50+Y50)</f>
        <v>71.5201780835242</v>
      </c>
      <c r="R51" s="16" t="n">
        <f aca="false">TS_Setup!$B$16*(J51-J50)+(1-TS_Setup!$B$16)*R50</f>
        <v>0.221300937987667</v>
      </c>
      <c r="S51" s="16" t="n">
        <f aca="false">TS_Setup!$B$16*(K51-K50)+(1-TS_Setup!$B$16)*S50</f>
        <v>-0.337574404325644</v>
      </c>
      <c r="T51" s="16" t="n">
        <f aca="false">TS_Setup!$B$16*(L51-L50)+(1-TS_Setup!$B$16)*T50</f>
        <v>0.164961866030731</v>
      </c>
      <c r="U51" s="16" t="n">
        <f aca="false">TS_Setup!$B$16*(M51-M50)+(1-TS_Setup!$B$16)*U50</f>
        <v>-0.85244745504047</v>
      </c>
      <c r="V51" s="16" t="n">
        <f aca="false">TS_Setup!$B$16*(N51-N50)+(1-TS_Setup!$B$16)*V50</f>
        <v>0.234565646231999</v>
      </c>
      <c r="W51" s="16" t="n">
        <f aca="false">TS_Setup!$B$16*(O51-O50)+(1-TS_Setup!$B$16)*W50</f>
        <v>2.17299478673631</v>
      </c>
      <c r="X51" s="16" t="n">
        <f aca="false">TS_Setup!$B$16*(P51-P50)+(1-TS_Setup!$B$16)*X50</f>
        <v>10.968423158408</v>
      </c>
      <c r="Y51" s="16" t="n">
        <f aca="false">TS_Setup!$B$16*(Q51-Q50)+(1-TS_Setup!$B$16)*Y50</f>
        <v>3.85039645578691</v>
      </c>
    </row>
    <row r="52" customFormat="false" ht="15" hidden="false" customHeight="false" outlineLevel="0" collapsed="false">
      <c r="A52" s="11" t="n">
        <f aca="false">Daily!A51</f>
        <v>43933</v>
      </c>
      <c r="B52" s="13" t="n">
        <f aca="false">SUMIFS(Data!$B$2:$B$2797,Data!$A$2:$A$2797,$A52,Data!$F$2:$F$2797,B$5)</f>
        <v>6</v>
      </c>
      <c r="C52" s="13" t="n">
        <f aca="false">SUMIFS(Data!$B$2:$B$2797,Data!$A$2:$A$2797,$A52,Data!$F$2:$F$2797,C$5)</f>
        <v>8</v>
      </c>
      <c r="D52" s="13" t="n">
        <f aca="false">SUMIFS(Data!$B$2:$B$2797,Data!$A$2:$A$2797,$A52,Data!$F$2:$F$2797,D$5)</f>
        <v>3</v>
      </c>
      <c r="E52" s="13" t="n">
        <f aca="false">SUMIFS(Data!$B$2:$B$2797,Data!$A$2:$A$2797,$A52,Data!$F$2:$F$2797,E$5)</f>
        <v>0</v>
      </c>
      <c r="F52" s="13" t="n">
        <f aca="false">SUMIFS(Data!$B$2:$B$2797,Data!$A$2:$A$2797,$A52,Data!$F$2:$F$2797,F$5)</f>
        <v>1</v>
      </c>
      <c r="G52" s="13" t="n">
        <f aca="false">SUMIFS(Data!$B$2:$B$2797,Data!$A$2:$A$2797,$A52,Data!$F$2:$F$2797,G$5)</f>
        <v>44</v>
      </c>
      <c r="H52" s="13" t="n">
        <f aca="false">SUMIFS(Data!$B$2:$B$2797,Data!$A$2:$A$2797,$A52,Data!$F$2:$F$2797,H$5)</f>
        <v>98</v>
      </c>
      <c r="I52" s="13" t="n">
        <f aca="false">SUMIFS(Data!$B$2:$B$2797,Data!$A$2:$A$2797,$A52,Data!$F$2:$F$2797,I$5)</f>
        <v>93</v>
      </c>
      <c r="J52" s="13" t="n">
        <f aca="false">TS_Setup!$B$15*B52+(1-TS_Setup!$B$15)*(J51+R51)</f>
        <v>3.52095671783673</v>
      </c>
      <c r="K52" s="13" t="n">
        <f aca="false">TS_Setup!$B$15*C52+(1-TS_Setup!$B$15)*(K51+S51)</f>
        <v>7.30682274706568</v>
      </c>
      <c r="L52" s="13" t="n">
        <f aca="false">TS_Setup!$B$15*D52+(1-TS_Setup!$B$15)*(L51+T51)</f>
        <v>2.77342302434233</v>
      </c>
      <c r="M52" s="13" t="n">
        <f aca="false">TS_Setup!$B$15*E52+(1-TS_Setup!$B$15)*(M51+U51)</f>
        <v>6.04160892069834</v>
      </c>
      <c r="N52" s="13" t="n">
        <f aca="false">TS_Setup!$B$15*F52+(1-TS_Setup!$B$15)*(N51+V51)</f>
        <v>8.20061262935321</v>
      </c>
      <c r="O52" s="13" t="n">
        <f aca="false">TS_Setup!$B$15*G52+(1-TS_Setup!$B$15)*(O51+W51)</f>
        <v>50.2494617317124</v>
      </c>
      <c r="P52" s="13" t="n">
        <f aca="false">TS_Setup!$B$15*H52+(1-TS_Setup!$B$15)*(P51+X51)</f>
        <v>177.138675313357</v>
      </c>
      <c r="Q52" s="13" t="n">
        <f aca="false">TS_Setup!$B$15*I52+(1-TS_Setup!$B$15)*(Q51+Y51)</f>
        <v>76.9748522562338</v>
      </c>
      <c r="R52" s="16" t="n">
        <f aca="false">TS_Setup!$B$16*(J52-J51)+(1-TS_Setup!$B$16)*R51</f>
        <v>0.268950931635584</v>
      </c>
      <c r="S52" s="16" t="n">
        <f aca="false">TS_Setup!$B$16*(K52-K51)+(1-TS_Setup!$B$16)*S51</f>
        <v>-0.324250759701586</v>
      </c>
      <c r="T52" s="16" t="n">
        <f aca="false">TS_Setup!$B$16*(L52-L51)+(1-TS_Setup!$B$16)*T51</f>
        <v>0.169316929747662</v>
      </c>
      <c r="U52" s="16" t="n">
        <f aca="false">TS_Setup!$B$16*(M52-M51)+(1-TS_Setup!$B$16)*U51</f>
        <v>-0.968573957859437</v>
      </c>
      <c r="V52" s="16" t="n">
        <f aca="false">TS_Setup!$B$16*(N52-N51)+(1-TS_Setup!$B$16)*V51</f>
        <v>0.0961617916004708</v>
      </c>
      <c r="W52" s="16" t="n">
        <f aca="false">TS_Setup!$B$16*(O52-O51)+(1-TS_Setup!$B$16)*W51</f>
        <v>2.05287311965547</v>
      </c>
      <c r="X52" s="16" t="n">
        <f aca="false">TS_Setup!$B$16*(P52-P51)+(1-TS_Setup!$B$16)*X51</f>
        <v>9.44728901641134</v>
      </c>
      <c r="Y52" s="16" t="n">
        <f aca="false">TS_Setup!$B$16*(Q52-Q51)+(1-TS_Setup!$B$16)*Y51</f>
        <v>4.15841777743606</v>
      </c>
    </row>
    <row r="53" customFormat="false" ht="15" hidden="false" customHeight="false" outlineLevel="0" collapsed="false">
      <c r="A53" s="11" t="n">
        <f aca="false">Daily!A52</f>
        <v>43934</v>
      </c>
      <c r="B53" s="13" t="n">
        <f aca="false">SUMIFS(Data!$B$2:$B$2797,Data!$A$2:$A$2797,$A53,Data!$F$2:$F$2797,B$5)</f>
        <v>3</v>
      </c>
      <c r="C53" s="13" t="n">
        <f aca="false">SUMIFS(Data!$B$2:$B$2797,Data!$A$2:$A$2797,$A53,Data!$F$2:$F$2797,C$5)</f>
        <v>1</v>
      </c>
      <c r="D53" s="13" t="n">
        <f aca="false">SUMIFS(Data!$B$2:$B$2797,Data!$A$2:$A$2797,$A53,Data!$F$2:$F$2797,D$5)</f>
        <v>10</v>
      </c>
      <c r="E53" s="13" t="n">
        <f aca="false">SUMIFS(Data!$B$2:$B$2797,Data!$A$2:$A$2797,$A53,Data!$F$2:$F$2797,E$5)</f>
        <v>0</v>
      </c>
      <c r="F53" s="13" t="n">
        <f aca="false">SUMIFS(Data!$B$2:$B$2797,Data!$A$2:$A$2797,$A53,Data!$F$2:$F$2797,F$5)</f>
        <v>12</v>
      </c>
      <c r="G53" s="13" t="n">
        <f aca="false">SUMIFS(Data!$B$2:$B$2797,Data!$A$2:$A$2797,$A53,Data!$F$2:$F$2797,G$5)</f>
        <v>46</v>
      </c>
      <c r="H53" s="13" t="n">
        <f aca="false">SUMIFS(Data!$B$2:$B$2797,Data!$A$2:$A$2797,$A53,Data!$F$2:$F$2797,H$5)</f>
        <v>60</v>
      </c>
      <c r="I53" s="13" t="n">
        <f aca="false">SUMIFS(Data!$B$2:$B$2797,Data!$A$2:$A$2797,$A53,Data!$F$2:$F$2797,I$5)</f>
        <v>41</v>
      </c>
      <c r="J53" s="13" t="n">
        <f aca="false">TS_Setup!$B$15*B53+(1-TS_Setup!$B$15)*(J52+R52)</f>
        <v>3.71802605337034</v>
      </c>
      <c r="K53" s="13" t="n">
        <f aca="false">TS_Setup!$B$15*C53+(1-TS_Setup!$B$15)*(K52+S52)</f>
        <v>6.43815793651396</v>
      </c>
      <c r="L53" s="13" t="n">
        <f aca="false">TS_Setup!$B$15*D53+(1-TS_Setup!$B$15)*(L52+T52)</f>
        <v>3.5849506182678</v>
      </c>
      <c r="M53" s="13" t="n">
        <f aca="false">TS_Setup!$B$15*E53+(1-TS_Setup!$B$15)*(M52+U52)</f>
        <v>4.61138878122057</v>
      </c>
      <c r="N53" s="13" t="n">
        <f aca="false">TS_Setup!$B$15*F53+(1-TS_Setup!$B$15)*(N52+V52)</f>
        <v>8.63376794864689</v>
      </c>
      <c r="O53" s="13" t="n">
        <f aca="false">TS_Setup!$B$15*G53+(1-TS_Setup!$B$15)*(O52+W52)</f>
        <v>51.7288223798934</v>
      </c>
      <c r="P53" s="13" t="n">
        <f aca="false">TS_Setup!$B$15*H53+(1-TS_Setup!$B$15)*(P52+X52)</f>
        <v>175.06664157576</v>
      </c>
      <c r="Q53" s="13" t="n">
        <f aca="false">TS_Setup!$B$15*I53+(1-TS_Setup!$B$15)*(Q52+Y52)</f>
        <v>77.4811424606059</v>
      </c>
      <c r="R53" s="16" t="n">
        <f aca="false">TS_Setup!$B$16*(J53-J52)+(1-TS_Setup!$B$16)*R52</f>
        <v>0.255149665184004</v>
      </c>
      <c r="S53" s="16" t="n">
        <f aca="false">TS_Setup!$B$16*(K53-K52)+(1-TS_Setup!$B$16)*S52</f>
        <v>-0.428778257464811</v>
      </c>
      <c r="T53" s="16" t="n">
        <f aca="false">TS_Setup!$B$16*(L53-L52)+(1-TS_Setup!$B$16)*T52</f>
        <v>0.292621377269802</v>
      </c>
      <c r="U53" s="16" t="n">
        <f aca="false">TS_Setup!$B$16*(M53-M52)+(1-TS_Setup!$B$16)*U52</f>
        <v>-1.05721002473016</v>
      </c>
      <c r="V53" s="16" t="n">
        <f aca="false">TS_Setup!$B$16*(N53-N52)+(1-TS_Setup!$B$16)*V52</f>
        <v>0.160864548917568</v>
      </c>
      <c r="W53" s="16" t="n">
        <f aca="false">TS_Setup!$B$16*(O53-O52)+(1-TS_Setup!$B$16)*W52</f>
        <v>1.94275872513237</v>
      </c>
      <c r="X53" s="16" t="n">
        <f aca="false">TS_Setup!$B$16*(P53-P52)+(1-TS_Setup!$B$16)*X52</f>
        <v>7.23557904764162</v>
      </c>
      <c r="Y53" s="16" t="n">
        <f aca="false">TS_Setup!$B$16*(Q53-Q52)+(1-TS_Setup!$B$16)*Y52</f>
        <v>3.45720928340778</v>
      </c>
    </row>
    <row r="54" customFormat="false" ht="15" hidden="false" customHeight="false" outlineLevel="0" collapsed="false">
      <c r="A54" s="11" t="n">
        <f aca="false">Daily!A53</f>
        <v>43935</v>
      </c>
      <c r="B54" s="13" t="n">
        <f aca="false">SUMIFS(Data!$B$2:$B$2797,Data!$A$2:$A$2797,$A54,Data!$F$2:$F$2797,B$5)</f>
        <v>0</v>
      </c>
      <c r="C54" s="13" t="n">
        <f aca="false">SUMIFS(Data!$B$2:$B$2797,Data!$A$2:$A$2797,$A54,Data!$F$2:$F$2797,C$5)</f>
        <v>17</v>
      </c>
      <c r="D54" s="13" t="n">
        <f aca="false">SUMIFS(Data!$B$2:$B$2797,Data!$A$2:$A$2797,$A54,Data!$F$2:$F$2797,D$5)</f>
        <v>2</v>
      </c>
      <c r="E54" s="13" t="n">
        <f aca="false">SUMIFS(Data!$B$2:$B$2797,Data!$A$2:$A$2797,$A54,Data!$F$2:$F$2797,E$5)</f>
        <v>10</v>
      </c>
      <c r="F54" s="13" t="n">
        <f aca="false">SUMIFS(Data!$B$2:$B$2797,Data!$A$2:$A$2797,$A54,Data!$F$2:$F$2797,F$5)</f>
        <v>0</v>
      </c>
      <c r="G54" s="13" t="n">
        <f aca="false">SUMIFS(Data!$B$2:$B$2797,Data!$A$2:$A$2797,$A54,Data!$F$2:$F$2797,G$5)</f>
        <v>63</v>
      </c>
      <c r="H54" s="13" t="n">
        <f aca="false">SUMIFS(Data!$B$2:$B$2797,Data!$A$2:$A$2797,$A54,Data!$F$2:$F$2797,H$5)</f>
        <v>470</v>
      </c>
      <c r="I54" s="13" t="n">
        <f aca="false">SUMIFS(Data!$B$2:$B$2797,Data!$A$2:$A$2797,$A54,Data!$F$2:$F$2797,I$5)</f>
        <v>66</v>
      </c>
      <c r="J54" s="13" t="n">
        <f aca="false">TS_Setup!$B$15*B54+(1-TS_Setup!$B$15)*(J53+R53)</f>
        <v>3.6116167281659</v>
      </c>
      <c r="K54" s="13" t="n">
        <f aca="false">TS_Setup!$B$15*C54+(1-TS_Setup!$B$15)*(K53+S53)</f>
        <v>7.00952612825568</v>
      </c>
      <c r="L54" s="13" t="n">
        <f aca="false">TS_Setup!$B$15*D54+(1-TS_Setup!$B$15)*(L53+T53)</f>
        <v>3.70671294394368</v>
      </c>
      <c r="M54" s="13" t="n">
        <f aca="false">TS_Setup!$B$15*E54+(1-TS_Setup!$B$15)*(M53+U53)</f>
        <v>4.14074848964978</v>
      </c>
      <c r="N54" s="13" t="n">
        <f aca="false">TS_Setup!$B$15*F54+(1-TS_Setup!$B$15)*(N53+V53)</f>
        <v>7.9943209402861</v>
      </c>
      <c r="O54" s="13" t="n">
        <f aca="false">TS_Setup!$B$15*G54+(1-TS_Setup!$B$15)*(O53+W53)</f>
        <v>54.5204672244684</v>
      </c>
      <c r="P54" s="13" t="n">
        <f aca="false">TS_Setup!$B$15*H54+(1-TS_Setup!$B$15)*(P53+X53)</f>
        <v>208.482718546672</v>
      </c>
      <c r="Q54" s="13" t="n">
        <f aca="false">TS_Setup!$B$15*I54+(1-TS_Setup!$B$15)*(Q53+Y53)</f>
        <v>79.5789617353084</v>
      </c>
      <c r="R54" s="16" t="n">
        <f aca="false">TS_Setup!$B$16*(J54-J53)+(1-TS_Setup!$B$16)*R53</f>
        <v>0.185730339029422</v>
      </c>
      <c r="S54" s="16" t="n">
        <f aca="false">TS_Setup!$B$16*(K54-K53)+(1-TS_Setup!$B$16)*S53</f>
        <v>-0.236750139217158</v>
      </c>
      <c r="T54" s="16" t="n">
        <f aca="false">TS_Setup!$B$16*(L54-L53)+(1-TS_Setup!$B$16)*T53</f>
        <v>0.259816439363769</v>
      </c>
      <c r="U54" s="16" t="n">
        <f aca="false">TS_Setup!$B$16*(M54-M53)+(1-TS_Setup!$B$16)*U53</f>
        <v>-0.944588635963559</v>
      </c>
      <c r="V54" s="16" t="n">
        <f aca="false">TS_Setup!$B$16*(N54-N53)+(1-TS_Setup!$B$16)*V53</f>
        <v>0.00720472992012185</v>
      </c>
      <c r="W54" s="16" t="n">
        <f aca="false">TS_Setup!$B$16*(O54-O53)+(1-TS_Setup!$B$16)*W53</f>
        <v>2.10574486006536</v>
      </c>
      <c r="X54" s="16" t="n">
        <f aca="false">TS_Setup!$B$16*(P54-P53)+(1-TS_Setup!$B$16)*X53</f>
        <v>12.2622346489095</v>
      </c>
      <c r="Y54" s="16" t="n">
        <f aca="false">TS_Setup!$B$16*(Q54-Q53)+(1-TS_Setup!$B$16)*Y53</f>
        <v>3.19620640173637</v>
      </c>
    </row>
    <row r="55" customFormat="false" ht="15" hidden="false" customHeight="false" outlineLevel="0" collapsed="false">
      <c r="A55" s="11" t="n">
        <f aca="false">Daily!A54</f>
        <v>43936</v>
      </c>
      <c r="B55" s="13" t="n">
        <f aca="false">SUMIFS(Data!$B$2:$B$2797,Data!$A$2:$A$2797,$A55,Data!$F$2:$F$2797,B$5)</f>
        <v>3</v>
      </c>
      <c r="C55" s="13" t="n">
        <f aca="false">SUMIFS(Data!$B$2:$B$2797,Data!$A$2:$A$2797,$A55,Data!$F$2:$F$2797,C$5)</f>
        <v>33</v>
      </c>
      <c r="D55" s="13" t="n">
        <f aca="false">SUMIFS(Data!$B$2:$B$2797,Data!$A$2:$A$2797,$A55,Data!$F$2:$F$2797,D$5)</f>
        <v>0</v>
      </c>
      <c r="E55" s="13" t="n">
        <f aca="false">SUMIFS(Data!$B$2:$B$2797,Data!$A$2:$A$2797,$A55,Data!$F$2:$F$2797,E$5)</f>
        <v>11</v>
      </c>
      <c r="F55" s="13" t="n">
        <f aca="false">SUMIFS(Data!$B$2:$B$2797,Data!$A$2:$A$2797,$A55,Data!$F$2:$F$2797,F$5)</f>
        <v>9</v>
      </c>
      <c r="G55" s="13" t="n">
        <f aca="false">SUMIFS(Data!$B$2:$B$2797,Data!$A$2:$A$2797,$A55,Data!$F$2:$F$2797,G$5)</f>
        <v>50</v>
      </c>
      <c r="H55" s="13" t="n">
        <f aca="false">SUMIFS(Data!$B$2:$B$2797,Data!$A$2:$A$2797,$A55,Data!$F$2:$F$2797,H$5)</f>
        <v>65</v>
      </c>
      <c r="I55" s="13" t="n">
        <f aca="false">SUMIFS(Data!$B$2:$B$2797,Data!$A$2:$A$2797,$A55,Data!$F$2:$F$2797,I$5)</f>
        <v>150</v>
      </c>
      <c r="J55" s="13" t="n">
        <f aca="false">TS_Setup!$B$15*B55+(1-TS_Setup!$B$15)*(J54+R54)</f>
        <v>3.72478848408054</v>
      </c>
      <c r="K55" s="13" t="n">
        <f aca="false">TS_Setup!$B$15*C55+(1-TS_Setup!$B$15)*(K54+S54)</f>
        <v>9.15945337403601</v>
      </c>
      <c r="L55" s="13" t="n">
        <f aca="false">TS_Setup!$B$15*D55+(1-TS_Setup!$B$15)*(L54+T54)</f>
        <v>3.60557520942647</v>
      </c>
      <c r="M55" s="13" t="n">
        <f aca="false">TS_Setup!$B$15*E55+(1-TS_Setup!$B$15)*(M54+U54)</f>
        <v>3.90630930700078</v>
      </c>
      <c r="N55" s="13" t="n">
        <f aca="false">TS_Setup!$B$15*F55+(1-TS_Setup!$B$15)*(N54+V54)</f>
        <v>8.09238683421745</v>
      </c>
      <c r="O55" s="13" t="n">
        <f aca="false">TS_Setup!$B$15*G55+(1-TS_Setup!$B$15)*(O54+W54)</f>
        <v>56.0232267848412</v>
      </c>
      <c r="P55" s="13" t="n">
        <f aca="false">TS_Setup!$B$15*H55+(1-TS_Setup!$B$15)*(P54+X54)</f>
        <v>206.572162454783</v>
      </c>
      <c r="Q55" s="13" t="n">
        <f aca="false">TS_Setup!$B$15*I55+(1-TS_Setup!$B$15)*(Q54+Y54)</f>
        <v>88.8926278365737</v>
      </c>
      <c r="R55" s="16" t="n">
        <f aca="false">TS_Setup!$B$16*(J55-J54)+(1-TS_Setup!$B$16)*R54</f>
        <v>0.171799091071386</v>
      </c>
      <c r="S55" s="16" t="n">
        <f aca="false">TS_Setup!$B$16*(K55-K54)+(1-TS_Setup!$B$16)*S54</f>
        <v>0.221491918702361</v>
      </c>
      <c r="T55" s="16" t="n">
        <f aca="false">TS_Setup!$B$16*(L55-L54)+(1-TS_Setup!$B$16)*T54</f>
        <v>0.190513237978621</v>
      </c>
      <c r="U55" s="16" t="n">
        <f aca="false">TS_Setup!$B$16*(M55-M54)+(1-TS_Setup!$B$16)*U54</f>
        <v>-0.808239940927165</v>
      </c>
      <c r="V55" s="16" t="n">
        <f aca="false">TS_Setup!$B$16*(N55-N54)+(1-TS_Setup!$B$16)*V54</f>
        <v>0.0246500734102786</v>
      </c>
      <c r="W55" s="16" t="n">
        <f aca="false">TS_Setup!$B$16*(O55-O54)+(1-TS_Setup!$B$16)*W54</f>
        <v>1.98997168252439</v>
      </c>
      <c r="X55" s="16" t="n">
        <f aca="false">TS_Setup!$B$16*(P55-P54)+(1-TS_Setup!$B$16)*X54</f>
        <v>9.54105882667634</v>
      </c>
      <c r="Y55" s="16" t="n">
        <f aca="false">TS_Setup!$B$16*(Q55-Q54)+(1-TS_Setup!$B$16)*Y54</f>
        <v>4.37075866404593</v>
      </c>
    </row>
    <row r="56" customFormat="false" ht="15" hidden="false" customHeight="false" outlineLevel="0" collapsed="false">
      <c r="A56" s="11" t="n">
        <f aca="false">Daily!A55</f>
        <v>43937</v>
      </c>
      <c r="B56" s="13" t="n">
        <f aca="false">SUMIFS(Data!$B$2:$B$2797,Data!$A$2:$A$2797,$A56,Data!$F$2:$F$2797,B$5)</f>
        <v>0</v>
      </c>
      <c r="C56" s="13" t="n">
        <f aca="false">SUMIFS(Data!$B$2:$B$2797,Data!$A$2:$A$2797,$A56,Data!$F$2:$F$2797,C$5)</f>
        <v>24</v>
      </c>
      <c r="D56" s="13" t="n">
        <f aca="false">SUMIFS(Data!$B$2:$B$2797,Data!$A$2:$A$2797,$A56,Data!$F$2:$F$2797,D$5)</f>
        <v>2</v>
      </c>
      <c r="E56" s="13" t="n">
        <f aca="false">SUMIFS(Data!$B$2:$B$2797,Data!$A$2:$A$2797,$A56,Data!$F$2:$F$2797,E$5)</f>
        <v>8</v>
      </c>
      <c r="F56" s="13" t="n">
        <f aca="false">SUMIFS(Data!$B$2:$B$2797,Data!$A$2:$A$2797,$A56,Data!$F$2:$F$2797,F$5)</f>
        <v>5</v>
      </c>
      <c r="G56" s="13" t="n">
        <f aca="false">SUMIFS(Data!$B$2:$B$2797,Data!$A$2:$A$2797,$A56,Data!$F$2:$F$2797,G$5)</f>
        <v>56</v>
      </c>
      <c r="H56" s="13" t="n">
        <f aca="false">SUMIFS(Data!$B$2:$B$2797,Data!$A$2:$A$2797,$A56,Data!$F$2:$F$2797,H$5)</f>
        <v>274</v>
      </c>
      <c r="I56" s="13" t="n">
        <f aca="false">SUMIFS(Data!$B$2:$B$2797,Data!$A$2:$A$2797,$A56,Data!$F$2:$F$2797,I$5)</f>
        <v>314</v>
      </c>
      <c r="J56" s="13" t="n">
        <f aca="false">TS_Setup!$B$15*B56+(1-TS_Setup!$B$15)*(J55+R55)</f>
        <v>3.5419981058131</v>
      </c>
      <c r="K56" s="13" t="n">
        <f aca="false">TS_Setup!$B$15*C56+(1-TS_Setup!$B$15)*(K55+S55)</f>
        <v>10.7112792710992</v>
      </c>
      <c r="L56" s="13" t="n">
        <f aca="false">TS_Setup!$B$15*D56+(1-TS_Setup!$B$15)*(L55+T55)</f>
        <v>3.63264439869123</v>
      </c>
      <c r="M56" s="13" t="n">
        <f aca="false">TS_Setup!$B$15*E56+(1-TS_Setup!$B$15)*(M55+U55)</f>
        <v>3.54414505376091</v>
      </c>
      <c r="N56" s="13" t="n">
        <f aca="false">TS_Setup!$B$15*F56+(1-TS_Setup!$B$15)*(N55+V55)</f>
        <v>7.83338654903361</v>
      </c>
      <c r="O56" s="13" t="n">
        <f aca="false">TS_Setup!$B$15*G56+(1-TS_Setup!$B$15)*(O55+W55)</f>
        <v>57.8299974068353</v>
      </c>
      <c r="P56" s="13" t="n">
        <f aca="false">TS_Setup!$B$15*H56+(1-TS_Setup!$B$15)*(P55+X55)</f>
        <v>221.380918144847</v>
      </c>
      <c r="Q56" s="13" t="n">
        <f aca="false">TS_Setup!$B$15*I56+(1-TS_Setup!$B$15)*(Q55+Y55)</f>
        <v>113.350418329063</v>
      </c>
      <c r="R56" s="16" t="n">
        <f aca="false">TS_Setup!$B$16*(J56-J55)+(1-TS_Setup!$B$16)*R55</f>
        <v>0.103717912958331</v>
      </c>
      <c r="S56" s="16" t="n">
        <f aca="false">TS_Setup!$B$16*(K56-K55)+(1-TS_Setup!$B$16)*S55</f>
        <v>0.476916042547636</v>
      </c>
      <c r="T56" s="16" t="n">
        <f aca="false">TS_Setup!$B$16*(L56-L55)+(1-TS_Setup!$B$16)*T55</f>
        <v>0.15913198062556</v>
      </c>
      <c r="U56" s="16" t="n">
        <f aca="false">TS_Setup!$B$16*(M56-M55)+(1-TS_Setup!$B$16)*U55</f>
        <v>-0.722593408891203</v>
      </c>
      <c r="V56" s="16" t="n">
        <f aca="false">TS_Setup!$B$16*(N56-N55)+(1-TS_Setup!$B$16)*V55</f>
        <v>-0.0298107954397931</v>
      </c>
      <c r="W56" s="16" t="n">
        <f aca="false">TS_Setup!$B$16*(O56-O55)+(1-TS_Setup!$B$16)*W55</f>
        <v>1.95479707890258</v>
      </c>
      <c r="X56" s="16" t="n">
        <f aca="false">TS_Setup!$B$16*(P56-P55)+(1-TS_Setup!$B$16)*X55</f>
        <v>10.5524566244467</v>
      </c>
      <c r="Y56" s="16" t="n">
        <f aca="false">TS_Setup!$B$16*(Q56-Q55)+(1-TS_Setup!$B$16)*Y55</f>
        <v>8.2274687751071</v>
      </c>
    </row>
    <row r="57" customFormat="false" ht="15" hidden="false" customHeight="false" outlineLevel="0" collapsed="false">
      <c r="A57" s="11" t="n">
        <f aca="false">Daily!A56</f>
        <v>43938</v>
      </c>
      <c r="B57" s="13" t="n">
        <f aca="false">SUMIFS(Data!$B$2:$B$2797,Data!$A$2:$A$2797,$A57,Data!$F$2:$F$2797,B$5)</f>
        <v>2</v>
      </c>
      <c r="C57" s="13" t="n">
        <f aca="false">SUMIFS(Data!$B$2:$B$2797,Data!$A$2:$A$2797,$A57,Data!$F$2:$F$2797,C$5)</f>
        <v>47</v>
      </c>
      <c r="D57" s="13" t="n">
        <f aca="false">SUMIFS(Data!$B$2:$B$2797,Data!$A$2:$A$2797,$A57,Data!$F$2:$F$2797,D$5)</f>
        <v>0</v>
      </c>
      <c r="E57" s="13" t="n">
        <f aca="false">SUMIFS(Data!$B$2:$B$2797,Data!$A$2:$A$2797,$A57,Data!$F$2:$F$2797,E$5)</f>
        <v>5</v>
      </c>
      <c r="F57" s="13" t="n">
        <f aca="false">SUMIFS(Data!$B$2:$B$2797,Data!$A$2:$A$2797,$A57,Data!$F$2:$F$2797,F$5)</f>
        <v>9</v>
      </c>
      <c r="G57" s="13" t="n">
        <f aca="false">SUMIFS(Data!$B$2:$B$2797,Data!$A$2:$A$2797,$A57,Data!$F$2:$F$2797,G$5)</f>
        <v>0</v>
      </c>
      <c r="H57" s="13" t="n">
        <f aca="false">SUMIFS(Data!$B$2:$B$2797,Data!$A$2:$A$2797,$A57,Data!$F$2:$F$2797,H$5)</f>
        <v>213</v>
      </c>
      <c r="I57" s="13" t="n">
        <f aca="false">SUMIFS(Data!$B$2:$B$2797,Data!$A$2:$A$2797,$A57,Data!$F$2:$F$2797,I$5)</f>
        <v>236</v>
      </c>
      <c r="J57" s="13" t="n">
        <f aca="false">TS_Setup!$B$15*B57+(1-TS_Setup!$B$15)*(J56+R56)</f>
        <v>3.49595586106324</v>
      </c>
      <c r="K57" s="13" t="n">
        <f aca="false">TS_Setup!$B$15*C57+(1-TS_Setup!$B$15)*(K56+S56)</f>
        <v>14.447069540105</v>
      </c>
      <c r="L57" s="13" t="n">
        <f aca="false">TS_Setup!$B$15*D57+(1-TS_Setup!$B$15)*(L56+T56)</f>
        <v>3.44672472879896</v>
      </c>
      <c r="M57" s="13" t="n">
        <f aca="false">TS_Setup!$B$15*E57+(1-TS_Setup!$B$15)*(M56+U56)</f>
        <v>3.01979044518657</v>
      </c>
      <c r="N57" s="13" t="n">
        <f aca="false">TS_Setup!$B$15*F57+(1-TS_Setup!$B$15)*(N56+V56)</f>
        <v>7.91245036001678</v>
      </c>
      <c r="O57" s="13" t="n">
        <f aca="false">TS_Setup!$B$15*G57+(1-TS_Setup!$B$15)*(O56+W56)</f>
        <v>54.3443781875358</v>
      </c>
      <c r="P57" s="13" t="n">
        <f aca="false">TS_Setup!$B$15*H57+(1-TS_Setup!$B$15)*(P56+X56)</f>
        <v>230.210437665288</v>
      </c>
      <c r="Q57" s="13" t="n">
        <f aca="false">TS_Setup!$B$15*I57+(1-TS_Setup!$B$15)*(Q56+Y56)</f>
        <v>131.990299377691</v>
      </c>
      <c r="R57" s="16" t="n">
        <f aca="false">TS_Setup!$B$16*(J57-J56)+(1-TS_Setup!$B$16)*R56</f>
        <v>0.0749639626783568</v>
      </c>
      <c r="S57" s="16" t="n">
        <f aca="false">TS_Setup!$B$16*(K57-K56)+(1-TS_Setup!$B$16)*S56</f>
        <v>1.1026198940276</v>
      </c>
      <c r="T57" s="16" t="n">
        <f aca="false">TS_Setup!$B$16*(L57-L56)+(1-TS_Setup!$B$16)*T56</f>
        <v>0.0928820637261367</v>
      </c>
      <c r="U57" s="16" t="n">
        <f aca="false">TS_Setup!$B$16*(M57-M56)+(1-TS_Setup!$B$16)*U56</f>
        <v>-0.684531559230367</v>
      </c>
      <c r="V57" s="16" t="n">
        <f aca="false">TS_Setup!$B$16*(N57-N56)+(1-TS_Setup!$B$16)*V56</f>
        <v>-0.0089068710065842</v>
      </c>
      <c r="W57" s="16" t="n">
        <f aca="false">TS_Setup!$B$16*(O57-O56)+(1-TS_Setup!$B$16)*W56</f>
        <v>0.910237149647762</v>
      </c>
      <c r="X57" s="16" t="n">
        <f aca="false">TS_Setup!$B$16*(P57-P56)+(1-TS_Setup!$B$16)*X56</f>
        <v>10.2216527004776</v>
      </c>
      <c r="Y57" s="16" t="n">
        <f aca="false">TS_Setup!$B$16*(Q57-Q56)+(1-TS_Setup!$B$16)*Y56</f>
        <v>10.226651931623</v>
      </c>
    </row>
    <row r="58" customFormat="false" ht="15" hidden="false" customHeight="false" outlineLevel="0" collapsed="false">
      <c r="A58" s="11" t="n">
        <f aca="false">Daily!A57</f>
        <v>43939</v>
      </c>
      <c r="B58" s="13" t="n">
        <f aca="false">SUMIFS(Data!$B$2:$B$2797,Data!$A$2:$A$2797,$A58,Data!$F$2:$F$2797,B$5)</f>
        <v>0</v>
      </c>
      <c r="C58" s="13" t="n">
        <f aca="false">SUMIFS(Data!$B$2:$B$2797,Data!$A$2:$A$2797,$A58,Data!$F$2:$F$2797,C$5)</f>
        <v>8</v>
      </c>
      <c r="D58" s="13" t="n">
        <f aca="false">SUMIFS(Data!$B$2:$B$2797,Data!$A$2:$A$2797,$A58,Data!$F$2:$F$2797,D$5)</f>
        <v>0</v>
      </c>
      <c r="E58" s="13" t="n">
        <f aca="false">SUMIFS(Data!$B$2:$B$2797,Data!$A$2:$A$2797,$A58,Data!$F$2:$F$2797,E$5)</f>
        <v>7</v>
      </c>
      <c r="F58" s="13" t="n">
        <f aca="false">SUMIFS(Data!$B$2:$B$2797,Data!$A$2:$A$2797,$A58,Data!$F$2:$F$2797,F$5)</f>
        <v>9</v>
      </c>
      <c r="G58" s="13" t="n">
        <f aca="false">SUMIFS(Data!$B$2:$B$2797,Data!$A$2:$A$2797,$A58,Data!$F$2:$F$2797,G$5)</f>
        <v>84</v>
      </c>
      <c r="H58" s="13" t="n">
        <f aca="false">SUMIFS(Data!$B$2:$B$2797,Data!$A$2:$A$2797,$A58,Data!$F$2:$F$2797,H$5)</f>
        <v>19</v>
      </c>
      <c r="I58" s="13" t="n">
        <f aca="false">SUMIFS(Data!$B$2:$B$2797,Data!$A$2:$A$2797,$A58,Data!$F$2:$F$2797,I$5)</f>
        <v>158</v>
      </c>
      <c r="J58" s="13" t="n">
        <f aca="false">TS_Setup!$B$15*B58+(1-TS_Setup!$B$15)*(J57+R57)</f>
        <v>3.24596611978111</v>
      </c>
      <c r="K58" s="13" t="n">
        <f aca="false">TS_Setup!$B$15*C58+(1-TS_Setup!$B$15)*(K57+S57)</f>
        <v>14.8626676956265</v>
      </c>
      <c r="L58" s="13" t="n">
        <f aca="false">TS_Setup!$B$15*D58+(1-TS_Setup!$B$15)*(L57+T57)</f>
        <v>3.21750257440531</v>
      </c>
      <c r="M58" s="13" t="n">
        <f aca="false">TS_Setup!$B$15*E58+(1-TS_Setup!$B$15)*(M57+U57)</f>
        <v>2.75975032733418</v>
      </c>
      <c r="N58" s="13" t="n">
        <f aca="false">TS_Setup!$B$15*F58+(1-TS_Setup!$B$15)*(N57+V57)</f>
        <v>8.00332103151026</v>
      </c>
      <c r="O58" s="13" t="n">
        <f aca="false">TS_Setup!$B$15*G58+(1-TS_Setup!$B$15)*(O57+W57)</f>
        <v>57.8704453414998</v>
      </c>
      <c r="P58" s="13" t="n">
        <f aca="false">TS_Setup!$B$15*H58+(1-TS_Setup!$B$15)*(P57+X57)</f>
        <v>220.281770142481</v>
      </c>
      <c r="Q58" s="13" t="n">
        <f aca="false">TS_Setup!$B$15*I58+(1-TS_Setup!$B$15)*(Q57+Y57)</f>
        <v>143.653208740166</v>
      </c>
      <c r="R58" s="16" t="n">
        <f aca="false">TS_Setup!$B$16*(J58-J57)+(1-TS_Setup!$B$16)*R57</f>
        <v>0.0125728515179437</v>
      </c>
      <c r="S58" s="16" t="n">
        <f aca="false">TS_Setup!$B$16*(K58-K57)+(1-TS_Setup!$B$16)*S57</f>
        <v>0.970711720234435</v>
      </c>
      <c r="T58" s="16" t="n">
        <f aca="false">TS_Setup!$B$16*(L58-L57)+(1-TS_Setup!$B$16)*T57</f>
        <v>0.0310380538471382</v>
      </c>
      <c r="U58" s="16" t="n">
        <f aca="false">TS_Setup!$B$16*(M58-M57)+(1-TS_Setup!$B$16)*U57</f>
        <v>-0.603029202485793</v>
      </c>
      <c r="V58" s="16" t="n">
        <f aca="false">TS_Setup!$B$16*(N58-N57)+(1-TS_Setup!$B$16)*V57</f>
        <v>0.0102504171534299</v>
      </c>
      <c r="W58" s="16" t="n">
        <f aca="false">TS_Setup!$B$16*(O58-O57)+(1-TS_Setup!$B$16)*W57</f>
        <v>1.41247651047649</v>
      </c>
      <c r="X58" s="16" t="n">
        <f aca="false">TS_Setup!$B$16*(P58-P57)+(1-TS_Setup!$B$16)*X57</f>
        <v>6.35279121760694</v>
      </c>
      <c r="Y58" s="16" t="n">
        <f aca="false">TS_Setup!$B$16*(Q58-Q57)+(1-TS_Setup!$B$16)*Y57</f>
        <v>10.5024133583467</v>
      </c>
    </row>
    <row r="59" customFormat="false" ht="15" hidden="false" customHeight="false" outlineLevel="0" collapsed="false">
      <c r="A59" s="11" t="n">
        <f aca="false">Daily!A58</f>
        <v>43940</v>
      </c>
      <c r="B59" s="13" t="n">
        <f aca="false">SUMIFS(Data!$B$2:$B$2797,Data!$A$2:$A$2797,$A59,Data!$F$2:$F$2797,B$5)</f>
        <v>1</v>
      </c>
      <c r="C59" s="13" t="n">
        <f aca="false">SUMIFS(Data!$B$2:$B$2797,Data!$A$2:$A$2797,$A59,Data!$F$2:$F$2797,C$5)</f>
        <v>56</v>
      </c>
      <c r="D59" s="13" t="n">
        <f aca="false">SUMIFS(Data!$B$2:$B$2797,Data!$A$2:$A$2797,$A59,Data!$F$2:$F$2797,D$5)</f>
        <v>0</v>
      </c>
      <c r="E59" s="13" t="n">
        <f aca="false">SUMIFS(Data!$B$2:$B$2797,Data!$A$2:$A$2797,$A59,Data!$F$2:$F$2797,E$5)</f>
        <v>6</v>
      </c>
      <c r="F59" s="13" t="n">
        <f aca="false">SUMIFS(Data!$B$2:$B$2797,Data!$A$2:$A$2797,$A59,Data!$F$2:$F$2797,F$5)</f>
        <v>8</v>
      </c>
      <c r="G59" s="13" t="n">
        <f aca="false">SUMIFS(Data!$B$2:$B$2797,Data!$A$2:$A$2797,$A59,Data!$F$2:$F$2797,G$5)</f>
        <v>60</v>
      </c>
      <c r="H59" s="13" t="n">
        <f aca="false">SUMIFS(Data!$B$2:$B$2797,Data!$A$2:$A$2797,$A59,Data!$F$2:$F$2797,H$5)</f>
        <v>255</v>
      </c>
      <c r="I59" s="13" t="n">
        <f aca="false">SUMIFS(Data!$B$2:$B$2797,Data!$A$2:$A$2797,$A59,Data!$F$2:$F$2797,I$5)</f>
        <v>197</v>
      </c>
      <c r="J59" s="13" t="n">
        <f aca="false">TS_Setup!$B$15*B59+(1-TS_Setup!$B$15)*(J58+R58)</f>
        <v>3.05301192491084</v>
      </c>
      <c r="K59" s="13" t="n">
        <f aca="false">TS_Setup!$B$15*C59+(1-TS_Setup!$B$15)*(K58+S58)</f>
        <v>19.4885418890176</v>
      </c>
      <c r="L59" s="13" t="n">
        <f aca="false">TS_Setup!$B$15*D59+(1-TS_Setup!$B$15)*(L58+T58)</f>
        <v>2.95292343108148</v>
      </c>
      <c r="M59" s="13" t="n">
        <f aca="false">TS_Setup!$B$15*E59+(1-TS_Setup!$B$15)*(M58+U58)</f>
        <v>2.50645950248719</v>
      </c>
      <c r="N59" s="13" t="n">
        <f aca="false">TS_Setup!$B$15*F59+(1-TS_Setup!$B$15)*(N58+V58)</f>
        <v>8.0123364468353</v>
      </c>
      <c r="O59" s="13" t="n">
        <f aca="false">TS_Setup!$B$15*G59+(1-TS_Setup!$B$15)*(O58+W58)</f>
        <v>59.3481759634465</v>
      </c>
      <c r="P59" s="13" t="n">
        <f aca="false">TS_Setup!$B$15*H59+(1-TS_Setup!$B$15)*(P58+X58)</f>
        <v>229.21581627632</v>
      </c>
      <c r="Q59" s="13" t="n">
        <f aca="false">TS_Setup!$B$15*I59+(1-TS_Setup!$B$15)*(Q58+Y58)</f>
        <v>158.054460487548</v>
      </c>
      <c r="R59" s="16" t="n">
        <f aca="false">TS_Setup!$B$16*(J59-J58)+(1-TS_Setup!$B$16)*R58</f>
        <v>-0.0268883413885932</v>
      </c>
      <c r="S59" s="16" t="n">
        <f aca="false">TS_Setup!$B$16*(K59-K58)+(1-TS_Setup!$B$16)*S58</f>
        <v>1.67250291508051</v>
      </c>
      <c r="T59" s="16" t="n">
        <f aca="false">TS_Setup!$B$16*(L59-L58)+(1-TS_Setup!$B$16)*T58</f>
        <v>-0.0257204480096887</v>
      </c>
      <c r="U59" s="16" t="n">
        <f aca="false">TS_Setup!$B$16*(M59-M58)+(1-TS_Setup!$B$16)*U58</f>
        <v>-0.535879433979144</v>
      </c>
      <c r="V59" s="16" t="n">
        <f aca="false">TS_Setup!$B$16*(N59-N58)+(1-TS_Setup!$B$16)*V58</f>
        <v>0.0100132968023776</v>
      </c>
      <c r="W59" s="16" t="n">
        <f aca="false">TS_Setup!$B$16*(O59-O58)+(1-TS_Setup!$B$16)*W58</f>
        <v>1.42500529987876</v>
      </c>
      <c r="X59" s="16" t="n">
        <f aca="false">TS_Setup!$B$16*(P59-P58)+(1-TS_Setup!$B$16)*X58</f>
        <v>6.84839216152349</v>
      </c>
      <c r="Y59" s="16" t="n">
        <f aca="false">TS_Setup!$B$16*(Q59-Q58)+(1-TS_Setup!$B$16)*Y58</f>
        <v>11.2509903290415</v>
      </c>
    </row>
    <row r="60" customFormat="false" ht="15" hidden="false" customHeight="false" outlineLevel="0" collapsed="false">
      <c r="A60" s="11" t="n">
        <f aca="false">Daily!A59</f>
        <v>43941</v>
      </c>
      <c r="B60" s="13" t="n">
        <f aca="false">SUMIFS(Data!$B$2:$B$2797,Data!$A$2:$A$2797,$A60,Data!$F$2:$F$2797,B$5)</f>
        <v>0</v>
      </c>
      <c r="C60" s="13" t="n">
        <f aca="false">SUMIFS(Data!$B$2:$B$2797,Data!$A$2:$A$2797,$A60,Data!$F$2:$F$2797,C$5)</f>
        <v>33</v>
      </c>
      <c r="D60" s="13" t="n">
        <f aca="false">SUMIFS(Data!$B$2:$B$2797,Data!$A$2:$A$2797,$A60,Data!$F$2:$F$2797,D$5)</f>
        <v>0</v>
      </c>
      <c r="E60" s="13" t="n">
        <f aca="false">SUMIFS(Data!$B$2:$B$2797,Data!$A$2:$A$2797,$A60,Data!$F$2:$F$2797,E$5)</f>
        <v>18</v>
      </c>
      <c r="F60" s="13" t="n">
        <f aca="false">SUMIFS(Data!$B$2:$B$2797,Data!$A$2:$A$2797,$A60,Data!$F$2:$F$2797,F$5)</f>
        <v>10</v>
      </c>
      <c r="G60" s="13" t="n">
        <f aca="false">SUMIFS(Data!$B$2:$B$2797,Data!$A$2:$A$2797,$A60,Data!$F$2:$F$2797,G$5)</f>
        <v>98</v>
      </c>
      <c r="H60" s="13" t="n">
        <f aca="false">SUMIFS(Data!$B$2:$B$2797,Data!$A$2:$A$2797,$A60,Data!$F$2:$F$2797,H$5)</f>
        <v>334</v>
      </c>
      <c r="I60" s="13" t="n">
        <f aca="false">SUMIFS(Data!$B$2:$B$2797,Data!$A$2:$A$2797,$A60,Data!$F$2:$F$2797,I$5)</f>
        <v>214</v>
      </c>
      <c r="J60" s="13" t="n">
        <f aca="false">TS_Setup!$B$15*B60+(1-TS_Setup!$B$15)*(J59+R59)</f>
        <v>2.75074633742172</v>
      </c>
      <c r="K60" s="13" t="n">
        <f aca="false">TS_Setup!$B$15*C60+(1-TS_Setup!$B$15)*(K59+S59)</f>
        <v>22.2383897269252</v>
      </c>
      <c r="L60" s="13" t="n">
        <f aca="false">TS_Setup!$B$15*D60+(1-TS_Setup!$B$15)*(L59+T59)</f>
        <v>2.66082751161226</v>
      </c>
      <c r="M60" s="13" t="n">
        <f aca="false">TS_Setup!$B$15*E60+(1-TS_Setup!$B$15)*(M59+U59)</f>
        <v>3.42925728227381</v>
      </c>
      <c r="N60" s="13" t="n">
        <f aca="false">TS_Setup!$B$15*F60+(1-TS_Setup!$B$15)*(N59+V59)</f>
        <v>8.20231591696665</v>
      </c>
      <c r="O60" s="13" t="n">
        <f aca="false">TS_Setup!$B$15*G60+(1-TS_Setup!$B$15)*(O59+W59)</f>
        <v>64.1608217683626</v>
      </c>
      <c r="P60" s="13" t="n">
        <f aca="false">TS_Setup!$B$15*H60+(1-TS_Setup!$B$15)*(P59+X59)</f>
        <v>244.97636547</v>
      </c>
      <c r="Q60" s="13" t="n">
        <f aca="false">TS_Setup!$B$15*I60+(1-TS_Setup!$B$15)*(Q59+Y59)</f>
        <v>173.37265479228</v>
      </c>
      <c r="R60" s="16" t="n">
        <f aca="false">TS_Setup!$B$16*(J60-J59)+(1-TS_Setup!$B$16)*R59</f>
        <v>-0.0797607726398939</v>
      </c>
      <c r="S60" s="16" t="n">
        <f aca="false">TS_Setup!$B$16*(K60-K59)+(1-TS_Setup!$B$16)*S59</f>
        <v>1.87935314026331</v>
      </c>
      <c r="T60" s="16" t="n">
        <f aca="false">TS_Setup!$B$16*(L60-L59)+(1-TS_Setup!$B$16)*T59</f>
        <v>-0.0768645385299189</v>
      </c>
      <c r="U60" s="16" t="n">
        <f aca="false">TS_Setup!$B$16*(M60-M59)+(1-TS_Setup!$B$16)*U59</f>
        <v>-0.255813408936117</v>
      </c>
      <c r="V60" s="16" t="n">
        <f aca="false">TS_Setup!$B$16*(N60-N59)+(1-TS_Setup!$B$16)*V59</f>
        <v>0.04456680208154</v>
      </c>
      <c r="W60" s="16" t="n">
        <f aca="false">TS_Setup!$B$16*(O60-O59)+(1-TS_Setup!$B$16)*W59</f>
        <v>2.07543227684594</v>
      </c>
      <c r="X60" s="16" t="n">
        <f aca="false">TS_Setup!$B$16*(P60-P59)+(1-TS_Setup!$B$16)*X59</f>
        <v>8.55952631169749</v>
      </c>
      <c r="Y60" s="16" t="n">
        <f aca="false">TS_Setup!$B$16*(Q60-Q59)+(1-TS_Setup!$B$16)*Y59</f>
        <v>12.031893492374</v>
      </c>
    </row>
    <row r="61" customFormat="false" ht="15" hidden="false" customHeight="false" outlineLevel="0" collapsed="false">
      <c r="A61" s="11" t="n">
        <f aca="false">Daily!A60</f>
        <v>43942</v>
      </c>
      <c r="B61" s="13" t="n">
        <f aca="false">SUMIFS(Data!$B$2:$B$2797,Data!$A$2:$A$2797,$A61,Data!$F$2:$F$2797,B$5)</f>
        <v>1</v>
      </c>
      <c r="C61" s="13" t="n">
        <f aca="false">SUMIFS(Data!$B$2:$B$2797,Data!$A$2:$A$2797,$A61,Data!$F$2:$F$2797,C$5)</f>
        <v>31</v>
      </c>
      <c r="D61" s="13" t="n">
        <f aca="false">SUMIFS(Data!$B$2:$B$2797,Data!$A$2:$A$2797,$A61,Data!$F$2:$F$2797,D$5)</f>
        <v>7</v>
      </c>
      <c r="E61" s="13" t="n">
        <f aca="false">SUMIFS(Data!$B$2:$B$2797,Data!$A$2:$A$2797,$A61,Data!$F$2:$F$2797,E$5)</f>
        <v>2</v>
      </c>
      <c r="F61" s="13" t="n">
        <f aca="false">SUMIFS(Data!$B$2:$B$2797,Data!$A$2:$A$2797,$A61,Data!$F$2:$F$2797,F$5)</f>
        <v>4</v>
      </c>
      <c r="G61" s="13" t="n">
        <f aca="false">SUMIFS(Data!$B$2:$B$2797,Data!$A$2:$A$2797,$A61,Data!$F$2:$F$2797,G$5)</f>
        <v>129</v>
      </c>
      <c r="H61" s="13" t="n">
        <f aca="false">SUMIFS(Data!$B$2:$B$2797,Data!$A$2:$A$2797,$A61,Data!$F$2:$F$2797,H$5)</f>
        <v>217</v>
      </c>
      <c r="I61" s="13" t="n">
        <f aca="false">SUMIFS(Data!$B$2:$B$2797,Data!$A$2:$A$2797,$A61,Data!$F$2:$F$2797,I$5)</f>
        <v>286</v>
      </c>
      <c r="J61" s="13" t="n">
        <f aca="false">TS_Setup!$B$15*B61+(1-TS_Setup!$B$15)*(J60+R60)</f>
        <v>2.51892587838668</v>
      </c>
      <c r="K61" s="13" t="n">
        <f aca="false">TS_Setup!$B$15*C61+(1-TS_Setup!$B$15)*(K60+S60)</f>
        <v>24.7440282662743</v>
      </c>
      <c r="L61" s="13" t="n">
        <f aca="false">TS_Setup!$B$15*D61+(1-TS_Setup!$B$15)*(L60+T60)</f>
        <v>2.98582234253185</v>
      </c>
      <c r="M61" s="13" t="n">
        <f aca="false">TS_Setup!$B$15*E61+(1-TS_Setup!$B$15)*(M60+U60)</f>
        <v>3.06666048086396</v>
      </c>
      <c r="N61" s="13" t="n">
        <f aca="false">TS_Setup!$B$15*F61+(1-TS_Setup!$B$15)*(N60+V60)</f>
        <v>7.8604163916148</v>
      </c>
      <c r="O61" s="13" t="n">
        <f aca="false">TS_Setup!$B$15*G61+(1-TS_Setup!$B$15)*(O60+W60)</f>
        <v>71.9477549270946</v>
      </c>
      <c r="P61" s="13" t="n">
        <f aca="false">TS_Setup!$B$15*H61+(1-TS_Setup!$B$15)*(P60+X60)</f>
        <v>250.211125629563</v>
      </c>
      <c r="Q61" s="13" t="n">
        <f aca="false">TS_Setup!$B$15*I61+(1-TS_Setup!$B$15)*(Q60+Y60)</f>
        <v>194.558734390751</v>
      </c>
      <c r="R61" s="16" t="n">
        <f aca="false">TS_Setup!$B$16*(J61-J60)+(1-TS_Setup!$B$16)*R60</f>
        <v>-0.108956232427762</v>
      </c>
      <c r="S61" s="16" t="n">
        <f aca="false">TS_Setup!$B$16*(K61-K60)+(1-TS_Setup!$B$16)*S60</f>
        <v>1.9995999368878</v>
      </c>
      <c r="T61" s="16" t="n">
        <f aca="false">TS_Setup!$B$16*(L61-L60)+(1-TS_Setup!$B$16)*T60</f>
        <v>0.000292460404386484</v>
      </c>
      <c r="U61" s="16" t="n">
        <f aca="false">TS_Setup!$B$16*(M61-M60)+(1-TS_Setup!$B$16)*U60</f>
        <v>-0.276315820291073</v>
      </c>
      <c r="V61" s="16" t="n">
        <f aca="false">TS_Setup!$B$16*(N61-N60)+(1-TS_Setup!$B$16)*V60</f>
        <v>-0.0296347327856698</v>
      </c>
      <c r="W61" s="16" t="n">
        <f aca="false">TS_Setup!$B$16*(O61-O60)+(1-TS_Setup!$B$16)*W60</f>
        <v>3.17204044616806</v>
      </c>
      <c r="X61" s="16" t="n">
        <f aca="false">TS_Setup!$B$16*(P61-P60)+(1-TS_Setup!$B$16)*X60</f>
        <v>7.92117121048768</v>
      </c>
      <c r="Y61" s="16" t="n">
        <f aca="false">TS_Setup!$B$16*(Q61-Q60)+(1-TS_Setup!$B$16)*Y60</f>
        <v>13.7894972247446</v>
      </c>
    </row>
    <row r="62" customFormat="false" ht="15" hidden="false" customHeight="false" outlineLevel="0" collapsed="false">
      <c r="A62" s="11" t="n">
        <f aca="false">Daily!A61</f>
        <v>43943</v>
      </c>
      <c r="B62" s="13" t="n">
        <f aca="false">SUMIFS(Data!$B$2:$B$2797,Data!$A$2:$A$2797,$A62,Data!$F$2:$F$2797,B$5)</f>
        <v>1</v>
      </c>
      <c r="C62" s="13" t="n">
        <f aca="false">SUMIFS(Data!$B$2:$B$2797,Data!$A$2:$A$2797,$A62,Data!$F$2:$F$2797,C$5)</f>
        <v>56</v>
      </c>
      <c r="D62" s="13" t="n">
        <f aca="false">SUMIFS(Data!$B$2:$B$2797,Data!$A$2:$A$2797,$A62,Data!$F$2:$F$2797,D$5)</f>
        <v>0</v>
      </c>
      <c r="E62" s="13" t="n">
        <f aca="false">SUMIFS(Data!$B$2:$B$2797,Data!$A$2:$A$2797,$A62,Data!$F$2:$F$2797,E$5)</f>
        <v>7</v>
      </c>
      <c r="F62" s="13" t="n">
        <f aca="false">SUMIFS(Data!$B$2:$B$2797,Data!$A$2:$A$2797,$A62,Data!$F$2:$F$2797,F$5)</f>
        <v>9</v>
      </c>
      <c r="G62" s="13" t="n">
        <f aca="false">SUMIFS(Data!$B$2:$B$2797,Data!$A$2:$A$2797,$A62,Data!$F$2:$F$2797,G$5)</f>
        <v>110</v>
      </c>
      <c r="H62" s="13" t="n">
        <f aca="false">SUMIFS(Data!$B$2:$B$2797,Data!$A$2:$A$2797,$A62,Data!$F$2:$F$2797,H$5)</f>
        <v>262</v>
      </c>
      <c r="I62" s="13" t="n">
        <f aca="false">SUMIFS(Data!$B$2:$B$2797,Data!$A$2:$A$2797,$A62,Data!$F$2:$F$2797,I$5)</f>
        <v>322</v>
      </c>
      <c r="J62" s="13" t="n">
        <f aca="false">TS_Setup!$B$15*B62+(1-TS_Setup!$B$15)*(J61+R61)</f>
        <v>2.28166240817666</v>
      </c>
      <c r="K62" s="13" t="n">
        <f aca="false">TS_Setup!$B$15*C62+(1-TS_Setup!$B$15)*(K61+S61)</f>
        <v>29.4059580366744</v>
      </c>
      <c r="L62" s="13" t="n">
        <f aca="false">TS_Setup!$B$15*D62+(1-TS_Setup!$B$15)*(L61+T61)</f>
        <v>2.71437835586904</v>
      </c>
      <c r="M62" s="13" t="n">
        <f aca="false">TS_Setup!$B$15*E62+(1-TS_Setup!$B$15)*(M61+U61)</f>
        <v>3.17342329646076</v>
      </c>
      <c r="N62" s="13" t="n">
        <f aca="false">TS_Setup!$B$15*F62+(1-TS_Setup!$B$15)*(N61+V61)</f>
        <v>7.93718052787568</v>
      </c>
      <c r="O62" s="13" t="n">
        <f aca="false">TS_Setup!$B$15*G62+(1-TS_Setup!$B$15)*(O61+W61)</f>
        <v>78.2938939942958</v>
      </c>
      <c r="P62" s="13" t="n">
        <f aca="false">TS_Setup!$B$15*H62+(1-TS_Setup!$B$15)*(P61+X61)</f>
        <v>258.484257827606</v>
      </c>
      <c r="Q62" s="13" t="n">
        <f aca="false">TS_Setup!$B$15*I62+(1-TS_Setup!$B$15)*(Q61+Y61)</f>
        <v>218.690542538485</v>
      </c>
      <c r="R62" s="16" t="n">
        <f aca="false">TS_Setup!$B$16*(J62-J61)+(1-TS_Setup!$B$16)*R61</f>
        <v>-0.133591222081956</v>
      </c>
      <c r="S62" s="16" t="n">
        <f aca="false">TS_Setup!$B$16*(K62-K61)+(1-TS_Setup!$B$16)*S61</f>
        <v>2.51076726492215</v>
      </c>
      <c r="T62" s="16" t="n">
        <f aca="false">TS_Setup!$B$16*(L62-L61)+(1-TS_Setup!$B$16)*T61</f>
        <v>-0.0518809374325154</v>
      </c>
      <c r="U62" s="16" t="n">
        <f aca="false">TS_Setup!$B$16*(M62-M61)+(1-TS_Setup!$B$16)*U61</f>
        <v>-0.202764722200603</v>
      </c>
      <c r="V62" s="16" t="n">
        <f aca="false">TS_Setup!$B$16*(N62-N61)+(1-TS_Setup!$B$16)*V61</f>
        <v>-0.00920614992873249</v>
      </c>
      <c r="W62" s="16" t="n">
        <f aca="false">TS_Setup!$B$16*(O62-O61)+(1-TS_Setup!$B$16)*W61</f>
        <v>3.78146738140642</v>
      </c>
      <c r="X62" s="16" t="n">
        <f aca="false">TS_Setup!$B$16*(P62-P61)+(1-TS_Setup!$B$16)*X61</f>
        <v>7.98874772009831</v>
      </c>
      <c r="Y62" s="16" t="n">
        <f aca="false">TS_Setup!$B$16*(Q62-Q61)+(1-TS_Setup!$B$16)*Y61</f>
        <v>15.7752209219586</v>
      </c>
    </row>
    <row r="63" customFormat="false" ht="15" hidden="false" customHeight="false" outlineLevel="0" collapsed="false">
      <c r="A63" s="11" t="n">
        <f aca="false">Daily!A62</f>
        <v>43944</v>
      </c>
      <c r="B63" s="13" t="n">
        <f aca="false">SUMIFS(Data!$B$2:$B$2797,Data!$A$2:$A$2797,$A63,Data!$F$2:$F$2797,B$5)</f>
        <v>4</v>
      </c>
      <c r="C63" s="13" t="n">
        <f aca="false">SUMIFS(Data!$B$2:$B$2797,Data!$A$2:$A$2797,$A63,Data!$F$2:$F$2797,C$5)</f>
        <v>55</v>
      </c>
      <c r="D63" s="13" t="n">
        <f aca="false">SUMIFS(Data!$B$2:$B$2797,Data!$A$2:$A$2797,$A63,Data!$F$2:$F$2797,D$5)</f>
        <v>0</v>
      </c>
      <c r="E63" s="13" t="n">
        <f aca="false">SUMIFS(Data!$B$2:$B$2797,Data!$A$2:$A$2797,$A63,Data!$F$2:$F$2797,E$5)</f>
        <v>10</v>
      </c>
      <c r="F63" s="13" t="n">
        <f aca="false">SUMIFS(Data!$B$2:$B$2797,Data!$A$2:$A$2797,$A63,Data!$F$2:$F$2797,F$5)</f>
        <v>10</v>
      </c>
      <c r="G63" s="13" t="n">
        <f aca="false">SUMIFS(Data!$B$2:$B$2797,Data!$A$2:$A$2797,$A63,Data!$F$2:$F$2797,G$5)</f>
        <v>87</v>
      </c>
      <c r="H63" s="13" t="n">
        <f aca="false">SUMIFS(Data!$B$2:$B$2797,Data!$A$2:$A$2797,$A63,Data!$F$2:$F$2797,H$5)</f>
        <v>177</v>
      </c>
      <c r="I63" s="13" t="n">
        <f aca="false">SUMIFS(Data!$B$2:$B$2797,Data!$A$2:$A$2797,$A63,Data!$F$2:$F$2797,I$5)</f>
        <v>298</v>
      </c>
      <c r="J63" s="13" t="n">
        <f aca="false">TS_Setup!$B$15*B63+(1-TS_Setup!$B$15)*(J62+R62)</f>
        <v>2.31659670816008</v>
      </c>
      <c r="K63" s="13" t="n">
        <f aca="false">TS_Setup!$B$15*C63+(1-TS_Setup!$B$15)*(K62+S62)</f>
        <v>34.0173032991512</v>
      </c>
      <c r="L63" s="13" t="n">
        <f aca="false">TS_Setup!$B$15*D63+(1-TS_Setup!$B$15)*(L62+T62)</f>
        <v>2.4202101533588</v>
      </c>
      <c r="M63" s="13" t="n">
        <f aca="false">TS_Setup!$B$15*E63+(1-TS_Setup!$B$15)*(M62+U62)</f>
        <v>3.61032864400248</v>
      </c>
      <c r="N63" s="13" t="n">
        <f aca="false">TS_Setup!$B$15*F63+(1-TS_Setup!$B$15)*(N62+V62)</f>
        <v>8.11652870955378</v>
      </c>
      <c r="O63" s="13" t="n">
        <f aca="false">TS_Setup!$B$15*G63+(1-TS_Setup!$B$15)*(O62+W62)</f>
        <v>82.5235034905133</v>
      </c>
      <c r="P63" s="13" t="n">
        <f aca="false">TS_Setup!$B$15*H63+(1-TS_Setup!$B$15)*(P62+X62)</f>
        <v>258.330962042863</v>
      </c>
      <c r="Q63" s="13" t="n">
        <f aca="false">TS_Setup!$B$15*I63+(1-TS_Setup!$B$15)*(Q62+Y62)</f>
        <v>240.247378985543</v>
      </c>
      <c r="R63" s="16" t="n">
        <f aca="false">TS_Setup!$B$16*(J63-J62)+(1-TS_Setup!$B$16)*R62</f>
        <v>-0.101234321845403</v>
      </c>
      <c r="S63" s="16" t="n">
        <f aca="false">TS_Setup!$B$16*(K63-K62)+(1-TS_Setup!$B$16)*S62</f>
        <v>2.91407824045265</v>
      </c>
      <c r="T63" s="16" t="n">
        <f aca="false">TS_Setup!$B$16*(L63-L62)+(1-TS_Setup!$B$16)*T62</f>
        <v>-0.0984000923274383</v>
      </c>
      <c r="U63" s="16" t="n">
        <f aca="false">TS_Setup!$B$16*(M63-M62)+(1-TS_Setup!$B$16)*U62</f>
        <v>-0.0799480688100761</v>
      </c>
      <c r="V63" s="16" t="n">
        <f aca="false">TS_Setup!$B$16*(N63-N62)+(1-TS_Setup!$B$16)*V62</f>
        <v>0.0269962817397784</v>
      </c>
      <c r="W63" s="16" t="n">
        <f aca="false">TS_Setup!$B$16*(O63-O62)+(1-TS_Setup!$B$16)*W62</f>
        <v>3.86751066745015</v>
      </c>
      <c r="X63" s="16" t="n">
        <f aca="false">TS_Setup!$B$16*(P63-P62)+(1-TS_Setup!$B$16)*X62</f>
        <v>6.42547536716883</v>
      </c>
      <c r="Y63" s="16" t="n">
        <f aca="false">TS_Setup!$B$16*(Q63-Q62)+(1-TS_Setup!$B$16)*Y62</f>
        <v>16.8852911027778</v>
      </c>
    </row>
    <row r="64" customFormat="false" ht="15" hidden="false" customHeight="false" outlineLevel="0" collapsed="false">
      <c r="A64" s="11" t="n">
        <f aca="false">Daily!A63</f>
        <v>43945</v>
      </c>
      <c r="B64" s="13" t="n">
        <f aca="false">SUMIFS(Data!$B$2:$B$2797,Data!$A$2:$A$2797,$A64,Data!$F$2:$F$2797,B$5)</f>
        <v>0</v>
      </c>
      <c r="C64" s="13" t="n">
        <f aca="false">SUMIFS(Data!$B$2:$B$2797,Data!$A$2:$A$2797,$A64,Data!$F$2:$F$2797,C$5)</f>
        <v>49</v>
      </c>
      <c r="D64" s="13" t="n">
        <f aca="false">SUMIFS(Data!$B$2:$B$2797,Data!$A$2:$A$2797,$A64,Data!$F$2:$F$2797,D$5)</f>
        <v>0</v>
      </c>
      <c r="E64" s="13" t="n">
        <f aca="false">SUMIFS(Data!$B$2:$B$2797,Data!$A$2:$A$2797,$A64,Data!$F$2:$F$2797,E$5)</f>
        <v>7</v>
      </c>
      <c r="F64" s="13" t="n">
        <f aca="false">SUMIFS(Data!$B$2:$B$2797,Data!$A$2:$A$2797,$A64,Data!$F$2:$F$2797,F$5)</f>
        <v>10</v>
      </c>
      <c r="G64" s="13" t="n">
        <f aca="false">SUMIFS(Data!$B$2:$B$2797,Data!$A$2:$A$2797,$A64,Data!$F$2:$F$2797,G$5)</f>
        <v>111</v>
      </c>
      <c r="H64" s="13" t="n">
        <f aca="false">SUMIFS(Data!$B$2:$B$2797,Data!$A$2:$A$2797,$A64,Data!$F$2:$F$2797,H$5)</f>
        <v>84</v>
      </c>
      <c r="I64" s="13" t="n">
        <f aca="false">SUMIFS(Data!$B$2:$B$2797,Data!$A$2:$A$2797,$A64,Data!$F$2:$F$2797,I$5)</f>
        <v>273</v>
      </c>
      <c r="J64" s="13" t="n">
        <f aca="false">TS_Setup!$B$15*B64+(1-TS_Setup!$B$15)*(J63+R63)</f>
        <v>2.01376440916004</v>
      </c>
      <c r="K64" s="13" t="n">
        <f aca="false">TS_Setup!$B$15*C64+(1-TS_Setup!$B$15)*(K63+S63)</f>
        <v>38.0296258194999</v>
      </c>
      <c r="L64" s="13" t="n">
        <f aca="false">TS_Setup!$B$15*D64+(1-TS_Setup!$B$15)*(L63+T63)</f>
        <v>2.11052534547751</v>
      </c>
      <c r="M64" s="13" t="n">
        <f aca="false">TS_Setup!$B$15*E64+(1-TS_Setup!$B$15)*(M63+U63)</f>
        <v>3.8461159428499</v>
      </c>
      <c r="N64" s="13" t="n">
        <f aca="false">TS_Setup!$B$15*F64+(1-TS_Setup!$B$15)*(N63+V63)</f>
        <v>8.31246421708584</v>
      </c>
      <c r="O64" s="13" t="n">
        <f aca="false">TS_Setup!$B$15*G64+(1-TS_Setup!$B$15)*(O63+W63)</f>
        <v>88.6304318695888</v>
      </c>
      <c r="P64" s="13" t="n">
        <f aca="false">TS_Setup!$B$15*H64+(1-TS_Setup!$B$15)*(P63+X63)</f>
        <v>248.307601605719</v>
      </c>
      <c r="Q64" s="13" t="n">
        <f aca="false">TS_Setup!$B$15*I64+(1-TS_Setup!$B$15)*(Q63+Y63)</f>
        <v>258.576597110284</v>
      </c>
      <c r="R64" s="16" t="n">
        <f aca="false">TS_Setup!$B$16*(J64-J63)+(1-TS_Setup!$B$16)*R63</f>
        <v>-0.139941133459093</v>
      </c>
      <c r="S64" s="16" t="n">
        <f aca="false">TS_Setup!$B$16*(K64-K63)+(1-TS_Setup!$B$16)*S63</f>
        <v>3.12494114219269</v>
      </c>
      <c r="T64" s="16" t="n">
        <f aca="false">TS_Setup!$B$16*(L64-L63)+(1-TS_Setup!$B$16)*T63</f>
        <v>-0.138966757713778</v>
      </c>
      <c r="U64" s="16" t="n">
        <f aca="false">TS_Setup!$B$16*(M64-M63)+(1-TS_Setup!$B$16)*U63</f>
        <v>-0.0193268782198378</v>
      </c>
      <c r="V64" s="16" t="n">
        <f aca="false">TS_Setup!$B$16*(N64-N63)+(1-TS_Setup!$B$16)*V63</f>
        <v>0.0594326130918973</v>
      </c>
      <c r="W64" s="16" t="n">
        <f aca="false">TS_Setup!$B$16*(O64-O63)+(1-TS_Setup!$B$16)*W63</f>
        <v>4.29747886808221</v>
      </c>
      <c r="X64" s="16" t="n">
        <f aca="false">TS_Setup!$B$16*(P64-P63)+(1-TS_Setup!$B$16)*X63</f>
        <v>3.26729889274075</v>
      </c>
      <c r="Y64" s="16" t="n">
        <f aca="false">TS_Setup!$B$16*(Q64-Q63)+(1-TS_Setup!$B$16)*Y63</f>
        <v>17.1625250909946</v>
      </c>
    </row>
    <row r="65" customFormat="false" ht="15" hidden="false" customHeight="false" outlineLevel="0" collapsed="false">
      <c r="A65" s="11" t="n">
        <f aca="false">Daily!A64</f>
        <v>43946</v>
      </c>
      <c r="B65" s="13" t="n">
        <f aca="false">SUMIFS(Data!$B$2:$B$2797,Data!$A$2:$A$2797,$A65,Data!$F$2:$F$2797,B$5)</f>
        <v>0</v>
      </c>
      <c r="C65" s="13" t="n">
        <f aca="false">SUMIFS(Data!$B$2:$B$2797,Data!$A$2:$A$2797,$A65,Data!$F$2:$F$2797,C$5)</f>
        <v>65</v>
      </c>
      <c r="D65" s="13" t="n">
        <f aca="false">SUMIFS(Data!$B$2:$B$2797,Data!$A$2:$A$2797,$A65,Data!$F$2:$F$2797,D$5)</f>
        <v>0</v>
      </c>
      <c r="E65" s="13" t="n">
        <f aca="false">SUMIFS(Data!$B$2:$B$2797,Data!$A$2:$A$2797,$A65,Data!$F$2:$F$2797,E$5)</f>
        <v>1</v>
      </c>
      <c r="F65" s="13" t="n">
        <f aca="false">SUMIFS(Data!$B$2:$B$2797,Data!$A$2:$A$2797,$A65,Data!$F$2:$F$2797,F$5)</f>
        <v>9</v>
      </c>
      <c r="G65" s="13" t="n">
        <f aca="false">SUMIFS(Data!$B$2:$B$2797,Data!$A$2:$A$2797,$A65,Data!$F$2:$F$2797,G$5)</f>
        <v>85</v>
      </c>
      <c r="H65" s="13" t="n">
        <f aca="false">SUMIFS(Data!$B$2:$B$2797,Data!$A$2:$A$2797,$A65,Data!$F$2:$F$2797,H$5)</f>
        <v>475</v>
      </c>
      <c r="I65" s="13" t="n">
        <f aca="false">SUMIFS(Data!$B$2:$B$2797,Data!$A$2:$A$2797,$A65,Data!$F$2:$F$2797,I$5)</f>
        <v>287</v>
      </c>
      <c r="J65" s="13" t="n">
        <f aca="false">TS_Setup!$B$15*B65+(1-TS_Setup!$B$15)*(J64+R64)</f>
        <v>1.70330535761216</v>
      </c>
      <c r="K65" s="13" t="n">
        <f aca="false">TS_Setup!$B$15*C65+(1-TS_Setup!$B$15)*(K64+S64)</f>
        <v>43.3245013681786</v>
      </c>
      <c r="L65" s="13" t="n">
        <f aca="false">TS_Setup!$B$15*D65+(1-TS_Setup!$B$15)*(L64+T64)</f>
        <v>1.79214675627723</v>
      </c>
      <c r="M65" s="13" t="n">
        <f aca="false">TS_Setup!$B$15*E65+(1-TS_Setup!$B$15)*(M64+U64)</f>
        <v>3.56955125974872</v>
      </c>
      <c r="N65" s="13" t="n">
        <f aca="false">TS_Setup!$B$15*F65+(1-TS_Setup!$B$15)*(N64+V64)</f>
        <v>8.42905421863156</v>
      </c>
      <c r="O65" s="13" t="n">
        <f aca="false">TS_Setup!$B$15*G65+(1-TS_Setup!$B$15)*(O64+W64)</f>
        <v>92.2064708605429</v>
      </c>
      <c r="P65" s="13" t="n">
        <f aca="false">TS_Setup!$B$15*H65+(1-TS_Setup!$B$15)*(P64+X64)</f>
        <v>271.9065845531</v>
      </c>
      <c r="Q65" s="13" t="n">
        <f aca="false">TS_Setup!$B$15*I65+(1-TS_Setup!$B$15)*(Q64+Y64)</f>
        <v>276.763862080962</v>
      </c>
      <c r="R65" s="16" t="n">
        <f aca="false">TS_Setup!$B$16*(J65-J64)+(1-TS_Setup!$B$16)*R64</f>
        <v>-0.17268057373214</v>
      </c>
      <c r="S65" s="16" t="n">
        <f aca="false">TS_Setup!$B$16*(K65-K64)+(1-TS_Setup!$B$16)*S64</f>
        <v>3.541568548238</v>
      </c>
      <c r="T65" s="16" t="n">
        <f aca="false">TS_Setup!$B$16*(L65-L64)+(1-TS_Setup!$B$16)*T64</f>
        <v>-0.173413829359186</v>
      </c>
      <c r="U65" s="16" t="n">
        <f aca="false">TS_Setup!$B$16*(M65-M64)+(1-TS_Setup!$B$16)*U64</f>
        <v>-0.0687165367570541</v>
      </c>
      <c r="V65" s="16" t="n">
        <f aca="false">TS_Setup!$B$16*(N65-N64)+(1-TS_Setup!$B$16)*V64</f>
        <v>0.0704068316750321</v>
      </c>
      <c r="W65" s="16" t="n">
        <f aca="false">TS_Setup!$B$16*(O65-O64)+(1-TS_Setup!$B$16)*W64</f>
        <v>4.15896241167362</v>
      </c>
      <c r="X65" s="16" t="n">
        <f aca="false">TS_Setup!$B$16*(P65-P64)+(1-TS_Setup!$B$16)*X64</f>
        <v>7.17098223123166</v>
      </c>
      <c r="Y65" s="16" t="n">
        <f aca="false">TS_Setup!$B$16*(Q65-Q64)+(1-TS_Setup!$B$16)*Y64</f>
        <v>17.3592751478939</v>
      </c>
    </row>
    <row r="66" customFormat="false" ht="15" hidden="false" customHeight="false" outlineLevel="0" collapsed="false">
      <c r="A66" s="11" t="n">
        <f aca="false">Daily!A65</f>
        <v>43947</v>
      </c>
      <c r="B66" s="13" t="n">
        <f aca="false">SUMIFS(Data!$B$2:$B$2797,Data!$A$2:$A$2797,$A66,Data!$F$2:$F$2797,B$5)</f>
        <v>4</v>
      </c>
      <c r="C66" s="13" t="n">
        <f aca="false">SUMIFS(Data!$B$2:$B$2797,Data!$A$2:$A$2797,$A66,Data!$F$2:$F$2797,C$5)</f>
        <v>60</v>
      </c>
      <c r="D66" s="13" t="n">
        <f aca="false">SUMIFS(Data!$B$2:$B$2797,Data!$A$2:$A$2797,$A66,Data!$F$2:$F$2797,D$5)</f>
        <v>0</v>
      </c>
      <c r="E66" s="13" t="n">
        <f aca="false">SUMIFS(Data!$B$2:$B$2797,Data!$A$2:$A$2797,$A66,Data!$F$2:$F$2797,E$5)</f>
        <v>10</v>
      </c>
      <c r="F66" s="13" t="n">
        <f aca="false">SUMIFS(Data!$B$2:$B$2797,Data!$A$2:$A$2797,$A66,Data!$F$2:$F$2797,F$5)</f>
        <v>12</v>
      </c>
      <c r="G66" s="13" t="n">
        <f aca="false">SUMIFS(Data!$B$2:$B$2797,Data!$A$2:$A$2797,$A66,Data!$F$2:$F$2797,G$5)</f>
        <v>71</v>
      </c>
      <c r="H66" s="13" t="n">
        <f aca="false">SUMIFS(Data!$B$2:$B$2797,Data!$A$2:$A$2797,$A66,Data!$F$2:$F$2797,H$5)</f>
        <v>120</v>
      </c>
      <c r="I66" s="13" t="n">
        <f aca="false">SUMIFS(Data!$B$2:$B$2797,Data!$A$2:$A$2797,$A66,Data!$F$2:$F$2797,I$5)</f>
        <v>383</v>
      </c>
      <c r="J66" s="13" t="n">
        <f aca="false">TS_Setup!$B$15*B66+(1-TS_Setup!$B$15)*(J65+R65)</f>
        <v>1.75533792854694</v>
      </c>
      <c r="K66" s="13" t="n">
        <f aca="false">TS_Setup!$B$15*C66+(1-TS_Setup!$B$15)*(K65+S65)</f>
        <v>48.0612575540227</v>
      </c>
      <c r="L66" s="13" t="n">
        <f aca="false">TS_Setup!$B$15*D66+(1-TS_Setup!$B$15)*(L65+T65)</f>
        <v>1.4714282305685</v>
      </c>
      <c r="M66" s="13" t="n">
        <f aca="false">TS_Setup!$B$15*E66+(1-TS_Setup!$B$15)*(M65+U65)</f>
        <v>4.09225876319943</v>
      </c>
      <c r="N66" s="13" t="n">
        <f aca="false">TS_Setup!$B$15*F66+(1-TS_Setup!$B$15)*(N65+V65)</f>
        <v>8.8180100947287</v>
      </c>
      <c r="O66" s="13" t="n">
        <f aca="false">TS_Setup!$B$15*G66+(1-TS_Setup!$B$15)*(O65+W65)</f>
        <v>94.0571788444448</v>
      </c>
      <c r="P66" s="13" t="n">
        <f aca="false">TS_Setup!$B$15*H66+(1-TS_Setup!$B$15)*(P65+X65)</f>
        <v>264.601508206957</v>
      </c>
      <c r="Q66" s="13" t="n">
        <f aca="false">TS_Setup!$B$15*I66+(1-TS_Setup!$B$15)*(Q65+Y65)</f>
        <v>302.21093174103</v>
      </c>
      <c r="R66" s="16" t="n">
        <f aca="false">TS_Setup!$B$16*(J66-J65)+(1-TS_Setup!$B$16)*R65</f>
        <v>-0.129535649956092</v>
      </c>
      <c r="S66" s="16" t="n">
        <f aca="false">TS_Setup!$B$16*(K66-K65)+(1-TS_Setup!$B$16)*S65</f>
        <v>3.77104457465837</v>
      </c>
      <c r="T66" s="16" t="n">
        <f aca="false">TS_Setup!$B$16*(L66-L65)+(1-TS_Setup!$B$16)*T65</f>
        <v>-0.201696331058298</v>
      </c>
      <c r="U66" s="16" t="n">
        <f aca="false">TS_Setup!$B$16*(M66-M65)+(1-TS_Setup!$B$16)*U65</f>
        <v>0.0448368789628355</v>
      </c>
      <c r="V66" s="16" t="n">
        <f aca="false">TS_Setup!$B$16*(N66-N65)+(1-TS_Setup!$B$16)*V65</f>
        <v>0.131568248204075</v>
      </c>
      <c r="W66" s="16" t="n">
        <f aca="false">TS_Setup!$B$16*(O66-O65)+(1-TS_Setup!$B$16)*W65</f>
        <v>3.71577756154146</v>
      </c>
      <c r="X66" s="16" t="n">
        <f aca="false">TS_Setup!$B$16*(P66-P65)+(1-TS_Setup!$B$16)*X65</f>
        <v>4.39157898437583</v>
      </c>
      <c r="Y66" s="16" t="n">
        <f aca="false">TS_Setup!$B$16*(Q66-Q65)+(1-TS_Setup!$B$16)*Y65</f>
        <v>18.9121316942313</v>
      </c>
    </row>
    <row r="67" customFormat="false" ht="15" hidden="false" customHeight="false" outlineLevel="0" collapsed="false">
      <c r="A67" s="11" t="n">
        <f aca="false">Daily!A66</f>
        <v>43948</v>
      </c>
      <c r="B67" s="13" t="n">
        <f aca="false">SUMIFS(Data!$B$2:$B$2797,Data!$A$2:$A$2797,$A67,Data!$F$2:$F$2797,B$5)</f>
        <v>0</v>
      </c>
      <c r="C67" s="13" t="n">
        <f aca="false">SUMIFS(Data!$B$2:$B$2797,Data!$A$2:$A$2797,$A67,Data!$F$2:$F$2797,C$5)</f>
        <v>72</v>
      </c>
      <c r="D67" s="13" t="n">
        <f aca="false">SUMIFS(Data!$B$2:$B$2797,Data!$A$2:$A$2797,$A67,Data!$F$2:$F$2797,D$5)</f>
        <v>0</v>
      </c>
      <c r="E67" s="13" t="n">
        <f aca="false">SUMIFS(Data!$B$2:$B$2797,Data!$A$2:$A$2797,$A67,Data!$F$2:$F$2797,E$5)</f>
        <v>2</v>
      </c>
      <c r="F67" s="13" t="n">
        <f aca="false">SUMIFS(Data!$B$2:$B$2797,Data!$A$2:$A$2797,$A67,Data!$F$2:$F$2797,F$5)</f>
        <v>10</v>
      </c>
      <c r="G67" s="13" t="n">
        <f aca="false">SUMIFS(Data!$B$2:$B$2797,Data!$A$2:$A$2797,$A67,Data!$F$2:$F$2797,G$5)</f>
        <v>120</v>
      </c>
      <c r="H67" s="13" t="n">
        <f aca="false">SUMIFS(Data!$B$2:$B$2797,Data!$A$2:$A$2797,$A67,Data!$F$2:$F$2797,H$5)</f>
        <v>194</v>
      </c>
      <c r="I67" s="13" t="n">
        <f aca="false">SUMIFS(Data!$B$2:$B$2797,Data!$A$2:$A$2797,$A67,Data!$F$2:$F$2797,I$5)</f>
        <v>341</v>
      </c>
      <c r="J67" s="13" t="n">
        <f aca="false">TS_Setup!$B$15*B67+(1-TS_Setup!$B$15)*(J66+R66)</f>
        <v>1.47785427123908</v>
      </c>
      <c r="K67" s="13" t="n">
        <f aca="false">TS_Setup!$B$15*C67+(1-TS_Setup!$B$15)*(K66+S66)</f>
        <v>53.6675626349711</v>
      </c>
      <c r="L67" s="13" t="n">
        <f aca="false">TS_Setup!$B$15*D67+(1-TS_Setup!$B$15)*(L66+T66)</f>
        <v>1.15418629665477</v>
      </c>
      <c r="M67" s="13" t="n">
        <f aca="false">TS_Setup!$B$15*E67+(1-TS_Setup!$B$15)*(M66+U66)</f>
        <v>3.9426199387255</v>
      </c>
      <c r="N67" s="13" t="n">
        <f aca="false">TS_Setup!$B$15*F67+(1-TS_Setup!$B$15)*(N66+V66)</f>
        <v>9.04516671372589</v>
      </c>
      <c r="O67" s="13" t="n">
        <f aca="false">TS_Setup!$B$15*G67+(1-TS_Setup!$B$15)*(O66+W66)</f>
        <v>99.7956173730416</v>
      </c>
      <c r="P67" s="13" t="n">
        <f aca="false">TS_Setup!$B$15*H67+(1-TS_Setup!$B$15)*(P66+X66)</f>
        <v>262.168716256922</v>
      </c>
      <c r="Q67" s="13" t="n">
        <f aca="false">TS_Setup!$B$15*I67+(1-TS_Setup!$B$15)*(Q66+Y66)</f>
        <v>322.931864662653</v>
      </c>
      <c r="R67" s="16" t="n">
        <f aca="false">TS_Setup!$B$16*(J67-J66)+(1-TS_Setup!$B$16)*R66</f>
        <v>-0.157941667367631</v>
      </c>
      <c r="S67" s="16" t="n">
        <f aca="false">TS_Setup!$B$16*(K67-K66)+(1-TS_Setup!$B$16)*S66</f>
        <v>4.12341459186606</v>
      </c>
      <c r="T67" s="16" t="n">
        <f aca="false">TS_Setup!$B$16*(L67-L66)+(1-TS_Setup!$B$16)*T66</f>
        <v>-0.22388108680654</v>
      </c>
      <c r="U67" s="16" t="n">
        <f aca="false">TS_Setup!$B$16*(M67-M66)+(1-TS_Setup!$B$16)*U66</f>
        <v>0.00749754390297655</v>
      </c>
      <c r="V67" s="16" t="n">
        <f aca="false">TS_Setup!$B$16*(N67-N66)+(1-TS_Setup!$B$16)*V66</f>
        <v>0.149921215396354</v>
      </c>
      <c r="W67" s="16" t="n">
        <f aca="false">TS_Setup!$B$16*(O67-O66)+(1-TS_Setup!$B$16)*W66</f>
        <v>4.10412846721607</v>
      </c>
      <c r="X67" s="16" t="n">
        <f aca="false">TS_Setup!$B$16*(P67-P66)+(1-TS_Setup!$B$16)*X66</f>
        <v>3.08129976496886</v>
      </c>
      <c r="Y67" s="16" t="n">
        <f aca="false">TS_Setup!$B$16*(Q67-Q66)+(1-TS_Setup!$B$16)*Y66</f>
        <v>19.2594215298904</v>
      </c>
    </row>
    <row r="68" customFormat="false" ht="15" hidden="false" customHeight="false" outlineLevel="0" collapsed="false">
      <c r="A68" s="11" t="n">
        <f aca="false">Daily!A67</f>
        <v>43949</v>
      </c>
      <c r="B68" s="13" t="n">
        <f aca="false">SUMIFS(Data!$B$2:$B$2797,Data!$A$2:$A$2797,$A68,Data!$F$2:$F$2797,B$5)</f>
        <v>6</v>
      </c>
      <c r="C68" s="13" t="n">
        <f aca="false">SUMIFS(Data!$B$2:$B$2797,Data!$A$2:$A$2797,$A68,Data!$F$2:$F$2797,C$5)</f>
        <v>0</v>
      </c>
      <c r="D68" s="13" t="n">
        <f aca="false">SUMIFS(Data!$B$2:$B$2797,Data!$A$2:$A$2797,$A68,Data!$F$2:$F$2797,D$5)</f>
        <v>0</v>
      </c>
      <c r="E68" s="13" t="n">
        <f aca="false">SUMIFS(Data!$B$2:$B$2797,Data!$A$2:$A$2797,$A68,Data!$F$2:$F$2797,E$5)</f>
        <v>10</v>
      </c>
      <c r="F68" s="13" t="n">
        <f aca="false">SUMIFS(Data!$B$2:$B$2797,Data!$A$2:$A$2797,$A68,Data!$F$2:$F$2797,F$5)</f>
        <v>16</v>
      </c>
      <c r="G68" s="13" t="n">
        <f aca="false">SUMIFS(Data!$B$2:$B$2797,Data!$A$2:$A$2797,$A68,Data!$F$2:$F$2797,G$5)</f>
        <v>176</v>
      </c>
      <c r="H68" s="13" t="n">
        <f aca="false">SUMIFS(Data!$B$2:$B$2797,Data!$A$2:$A$2797,$A68,Data!$F$2:$F$2797,H$5)</f>
        <v>187</v>
      </c>
      <c r="I68" s="13" t="n">
        <f aca="false">SUMIFS(Data!$B$2:$B$2797,Data!$A$2:$A$2797,$A68,Data!$F$2:$F$2797,I$5)</f>
        <v>335</v>
      </c>
      <c r="J68" s="13" t="n">
        <f aca="false">TS_Setup!$B$15*B68+(1-TS_Setup!$B$15)*(J67+R67)</f>
        <v>1.74580055691915</v>
      </c>
      <c r="K68" s="13" t="n">
        <f aca="false">TS_Setup!$B$15*C68+(1-TS_Setup!$B$15)*(K67+S67)</f>
        <v>52.531998299195</v>
      </c>
      <c r="L68" s="13" t="n">
        <f aca="false">TS_Setup!$B$15*D68+(1-TS_Setup!$B$15)*(L67+T67)</f>
        <v>0.845647435752044</v>
      </c>
      <c r="M68" s="13" t="n">
        <f aca="false">TS_Setup!$B$15*E68+(1-TS_Setup!$B$15)*(M67+U67)</f>
        <v>4.50065679170928</v>
      </c>
      <c r="N68" s="13" t="n">
        <f aca="false">TS_Setup!$B$15*F68+(1-TS_Setup!$B$15)*(N67+V67)</f>
        <v>9.81433492757212</v>
      </c>
      <c r="O68" s="13" t="n">
        <f aca="false">TS_Setup!$B$15*G68+(1-TS_Setup!$B$15)*(O67+W67)</f>
        <v>110.460868968794</v>
      </c>
      <c r="P68" s="13" t="n">
        <f aca="false">TS_Setup!$B$15*H68+(1-TS_Setup!$B$15)*(P67+X67)</f>
        <v>258.129264563899</v>
      </c>
      <c r="Q68" s="13" t="n">
        <f aca="false">TS_Setup!$B$15*I68+(1-TS_Setup!$B$15)*(Q67+Y67)</f>
        <v>341.536879149022</v>
      </c>
      <c r="R68" s="16" t="n">
        <f aca="false">TS_Setup!$B$16*(J68-J67)+(1-TS_Setup!$B$16)*R67</f>
        <v>-0.0761711803824731</v>
      </c>
      <c r="S68" s="16" t="n">
        <f aca="false">TS_Setup!$B$16*(K68-K67)+(1-TS_Setup!$B$16)*S67</f>
        <v>3.11369063775876</v>
      </c>
      <c r="T68" s="16" t="n">
        <f aca="false">TS_Setup!$B$16*(L68-L67)+(1-TS_Setup!$B$16)*T67</f>
        <v>-0.240135379433009</v>
      </c>
      <c r="U68" s="16" t="n">
        <f aca="false">TS_Setup!$B$16*(M68-M67)+(1-TS_Setup!$B$16)*U67</f>
        <v>0.113201091246492</v>
      </c>
      <c r="V68" s="16" t="n">
        <f aca="false">TS_Setup!$B$16*(N68-N67)+(1-TS_Setup!$B$16)*V67</f>
        <v>0.26881663909873</v>
      </c>
      <c r="W68" s="16" t="n">
        <f aca="false">TS_Setup!$B$16*(O68-O67)+(1-TS_Setup!$B$16)*W67</f>
        <v>5.36386410789509</v>
      </c>
      <c r="X68" s="16" t="n">
        <f aca="false">TS_Setup!$B$16*(P68-P67)+(1-TS_Setup!$B$16)*X67</f>
        <v>1.71411548503439</v>
      </c>
      <c r="Y68" s="16" t="n">
        <f aca="false">TS_Setup!$B$16*(Q68-Q67)+(1-TS_Setup!$B$16)*Y67</f>
        <v>19.1337753775343</v>
      </c>
    </row>
    <row r="69" customFormat="false" ht="15" hidden="false" customHeight="false" outlineLevel="0" collapsed="false">
      <c r="A69" s="11" t="n">
        <f aca="false">Daily!A68</f>
        <v>43950</v>
      </c>
      <c r="B69" s="13" t="n">
        <f aca="false">SUMIFS(Data!$B$2:$B$2797,Data!$A$2:$A$2797,$A69,Data!$F$2:$F$2797,B$5)</f>
        <v>0</v>
      </c>
      <c r="C69" s="13" t="n">
        <f aca="false">SUMIFS(Data!$B$2:$B$2797,Data!$A$2:$A$2797,$A69,Data!$F$2:$F$2797,C$5)</f>
        <v>121</v>
      </c>
      <c r="D69" s="13" t="n">
        <f aca="false">SUMIFS(Data!$B$2:$B$2797,Data!$A$2:$A$2797,$A69,Data!$F$2:$F$2797,D$5)</f>
        <v>0</v>
      </c>
      <c r="E69" s="13" t="n">
        <f aca="false">SUMIFS(Data!$B$2:$B$2797,Data!$A$2:$A$2797,$A69,Data!$F$2:$F$2797,E$5)</f>
        <v>3</v>
      </c>
      <c r="F69" s="13" t="n">
        <f aca="false">SUMIFS(Data!$B$2:$B$2797,Data!$A$2:$A$2797,$A69,Data!$F$2:$F$2797,F$5)</f>
        <v>36</v>
      </c>
      <c r="G69" s="13" t="n">
        <f aca="false">SUMIFS(Data!$B$2:$B$2797,Data!$A$2:$A$2797,$A69,Data!$F$2:$F$2797,G$5)</f>
        <v>153</v>
      </c>
      <c r="H69" s="13" t="n">
        <f aca="false">SUMIFS(Data!$B$2:$B$2797,Data!$A$2:$A$2797,$A69,Data!$F$2:$F$2797,H$5)</f>
        <v>234</v>
      </c>
      <c r="I69" s="13" t="n">
        <f aca="false">SUMIFS(Data!$B$2:$B$2797,Data!$A$2:$A$2797,$A69,Data!$F$2:$F$2797,I$5)</f>
        <v>401</v>
      </c>
      <c r="J69" s="13" t="n">
        <f aca="false">TS_Setup!$B$15*B69+(1-TS_Setup!$B$15)*(J68+R68)</f>
        <v>1.51769310327184</v>
      </c>
      <c r="K69" s="13" t="n">
        <f aca="false">TS_Setup!$B$15*C69+(1-TS_Setup!$B$15)*(K68+S68)</f>
        <v>61.5929312436909</v>
      </c>
      <c r="L69" s="13" t="n">
        <f aca="false">TS_Setup!$B$15*D69+(1-TS_Setup!$B$15)*(L68+T68)</f>
        <v>0.550410459194003</v>
      </c>
      <c r="M69" s="13" t="n">
        <f aca="false">TS_Setup!$B$15*E69+(1-TS_Setup!$B$15)*(M68+U68)</f>
        <v>4.4669968156068</v>
      </c>
      <c r="N69" s="13" t="n">
        <f aca="false">TS_Setup!$B$15*F69+(1-TS_Setup!$B$15)*(N68+V68)</f>
        <v>12.4415847741038</v>
      </c>
      <c r="O69" s="13" t="n">
        <f aca="false">TS_Setup!$B$15*G69+(1-TS_Setup!$B$15)*(O68+W68)</f>
        <v>119.207682366711</v>
      </c>
      <c r="P69" s="13" t="n">
        <f aca="false">TS_Setup!$B$15*H69+(1-TS_Setup!$B$15)*(P68+X68)</f>
        <v>257.49163246448</v>
      </c>
      <c r="Q69" s="13" t="n">
        <f aca="false">TS_Setup!$B$15*I69+(1-TS_Setup!$B$15)*(Q68+Y68)</f>
        <v>364.34062496464</v>
      </c>
      <c r="R69" s="16" t="n">
        <f aca="false">TS_Setup!$B$16*(J69-J68)+(1-TS_Setup!$B$16)*R68</f>
        <v>-0.105342944849322</v>
      </c>
      <c r="S69" s="16" t="n">
        <f aca="false">TS_Setup!$B$16*(K69-K68)+(1-TS_Setup!$B$16)*S68</f>
        <v>4.2555611606523</v>
      </c>
      <c r="T69" s="16" t="n">
        <f aca="false">TS_Setup!$B$16*(L69-L68)+(1-TS_Setup!$B$16)*T68</f>
        <v>-0.250714886081015</v>
      </c>
      <c r="U69" s="16" t="n">
        <f aca="false">TS_Setup!$B$16*(M69-M68)+(1-TS_Setup!$B$16)*U68</f>
        <v>0.0850037663154887</v>
      </c>
      <c r="V69" s="16" t="n">
        <f aca="false">TS_Setup!$B$16*(N69-N68)+(1-TS_Setup!$B$16)*V68</f>
        <v>0.721635814925857</v>
      </c>
      <c r="W69" s="16" t="n">
        <f aca="false">TS_Setup!$B$16*(O69-O68)+(1-TS_Setup!$B$16)*W68</f>
        <v>6.01339037157917</v>
      </c>
      <c r="X69" s="16" t="n">
        <f aca="false">TS_Setup!$B$16*(P69-P68)+(1-TS_Setup!$B$16)*X68</f>
        <v>1.26257994881943</v>
      </c>
      <c r="Y69" s="16" t="n">
        <f aca="false">TS_Setup!$B$16*(Q69-Q68)+(1-TS_Setup!$B$16)*Y68</f>
        <v>19.8384097016463</v>
      </c>
    </row>
    <row r="70" customFormat="false" ht="15" hidden="false" customHeight="false" outlineLevel="0" collapsed="false">
      <c r="A70" s="11" t="n">
        <f aca="false">Daily!A69</f>
        <v>43951</v>
      </c>
      <c r="B70" s="13" t="n">
        <f aca="false">SUMIFS(Data!$B$2:$B$2797,Data!$A$2:$A$2797,$A70,Data!$F$2:$F$2797,B$5)</f>
        <v>1</v>
      </c>
      <c r="C70" s="13" t="n">
        <f aca="false">SUMIFS(Data!$B$2:$B$2797,Data!$A$2:$A$2797,$A70,Data!$F$2:$F$2797,C$5)</f>
        <v>75</v>
      </c>
      <c r="D70" s="13" t="n">
        <f aca="false">SUMIFS(Data!$B$2:$B$2797,Data!$A$2:$A$2797,$A70,Data!$F$2:$F$2797,D$5)</f>
        <v>0</v>
      </c>
      <c r="E70" s="13" t="n">
        <f aca="false">SUMIFS(Data!$B$2:$B$2797,Data!$A$2:$A$2797,$A70,Data!$F$2:$F$2797,E$5)</f>
        <v>6</v>
      </c>
      <c r="F70" s="13" t="n">
        <f aca="false">SUMIFS(Data!$B$2:$B$2797,Data!$A$2:$A$2797,$A70,Data!$F$2:$F$2797,F$5)</f>
        <v>16</v>
      </c>
      <c r="G70" s="13" t="n">
        <f aca="false">SUMIFS(Data!$B$2:$B$2797,Data!$A$2:$A$2797,$A70,Data!$F$2:$F$2797,G$5)</f>
        <v>0</v>
      </c>
      <c r="H70" s="13" t="n">
        <f aca="false">SUMIFS(Data!$B$2:$B$2797,Data!$A$2:$A$2797,$A70,Data!$F$2:$F$2797,H$5)</f>
        <v>279</v>
      </c>
      <c r="I70" s="13" t="n">
        <f aca="false">SUMIFS(Data!$B$2:$B$2797,Data!$A$2:$A$2797,$A70,Data!$F$2:$F$2797,I$5)</f>
        <v>288</v>
      </c>
      <c r="J70" s="13" t="n">
        <f aca="false">TS_Setup!$B$15*B70+(1-TS_Setup!$B$15)*(J69+R69)</f>
        <v>1.37482629400607</v>
      </c>
      <c r="K70" s="13" t="n">
        <f aca="false">TS_Setup!$B$15*C70+(1-TS_Setup!$B$15)*(K69+S69)</f>
        <v>66.681279595548</v>
      </c>
      <c r="L70" s="13" t="n">
        <f aca="false">TS_Setup!$B$15*D70+(1-TS_Setup!$B$15)*(L69+T69)</f>
        <v>0.272423275959707</v>
      </c>
      <c r="M70" s="13" t="n">
        <f aca="false">TS_Setup!$B$15*E70+(1-TS_Setup!$B$15)*(M69+U69)</f>
        <v>4.68376852896736</v>
      </c>
      <c r="N70" s="13" t="n">
        <f aca="false">TS_Setup!$B$15*F70+(1-TS_Setup!$B$15)*(N69+V69)</f>
        <v>13.421367515428</v>
      </c>
      <c r="O70" s="13" t="n">
        <f aca="false">TS_Setup!$B$15*G70+(1-TS_Setup!$B$15)*(O69+W69)</f>
        <v>113.825955119105</v>
      </c>
      <c r="P70" s="13" t="n">
        <f aca="false">TS_Setup!$B$15*H70+(1-TS_Setup!$B$15)*(P69+X69)</f>
        <v>260.596579083689</v>
      </c>
      <c r="Q70" s="13" t="n">
        <f aca="false">TS_Setup!$B$15*I70+(1-TS_Setup!$B$15)*(Q69+Y69)</f>
        <v>375.426742511654</v>
      </c>
      <c r="R70" s="16" t="n">
        <f aca="false">TS_Setup!$B$16*(J70-J69)+(1-TS_Setup!$B$16)*R69</f>
        <v>-0.11254752681728</v>
      </c>
      <c r="S70" s="16" t="n">
        <f aca="false">TS_Setup!$B$16*(K70-K69)+(1-TS_Setup!$B$16)*S69</f>
        <v>4.41545630136362</v>
      </c>
      <c r="T70" s="16" t="n">
        <f aca="false">TS_Setup!$B$16*(L70-L69)+(1-TS_Setup!$B$16)*T69</f>
        <v>-0.255951167134445</v>
      </c>
      <c r="U70" s="16" t="n">
        <f aca="false">TS_Setup!$B$16*(M70-M69)+(1-TS_Setup!$B$16)*U69</f>
        <v>0.110303212148142</v>
      </c>
      <c r="V70" s="16" t="n">
        <f aca="false">TS_Setup!$B$16*(N70-N69)+(1-TS_Setup!$B$16)*V69</f>
        <v>0.771200024794331</v>
      </c>
      <c r="W70" s="16" t="n">
        <f aca="false">TS_Setup!$B$16*(O70-O69)+(1-TS_Setup!$B$16)*W69</f>
        <v>3.82552778869578</v>
      </c>
      <c r="X70" s="16" t="n">
        <f aca="false">TS_Setup!$B$16*(P70-P69)+(1-TS_Setup!$B$16)*X69</f>
        <v>1.61631434953427</v>
      </c>
      <c r="Y70" s="16" t="n">
        <f aca="false">TS_Setup!$B$16*(Q70-Q69)+(1-TS_Setup!$B$16)*Y69</f>
        <v>18.157969607957</v>
      </c>
    </row>
    <row r="71" customFormat="false" ht="15" hidden="false" customHeight="false" outlineLevel="0" collapsed="false">
      <c r="A71" s="11" t="n">
        <f aca="false">Daily!A70</f>
        <v>43952</v>
      </c>
      <c r="B71" s="13" t="n">
        <f aca="false">SUMIFS(Data!$B$2:$B$2797,Data!$A$2:$A$2797,$A71,Data!$F$2:$F$2797,B$5)</f>
        <v>0</v>
      </c>
      <c r="C71" s="13" t="n">
        <f aca="false">SUMIFS(Data!$B$2:$B$2797,Data!$A$2:$A$2797,$A71,Data!$F$2:$F$2797,C$5)</f>
        <v>87</v>
      </c>
      <c r="D71" s="13" t="n">
        <f aca="false">SUMIFS(Data!$B$2:$B$2797,Data!$A$2:$A$2797,$A71,Data!$F$2:$F$2797,D$5)</f>
        <v>0</v>
      </c>
      <c r="E71" s="13" t="n">
        <f aca="false">SUMIFS(Data!$B$2:$B$2797,Data!$A$2:$A$2797,$A71,Data!$F$2:$F$2797,E$5)</f>
        <v>1</v>
      </c>
      <c r="F71" s="13" t="n">
        <f aca="false">SUMIFS(Data!$B$2:$B$2797,Data!$A$2:$A$2797,$A71,Data!$F$2:$F$2797,F$5)</f>
        <v>30</v>
      </c>
      <c r="G71" s="13" t="n">
        <f aca="false">SUMIFS(Data!$B$2:$B$2797,Data!$A$2:$A$2797,$A71,Data!$F$2:$F$2797,G$5)</f>
        <v>330</v>
      </c>
      <c r="H71" s="13" t="n">
        <f aca="false">SUMIFS(Data!$B$2:$B$2797,Data!$A$2:$A$2797,$A71,Data!$F$2:$F$2797,H$5)</f>
        <v>0</v>
      </c>
      <c r="I71" s="13" t="n">
        <f aca="false">SUMIFS(Data!$B$2:$B$2797,Data!$A$2:$A$2797,$A71,Data!$F$2:$F$2797,I$5)</f>
        <v>622</v>
      </c>
      <c r="J71" s="13" t="n">
        <f aca="false">TS_Setup!$B$15*B71+(1-TS_Setup!$B$15)*(J70+R70)</f>
        <v>1.14741139937461</v>
      </c>
      <c r="K71" s="13" t="n">
        <f aca="false">TS_Setup!$B$15*C71+(1-TS_Setup!$B$15)*(K70+S70)</f>
        <v>72.5439329302927</v>
      </c>
      <c r="L71" s="13" t="n">
        <f aca="false">TS_Setup!$B$15*D71+(1-TS_Setup!$B$15)*(L70+T70)</f>
        <v>0.0149731469221628</v>
      </c>
      <c r="M71" s="13" t="n">
        <f aca="false">TS_Setup!$B$15*E71+(1-TS_Setup!$B$15)*(M70+U70)</f>
        <v>4.44881121267399</v>
      </c>
      <c r="N71" s="13" t="n">
        <f aca="false">TS_Setup!$B$15*F71+(1-TS_Setup!$B$15)*(N70+V70)</f>
        <v>15.6310438940621</v>
      </c>
      <c r="O71" s="13" t="n">
        <f aca="false">TS_Setup!$B$15*G71+(1-TS_Setup!$B$15)*(O70+W70)</f>
        <v>136.975197963191</v>
      </c>
      <c r="P71" s="13" t="n">
        <f aca="false">TS_Setup!$B$15*H71+(1-TS_Setup!$B$15)*(P70+X70)</f>
        <v>238.3515201308</v>
      </c>
      <c r="Q71" s="13" t="n">
        <f aca="false">TS_Setup!$B$15*I71+(1-TS_Setup!$B$15)*(Q70+Y70)</f>
        <v>414.370503316726</v>
      </c>
      <c r="R71" s="16" t="n">
        <f aca="false">TS_Setup!$B$16*(J71-J70)+(1-TS_Setup!$B$16)*R70</f>
        <v>-0.134602061437603</v>
      </c>
      <c r="S71" s="16" t="n">
        <f aca="false">TS_Setup!$B$16*(K71-K70)+(1-TS_Setup!$B$16)*S70</f>
        <v>4.69331813177278</v>
      </c>
      <c r="T71" s="16" t="n">
        <f aca="false">TS_Setup!$B$16*(L71-L70)+(1-TS_Setup!$B$16)*T70</f>
        <v>-0.25623896781984</v>
      </c>
      <c r="U71" s="16" t="n">
        <f aca="false">TS_Setup!$B$16*(M71-M70)+(1-TS_Setup!$B$16)*U70</f>
        <v>0.0440131906873725</v>
      </c>
      <c r="V71" s="16" t="n">
        <f aca="false">TS_Setup!$B$16*(N71-N70)+(1-TS_Setup!$B$16)*V70</f>
        <v>1.04738748473157</v>
      </c>
      <c r="W71" s="16" t="n">
        <f aca="false">TS_Setup!$B$16*(O71-O70)+(1-TS_Setup!$B$16)*W70</f>
        <v>7.53568107933068</v>
      </c>
      <c r="X71" s="16" t="n">
        <f aca="false">TS_Setup!$B$16*(P71-P70)+(1-TS_Setup!$B$16)*X70</f>
        <v>-2.96506932453101</v>
      </c>
      <c r="Y71" s="16" t="n">
        <f aca="false">TS_Setup!$B$16*(Q71-Q70)+(1-TS_Setup!$B$16)*Y70</f>
        <v>22.1488415178032</v>
      </c>
    </row>
    <row r="72" customFormat="false" ht="15" hidden="false" customHeight="false" outlineLevel="0" collapsed="false">
      <c r="A72" s="11" t="n">
        <f aca="false">Daily!A71</f>
        <v>43953</v>
      </c>
      <c r="B72" s="13" t="n">
        <f aca="false">SUMIFS(Data!$B$2:$B$2797,Data!$A$2:$A$2797,$A72,Data!$F$2:$F$2797,B$5)</f>
        <v>0</v>
      </c>
      <c r="C72" s="13" t="n">
        <f aca="false">SUMIFS(Data!$B$2:$B$2797,Data!$A$2:$A$2797,$A72,Data!$F$2:$F$2797,C$5)</f>
        <v>36</v>
      </c>
      <c r="D72" s="13" t="n">
        <f aca="false">SUMIFS(Data!$B$2:$B$2797,Data!$A$2:$A$2797,$A72,Data!$F$2:$F$2797,D$5)</f>
        <v>0</v>
      </c>
      <c r="E72" s="13" t="n">
        <f aca="false">SUMIFS(Data!$B$2:$B$2797,Data!$A$2:$A$2797,$A72,Data!$F$2:$F$2797,E$5)</f>
        <v>16</v>
      </c>
      <c r="F72" s="13" t="n">
        <f aca="false">SUMIFS(Data!$B$2:$B$2797,Data!$A$2:$A$2797,$A72,Data!$F$2:$F$2797,F$5)</f>
        <v>22</v>
      </c>
      <c r="G72" s="13" t="n">
        <f aca="false">SUMIFS(Data!$B$2:$B$2797,Data!$A$2:$A$2797,$A72,Data!$F$2:$F$2797,G$5)</f>
        <v>108</v>
      </c>
      <c r="H72" s="13" t="n">
        <f aca="false">SUMIFS(Data!$B$2:$B$2797,Data!$A$2:$A$2797,$A72,Data!$F$2:$F$2797,H$5)</f>
        <v>514</v>
      </c>
      <c r="I72" s="13" t="n">
        <f aca="false">SUMIFS(Data!$B$2:$B$2797,Data!$A$2:$A$2797,$A72,Data!$F$2:$F$2797,I$5)</f>
        <v>427</v>
      </c>
      <c r="J72" s="13" t="n">
        <f aca="false">TS_Setup!$B$15*B72+(1-TS_Setup!$B$15)*(J71+R71)</f>
        <v>0.920643688184739</v>
      </c>
      <c r="K72" s="13" t="n">
        <f aca="false">TS_Setup!$B$15*C72+(1-TS_Setup!$B$15)*(K71+S71)</f>
        <v>73.4846612154175</v>
      </c>
      <c r="L72" s="13" t="n">
        <f aca="false">TS_Setup!$B$15*D72+(1-TS_Setup!$B$15)*(L71+T71)</f>
        <v>-0.219310631195989</v>
      </c>
      <c r="M72" s="13" t="n">
        <f aca="false">TS_Setup!$B$15*E72+(1-TS_Setup!$B$15)*(M71+U71)</f>
        <v>5.53997738265548</v>
      </c>
      <c r="N72" s="13" t="n">
        <f aca="false">TS_Setup!$B$15*F72+(1-TS_Setup!$B$15)*(N71+V71)</f>
        <v>17.1626941233234</v>
      </c>
      <c r="O72" s="13" t="n">
        <f aca="false">TS_Setup!$B$15*G72+(1-TS_Setup!$B$15)*(O71+W71)</f>
        <v>141.188389049652</v>
      </c>
      <c r="P72" s="13" t="n">
        <f aca="false">TS_Setup!$B$15*H72+(1-TS_Setup!$B$15)*(P71+X71)</f>
        <v>260.740283782899</v>
      </c>
      <c r="Q72" s="13" t="n">
        <f aca="false">TS_Setup!$B$15*I72+(1-TS_Setup!$B$15)*(Q71+Y71)</f>
        <v>435.653084454587</v>
      </c>
      <c r="R72" s="16" t="n">
        <f aca="false">TS_Setup!$B$16*(J72-J71)+(1-TS_Setup!$B$16)*R71</f>
        <v>-0.152297866190038</v>
      </c>
      <c r="S72" s="16" t="n">
        <f aca="false">TS_Setup!$B$16*(K72-K71)+(1-TS_Setup!$B$16)*S71</f>
        <v>3.97282088121637</v>
      </c>
      <c r="T72" s="16" t="n">
        <f aca="false">TS_Setup!$B$16*(L72-L71)+(1-TS_Setup!$B$16)*T71</f>
        <v>-0.252023571397116</v>
      </c>
      <c r="U72" s="16" t="n">
        <f aca="false">TS_Setup!$B$16*(M72-M71)+(1-TS_Setup!$B$16)*U71</f>
        <v>0.245066562711843</v>
      </c>
      <c r="V72" s="16" t="n">
        <f aca="false">TS_Setup!$B$16*(N72-N71)+(1-TS_Setup!$B$16)*V71</f>
        <v>1.14036593168129</v>
      </c>
      <c r="W72" s="16" t="n">
        <f aca="false">TS_Setup!$B$16*(O72-O71)+(1-TS_Setup!$B$16)*W71</f>
        <v>6.89776300069974</v>
      </c>
      <c r="X72" s="16" t="n">
        <f aca="false">TS_Setup!$B$16*(P72-P71)+(1-TS_Setup!$B$16)*X71</f>
        <v>1.90286660698185</v>
      </c>
      <c r="Y72" s="16" t="n">
        <f aca="false">TS_Setup!$B$16*(Q72-Q71)+(1-TS_Setup!$B$16)*Y71</f>
        <v>21.9825195248543</v>
      </c>
    </row>
    <row r="73" customFormat="false" ht="15" hidden="false" customHeight="false" outlineLevel="0" collapsed="false">
      <c r="A73" s="11" t="n">
        <f aca="false">Daily!A72</f>
        <v>43954</v>
      </c>
      <c r="B73" s="13" t="n">
        <f aca="false">SUMIFS(Data!$B$2:$B$2797,Data!$A$2:$A$2797,$A73,Data!$F$2:$F$2797,B$5)</f>
        <v>5</v>
      </c>
      <c r="C73" s="13" t="n">
        <f aca="false">SUMIFS(Data!$B$2:$B$2797,Data!$A$2:$A$2797,$A73,Data!$F$2:$F$2797,C$5)</f>
        <v>46</v>
      </c>
      <c r="D73" s="13" t="n">
        <f aca="false">SUMIFS(Data!$B$2:$B$2797,Data!$A$2:$A$2797,$A73,Data!$F$2:$F$2797,D$5)</f>
        <v>0</v>
      </c>
      <c r="E73" s="13" t="n">
        <f aca="false">SUMIFS(Data!$B$2:$B$2797,Data!$A$2:$A$2797,$A73,Data!$F$2:$F$2797,E$5)</f>
        <v>8</v>
      </c>
      <c r="F73" s="13" t="n">
        <f aca="false">SUMIFS(Data!$B$2:$B$2797,Data!$A$2:$A$2797,$A73,Data!$F$2:$F$2797,F$5)</f>
        <v>28</v>
      </c>
      <c r="G73" s="13" t="n">
        <f aca="false">SUMIFS(Data!$B$2:$B$2797,Data!$A$2:$A$2797,$A73,Data!$F$2:$F$2797,G$5)</f>
        <v>222</v>
      </c>
      <c r="H73" s="13" t="n">
        <f aca="false">SUMIFS(Data!$B$2:$B$2797,Data!$A$2:$A$2797,$A73,Data!$F$2:$F$2797,H$5)</f>
        <v>670</v>
      </c>
      <c r="I73" s="13" t="n">
        <f aca="false">SUMIFS(Data!$B$2:$B$2797,Data!$A$2:$A$2797,$A73,Data!$F$2:$F$2797,I$5)</f>
        <v>363</v>
      </c>
      <c r="J73" s="13" t="n">
        <f aca="false">TS_Setup!$B$15*B73+(1-TS_Setup!$B$15)*(J72+R72)</f>
        <v>1.15342635219318</v>
      </c>
      <c r="K73" s="13" t="n">
        <f aca="false">TS_Setup!$B$15*C73+(1-TS_Setup!$B$15)*(K72+S72)</f>
        <v>74.5948512258402</v>
      </c>
      <c r="L73" s="13" t="n">
        <f aca="false">TS_Setup!$B$15*D73+(1-TS_Setup!$B$15)*(L72+T72)</f>
        <v>-0.428442790157132</v>
      </c>
      <c r="M73" s="13" t="n">
        <f aca="false">TS_Setup!$B$15*E73+(1-TS_Setup!$B$15)*(M72+U72)</f>
        <v>5.9866049463389</v>
      </c>
      <c r="N73" s="13" t="n">
        <f aca="false">TS_Setup!$B$15*F73+(1-TS_Setup!$B$15)*(N72+V72)</f>
        <v>19.1854815899993</v>
      </c>
      <c r="O73" s="13" t="n">
        <f aca="false">TS_Setup!$B$15*G73+(1-TS_Setup!$B$15)*(O72+W72)</f>
        <v>154.81231221377</v>
      </c>
      <c r="P73" s="13" t="n">
        <f aca="false">TS_Setup!$B$15*H73+(1-TS_Setup!$B$15)*(P72+X72)</f>
        <v>299.712623704402</v>
      </c>
      <c r="Q73" s="13" t="n">
        <f aca="false">TS_Setup!$B$15*I73+(1-TS_Setup!$B$15)*(Q72+Y72)</f>
        <v>449.023764017312</v>
      </c>
      <c r="R73" s="16" t="n">
        <f aca="false">TS_Setup!$B$16*(J73-J72)+(1-TS_Setup!$B$16)*R72</f>
        <v>-0.0783624043919294</v>
      </c>
      <c r="S73" s="16" t="n">
        <f aca="false">TS_Setup!$B$16*(K73-K72)+(1-TS_Setup!$B$16)*S72</f>
        <v>3.42319575402398</v>
      </c>
      <c r="T73" s="16" t="n">
        <f aca="false">TS_Setup!$B$16*(L73-L72)+(1-TS_Setup!$B$16)*T72</f>
        <v>-0.243788420209409</v>
      </c>
      <c r="U73" s="16" t="n">
        <f aca="false">TS_Setup!$B$16*(M73-M72)+(1-TS_Setup!$B$16)*U72</f>
        <v>0.283766274898385</v>
      </c>
      <c r="V73" s="16" t="n">
        <f aca="false">TS_Setup!$B$16*(N73-N72)+(1-TS_Setup!$B$16)*V72</f>
        <v>1.30979086640024</v>
      </c>
      <c r="W73" s="16" t="n">
        <f aca="false">TS_Setup!$B$16*(O73-O72)+(1-TS_Setup!$B$16)*W72</f>
        <v>8.18918575207598</v>
      </c>
      <c r="X73" s="16" t="n">
        <f aca="false">TS_Setup!$B$16*(P73-P72)+(1-TS_Setup!$B$16)*X72</f>
        <v>9.02020548336985</v>
      </c>
      <c r="Y73" s="16" t="n">
        <f aca="false">TS_Setup!$B$16*(Q73-Q72)+(1-TS_Setup!$B$16)*Y72</f>
        <v>20.3290462521255</v>
      </c>
    </row>
    <row r="74" customFormat="false" ht="15" hidden="false" customHeight="false" outlineLevel="0" collapsed="false">
      <c r="A74" s="11" t="n">
        <f aca="false">Daily!A73</f>
        <v>43955</v>
      </c>
      <c r="B74" s="13" t="n">
        <f aca="false">SUMIFS(Data!$B$2:$B$2797,Data!$A$2:$A$2797,$A74,Data!$F$2:$F$2797,B$5)</f>
        <v>0</v>
      </c>
      <c r="C74" s="13" t="n">
        <f aca="false">SUMIFS(Data!$B$2:$B$2797,Data!$A$2:$A$2797,$A74,Data!$F$2:$F$2797,C$5)</f>
        <v>103</v>
      </c>
      <c r="D74" s="13" t="n">
        <f aca="false">SUMIFS(Data!$B$2:$B$2797,Data!$A$2:$A$2797,$A74,Data!$F$2:$F$2797,D$5)</f>
        <v>0</v>
      </c>
      <c r="E74" s="13" t="n">
        <f aca="false">SUMIFS(Data!$B$2:$B$2797,Data!$A$2:$A$2797,$A74,Data!$F$2:$F$2797,E$5)</f>
        <v>8</v>
      </c>
      <c r="F74" s="13" t="n">
        <f aca="false">SUMIFS(Data!$B$2:$B$2797,Data!$A$2:$A$2797,$A74,Data!$F$2:$F$2797,F$5)</f>
        <v>22</v>
      </c>
      <c r="G74" s="13" t="n">
        <f aca="false">SUMIFS(Data!$B$2:$B$2797,Data!$A$2:$A$2797,$A74,Data!$F$2:$F$2797,G$5)</f>
        <v>159</v>
      </c>
      <c r="H74" s="13" t="n">
        <f aca="false">SUMIFS(Data!$B$2:$B$2797,Data!$A$2:$A$2797,$A74,Data!$F$2:$F$2797,H$5)</f>
        <v>122</v>
      </c>
      <c r="I74" s="13" t="n">
        <f aca="false">SUMIFS(Data!$B$2:$B$2797,Data!$A$2:$A$2797,$A74,Data!$F$2:$F$2797,I$5)</f>
        <v>638</v>
      </c>
      <c r="J74" s="13" t="n">
        <f aca="false">TS_Setup!$B$15*B74+(1-TS_Setup!$B$15)*(J73+R73)</f>
        <v>0.977233128551339</v>
      </c>
      <c r="K74" s="13" t="n">
        <f aca="false">TS_Setup!$B$15*C74+(1-TS_Setup!$B$15)*(K73+S73)</f>
        <v>80.2914047046965</v>
      </c>
      <c r="L74" s="13" t="n">
        <f aca="false">TS_Setup!$B$15*D74+(1-TS_Setup!$B$15)*(L73+T73)</f>
        <v>-0.611058170223186</v>
      </c>
      <c r="M74" s="13" t="n">
        <f aca="false">TS_Setup!$B$15*E74+(1-TS_Setup!$B$15)*(M73+U73)</f>
        <v>6.42776744010469</v>
      </c>
      <c r="N74" s="13" t="n">
        <f aca="false">TS_Setup!$B$15*F74+(1-TS_Setup!$B$15)*(N73+V73)</f>
        <v>20.6322026628672</v>
      </c>
      <c r="O74" s="13" t="n">
        <f aca="false">TS_Setup!$B$15*G74+(1-TS_Setup!$B$15)*(O73+W73)</f>
        <v>162.637361650954</v>
      </c>
      <c r="P74" s="13" t="n">
        <f aca="false">TS_Setup!$B$15*H74+(1-TS_Setup!$B$15)*(P73+X73)</f>
        <v>291.740141731684</v>
      </c>
      <c r="Q74" s="13" t="n">
        <f aca="false">TS_Setup!$B$15*I74+(1-TS_Setup!$B$15)*(Q73+Y73)</f>
        <v>484.699704534919</v>
      </c>
      <c r="R74" s="16" t="n">
        <f aca="false">TS_Setup!$B$16*(J74-J73)+(1-TS_Setup!$B$16)*R73</f>
        <v>-0.097145921687913</v>
      </c>
      <c r="S74" s="16" t="n">
        <f aca="false">TS_Setup!$B$16*(K74-K73)+(1-TS_Setup!$B$16)*S73</f>
        <v>3.8596804371918</v>
      </c>
      <c r="T74" s="16" t="n">
        <f aca="false">TS_Setup!$B$16*(L74-L73)+(1-TS_Setup!$B$16)*T73</f>
        <v>-0.232043196501885</v>
      </c>
      <c r="U74" s="16" t="n">
        <f aca="false">TS_Setup!$B$16*(M74-M73)+(1-TS_Setup!$B$16)*U73</f>
        <v>0.313986348920927</v>
      </c>
      <c r="V74" s="16" t="n">
        <f aca="false">TS_Setup!$B$16*(N74-N73)+(1-TS_Setup!$B$16)*V73</f>
        <v>1.33608146604203</v>
      </c>
      <c r="W74" s="16" t="n">
        <f aca="false">TS_Setup!$B$16*(O74-O73)+(1-TS_Setup!$B$16)*W73</f>
        <v>8.11927157961672</v>
      </c>
      <c r="X74" s="16" t="n">
        <f aca="false">TS_Setup!$B$16*(P74-P73)+(1-TS_Setup!$B$16)*X73</f>
        <v>5.75760949180111</v>
      </c>
      <c r="Y74" s="16" t="n">
        <f aca="false">TS_Setup!$B$16*(Q74-Q73)+(1-TS_Setup!$B$16)*Y73</f>
        <v>23.2756499510978</v>
      </c>
    </row>
    <row r="75" customFormat="false" ht="15" hidden="false" customHeight="false" outlineLevel="0" collapsed="false">
      <c r="A75" s="11" t="n">
        <f aca="false">Daily!A74</f>
        <v>43956</v>
      </c>
      <c r="B75" s="13" t="n">
        <f aca="false">SUMIFS(Data!$B$2:$B$2797,Data!$A$2:$A$2797,$A75,Data!$F$2:$F$2797,B$5)</f>
        <v>0</v>
      </c>
      <c r="C75" s="13" t="n">
        <f aca="false">SUMIFS(Data!$B$2:$B$2797,Data!$A$2:$A$2797,$A75,Data!$F$2:$F$2797,C$5)</f>
        <v>174</v>
      </c>
      <c r="D75" s="13" t="n">
        <f aca="false">SUMIFS(Data!$B$2:$B$2797,Data!$A$2:$A$2797,$A75,Data!$F$2:$F$2797,D$5)</f>
        <v>0</v>
      </c>
      <c r="E75" s="13" t="n">
        <f aca="false">SUMIFS(Data!$B$2:$B$2797,Data!$A$2:$A$2797,$A75,Data!$F$2:$F$2797,E$5)</f>
        <v>16</v>
      </c>
      <c r="F75" s="13" t="n">
        <f aca="false">SUMIFS(Data!$B$2:$B$2797,Data!$A$2:$A$2797,$A75,Data!$F$2:$F$2797,F$5)</f>
        <v>49</v>
      </c>
      <c r="G75" s="13" t="n">
        <f aca="false">SUMIFS(Data!$B$2:$B$2797,Data!$A$2:$A$2797,$A75,Data!$F$2:$F$2797,G$5)</f>
        <v>211</v>
      </c>
      <c r="H75" s="13" t="n">
        <f aca="false">SUMIFS(Data!$B$2:$B$2797,Data!$A$2:$A$2797,$A75,Data!$F$2:$F$2797,H$5)</f>
        <v>487</v>
      </c>
      <c r="I75" s="13" t="n">
        <f aca="false">SUMIFS(Data!$B$2:$B$2797,Data!$A$2:$A$2797,$A75,Data!$F$2:$F$2797,I$5)</f>
        <v>86</v>
      </c>
      <c r="J75" s="13" t="n">
        <f aca="false">TS_Setup!$B$15*B75+(1-TS_Setup!$B$15)*(J74+R74)</f>
        <v>0.799999271038855</v>
      </c>
      <c r="K75" s="13" t="n">
        <f aca="false">TS_Setup!$B$15*C75+(1-TS_Setup!$B$15)*(K74+S74)</f>
        <v>92.3273363939765</v>
      </c>
      <c r="L75" s="13" t="n">
        <f aca="false">TS_Setup!$B$15*D75+(1-TS_Setup!$B$15)*(L74+T74)</f>
        <v>-0.766379142353089</v>
      </c>
      <c r="M75" s="13" t="n">
        <f aca="false">TS_Setup!$B$15*E75+(1-TS_Setup!$B$15)*(M74+U74)</f>
        <v>7.58425419422429</v>
      </c>
      <c r="N75" s="13" t="n">
        <f aca="false">TS_Setup!$B$15*F75+(1-TS_Setup!$B$15)*(N74+V74)</f>
        <v>24.4281702731785</v>
      </c>
      <c r="O75" s="13" t="n">
        <f aca="false">TS_Setup!$B$15*G75+(1-TS_Setup!$B$15)*(O74+W74)</f>
        <v>174.418779606589</v>
      </c>
      <c r="P75" s="13" t="n">
        <f aca="false">TS_Setup!$B$15*H75+(1-TS_Setup!$B$15)*(P74+X74)</f>
        <v>314.742455862148</v>
      </c>
      <c r="Q75" s="13" t="n">
        <f aca="false">TS_Setup!$B$15*I75+(1-TS_Setup!$B$15)*(Q74+Y74)</f>
        <v>469.575597227789</v>
      </c>
      <c r="R75" s="16" t="n">
        <f aca="false">TS_Setup!$B$16*(J75-J74)+(1-TS_Setup!$B$16)*R74</f>
        <v>-0.112522805366231</v>
      </c>
      <c r="S75" s="16" t="n">
        <f aca="false">TS_Setup!$B$16*(K75-K74)+(1-TS_Setup!$B$16)*S74</f>
        <v>5.42952067759273</v>
      </c>
      <c r="T75" s="16" t="n">
        <f aca="false">TS_Setup!$B$16*(L75-L74)+(1-TS_Setup!$B$16)*T74</f>
        <v>-0.217312529422464</v>
      </c>
      <c r="U75" s="16" t="n">
        <f aca="false">TS_Setup!$B$16*(M75-M74)+(1-TS_Setup!$B$16)*U74</f>
        <v>0.475746426719072</v>
      </c>
      <c r="V75" s="16" t="n">
        <f aca="false">TS_Setup!$B$16*(N75-N74)+(1-TS_Setup!$B$16)*V74</f>
        <v>1.80837960574173</v>
      </c>
      <c r="W75" s="16" t="n">
        <f aca="false">TS_Setup!$B$16*(O75-O74)+(1-TS_Setup!$B$16)*W74</f>
        <v>8.82240368381219</v>
      </c>
      <c r="X75" s="16" t="n">
        <f aca="false">TS_Setup!$B$16*(P75-P74)+(1-TS_Setup!$B$16)*X74</f>
        <v>9.06859278242439</v>
      </c>
      <c r="Y75" s="16" t="n">
        <f aca="false">TS_Setup!$B$16*(Q75-Q74)+(1-TS_Setup!$B$16)*Y74</f>
        <v>15.9028965575182</v>
      </c>
    </row>
    <row r="76" customFormat="false" ht="15" hidden="false" customHeight="false" outlineLevel="0" collapsed="false">
      <c r="A76" s="11" t="n">
        <f aca="false">Daily!A75</f>
        <v>43957</v>
      </c>
      <c r="B76" s="13" t="n">
        <f aca="false">SUMIFS(Data!$B$2:$B$2797,Data!$A$2:$A$2797,$A76,Data!$F$2:$F$2797,B$5)</f>
        <v>5</v>
      </c>
      <c r="C76" s="13" t="n">
        <f aca="false">SUMIFS(Data!$B$2:$B$2797,Data!$A$2:$A$2797,$A76,Data!$F$2:$F$2797,C$5)</f>
        <v>168</v>
      </c>
      <c r="D76" s="13" t="n">
        <f aca="false">SUMIFS(Data!$B$2:$B$2797,Data!$A$2:$A$2797,$A76,Data!$F$2:$F$2797,D$5)</f>
        <v>0</v>
      </c>
      <c r="E76" s="13" t="n">
        <f aca="false">SUMIFS(Data!$B$2:$B$2797,Data!$A$2:$A$2797,$A76,Data!$F$2:$F$2797,E$5)</f>
        <v>2</v>
      </c>
      <c r="F76" s="13" t="n">
        <f aca="false">SUMIFS(Data!$B$2:$B$2797,Data!$A$2:$A$2797,$A76,Data!$F$2:$F$2797,F$5)</f>
        <v>21</v>
      </c>
      <c r="G76" s="13" t="n">
        <f aca="false">SUMIFS(Data!$B$2:$B$2797,Data!$A$2:$A$2797,$A76,Data!$F$2:$F$2797,G$5)</f>
        <v>213</v>
      </c>
      <c r="H76" s="13" t="n">
        <f aca="false">SUMIFS(Data!$B$2:$B$2797,Data!$A$2:$A$2797,$A76,Data!$F$2:$F$2797,H$5)</f>
        <v>944</v>
      </c>
      <c r="I76" s="13" t="n">
        <f aca="false">SUMIFS(Data!$B$2:$B$2797,Data!$A$2:$A$2797,$A76,Data!$F$2:$F$2797,I$5)</f>
        <v>451</v>
      </c>
      <c r="J76" s="13" t="n">
        <f aca="false">TS_Setup!$B$15*B76+(1-TS_Setup!$B$15)*(J75+R75)</f>
        <v>1.07991610729642</v>
      </c>
      <c r="K76" s="13" t="n">
        <f aca="false">TS_Setup!$B$15*C76+(1-TS_Setup!$B$15)*(K75+S75)</f>
        <v>104.148983078056</v>
      </c>
      <c r="L76" s="13" t="n">
        <f aca="false">TS_Setup!$B$15*D76+(1-TS_Setup!$B$15)*(L75+T75)</f>
        <v>-0.894175729643978</v>
      </c>
      <c r="M76" s="13" t="n">
        <f aca="false">TS_Setup!$B$15*E76+(1-TS_Setup!$B$15)*(M75+U75)</f>
        <v>7.50854056443751</v>
      </c>
      <c r="N76" s="13" t="n">
        <f aca="false">TS_Setup!$B$15*F76+(1-TS_Setup!$B$15)*(N75+V75)</f>
        <v>25.7600238399384</v>
      </c>
      <c r="O76" s="13" t="n">
        <f aca="false">TS_Setup!$B$15*G76+(1-TS_Setup!$B$15)*(O75+W75)</f>
        <v>185.949235610975</v>
      </c>
      <c r="P76" s="13" t="n">
        <f aca="false">TS_Setup!$B$15*H76+(1-TS_Setup!$B$15)*(P75+X75)</f>
        <v>380.248243217916</v>
      </c>
      <c r="Q76" s="13" t="n">
        <f aca="false">TS_Setup!$B$15*I76+(1-TS_Setup!$B$15)*(Q75+Y75)</f>
        <v>482.340950850845</v>
      </c>
      <c r="R76" s="16" t="n">
        <f aca="false">TS_Setup!$B$16*(J76-J75)+(1-TS_Setup!$B$16)*R75</f>
        <v>-0.0371743941744628</v>
      </c>
      <c r="S76" s="16" t="n">
        <f aca="false">TS_Setup!$B$16*(K76-K75)+(1-TS_Setup!$B$16)*S75</f>
        <v>6.65680887083827</v>
      </c>
      <c r="T76" s="16" t="n">
        <f aca="false">TS_Setup!$B$16*(L76-L75)+(1-TS_Setup!$B$16)*T75</f>
        <v>-0.200125468533202</v>
      </c>
      <c r="U76" s="16" t="n">
        <f aca="false">TS_Setup!$B$16*(M76-M75)+(1-TS_Setup!$B$16)*U75</f>
        <v>0.369866095869949</v>
      </c>
      <c r="V76" s="16" t="n">
        <f aca="false">TS_Setup!$B$16*(N76-N75)+(1-TS_Setup!$B$16)*V75</f>
        <v>1.71688660625724</v>
      </c>
      <c r="W76" s="16" t="n">
        <f aca="false">TS_Setup!$B$16*(O76-O75)+(1-TS_Setup!$B$16)*W75</f>
        <v>9.34234972936231</v>
      </c>
      <c r="X76" s="16" t="n">
        <f aca="false">TS_Setup!$B$16*(P76-P75)+(1-TS_Setup!$B$16)*X75</f>
        <v>19.9045341405064</v>
      </c>
      <c r="Y76" s="16" t="n">
        <f aca="false">TS_Setup!$B$16*(Q76-Q75)+(1-TS_Setup!$B$16)*Y75</f>
        <v>15.3004883141013</v>
      </c>
    </row>
    <row r="77" customFormat="false" ht="15" hidden="false" customHeight="false" outlineLevel="0" collapsed="false">
      <c r="A77" s="11" t="n">
        <f aca="false">Daily!A76</f>
        <v>43958</v>
      </c>
      <c r="B77" s="13" t="n">
        <f aca="false">SUMIFS(Data!$B$2:$B$2797,Data!$A$2:$A$2797,$A77,Data!$F$2:$F$2797,B$5)</f>
        <v>0</v>
      </c>
      <c r="C77" s="13" t="n">
        <f aca="false">SUMIFS(Data!$B$2:$B$2797,Data!$A$2:$A$2797,$A77,Data!$F$2:$F$2797,C$5)</f>
        <v>0</v>
      </c>
      <c r="D77" s="13" t="n">
        <f aca="false">SUMIFS(Data!$B$2:$B$2797,Data!$A$2:$A$2797,$A77,Data!$F$2:$F$2797,D$5)</f>
        <v>0</v>
      </c>
      <c r="E77" s="13" t="n">
        <f aca="false">SUMIFS(Data!$B$2:$B$2797,Data!$A$2:$A$2797,$A77,Data!$F$2:$F$2797,E$5)</f>
        <v>12</v>
      </c>
      <c r="F77" s="13" t="n">
        <f aca="false">SUMIFS(Data!$B$2:$B$2797,Data!$A$2:$A$2797,$A77,Data!$F$2:$F$2797,F$5)</f>
        <v>36</v>
      </c>
      <c r="G77" s="13" t="n">
        <f aca="false">SUMIFS(Data!$B$2:$B$2797,Data!$A$2:$A$2797,$A77,Data!$F$2:$F$2797,G$5)</f>
        <v>244</v>
      </c>
      <c r="H77" s="13" t="n">
        <f aca="false">SUMIFS(Data!$B$2:$B$2797,Data!$A$2:$A$2797,$A77,Data!$F$2:$F$2797,H$5)</f>
        <v>118</v>
      </c>
      <c r="I77" s="13" t="n">
        <f aca="false">SUMIFS(Data!$B$2:$B$2797,Data!$A$2:$A$2797,$A77,Data!$F$2:$F$2797,I$5)</f>
        <v>453</v>
      </c>
      <c r="J77" s="13" t="n">
        <f aca="false">TS_Setup!$B$15*B77+(1-TS_Setup!$B$15)*(J76+R76)</f>
        <v>0.947852217227855</v>
      </c>
      <c r="K77" s="13" t="n">
        <f aca="false">TS_Setup!$B$15*C77+(1-TS_Setup!$B$15)*(K76+S76)</f>
        <v>100.722464881545</v>
      </c>
      <c r="L77" s="13" t="n">
        <f aca="false">TS_Setup!$B$15*D77+(1-TS_Setup!$B$15)*(L76+T76)</f>
        <v>-0.994719789143057</v>
      </c>
      <c r="M77" s="13" t="n">
        <f aca="false">TS_Setup!$B$15*E77+(1-TS_Setup!$B$15)*(M76+U76)</f>
        <v>8.25347165421948</v>
      </c>
      <c r="N77" s="13" t="n">
        <f aca="false">TS_Setup!$B$15*F77+(1-TS_Setup!$B$15)*(N76+V76)</f>
        <v>28.2525115955919</v>
      </c>
      <c r="O77" s="13" t="n">
        <f aca="false">TS_Setup!$B$15*G77+(1-TS_Setup!$B$15)*(O76+W76)</f>
        <v>199.724051074366</v>
      </c>
      <c r="P77" s="13" t="n">
        <f aca="false">TS_Setup!$B$15*H77+(1-TS_Setup!$B$15)*(P76+X76)</f>
        <v>374.476874618806</v>
      </c>
      <c r="Q77" s="13" t="n">
        <f aca="false">TS_Setup!$B$15*I77+(1-TS_Setup!$B$15)*(Q76+Y76)</f>
        <v>493.579068200936</v>
      </c>
      <c r="R77" s="16" t="n">
        <f aca="false">TS_Setup!$B$16*(J77-J76)+(1-TS_Setup!$B$16)*R76</f>
        <v>-0.0553931773861296</v>
      </c>
      <c r="S77" s="16" t="n">
        <f aca="false">TS_Setup!$B$16*(K77-K76)+(1-TS_Setup!$B$16)*S76</f>
        <v>4.72081007390718</v>
      </c>
      <c r="T77" s="16" t="n">
        <f aca="false">TS_Setup!$B$16*(L77-L76)+(1-TS_Setup!$B$16)*T76</f>
        <v>-0.18100583799865</v>
      </c>
      <c r="U77" s="16" t="n">
        <f aca="false">TS_Setup!$B$16*(M77-M76)+(1-TS_Setup!$B$16)*U76</f>
        <v>0.441878574701057</v>
      </c>
      <c r="V77" s="16" t="n">
        <f aca="false">TS_Setup!$B$16*(N77-N76)+(1-TS_Setup!$B$16)*V76</f>
        <v>1.86580202694131</v>
      </c>
      <c r="W77" s="16" t="n">
        <f aca="false">TS_Setup!$B$16*(O77-O76)+(1-TS_Setup!$B$16)*W76</f>
        <v>10.1933831502959</v>
      </c>
      <c r="X77" s="16" t="n">
        <f aca="false">TS_Setup!$B$16*(P77-P76)+(1-TS_Setup!$B$16)*X76</f>
        <v>14.9747608145001</v>
      </c>
      <c r="Y77" s="16" t="n">
        <f aca="false">TS_Setup!$B$16*(Q77-Q76)+(1-TS_Setup!$B$16)*Y76</f>
        <v>14.5205130890114</v>
      </c>
    </row>
    <row r="78" customFormat="false" ht="15" hidden="false" customHeight="false" outlineLevel="0" collapsed="false">
      <c r="A78" s="11" t="n">
        <f aca="false">Daily!A77</f>
        <v>43959</v>
      </c>
      <c r="B78" s="13" t="n">
        <f aca="false">SUMIFS(Data!$B$2:$B$2797,Data!$A$2:$A$2797,$A78,Data!$F$2:$F$2797,B$5)</f>
        <v>2</v>
      </c>
      <c r="C78" s="13" t="n">
        <f aca="false">SUMIFS(Data!$B$2:$B$2797,Data!$A$2:$A$2797,$A78,Data!$F$2:$F$2797,C$5)</f>
        <v>62</v>
      </c>
      <c r="D78" s="13" t="n">
        <f aca="false">SUMIFS(Data!$B$2:$B$2797,Data!$A$2:$A$2797,$A78,Data!$F$2:$F$2797,D$5)</f>
        <v>0</v>
      </c>
      <c r="E78" s="13" t="n">
        <f aca="false">SUMIFS(Data!$B$2:$B$2797,Data!$A$2:$A$2797,$A78,Data!$F$2:$F$2797,E$5)</f>
        <v>0</v>
      </c>
      <c r="F78" s="13" t="n">
        <f aca="false">SUMIFS(Data!$B$2:$B$2797,Data!$A$2:$A$2797,$A78,Data!$F$2:$F$2797,F$5)</f>
        <v>37</v>
      </c>
      <c r="G78" s="13" t="n">
        <f aca="false">SUMIFS(Data!$B$2:$B$2797,Data!$A$2:$A$2797,$A78,Data!$F$2:$F$2797,G$5)</f>
        <v>292</v>
      </c>
      <c r="H78" s="13" t="n">
        <f aca="false">SUMIFS(Data!$B$2:$B$2797,Data!$A$2:$A$2797,$A78,Data!$F$2:$F$2797,H$5)</f>
        <v>838</v>
      </c>
      <c r="I78" s="13" t="n">
        <f aca="false">SUMIFS(Data!$B$2:$B$2797,Data!$A$2:$A$2797,$A78,Data!$F$2:$F$2797,I$5)</f>
        <v>598</v>
      </c>
      <c r="J78" s="13" t="n">
        <f aca="false">TS_Setup!$B$15*B78+(1-TS_Setup!$B$15)*(J77+R77)</f>
        <v>0.993245267216128</v>
      </c>
      <c r="K78" s="13" t="n">
        <f aca="false">TS_Setup!$B$15*C78+(1-TS_Setup!$B$15)*(K77+S77)</f>
        <v>101.489936934506</v>
      </c>
      <c r="L78" s="13" t="n">
        <f aca="false">TS_Setup!$B$15*D78+(1-TS_Setup!$B$15)*(L77+T77)</f>
        <v>-1.06873459507181</v>
      </c>
      <c r="M78" s="13" t="n">
        <f aca="false">TS_Setup!$B$15*E78+(1-TS_Setup!$B$15)*(M77+U77)</f>
        <v>7.90407335808877</v>
      </c>
      <c r="N78" s="13" t="n">
        <f aca="false">TS_Setup!$B$15*F78+(1-TS_Setup!$B$15)*(N77+V77)</f>
        <v>30.7445470828827</v>
      </c>
      <c r="O78" s="13" t="n">
        <f aca="false">TS_Setup!$B$15*G78+(1-TS_Setup!$B$15)*(O77+W77)</f>
        <v>217.386947710218</v>
      </c>
      <c r="P78" s="13" t="n">
        <f aca="false">TS_Setup!$B$15*H78+(1-TS_Setup!$B$15)*(P77+X77)</f>
        <v>430.269536608876</v>
      </c>
      <c r="Q78" s="13" t="n">
        <f aca="false">TS_Setup!$B$15*I78+(1-TS_Setup!$B$15)*(Q77+Y77)</f>
        <v>516.280519392562</v>
      </c>
      <c r="R78" s="16" t="n">
        <f aca="false">TS_Setup!$B$16*(J78-J77)+(1-TS_Setup!$B$16)*R77</f>
        <v>-0.0360422217302442</v>
      </c>
      <c r="S78" s="16" t="n">
        <f aca="false">TS_Setup!$B$16*(K78-K77)+(1-TS_Setup!$B$16)*S77</f>
        <v>3.96176917388551</v>
      </c>
      <c r="T78" s="16" t="n">
        <f aca="false">TS_Setup!$B$16*(L78-L77)+(1-TS_Setup!$B$16)*T77</f>
        <v>-0.16046355984123</v>
      </c>
      <c r="U78" s="16" t="n">
        <f aca="false">TS_Setup!$B$16*(M78-M77)+(1-TS_Setup!$B$16)*U77</f>
        <v>0.289953415501358</v>
      </c>
      <c r="V78" s="16" t="n">
        <f aca="false">TS_Setup!$B$16*(N78-N77)+(1-TS_Setup!$B$16)*V77</f>
        <v>1.98603885132841</v>
      </c>
      <c r="W78" s="16" t="n">
        <f aca="false">TS_Setup!$B$16*(O78-O77)+(1-TS_Setup!$B$16)*W77</f>
        <v>11.6275297395226</v>
      </c>
      <c r="X78" s="16" t="n">
        <f aca="false">TS_Setup!$B$16*(P78-P77)+(1-TS_Setup!$B$16)*X77</f>
        <v>22.8117978402093</v>
      </c>
      <c r="Y78" s="16" t="n">
        <f aca="false">TS_Setup!$B$16*(Q78-Q77)+(1-TS_Setup!$B$16)*Y77</f>
        <v>16.0912532047134</v>
      </c>
    </row>
    <row r="79" customFormat="false" ht="15" hidden="false" customHeight="false" outlineLevel="0" collapsed="false">
      <c r="A79" s="11" t="n">
        <f aca="false">Daily!A78</f>
        <v>43960</v>
      </c>
      <c r="B79" s="13" t="n">
        <f aca="false">SUMIFS(Data!$B$2:$B$2797,Data!$A$2:$A$2797,$A79,Data!$F$2:$F$2797,B$5)</f>
        <v>1</v>
      </c>
      <c r="C79" s="13" t="n">
        <f aca="false">SUMIFS(Data!$B$2:$B$2797,Data!$A$2:$A$2797,$A79,Data!$F$2:$F$2797,C$5)</f>
        <v>151</v>
      </c>
      <c r="D79" s="13" t="n">
        <f aca="false">SUMIFS(Data!$B$2:$B$2797,Data!$A$2:$A$2797,$A79,Data!$F$2:$F$2797,D$5)</f>
        <v>0</v>
      </c>
      <c r="E79" s="13" t="n">
        <f aca="false">SUMIFS(Data!$B$2:$B$2797,Data!$A$2:$A$2797,$A79,Data!$F$2:$F$2797,E$5)</f>
        <v>36</v>
      </c>
      <c r="F79" s="13" t="n">
        <f aca="false">SUMIFS(Data!$B$2:$B$2797,Data!$A$2:$A$2797,$A79,Data!$F$2:$F$2797,F$5)</f>
        <v>51</v>
      </c>
      <c r="G79" s="13" t="n">
        <f aca="false">SUMIFS(Data!$B$2:$B$2797,Data!$A$2:$A$2797,$A79,Data!$F$2:$F$2797,G$5)</f>
        <v>175</v>
      </c>
      <c r="H79" s="13" t="n">
        <f aca="false">SUMIFS(Data!$B$2:$B$2797,Data!$A$2:$A$2797,$A79,Data!$F$2:$F$2797,H$5)</f>
        <v>1060</v>
      </c>
      <c r="I79" s="13" t="n">
        <f aca="false">SUMIFS(Data!$B$2:$B$2797,Data!$A$2:$A$2797,$A79,Data!$F$2:$F$2797,I$5)</f>
        <v>1080</v>
      </c>
      <c r="J79" s="13" t="n">
        <f aca="false">TS_Setup!$B$15*B79+(1-TS_Setup!$B$15)*(J78+R78)</f>
        <v>0.961097568346669</v>
      </c>
      <c r="K79" s="13" t="n">
        <f aca="false">TS_Setup!$B$15*C79+(1-TS_Setup!$B$15)*(K78+S78)</f>
        <v>109.596600852528</v>
      </c>
      <c r="L79" s="13" t="n">
        <f aca="false">TS_Setup!$B$15*D79+(1-TS_Setup!$B$15)*(L78+T78)</f>
        <v>-1.11734112281596</v>
      </c>
      <c r="M79" s="13" t="n">
        <f aca="false">TS_Setup!$B$15*E79+(1-TS_Setup!$B$15)*(M78+U78)</f>
        <v>10.7243703371934</v>
      </c>
      <c r="N79" s="13" t="n">
        <f aca="false">TS_Setup!$B$15*F79+(1-TS_Setup!$B$15)*(N78+V78)</f>
        <v>34.3931026141979</v>
      </c>
      <c r="O79" s="13" t="n">
        <f aca="false">TS_Setup!$B$15*G79+(1-TS_Setup!$B$15)*(O78+W78)</f>
        <v>224.099160001814</v>
      </c>
      <c r="P79" s="13" t="n">
        <f aca="false">TS_Setup!$B$15*H79+(1-TS_Setup!$B$15)*(P78+X78)</f>
        <v>508.310933014218</v>
      </c>
      <c r="Q79" s="13" t="n">
        <f aca="false">TS_Setup!$B$15*I79+(1-TS_Setup!$B$15)*(Q78+Y78)</f>
        <v>582.205941290923</v>
      </c>
      <c r="R79" s="16" t="n">
        <f aca="false">TS_Setup!$B$16*(J79-J78)+(1-TS_Setup!$B$16)*R78</f>
        <v>-0.0352944733409735</v>
      </c>
      <c r="S79" s="16" t="n">
        <f aca="false">TS_Setup!$B$16*(K79-K78)+(1-TS_Setup!$B$16)*S78</f>
        <v>4.75758896475969</v>
      </c>
      <c r="T79" s="16" t="n">
        <f aca="false">TS_Setup!$B$16*(L79-L78)+(1-TS_Setup!$B$16)*T78</f>
        <v>-0.13898700967859</v>
      </c>
      <c r="U79" s="16" t="n">
        <f aca="false">TS_Setup!$B$16*(M79-M78)+(1-TS_Setup!$B$16)*U78</f>
        <v>0.775779379713191</v>
      </c>
      <c r="V79" s="16" t="n">
        <f aca="false">TS_Setup!$B$16*(N79-N78)+(1-TS_Setup!$B$16)*V78</f>
        <v>2.30524205388587</v>
      </c>
      <c r="W79" s="16" t="n">
        <f aca="false">TS_Setup!$B$16*(O79-O78)+(1-TS_Setup!$B$16)*W78</f>
        <v>10.6837887895208</v>
      </c>
      <c r="X79" s="16" t="n">
        <f aca="false">TS_Setup!$B$16*(P79-P78)+(1-TS_Setup!$B$16)*X78</f>
        <v>33.4158807647149</v>
      </c>
      <c r="Y79" s="16" t="n">
        <f aca="false">TS_Setup!$B$16*(Q79-Q78)+(1-TS_Setup!$B$16)*Y78</f>
        <v>25.6594135938938</v>
      </c>
    </row>
    <row r="80" customFormat="false" ht="15" hidden="false" customHeight="false" outlineLevel="0" collapsed="false">
      <c r="A80" s="11" t="n">
        <f aca="false">Daily!A79</f>
        <v>43961</v>
      </c>
      <c r="B80" s="13" t="n">
        <f aca="false">SUMIFS(Data!$B$2:$B$2797,Data!$A$2:$A$2797,$A80,Data!$F$2:$F$2797,B$5)</f>
        <v>7</v>
      </c>
      <c r="C80" s="13" t="n">
        <f aca="false">SUMIFS(Data!$B$2:$B$2797,Data!$A$2:$A$2797,$A80,Data!$F$2:$F$2797,C$5)</f>
        <v>59</v>
      </c>
      <c r="D80" s="13" t="n">
        <f aca="false">SUMIFS(Data!$B$2:$B$2797,Data!$A$2:$A$2797,$A80,Data!$F$2:$F$2797,D$5)</f>
        <v>0</v>
      </c>
      <c r="E80" s="13" t="n">
        <f aca="false">SUMIFS(Data!$B$2:$B$2797,Data!$A$2:$A$2797,$A80,Data!$F$2:$F$2797,E$5)</f>
        <v>20</v>
      </c>
      <c r="F80" s="13" t="n">
        <f aca="false">SUMIFS(Data!$B$2:$B$2797,Data!$A$2:$A$2797,$A80,Data!$F$2:$F$2797,F$5)</f>
        <v>32</v>
      </c>
      <c r="G80" s="13" t="n">
        <f aca="false">SUMIFS(Data!$B$2:$B$2797,Data!$A$2:$A$2797,$A80,Data!$F$2:$F$2797,G$5)</f>
        <v>161</v>
      </c>
      <c r="H80" s="13" t="n">
        <f aca="false">SUMIFS(Data!$B$2:$B$2797,Data!$A$2:$A$2797,$A80,Data!$F$2:$F$2797,H$5)</f>
        <v>475</v>
      </c>
      <c r="I80" s="13" t="n">
        <f aca="false">SUMIFS(Data!$B$2:$B$2797,Data!$A$2:$A$2797,$A80,Data!$F$2:$F$2797,I$5)</f>
        <v>709</v>
      </c>
      <c r="J80" s="13" t="n">
        <f aca="false">TS_Setup!$B$15*B80+(1-TS_Setup!$B$15)*(J79+R79)</f>
        <v>1.47855501336018</v>
      </c>
      <c r="K80" s="13" t="n">
        <f aca="false">TS_Setup!$B$15*C80+(1-TS_Setup!$B$15)*(K79+S79)</f>
        <v>109.316958543915</v>
      </c>
      <c r="L80" s="13" t="n">
        <f aca="false">TS_Setup!$B$15*D80+(1-TS_Setup!$B$15)*(L79+T79)</f>
        <v>-1.14200227243754</v>
      </c>
      <c r="M80" s="13" t="n">
        <f aca="false">TS_Setup!$B$15*E80+(1-TS_Setup!$B$15)*(M79+U79)</f>
        <v>12.2736360926681</v>
      </c>
      <c r="N80" s="13" t="n">
        <f aca="false">TS_Setup!$B$15*F80+(1-TS_Setup!$B$15)*(N79+V79)</f>
        <v>36.2707953032881</v>
      </c>
      <c r="O80" s="13" t="n">
        <f aca="false">TS_Setup!$B$15*G80+(1-TS_Setup!$B$15)*(O79+W79)</f>
        <v>228.068700451324</v>
      </c>
      <c r="P80" s="13" t="n">
        <f aca="false">TS_Setup!$B$15*H80+(1-TS_Setup!$B$15)*(P79+X79)</f>
        <v>535.65467372505</v>
      </c>
      <c r="Q80" s="13" t="n">
        <f aca="false">TS_Setup!$B$15*I80+(1-TS_Setup!$B$15)*(Q79+Y79)</f>
        <v>617.068607590299</v>
      </c>
      <c r="R80" s="16" t="n">
        <f aca="false">TS_Setup!$B$16*(J80-J79)+(1-TS_Setup!$B$16)*R79</f>
        <v>0.070833894983087</v>
      </c>
      <c r="S80" s="16" t="n">
        <f aca="false">TS_Setup!$B$16*(K80-K79)+(1-TS_Setup!$B$16)*S79</f>
        <v>3.79044056027204</v>
      </c>
      <c r="T80" s="16" t="n">
        <f aca="false">TS_Setup!$B$16*(L80-L79)+(1-TS_Setup!$B$16)*T79</f>
        <v>-0.117036444547645</v>
      </c>
      <c r="U80" s="16" t="n">
        <f aca="false">TS_Setup!$B$16*(M80-M79)+(1-TS_Setup!$B$16)*U79</f>
        <v>0.924288763859399</v>
      </c>
      <c r="V80" s="16" t="n">
        <f aca="false">TS_Setup!$B$16*(N80-N79)+(1-TS_Setup!$B$16)*V79</f>
        <v>2.22315257584511</v>
      </c>
      <c r="W80" s="16" t="n">
        <f aca="false">TS_Setup!$B$16*(O80-O79)+(1-TS_Setup!$B$16)*W79</f>
        <v>9.39465310823858</v>
      </c>
      <c r="X80" s="16" t="n">
        <f aca="false">TS_Setup!$B$16*(P80-P79)+(1-TS_Setup!$B$16)*X79</f>
        <v>32.2500298743694</v>
      </c>
      <c r="Y80" s="16" t="n">
        <f aca="false">TS_Setup!$B$16*(Q80-Q79)+(1-TS_Setup!$B$16)*Y79</f>
        <v>27.4264381133463</v>
      </c>
    </row>
    <row r="81" customFormat="false" ht="15" hidden="false" customHeight="false" outlineLevel="0" collapsed="false">
      <c r="A81" s="11" t="n">
        <f aca="false">Daily!A80</f>
        <v>43962</v>
      </c>
      <c r="B81" s="13" t="n">
        <f aca="false">SUMIFS(Data!$B$2:$B$2797,Data!$A$2:$A$2797,$A81,Data!$F$2:$F$2797,B$5)</f>
        <v>0</v>
      </c>
      <c r="C81" s="13" t="n">
        <f aca="false">SUMIFS(Data!$B$2:$B$2797,Data!$A$2:$A$2797,$A81,Data!$F$2:$F$2797,C$5)</f>
        <v>44</v>
      </c>
      <c r="D81" s="13" t="n">
        <f aca="false">SUMIFS(Data!$B$2:$B$2797,Data!$A$2:$A$2797,$A81,Data!$F$2:$F$2797,D$5)</f>
        <v>0</v>
      </c>
      <c r="E81" s="13" t="n">
        <f aca="false">SUMIFS(Data!$B$2:$B$2797,Data!$A$2:$A$2797,$A81,Data!$F$2:$F$2797,E$5)</f>
        <v>15</v>
      </c>
      <c r="F81" s="13" t="n">
        <f aca="false">SUMIFS(Data!$B$2:$B$2797,Data!$A$2:$A$2797,$A81,Data!$F$2:$F$2797,F$5)</f>
        <v>38</v>
      </c>
      <c r="G81" s="13" t="n">
        <f aca="false">SUMIFS(Data!$B$2:$B$2797,Data!$A$2:$A$2797,$A81,Data!$F$2:$F$2797,G$5)</f>
        <v>144</v>
      </c>
      <c r="H81" s="13" t="n">
        <f aca="false">SUMIFS(Data!$B$2:$B$2797,Data!$A$2:$A$2797,$A81,Data!$F$2:$F$2797,H$5)</f>
        <v>301</v>
      </c>
      <c r="I81" s="13" t="n">
        <f aca="false">SUMIFS(Data!$B$2:$B$2797,Data!$A$2:$A$2797,$A81,Data!$F$2:$F$2797,I$5)</f>
        <v>537</v>
      </c>
      <c r="J81" s="13" t="n">
        <f aca="false">TS_Setup!$B$15*B81+(1-TS_Setup!$B$15)*(J80+R80)</f>
        <v>1.40839451768403</v>
      </c>
      <c r="K81" s="13" t="n">
        <f aca="false">TS_Setup!$B$15*C81+(1-TS_Setup!$B$15)*(K80+S80)</f>
        <v>106.818625785706</v>
      </c>
      <c r="L81" s="13" t="n">
        <f aca="false">TS_Setup!$B$15*D81+(1-TS_Setup!$B$15)*(L80+T80)</f>
        <v>-1.14446619373954</v>
      </c>
      <c r="M81" s="13" t="n">
        <f aca="false">TS_Setup!$B$15*E81+(1-TS_Setup!$B$15)*(M80+U80)</f>
        <v>13.3619136945835</v>
      </c>
      <c r="N81" s="13" t="n">
        <f aca="false">TS_Setup!$B$15*F81+(1-TS_Setup!$B$15)*(N80+V80)</f>
        <v>38.4489986221321</v>
      </c>
      <c r="O81" s="13" t="n">
        <f aca="false">TS_Setup!$B$15*G81+(1-TS_Setup!$B$15)*(O80+W80)</f>
        <v>228.958188385642</v>
      </c>
      <c r="P81" s="13" t="n">
        <f aca="false">TS_Setup!$B$15*H81+(1-TS_Setup!$B$15)*(P80+X80)</f>
        <v>543.616375571872</v>
      </c>
      <c r="Q81" s="13" t="n">
        <f aca="false">TS_Setup!$B$15*I81+(1-TS_Setup!$B$15)*(Q80+Y80)</f>
        <v>634.712996544614</v>
      </c>
      <c r="R81" s="16" t="n">
        <f aca="false">TS_Setup!$B$16*(J81-J80)+(1-TS_Setup!$B$16)*R80</f>
        <v>0.0437629719765134</v>
      </c>
      <c r="S81" s="16" t="n">
        <f aca="false">TS_Setup!$B$16*(K81-K80)+(1-TS_Setup!$B$16)*S80</f>
        <v>2.58299608312369</v>
      </c>
      <c r="T81" s="16" t="n">
        <f aca="false">TS_Setup!$B$16*(L81-L80)+(1-TS_Setup!$B$16)*T80</f>
        <v>-0.0950385200844799</v>
      </c>
      <c r="U81" s="16" t="n">
        <f aca="false">TS_Setup!$B$16*(M81-M80)+(1-TS_Setup!$B$16)*U80</f>
        <v>0.95577462076615</v>
      </c>
      <c r="V81" s="16" t="n">
        <f aca="false">TS_Setup!$B$16*(N81-N80)+(1-TS_Setup!$B$16)*V80</f>
        <v>2.2145223185009</v>
      </c>
      <c r="W81" s="16" t="n">
        <f aca="false">TS_Setup!$B$16*(O81-O80)+(1-TS_Setup!$B$16)*W80</f>
        <v>7.76166139484591</v>
      </c>
      <c r="X81" s="16" t="n">
        <f aca="false">TS_Setup!$B$16*(P81-P80)+(1-TS_Setup!$B$16)*X80</f>
        <v>27.5866708930803</v>
      </c>
      <c r="Y81" s="16" t="n">
        <f aca="false">TS_Setup!$B$16*(Q81-Q80)+(1-TS_Setup!$B$16)*Y80</f>
        <v>25.5482846748122</v>
      </c>
    </row>
    <row r="82" customFormat="false" ht="15" hidden="false" customHeight="false" outlineLevel="0" collapsed="false">
      <c r="A82" s="11" t="n">
        <f aca="false">Daily!A81</f>
        <v>43963</v>
      </c>
      <c r="B82" s="13" t="n">
        <f aca="false">SUMIFS(Data!$B$2:$B$2797,Data!$A$2:$A$2797,$A82,Data!$F$2:$F$2797,B$5)</f>
        <v>2</v>
      </c>
      <c r="C82" s="13" t="n">
        <f aca="false">SUMIFS(Data!$B$2:$B$2797,Data!$A$2:$A$2797,$A82,Data!$F$2:$F$2797,C$5)</f>
        <v>97</v>
      </c>
      <c r="D82" s="13" t="n">
        <f aca="false">SUMIFS(Data!$B$2:$B$2797,Data!$A$2:$A$2797,$A82,Data!$F$2:$F$2797,D$5)</f>
        <v>0</v>
      </c>
      <c r="E82" s="13" t="n">
        <f aca="false">SUMIFS(Data!$B$2:$B$2797,Data!$A$2:$A$2797,$A82,Data!$F$2:$F$2797,E$5)</f>
        <v>23</v>
      </c>
      <c r="F82" s="13" t="n">
        <f aca="false">SUMIFS(Data!$B$2:$B$2797,Data!$A$2:$A$2797,$A82,Data!$F$2:$F$2797,F$5)</f>
        <v>37</v>
      </c>
      <c r="G82" s="13" t="n">
        <f aca="false">SUMIFS(Data!$B$2:$B$2797,Data!$A$2:$A$2797,$A82,Data!$F$2:$F$2797,G$5)</f>
        <v>146</v>
      </c>
      <c r="H82" s="13" t="n">
        <f aca="false">SUMIFS(Data!$B$2:$B$2797,Data!$A$2:$A$2797,$A82,Data!$F$2:$F$2797,H$5)</f>
        <v>1356</v>
      </c>
      <c r="I82" s="13" t="n">
        <f aca="false">SUMIFS(Data!$B$2:$B$2797,Data!$A$2:$A$2797,$A82,Data!$F$2:$F$2797,I$5)</f>
        <v>593</v>
      </c>
      <c r="J82" s="13" t="n">
        <f aca="false">TS_Setup!$B$15*B82+(1-TS_Setup!$B$15)*(J81+R81)</f>
        <v>1.50201115810143</v>
      </c>
      <c r="K82" s="13" t="n">
        <f aca="false">TS_Setup!$B$15*C82+(1-TS_Setup!$B$15)*(K81+S81)</f>
        <v>108.273074278766</v>
      </c>
      <c r="L82" s="13" t="n">
        <f aca="false">TS_Setup!$B$15*D82+(1-TS_Setup!$B$15)*(L81+T81)</f>
        <v>-1.12670978486603</v>
      </c>
      <c r="M82" s="13" t="n">
        <f aca="false">TS_Setup!$B$15*E82+(1-TS_Setup!$B$15)*(M81+U81)</f>
        <v>15.1077786786528</v>
      </c>
      <c r="N82" s="13" t="n">
        <f aca="false">TS_Setup!$B$15*F82+(1-TS_Setup!$B$15)*(N81+V81)</f>
        <v>40.3301405350354</v>
      </c>
      <c r="O82" s="13" t="n">
        <f aca="false">TS_Setup!$B$15*G82+(1-TS_Setup!$B$15)*(O81+W81)</f>
        <v>228.464343450463</v>
      </c>
      <c r="P82" s="13" t="n">
        <f aca="false">TS_Setup!$B$15*H82+(1-TS_Setup!$B$15)*(P81+X81)</f>
        <v>642.619569236642</v>
      </c>
      <c r="Q82" s="13" t="n">
        <f aca="false">TS_Setup!$B$15*I82+(1-TS_Setup!$B$15)*(Q81+Y81)</f>
        <v>654.140504628458</v>
      </c>
      <c r="R82" s="16" t="n">
        <f aca="false">TS_Setup!$B$16*(J82-J81)+(1-TS_Setup!$B$16)*R81</f>
        <v>0.0533348763171645</v>
      </c>
      <c r="S82" s="16" t="n">
        <f aca="false">TS_Setup!$B$16*(K82-K81)+(1-TS_Setup!$B$16)*S81</f>
        <v>2.3663149458315</v>
      </c>
      <c r="T82" s="16" t="n">
        <f aca="false">TS_Setup!$B$16*(L82-L81)+(1-TS_Setup!$B$16)*T81</f>
        <v>-0.0733818937245468</v>
      </c>
      <c r="U82" s="16" t="n">
        <f aca="false">TS_Setup!$B$16*(M82-M81)+(1-TS_Setup!$B$16)*U81</f>
        <v>1.10747197052036</v>
      </c>
      <c r="V82" s="16" t="n">
        <f aca="false">TS_Setup!$B$16*(N82-N81)+(1-TS_Setup!$B$16)*V81</f>
        <v>2.15051328062616</v>
      </c>
      <c r="W82" s="16" t="n">
        <f aca="false">TS_Setup!$B$16*(O82-O81)+(1-TS_Setup!$B$16)*W81</f>
        <v>6.17660417948122</v>
      </c>
      <c r="X82" s="16" t="n">
        <f aca="false">TS_Setup!$B$16*(P82-P81)+(1-TS_Setup!$B$16)*X81</f>
        <v>41.2986432652447</v>
      </c>
      <c r="Y82" s="16" t="n">
        <f aca="false">TS_Setup!$B$16*(Q82-Q81)+(1-TS_Setup!$B$16)*Y81</f>
        <v>24.3730955693464</v>
      </c>
    </row>
    <row r="83" customFormat="false" ht="15" hidden="false" customHeight="false" outlineLevel="0" collapsed="false">
      <c r="A83" s="11" t="n">
        <f aca="false">Daily!A82</f>
        <v>43964</v>
      </c>
      <c r="B83" s="13" t="n">
        <f aca="false">SUMIFS(Data!$B$2:$B$2797,Data!$A$2:$A$2797,$A83,Data!$F$2:$F$2797,B$5)</f>
        <v>3</v>
      </c>
      <c r="C83" s="13" t="n">
        <f aca="false">SUMIFS(Data!$B$2:$B$2797,Data!$A$2:$A$2797,$A83,Data!$F$2:$F$2797,C$5)</f>
        <v>81</v>
      </c>
      <c r="D83" s="13" t="n">
        <f aca="false">SUMIFS(Data!$B$2:$B$2797,Data!$A$2:$A$2797,$A83,Data!$F$2:$F$2797,D$5)</f>
        <v>0</v>
      </c>
      <c r="E83" s="13" t="n">
        <f aca="false">SUMIFS(Data!$B$2:$B$2797,Data!$A$2:$A$2797,$A83,Data!$F$2:$F$2797,E$5)</f>
        <v>6</v>
      </c>
      <c r="F83" s="13" t="n">
        <f aca="false">SUMIFS(Data!$B$2:$B$2797,Data!$A$2:$A$2797,$A83,Data!$F$2:$F$2797,F$5)</f>
        <v>43</v>
      </c>
      <c r="G83" s="13" t="n">
        <f aca="false">SUMIFS(Data!$B$2:$B$2797,Data!$A$2:$A$2797,$A83,Data!$F$2:$F$2797,G$5)</f>
        <v>231</v>
      </c>
      <c r="H83" s="13" t="n">
        <f aca="false">SUMIFS(Data!$B$2:$B$2797,Data!$A$2:$A$2797,$A83,Data!$F$2:$F$2797,H$5)</f>
        <v>336</v>
      </c>
      <c r="I83" s="13" t="n">
        <f aca="false">SUMIFS(Data!$B$2:$B$2797,Data!$A$2:$A$2797,$A83,Data!$F$2:$F$2797,I$5)</f>
        <v>731</v>
      </c>
      <c r="J83" s="13" t="n">
        <f aca="false">TS_Setup!$B$15*B83+(1-TS_Setup!$B$15)*(J82+R82)</f>
        <v>1.6868095452865</v>
      </c>
      <c r="K83" s="13" t="n">
        <f aca="false">TS_Setup!$B$15*C83+(1-TS_Setup!$B$15)*(K82+S82)</f>
        <v>107.942204805159</v>
      </c>
      <c r="L83" s="13" t="n">
        <f aca="false">TS_Setup!$B$15*D83+(1-TS_Setup!$B$15)*(L82+T82)</f>
        <v>-1.09088333583883</v>
      </c>
      <c r="M83" s="13" t="n">
        <f aca="false">TS_Setup!$B$15*E83+(1-TS_Setup!$B$15)*(M82+U82)</f>
        <v>15.2856628400984</v>
      </c>
      <c r="N83" s="13" t="n">
        <f aca="false">TS_Setup!$B$15*F83+(1-TS_Setup!$B$15)*(N82+V82)</f>
        <v>42.5279143184364</v>
      </c>
      <c r="O83" s="13" t="n">
        <f aca="false">TS_Setup!$B$15*G83+(1-TS_Setup!$B$15)*(O82+W82)</f>
        <v>234.30962139562</v>
      </c>
      <c r="P83" s="13" t="n">
        <f aca="false">TS_Setup!$B$15*H83+(1-TS_Setup!$B$15)*(P82+X82)</f>
        <v>652.257655164215</v>
      </c>
      <c r="Q83" s="13" t="n">
        <f aca="false">TS_Setup!$B$15*I83+(1-TS_Setup!$B$15)*(Q82+Y82)</f>
        <v>683.289862579804</v>
      </c>
      <c r="R83" s="16" t="n">
        <f aca="false">TS_Setup!$B$16*(J83-J82)+(1-TS_Setup!$B$16)*R82</f>
        <v>0.0785758704038028</v>
      </c>
      <c r="S83" s="16" t="n">
        <f aca="false">TS_Setup!$B$16*(K83-K82)+(1-TS_Setup!$B$16)*S82</f>
        <v>1.84845553729934</v>
      </c>
      <c r="T83" s="16" t="n">
        <f aca="false">TS_Setup!$B$16*(L83-L82)+(1-TS_Setup!$B$16)*T82</f>
        <v>-0.0524138919162122</v>
      </c>
      <c r="U83" s="16" t="n">
        <f aca="false">TS_Setup!$B$16*(M83-M82)+(1-TS_Setup!$B$16)*U82</f>
        <v>0.928991111178006</v>
      </c>
      <c r="V83" s="16" t="n">
        <f aca="false">TS_Setup!$B$16*(N83-N82)+(1-TS_Setup!$B$16)*V82</f>
        <v>2.15958729715892</v>
      </c>
      <c r="W83" s="16" t="n">
        <f aca="false">TS_Setup!$B$16*(O83-O82)+(1-TS_Setup!$B$16)*W82</f>
        <v>6.11298954249083</v>
      </c>
      <c r="X83" s="16" t="n">
        <f aca="false">TS_Setup!$B$16*(P83-P82)+(1-TS_Setup!$B$16)*X82</f>
        <v>35.2198162564117</v>
      </c>
      <c r="Y83" s="16" t="n">
        <f aca="false">TS_Setup!$B$16*(Q83-Q82)+(1-TS_Setup!$B$16)*Y82</f>
        <v>25.2901379466904</v>
      </c>
    </row>
    <row r="84" customFormat="false" ht="15" hidden="false" customHeight="false" outlineLevel="0" collapsed="false">
      <c r="A84" s="11" t="n">
        <f aca="false">Daily!A83</f>
        <v>43965</v>
      </c>
      <c r="B84" s="13" t="n">
        <f aca="false">SUMIFS(Data!$B$2:$B$2797,Data!$A$2:$A$2797,$A84,Data!$F$2:$F$2797,B$5)</f>
        <v>14</v>
      </c>
      <c r="C84" s="13" t="n">
        <f aca="false">SUMIFS(Data!$B$2:$B$2797,Data!$A$2:$A$2797,$A84,Data!$F$2:$F$2797,C$5)</f>
        <v>71</v>
      </c>
      <c r="D84" s="13" t="n">
        <f aca="false">SUMIFS(Data!$B$2:$B$2797,Data!$A$2:$A$2797,$A84,Data!$F$2:$F$2797,D$5)</f>
        <v>0</v>
      </c>
      <c r="E84" s="13" t="n">
        <f aca="false">SUMIFS(Data!$B$2:$B$2797,Data!$A$2:$A$2797,$A84,Data!$F$2:$F$2797,E$5)</f>
        <v>19</v>
      </c>
      <c r="F84" s="13" t="n">
        <f aca="false">SUMIFS(Data!$B$2:$B$2797,Data!$A$2:$A$2797,$A84,Data!$F$2:$F$2797,F$5)</f>
        <v>63</v>
      </c>
      <c r="G84" s="13" t="n">
        <f aca="false">SUMIFS(Data!$B$2:$B$2797,Data!$A$2:$A$2797,$A84,Data!$F$2:$F$2797,G$5)</f>
        <v>171</v>
      </c>
      <c r="H84" s="13" t="n">
        <f aca="false">SUMIFS(Data!$B$2:$B$2797,Data!$A$2:$A$2797,$A84,Data!$F$2:$F$2797,H$5)</f>
        <v>353</v>
      </c>
      <c r="I84" s="13" t="n">
        <f aca="false">SUMIFS(Data!$B$2:$B$2797,Data!$A$2:$A$2797,$A84,Data!$F$2:$F$2797,I$5)</f>
        <v>758</v>
      </c>
      <c r="J84" s="13" t="n">
        <f aca="false">TS_Setup!$B$15*B84+(1-TS_Setup!$B$15)*(J83+R83)</f>
        <v>2.87873534286249</v>
      </c>
      <c r="K84" s="13" t="n">
        <f aca="false">TS_Setup!$B$15*C84+(1-TS_Setup!$B$15)*(K83+S83)</f>
        <v>106.260710251295</v>
      </c>
      <c r="L84" s="13" t="n">
        <f aca="false">TS_Setup!$B$15*D84+(1-TS_Setup!$B$15)*(L83+T83)</f>
        <v>-1.03925718002934</v>
      </c>
      <c r="M84" s="13" t="n">
        <f aca="false">TS_Setup!$B$15*E84+(1-TS_Setup!$B$15)*(M83+U83)</f>
        <v>16.4681204417103</v>
      </c>
      <c r="N84" s="13" t="n">
        <f aca="false">TS_Setup!$B$15*F84+(1-TS_Setup!$B$15)*(N83+V83)</f>
        <v>46.3539389685761</v>
      </c>
      <c r="O84" s="13" t="n">
        <f aca="false">TS_Setup!$B$15*G84+(1-TS_Setup!$B$15)*(O83+W83)</f>
        <v>234.105153342743</v>
      </c>
      <c r="P84" s="13" t="n">
        <f aca="false">TS_Setup!$B$15*H84+(1-TS_Setup!$B$15)*(P83+X83)</f>
        <v>657.04002152135</v>
      </c>
      <c r="Q84" s="13" t="n">
        <f aca="false">TS_Setup!$B$15*I84+(1-TS_Setup!$B$15)*(Q83+Y83)</f>
        <v>713.077220478584</v>
      </c>
      <c r="R84" s="16" t="n">
        <f aca="false">TS_Setup!$B$16*(J84-J83)+(1-TS_Setup!$B$16)*R83</f>
        <v>0.292339056420862</v>
      </c>
      <c r="S84" s="16" t="n">
        <f aca="false">TS_Setup!$B$16*(K84-K83)+(1-TS_Setup!$B$16)*S83</f>
        <v>1.17070511979591</v>
      </c>
      <c r="T84" s="16" t="n">
        <f aca="false">TS_Setup!$B$16*(L84-L83)+(1-TS_Setup!$B$16)*T83</f>
        <v>-0.0324382027528761</v>
      </c>
      <c r="U84" s="16" t="n">
        <f aca="false">TS_Setup!$B$16*(M84-M83)+(1-TS_Setup!$B$16)*U83</f>
        <v>0.977656677341305</v>
      </c>
      <c r="V84" s="16" t="n">
        <f aca="false">TS_Setup!$B$16*(N84-N83)+(1-TS_Setup!$B$16)*V83</f>
        <v>2.47954326893124</v>
      </c>
      <c r="W84" s="16" t="n">
        <f aca="false">TS_Setup!$B$16*(O84-O83)+(1-TS_Setup!$B$16)*W83</f>
        <v>4.90003768418017</v>
      </c>
      <c r="X84" s="16" t="n">
        <f aca="false">TS_Setup!$B$16*(P84-P83)+(1-TS_Setup!$B$16)*X83</f>
        <v>29.3758258757505</v>
      </c>
      <c r="Y84" s="16" t="n">
        <f aca="false">TS_Setup!$B$16*(Q84-Q83)+(1-TS_Setup!$B$16)*Y83</f>
        <v>26.1536041774915</v>
      </c>
    </row>
    <row r="85" customFormat="false" ht="15" hidden="false" customHeight="false" outlineLevel="0" collapsed="false">
      <c r="A85" s="11" t="n">
        <f aca="false">Daily!A84</f>
        <v>43966</v>
      </c>
      <c r="B85" s="13" t="n">
        <f aca="false">SUMIFS(Data!$B$2:$B$2797,Data!$A$2:$A$2797,$A85,Data!$F$2:$F$2797,B$5)</f>
        <v>3</v>
      </c>
      <c r="C85" s="13" t="n">
        <f aca="false">SUMIFS(Data!$B$2:$B$2797,Data!$A$2:$A$2797,$A85,Data!$F$2:$F$2797,C$5)</f>
        <v>147</v>
      </c>
      <c r="D85" s="13" t="n">
        <f aca="false">SUMIFS(Data!$B$2:$B$2797,Data!$A$2:$A$2797,$A85,Data!$F$2:$F$2797,D$5)</f>
        <v>0</v>
      </c>
      <c r="E85" s="13" t="n">
        <f aca="false">SUMIFS(Data!$B$2:$B$2797,Data!$A$2:$A$2797,$A85,Data!$F$2:$F$2797,E$5)</f>
        <v>17</v>
      </c>
      <c r="F85" s="13" t="n">
        <f aca="false">SUMIFS(Data!$B$2:$B$2797,Data!$A$2:$A$2797,$A85,Data!$F$2:$F$2797,F$5)</f>
        <v>44</v>
      </c>
      <c r="G85" s="13" t="n">
        <f aca="false">SUMIFS(Data!$B$2:$B$2797,Data!$A$2:$A$2797,$A85,Data!$F$2:$F$2797,G$5)</f>
        <v>200</v>
      </c>
      <c r="H85" s="13" t="n">
        <f aca="false">SUMIFS(Data!$B$2:$B$2797,Data!$A$2:$A$2797,$A85,Data!$F$2:$F$2797,H$5)</f>
        <v>287</v>
      </c>
      <c r="I85" s="13" t="n">
        <f aca="false">SUMIFS(Data!$B$2:$B$2797,Data!$A$2:$A$2797,$A85,Data!$F$2:$F$2797,I$5)</f>
        <v>817</v>
      </c>
      <c r="J85" s="13" t="n">
        <f aca="false">TS_Setup!$B$15*B85+(1-TS_Setup!$B$15)*(J84+R84)</f>
        <v>3.15550662894856</v>
      </c>
      <c r="K85" s="13" t="n">
        <f aca="false">TS_Setup!$B$15*C85+(1-TS_Setup!$B$15)*(K84+S84)</f>
        <v>111.032156572321</v>
      </c>
      <c r="L85" s="13" t="n">
        <f aca="false">TS_Setup!$B$15*D85+(1-TS_Setup!$B$15)*(L84+T84)</f>
        <v>-0.974171102949032</v>
      </c>
      <c r="M85" s="13" t="n">
        <f aca="false">TS_Setup!$B$15*E85+(1-TS_Setup!$B$15)*(M84+U84)</f>
        <v>17.4052114012179</v>
      </c>
      <c r="N85" s="13" t="n">
        <f aca="false">TS_Setup!$B$15*F85+(1-TS_Setup!$B$15)*(N84+V84)</f>
        <v>48.3936353538942</v>
      </c>
      <c r="O85" s="13" t="n">
        <f aca="false">TS_Setup!$B$15*G85+(1-TS_Setup!$B$15)*(O84+W84)</f>
        <v>235.455718643473</v>
      </c>
      <c r="P85" s="13" t="n">
        <f aca="false">TS_Setup!$B$15*H85+(1-TS_Setup!$B$15)*(P84+X84)</f>
        <v>650.069005283964</v>
      </c>
      <c r="Q85" s="13" t="n">
        <f aca="false">TS_Setup!$B$15*I85+(1-TS_Setup!$B$15)*(Q84+Y84)</f>
        <v>746.307819612372</v>
      </c>
      <c r="R85" s="16" t="n">
        <f aca="false">TS_Setup!$B$16*(J85-J84)+(1-TS_Setup!$B$16)*R84</f>
        <v>0.289350044516583</v>
      </c>
      <c r="S85" s="16" t="n">
        <f aca="false">TS_Setup!$B$16*(K85-K84)+(1-TS_Setup!$B$16)*S84</f>
        <v>1.86204743043221</v>
      </c>
      <c r="T85" s="16" t="n">
        <f aca="false">TS_Setup!$B$16*(L85-L84)+(1-TS_Setup!$B$16)*T84</f>
        <v>-0.0137135410249052</v>
      </c>
      <c r="U85" s="16" t="n">
        <f aca="false">TS_Setup!$B$16*(M85-M84)+(1-TS_Setup!$B$16)*U84</f>
        <v>0.969868059517235</v>
      </c>
      <c r="V85" s="16" t="n">
        <f aca="false">TS_Setup!$B$16*(N85-N84)+(1-TS_Setup!$B$16)*V84</f>
        <v>2.39509266727751</v>
      </c>
      <c r="W85" s="16" t="n">
        <f aca="false">TS_Setup!$B$16*(O85-O84)+(1-TS_Setup!$B$16)*W84</f>
        <v>4.21853898655777</v>
      </c>
      <c r="X85" s="16" t="n">
        <f aca="false">TS_Setup!$B$16*(P85-P84)+(1-TS_Setup!$B$16)*X84</f>
        <v>22.3972321900284</v>
      </c>
      <c r="Y85" s="16" t="n">
        <f aca="false">TS_Setup!$B$16*(Q85-Q84)+(1-TS_Setup!$B$16)*Y84</f>
        <v>27.5123872091005</v>
      </c>
    </row>
    <row r="86" customFormat="false" ht="15" hidden="false" customHeight="false" outlineLevel="0" collapsed="false">
      <c r="A86" s="11" t="n">
        <f aca="false">Daily!A85</f>
        <v>43967</v>
      </c>
      <c r="B86" s="13" t="n">
        <f aca="false">SUMIFS(Data!$B$2:$B$2797,Data!$A$2:$A$2797,$A86,Data!$F$2:$F$2797,B$5)</f>
        <v>4</v>
      </c>
      <c r="C86" s="13" t="n">
        <f aca="false">SUMIFS(Data!$B$2:$B$2797,Data!$A$2:$A$2797,$A86,Data!$F$2:$F$2797,C$5)</f>
        <v>87</v>
      </c>
      <c r="D86" s="13" t="n">
        <f aca="false">SUMIFS(Data!$B$2:$B$2797,Data!$A$2:$A$2797,$A86,Data!$F$2:$F$2797,D$5)</f>
        <v>0</v>
      </c>
      <c r="E86" s="13" t="n">
        <f aca="false">SUMIFS(Data!$B$2:$B$2797,Data!$A$2:$A$2797,$A86,Data!$F$2:$F$2797,E$5)</f>
        <v>7</v>
      </c>
      <c r="F86" s="13" t="n">
        <f aca="false">SUMIFS(Data!$B$2:$B$2797,Data!$A$2:$A$2797,$A86,Data!$F$2:$F$2797,F$5)</f>
        <v>55</v>
      </c>
      <c r="G86" s="13" t="n">
        <f aca="false">SUMIFS(Data!$B$2:$B$2797,Data!$A$2:$A$2797,$A86,Data!$F$2:$F$2797,G$5)</f>
        <v>162</v>
      </c>
      <c r="H86" s="13" t="n">
        <f aca="false">SUMIFS(Data!$B$2:$B$2797,Data!$A$2:$A$2797,$A86,Data!$F$2:$F$2797,H$5)</f>
        <v>383</v>
      </c>
      <c r="I86" s="13" t="n">
        <f aca="false">SUMIFS(Data!$B$2:$B$2797,Data!$A$2:$A$2797,$A86,Data!$F$2:$F$2797,I$5)</f>
        <v>674</v>
      </c>
      <c r="J86" s="13" t="n">
        <f aca="false">TS_Setup!$B$15*B86+(1-TS_Setup!$B$15)*(J85+R85)</f>
        <v>3.49537471617982</v>
      </c>
      <c r="K86" s="13" t="n">
        <f aca="false">TS_Setup!$B$15*C86+(1-TS_Setup!$B$15)*(K85+S85)</f>
        <v>110.537831438503</v>
      </c>
      <c r="L86" s="13" t="n">
        <f aca="false">TS_Setup!$B$15*D86+(1-TS_Setup!$B$15)*(L85+T85)</f>
        <v>-0.897987141372309</v>
      </c>
      <c r="M86" s="13" t="n">
        <f aca="false">TS_Setup!$B$15*E86+(1-TS_Setup!$B$15)*(M85+U85)</f>
        <v>17.3399472298082</v>
      </c>
      <c r="N86" s="13" t="n">
        <f aca="false">TS_Setup!$B$15*F86+(1-TS_Setup!$B$15)*(N85+V85)</f>
        <v>51.1719537712451</v>
      </c>
      <c r="O86" s="13" t="n">
        <f aca="false">TS_Setup!$B$15*G86+(1-TS_Setup!$B$15)*(O85+W85)</f>
        <v>232.605900185698</v>
      </c>
      <c r="P86" s="13" t="n">
        <f aca="false">TS_Setup!$B$15*H86+(1-TS_Setup!$B$15)*(P85+X85)</f>
        <v>646.124809863859</v>
      </c>
      <c r="Q86" s="13" t="n">
        <f aca="false">TS_Setup!$B$15*I86+(1-TS_Setup!$B$15)*(Q85+Y85)</f>
        <v>764.736568000719</v>
      </c>
      <c r="R86" s="16" t="n">
        <f aca="false">TS_Setup!$B$16*(J86-J85)+(1-TS_Setup!$B$16)*R85</f>
        <v>0.2990495087178</v>
      </c>
      <c r="S86" s="16" t="n">
        <f aca="false">TS_Setup!$B$16*(K86-K85)+(1-TS_Setup!$B$16)*S85</f>
        <v>1.40962389809611</v>
      </c>
      <c r="T86" s="16" t="n">
        <f aca="false">TS_Setup!$B$16*(L86-L85)+(1-TS_Setup!$B$16)*T85</f>
        <v>0.00354677947460739</v>
      </c>
      <c r="U86" s="16" t="n">
        <f aca="false">TS_Setup!$B$16*(M86-M85)+(1-TS_Setup!$B$16)*U85</f>
        <v>0.771122671179271</v>
      </c>
      <c r="V86" s="16" t="n">
        <f aca="false">TS_Setup!$B$16*(N86-N85)+(1-TS_Setup!$B$16)*V85</f>
        <v>2.4686720112916</v>
      </c>
      <c r="W86" s="16" t="n">
        <f aca="false">TS_Setup!$B$16*(O86-O85)+(1-TS_Setup!$B$16)*W85</f>
        <v>2.86141435724588</v>
      </c>
      <c r="X86" s="16" t="n">
        <f aca="false">TS_Setup!$B$16*(P86-P85)+(1-TS_Setup!$B$16)*X85</f>
        <v>17.3396780888828</v>
      </c>
      <c r="Y86" s="16" t="n">
        <f aca="false">TS_Setup!$B$16*(Q86-Q85)+(1-TS_Setup!$B$16)*Y85</f>
        <v>25.7683285555158</v>
      </c>
    </row>
    <row r="87" customFormat="false" ht="15" hidden="false" customHeight="false" outlineLevel="0" collapsed="false">
      <c r="A87" s="11" t="n">
        <f aca="false">Daily!A86</f>
        <v>43968</v>
      </c>
      <c r="B87" s="13" t="n">
        <f aca="false">SUMIFS(Data!$B$2:$B$2797,Data!$A$2:$A$2797,$A87,Data!$F$2:$F$2797,B$5)</f>
        <v>0</v>
      </c>
      <c r="C87" s="13" t="n">
        <f aca="false">SUMIFS(Data!$B$2:$B$2797,Data!$A$2:$A$2797,$A87,Data!$F$2:$F$2797,C$5)</f>
        <v>148</v>
      </c>
      <c r="D87" s="13" t="n">
        <f aca="false">SUMIFS(Data!$B$2:$B$2797,Data!$A$2:$A$2797,$A87,Data!$F$2:$F$2797,D$5)</f>
        <v>0</v>
      </c>
      <c r="E87" s="13" t="n">
        <f aca="false">SUMIFS(Data!$B$2:$B$2797,Data!$A$2:$A$2797,$A87,Data!$F$2:$F$2797,E$5)</f>
        <v>4</v>
      </c>
      <c r="F87" s="13" t="n">
        <f aca="false">SUMIFS(Data!$B$2:$B$2797,Data!$A$2:$A$2797,$A87,Data!$F$2:$F$2797,F$5)</f>
        <v>50</v>
      </c>
      <c r="G87" s="13" t="n">
        <f aca="false">SUMIFS(Data!$B$2:$B$2797,Data!$A$2:$A$2797,$A87,Data!$F$2:$F$2797,G$5)</f>
        <v>205</v>
      </c>
      <c r="H87" s="13" t="n">
        <f aca="false">SUMIFS(Data!$B$2:$B$2797,Data!$A$2:$A$2797,$A87,Data!$F$2:$F$2797,H$5)</f>
        <v>762</v>
      </c>
      <c r="I87" s="13" t="n">
        <f aca="false">SUMIFS(Data!$B$2:$B$2797,Data!$A$2:$A$2797,$A87,Data!$F$2:$F$2797,I$5)</f>
        <v>787</v>
      </c>
      <c r="J87" s="13" t="n">
        <f aca="false">TS_Setup!$B$15*B87+(1-TS_Setup!$B$15)*(J86+R86)</f>
        <v>3.44913162043194</v>
      </c>
      <c r="K87" s="13" t="n">
        <f aca="false">TS_Setup!$B$15*C87+(1-TS_Setup!$B$15)*(K86+S86)</f>
        <v>115.228236900969</v>
      </c>
      <c r="L87" s="13" t="n">
        <f aca="false">TS_Setup!$B$15*D87+(1-TS_Setup!$B$15)*(L86+T86)</f>
        <v>-0.813046288965011</v>
      </c>
      <c r="M87" s="13" t="n">
        <f aca="false">TS_Setup!$B$15*E87+(1-TS_Setup!$B$15)*(M86+U86)</f>
        <v>16.8269625399977</v>
      </c>
      <c r="N87" s="13" t="n">
        <f aca="false">TS_Setup!$B$15*F87+(1-TS_Setup!$B$15)*(N86+V86)</f>
        <v>53.3093288363258</v>
      </c>
      <c r="O87" s="13" t="n">
        <f aca="false">TS_Setup!$B$15*G87+(1-TS_Setup!$B$15)*(O86+W86)</f>
        <v>232.694788919536</v>
      </c>
      <c r="P87" s="13" t="n">
        <f aca="false">TS_Setup!$B$15*H87+(1-TS_Setup!$B$15)*(P86+X86)</f>
        <v>672.431219549042</v>
      </c>
      <c r="Q87" s="13" t="n">
        <f aca="false">TS_Setup!$B$15*I87+(1-TS_Setup!$B$15)*(Q86+Y86)</f>
        <v>790.185950969617</v>
      </c>
      <c r="R87" s="16" t="n">
        <f aca="false">TS_Setup!$B$16*(J87-J86)+(1-TS_Setup!$B$16)*R86</f>
        <v>0.232753328660389</v>
      </c>
      <c r="S87" s="16" t="n">
        <f aca="false">TS_Setup!$B$16*(K87-K86)+(1-TS_Setup!$B$16)*S86</f>
        <v>2.03953395845505</v>
      </c>
      <c r="T87" s="16" t="n">
        <f aca="false">TS_Setup!$B$16*(L87-L86)+(1-TS_Setup!$B$16)*T86</f>
        <v>0.019174441477684</v>
      </c>
      <c r="U87" s="16" t="n">
        <f aca="false">TS_Setup!$B$16*(M87-M86)+(1-TS_Setup!$B$16)*U86</f>
        <v>0.524574057869218</v>
      </c>
      <c r="V87" s="16" t="n">
        <f aca="false">TS_Setup!$B$16*(N87-N86)+(1-TS_Setup!$B$16)*V86</f>
        <v>2.40506299761912</v>
      </c>
      <c r="W87" s="16" t="n">
        <f aca="false">TS_Setup!$B$16*(O87-O86)+(1-TS_Setup!$B$16)*W86</f>
        <v>2.32908943755157</v>
      </c>
      <c r="X87" s="16" t="n">
        <f aca="false">TS_Setup!$B$16*(P87-P86)+(1-TS_Setup!$B$16)*X86</f>
        <v>19.0612905553725</v>
      </c>
      <c r="Y87" s="16" t="n">
        <f aca="false">TS_Setup!$B$16*(Q87-Q86)+(1-TS_Setup!$B$16)*Y86</f>
        <v>25.7070910028852</v>
      </c>
    </row>
    <row r="88" customFormat="false" ht="15" hidden="false" customHeight="false" outlineLevel="0" collapsed="false">
      <c r="A88" s="11" t="n">
        <f aca="false">Daily!A87</f>
        <v>43969</v>
      </c>
      <c r="B88" s="13" t="n">
        <f aca="false">SUMIFS(Data!$B$2:$B$2797,Data!$A$2:$A$2797,$A88,Data!$F$2:$F$2797,B$5)</f>
        <v>3</v>
      </c>
      <c r="C88" s="13" t="n">
        <f aca="false">SUMIFS(Data!$B$2:$B$2797,Data!$A$2:$A$2797,$A88,Data!$F$2:$F$2797,C$5)</f>
        <v>128</v>
      </c>
      <c r="D88" s="13" t="n">
        <f aca="false">SUMIFS(Data!$B$2:$B$2797,Data!$A$2:$A$2797,$A88,Data!$F$2:$F$2797,D$5)</f>
        <v>0</v>
      </c>
      <c r="E88" s="13" t="n">
        <f aca="false">SUMIFS(Data!$B$2:$B$2797,Data!$A$2:$A$2797,$A88,Data!$F$2:$F$2797,E$5)</f>
        <v>10</v>
      </c>
      <c r="F88" s="13" t="n">
        <f aca="false">SUMIFS(Data!$B$2:$B$2797,Data!$A$2:$A$2797,$A88,Data!$F$2:$F$2797,F$5)</f>
        <v>37</v>
      </c>
      <c r="G88" s="13" t="n">
        <f aca="false">SUMIFS(Data!$B$2:$B$2797,Data!$A$2:$A$2797,$A88,Data!$F$2:$F$2797,G$5)</f>
        <v>128</v>
      </c>
      <c r="H88" s="13" t="n">
        <f aca="false">SUMIFS(Data!$B$2:$B$2797,Data!$A$2:$A$2797,$A88,Data!$F$2:$F$2797,H$5)</f>
        <v>630</v>
      </c>
      <c r="I88" s="13" t="n">
        <f aca="false">SUMIFS(Data!$B$2:$B$2797,Data!$A$2:$A$2797,$A88,Data!$F$2:$F$2797,I$5)</f>
        <v>864</v>
      </c>
      <c r="J88" s="13" t="n">
        <f aca="false">TS_Setup!$B$15*B88+(1-TS_Setup!$B$15)*(J87+R87)</f>
        <v>3.61983341872492</v>
      </c>
      <c r="K88" s="13" t="n">
        <f aca="false">TS_Setup!$B$15*C88+(1-TS_Setup!$B$15)*(K87+S87)</f>
        <v>118.244403711216</v>
      </c>
      <c r="L88" s="13" t="n">
        <f aca="false">TS_Setup!$B$15*D88+(1-TS_Setup!$B$15)*(L87+T87)</f>
        <v>-0.72162950936598</v>
      </c>
      <c r="M88" s="13" t="n">
        <f aca="false">TS_Setup!$B$15*E88+(1-TS_Setup!$B$15)*(M87+U87)</f>
        <v>16.682546767461</v>
      </c>
      <c r="N88" s="13" t="n">
        <f aca="false">TS_Setup!$B$15*F88+(1-TS_Setup!$B$15)*(N87+V87)</f>
        <v>54.011382177056</v>
      </c>
      <c r="O88" s="13" t="n">
        <f aca="false">TS_Setup!$B$15*G88+(1-TS_Setup!$B$15)*(O87+W87)</f>
        <v>225.284705426592</v>
      </c>
      <c r="P88" s="13" t="n">
        <f aca="false">TS_Setup!$B$15*H88+(1-TS_Setup!$B$15)*(P87+X87)</f>
        <v>685.896691684913</v>
      </c>
      <c r="Q88" s="13" t="n">
        <f aca="false">TS_Setup!$B$15*I88+(1-TS_Setup!$B$15)*(Q87+Y87)</f>
        <v>820.270775153005</v>
      </c>
      <c r="R88" s="16" t="n">
        <f aca="false">TS_Setup!$B$16*(J88-J87)+(1-TS_Setup!$B$16)*R87</f>
        <v>0.220839434829848</v>
      </c>
      <c r="S88" s="16" t="n">
        <f aca="false">TS_Setup!$B$16*(K88-K87)+(1-TS_Setup!$B$16)*S87</f>
        <v>2.2270474659992</v>
      </c>
      <c r="T88" s="16" t="n">
        <f aca="false">TS_Setup!$B$16*(L88-L87)+(1-TS_Setup!$B$16)*T87</f>
        <v>0.0330449703969826</v>
      </c>
      <c r="U88" s="16" t="n">
        <f aca="false">TS_Setup!$B$16*(M88-M87)+(1-TS_Setup!$B$16)*U87</f>
        <v>0.396128010431288</v>
      </c>
      <c r="V88" s="16" t="n">
        <f aca="false">TS_Setup!$B$16*(N88-N87)+(1-TS_Setup!$B$16)*V87</f>
        <v>2.07808514349643</v>
      </c>
      <c r="W88" s="16" t="n">
        <f aca="false">TS_Setup!$B$16*(O88-O87)+(1-TS_Setup!$B$16)*W87</f>
        <v>0.459168234896545</v>
      </c>
      <c r="X88" s="16" t="n">
        <f aca="false">TS_Setup!$B$16*(P88-P87)+(1-TS_Setup!$B$16)*X87</f>
        <v>17.9868934188282</v>
      </c>
      <c r="Y88" s="16" t="n">
        <f aca="false">TS_Setup!$B$16*(Q88-Q87)+(1-TS_Setup!$B$16)*Y87</f>
        <v>26.5476157735417</v>
      </c>
    </row>
    <row r="89" customFormat="false" ht="15" hidden="false" customHeight="false" outlineLevel="0" collapsed="false">
      <c r="A89" s="11" t="n">
        <f aca="false">Daily!A88</f>
        <v>43970</v>
      </c>
      <c r="B89" s="13" t="n">
        <f aca="false">SUMIFS(Data!$B$2:$B$2797,Data!$A$2:$A$2797,$A89,Data!$F$2:$F$2797,B$5)</f>
        <v>18</v>
      </c>
      <c r="C89" s="13" t="n">
        <f aca="false">SUMIFS(Data!$B$2:$B$2797,Data!$A$2:$A$2797,$A89,Data!$F$2:$F$2797,C$5)</f>
        <v>65</v>
      </c>
      <c r="D89" s="13" t="n">
        <f aca="false">SUMIFS(Data!$B$2:$B$2797,Data!$A$2:$A$2797,$A89,Data!$F$2:$F$2797,D$5)</f>
        <v>0</v>
      </c>
      <c r="E89" s="13" t="n">
        <f aca="false">SUMIFS(Data!$B$2:$B$2797,Data!$A$2:$A$2797,$A89,Data!$F$2:$F$2797,E$5)</f>
        <v>1</v>
      </c>
      <c r="F89" s="13" t="n">
        <f aca="false">SUMIFS(Data!$B$2:$B$2797,Data!$A$2:$A$2797,$A89,Data!$F$2:$F$2797,F$5)</f>
        <v>104</v>
      </c>
      <c r="G89" s="13" t="n">
        <f aca="false">SUMIFS(Data!$B$2:$B$2797,Data!$A$2:$A$2797,$A89,Data!$F$2:$F$2797,G$5)</f>
        <v>271</v>
      </c>
      <c r="H89" s="13" t="n">
        <f aca="false">SUMIFS(Data!$B$2:$B$2797,Data!$A$2:$A$2797,$A89,Data!$F$2:$F$2797,H$5)</f>
        <v>709</v>
      </c>
      <c r="I89" s="13" t="n">
        <f aca="false">SUMIFS(Data!$B$2:$B$2797,Data!$A$2:$A$2797,$A89,Data!$F$2:$F$2797,I$5)</f>
        <v>706</v>
      </c>
      <c r="J89" s="13" t="n">
        <f aca="false">TS_Setup!$B$15*B89+(1-TS_Setup!$B$15)*(J88+R88)</f>
        <v>5.12917162388129</v>
      </c>
      <c r="K89" s="13" t="n">
        <f aca="false">TS_Setup!$B$15*C89+(1-TS_Setup!$B$15)*(K88+S88)</f>
        <v>115.423549120089</v>
      </c>
      <c r="L89" s="13" t="n">
        <f aca="false">TS_Setup!$B$15*D89+(1-TS_Setup!$B$15)*(L88+T88)</f>
        <v>-0.625923345922819</v>
      </c>
      <c r="M89" s="13" t="n">
        <f aca="false">TS_Setup!$B$15*E89+(1-TS_Setup!$B$15)*(M88+U88)</f>
        <v>15.6155153731041</v>
      </c>
      <c r="N89" s="13" t="n">
        <f aca="false">TS_Setup!$B$15*F89+(1-TS_Setup!$B$15)*(N88+V88)</f>
        <v>60.4493257943821</v>
      </c>
      <c r="O89" s="13" t="n">
        <f aca="false">TS_Setup!$B$15*G89+(1-TS_Setup!$B$15)*(O88+W88)</f>
        <v>229.862181158293</v>
      </c>
      <c r="P89" s="13" t="n">
        <f aca="false">TS_Setup!$B$15*H89+(1-TS_Setup!$B$15)*(P88+X88)</f>
        <v>704.349178859301</v>
      </c>
      <c r="Q89" s="13" t="n">
        <f aca="false">TS_Setup!$B$15*I89+(1-TS_Setup!$B$15)*(Q88+Y88)</f>
        <v>834.003917352231</v>
      </c>
      <c r="R89" s="16" t="n">
        <f aca="false">TS_Setup!$B$16*(J89-J88)+(1-TS_Setup!$B$16)*R88</f>
        <v>0.468231198732539</v>
      </c>
      <c r="S89" s="16" t="n">
        <f aca="false">TS_Setup!$B$16*(K89-K88)+(1-TS_Setup!$B$16)*S88</f>
        <v>1.25785027103089</v>
      </c>
      <c r="T89" s="16" t="n">
        <f aca="false">TS_Setup!$B$16*(L89-L88)+(1-TS_Setup!$B$16)*T88</f>
        <v>0.0450759194618489</v>
      </c>
      <c r="U89" s="16" t="n">
        <f aca="false">TS_Setup!$B$16*(M89-M88)+(1-TS_Setup!$B$16)*U88</f>
        <v>0.115201404711954</v>
      </c>
      <c r="V89" s="16" t="n">
        <f aca="false">TS_Setup!$B$16*(N89-N88)+(1-TS_Setup!$B$16)*V88</f>
        <v>2.91517797047174</v>
      </c>
      <c r="W89" s="16" t="n">
        <f aca="false">TS_Setup!$B$16*(O89-O88)+(1-TS_Setup!$B$16)*W88</f>
        <v>1.24988327428301</v>
      </c>
      <c r="X89" s="16" t="n">
        <f aca="false">TS_Setup!$B$16*(P89-P88)+(1-TS_Setup!$B$16)*X88</f>
        <v>18.0762874198956</v>
      </c>
      <c r="Y89" s="16" t="n">
        <f aca="false">TS_Setup!$B$16*(Q89-Q88)+(1-TS_Setup!$B$16)*Y88</f>
        <v>24.0872368472731</v>
      </c>
    </row>
    <row r="90" customFormat="false" ht="15" hidden="false" customHeight="false" outlineLevel="0" collapsed="false">
      <c r="A90" s="11" t="n">
        <f aca="false">Daily!A89</f>
        <v>43971</v>
      </c>
      <c r="B90" s="13" t="n">
        <f aca="false">SUMIFS(Data!$B$2:$B$2797,Data!$A$2:$A$2797,$A90,Data!$F$2:$F$2797,B$5)</f>
        <v>15</v>
      </c>
      <c r="C90" s="13" t="n">
        <f aca="false">SUMIFS(Data!$B$2:$B$2797,Data!$A$2:$A$2797,$A90,Data!$F$2:$F$2797,C$5)</f>
        <v>83</v>
      </c>
      <c r="D90" s="13" t="n">
        <f aca="false">SUMIFS(Data!$B$2:$B$2797,Data!$A$2:$A$2797,$A90,Data!$F$2:$F$2797,D$5)</f>
        <v>0</v>
      </c>
      <c r="E90" s="13" t="n">
        <f aca="false">SUMIFS(Data!$B$2:$B$2797,Data!$A$2:$A$2797,$A90,Data!$F$2:$F$2797,E$5)</f>
        <v>15</v>
      </c>
      <c r="F90" s="13" t="n">
        <f aca="false">SUMIFS(Data!$B$2:$B$2797,Data!$A$2:$A$2797,$A90,Data!$F$2:$F$2797,F$5)</f>
        <v>97</v>
      </c>
      <c r="G90" s="13" t="n">
        <f aca="false">SUMIFS(Data!$B$2:$B$2797,Data!$A$2:$A$2797,$A90,Data!$F$2:$F$2797,G$5)</f>
        <v>191</v>
      </c>
      <c r="H90" s="13" t="n">
        <f aca="false">SUMIFS(Data!$B$2:$B$2797,Data!$A$2:$A$2797,$A90,Data!$F$2:$F$2797,H$5)</f>
        <v>697</v>
      </c>
      <c r="I90" s="13" t="n">
        <f aca="false">SUMIFS(Data!$B$2:$B$2797,Data!$A$2:$A$2797,$A90,Data!$F$2:$F$2797,I$5)</f>
        <v>1017</v>
      </c>
      <c r="J90" s="13" t="n">
        <f aca="false">TS_Setup!$B$15*B90+(1-TS_Setup!$B$15)*(J89+R89)</f>
        <v>6.45303916575597</v>
      </c>
      <c r="K90" s="13" t="n">
        <f aca="false">TS_Setup!$B$15*C90+(1-TS_Setup!$B$15)*(K89+S89)</f>
        <v>113.616392046528</v>
      </c>
      <c r="L90" s="13" t="n">
        <f aca="false">TS_Setup!$B$15*D90+(1-TS_Setup!$B$15)*(L89+T89)</f>
        <v>-0.527990310653021</v>
      </c>
      <c r="M90" s="13" t="n">
        <f aca="false">TS_Setup!$B$15*E90+(1-TS_Setup!$B$15)*(M89+U89)</f>
        <v>15.6642215510348</v>
      </c>
      <c r="N90" s="13" t="n">
        <f aca="false">TS_Setup!$B$15*F90+(1-TS_Setup!$B$15)*(N89+V89)</f>
        <v>66.4253339222522</v>
      </c>
      <c r="O90" s="13" t="n">
        <f aca="false">TS_Setup!$B$15*G90+(1-TS_Setup!$B$15)*(O89+W89)</f>
        <v>227.461866569212</v>
      </c>
      <c r="P90" s="13" t="n">
        <f aca="false">TS_Setup!$B$15*H90+(1-TS_Setup!$B$15)*(P89+X89)</f>
        <v>720.11174884779</v>
      </c>
      <c r="Q90" s="13" t="n">
        <f aca="false">TS_Setup!$B$15*I90+(1-TS_Setup!$B$15)*(Q89+Y89)</f>
        <v>872.551859167349</v>
      </c>
      <c r="R90" s="16" t="n">
        <f aca="false">TS_Setup!$B$16*(J90-J89)+(1-TS_Setup!$B$16)*R89</f>
        <v>0.63251337661583</v>
      </c>
      <c r="S90" s="16" t="n">
        <f aca="false">TS_Setup!$B$16*(K90-K89)+(1-TS_Setup!$B$16)*S89</f>
        <v>0.669368860869253</v>
      </c>
      <c r="T90" s="16" t="n">
        <f aca="false">TS_Setup!$B$16*(L90-L89)+(1-TS_Setup!$B$16)*T89</f>
        <v>0.055224485696975</v>
      </c>
      <c r="U90" s="16" t="n">
        <f aca="false">TS_Setup!$B$16*(M90-M89)+(1-TS_Setup!$B$16)*U89</f>
        <v>0.102434321169952</v>
      </c>
      <c r="V90" s="16" t="n">
        <f aca="false">TS_Setup!$B$16*(N90-N89)+(1-TS_Setup!$B$16)*V89</f>
        <v>3.50285736069222</v>
      </c>
      <c r="W90" s="16" t="n">
        <f aca="false">TS_Setup!$B$16*(O90-O89)+(1-TS_Setup!$B$16)*W89</f>
        <v>0.549045284517036</v>
      </c>
      <c r="X90" s="16" t="n">
        <f aca="false">TS_Setup!$B$16*(P90-P89)+(1-TS_Setup!$B$16)*X89</f>
        <v>17.6320536730655</v>
      </c>
      <c r="Y90" s="16" t="n">
        <f aca="false">TS_Setup!$B$16*(Q90-Q89)+(1-TS_Setup!$B$16)*Y89</f>
        <v>26.8636922010994</v>
      </c>
    </row>
    <row r="91" customFormat="false" ht="15" hidden="false" customHeight="false" outlineLevel="0" collapsed="false">
      <c r="A91" s="11" t="n">
        <f aca="false">Daily!A90</f>
        <v>43972</v>
      </c>
      <c r="B91" s="13" t="n">
        <f aca="false">SUMIFS(Data!$B$2:$B$2797,Data!$A$2:$A$2797,$A91,Data!$F$2:$F$2797,B$5)</f>
        <v>10</v>
      </c>
      <c r="C91" s="13" t="n">
        <f aca="false">SUMIFS(Data!$B$2:$B$2797,Data!$A$2:$A$2797,$A91,Data!$F$2:$F$2797,C$5)</f>
        <v>106</v>
      </c>
      <c r="D91" s="13" t="n">
        <f aca="false">SUMIFS(Data!$B$2:$B$2797,Data!$A$2:$A$2797,$A91,Data!$F$2:$F$2797,D$5)</f>
        <v>0</v>
      </c>
      <c r="E91" s="13" t="n">
        <f aca="false">SUMIFS(Data!$B$2:$B$2797,Data!$A$2:$A$2797,$A91,Data!$F$2:$F$2797,E$5)</f>
        <v>18</v>
      </c>
      <c r="F91" s="13" t="n">
        <f aca="false">SUMIFS(Data!$B$2:$B$2797,Data!$A$2:$A$2797,$A91,Data!$F$2:$F$2797,F$5)</f>
        <v>91</v>
      </c>
      <c r="G91" s="13" t="n">
        <f aca="false">SUMIFS(Data!$B$2:$B$2797,Data!$A$2:$A$2797,$A91,Data!$F$2:$F$2797,G$5)</f>
        <v>281</v>
      </c>
      <c r="H91" s="13" t="n">
        <f aca="false">SUMIFS(Data!$B$2:$B$2797,Data!$A$2:$A$2797,$A91,Data!$F$2:$F$2797,H$5)</f>
        <v>1073</v>
      </c>
      <c r="I91" s="13" t="n">
        <f aca="false">SUMIFS(Data!$B$2:$B$2797,Data!$A$2:$A$2797,$A91,Data!$F$2:$F$2797,I$5)</f>
        <v>960</v>
      </c>
      <c r="J91" s="13" t="n">
        <f aca="false">TS_Setup!$B$15*B91+(1-TS_Setup!$B$15)*(J90+R90)</f>
        <v>7.35076726101597</v>
      </c>
      <c r="K91" s="13" t="n">
        <f aca="false">TS_Setup!$B$15*C91+(1-TS_Setup!$B$15)*(K90+S90)</f>
        <v>113.531756664824</v>
      </c>
      <c r="L91" s="13" t="n">
        <f aca="false">TS_Setup!$B$15*D91+(1-TS_Setup!$B$15)*(L90+T90)</f>
        <v>-0.429744134885046</v>
      </c>
      <c r="M91" s="13" t="n">
        <f aca="false">TS_Setup!$B$15*E91+(1-TS_Setup!$B$15)*(M90+U90)</f>
        <v>15.9698901878341</v>
      </c>
      <c r="N91" s="13" t="n">
        <f aca="false">TS_Setup!$B$15*F91+(1-TS_Setup!$B$15)*(N90+V90)</f>
        <v>71.8457258761965</v>
      </c>
      <c r="O91" s="13" t="n">
        <f aca="false">TS_Setup!$B$15*G91+(1-TS_Setup!$B$15)*(O90+W90)</f>
        <v>232.83291887504</v>
      </c>
      <c r="P91" s="13" t="n">
        <f aca="false">TS_Setup!$B$15*H91+(1-TS_Setup!$B$15)*(P90+X90)</f>
        <v>768.252116491457</v>
      </c>
      <c r="Q91" s="13" t="n">
        <f aca="false">TS_Setup!$B$15*I91+(1-TS_Setup!$B$15)*(Q90+Y90)</f>
        <v>904.92873619392</v>
      </c>
      <c r="R91" s="16" t="n">
        <f aca="false">TS_Setup!$B$16*(J91-J90)+(1-TS_Setup!$B$16)*R90</f>
        <v>0.68343460259551</v>
      </c>
      <c r="S91" s="16" t="n">
        <f aca="false">TS_Setup!$B$16*(K91-K90)+(1-TS_Setup!$B$16)*S90</f>
        <v>0.524600046295215</v>
      </c>
      <c r="T91" s="16" t="n">
        <f aca="false">TS_Setup!$B$16*(L91-L90)+(1-TS_Setup!$B$16)*T90</f>
        <v>0.063484650190607</v>
      </c>
      <c r="U91" s="16" t="n">
        <f aca="false">TS_Setup!$B$16*(M91-M90)+(1-TS_Setup!$B$16)*U90</f>
        <v>0.141455309770792</v>
      </c>
      <c r="V91" s="16" t="n">
        <f aca="false">TS_Setup!$B$16*(N91-N90)+(1-TS_Setup!$B$16)*V90</f>
        <v>3.87102400259661</v>
      </c>
      <c r="W91" s="16" t="n">
        <f aca="false">TS_Setup!$B$16*(O91-O90)+(1-TS_Setup!$B$16)*W90</f>
        <v>1.47487063260868</v>
      </c>
      <c r="X91" s="16" t="n">
        <f aca="false">TS_Setup!$B$16*(P91-P90)+(1-TS_Setup!$B$16)*X90</f>
        <v>23.4896499554211</v>
      </c>
      <c r="Y91" s="16" t="n">
        <f aca="false">TS_Setup!$B$16*(Q91-Q90)+(1-TS_Setup!$B$16)*Y90</f>
        <v>27.9222236875899</v>
      </c>
    </row>
    <row r="92" customFormat="false" ht="15" hidden="false" customHeight="false" outlineLevel="0" collapsed="false">
      <c r="A92" s="11" t="n">
        <f aca="false">Daily!A91</f>
        <v>43973</v>
      </c>
      <c r="B92" s="13" t="n">
        <f aca="false">SUMIFS(Data!$B$2:$B$2797,Data!$A$2:$A$2797,$A92,Data!$F$2:$F$2797,B$5)</f>
        <v>13</v>
      </c>
      <c r="C92" s="13" t="n">
        <f aca="false">SUMIFS(Data!$B$2:$B$2797,Data!$A$2:$A$2797,$A92,Data!$F$2:$F$2797,C$5)</f>
        <v>124</v>
      </c>
      <c r="D92" s="13" t="n">
        <f aca="false">SUMIFS(Data!$B$2:$B$2797,Data!$A$2:$A$2797,$A92,Data!$F$2:$F$2797,D$5)</f>
        <v>0</v>
      </c>
      <c r="E92" s="13" t="n">
        <f aca="false">SUMIFS(Data!$B$2:$B$2797,Data!$A$2:$A$2797,$A92,Data!$F$2:$F$2797,E$5)</f>
        <v>6</v>
      </c>
      <c r="F92" s="13" t="n">
        <f aca="false">SUMIFS(Data!$B$2:$B$2797,Data!$A$2:$A$2797,$A92,Data!$F$2:$F$2797,F$5)</f>
        <v>131</v>
      </c>
      <c r="G92" s="13" t="n">
        <f aca="false">SUMIFS(Data!$B$2:$B$2797,Data!$A$2:$A$2797,$A92,Data!$F$2:$F$2797,G$5)</f>
        <v>220</v>
      </c>
      <c r="H92" s="13" t="n">
        <f aca="false">SUMIFS(Data!$B$2:$B$2797,Data!$A$2:$A$2797,$A92,Data!$F$2:$F$2797,H$5)</f>
        <v>275</v>
      </c>
      <c r="I92" s="13" t="n">
        <f aca="false">SUMIFS(Data!$B$2:$B$2797,Data!$A$2:$A$2797,$A92,Data!$F$2:$F$2797,I$5)</f>
        <v>959</v>
      </c>
      <c r="J92" s="13" t="n">
        <f aca="false">TS_Setup!$B$15*B92+(1-TS_Setup!$B$15)*(J91+R91)</f>
        <v>8.48608949402283</v>
      </c>
      <c r="K92" s="13" t="n">
        <f aca="false">TS_Setup!$B$15*C92+(1-TS_Setup!$B$15)*(K91+S91)</f>
        <v>114.961228250407</v>
      </c>
      <c r="L92" s="13" t="n">
        <f aca="false">TS_Setup!$B$15*D92+(1-TS_Setup!$B$15)*(L91+T91)</f>
        <v>-0.332929871587245</v>
      </c>
      <c r="M92" s="13" t="n">
        <f aca="false">TS_Setup!$B$15*E92+(1-TS_Setup!$B$15)*(M91+U91)</f>
        <v>15.1912130573228</v>
      </c>
      <c r="N92" s="13" t="n">
        <f aca="false">TS_Setup!$B$15*F92+(1-TS_Setup!$B$15)*(N91+V91)</f>
        <v>80.7475256398229</v>
      </c>
      <c r="O92" s="13" t="n">
        <f aca="false">TS_Setup!$B$15*G92+(1-TS_Setup!$B$15)*(O91+W91)</f>
        <v>233.005780662452</v>
      </c>
      <c r="P92" s="13" t="n">
        <f aca="false">TS_Setup!$B$15*H92+(1-TS_Setup!$B$15)*(P91+X91)</f>
        <v>744.718265700212</v>
      </c>
      <c r="Q92" s="13" t="n">
        <f aca="false">TS_Setup!$B$15*I92+(1-TS_Setup!$B$15)*(Q91+Y91)</f>
        <v>935.230522532292</v>
      </c>
      <c r="R92" s="16" t="n">
        <f aca="false">TS_Setup!$B$16*(J92-J91)+(1-TS_Setup!$B$16)*R91</f>
        <v>0.770197027634491</v>
      </c>
      <c r="S92" s="16" t="n">
        <f aca="false">TS_Setup!$B$16*(K92-K91)+(1-TS_Setup!$B$16)*S91</f>
        <v>0.698335381838544</v>
      </c>
      <c r="T92" s="16" t="n">
        <f aca="false">TS_Setup!$B$16*(L92-L91)+(1-TS_Setup!$B$16)*T91</f>
        <v>0.0698839359071883</v>
      </c>
      <c r="U92" s="16" t="n">
        <f aca="false">TS_Setup!$B$16*(M92-M91)+(1-TS_Setup!$B$16)*U91</f>
        <v>-0.0352101187633607</v>
      </c>
      <c r="V92" s="16" t="n">
        <f aca="false">TS_Setup!$B$16*(N92-N91)+(1-TS_Setup!$B$16)*V91</f>
        <v>4.83693294871434</v>
      </c>
      <c r="W92" s="16" t="n">
        <f aca="false">TS_Setup!$B$16*(O92-O91)+(1-TS_Setup!$B$16)*W91</f>
        <v>1.22488493433106</v>
      </c>
      <c r="X92" s="16" t="n">
        <f aca="false">TS_Setup!$B$16*(P92-P91)+(1-TS_Setup!$B$16)*X91</f>
        <v>14.4611378120612</v>
      </c>
      <c r="Y92" s="16" t="n">
        <f aca="false">TS_Setup!$B$16*(Q92-Q91)+(1-TS_Setup!$B$16)*Y91</f>
        <v>28.3790997165401</v>
      </c>
    </row>
    <row r="93" customFormat="false" ht="15" hidden="false" customHeight="false" outlineLevel="0" collapsed="false">
      <c r="A93" s="11" t="n">
        <f aca="false">Daily!A92</f>
        <v>43974</v>
      </c>
      <c r="B93" s="13" t="n">
        <f aca="false">SUMIFS(Data!$B$2:$B$2797,Data!$A$2:$A$2797,$A93,Data!$F$2:$F$2797,B$5)</f>
        <v>26</v>
      </c>
      <c r="C93" s="13" t="n">
        <f aca="false">SUMIFS(Data!$B$2:$B$2797,Data!$A$2:$A$2797,$A93,Data!$F$2:$F$2797,C$5)</f>
        <v>108</v>
      </c>
      <c r="D93" s="13" t="n">
        <f aca="false">SUMIFS(Data!$B$2:$B$2797,Data!$A$2:$A$2797,$A93,Data!$F$2:$F$2797,D$5)</f>
        <v>0</v>
      </c>
      <c r="E93" s="13" t="n">
        <f aca="false">SUMIFS(Data!$B$2:$B$2797,Data!$A$2:$A$2797,$A93,Data!$F$2:$F$2797,E$5)</f>
        <v>9</v>
      </c>
      <c r="F93" s="13" t="n">
        <f aca="false">SUMIFS(Data!$B$2:$B$2797,Data!$A$2:$A$2797,$A93,Data!$F$2:$F$2797,F$5)</f>
        <v>135</v>
      </c>
      <c r="G93" s="13" t="n">
        <f aca="false">SUMIFS(Data!$B$2:$B$2797,Data!$A$2:$A$2797,$A93,Data!$F$2:$F$2797,G$5)</f>
        <v>193</v>
      </c>
      <c r="H93" s="13" t="n">
        <f aca="false">SUMIFS(Data!$B$2:$B$2797,Data!$A$2:$A$2797,$A93,Data!$F$2:$F$2797,H$5)</f>
        <v>827</v>
      </c>
      <c r="I93" s="13" t="n">
        <f aca="false">SUMIFS(Data!$B$2:$B$2797,Data!$A$2:$A$2797,$A93,Data!$F$2:$F$2797,I$5)</f>
        <v>762</v>
      </c>
      <c r="J93" s="13" t="n">
        <f aca="false">TS_Setup!$B$15*B93+(1-TS_Setup!$B$15)*(J92+R92)</f>
        <v>10.7799644481865</v>
      </c>
      <c r="K93" s="13" t="n">
        <f aca="false">TS_Setup!$B$15*C93+(1-TS_Setup!$B$15)*(K92+S92)</f>
        <v>114.962543341711</v>
      </c>
      <c r="L93" s="13" t="n">
        <f aca="false">TS_Setup!$B$15*D93+(1-TS_Setup!$B$15)*(L92+T92)</f>
        <v>-0.239108755533172</v>
      </c>
      <c r="M93" s="13" t="n">
        <f aca="false">TS_Setup!$B$15*E93+(1-TS_Setup!$B$15)*(M92+U92)</f>
        <v>14.5958066711506</v>
      </c>
      <c r="N93" s="13" t="n">
        <f aca="false">TS_Setup!$B$15*F93+(1-TS_Setup!$B$15)*(N92+V92)</f>
        <v>90.0812728569804</v>
      </c>
      <c r="O93" s="13" t="n">
        <f aca="false">TS_Setup!$B$15*G93+(1-TS_Setup!$B$15)*(O92+W92)</f>
        <v>230.478675027476</v>
      </c>
      <c r="P93" s="13" t="n">
        <f aca="false">TS_Setup!$B$15*H93+(1-TS_Setup!$B$15)*(P92+X92)</f>
        <v>765.351077792657</v>
      </c>
      <c r="Q93" s="13" t="n">
        <f aca="false">TS_Setup!$B$15*I93+(1-TS_Setup!$B$15)*(Q92+Y92)</f>
        <v>945.263146624189</v>
      </c>
      <c r="R93" s="16" t="n">
        <f aca="false">TS_Setup!$B$16*(J93-J92)+(1-TS_Setup!$B$16)*R92</f>
        <v>1.06274318952809</v>
      </c>
      <c r="S93" s="16" t="n">
        <f aca="false">TS_Setup!$B$16*(K93-K92)+(1-TS_Setup!$B$16)*S92</f>
        <v>0.564507486055948</v>
      </c>
      <c r="T93" s="16" t="n">
        <f aca="false">TS_Setup!$B$16*(L93-L92)+(1-TS_Setup!$B$16)*T92</f>
        <v>0.0744798744953902</v>
      </c>
      <c r="U93" s="16" t="n">
        <f aca="false">TS_Setup!$B$16*(M93-M92)+(1-TS_Setup!$B$16)*U92</f>
        <v>-0.142767802105872</v>
      </c>
      <c r="V93" s="16" t="n">
        <f aca="false">TS_Setup!$B$16*(N93-N92)+(1-TS_Setup!$B$16)*V92</f>
        <v>5.70032128825542</v>
      </c>
      <c r="W93" s="16" t="n">
        <f aca="false">TS_Setup!$B$16*(O93-O92)+(1-TS_Setup!$B$16)*W92</f>
        <v>0.50450274502405</v>
      </c>
      <c r="X93" s="16" t="n">
        <f aca="false">TS_Setup!$B$16*(P93-P92)+(1-TS_Setup!$B$16)*X92</f>
        <v>15.6460992738948</v>
      </c>
      <c r="Y93" s="16" t="n">
        <f aca="false">TS_Setup!$B$16*(Q93-Q92)+(1-TS_Setup!$B$16)*Y92</f>
        <v>24.8565763966085</v>
      </c>
    </row>
    <row r="94" customFormat="false" ht="15" hidden="false" customHeight="false" outlineLevel="0" collapsed="false">
      <c r="A94" s="11" t="n">
        <f aca="false">Daily!A93</f>
        <v>43975</v>
      </c>
      <c r="B94" s="13" t="n">
        <f aca="false">SUMIFS(Data!$B$2:$B$2797,Data!$A$2:$A$2797,$A94,Data!$F$2:$F$2797,B$5)</f>
        <v>12</v>
      </c>
      <c r="C94" s="13" t="n">
        <f aca="false">SUMIFS(Data!$B$2:$B$2797,Data!$A$2:$A$2797,$A94,Data!$F$2:$F$2797,C$5)</f>
        <v>101</v>
      </c>
      <c r="D94" s="13" t="n">
        <f aca="false">SUMIFS(Data!$B$2:$B$2797,Data!$A$2:$A$2797,$A94,Data!$F$2:$F$2797,D$5)</f>
        <v>0</v>
      </c>
      <c r="E94" s="13" t="n">
        <f aca="false">SUMIFS(Data!$B$2:$B$2797,Data!$A$2:$A$2797,$A94,Data!$F$2:$F$2797,E$5)</f>
        <v>1</v>
      </c>
      <c r="F94" s="13" t="n">
        <f aca="false">SUMIFS(Data!$B$2:$B$2797,Data!$A$2:$A$2797,$A94,Data!$F$2:$F$2797,F$5)</f>
        <v>49</v>
      </c>
      <c r="G94" s="13" t="n">
        <f aca="false">SUMIFS(Data!$B$2:$B$2797,Data!$A$2:$A$2797,$A94,Data!$F$2:$F$2797,G$5)</f>
        <v>215</v>
      </c>
      <c r="H94" s="13" t="n">
        <f aca="false">SUMIFS(Data!$B$2:$B$2797,Data!$A$2:$A$2797,$A94,Data!$F$2:$F$2797,H$5)</f>
        <v>520</v>
      </c>
      <c r="I94" s="13" t="n">
        <f aca="false">SUMIFS(Data!$B$2:$B$2797,Data!$A$2:$A$2797,$A94,Data!$F$2:$F$2797,I$5)</f>
        <v>846</v>
      </c>
      <c r="J94" s="13" t="n">
        <f aca="false">TS_Setup!$B$15*B94+(1-TS_Setup!$B$15)*(J93+R93)</f>
        <v>11.8570212426826</v>
      </c>
      <c r="K94" s="13" t="n">
        <f aca="false">TS_Setup!$B$15*C94+(1-TS_Setup!$B$15)*(K93+S93)</f>
        <v>114.205089202441</v>
      </c>
      <c r="L94" s="13" t="n">
        <f aca="false">TS_Setup!$B$15*D94+(1-TS_Setup!$B$15)*(L93+T93)</f>
        <v>-0.149647652863343</v>
      </c>
      <c r="M94" s="13" t="n">
        <f aca="false">TS_Setup!$B$15*E94+(1-TS_Setup!$B$15)*(M93+U93)</f>
        <v>13.2288123319616</v>
      </c>
      <c r="N94" s="13" t="n">
        <f aca="false">TS_Setup!$B$15*F94+(1-TS_Setup!$B$15)*(N93+V93)</f>
        <v>91.5244690780193</v>
      </c>
      <c r="O94" s="13" t="n">
        <f aca="false">TS_Setup!$B$15*G94+(1-TS_Setup!$B$15)*(O93+W93)</f>
        <v>229.528708595203</v>
      </c>
      <c r="P94" s="13" t="n">
        <f aca="false">TS_Setup!$B$15*H94+(1-TS_Setup!$B$15)*(P93+X93)</f>
        <v>757.246433953495</v>
      </c>
      <c r="Q94" s="13" t="n">
        <f aca="false">TS_Setup!$B$15*I94+(1-TS_Setup!$B$15)*(Q93+Y93)</f>
        <v>958.824828225905</v>
      </c>
      <c r="R94" s="16" t="n">
        <f aca="false">TS_Setup!$B$16*(J94-J93)+(1-TS_Setup!$B$16)*R93</f>
        <v>1.06549140168194</v>
      </c>
      <c r="S94" s="16" t="n">
        <f aca="false">TS_Setup!$B$16*(K94-K93)+(1-TS_Setup!$B$16)*S93</f>
        <v>0.310690853993198</v>
      </c>
      <c r="T94" s="16" t="n">
        <f aca="false">TS_Setup!$B$16*(L94-L93)+(1-TS_Setup!$B$16)*T93</f>
        <v>0.0773562703048824</v>
      </c>
      <c r="U94" s="16" t="n">
        <f aca="false">TS_Setup!$B$16*(M94-M93)+(1-TS_Setup!$B$16)*U93</f>
        <v>-0.377819297225821</v>
      </c>
      <c r="V94" s="16" t="n">
        <f aca="false">TS_Setup!$B$16*(N94-N93)+(1-TS_Setup!$B$16)*V93</f>
        <v>4.88295327534986</v>
      </c>
      <c r="W94" s="16" t="n">
        <f aca="false">TS_Setup!$B$16*(O94-O93)+(1-TS_Setup!$B$16)*W93</f>
        <v>0.225244662982926</v>
      </c>
      <c r="X94" s="16" t="n">
        <f aca="false">TS_Setup!$B$16*(P94-P93)+(1-TS_Setup!$B$16)*X93</f>
        <v>11.085956596188</v>
      </c>
      <c r="Y94" s="16" t="n">
        <f aca="false">TS_Setup!$B$16*(Q94-Q93)+(1-TS_Setup!$B$16)*Y93</f>
        <v>22.6879565959892</v>
      </c>
    </row>
    <row r="95" customFormat="false" ht="15" hidden="false" customHeight="false" outlineLevel="0" collapsed="false">
      <c r="A95" s="11" t="n">
        <f aca="false">Daily!A94</f>
        <v>43976</v>
      </c>
      <c r="B95" s="13" t="n">
        <f aca="false">SUMIFS(Data!$B$2:$B$2797,Data!$A$2:$A$2797,$A95,Data!$F$2:$F$2797,B$5)</f>
        <v>2</v>
      </c>
      <c r="C95" s="13" t="n">
        <f aca="false">SUMIFS(Data!$B$2:$B$2797,Data!$A$2:$A$2797,$A95,Data!$F$2:$F$2797,C$5)</f>
        <v>61</v>
      </c>
      <c r="D95" s="13" t="n">
        <f aca="false">SUMIFS(Data!$B$2:$B$2797,Data!$A$2:$A$2797,$A95,Data!$F$2:$F$2797,D$5)</f>
        <v>0</v>
      </c>
      <c r="E95" s="13" t="n">
        <f aca="false">SUMIFS(Data!$B$2:$B$2797,Data!$A$2:$A$2797,$A95,Data!$F$2:$F$2797,E$5)</f>
        <v>11</v>
      </c>
      <c r="F95" s="13" t="n">
        <f aca="false">SUMIFS(Data!$B$2:$B$2797,Data!$A$2:$A$2797,$A95,Data!$F$2:$F$2797,F$5)</f>
        <v>87</v>
      </c>
      <c r="G95" s="13" t="n">
        <f aca="false">SUMIFS(Data!$B$2:$B$2797,Data!$A$2:$A$2797,$A95,Data!$F$2:$F$2797,G$5)</f>
        <v>175</v>
      </c>
      <c r="H95" s="13" t="n">
        <f aca="false">SUMIFS(Data!$B$2:$B$2797,Data!$A$2:$A$2797,$A95,Data!$F$2:$F$2797,H$5)</f>
        <v>577</v>
      </c>
      <c r="I95" s="13" t="n">
        <f aca="false">SUMIFS(Data!$B$2:$B$2797,Data!$A$2:$A$2797,$A95,Data!$F$2:$F$2797,I$5)</f>
        <v>443</v>
      </c>
      <c r="J95" s="13" t="n">
        <f aca="false">TS_Setup!$B$15*B95+(1-TS_Setup!$B$15)*(J94+R94)</f>
        <v>11.9285639937273</v>
      </c>
      <c r="K95" s="13" t="n">
        <f aca="false">TS_Setup!$B$15*C95+(1-TS_Setup!$B$15)*(K94+S94)</f>
        <v>109.645844071298</v>
      </c>
      <c r="L95" s="13" t="n">
        <f aca="false">TS_Setup!$B$15*D95+(1-TS_Setup!$B$15)*(L94+T94)</f>
        <v>-0.0657128667456411</v>
      </c>
      <c r="M95" s="13" t="n">
        <f aca="false">TS_Setup!$B$15*E95+(1-TS_Setup!$B$15)*(M94+U94)</f>
        <v>12.6825526685748</v>
      </c>
      <c r="N95" s="13" t="n">
        <f aca="false">TS_Setup!$B$15*F95+(1-TS_Setup!$B$15)*(N94+V94)</f>
        <v>95.5513469192126</v>
      </c>
      <c r="O95" s="13" t="n">
        <f aca="false">TS_Setup!$B$15*G95+(1-TS_Setup!$B$15)*(O94+W94)</f>
        <v>224.771343511691</v>
      </c>
      <c r="P95" s="13" t="n">
        <f aca="false">TS_Setup!$B$15*H95+(1-TS_Setup!$B$15)*(P94+X94)</f>
        <v>750.921143009662</v>
      </c>
      <c r="Q95" s="13" t="n">
        <f aca="false">TS_Setup!$B$15*I95+(1-TS_Setup!$B$15)*(Q94+Y94)</f>
        <v>932.508121403101</v>
      </c>
      <c r="R95" s="16" t="n">
        <f aca="false">TS_Setup!$B$16*(J95-J94)+(1-TS_Setup!$B$16)*R94</f>
        <v>0.874653260759608</v>
      </c>
      <c r="S95" s="16" t="n">
        <f aca="false">TS_Setup!$B$16*(K95-K94)+(1-TS_Setup!$B$16)*S94</f>
        <v>-0.624336855152813</v>
      </c>
      <c r="T95" s="16" t="n">
        <f aca="false">TS_Setup!$B$16*(L95-L94)+(1-TS_Setup!$B$16)*T94</f>
        <v>0.0786193453409438</v>
      </c>
      <c r="U95" s="16" t="n">
        <f aca="false">TS_Setup!$B$16*(M95-M94)+(1-TS_Setup!$B$16)*U94</f>
        <v>-0.410159847528725</v>
      </c>
      <c r="V95" s="16" t="n">
        <f aca="false">TS_Setup!$B$16*(N95-N94)+(1-TS_Setup!$B$16)*V94</f>
        <v>4.7185867919918</v>
      </c>
      <c r="W95" s="16" t="n">
        <f aca="false">TS_Setup!$B$16*(O95-O94)+(1-TS_Setup!$B$16)*W94</f>
        <v>-0.731416408344086</v>
      </c>
      <c r="X95" s="16" t="n">
        <f aca="false">TS_Setup!$B$16*(P95-P94)+(1-TS_Setup!$B$16)*X94</f>
        <v>7.74299706850394</v>
      </c>
      <c r="Y95" s="16" t="n">
        <f aca="false">TS_Setup!$B$16*(Q95-Q94)+(1-TS_Setup!$B$16)*Y94</f>
        <v>13.279061219581</v>
      </c>
    </row>
    <row r="96" customFormat="false" ht="15" hidden="false" customHeight="false" outlineLevel="0" collapsed="false">
      <c r="A96" s="11" t="n">
        <f aca="false">Daily!A95</f>
        <v>43977</v>
      </c>
      <c r="B96" s="13" t="n">
        <f aca="false">SUMIFS(Data!$B$2:$B$2797,Data!$A$2:$A$2797,$A96,Data!$F$2:$F$2797,B$5)</f>
        <v>3</v>
      </c>
      <c r="C96" s="13" t="n">
        <f aca="false">SUMIFS(Data!$B$2:$B$2797,Data!$A$2:$A$2797,$A96,Data!$F$2:$F$2797,C$5)</f>
        <v>68</v>
      </c>
      <c r="D96" s="13" t="n">
        <f aca="false">SUMIFS(Data!$B$2:$B$2797,Data!$A$2:$A$2797,$A96,Data!$F$2:$F$2797,D$5)</f>
        <v>0</v>
      </c>
      <c r="E96" s="13" t="n">
        <f aca="false">SUMIFS(Data!$B$2:$B$2797,Data!$A$2:$A$2797,$A96,Data!$F$2:$F$2797,E$5)</f>
        <v>2</v>
      </c>
      <c r="F96" s="13" t="n">
        <f aca="false">SUMIFS(Data!$B$2:$B$2797,Data!$A$2:$A$2797,$A96,Data!$F$2:$F$2797,F$5)</f>
        <v>151</v>
      </c>
      <c r="G96" s="13" t="n">
        <f aca="false">SUMIFS(Data!$B$2:$B$2797,Data!$A$2:$A$2797,$A96,Data!$F$2:$F$2797,G$5)</f>
        <v>179</v>
      </c>
      <c r="H96" s="13" t="n">
        <f aca="false">SUMIFS(Data!$B$2:$B$2797,Data!$A$2:$A$2797,$A96,Data!$F$2:$F$2797,H$5)</f>
        <v>464</v>
      </c>
      <c r="I96" s="13" t="n">
        <f aca="false">SUMIFS(Data!$B$2:$B$2797,Data!$A$2:$A$2797,$A96,Data!$F$2:$F$2797,I$5)</f>
        <v>573</v>
      </c>
      <c r="J96" s="13" t="n">
        <f aca="false">TS_Setup!$B$15*B96+(1-TS_Setup!$B$15)*(J95+R95)</f>
        <v>11.9111244843286</v>
      </c>
      <c r="K96" s="13" t="n">
        <f aca="false">TS_Setup!$B$15*C96+(1-TS_Setup!$B$15)*(K95+S95)</f>
        <v>105.288550059476</v>
      </c>
      <c r="L96" s="13" t="n">
        <f aca="false">TS_Setup!$B$15*D96+(1-TS_Setup!$B$15)*(L95+T95)</f>
        <v>0.0117319890431301</v>
      </c>
      <c r="M96" s="13" t="n">
        <f aca="false">TS_Setup!$B$15*E96+(1-TS_Setup!$B$15)*(M95+U95)</f>
        <v>11.3376050743309</v>
      </c>
      <c r="N96" s="13" t="n">
        <f aca="false">TS_Setup!$B$15*F96+(1-TS_Setup!$B$15)*(N95+V95)</f>
        <v>104.886369743485</v>
      </c>
      <c r="O96" s="13" t="n">
        <f aca="false">TS_Setup!$B$15*G96+(1-TS_Setup!$B$15)*(O95+W95)</f>
        <v>219.941293736942</v>
      </c>
      <c r="P96" s="13" t="n">
        <f aca="false">TS_Setup!$B$15*H96+(1-TS_Setup!$B$15)*(P95+X95)</f>
        <v>731.849703331053</v>
      </c>
      <c r="Q96" s="13" t="n">
        <f aca="false">TS_Setup!$B$15*I96+(1-TS_Setup!$B$15)*(Q95+Y95)</f>
        <v>911.863549004018</v>
      </c>
      <c r="R96" s="16" t="n">
        <f aca="false">TS_Setup!$B$16*(J96-J95)+(1-TS_Setup!$B$16)*R95</f>
        <v>0.703371448889212</v>
      </c>
      <c r="S96" s="16" t="n">
        <f aca="false">TS_Setup!$B$16*(K96-K95)+(1-TS_Setup!$B$16)*S95</f>
        <v>-1.34106462923331</v>
      </c>
      <c r="T96" s="16" t="n">
        <f aca="false">TS_Setup!$B$16*(L96-L95)+(1-TS_Setup!$B$16)*T95</f>
        <v>0.0783938433469267</v>
      </c>
      <c r="U96" s="16" t="n">
        <f aca="false">TS_Setup!$B$16*(M96-M95)+(1-TS_Setup!$B$16)*U95</f>
        <v>-0.589639094898043</v>
      </c>
      <c r="V96" s="16" t="n">
        <f aca="false">TS_Setup!$B$16*(N96-N95)+(1-TS_Setup!$B$16)*V95</f>
        <v>5.60494251018963</v>
      </c>
      <c r="W96" s="16" t="n">
        <f aca="false">TS_Setup!$B$16*(O96-O95)+(1-TS_Setup!$B$16)*W95</f>
        <v>-1.51835401469376</v>
      </c>
      <c r="X96" s="16" t="n">
        <f aca="false">TS_Setup!$B$16*(P96-P95)+(1-TS_Setup!$B$16)*X95</f>
        <v>2.59462521305825</v>
      </c>
      <c r="Y96" s="16" t="n">
        <f aca="false">TS_Setup!$B$16*(Q96-Q95)+(1-TS_Setup!$B$16)*Y95</f>
        <v>6.76572356479753</v>
      </c>
    </row>
    <row r="97" customFormat="false" ht="15" hidden="false" customHeight="false" outlineLevel="0" collapsed="false">
      <c r="A97" s="11" t="n">
        <f aca="false">Daily!A96</f>
        <v>43978</v>
      </c>
      <c r="B97" s="13" t="n">
        <f aca="false">SUMIFS(Data!$B$2:$B$2797,Data!$A$2:$A$2797,$A97,Data!$F$2:$F$2797,B$5)</f>
        <v>5</v>
      </c>
      <c r="C97" s="13" t="n">
        <f aca="false">SUMIFS(Data!$B$2:$B$2797,Data!$A$2:$A$2797,$A97,Data!$F$2:$F$2797,C$5)</f>
        <v>245</v>
      </c>
      <c r="D97" s="13" t="n">
        <f aca="false">SUMIFS(Data!$B$2:$B$2797,Data!$A$2:$A$2797,$A97,Data!$F$2:$F$2797,D$5)</f>
        <v>0</v>
      </c>
      <c r="E97" s="13" t="n">
        <f aca="false">SUMIFS(Data!$B$2:$B$2797,Data!$A$2:$A$2797,$A97,Data!$F$2:$F$2797,E$5)</f>
        <v>0</v>
      </c>
      <c r="F97" s="13" t="n">
        <f aca="false">SUMIFS(Data!$B$2:$B$2797,Data!$A$2:$A$2797,$A97,Data!$F$2:$F$2797,F$5)</f>
        <v>136</v>
      </c>
      <c r="G97" s="13" t="n">
        <f aca="false">SUMIFS(Data!$B$2:$B$2797,Data!$A$2:$A$2797,$A97,Data!$F$2:$F$2797,G$5)</f>
        <v>169</v>
      </c>
      <c r="H97" s="13" t="n">
        <f aca="false">SUMIFS(Data!$B$2:$B$2797,Data!$A$2:$A$2797,$A97,Data!$F$2:$F$2797,H$5)</f>
        <v>919</v>
      </c>
      <c r="I97" s="13" t="n">
        <f aca="false">SUMIFS(Data!$B$2:$B$2797,Data!$A$2:$A$2797,$A97,Data!$F$2:$F$2797,I$5)</f>
        <v>699</v>
      </c>
      <c r="J97" s="13" t="n">
        <f aca="false">TS_Setup!$B$15*B97+(1-TS_Setup!$B$15)*(J96+R96)</f>
        <v>11.921576803295</v>
      </c>
      <c r="K97" s="13" t="n">
        <f aca="false">TS_Setup!$B$15*C97+(1-TS_Setup!$B$15)*(K96+S96)</f>
        <v>116.783264256091</v>
      </c>
      <c r="L97" s="13" t="n">
        <f aca="false">TS_Setup!$B$15*D97+(1-TS_Setup!$B$15)*(L96+T96)</f>
        <v>0.0819243816425616</v>
      </c>
      <c r="M97" s="13" t="n">
        <f aca="false">TS_Setup!$B$15*E97+(1-TS_Setup!$B$15)*(M96+U96)</f>
        <v>9.76990107530449</v>
      </c>
      <c r="N97" s="13" t="n">
        <f aca="false">TS_Setup!$B$15*F97+(1-TS_Setup!$B$15)*(N96+V96)</f>
        <v>112.81260283859</v>
      </c>
      <c r="O97" s="13" t="n">
        <f aca="false">TS_Setup!$B$15*G97+(1-TS_Setup!$B$15)*(O96+W96)</f>
        <v>213.925452207524</v>
      </c>
      <c r="P97" s="13" t="n">
        <f aca="false">TS_Setup!$B$15*H97+(1-TS_Setup!$B$15)*(P96+X96)</f>
        <v>751.238894646597</v>
      </c>
      <c r="Q97" s="13" t="n">
        <f aca="false">TS_Setup!$B$15*I97+(1-TS_Setup!$B$15)*(Q96+Y96)</f>
        <v>898.643008765054</v>
      </c>
      <c r="R97" s="16" t="n">
        <f aca="false">TS_Setup!$B$16*(J97-J96)+(1-TS_Setup!$B$16)*R96</f>
        <v>0.57033097594403</v>
      </c>
      <c r="S97" s="16" t="n">
        <f aca="false">TS_Setup!$B$16*(K97-K96)+(1-TS_Setup!$B$16)*S96</f>
        <v>1.12340490532949</v>
      </c>
      <c r="T97" s="16" t="n">
        <f aca="false">TS_Setup!$B$16*(L97-L96)+(1-TS_Setup!$B$16)*T96</f>
        <v>0.0768191648034076</v>
      </c>
      <c r="U97" s="16" t="n">
        <f aca="false">TS_Setup!$B$16*(M97-M96)+(1-TS_Setup!$B$16)*U96</f>
        <v>-0.777427556490694</v>
      </c>
      <c r="V97" s="16" t="n">
        <f aca="false">TS_Setup!$B$16*(N97-N96)+(1-TS_Setup!$B$16)*V96</f>
        <v>6.05063030249344</v>
      </c>
      <c r="W97" s="16" t="n">
        <f aca="false">TS_Setup!$B$16*(O97-O96)+(1-TS_Setup!$B$16)*W96</f>
        <v>-2.38187161752088</v>
      </c>
      <c r="X97" s="16" t="n">
        <f aca="false">TS_Setup!$B$16*(P97-P96)+(1-TS_Setup!$B$16)*X96</f>
        <v>5.81918190473554</v>
      </c>
      <c r="Y97" s="16" t="n">
        <f aca="false">TS_Setup!$B$16*(Q97-Q96)+(1-TS_Setup!$B$16)*Y96</f>
        <v>2.92836091447519</v>
      </c>
    </row>
    <row r="98" customFormat="false" ht="15" hidden="false" customHeight="false" outlineLevel="0" collapsed="false">
      <c r="A98" s="11" t="n">
        <f aca="false">Daily!A97</f>
        <v>43979</v>
      </c>
      <c r="B98" s="13" t="n">
        <f aca="false">SUMIFS(Data!$B$2:$B$2797,Data!$A$2:$A$2797,$A98,Data!$F$2:$F$2797,B$5)</f>
        <v>8</v>
      </c>
      <c r="C98" s="13" t="n">
        <f aca="false">SUMIFS(Data!$B$2:$B$2797,Data!$A$2:$A$2797,$A98,Data!$F$2:$F$2797,C$5)</f>
        <v>147</v>
      </c>
      <c r="D98" s="13" t="n">
        <f aca="false">SUMIFS(Data!$B$2:$B$2797,Data!$A$2:$A$2797,$A98,Data!$F$2:$F$2797,D$5)</f>
        <v>0</v>
      </c>
      <c r="E98" s="13" t="n">
        <f aca="false">SUMIFS(Data!$B$2:$B$2797,Data!$A$2:$A$2797,$A98,Data!$F$2:$F$2797,E$5)</f>
        <v>0</v>
      </c>
      <c r="F98" s="13" t="n">
        <f aca="false">SUMIFS(Data!$B$2:$B$2797,Data!$A$2:$A$2797,$A98,Data!$F$2:$F$2797,F$5)</f>
        <v>85</v>
      </c>
      <c r="G98" s="13" t="n">
        <f aca="false">SUMIFS(Data!$B$2:$B$2797,Data!$A$2:$A$2797,$A98,Data!$F$2:$F$2797,G$5)</f>
        <v>292</v>
      </c>
      <c r="H98" s="13" t="n">
        <f aca="false">SUMIFS(Data!$B$2:$B$2797,Data!$A$2:$A$2797,$A98,Data!$F$2:$F$2797,H$5)</f>
        <v>927</v>
      </c>
      <c r="I98" s="13" t="n">
        <f aca="false">SUMIFS(Data!$B$2:$B$2797,Data!$A$2:$A$2797,$A98,Data!$F$2:$F$2797,I$5)</f>
        <v>1103</v>
      </c>
      <c r="J98" s="13" t="n">
        <f aca="false">TS_Setup!$B$15*B98+(1-TS_Setup!$B$15)*(J97+R97)</f>
        <v>12.0831441713283</v>
      </c>
      <c r="K98" s="13" t="n">
        <f aca="false">TS_Setup!$B$15*C98+(1-TS_Setup!$B$15)*(K97+S97)</f>
        <v>120.554162267731</v>
      </c>
      <c r="L98" s="13" t="n">
        <f aca="false">TS_Setup!$B$15*D98+(1-TS_Setup!$B$15)*(L97+T97)</f>
        <v>0.144297883719386</v>
      </c>
      <c r="M98" s="13" t="n">
        <f aca="false">TS_Setup!$B$15*E98+(1-TS_Setup!$B$15)*(M97+U97)</f>
        <v>8.17415842860174</v>
      </c>
      <c r="N98" s="13" t="n">
        <f aca="false">TS_Setup!$B$15*F98+(1-TS_Setup!$B$15)*(N97+V97)</f>
        <v>115.781678925245</v>
      </c>
      <c r="O98" s="13" t="n">
        <f aca="false">TS_Setup!$B$15*G98+(1-TS_Setup!$B$15)*(O97+W97)</f>
        <v>218.865114756313</v>
      </c>
      <c r="P98" s="13" t="n">
        <f aca="false">TS_Setup!$B$15*H98+(1-TS_Setup!$B$15)*(P97+X97)</f>
        <v>772.522791585162</v>
      </c>
      <c r="Q98" s="13" t="n">
        <f aca="false">TS_Setup!$B$15*I98+(1-TS_Setup!$B$15)*(Q97+Y97)</f>
        <v>919.901375038692</v>
      </c>
      <c r="R98" s="16" t="n">
        <f aca="false">TS_Setup!$B$16*(J98-J97)+(1-TS_Setup!$B$16)*R97</f>
        <v>0.491848363225165</v>
      </c>
      <c r="S98" s="16" t="n">
        <f aca="false">TS_Setup!$B$16*(K98-K97)+(1-TS_Setup!$B$16)*S97</f>
        <v>1.63172358174115</v>
      </c>
      <c r="T98" s="16" t="n">
        <f aca="false">TS_Setup!$B$16*(L98-L97)+(1-TS_Setup!$B$16)*T97</f>
        <v>0.0740455975599036</v>
      </c>
      <c r="U98" s="16" t="n">
        <f aca="false">TS_Setup!$B$16*(M98-M97)+(1-TS_Setup!$B$16)*U97</f>
        <v>-0.934544053811409</v>
      </c>
      <c r="V98" s="16" t="n">
        <f aca="false">TS_Setup!$B$16*(N98-N97)+(1-TS_Setup!$B$16)*V97</f>
        <v>5.45897189305242</v>
      </c>
      <c r="W98" s="16" t="n">
        <f aca="false">TS_Setup!$B$16*(O98-O97)+(1-TS_Setup!$B$16)*W97</f>
        <v>-0.97613705758941</v>
      </c>
      <c r="X98" s="16" t="n">
        <f aca="false">TS_Setup!$B$16*(P98-P97)+(1-TS_Setup!$B$16)*X97</f>
        <v>8.78840719123065</v>
      </c>
      <c r="Y98" s="16" t="n">
        <f aca="false">TS_Setup!$B$16*(Q98-Q97)+(1-TS_Setup!$B$16)*Y97</f>
        <v>6.44772194343445</v>
      </c>
    </row>
    <row r="99" customFormat="false" ht="15" hidden="false" customHeight="false" outlineLevel="0" collapsed="false">
      <c r="A99" s="11" t="n">
        <f aca="false">Daily!A98</f>
        <v>43980</v>
      </c>
      <c r="B99" s="13" t="n">
        <f aca="false">SUMIFS(Data!$B$2:$B$2797,Data!$A$2:$A$2797,$A99,Data!$F$2:$F$2797,B$5)</f>
        <v>7</v>
      </c>
      <c r="C99" s="13" t="n">
        <f aca="false">SUMIFS(Data!$B$2:$B$2797,Data!$A$2:$A$2797,$A99,Data!$F$2:$F$2797,C$5)</f>
        <v>159</v>
      </c>
      <c r="D99" s="13" t="n">
        <f aca="false">SUMIFS(Data!$B$2:$B$2797,Data!$A$2:$A$2797,$A99,Data!$F$2:$F$2797,D$5)</f>
        <v>0</v>
      </c>
      <c r="E99" s="13" t="n">
        <f aca="false">SUMIFS(Data!$B$2:$B$2797,Data!$A$2:$A$2797,$A99,Data!$F$2:$F$2797,E$5)</f>
        <v>6</v>
      </c>
      <c r="F99" s="13" t="n">
        <f aca="false">SUMIFS(Data!$B$2:$B$2797,Data!$A$2:$A$2797,$A99,Data!$F$2:$F$2797,F$5)</f>
        <v>92</v>
      </c>
      <c r="G99" s="13" t="n">
        <f aca="false">SUMIFS(Data!$B$2:$B$2797,Data!$A$2:$A$2797,$A99,Data!$F$2:$F$2797,G$5)</f>
        <v>218</v>
      </c>
      <c r="H99" s="13" t="n">
        <f aca="false">SUMIFS(Data!$B$2:$B$2797,Data!$A$2:$A$2797,$A99,Data!$F$2:$F$2797,H$5)</f>
        <v>1140</v>
      </c>
      <c r="I99" s="13" t="n">
        <f aca="false">SUMIFS(Data!$B$2:$B$2797,Data!$A$2:$A$2797,$A99,Data!$F$2:$F$2797,I$5)</f>
        <v>804</v>
      </c>
      <c r="J99" s="13" t="n">
        <f aca="false">TS_Setup!$B$15*B99+(1-TS_Setup!$B$15)*(J98+R98)</f>
        <v>12.0676682139091</v>
      </c>
      <c r="K99" s="13" t="n">
        <f aca="false">TS_Setup!$B$15*C99+(1-TS_Setup!$B$15)*(K98+S98)</f>
        <v>125.53597023717</v>
      </c>
      <c r="L99" s="13" t="n">
        <f aca="false">TS_Setup!$B$15*D99+(1-TS_Setup!$B$15)*(L98+T98)</f>
        <v>0.198474224482874</v>
      </c>
      <c r="M99" s="13" t="n">
        <f aca="false">TS_Setup!$B$15*E99+(1-TS_Setup!$B$15)*(M98+U98)</f>
        <v>7.12680946668441</v>
      </c>
      <c r="N99" s="13" t="n">
        <f aca="false">TS_Setup!$B$15*F99+(1-TS_Setup!$B$15)*(N98+V98)</f>
        <v>118.579751593832</v>
      </c>
      <c r="O99" s="13" t="n">
        <f aca="false">TS_Setup!$B$15*G99+(1-TS_Setup!$B$15)*(O98+W98)</f>
        <v>217.899080728139</v>
      </c>
      <c r="P99" s="13" t="n">
        <f aca="false">TS_Setup!$B$15*H99+(1-TS_Setup!$B$15)*(P98+X98)</f>
        <v>813.951879687741</v>
      </c>
      <c r="Q99" s="13" t="n">
        <f aca="false">TS_Setup!$B$15*I99+(1-TS_Setup!$B$15)*(Q98+Y98)</f>
        <v>915.215329156753</v>
      </c>
      <c r="R99" s="16" t="n">
        <f aca="false">TS_Setup!$B$16*(J99-J98)+(1-TS_Setup!$B$16)*R98</f>
        <v>0.394442093661447</v>
      </c>
      <c r="S99" s="16" t="n">
        <f aca="false">TS_Setup!$B$16*(K99-K98)+(1-TS_Setup!$B$16)*S98</f>
        <v>2.27493978417918</v>
      </c>
      <c r="T99" s="16" t="n">
        <f aca="false">TS_Setup!$B$16*(L99-L98)+(1-TS_Setup!$B$16)*T98</f>
        <v>0.0702307002549919</v>
      </c>
      <c r="U99" s="16" t="n">
        <f aca="false">TS_Setup!$B$16*(M99-M98)+(1-TS_Setup!$B$16)*U98</f>
        <v>-0.956202596167745</v>
      </c>
      <c r="V99" s="16" t="n">
        <f aca="false">TS_Setup!$B$16*(N99-N98)+(1-TS_Setup!$B$16)*V98</f>
        <v>4.94807924195513</v>
      </c>
      <c r="W99" s="16" t="n">
        <f aca="false">TS_Setup!$B$16*(O99-O98)+(1-TS_Setup!$B$16)*W98</f>
        <v>-0.974197275941497</v>
      </c>
      <c r="X99" s="16" t="n">
        <f aca="false">TS_Setup!$B$16*(P99-P98)+(1-TS_Setup!$B$16)*X98</f>
        <v>15.0554179262095</v>
      </c>
      <c r="Y99" s="16" t="n">
        <f aca="false">TS_Setup!$B$16*(Q99-Q98)+(1-TS_Setup!$B$16)*Y98</f>
        <v>4.31003852096275</v>
      </c>
    </row>
    <row r="100" customFormat="false" ht="15" hidden="false" customHeight="false" outlineLevel="0" collapsed="false">
      <c r="A100" s="11" t="n">
        <f aca="false">Daily!A99</f>
        <v>43981</v>
      </c>
      <c r="B100" s="13" t="n">
        <f aca="false">SUMIFS(Data!$B$2:$B$2797,Data!$A$2:$A$2797,$A100,Data!$F$2:$F$2797,B$5)</f>
        <v>17</v>
      </c>
      <c r="C100" s="13" t="n">
        <f aca="false">SUMIFS(Data!$B$2:$B$2797,Data!$A$2:$A$2797,$A100,Data!$F$2:$F$2797,C$5)</f>
        <v>106</v>
      </c>
      <c r="D100" s="13" t="n">
        <f aca="false">SUMIFS(Data!$B$2:$B$2797,Data!$A$2:$A$2797,$A100,Data!$F$2:$F$2797,D$5)</f>
        <v>0</v>
      </c>
      <c r="E100" s="13" t="n">
        <f aca="false">SUMIFS(Data!$B$2:$B$2797,Data!$A$2:$A$2797,$A100,Data!$F$2:$F$2797,E$5)</f>
        <v>12</v>
      </c>
      <c r="F100" s="13" t="n">
        <f aca="false">SUMIFS(Data!$B$2:$B$2797,Data!$A$2:$A$2797,$A100,Data!$F$2:$F$2797,F$5)</f>
        <v>226</v>
      </c>
      <c r="G100" s="13" t="n">
        <f aca="false">SUMIFS(Data!$B$2:$B$2797,Data!$A$2:$A$2797,$A100,Data!$F$2:$F$2797,G$5)</f>
        <v>396</v>
      </c>
      <c r="H100" s="13" t="n">
        <f aca="false">SUMIFS(Data!$B$2:$B$2797,Data!$A$2:$A$2797,$A100,Data!$F$2:$F$2797,H$5)</f>
        <v>952</v>
      </c>
      <c r="I100" s="13" t="n">
        <f aca="false">SUMIFS(Data!$B$2:$B$2797,Data!$A$2:$A$2797,$A100,Data!$F$2:$F$2797,I$5)</f>
        <v>1247</v>
      </c>
      <c r="J100" s="13" t="n">
        <f aca="false">TS_Setup!$B$15*B100+(1-TS_Setup!$B$15)*(J99+R99)</f>
        <v>12.8750582695816</v>
      </c>
      <c r="K100" s="13" t="n">
        <f aca="false">TS_Setup!$B$15*C100+(1-TS_Setup!$B$15)*(K99+S99)</f>
        <v>125.826117209407</v>
      </c>
      <c r="L100" s="13" t="n">
        <f aca="false">TS_Setup!$B$15*D100+(1-TS_Setup!$B$15)*(L99+T99)</f>
        <v>0.24425277658672</v>
      </c>
      <c r="M100" s="13" t="n">
        <f aca="false">TS_Setup!$B$15*E100+(1-TS_Setup!$B$15)*(M99+U99)</f>
        <v>6.70108164529965</v>
      </c>
      <c r="N100" s="13" t="n">
        <f aca="false">TS_Setup!$B$15*F100+(1-TS_Setup!$B$15)*(N99+V99)</f>
        <v>132.852798229731</v>
      </c>
      <c r="O100" s="13" t="n">
        <f aca="false">TS_Setup!$B$15*G100+(1-TS_Setup!$B$15)*(O99+W99)</f>
        <v>233.220719058048</v>
      </c>
      <c r="P100" s="13" t="n">
        <f aca="false">TS_Setup!$B$15*H100+(1-TS_Setup!$B$15)*(P99+X99)</f>
        <v>840.199633531081</v>
      </c>
      <c r="Q100" s="13" t="n">
        <f aca="false">TS_Setup!$B$15*I100+(1-TS_Setup!$B$15)*(Q99+Y99)</f>
        <v>949.325559219043</v>
      </c>
      <c r="R100" s="16" t="n">
        <f aca="false">TS_Setup!$B$16*(J100-J99)+(1-TS_Setup!$B$16)*R99</f>
        <v>0.473728102367574</v>
      </c>
      <c r="S100" s="16" t="n">
        <f aca="false">TS_Setup!$B$16*(K100-K99)+(1-TS_Setup!$B$16)*S99</f>
        <v>1.89385956428616</v>
      </c>
      <c r="T100" s="16" t="n">
        <f aca="false">TS_Setup!$B$16*(L100-L99)+(1-TS_Setup!$B$16)*T99</f>
        <v>0.0655358878099719</v>
      </c>
      <c r="U100" s="16" t="n">
        <f aca="false">TS_Setup!$B$16*(M100-M99)+(1-TS_Setup!$B$16)*U99</f>
        <v>-0.854351439409413</v>
      </c>
      <c r="V100" s="16" t="n">
        <f aca="false">TS_Setup!$B$16*(N100-N99)+(1-TS_Setup!$B$16)*V99</f>
        <v>6.73847298159225</v>
      </c>
      <c r="W100" s="16" t="n">
        <f aca="false">TS_Setup!$B$16*(O100-O99)+(1-TS_Setup!$B$16)*W99</f>
        <v>2.1546031603817</v>
      </c>
      <c r="X100" s="16" t="n">
        <f aca="false">TS_Setup!$B$16*(P100-P99)+(1-TS_Setup!$B$16)*X99</f>
        <v>17.2043464222986</v>
      </c>
      <c r="Y100" s="16" t="n">
        <f aca="false">TS_Setup!$B$16*(Q100-Q99)+(1-TS_Setup!$B$16)*Y99</f>
        <v>10.0316752968977</v>
      </c>
    </row>
    <row r="101" customFormat="false" ht="15" hidden="false" customHeight="false" outlineLevel="0" collapsed="false">
      <c r="A101" s="11" t="n">
        <f aca="false">Daily!A100</f>
        <v>43982</v>
      </c>
      <c r="B101" s="13" t="n">
        <f aca="false">SUMIFS(Data!$B$2:$B$2797,Data!$A$2:$A$2797,$A101,Data!$F$2:$F$2797,B$5)</f>
        <v>4</v>
      </c>
      <c r="C101" s="13" t="n">
        <f aca="false">SUMIFS(Data!$B$2:$B$2797,Data!$A$2:$A$2797,$A101,Data!$F$2:$F$2797,C$5)</f>
        <v>200</v>
      </c>
      <c r="D101" s="13" t="n">
        <f aca="false">SUMIFS(Data!$B$2:$B$2797,Data!$A$2:$A$2797,$A101,Data!$F$2:$F$2797,D$5)</f>
        <v>0</v>
      </c>
      <c r="E101" s="13" t="n">
        <f aca="false">SUMIFS(Data!$B$2:$B$2797,Data!$A$2:$A$2797,$A101,Data!$F$2:$F$2797,E$5)</f>
        <v>30</v>
      </c>
      <c r="F101" s="13" t="n">
        <f aca="false">SUMIFS(Data!$B$2:$B$2797,Data!$A$2:$A$2797,$A101,Data!$F$2:$F$2797,F$5)</f>
        <v>171</v>
      </c>
      <c r="G101" s="13" t="n">
        <f aca="false">SUMIFS(Data!$B$2:$B$2797,Data!$A$2:$A$2797,$A101,Data!$F$2:$F$2797,G$5)</f>
        <v>409</v>
      </c>
      <c r="H101" s="13" t="n">
        <f aca="false">SUMIFS(Data!$B$2:$B$2797,Data!$A$2:$A$2797,$A101,Data!$F$2:$F$2797,H$5)</f>
        <v>1184</v>
      </c>
      <c r="I101" s="13" t="n">
        <f aca="false">SUMIFS(Data!$B$2:$B$2797,Data!$A$2:$A$2797,$A101,Data!$F$2:$F$2797,I$5)</f>
        <v>885</v>
      </c>
      <c r="J101" s="13" t="n">
        <f aca="false">TS_Setup!$B$15*B101+(1-TS_Setup!$B$15)*(J100+R100)</f>
        <v>12.4980468121018</v>
      </c>
      <c r="K101" s="13" t="n">
        <f aca="false">TS_Setup!$B$15*C101+(1-TS_Setup!$B$15)*(K100+S100)</f>
        <v>134.297458887287</v>
      </c>
      <c r="L101" s="13" t="n">
        <f aca="false">TS_Setup!$B$15*D101+(1-TS_Setup!$B$15)*(L100+T100)</f>
        <v>0.281597895936593</v>
      </c>
      <c r="M101" s="13" t="n">
        <f aca="false">TS_Setup!$B$15*E101+(1-TS_Setup!$B$15)*(M100+U100)</f>
        <v>8.04467775715423</v>
      </c>
      <c r="N101" s="13" t="n">
        <f aca="false">TS_Setup!$B$15*F101+(1-TS_Setup!$B$15)*(N100+V100)</f>
        <v>142.449465531093</v>
      </c>
      <c r="O101" s="13" t="n">
        <f aca="false">TS_Setup!$B$15*G101+(1-TS_Setup!$B$15)*(O100+W100)</f>
        <v>251.175167896553</v>
      </c>
      <c r="P101" s="13" t="n">
        <f aca="false">TS_Setup!$B$15*H101+(1-TS_Setup!$B$15)*(P100+X100)</f>
        <v>887.124217777622</v>
      </c>
      <c r="Q101" s="13" t="n">
        <f aca="false">TS_Setup!$B$15*I101+(1-TS_Setup!$B$15)*(Q100+Y100)</f>
        <v>952.59072617499</v>
      </c>
      <c r="R101" s="16" t="n">
        <f aca="false">TS_Setup!$B$16*(J101-J100)+(1-TS_Setup!$B$16)*R100</f>
        <v>0.310386106876878</v>
      </c>
      <c r="S101" s="16" t="n">
        <f aca="false">TS_Setup!$B$16*(K101-K100)+(1-TS_Setup!$B$16)*S100</f>
        <v>3.1567361300962</v>
      </c>
      <c r="T101" s="16" t="n">
        <f aca="false">TS_Setup!$B$16*(L101-L100)+(1-TS_Setup!$B$16)*T100</f>
        <v>0.0601232602656329</v>
      </c>
      <c r="U101" s="16" t="n">
        <f aca="false">TS_Setup!$B$16*(M101-M100)+(1-TS_Setup!$B$16)*U100</f>
        <v>-0.432345509566727</v>
      </c>
      <c r="V101" s="16" t="n">
        <f aca="false">TS_Setup!$B$16*(N101-N100)+(1-TS_Setup!$B$16)*V100</f>
        <v>7.28724629098802</v>
      </c>
      <c r="W101" s="16" t="n">
        <f aca="false">TS_Setup!$B$16*(O101-O100)+(1-TS_Setup!$B$16)*W100</f>
        <v>5.1881735305813</v>
      </c>
      <c r="X101" s="16" t="n">
        <f aca="false">TS_Setup!$B$16*(P101-P100)+(1-TS_Setup!$B$16)*X100</f>
        <v>22.9106320845532</v>
      </c>
      <c r="Y101" s="16" t="n">
        <f aca="false">TS_Setup!$B$16*(Q101-Q100)+(1-TS_Setup!$B$16)*Y100</f>
        <v>8.73250569543517</v>
      </c>
    </row>
    <row r="102" customFormat="false" ht="15" hidden="false" customHeight="false" outlineLevel="0" collapsed="false">
      <c r="A102" s="11" t="n">
        <f aca="false">Daily!A101</f>
        <v>43983</v>
      </c>
      <c r="B102" s="13" t="n">
        <f aca="false">SUMIFS(Data!$B$2:$B$2797,Data!$A$2:$A$2797,$A102,Data!$F$2:$F$2797,B$5)</f>
        <v>16</v>
      </c>
      <c r="C102" s="13" t="n">
        <f aca="false">SUMIFS(Data!$B$2:$B$2797,Data!$A$2:$A$2797,$A102,Data!$F$2:$F$2797,C$5)</f>
        <v>55</v>
      </c>
      <c r="D102" s="13" t="n">
        <f aca="false">SUMIFS(Data!$B$2:$B$2797,Data!$A$2:$A$2797,$A102,Data!$F$2:$F$2797,D$5)</f>
        <v>0</v>
      </c>
      <c r="E102" s="13" t="n">
        <f aca="false">SUMIFS(Data!$B$2:$B$2797,Data!$A$2:$A$2797,$A102,Data!$F$2:$F$2797,E$5)</f>
        <v>27</v>
      </c>
      <c r="F102" s="13" t="n">
        <f aca="false">SUMIFS(Data!$B$2:$B$2797,Data!$A$2:$A$2797,$A102,Data!$F$2:$F$2797,F$5)</f>
        <v>304</v>
      </c>
      <c r="G102" s="13" t="n">
        <f aca="false">SUMIFS(Data!$B$2:$B$2797,Data!$A$2:$A$2797,$A102,Data!$F$2:$F$2797,G$5)</f>
        <v>458</v>
      </c>
      <c r="H102" s="13" t="n">
        <f aca="false">SUMIFS(Data!$B$2:$B$2797,Data!$A$2:$A$2797,$A102,Data!$F$2:$F$2797,H$5)</f>
        <v>1610</v>
      </c>
      <c r="I102" s="13" t="n">
        <f aca="false">SUMIFS(Data!$B$2:$B$2797,Data!$A$2:$A$2797,$A102,Data!$F$2:$F$2797,I$5)</f>
        <v>1402</v>
      </c>
      <c r="J102" s="13" t="n">
        <f aca="false">TS_Setup!$B$15*B102+(1-TS_Setup!$B$15)*(J101+R101)</f>
        <v>13.0988655233516</v>
      </c>
      <c r="K102" s="13" t="n">
        <f aca="false">TS_Setup!$B$15*C102+(1-TS_Setup!$B$15)*(K101+S101)</f>
        <v>129.950863270801</v>
      </c>
      <c r="L102" s="13" t="n">
        <f aca="false">TS_Setup!$B$15*D102+(1-TS_Setup!$B$15)*(L101+T101)</f>
        <v>0.310624530987824</v>
      </c>
      <c r="M102" s="13" t="n">
        <f aca="false">TS_Setup!$B$15*E102+(1-TS_Setup!$B$15)*(M101+U101)</f>
        <v>9.37661001305704</v>
      </c>
      <c r="N102" s="13" t="n">
        <f aca="false">TS_Setup!$B$15*F102+(1-TS_Setup!$B$15)*(N101+V101)</f>
        <v>163.774671046271</v>
      </c>
      <c r="O102" s="13" t="n">
        <f aca="false">TS_Setup!$B$15*G102+(1-TS_Setup!$B$15)*(O101+W101)</f>
        <v>274.712277357265</v>
      </c>
      <c r="P102" s="13" t="n">
        <f aca="false">TS_Setup!$B$15*H102+(1-TS_Setup!$B$15)*(P101+X101)</f>
        <v>973.731678524717</v>
      </c>
      <c r="Q102" s="13" t="n">
        <f aca="false">TS_Setup!$B$15*I102+(1-TS_Setup!$B$15)*(Q101+Y101)</f>
        <v>1001.42481777022</v>
      </c>
      <c r="R102" s="16" t="n">
        <f aca="false">TS_Setup!$B$16*(J102-J101)+(1-TS_Setup!$B$16)*R101</f>
        <v>0.366149166916482</v>
      </c>
      <c r="S102" s="16" t="n">
        <f aca="false">TS_Setup!$B$16*(K102-K101)+(1-TS_Setup!$B$16)*S101</f>
        <v>1.71609643475249</v>
      </c>
      <c r="T102" s="16" t="n">
        <f aca="false">TS_Setup!$B$16*(L102-L101)+(1-TS_Setup!$B$16)*T101</f>
        <v>0.0541527082244676</v>
      </c>
      <c r="U102" s="16" t="n">
        <f aca="false">TS_Setup!$B$16*(M102-M101)+(1-TS_Setup!$B$16)*U101</f>
        <v>-0.0936041785965752</v>
      </c>
      <c r="V102" s="16" t="n">
        <f aca="false">TS_Setup!$B$16*(N102-N101)+(1-TS_Setup!$B$16)*V101</f>
        <v>9.98253446203262</v>
      </c>
      <c r="W102" s="16" t="n">
        <f aca="false">TS_Setup!$B$16*(O102-O101)+(1-TS_Setup!$B$16)*W101</f>
        <v>8.71116922916642</v>
      </c>
      <c r="X102" s="16" t="n">
        <f aca="false">TS_Setup!$B$16*(P102-P101)+(1-TS_Setup!$B$16)*X101</f>
        <v>35.1404231877613</v>
      </c>
      <c r="Y102" s="16" t="n">
        <f aca="false">TS_Setup!$B$16*(Q102-Q101)+(1-TS_Setup!$B$16)*Y101</f>
        <v>16.4320101881951</v>
      </c>
    </row>
    <row r="103" customFormat="false" ht="15" hidden="false" customHeight="false" outlineLevel="0" collapsed="false">
      <c r="A103" s="11" t="n">
        <f aca="false">Daily!A102</f>
        <v>43984</v>
      </c>
      <c r="B103" s="13" t="n">
        <f aca="false">SUMIFS(Data!$B$2:$B$2797,Data!$A$2:$A$2797,$A103,Data!$F$2:$F$2797,B$5)</f>
        <v>13</v>
      </c>
      <c r="C103" s="13" t="n">
        <f aca="false">SUMIFS(Data!$B$2:$B$2797,Data!$A$2:$A$2797,$A103,Data!$F$2:$F$2797,C$5)</f>
        <v>405</v>
      </c>
      <c r="D103" s="13" t="n">
        <f aca="false">SUMIFS(Data!$B$2:$B$2797,Data!$A$2:$A$2797,$A103,Data!$F$2:$F$2797,D$5)</f>
        <v>0</v>
      </c>
      <c r="E103" s="13" t="n">
        <f aca="false">SUMIFS(Data!$B$2:$B$2797,Data!$A$2:$A$2797,$A103,Data!$F$2:$F$2797,E$5)</f>
        <v>43</v>
      </c>
      <c r="F103" s="13" t="n">
        <f aca="false">SUMIFS(Data!$B$2:$B$2797,Data!$A$2:$A$2797,$A103,Data!$F$2:$F$2797,F$5)</f>
        <v>295</v>
      </c>
      <c r="G103" s="13" t="n">
        <f aca="false">SUMIFS(Data!$B$2:$B$2797,Data!$A$2:$A$2797,$A103,Data!$F$2:$F$2797,G$5)</f>
        <v>408</v>
      </c>
      <c r="H103" s="13" t="n">
        <f aca="false">SUMIFS(Data!$B$2:$B$2797,Data!$A$2:$A$2797,$A103,Data!$F$2:$F$2797,H$5)</f>
        <v>1639</v>
      </c>
      <c r="I103" s="13" t="n">
        <f aca="false">SUMIFS(Data!$B$2:$B$2797,Data!$A$2:$A$2797,$A103,Data!$F$2:$F$2797,I$5)</f>
        <v>1439</v>
      </c>
      <c r="J103" s="13" t="n">
        <f aca="false">TS_Setup!$B$15*B103+(1-TS_Setup!$B$15)*(J102+R102)</f>
        <v>13.4226983534537</v>
      </c>
      <c r="K103" s="13" t="n">
        <f aca="false">TS_Setup!$B$15*C103+(1-TS_Setup!$B$15)*(K102+S102)</f>
        <v>156.540266372348</v>
      </c>
      <c r="L103" s="13" t="n">
        <f aca="false">TS_Setup!$B$15*D103+(1-TS_Setup!$B$15)*(L102+T102)</f>
        <v>0.331582510443973</v>
      </c>
      <c r="M103" s="13" t="n">
        <f aca="false">TS_Setup!$B$15*E103+(1-TS_Setup!$B$15)*(M102+U102)</f>
        <v>12.3512523035246</v>
      </c>
      <c r="N103" s="13" t="n">
        <f aca="false">TS_Setup!$B$15*F103+(1-TS_Setup!$B$15)*(N102+V102)</f>
        <v>184.790299807048</v>
      </c>
      <c r="O103" s="13" t="n">
        <f aca="false">TS_Setup!$B$15*G103+(1-TS_Setup!$B$15)*(O102+W102)</f>
        <v>294.759912947066</v>
      </c>
      <c r="P103" s="13" t="n">
        <f aca="false">TS_Setup!$B$15*H103+(1-TS_Setup!$B$15)*(P102+X102)</f>
        <v>1066.21374045664</v>
      </c>
      <c r="Q103" s="13" t="n">
        <f aca="false">TS_Setup!$B$15*I103+(1-TS_Setup!$B$15)*(Q102+Y102)</f>
        <v>1056.1808566142</v>
      </c>
      <c r="R103" s="16" t="n">
        <f aca="false">TS_Setup!$B$16*(J103-J102)+(1-TS_Setup!$B$16)*R102</f>
        <v>0.358024430248118</v>
      </c>
      <c r="S103" s="16" t="n">
        <f aca="false">TS_Setup!$B$16*(K103-K102)+(1-TS_Setup!$B$16)*S102</f>
        <v>6.49177131477706</v>
      </c>
      <c r="T103" s="16" t="n">
        <f aca="false">TS_Setup!$B$16*(L103-L102)+(1-TS_Setup!$B$16)*T102</f>
        <v>0.0477793203009505</v>
      </c>
      <c r="U103" s="16" t="n">
        <f aca="false">TS_Setup!$B$16*(M103-M102)+(1-TS_Setup!$B$16)*U102</f>
        <v>0.495499143463732</v>
      </c>
      <c r="V103" s="16" t="n">
        <f aca="false">TS_Setup!$B$16*(N103-N102)+(1-TS_Setup!$B$16)*V102</f>
        <v>12.1008885673915</v>
      </c>
      <c r="W103" s="16" t="n">
        <f aca="false">TS_Setup!$B$16*(O103-O102)+(1-TS_Setup!$B$16)*W102</f>
        <v>10.8877707704083</v>
      </c>
      <c r="X103" s="16" t="n">
        <f aca="false">TS_Setup!$B$16*(P103-P102)+(1-TS_Setup!$B$16)*X102</f>
        <v>46.1500178266409</v>
      </c>
      <c r="Y103" s="16" t="n">
        <f aca="false">TS_Setup!$B$16*(Q103-Q102)+(1-TS_Setup!$B$16)*Y102</f>
        <v>23.7902236901057</v>
      </c>
    </row>
    <row r="104" customFormat="false" ht="15" hidden="false" customHeight="false" outlineLevel="0" collapsed="false">
      <c r="A104" s="11" t="n">
        <f aca="false">Daily!A103</f>
        <v>43985</v>
      </c>
      <c r="B104" s="13" t="n">
        <f aca="false">SUMIFS(Data!$B$2:$B$2797,Data!$A$2:$A$2797,$A104,Data!$F$2:$F$2797,B$5)</f>
        <v>1</v>
      </c>
      <c r="C104" s="13" t="n">
        <f aca="false">SUMIFS(Data!$B$2:$B$2797,Data!$A$2:$A$2797,$A104,Data!$F$2:$F$2797,C$5)</f>
        <v>371</v>
      </c>
      <c r="D104" s="13" t="n">
        <f aca="false">SUMIFS(Data!$B$2:$B$2797,Data!$A$2:$A$2797,$A104,Data!$F$2:$F$2797,D$5)</f>
        <v>0</v>
      </c>
      <c r="E104" s="13" t="n">
        <f aca="false">SUMIFS(Data!$B$2:$B$2797,Data!$A$2:$A$2797,$A104,Data!$F$2:$F$2797,E$5)</f>
        <v>46</v>
      </c>
      <c r="F104" s="13" t="n">
        <f aca="false">SUMIFS(Data!$B$2:$B$2797,Data!$A$2:$A$2797,$A104,Data!$F$2:$F$2797,F$5)</f>
        <v>356</v>
      </c>
      <c r="G104" s="13" t="n">
        <f aca="false">SUMIFS(Data!$B$2:$B$2797,Data!$A$2:$A$2797,$A104,Data!$F$2:$F$2797,G$5)</f>
        <v>464</v>
      </c>
      <c r="H104" s="13" t="n">
        <f aca="false">SUMIFS(Data!$B$2:$B$2797,Data!$A$2:$A$2797,$A104,Data!$F$2:$F$2797,H$5)</f>
        <v>1615</v>
      </c>
      <c r="I104" s="13" t="n">
        <f aca="false">SUMIFS(Data!$B$2:$B$2797,Data!$A$2:$A$2797,$A104,Data!$F$2:$F$2797,I$5)</f>
        <v>1824</v>
      </c>
      <c r="J104" s="13" t="n">
        <f aca="false">TS_Setup!$B$15*B104+(1-TS_Setup!$B$15)*(J103+R103)</f>
        <v>12.617677010385</v>
      </c>
      <c r="K104" s="13" t="n">
        <f aca="false">TS_Setup!$B$15*C104+(1-TS_Setup!$B$15)*(K103+S103)</f>
        <v>181.957122257597</v>
      </c>
      <c r="L104" s="13" t="n">
        <f aca="false">TS_Setup!$B$15*D104+(1-TS_Setup!$B$15)*(L103+T103)</f>
        <v>0.344839904147135</v>
      </c>
      <c r="M104" s="13" t="n">
        <f aca="false">TS_Setup!$B$15*E104+(1-TS_Setup!$B$15)*(M103+U103)</f>
        <v>15.8636970653124</v>
      </c>
      <c r="N104" s="13" t="n">
        <f aca="false">TS_Setup!$B$15*F104+(1-TS_Setup!$B$15)*(N103+V103)</f>
        <v>211.370090232366</v>
      </c>
      <c r="O104" s="13" t="n">
        <f aca="false">TS_Setup!$B$15*G104+(1-TS_Setup!$B$15)*(O103+W103)</f>
        <v>320.057744499184</v>
      </c>
      <c r="P104" s="13" t="n">
        <f aca="false">TS_Setup!$B$15*H104+(1-TS_Setup!$B$15)*(P103+X103)</f>
        <v>1158.1036562795</v>
      </c>
      <c r="Q104" s="13" t="n">
        <f aca="false">TS_Setup!$B$15*I104+(1-TS_Setup!$B$15)*(Q103+Y103)</f>
        <v>1147.67771199661</v>
      </c>
      <c r="R104" s="16" t="n">
        <f aca="false">TS_Setup!$B$16*(J104-J103)+(1-TS_Setup!$B$16)*R103</f>
        <v>0.134719641771279</v>
      </c>
      <c r="S104" s="16" t="n">
        <f aca="false">TS_Setup!$B$16*(K104-K103)+(1-TS_Setup!$B$16)*S103</f>
        <v>10.1253875523076</v>
      </c>
      <c r="T104" s="16" t="n">
        <f aca="false">TS_Setup!$B$16*(L104-L103)+(1-TS_Setup!$B$16)*T103</f>
        <v>0.0411511103941752</v>
      </c>
      <c r="U104" s="16" t="n">
        <f aca="false">TS_Setup!$B$16*(M104-M103)+(1-TS_Setup!$B$16)*U103</f>
        <v>1.07475270218195</v>
      </c>
      <c r="V104" s="16" t="n">
        <f aca="false">TS_Setup!$B$16*(N104-N103)+(1-TS_Setup!$B$16)*V103</f>
        <v>14.8808377241133</v>
      </c>
      <c r="W104" s="16" t="n">
        <f aca="false">TS_Setup!$B$16*(O104-O103)+(1-TS_Setup!$B$16)*W103</f>
        <v>13.6545024404966</v>
      </c>
      <c r="X104" s="16" t="n">
        <f aca="false">TS_Setup!$B$16*(P104-P103)+(1-TS_Setup!$B$16)*X103</f>
        <v>54.9320782419153</v>
      </c>
      <c r="Y104" s="16" t="n">
        <f aca="false">TS_Setup!$B$16*(Q104-Q103)+(1-TS_Setup!$B$16)*Y103</f>
        <v>36.789896975029</v>
      </c>
    </row>
    <row r="107" customFormat="false" ht="15" hidden="false" customHeight="false" outlineLevel="0" collapsed="false">
      <c r="A107" s="8" t="s">
        <v>507</v>
      </c>
    </row>
    <row r="108" customFormat="false" ht="31.5" hidden="false" customHeight="true" outlineLevel="0" collapsed="false">
      <c r="A108" s="10" t="s">
        <v>411</v>
      </c>
      <c r="B108" s="10" t="s">
        <v>76</v>
      </c>
      <c r="C108" s="10" t="s">
        <v>73</v>
      </c>
      <c r="D108" s="10" t="s">
        <v>77</v>
      </c>
      <c r="E108" s="10" t="s">
        <v>75</v>
      </c>
      <c r="F108" s="10" t="s">
        <v>74</v>
      </c>
      <c r="G108" s="10" t="s">
        <v>72</v>
      </c>
      <c r="H108" s="10" t="s">
        <v>71</v>
      </c>
      <c r="I108" s="10" t="s">
        <v>70</v>
      </c>
      <c r="J108" s="10" t="s">
        <v>508</v>
      </c>
    </row>
    <row r="109" customFormat="false" ht="15" hidden="false" customHeight="false" outlineLevel="0" collapsed="false">
      <c r="A109" s="15" t="n">
        <v>1</v>
      </c>
      <c r="B109" s="13" t="n">
        <f aca="false">MAX(0,J$104+$A109*R$104)</f>
        <v>12.7523966521563</v>
      </c>
      <c r="C109" s="13" t="n">
        <f aca="false">MAX(0,K$104+$A109*S$104)</f>
        <v>192.082509809905</v>
      </c>
      <c r="D109" s="13" t="n">
        <f aca="false">MAX(0,L$104+$A109*T$104)</f>
        <v>0.38599101454131</v>
      </c>
      <c r="E109" s="13" t="n">
        <f aca="false">MAX(0,M$104+$A109*U$104)</f>
        <v>16.9384497674943</v>
      </c>
      <c r="F109" s="13" t="n">
        <f aca="false">MAX(0,N$104+$A109*V$104)</f>
        <v>226.250927956479</v>
      </c>
      <c r="G109" s="13" t="n">
        <f aca="false">MAX(0,O$104+$A109*W$104)</f>
        <v>333.712246939681</v>
      </c>
      <c r="H109" s="13" t="n">
        <f aca="false">MAX(0,P$104+$A109*X$104)</f>
        <v>1213.03573452142</v>
      </c>
      <c r="I109" s="13" t="n">
        <f aca="false">MAX(0,Q$104+$A109*Y$104)</f>
        <v>1184.46760897164</v>
      </c>
      <c r="J109" s="13" t="n">
        <f aca="false">SUM(B109:I109)</f>
        <v>3179.62586563332</v>
      </c>
    </row>
    <row r="110" customFormat="false" ht="15" hidden="false" customHeight="false" outlineLevel="0" collapsed="false">
      <c r="A110" s="15" t="n">
        <v>2</v>
      </c>
      <c r="B110" s="13" t="n">
        <f aca="false">MAX(0,J$104+$A110*R$104)</f>
        <v>12.8871162939275</v>
      </c>
      <c r="C110" s="13" t="n">
        <f aca="false">MAX(0,K$104+$A110*S$104)</f>
        <v>202.207897362212</v>
      </c>
      <c r="D110" s="13" t="n">
        <f aca="false">MAX(0,L$104+$A110*T$104)</f>
        <v>0.427142124935486</v>
      </c>
      <c r="E110" s="13" t="n">
        <f aca="false">MAX(0,M$104+$A110*U$104)</f>
        <v>18.0132024696763</v>
      </c>
      <c r="F110" s="13" t="n">
        <f aca="false">MAX(0,N$104+$A110*V$104)</f>
        <v>241.131765680592</v>
      </c>
      <c r="G110" s="13" t="n">
        <f aca="false">MAX(0,O$104+$A110*W$104)</f>
        <v>347.366749380177</v>
      </c>
      <c r="H110" s="13" t="n">
        <f aca="false">MAX(0,P$104+$A110*X$104)</f>
        <v>1267.96781276334</v>
      </c>
      <c r="I110" s="13" t="n">
        <f aca="false">MAX(0,Q$104+$A110*Y$104)</f>
        <v>1221.25750594667</v>
      </c>
      <c r="J110" s="13" t="n">
        <f aca="false">SUM(B110:I110)</f>
        <v>3311.25919202152</v>
      </c>
    </row>
    <row r="111" customFormat="false" ht="15" hidden="false" customHeight="false" outlineLevel="0" collapsed="false">
      <c r="A111" s="15" t="n">
        <v>3</v>
      </c>
      <c r="B111" s="13" t="n">
        <f aca="false">MAX(0,J$104+$A111*R$104)</f>
        <v>13.0218359356988</v>
      </c>
      <c r="C111" s="13" t="n">
        <f aca="false">MAX(0,K$104+$A111*S$104)</f>
        <v>212.33328491452</v>
      </c>
      <c r="D111" s="13" t="n">
        <f aca="false">MAX(0,L$104+$A111*T$104)</f>
        <v>0.468293235329661</v>
      </c>
      <c r="E111" s="13" t="n">
        <f aca="false">MAX(0,M$104+$A111*U$104)</f>
        <v>19.0879551718582</v>
      </c>
      <c r="F111" s="13" t="n">
        <f aca="false">MAX(0,N$104+$A111*V$104)</f>
        <v>256.012603404706</v>
      </c>
      <c r="G111" s="13" t="n">
        <f aca="false">MAX(0,O$104+$A111*W$104)</f>
        <v>361.021251820674</v>
      </c>
      <c r="H111" s="13" t="n">
        <f aca="false">MAX(0,P$104+$A111*X$104)</f>
        <v>1322.89989100525</v>
      </c>
      <c r="I111" s="13" t="n">
        <f aca="false">MAX(0,Q$104+$A111*Y$104)</f>
        <v>1258.0474029217</v>
      </c>
      <c r="J111" s="13" t="n">
        <f aca="false">SUM(B111:I111)</f>
        <v>3442.89251840973</v>
      </c>
    </row>
    <row r="112" customFormat="false" ht="15" hidden="false" customHeight="false" outlineLevel="0" collapsed="false">
      <c r="A112" s="15" t="n">
        <v>4</v>
      </c>
      <c r="B112" s="13" t="n">
        <f aca="false">MAX(0,J$104+$A112*R$104)</f>
        <v>13.1565555774701</v>
      </c>
      <c r="C112" s="13" t="n">
        <f aca="false">MAX(0,K$104+$A112*S$104)</f>
        <v>222.458672466827</v>
      </c>
      <c r="D112" s="13" t="n">
        <f aca="false">MAX(0,L$104+$A112*T$104)</f>
        <v>0.509444345723836</v>
      </c>
      <c r="E112" s="13" t="n">
        <f aca="false">MAX(0,M$104+$A112*U$104)</f>
        <v>20.1627078740402</v>
      </c>
      <c r="F112" s="13" t="n">
        <f aca="false">MAX(0,N$104+$A112*V$104)</f>
        <v>270.893441128819</v>
      </c>
      <c r="G112" s="13" t="n">
        <f aca="false">MAX(0,O$104+$A112*W$104)</f>
        <v>374.67575426117</v>
      </c>
      <c r="H112" s="13" t="n">
        <f aca="false">MAX(0,P$104+$A112*X$104)</f>
        <v>1377.83196924717</v>
      </c>
      <c r="I112" s="13" t="n">
        <f aca="false">MAX(0,Q$104+$A112*Y$104)</f>
        <v>1294.83729989673</v>
      </c>
      <c r="J112" s="13" t="n">
        <f aca="false">SUM(B112:I112)</f>
        <v>3574.52584479794</v>
      </c>
    </row>
    <row r="113" customFormat="false" ht="15" hidden="false" customHeight="false" outlineLevel="0" collapsed="false">
      <c r="A113" s="15" t="n">
        <v>5</v>
      </c>
      <c r="B113" s="13" t="n">
        <f aca="false">MAX(0,J$104+$A113*R$104)</f>
        <v>13.2912752192414</v>
      </c>
      <c r="C113" s="13" t="n">
        <f aca="false">MAX(0,K$104+$A113*S$104)</f>
        <v>232.584060019135</v>
      </c>
      <c r="D113" s="13" t="n">
        <f aca="false">MAX(0,L$104+$A113*T$104)</f>
        <v>0.550595456118011</v>
      </c>
      <c r="E113" s="13" t="n">
        <f aca="false">MAX(0,M$104+$A113*U$104)</f>
        <v>21.2374605762221</v>
      </c>
      <c r="F113" s="13" t="n">
        <f aca="false">MAX(0,N$104+$A113*V$104)</f>
        <v>285.774278852932</v>
      </c>
      <c r="G113" s="13" t="n">
        <f aca="false">MAX(0,O$104+$A113*W$104)</f>
        <v>388.330256701667</v>
      </c>
      <c r="H113" s="13" t="n">
        <f aca="false">MAX(0,P$104+$A113*X$104)</f>
        <v>1432.76404748908</v>
      </c>
      <c r="I113" s="13" t="n">
        <f aca="false">MAX(0,Q$104+$A113*Y$104)</f>
        <v>1331.62719687176</v>
      </c>
      <c r="J113" s="13" t="n">
        <f aca="false">SUM(B113:I113)</f>
        <v>3706.15917118615</v>
      </c>
    </row>
    <row r="114" customFormat="false" ht="15" hidden="false" customHeight="false" outlineLevel="0" collapsed="false">
      <c r="A114" s="15" t="n">
        <v>6</v>
      </c>
      <c r="B114" s="13" t="n">
        <f aca="false">MAX(0,J$104+$A114*R$104)</f>
        <v>13.4259948610126</v>
      </c>
      <c r="C114" s="13" t="n">
        <f aca="false">MAX(0,K$104+$A114*S$104)</f>
        <v>242.709447571443</v>
      </c>
      <c r="D114" s="13" t="n">
        <f aca="false">MAX(0,L$104+$A114*T$104)</f>
        <v>0.591746566512186</v>
      </c>
      <c r="E114" s="13" t="n">
        <f aca="false">MAX(0,M$104+$A114*U$104)</f>
        <v>22.3122132784041</v>
      </c>
      <c r="F114" s="13" t="n">
        <f aca="false">MAX(0,N$104+$A114*V$104)</f>
        <v>300.655116577046</v>
      </c>
      <c r="G114" s="13" t="n">
        <f aca="false">MAX(0,O$104+$A114*W$104)</f>
        <v>401.984759142163</v>
      </c>
      <c r="H114" s="13" t="n">
        <f aca="false">MAX(0,P$104+$A114*X$104)</f>
        <v>1487.696125731</v>
      </c>
      <c r="I114" s="13" t="n">
        <f aca="false">MAX(0,Q$104+$A114*Y$104)</f>
        <v>1368.41709384678</v>
      </c>
      <c r="J114" s="13" t="n">
        <f aca="false">SUM(B114:I114)</f>
        <v>3837.79249757436</v>
      </c>
    </row>
    <row r="115" customFormat="false" ht="15" hidden="false" customHeight="false" outlineLevel="0" collapsed="false">
      <c r="A115" s="15" t="n">
        <v>7</v>
      </c>
      <c r="B115" s="13" t="n">
        <f aca="false">MAX(0,J$104+$A115*R$104)</f>
        <v>13.5607145027839</v>
      </c>
      <c r="C115" s="13" t="n">
        <f aca="false">MAX(0,K$104+$A115*S$104)</f>
        <v>252.83483512375</v>
      </c>
      <c r="D115" s="13" t="n">
        <f aca="false">MAX(0,L$104+$A115*T$104)</f>
        <v>0.632897676906361</v>
      </c>
      <c r="E115" s="13" t="n">
        <f aca="false">MAX(0,M$104+$A115*U$104)</f>
        <v>23.386965980586</v>
      </c>
      <c r="F115" s="13" t="n">
        <f aca="false">MAX(0,N$104+$A115*V$104)</f>
        <v>315.535954301159</v>
      </c>
      <c r="G115" s="13" t="n">
        <f aca="false">MAX(0,O$104+$A115*W$104)</f>
        <v>415.63926158266</v>
      </c>
      <c r="H115" s="13" t="n">
        <f aca="false">MAX(0,P$104+$A115*X$104)</f>
        <v>1542.62820397291</v>
      </c>
      <c r="I115" s="13" t="n">
        <f aca="false">MAX(0,Q$104+$A115*Y$104)</f>
        <v>1405.20699082181</v>
      </c>
      <c r="J115" s="13" t="n">
        <f aca="false">SUM(B115:I115)</f>
        <v>3969.42582396257</v>
      </c>
    </row>
    <row r="116" customFormat="false" ht="15" hidden="false" customHeight="false" outlineLevel="0" collapsed="false">
      <c r="A116" s="15" t="n">
        <v>8</v>
      </c>
      <c r="B116" s="13" t="n">
        <f aca="false">MAX(0,J$104+$A116*R$104)</f>
        <v>13.6954341445552</v>
      </c>
      <c r="C116" s="13" t="n">
        <f aca="false">MAX(0,K$104+$A116*S$104)</f>
        <v>262.960222676058</v>
      </c>
      <c r="D116" s="13" t="n">
        <f aca="false">MAX(0,L$104+$A116*T$104)</f>
        <v>0.674048787300537</v>
      </c>
      <c r="E116" s="13" t="n">
        <f aca="false">MAX(0,M$104+$A116*U$104)</f>
        <v>24.461718682768</v>
      </c>
      <c r="F116" s="13" t="n">
        <f aca="false">MAX(0,N$104+$A116*V$104)</f>
        <v>330.416792025272</v>
      </c>
      <c r="G116" s="13" t="n">
        <f aca="false">MAX(0,O$104+$A116*W$104)</f>
        <v>429.293764023157</v>
      </c>
      <c r="H116" s="13" t="n">
        <f aca="false">MAX(0,P$104+$A116*X$104)</f>
        <v>1597.56028221483</v>
      </c>
      <c r="I116" s="13" t="n">
        <f aca="false">MAX(0,Q$104+$A116*Y$104)</f>
        <v>1441.99688779684</v>
      </c>
      <c r="J116" s="13" t="n">
        <f aca="false">SUM(B116:I116)</f>
        <v>4101.05915035078</v>
      </c>
    </row>
    <row r="117" customFormat="false" ht="15" hidden="false" customHeight="false" outlineLevel="0" collapsed="false">
      <c r="A117" s="15" t="n">
        <v>9</v>
      </c>
      <c r="B117" s="13" t="n">
        <f aca="false">MAX(0,J$104+$A117*R$104)</f>
        <v>13.8301537863265</v>
      </c>
      <c r="C117" s="13" t="n">
        <f aca="false">MAX(0,K$104+$A117*S$104)</f>
        <v>273.085610228365</v>
      </c>
      <c r="D117" s="13" t="n">
        <f aca="false">MAX(0,L$104+$A117*T$104)</f>
        <v>0.715199897694712</v>
      </c>
      <c r="E117" s="13" t="n">
        <f aca="false">MAX(0,M$104+$A117*U$104)</f>
        <v>25.5364713849499</v>
      </c>
      <c r="F117" s="13" t="n">
        <f aca="false">MAX(0,N$104+$A117*V$104)</f>
        <v>345.297629749386</v>
      </c>
      <c r="G117" s="13" t="n">
        <f aca="false">MAX(0,O$104+$A117*W$104)</f>
        <v>442.948266463653</v>
      </c>
      <c r="H117" s="13" t="n">
        <f aca="false">MAX(0,P$104+$A117*X$104)</f>
        <v>1652.49236045674</v>
      </c>
      <c r="I117" s="13" t="n">
        <f aca="false">MAX(0,Q$104+$A117*Y$104)</f>
        <v>1478.78678477187</v>
      </c>
      <c r="J117" s="13" t="n">
        <f aca="false">SUM(B117:I117)</f>
        <v>4232.69247673899</v>
      </c>
    </row>
    <row r="118" customFormat="false" ht="15" hidden="false" customHeight="false" outlineLevel="0" collapsed="false">
      <c r="A118" s="15" t="n">
        <v>10</v>
      </c>
      <c r="B118" s="13" t="n">
        <f aca="false">MAX(0,J$104+$A118*R$104)</f>
        <v>13.9648734280978</v>
      </c>
      <c r="C118" s="13" t="n">
        <f aca="false">MAX(0,K$104+$A118*S$104)</f>
        <v>283.210997780673</v>
      </c>
      <c r="D118" s="13" t="n">
        <f aca="false">MAX(0,L$104+$A118*T$104)</f>
        <v>0.756351008088887</v>
      </c>
      <c r="E118" s="13" t="n">
        <f aca="false">MAX(0,M$104+$A118*U$104)</f>
        <v>26.6112240871319</v>
      </c>
      <c r="F118" s="13" t="n">
        <f aca="false">MAX(0,N$104+$A118*V$104)</f>
        <v>360.178467473499</v>
      </c>
      <c r="G118" s="13" t="n">
        <f aca="false">MAX(0,O$104+$A118*W$104)</f>
        <v>456.60276890415</v>
      </c>
      <c r="H118" s="13" t="n">
        <f aca="false">MAX(0,P$104+$A118*X$104)</f>
        <v>1707.42443869866</v>
      </c>
      <c r="I118" s="13" t="n">
        <f aca="false">MAX(0,Q$104+$A118*Y$104)</f>
        <v>1515.5766817469</v>
      </c>
      <c r="J118" s="13" t="n">
        <f aca="false">SUM(B118:I118)</f>
        <v>4364.3258031272</v>
      </c>
    </row>
    <row r="119" customFormat="false" ht="15" hidden="false" customHeight="false" outlineLevel="0" collapsed="false">
      <c r="A119" s="15" t="n">
        <v>11</v>
      </c>
      <c r="B119" s="13" t="n">
        <f aca="false">MAX(0,J$104+$A119*R$104)</f>
        <v>14.099593069869</v>
      </c>
      <c r="C119" s="13" t="n">
        <f aca="false">MAX(0,K$104+$A119*S$104)</f>
        <v>293.336385332981</v>
      </c>
      <c r="D119" s="13" t="n">
        <f aca="false">MAX(0,L$104+$A119*T$104)</f>
        <v>0.797502118483062</v>
      </c>
      <c r="E119" s="13" t="n">
        <f aca="false">MAX(0,M$104+$A119*U$104)</f>
        <v>27.6859767893138</v>
      </c>
      <c r="F119" s="13" t="n">
        <f aca="false">MAX(0,N$104+$A119*V$104)</f>
        <v>375.059305197612</v>
      </c>
      <c r="G119" s="13" t="n">
        <f aca="false">MAX(0,O$104+$A119*W$104)</f>
        <v>470.257271344646</v>
      </c>
      <c r="H119" s="13" t="n">
        <f aca="false">MAX(0,P$104+$A119*X$104)</f>
        <v>1762.35651694057</v>
      </c>
      <c r="I119" s="13" t="n">
        <f aca="false">MAX(0,Q$104+$A119*Y$104)</f>
        <v>1552.36657872193</v>
      </c>
      <c r="J119" s="13" t="n">
        <f aca="false">SUM(B119:I119)</f>
        <v>4495.95912951541</v>
      </c>
    </row>
    <row r="120" customFormat="false" ht="15" hidden="false" customHeight="false" outlineLevel="0" collapsed="false">
      <c r="A120" s="15" t="n">
        <v>12</v>
      </c>
      <c r="B120" s="13" t="n">
        <f aca="false">MAX(0,J$104+$A120*R$104)</f>
        <v>14.2343127116403</v>
      </c>
      <c r="C120" s="13" t="n">
        <f aca="false">MAX(0,K$104+$A120*S$104)</f>
        <v>303.461772885288</v>
      </c>
      <c r="D120" s="13" t="n">
        <f aca="false">MAX(0,L$104+$A120*T$104)</f>
        <v>0.838653228877237</v>
      </c>
      <c r="E120" s="13" t="n">
        <f aca="false">MAX(0,M$104+$A120*U$104)</f>
        <v>28.7607294914958</v>
      </c>
      <c r="F120" s="13" t="n">
        <f aca="false">MAX(0,N$104+$A120*V$104)</f>
        <v>389.940142921726</v>
      </c>
      <c r="G120" s="13" t="n">
        <f aca="false">MAX(0,O$104+$A120*W$104)</f>
        <v>483.911773785143</v>
      </c>
      <c r="H120" s="13" t="n">
        <f aca="false">MAX(0,P$104+$A120*X$104)</f>
        <v>1817.28859518249</v>
      </c>
      <c r="I120" s="13" t="n">
        <f aca="false">MAX(0,Q$104+$A120*Y$104)</f>
        <v>1589.15647569696</v>
      </c>
      <c r="J120" s="13" t="n">
        <f aca="false">SUM(B120:I120)</f>
        <v>4627.59245590362</v>
      </c>
    </row>
    <row r="121" customFormat="false" ht="15" hidden="false" customHeight="false" outlineLevel="0" collapsed="false">
      <c r="A121" s="15" t="n">
        <v>13</v>
      </c>
      <c r="B121" s="13" t="n">
        <f aca="false">MAX(0,J$104+$A121*R$104)</f>
        <v>14.3690323534116</v>
      </c>
      <c r="C121" s="13" t="n">
        <f aca="false">MAX(0,K$104+$A121*S$104)</f>
        <v>313.587160437596</v>
      </c>
      <c r="D121" s="13" t="n">
        <f aca="false">MAX(0,L$104+$A121*T$104)</f>
        <v>0.879804339271412</v>
      </c>
      <c r="E121" s="13" t="n">
        <f aca="false">MAX(0,M$104+$A121*U$104)</f>
        <v>29.8354821936777</v>
      </c>
      <c r="F121" s="13" t="n">
        <f aca="false">MAX(0,N$104+$A121*V$104)</f>
        <v>404.820980645839</v>
      </c>
      <c r="G121" s="13" t="n">
        <f aca="false">MAX(0,O$104+$A121*W$104)</f>
        <v>497.56627622564</v>
      </c>
      <c r="H121" s="13" t="n">
        <f aca="false">MAX(0,P$104+$A121*X$104)</f>
        <v>1872.2206734244</v>
      </c>
      <c r="I121" s="13" t="n">
        <f aca="false">MAX(0,Q$104+$A121*Y$104)</f>
        <v>1625.94637267199</v>
      </c>
      <c r="J121" s="13" t="n">
        <f aca="false">SUM(B121:I121)</f>
        <v>4759.22578229183</v>
      </c>
    </row>
    <row r="122" customFormat="false" ht="15" hidden="false" customHeight="false" outlineLevel="0" collapsed="false">
      <c r="A122" s="15" t="n">
        <v>14</v>
      </c>
      <c r="B122" s="13" t="n">
        <f aca="false">MAX(0,J$104+$A122*R$104)</f>
        <v>14.5037519951829</v>
      </c>
      <c r="C122" s="13" t="n">
        <f aca="false">MAX(0,K$104+$A122*S$104)</f>
        <v>323.712547989903</v>
      </c>
      <c r="D122" s="13" t="n">
        <f aca="false">MAX(0,L$104+$A122*T$104)</f>
        <v>0.920955449665587</v>
      </c>
      <c r="E122" s="13" t="n">
        <f aca="false">MAX(0,M$104+$A122*U$104)</f>
        <v>30.9102348958597</v>
      </c>
      <c r="F122" s="13" t="n">
        <f aca="false">MAX(0,N$104+$A122*V$104)</f>
        <v>419.701818369952</v>
      </c>
      <c r="G122" s="13" t="n">
        <f aca="false">MAX(0,O$104+$A122*W$104)</f>
        <v>511.220778666136</v>
      </c>
      <c r="H122" s="13" t="n">
        <f aca="false">MAX(0,P$104+$A122*X$104)</f>
        <v>1927.15275166632</v>
      </c>
      <c r="I122" s="13" t="n">
        <f aca="false">MAX(0,Q$104+$A122*Y$104)</f>
        <v>1662.73626964702</v>
      </c>
      <c r="J122" s="13" t="n">
        <f aca="false">SUM(B122:I122)</f>
        <v>4890.85910868004</v>
      </c>
    </row>
    <row r="123" customFormat="false" ht="15" hidden="false" customHeight="false" outlineLevel="0" collapsed="false">
      <c r="A123" s="20" t="s">
        <v>509</v>
      </c>
      <c r="B123" s="22" t="n">
        <f aca="false">SUM(B109:B122)</f>
        <v>190.793040531374</v>
      </c>
      <c r="C123" s="22" t="n">
        <f aca="false">SUM(C109:C122)</f>
        <v>3610.56540459866</v>
      </c>
      <c r="D123" s="22" t="n">
        <f aca="false">SUM(D109:D122)</f>
        <v>9.14862524944829</v>
      </c>
      <c r="E123" s="22" t="n">
        <f aca="false">SUM(E109:E122)</f>
        <v>334.940792643478</v>
      </c>
      <c r="F123" s="22" t="n">
        <f aca="false">SUM(F109:F122)</f>
        <v>4521.66922428502</v>
      </c>
      <c r="G123" s="22" t="n">
        <f aca="false">SUM(G109:G122)</f>
        <v>5914.53117924072</v>
      </c>
      <c r="H123" s="22" t="n">
        <f aca="false">SUM(H109:H122)</f>
        <v>21981.3194033142</v>
      </c>
      <c r="I123" s="22" t="n">
        <f aca="false">SUM(I109:I122)</f>
        <v>19930.4271503306</v>
      </c>
      <c r="J123" s="22" t="n">
        <f aca="false">SUM(J109:J122)</f>
        <v>56493.3948201935</v>
      </c>
    </row>
    <row r="124" customFormat="false" ht="15" hidden="false" customHeight="false" outlineLevel="0" collapsed="false">
      <c r="A124" s="36" t="s">
        <v>510</v>
      </c>
      <c r="B124" s="13" t="n">
        <f aca="false">SUM(B91:B104)</f>
        <v>137</v>
      </c>
      <c r="C124" s="13" t="n">
        <f aca="false">SUM(C91:C104)</f>
        <v>2256</v>
      </c>
      <c r="D124" s="13" t="n">
        <f aca="false">SUM(D91:D104)</f>
        <v>0</v>
      </c>
      <c r="E124" s="13" t="n">
        <f aca="false">SUM(E91:E104)</f>
        <v>211</v>
      </c>
      <c r="F124" s="13" t="n">
        <f aca="false">SUM(F91:F104)</f>
        <v>2309</v>
      </c>
      <c r="G124" s="13" t="n">
        <f aca="false">SUM(G91:G104)</f>
        <v>4077</v>
      </c>
      <c r="H124" s="13" t="n">
        <f aca="false">SUM(H91:H104)</f>
        <v>13722</v>
      </c>
      <c r="I124" s="13" t="n">
        <f aca="false">SUM(I91:I104)</f>
        <v>13946</v>
      </c>
      <c r="J124" s="13" t="n">
        <f aca="false">SUM(Daily!C90:C103)</f>
        <v>36658</v>
      </c>
    </row>
    <row r="125" customFormat="false" ht="15" hidden="false" customHeight="false" outlineLevel="0" collapsed="false">
      <c r="A125" s="36" t="s">
        <v>511</v>
      </c>
      <c r="B125" s="18" t="n">
        <f aca="false">IF(B124&gt;0,B123/B124-1,"")</f>
        <v>0.392649930885941</v>
      </c>
      <c r="C125" s="18" t="n">
        <f aca="false">IF(C124&gt;0,C123/C124-1,"")</f>
        <v>0.600427927570326</v>
      </c>
      <c r="D125" s="18" t="str">
        <f aca="false">IF(D124&gt;0,D123/D124-1,"")</f>
        <v/>
      </c>
      <c r="E125" s="18" t="n">
        <f aca="false">IF(E124&gt;0,E123/E124-1,"")</f>
        <v>0.587397121533071</v>
      </c>
      <c r="F125" s="18" t="n">
        <f aca="false">IF(F124&gt;0,F123/F124-1,"")</f>
        <v>0.958280305017332</v>
      </c>
      <c r="G125" s="18" t="n">
        <f aca="false">IF(G124&gt;0,G123/G124-1,"")</f>
        <v>0.45070669100827</v>
      </c>
      <c r="H125" s="18" t="n">
        <f aca="false">IF(H124&gt;0,H123/H124-1,"")</f>
        <v>0.60190346912361</v>
      </c>
      <c r="I125" s="18" t="n">
        <f aca="false">IF(I124&gt;0,I123/I124-1,"")</f>
        <v>0.429114237080926</v>
      </c>
      <c r="J125" s="18" t="n">
        <f aca="false">IF(J124&gt;0,J123/J124-1,"")</f>
        <v>0.541093208036267</v>
      </c>
    </row>
    <row r="127" customFormat="false" ht="39.75" hidden="false" customHeight="true" outlineLevel="0" collapsed="false">
      <c r="A127" s="19" t="s">
        <v>512</v>
      </c>
      <c r="B127" s="19"/>
      <c r="C127" s="19"/>
      <c r="D127" s="19"/>
      <c r="E127" s="19"/>
      <c r="F127" s="19"/>
      <c r="G127" s="19"/>
      <c r="H127" s="19"/>
      <c r="I127" s="19"/>
      <c r="J127" s="19"/>
    </row>
  </sheetData>
  <mergeCells count="1">
    <mergeCell ref="A127:J1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G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70"/>
    <col collapsed="false" customWidth="true" hidden="false" outlineLevel="0" max="7" min="5" style="0" width="18"/>
  </cols>
  <sheetData>
    <row r="1" customFormat="false" ht="19.7" hidden="false" customHeight="false" outlineLevel="0" collapsed="false">
      <c r="A1" s="1" t="s">
        <v>513</v>
      </c>
    </row>
    <row r="2" customFormat="false" ht="15" hidden="false" customHeight="false" outlineLevel="0" collapsed="false">
      <c r="A2" s="2" t="s">
        <v>514</v>
      </c>
    </row>
    <row r="4" customFormat="false" ht="15" hidden="false" customHeight="false" outlineLevel="0" collapsed="false">
      <c r="A4" s="8" t="s">
        <v>515</v>
      </c>
    </row>
    <row r="6" customFormat="false" ht="31.5" hidden="false" customHeight="true" outlineLevel="0" collapsed="false">
      <c r="B6" s="10" t="s">
        <v>516</v>
      </c>
      <c r="C6" s="10" t="s">
        <v>240</v>
      </c>
      <c r="D6" s="10" t="s">
        <v>517</v>
      </c>
    </row>
    <row r="7" customFormat="false" ht="43.5" hidden="false" customHeight="true" outlineLevel="0" collapsed="false">
      <c r="B7" s="36" t="s">
        <v>518</v>
      </c>
      <c r="C7" s="64" t="n">
        <v>1</v>
      </c>
      <c r="D7" s="53" t="s">
        <v>519</v>
      </c>
    </row>
    <row r="8" customFormat="false" ht="30" hidden="false" customHeight="true" outlineLevel="0" collapsed="false">
      <c r="B8" s="36" t="s">
        <v>520</v>
      </c>
      <c r="C8" s="65" t="n">
        <v>3</v>
      </c>
      <c r="D8" s="53" t="s">
        <v>521</v>
      </c>
    </row>
    <row r="10" customFormat="false" ht="15" hidden="false" customHeight="false" outlineLevel="0" collapsed="false">
      <c r="A10" s="8" t="s">
        <v>522</v>
      </c>
    </row>
    <row r="11" customFormat="false" ht="31.5" hidden="false" customHeight="true" outlineLevel="0" collapsed="false">
      <c r="B11" s="10" t="s">
        <v>523</v>
      </c>
      <c r="C11" s="10" t="s">
        <v>524</v>
      </c>
      <c r="D11" s="10" t="s">
        <v>525</v>
      </c>
      <c r="E11" s="10" t="s">
        <v>526</v>
      </c>
      <c r="F11" s="10" t="s">
        <v>52</v>
      </c>
    </row>
    <row r="12" customFormat="false" ht="15" hidden="false" customHeight="false" outlineLevel="0" collapsed="false">
      <c r="B12" s="36" t="s">
        <v>527</v>
      </c>
      <c r="C12" s="12" t="s">
        <v>528</v>
      </c>
      <c r="D12" s="12" t="str">
        <f aca="false">KMeans_City!M5&amp;": "&amp;KMeans_City!N5&amp;"  |  "&amp;KMeans_City!M6&amp;": "&amp;KMeans_City!N6&amp;"  |  "&amp;KMeans_City!M7&amp;": "&amp;KMeans_City!N7</f>
        <v>High burden: 6  |  Low burden: 63  |  Medium burden: 48</v>
      </c>
      <c r="E12" s="39" t="n">
        <f aca="false">KMeans_City!$L$21</f>
        <v>95.7075369840099</v>
      </c>
      <c r="F12" s="12" t="str">
        <f aca="false">KMeans_City!$N$21</f>
        <v>Converged</v>
      </c>
    </row>
    <row r="13" customFormat="false" ht="15" hidden="false" customHeight="false" outlineLevel="0" collapsed="false">
      <c r="B13" s="36" t="s">
        <v>529</v>
      </c>
      <c r="C13" s="12" t="s">
        <v>530</v>
      </c>
      <c r="D13" s="12" t="str">
        <f aca="false">KMeans_Province!M5&amp;": "&amp;KMeans_Province!N5&amp;"  |  "&amp;KMeans_Province!M6&amp;": "&amp;KMeans_Province!N6&amp;"  |  "&amp;KMeans_Province!M7&amp;": "&amp;KMeans_Province!N7</f>
        <v>High burden: 3  |  Low burden: 2  |  Medium burden: 3</v>
      </c>
      <c r="E13" s="39" t="n">
        <f aca="false">KMeans_Province!$L$21</f>
        <v>2.27369085502899</v>
      </c>
      <c r="F13" s="12" t="str">
        <f aca="false">KMeans_Province!$N$21</f>
        <v>Converged</v>
      </c>
    </row>
    <row r="14" customFormat="false" ht="15" hidden="false" customHeight="false" outlineLevel="0" collapsed="false">
      <c r="B14" s="36" t="s">
        <v>531</v>
      </c>
      <c r="C14" s="12" t="s">
        <v>532</v>
      </c>
      <c r="D14" s="12" t="str">
        <f aca="false">KMeans_Phase!M5&amp;": "&amp;KMeans_Phase!N5&amp;"  |  "&amp;KMeans_Phase!M6&amp;": "&amp;KMeans_Phase!N6&amp;"  |  "&amp;KMeans_Phase!M7&amp;": "&amp;KMeans_Phase!N7</f>
        <v>Low activity: 28  |  High activity: 30  |  Medium activity: 41</v>
      </c>
      <c r="E14" s="39" t="n">
        <f aca="false">KMeans_Phase!$L$21</f>
        <v>56.6119275351395</v>
      </c>
      <c r="F14" s="12" t="str">
        <f aca="false">KMeans_Phase!$N$21</f>
        <v>Converged</v>
      </c>
    </row>
    <row r="15" customFormat="false" ht="15" hidden="false" customHeight="false" outlineLevel="0" collapsed="false">
      <c r="B15" s="36" t="s">
        <v>533</v>
      </c>
      <c r="C15" s="12" t="s">
        <v>534</v>
      </c>
      <c r="D15" s="12" t="str">
        <f aca="false">KMeans_Travel!M5&amp;": "&amp;KMeans_Travel!N5&amp;"  |  "&amp;KMeans_Travel!M6&amp;": "&amp;KMeans_Travel!N6&amp;"  |  "&amp;KMeans_Travel!M7&amp;": "&amp;KMeans_Travel!N7</f>
        <v>High impact: 1  |  Low impact: 11  |  Medium impact: 3</v>
      </c>
      <c r="E15" s="39" t="n">
        <f aca="false">KMeans_Travel!$L$21</f>
        <v>5.19118291404186</v>
      </c>
      <c r="F15" s="12" t="str">
        <f aca="false">KMeans_Travel!$N$21</f>
        <v>Converged</v>
      </c>
    </row>
    <row r="16" customFormat="false" ht="15" hidden="false" customHeight="false" outlineLevel="0" collapsed="false">
      <c r="B16" s="36" t="s">
        <v>535</v>
      </c>
      <c r="C16" s="12" t="s">
        <v>536</v>
      </c>
      <c r="D16" s="66" t="n">
        <f aca="false">Elbow_Silhouette!C11</f>
        <v>2</v>
      </c>
    </row>
    <row r="18" customFormat="false" ht="15" hidden="false" customHeight="false" outlineLevel="0" collapsed="false">
      <c r="A18" s="8" t="s">
        <v>537</v>
      </c>
    </row>
    <row r="19" customFormat="false" ht="43.5" hidden="false" customHeight="true" outlineLevel="0" collapsed="false">
      <c r="B19" s="9" t="s">
        <v>538</v>
      </c>
      <c r="C19" s="9"/>
      <c r="D19" s="9"/>
      <c r="E19" s="9"/>
      <c r="F19" s="9"/>
      <c r="G19" s="9"/>
    </row>
    <row r="20" customFormat="false" ht="43.5" hidden="false" customHeight="true" outlineLevel="0" collapsed="false">
      <c r="B20" s="9" t="s">
        <v>539</v>
      </c>
      <c r="C20" s="9"/>
      <c r="D20" s="9"/>
      <c r="E20" s="9"/>
      <c r="F20" s="9"/>
      <c r="G20" s="9"/>
    </row>
    <row r="22" customFormat="false" ht="15" hidden="false" customHeight="false" outlineLevel="0" collapsed="false">
      <c r="A22" s="8" t="s">
        <v>540</v>
      </c>
    </row>
    <row r="23" customFormat="false" ht="31.5" hidden="false" customHeight="true" outlineLevel="0" collapsed="false">
      <c r="B23" s="10" t="s">
        <v>541</v>
      </c>
      <c r="C23" s="10" t="s">
        <v>542</v>
      </c>
      <c r="D23" s="10" t="s">
        <v>543</v>
      </c>
    </row>
    <row r="24" customFormat="false" ht="15" hidden="false" customHeight="false" outlineLevel="0" collapsed="false">
      <c r="B24" s="36" t="s">
        <v>24</v>
      </c>
      <c r="C24" s="12" t="s">
        <v>24</v>
      </c>
      <c r="D24" s="12" t="s">
        <v>544</v>
      </c>
    </row>
    <row r="25" customFormat="false" ht="15" hidden="false" customHeight="false" outlineLevel="0" collapsed="false">
      <c r="B25" s="36" t="s">
        <v>545</v>
      </c>
      <c r="C25" s="12" t="s">
        <v>546</v>
      </c>
      <c r="D25" s="12" t="s">
        <v>547</v>
      </c>
    </row>
    <row r="26" customFormat="false" ht="15" hidden="false" customHeight="false" outlineLevel="0" collapsed="false">
      <c r="B26" s="36" t="s">
        <v>548</v>
      </c>
      <c r="C26" s="12" t="s">
        <v>549</v>
      </c>
      <c r="D26" s="12" t="s">
        <v>550</v>
      </c>
    </row>
    <row r="27" customFormat="false" ht="15" hidden="false" customHeight="false" outlineLevel="0" collapsed="false">
      <c r="B27" s="36" t="s">
        <v>551</v>
      </c>
      <c r="C27" s="12" t="s">
        <v>549</v>
      </c>
      <c r="D27" s="12" t="s">
        <v>552</v>
      </c>
    </row>
    <row r="29" customFormat="false" ht="15" hidden="false" customHeight="false" outlineLevel="0" collapsed="false">
      <c r="A29" s="8" t="s">
        <v>553</v>
      </c>
    </row>
    <row r="30" customFormat="false" ht="31.5" hidden="false" customHeight="true" outlineLevel="0" collapsed="false">
      <c r="B30" s="10" t="s">
        <v>554</v>
      </c>
      <c r="C30" s="10" t="s">
        <v>524</v>
      </c>
      <c r="D30" s="10" t="s">
        <v>555</v>
      </c>
    </row>
    <row r="31" customFormat="false" ht="43.5" hidden="false" customHeight="true" outlineLevel="0" collapsed="false">
      <c r="B31" s="67" t="s">
        <v>556</v>
      </c>
      <c r="C31" s="53" t="s">
        <v>557</v>
      </c>
      <c r="D31" s="53" t="s">
        <v>558</v>
      </c>
    </row>
    <row r="32" customFormat="false" ht="43.5" hidden="false" customHeight="true" outlineLevel="0" collapsed="false">
      <c r="B32" s="67" t="s">
        <v>559</v>
      </c>
      <c r="C32" s="53" t="s">
        <v>560</v>
      </c>
      <c r="D32" s="53" t="s">
        <v>561</v>
      </c>
    </row>
    <row r="33" customFormat="false" ht="43.5" hidden="false" customHeight="true" outlineLevel="0" collapsed="false">
      <c r="B33" s="67" t="s">
        <v>562</v>
      </c>
      <c r="C33" s="53" t="s">
        <v>528</v>
      </c>
      <c r="D33" s="53" t="s">
        <v>563</v>
      </c>
    </row>
    <row r="34" customFormat="false" ht="43.5" hidden="false" customHeight="true" outlineLevel="0" collapsed="false">
      <c r="B34" s="67" t="s">
        <v>564</v>
      </c>
      <c r="C34" s="53" t="s">
        <v>528</v>
      </c>
      <c r="D34" s="53" t="s">
        <v>565</v>
      </c>
    </row>
    <row r="35" customFormat="false" ht="43.5" hidden="false" customHeight="true" outlineLevel="0" collapsed="false">
      <c r="B35" s="67" t="s">
        <v>566</v>
      </c>
      <c r="C35" s="53" t="s">
        <v>567</v>
      </c>
      <c r="D35" s="53" t="s">
        <v>568</v>
      </c>
    </row>
    <row r="36" customFormat="false" ht="43.5" hidden="false" customHeight="true" outlineLevel="0" collapsed="false">
      <c r="B36" s="67" t="s">
        <v>569</v>
      </c>
      <c r="C36" s="53" t="s">
        <v>570</v>
      </c>
      <c r="D36" s="53" t="s">
        <v>571</v>
      </c>
    </row>
    <row r="37" customFormat="false" ht="43.5" hidden="false" customHeight="true" outlineLevel="0" collapsed="false">
      <c r="B37" s="67" t="s">
        <v>572</v>
      </c>
      <c r="C37" s="53" t="s">
        <v>573</v>
      </c>
      <c r="D37" s="53" t="s">
        <v>574</v>
      </c>
    </row>
    <row r="38" customFormat="false" ht="43.5" hidden="false" customHeight="true" outlineLevel="0" collapsed="false">
      <c r="B38" s="67" t="s">
        <v>575</v>
      </c>
      <c r="C38" s="53" t="s">
        <v>576</v>
      </c>
      <c r="D38" s="53" t="s">
        <v>577</v>
      </c>
    </row>
    <row r="40" customFormat="false" ht="15" hidden="false" customHeight="false" outlineLevel="0" collapsed="false">
      <c r="A40" s="8" t="s">
        <v>578</v>
      </c>
    </row>
    <row r="41" customFormat="false" ht="43.5" hidden="false" customHeight="true" outlineLevel="0" collapsed="false">
      <c r="B41" s="9" t="str">
        <f aca="false">"Cities: with the log transform, "&amp;TEXT(KMeans_City!N5,"0")&amp;" / "&amp;TEXT(KMeans_City!N6,"0")&amp;" / "&amp;TEXT(KMeans_City!N7,"0")&amp;" cities fall in clusters 1 / 2 / 3. The high-burden cluster averages "&amp;TEXT(INDEX(KMeans_City!O5:O7,MATCH("High burden",KMeans_City!M5:M7,0)),"#,##0")&amp;" cases per city and holds "&amp;TEXT(INDEX(KMeans_City!S5:S7,MATCH("High burden",KMeans_City!M5:M7,0)),"0%")&amp;" of all cases."</f>
        <v>Cities: with the log transform, 6 / 63 / 48 cities fall in clusters 1 / 2 / 3. The high-burden cluster averages 11,979 cases per city and holds 86% of all cases.</v>
      </c>
      <c r="C41" s="9"/>
      <c r="D41" s="9"/>
      <c r="E41" s="9"/>
      <c r="F41" s="9"/>
      <c r="G41" s="9"/>
    </row>
    <row r="42" customFormat="false" ht="43.5" hidden="false" customHeight="true" outlineLevel="0" collapsed="false">
      <c r="B42" s="9" t="s">
        <v>579</v>
      </c>
      <c r="C42" s="9"/>
      <c r="D42" s="9"/>
      <c r="E42" s="9"/>
      <c r="F42" s="9"/>
      <c r="G42" s="9"/>
    </row>
    <row r="43" customFormat="false" ht="30" hidden="false" customHeight="true" outlineLevel="0" collapsed="false">
      <c r="B43" s="9" t="s">
        <v>580</v>
      </c>
      <c r="C43" s="9"/>
      <c r="D43" s="9"/>
      <c r="E43" s="9"/>
      <c r="F43" s="9"/>
      <c r="G43" s="9"/>
    </row>
    <row r="44" customFormat="false" ht="43.5" hidden="false" customHeight="true" outlineLevel="0" collapsed="false">
      <c r="B44" s="9" t="s">
        <v>581</v>
      </c>
      <c r="C44" s="9"/>
      <c r="D44" s="9"/>
      <c r="E44" s="9"/>
      <c r="F44" s="9"/>
      <c r="G44" s="9"/>
    </row>
    <row r="45" customFormat="false" ht="43.5" hidden="false" customHeight="true" outlineLevel="0" collapsed="false">
      <c r="B45" s="9" t="str">
        <f aca="false">"Choosing K: WCSS falls from "&amp;TEXT(Elbow_Silhouette!C5,"0")&amp;" (K = 2) to "&amp;TEXT(Elbow_Silhouette!C6,"0")&amp;" (K = 3) and "&amp;TEXT(Elbow_Silhouette!C7,"0")&amp;" (K = 4). The silhouette is highest at K = "&amp;Elbow_Silhouette!C11&amp;" ("&amp;TEXT(MAX(Elbow_Silhouette!E5:E9),"0.00")&amp;"), but K = 3 keeps a medium tier that K = 2 merges away and still scores "&amp;TEXT(Elbow_Silhouette!E6,"0.00")&amp;", so K = 3 is used."</f>
        <v>Choosing K: WCSS falls from 155 (K = 2) to 96 (K = 3) and 69 (K = 4). The silhouette is highest at K = 2 (0.51), but K = 3 keeps a medium tier that K = 2 merges away and still scores 0.48, so K = 3 is used.</v>
      </c>
      <c r="C45" s="9"/>
      <c r="D45" s="9"/>
      <c r="E45" s="9"/>
      <c r="F45" s="9"/>
      <c r="G45" s="9"/>
    </row>
    <row r="46" customFormat="false" ht="15" hidden="false" customHeight="false" outlineLevel="0" collapsed="false">
      <c r="A46" s="8" t="s">
        <v>582</v>
      </c>
    </row>
    <row r="47" customFormat="false" ht="43.5" hidden="false" customHeight="true" outlineLevel="0" collapsed="false">
      <c r="B47" s="9" t="s">
        <v>583</v>
      </c>
      <c r="C47" s="9"/>
      <c r="D47" s="9"/>
      <c r="E47" s="9"/>
      <c r="F47" s="9"/>
      <c r="G47" s="9"/>
    </row>
  </sheetData>
  <mergeCells count="8">
    <mergeCell ref="B19:G19"/>
    <mergeCell ref="B20:G20"/>
    <mergeCell ref="B41:G41"/>
    <mergeCell ref="B42:G42"/>
    <mergeCell ref="B43:G43"/>
    <mergeCell ref="B44:G44"/>
    <mergeCell ref="B45:G45"/>
    <mergeCell ref="B47:G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G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6" min="3" style="0" width="13"/>
    <col collapsed="false" customWidth="true" hidden="false" outlineLevel="0" max="7" min="7" style="0" width="11"/>
    <col collapsed="false" customWidth="true" hidden="false" outlineLevel="0" max="8" min="8" style="0" width="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3" min="12" style="0" width="12"/>
    <col collapsed="false" customWidth="true" hidden="false" outlineLevel="0" max="14" min="14" style="0" width="13"/>
  </cols>
  <sheetData>
    <row r="1" customFormat="false" ht="19.7" hidden="false" customHeight="false" outlineLevel="0" collapsed="false">
      <c r="A1" s="1" t="s">
        <v>584</v>
      </c>
    </row>
    <row r="2" customFormat="false" ht="15" hidden="false" customHeight="false" outlineLevel="0" collapsed="false">
      <c r="A2" s="2" t="s">
        <v>585</v>
      </c>
    </row>
    <row r="4" customFormat="false" ht="31.5" hidden="false" customHeight="true" outlineLevel="0" collapsed="false">
      <c r="A4" s="10" t="s">
        <v>89</v>
      </c>
      <c r="B4" s="10" t="s">
        <v>63</v>
      </c>
      <c r="C4" s="10" t="s">
        <v>586</v>
      </c>
      <c r="D4" s="10" t="s">
        <v>587</v>
      </c>
      <c r="E4" s="10" t="s">
        <v>588</v>
      </c>
      <c r="F4" s="10" t="s">
        <v>589</v>
      </c>
      <c r="G4" s="10" t="s">
        <v>590</v>
      </c>
    </row>
    <row r="5" customFormat="false" ht="15" hidden="false" customHeight="false" outlineLevel="0" collapsed="false">
      <c r="A5" s="36" t="s">
        <v>91</v>
      </c>
      <c r="B5" s="12" t="str">
        <f aca="false">INDEX(Data!$F$2:$F$2797,MATCH($A5,Data!$G$2:$G$2797,0))</f>
        <v>Sindh</v>
      </c>
      <c r="C5" s="13" t="n">
        <f aca="false">SUMIF(Data!$G$2:$G$2797,$A5,Data!$B$2:$B$2797)</f>
        <v>29346</v>
      </c>
      <c r="D5" s="13" t="n">
        <f aca="false">SUMIF(Data!$G$2:$G$2797,$A5,Data!$C$2:$C$2797)</f>
        <v>498</v>
      </c>
      <c r="E5" s="13" t="n">
        <f aca="false">SUMIF(Data!$G$2:$G$2797,$A5,Data!$D$2:$D$2797)</f>
        <v>13248</v>
      </c>
      <c r="F5" s="13" t="n">
        <f aca="false">C5-D5-E5</f>
        <v>15600</v>
      </c>
      <c r="G5" s="26" t="n">
        <f aca="false">IF(C5=0,0,D5/C5*100)</f>
        <v>1.69699447965651</v>
      </c>
    </row>
    <row r="6" customFormat="false" ht="15" hidden="false" customHeight="false" outlineLevel="0" collapsed="false">
      <c r="A6" s="36" t="s">
        <v>92</v>
      </c>
      <c r="B6" s="12" t="str">
        <f aca="false">INDEX(Data!$F$2:$F$2797,MATCH($A6,Data!$G$2:$G$2797,0))</f>
        <v>Punjab</v>
      </c>
      <c r="C6" s="13" t="n">
        <f aca="false">SUMIF(Data!$G$2:$G$2797,$A6,Data!$B$2:$B$2797)</f>
        <v>28015</v>
      </c>
      <c r="D6" s="13" t="n">
        <f aca="false">SUMIF(Data!$G$2:$G$2797,$A6,Data!$C$2:$C$2797)</f>
        <v>582</v>
      </c>
      <c r="E6" s="13" t="n">
        <f aca="false">SUMIF(Data!$G$2:$G$2797,$A6,Data!$D$2:$D$2797)</f>
        <v>3853</v>
      </c>
      <c r="F6" s="13" t="n">
        <f aca="false">C6-D6-E6</f>
        <v>23580</v>
      </c>
      <c r="G6" s="26" t="n">
        <f aca="false">IF(C6=0,0,D6/C6*100)</f>
        <v>2.07745850437266</v>
      </c>
    </row>
    <row r="7" customFormat="false" ht="15" hidden="false" customHeight="false" outlineLevel="0" collapsed="false">
      <c r="A7" s="36" t="s">
        <v>93</v>
      </c>
      <c r="B7" s="12" t="str">
        <f aca="false">INDEX(Data!$F$2:$F$2797,MATCH($A7,Data!$G$2:$G$2797,0))</f>
        <v>Baluchistan</v>
      </c>
      <c r="C7" s="13" t="n">
        <f aca="false">SUMIF(Data!$G$2:$G$2797,$A7,Data!$B$2:$B$2797)</f>
        <v>5109</v>
      </c>
      <c r="D7" s="13" t="n">
        <f aca="false">SUMIF(Data!$G$2:$G$2797,$A7,Data!$C$2:$C$2797)</f>
        <v>49</v>
      </c>
      <c r="E7" s="13" t="n">
        <f aca="false">SUMIF(Data!$G$2:$G$2797,$A7,Data!$D$2:$D$2797)</f>
        <v>1981</v>
      </c>
      <c r="F7" s="13" t="n">
        <f aca="false">C7-D7-E7</f>
        <v>3079</v>
      </c>
      <c r="G7" s="26" t="n">
        <f aca="false">IF(C7=0,0,D7/C7*100)</f>
        <v>0.959091798786455</v>
      </c>
    </row>
    <row r="8" customFormat="false" ht="15" hidden="false" customHeight="false" outlineLevel="0" collapsed="false">
      <c r="A8" s="36" t="s">
        <v>94</v>
      </c>
      <c r="B8" s="12" t="str">
        <f aca="false">INDEX(Data!$F$2:$F$2797,MATCH($A8,Data!$G$2:$G$2797,0))</f>
        <v>Khyber Pakhtunkhwa</v>
      </c>
      <c r="C8" s="13" t="n">
        <f aca="false">SUMIF(Data!$G$2:$G$2797,$A8,Data!$B$2:$B$2797)</f>
        <v>4923</v>
      </c>
      <c r="D8" s="13" t="n">
        <f aca="false">SUMIF(Data!$G$2:$G$2797,$A8,Data!$C$2:$C$2797)</f>
        <v>265</v>
      </c>
      <c r="E8" s="13" t="n">
        <f aca="false">SUMIF(Data!$G$2:$G$2797,$A8,Data!$D$2:$D$2797)</f>
        <v>407</v>
      </c>
      <c r="F8" s="13" t="n">
        <f aca="false">C8-D8-E8</f>
        <v>4251</v>
      </c>
      <c r="G8" s="26" t="n">
        <f aca="false">IF(C8=0,0,D8/C8*100)</f>
        <v>5.3828966077595</v>
      </c>
    </row>
    <row r="9" customFormat="false" ht="15" hidden="false" customHeight="false" outlineLevel="0" collapsed="false">
      <c r="A9" s="36" t="s">
        <v>95</v>
      </c>
      <c r="B9" s="12" t="str">
        <f aca="false">INDEX(Data!$F$2:$F$2797,MATCH($A9,Data!$G$2:$G$2797,0))</f>
        <v>Islamabad Capital Territory</v>
      </c>
      <c r="C9" s="13" t="n">
        <f aca="false">SUMIF(Data!$G$2:$G$2797,$A9,Data!$B$2:$B$2797)</f>
        <v>3523</v>
      </c>
      <c r="D9" s="13" t="n">
        <f aca="false">SUMIF(Data!$G$2:$G$2797,$A9,Data!$C$2:$C$2797)</f>
        <v>36</v>
      </c>
      <c r="E9" s="13" t="n">
        <f aca="false">SUMIF(Data!$G$2:$G$2797,$A9,Data!$D$2:$D$2797)</f>
        <v>460</v>
      </c>
      <c r="F9" s="13" t="n">
        <f aca="false">C9-D9-E9</f>
        <v>3027</v>
      </c>
      <c r="G9" s="26" t="n">
        <f aca="false">IF(C9=0,0,D9/C9*100)</f>
        <v>1.02185637240988</v>
      </c>
    </row>
    <row r="10" customFormat="false" ht="15" hidden="false" customHeight="false" outlineLevel="0" collapsed="false">
      <c r="A10" s="36" t="s">
        <v>96</v>
      </c>
      <c r="B10" s="12" t="str">
        <f aca="false">INDEX(Data!$F$2:$F$2797,MATCH($A10,Data!$G$2:$G$2797,0))</f>
        <v>Khyber Pakhtunkhwa</v>
      </c>
      <c r="C10" s="13" t="n">
        <f aca="false">SUMIF(Data!$G$2:$G$2797,$A10,Data!$B$2:$B$2797)</f>
        <v>958</v>
      </c>
      <c r="D10" s="13" t="n">
        <f aca="false">SUMIF(Data!$G$2:$G$2797,$A10,Data!$C$2:$C$2797)</f>
        <v>45</v>
      </c>
      <c r="E10" s="13" t="n">
        <f aca="false">SUMIF(Data!$G$2:$G$2797,$A10,Data!$D$2:$D$2797)</f>
        <v>266</v>
      </c>
      <c r="F10" s="13" t="n">
        <f aca="false">C10-D10-E10</f>
        <v>647</v>
      </c>
      <c r="G10" s="26" t="n">
        <f aca="false">IF(C10=0,0,D10/C10*100)</f>
        <v>4.6972860125261</v>
      </c>
    </row>
    <row r="11" customFormat="false" ht="15" hidden="false" customHeight="false" outlineLevel="0" collapsed="false">
      <c r="A11" s="36" t="s">
        <v>97</v>
      </c>
      <c r="B11" s="12" t="str">
        <f aca="false">INDEX(Data!$F$2:$F$2797,MATCH($A11,Data!$G$2:$G$2797,0))</f>
        <v>Punjab</v>
      </c>
      <c r="C11" s="13" t="n">
        <f aca="false">SUMIF(Data!$G$2:$G$2797,$A11,Data!$B$2:$B$2797)</f>
        <v>712</v>
      </c>
      <c r="D11" s="13" t="n">
        <f aca="false">SUMIF(Data!$G$2:$G$2797,$A11,Data!$C$2:$C$2797)</f>
        <v>2</v>
      </c>
      <c r="E11" s="13" t="n">
        <f aca="false">SUMIF(Data!$G$2:$G$2797,$A11,Data!$D$2:$D$2797)</f>
        <v>1</v>
      </c>
      <c r="F11" s="13" t="n">
        <f aca="false">C11-D11-E11</f>
        <v>709</v>
      </c>
      <c r="G11" s="26" t="n">
        <f aca="false">IF(C11=0,0,D11/C11*100)</f>
        <v>0.280898876404494</v>
      </c>
    </row>
    <row r="12" customFormat="false" ht="15" hidden="false" customHeight="false" outlineLevel="0" collapsed="false">
      <c r="A12" s="36" t="s">
        <v>98</v>
      </c>
      <c r="B12" s="12" t="str">
        <f aca="false">INDEX(Data!$F$2:$F$2797,MATCH($A12,Data!$G$2:$G$2797,0))</f>
        <v>Sindh</v>
      </c>
      <c r="C12" s="13" t="n">
        <f aca="false">SUMIF(Data!$G$2:$G$2797,$A12,Data!$B$2:$B$2797)</f>
        <v>681</v>
      </c>
      <c r="D12" s="13" t="n">
        <f aca="false">SUMIF(Data!$G$2:$G$2797,$A12,Data!$C$2:$C$2797)</f>
        <v>5</v>
      </c>
      <c r="E12" s="13" t="n">
        <f aca="false">SUMIF(Data!$G$2:$G$2797,$A12,Data!$D$2:$D$2797)</f>
        <v>488</v>
      </c>
      <c r="F12" s="13" t="n">
        <f aca="false">C12-D12-E12</f>
        <v>188</v>
      </c>
      <c r="G12" s="26" t="n">
        <f aca="false">IF(C12=0,0,D12/C12*100)</f>
        <v>0.734214390602056</v>
      </c>
    </row>
    <row r="13" customFormat="false" ht="15" hidden="false" customHeight="false" outlineLevel="0" collapsed="false">
      <c r="A13" s="36" t="s">
        <v>99</v>
      </c>
      <c r="B13" s="12" t="str">
        <f aca="false">INDEX(Data!$F$2:$F$2797,MATCH($A13,Data!$G$2:$G$2797,0))</f>
        <v>Sindh</v>
      </c>
      <c r="C13" s="13" t="n">
        <f aca="false">SUMIF(Data!$G$2:$G$2797,$A13,Data!$B$2:$B$2797)</f>
        <v>610</v>
      </c>
      <c r="D13" s="13" t="n">
        <f aca="false">SUMIF(Data!$G$2:$G$2797,$A13,Data!$C$2:$C$2797)</f>
        <v>11</v>
      </c>
      <c r="E13" s="13" t="n">
        <f aca="false">SUMIF(Data!$G$2:$G$2797,$A13,Data!$D$2:$D$2797)</f>
        <v>459</v>
      </c>
      <c r="F13" s="13" t="n">
        <f aca="false">C13-D13-E13</f>
        <v>140</v>
      </c>
      <c r="G13" s="26" t="n">
        <f aca="false">IF(C13=0,0,D13/C13*100)</f>
        <v>1.80327868852459</v>
      </c>
    </row>
    <row r="14" customFormat="false" ht="15" hidden="false" customHeight="false" outlineLevel="0" collapsed="false">
      <c r="A14" s="36" t="s">
        <v>100</v>
      </c>
      <c r="B14" s="12" t="str">
        <f aca="false">INDEX(Data!$F$2:$F$2797,MATCH($A14,Data!$G$2:$G$2797,0))</f>
        <v>Punjab</v>
      </c>
      <c r="C14" s="13" t="n">
        <f aca="false">SUMIF(Data!$G$2:$G$2797,$A14,Data!$B$2:$B$2797)</f>
        <v>546</v>
      </c>
      <c r="D14" s="13" t="n">
        <f aca="false">SUMIF(Data!$G$2:$G$2797,$A14,Data!$C$2:$C$2797)</f>
        <v>1</v>
      </c>
      <c r="E14" s="13" t="n">
        <f aca="false">SUMIF(Data!$G$2:$G$2797,$A14,Data!$D$2:$D$2797)</f>
        <v>1</v>
      </c>
      <c r="F14" s="13" t="n">
        <f aca="false">C14-D14-E14</f>
        <v>544</v>
      </c>
      <c r="G14" s="26" t="n">
        <f aca="false">IF(C14=0,0,D14/C14*100)</f>
        <v>0.183150183150183</v>
      </c>
    </row>
    <row r="15" customFormat="false" ht="15" hidden="false" customHeight="false" outlineLevel="0" collapsed="false">
      <c r="A15" s="36" t="s">
        <v>101</v>
      </c>
      <c r="B15" s="12" t="str">
        <f aca="false">INDEX(Data!$F$2:$F$2797,MATCH($A15,Data!$G$2:$G$2797,0))</f>
        <v>Khyber Pakhtunkhwa</v>
      </c>
      <c r="C15" s="13" t="n">
        <f aca="false">SUMIF(Data!$G$2:$G$2797,$A15,Data!$B$2:$B$2797)</f>
        <v>486</v>
      </c>
      <c r="D15" s="13" t="n">
        <f aca="false">SUMIF(Data!$G$2:$G$2797,$A15,Data!$C$2:$C$2797)</f>
        <v>16</v>
      </c>
      <c r="E15" s="13" t="n">
        <f aca="false">SUMIF(Data!$G$2:$G$2797,$A15,Data!$D$2:$D$2797)</f>
        <v>99</v>
      </c>
      <c r="F15" s="13" t="n">
        <f aca="false">C15-D15-E15</f>
        <v>371</v>
      </c>
      <c r="G15" s="26" t="n">
        <f aca="false">IF(C15=0,0,D15/C15*100)</f>
        <v>3.29218106995885</v>
      </c>
    </row>
    <row r="16" customFormat="false" ht="15" hidden="false" customHeight="false" outlineLevel="0" collapsed="false">
      <c r="A16" s="36" t="s">
        <v>102</v>
      </c>
      <c r="B16" s="12" t="str">
        <f aca="false">INDEX(Data!$F$2:$F$2797,MATCH($A16,Data!$G$2:$G$2797,0))</f>
        <v>Khyber Pakhtunkhwa</v>
      </c>
      <c r="C16" s="13" t="n">
        <f aca="false">SUMIF(Data!$G$2:$G$2797,$A16,Data!$B$2:$B$2797)</f>
        <v>473</v>
      </c>
      <c r="D16" s="13" t="n">
        <f aca="false">SUMIF(Data!$G$2:$G$2797,$A16,Data!$C$2:$C$2797)</f>
        <v>24</v>
      </c>
      <c r="E16" s="13" t="n">
        <f aca="false">SUMIF(Data!$G$2:$G$2797,$A16,Data!$D$2:$D$2797)</f>
        <v>146</v>
      </c>
      <c r="F16" s="13" t="n">
        <f aca="false">C16-D16-E16</f>
        <v>303</v>
      </c>
      <c r="G16" s="26" t="n">
        <f aca="false">IF(C16=0,0,D16/C16*100)</f>
        <v>5.07399577167019</v>
      </c>
    </row>
    <row r="17" customFormat="false" ht="15" hidden="false" customHeight="false" outlineLevel="0" collapsed="false">
      <c r="A17" s="36" t="s">
        <v>103</v>
      </c>
      <c r="B17" s="12" t="str">
        <f aca="false">INDEX(Data!$F$2:$F$2797,MATCH($A17,Data!$G$2:$G$2797,0))</f>
        <v>Gilgit-Baltistan</v>
      </c>
      <c r="C17" s="13" t="n">
        <f aca="false">SUMIF(Data!$G$2:$G$2797,$A17,Data!$B$2:$B$2797)</f>
        <v>402</v>
      </c>
      <c r="D17" s="13" t="n">
        <f aca="false">SUMIF(Data!$G$2:$G$2797,$A17,Data!$C$2:$C$2797)</f>
        <v>8</v>
      </c>
      <c r="E17" s="13" t="n">
        <f aca="false">SUMIF(Data!$G$2:$G$2797,$A17,Data!$D$2:$D$2797)</f>
        <v>121</v>
      </c>
      <c r="F17" s="13" t="n">
        <f aca="false">C17-D17-E17</f>
        <v>273</v>
      </c>
      <c r="G17" s="26" t="n">
        <f aca="false">IF(C17=0,0,D17/C17*100)</f>
        <v>1.99004975124378</v>
      </c>
    </row>
    <row r="18" customFormat="false" ht="15" hidden="false" customHeight="false" outlineLevel="0" collapsed="false">
      <c r="A18" s="36" t="s">
        <v>104</v>
      </c>
      <c r="B18" s="12" t="str">
        <f aca="false">INDEX(Data!$F$2:$F$2797,MATCH($A18,Data!$G$2:$G$2797,0))</f>
        <v>Sindh</v>
      </c>
      <c r="C18" s="13" t="n">
        <f aca="false">SUMIF(Data!$G$2:$G$2797,$A18,Data!$B$2:$B$2797)</f>
        <v>398</v>
      </c>
      <c r="D18" s="13" t="n">
        <f aca="false">SUMIF(Data!$G$2:$G$2797,$A18,Data!$C$2:$C$2797)</f>
        <v>3</v>
      </c>
      <c r="E18" s="13" t="n">
        <f aca="false">SUMIF(Data!$G$2:$G$2797,$A18,Data!$D$2:$D$2797)</f>
        <v>282</v>
      </c>
      <c r="F18" s="13" t="n">
        <f aca="false">C18-D18-E18</f>
        <v>113</v>
      </c>
      <c r="G18" s="26" t="n">
        <f aca="false">IF(C18=0,0,D18/C18*100)</f>
        <v>0.753768844221106</v>
      </c>
    </row>
    <row r="19" customFormat="false" ht="15" hidden="false" customHeight="false" outlineLevel="0" collapsed="false">
      <c r="A19" s="36" t="s">
        <v>105</v>
      </c>
      <c r="B19" s="12" t="str">
        <f aca="false">INDEX(Data!$F$2:$F$2797,MATCH($A19,Data!$G$2:$G$2797,0))</f>
        <v>Sindh</v>
      </c>
      <c r="C19" s="13" t="n">
        <f aca="false">SUMIF(Data!$G$2:$G$2797,$A19,Data!$B$2:$B$2797)</f>
        <v>376</v>
      </c>
      <c r="D19" s="13" t="n">
        <f aca="false">SUMIF(Data!$G$2:$G$2797,$A19,Data!$C$2:$C$2797)</f>
        <v>1</v>
      </c>
      <c r="E19" s="13" t="n">
        <f aca="false">SUMIF(Data!$G$2:$G$2797,$A19,Data!$D$2:$D$2797)</f>
        <v>146</v>
      </c>
      <c r="F19" s="13" t="n">
        <f aca="false">C19-D19-E19</f>
        <v>229</v>
      </c>
      <c r="G19" s="26" t="n">
        <f aca="false">IF(C19=0,0,D19/C19*100)</f>
        <v>0.265957446808511</v>
      </c>
    </row>
    <row r="20" customFormat="false" ht="15" hidden="false" customHeight="false" outlineLevel="0" collapsed="false">
      <c r="A20" s="36" t="s">
        <v>591</v>
      </c>
      <c r="B20" s="12" t="str">
        <f aca="false">INDEX(Data!$F$2:$F$2797,MATCH($A20,Data!$G$2:$G$2797,0))</f>
        <v>Khyber Pakhtunkhwa</v>
      </c>
      <c r="C20" s="13" t="n">
        <f aca="false">SUMIF(Data!$G$2:$G$2797,$A20,Data!$B$2:$B$2797)</f>
        <v>350</v>
      </c>
      <c r="D20" s="13" t="n">
        <f aca="false">SUMIF(Data!$G$2:$G$2797,$A20,Data!$C$2:$C$2797)</f>
        <v>8</v>
      </c>
      <c r="E20" s="13" t="n">
        <f aca="false">SUMIF(Data!$G$2:$G$2797,$A20,Data!$D$2:$D$2797)</f>
        <v>101</v>
      </c>
      <c r="F20" s="13" t="n">
        <f aca="false">C20-D20-E20</f>
        <v>241</v>
      </c>
      <c r="G20" s="26" t="n">
        <f aca="false">IF(C20=0,0,D20/C20*100)</f>
        <v>2.28571428571429</v>
      </c>
    </row>
    <row r="21" customFormat="false" ht="15" hidden="false" customHeight="false" outlineLevel="0" collapsed="false">
      <c r="A21" s="36" t="s">
        <v>592</v>
      </c>
      <c r="B21" s="12" t="str">
        <f aca="false">INDEX(Data!$F$2:$F$2797,MATCH($A21,Data!$G$2:$G$2797,0))</f>
        <v>Sindh</v>
      </c>
      <c r="C21" s="13" t="n">
        <f aca="false">SUMIF(Data!$G$2:$G$2797,$A21,Data!$B$2:$B$2797)</f>
        <v>294</v>
      </c>
      <c r="D21" s="13" t="n">
        <f aca="false">SUMIF(Data!$G$2:$G$2797,$A21,Data!$C$2:$C$2797)</f>
        <v>3</v>
      </c>
      <c r="E21" s="13" t="n">
        <f aca="false">SUMIF(Data!$G$2:$G$2797,$A21,Data!$D$2:$D$2797)</f>
        <v>360</v>
      </c>
      <c r="F21" s="13" t="n">
        <f aca="false">C21-D21-E21</f>
        <v>-69</v>
      </c>
      <c r="G21" s="26" t="n">
        <f aca="false">IF(C21=0,0,D21/C21*100)</f>
        <v>1.02040816326531</v>
      </c>
    </row>
    <row r="22" customFormat="false" ht="15" hidden="false" customHeight="false" outlineLevel="0" collapsed="false">
      <c r="A22" s="36" t="s">
        <v>593</v>
      </c>
      <c r="B22" s="12" t="str">
        <f aca="false">INDEX(Data!$F$2:$F$2797,MATCH($A22,Data!$G$2:$G$2797,0))</f>
        <v>Khyber Pakhtunkhwa</v>
      </c>
      <c r="C22" s="13" t="n">
        <f aca="false">SUMIF(Data!$G$2:$G$2797,$A22,Data!$B$2:$B$2797)</f>
        <v>279</v>
      </c>
      <c r="D22" s="13" t="n">
        <f aca="false">SUMIF(Data!$G$2:$G$2797,$A22,Data!$C$2:$C$2797)</f>
        <v>14</v>
      </c>
      <c r="E22" s="13" t="n">
        <f aca="false">SUMIF(Data!$G$2:$G$2797,$A22,Data!$D$2:$D$2797)</f>
        <v>44</v>
      </c>
      <c r="F22" s="13" t="n">
        <f aca="false">C22-D22-E22</f>
        <v>221</v>
      </c>
      <c r="G22" s="26" t="n">
        <f aca="false">IF(C22=0,0,D22/C22*100)</f>
        <v>5.01792114695341</v>
      </c>
    </row>
    <row r="23" customFormat="false" ht="15" hidden="false" customHeight="false" outlineLevel="0" collapsed="false">
      <c r="A23" s="36" t="s">
        <v>594</v>
      </c>
      <c r="B23" s="12" t="str">
        <f aca="false">INDEX(Data!$F$2:$F$2797,MATCH($A23,Data!$G$2:$G$2797,0))</f>
        <v>Khyber Pakhtunkhwa</v>
      </c>
      <c r="C23" s="13" t="n">
        <f aca="false">SUMIF(Data!$G$2:$G$2797,$A23,Data!$B$2:$B$2797)</f>
        <v>278</v>
      </c>
      <c r="D23" s="13" t="n">
        <f aca="false">SUMIF(Data!$G$2:$G$2797,$A23,Data!$C$2:$C$2797)</f>
        <v>14</v>
      </c>
      <c r="E23" s="13" t="n">
        <f aca="false">SUMIF(Data!$G$2:$G$2797,$A23,Data!$D$2:$D$2797)</f>
        <v>88</v>
      </c>
      <c r="F23" s="13" t="n">
        <f aca="false">C23-D23-E23</f>
        <v>176</v>
      </c>
      <c r="G23" s="26" t="n">
        <f aca="false">IF(C23=0,0,D23/C23*100)</f>
        <v>5.03597122302158</v>
      </c>
    </row>
    <row r="24" customFormat="false" ht="15" hidden="false" customHeight="false" outlineLevel="0" collapsed="false">
      <c r="A24" s="36" t="s">
        <v>595</v>
      </c>
      <c r="B24" s="12" t="str">
        <f aca="false">INDEX(Data!$F$2:$F$2797,MATCH($A24,Data!$G$2:$G$2797,0))</f>
        <v>Azad Jummu Kashmir</v>
      </c>
      <c r="C24" s="13" t="n">
        <f aca="false">SUMIF(Data!$G$2:$G$2797,$A24,Data!$B$2:$B$2797)</f>
        <v>273</v>
      </c>
      <c r="D24" s="13" t="n">
        <f aca="false">SUMIF(Data!$G$2:$G$2797,$A24,Data!$C$2:$C$2797)</f>
        <v>6</v>
      </c>
      <c r="E24" s="13" t="n">
        <f aca="false">SUMIF(Data!$G$2:$G$2797,$A24,Data!$D$2:$D$2797)</f>
        <v>110</v>
      </c>
      <c r="F24" s="13" t="n">
        <f aca="false">C24-D24-E24</f>
        <v>157</v>
      </c>
      <c r="G24" s="26" t="n">
        <f aca="false">IF(C24=0,0,D24/C24*100)</f>
        <v>2.1978021978022</v>
      </c>
    </row>
    <row r="25" customFormat="false" ht="15" hidden="false" customHeight="false" outlineLevel="0" collapsed="false">
      <c r="A25" s="36" t="s">
        <v>596</v>
      </c>
      <c r="B25" s="12" t="str">
        <f aca="false">INDEX(Data!$F$2:$F$2797,MATCH($A25,Data!$G$2:$G$2797,0))</f>
        <v>Punjab</v>
      </c>
      <c r="C25" s="13" t="n">
        <f aca="false">SUMIF(Data!$G$2:$G$2797,$A25,Data!$B$2:$B$2797)</f>
        <v>247</v>
      </c>
      <c r="D25" s="13" t="n">
        <f aca="false">SUMIF(Data!$G$2:$G$2797,$A25,Data!$C$2:$C$2797)</f>
        <v>6</v>
      </c>
      <c r="E25" s="13" t="n">
        <f aca="false">SUMIF(Data!$G$2:$G$2797,$A25,Data!$D$2:$D$2797)</f>
        <v>182</v>
      </c>
      <c r="F25" s="13" t="n">
        <f aca="false">C25-D25-E25</f>
        <v>59</v>
      </c>
      <c r="G25" s="26" t="n">
        <f aca="false">IF(C25=0,0,D25/C25*100)</f>
        <v>2.42914979757085</v>
      </c>
    </row>
    <row r="26" customFormat="false" ht="15" hidden="false" customHeight="false" outlineLevel="0" collapsed="false">
      <c r="A26" s="36" t="s">
        <v>597</v>
      </c>
      <c r="B26" s="12" t="str">
        <f aca="false">INDEX(Data!$F$2:$F$2797,MATCH($A26,Data!$G$2:$G$2797,0))</f>
        <v>Khyber Pakhtunkhwa</v>
      </c>
      <c r="C26" s="13" t="n">
        <f aca="false">SUMIF(Data!$G$2:$G$2797,$A26,Data!$B$2:$B$2797)</f>
        <v>245</v>
      </c>
      <c r="D26" s="13" t="n">
        <f aca="false">SUMIF(Data!$G$2:$G$2797,$A26,Data!$C$2:$C$2797)</f>
        <v>6</v>
      </c>
      <c r="E26" s="13" t="n">
        <f aca="false">SUMIF(Data!$G$2:$G$2797,$A26,Data!$D$2:$D$2797)</f>
        <v>44</v>
      </c>
      <c r="F26" s="13" t="n">
        <f aca="false">C26-D26-E26</f>
        <v>195</v>
      </c>
      <c r="G26" s="26" t="n">
        <f aca="false">IF(C26=0,0,D26/C26*100)</f>
        <v>2.44897959183673</v>
      </c>
    </row>
    <row r="27" customFormat="false" ht="15" hidden="false" customHeight="false" outlineLevel="0" collapsed="false">
      <c r="A27" s="36" t="s">
        <v>598</v>
      </c>
      <c r="B27" s="12" t="str">
        <f aca="false">INDEX(Data!$F$2:$F$2797,MATCH($A27,Data!$G$2:$G$2797,0))</f>
        <v>Khyber Pakhtunkhwa</v>
      </c>
      <c r="C27" s="13" t="n">
        <f aca="false">SUMIF(Data!$G$2:$G$2797,$A27,Data!$B$2:$B$2797)</f>
        <v>244</v>
      </c>
      <c r="D27" s="13" t="n">
        <f aca="false">SUMIF(Data!$G$2:$G$2797,$A27,Data!$C$2:$C$2797)</f>
        <v>2</v>
      </c>
      <c r="E27" s="13" t="n">
        <f aca="false">SUMIF(Data!$G$2:$G$2797,$A27,Data!$D$2:$D$2797)</f>
        <v>93</v>
      </c>
      <c r="F27" s="13" t="n">
        <f aca="false">C27-D27-E27</f>
        <v>149</v>
      </c>
      <c r="G27" s="26" t="n">
        <f aca="false">IF(C27=0,0,D27/C27*100)</f>
        <v>0.819672131147541</v>
      </c>
    </row>
    <row r="28" customFormat="false" ht="15" hidden="false" customHeight="false" outlineLevel="0" collapsed="false">
      <c r="A28" s="36" t="s">
        <v>599</v>
      </c>
      <c r="B28" s="12" t="str">
        <f aca="false">INDEX(Data!$F$2:$F$2797,MATCH($A28,Data!$G$2:$G$2797,0))</f>
        <v>Federal Administration Tribal Area</v>
      </c>
      <c r="C28" s="13" t="n">
        <f aca="false">SUMIF(Data!$G$2:$G$2797,$A28,Data!$B$2:$B$2797)</f>
        <v>244</v>
      </c>
      <c r="D28" s="13" t="n">
        <f aca="false">SUMIF(Data!$G$2:$G$2797,$A28,Data!$C$2:$C$2797)</f>
        <v>4</v>
      </c>
      <c r="E28" s="13" t="n">
        <f aca="false">SUMIF(Data!$G$2:$G$2797,$A28,Data!$D$2:$D$2797)</f>
        <v>49</v>
      </c>
      <c r="F28" s="13" t="n">
        <f aca="false">C28-D28-E28</f>
        <v>191</v>
      </c>
      <c r="G28" s="26" t="n">
        <f aca="false">IF(C28=0,0,D28/C28*100)</f>
        <v>1.63934426229508</v>
      </c>
    </row>
    <row r="29" customFormat="false" ht="15" hidden="false" customHeight="false" outlineLevel="0" collapsed="false">
      <c r="A29" s="36" t="s">
        <v>600</v>
      </c>
      <c r="B29" s="12" t="str">
        <f aca="false">INDEX(Data!$F$2:$F$2797,MATCH($A29,Data!$G$2:$G$2797,0))</f>
        <v>Federal Administration Tribal Area</v>
      </c>
      <c r="C29" s="13" t="n">
        <f aca="false">SUMIF(Data!$G$2:$G$2797,$A29,Data!$B$2:$B$2797)</f>
        <v>234</v>
      </c>
      <c r="D29" s="13" t="n">
        <f aca="false">SUMIF(Data!$G$2:$G$2797,$A29,Data!$C$2:$C$2797)</f>
        <v>14</v>
      </c>
      <c r="E29" s="13" t="n">
        <f aca="false">SUMIF(Data!$G$2:$G$2797,$A29,Data!$D$2:$D$2797)</f>
        <v>56</v>
      </c>
      <c r="F29" s="13" t="n">
        <f aca="false">C29-D29-E29</f>
        <v>164</v>
      </c>
      <c r="G29" s="26" t="n">
        <f aca="false">IF(C29=0,0,D29/C29*100)</f>
        <v>5.98290598290598</v>
      </c>
    </row>
    <row r="30" customFormat="false" ht="15" hidden="false" customHeight="false" outlineLevel="0" collapsed="false">
      <c r="A30" s="36" t="s">
        <v>601</v>
      </c>
      <c r="B30" s="12" t="str">
        <f aca="false">INDEX(Data!$F$2:$F$2797,MATCH($A30,Data!$G$2:$G$2797,0))</f>
        <v>Sindh</v>
      </c>
      <c r="C30" s="13" t="n">
        <f aca="false">SUMIF(Data!$G$2:$G$2797,$A30,Data!$B$2:$B$2797)</f>
        <v>211</v>
      </c>
      <c r="D30" s="13" t="n">
        <f aca="false">SUMIF(Data!$G$2:$G$2797,$A30,Data!$C$2:$C$2797)</f>
        <v>6</v>
      </c>
      <c r="E30" s="13" t="n">
        <f aca="false">SUMIF(Data!$G$2:$G$2797,$A30,Data!$D$2:$D$2797)</f>
        <v>186</v>
      </c>
      <c r="F30" s="13" t="n">
        <f aca="false">C30-D30-E30</f>
        <v>19</v>
      </c>
      <c r="G30" s="26" t="n">
        <f aca="false">IF(C30=0,0,D30/C30*100)</f>
        <v>2.8436018957346</v>
      </c>
    </row>
    <row r="31" customFormat="false" ht="15" hidden="false" customHeight="false" outlineLevel="0" collapsed="false">
      <c r="A31" s="36" t="s">
        <v>602</v>
      </c>
      <c r="B31" s="12" t="str">
        <f aca="false">INDEX(Data!$F$2:$F$2797,MATCH($A31,Data!$G$2:$G$2797,0))</f>
        <v>Punjab</v>
      </c>
      <c r="C31" s="13" t="n">
        <f aca="false">SUMIF(Data!$G$2:$G$2797,$A31,Data!$B$2:$B$2797)</f>
        <v>187</v>
      </c>
      <c r="D31" s="13" t="n">
        <f aca="false">SUMIF(Data!$G$2:$G$2797,$A31,Data!$C$2:$C$2797)</f>
        <v>1</v>
      </c>
      <c r="E31" s="13" t="n">
        <f aca="false">SUMIF(Data!$G$2:$G$2797,$A31,Data!$D$2:$D$2797)</f>
        <v>0</v>
      </c>
      <c r="F31" s="13" t="n">
        <f aca="false">C31-D31-E31</f>
        <v>186</v>
      </c>
      <c r="G31" s="26" t="n">
        <f aca="false">IF(C31=0,0,D31/C31*100)</f>
        <v>0.53475935828877</v>
      </c>
    </row>
    <row r="32" customFormat="false" ht="15" hidden="false" customHeight="false" outlineLevel="0" collapsed="false">
      <c r="A32" s="36" t="s">
        <v>603</v>
      </c>
      <c r="B32" s="12" t="str">
        <f aca="false">INDEX(Data!$F$2:$F$2797,MATCH($A32,Data!$G$2:$G$2797,0))</f>
        <v>Khyber Pakhtunkhwa</v>
      </c>
      <c r="C32" s="13" t="n">
        <f aca="false">SUMIF(Data!$G$2:$G$2797,$A32,Data!$B$2:$B$2797)</f>
        <v>172</v>
      </c>
      <c r="D32" s="13" t="n">
        <f aca="false">SUMIF(Data!$G$2:$G$2797,$A32,Data!$C$2:$C$2797)</f>
        <v>5</v>
      </c>
      <c r="E32" s="13" t="n">
        <f aca="false">SUMIF(Data!$G$2:$G$2797,$A32,Data!$D$2:$D$2797)</f>
        <v>77</v>
      </c>
      <c r="F32" s="13" t="n">
        <f aca="false">C32-D32-E32</f>
        <v>90</v>
      </c>
      <c r="G32" s="26" t="n">
        <f aca="false">IF(C32=0,0,D32/C32*100)</f>
        <v>2.90697674418605</v>
      </c>
    </row>
    <row r="33" customFormat="false" ht="15" hidden="false" customHeight="false" outlineLevel="0" collapsed="false">
      <c r="A33" s="36" t="s">
        <v>604</v>
      </c>
      <c r="B33" s="12" t="str">
        <f aca="false">INDEX(Data!$F$2:$F$2797,MATCH($A33,Data!$G$2:$G$2797,0))</f>
        <v>Punjab</v>
      </c>
      <c r="C33" s="13" t="n">
        <f aca="false">SUMIF(Data!$G$2:$G$2797,$A33,Data!$B$2:$B$2797)</f>
        <v>164</v>
      </c>
      <c r="D33" s="13" t="n">
        <f aca="false">SUMIF(Data!$G$2:$G$2797,$A33,Data!$C$2:$C$2797)</f>
        <v>0</v>
      </c>
      <c r="E33" s="13" t="n">
        <f aca="false">SUMIF(Data!$G$2:$G$2797,$A33,Data!$D$2:$D$2797)</f>
        <v>4</v>
      </c>
      <c r="F33" s="13" t="n">
        <f aca="false">C33-D33-E33</f>
        <v>160</v>
      </c>
      <c r="G33" s="26" t="n">
        <f aca="false">IF(C33=0,0,D33/C33*100)</f>
        <v>0</v>
      </c>
    </row>
    <row r="34" customFormat="false" ht="15" hidden="false" customHeight="false" outlineLevel="0" collapsed="false">
      <c r="A34" s="36" t="s">
        <v>605</v>
      </c>
      <c r="B34" s="12" t="str">
        <f aca="false">INDEX(Data!$F$2:$F$2797,MATCH($A34,Data!$G$2:$G$2797,0))</f>
        <v>Sindh</v>
      </c>
      <c r="C34" s="13" t="n">
        <f aca="false">SUMIF(Data!$G$2:$G$2797,$A34,Data!$B$2:$B$2797)</f>
        <v>164</v>
      </c>
      <c r="D34" s="13" t="n">
        <f aca="false">SUMIF(Data!$G$2:$G$2797,$A34,Data!$C$2:$C$2797)</f>
        <v>2</v>
      </c>
      <c r="E34" s="13" t="n">
        <f aca="false">SUMIF(Data!$G$2:$G$2797,$A34,Data!$D$2:$D$2797)</f>
        <v>63</v>
      </c>
      <c r="F34" s="13" t="n">
        <f aca="false">C34-D34-E34</f>
        <v>99</v>
      </c>
      <c r="G34" s="26" t="n">
        <f aca="false">IF(C34=0,0,D34/C34*100)</f>
        <v>1.21951219512195</v>
      </c>
    </row>
    <row r="35" customFormat="false" ht="15" hidden="false" customHeight="false" outlineLevel="0" collapsed="false">
      <c r="A35" s="36" t="s">
        <v>606</v>
      </c>
      <c r="B35" s="12" t="str">
        <f aca="false">INDEX(Data!$F$2:$F$2797,MATCH($A35,Data!$G$2:$G$2797,0))</f>
        <v>Punjab</v>
      </c>
      <c r="C35" s="13" t="n">
        <f aca="false">SUMIF(Data!$G$2:$G$2797,$A35,Data!$B$2:$B$2797)</f>
        <v>163</v>
      </c>
      <c r="D35" s="13" t="n">
        <f aca="false">SUMIF(Data!$G$2:$G$2797,$A35,Data!$C$2:$C$2797)</f>
        <v>0</v>
      </c>
      <c r="E35" s="13" t="n">
        <f aca="false">SUMIF(Data!$G$2:$G$2797,$A35,Data!$D$2:$D$2797)</f>
        <v>4</v>
      </c>
      <c r="F35" s="13" t="n">
        <f aca="false">C35-D35-E35</f>
        <v>159</v>
      </c>
      <c r="G35" s="26" t="n">
        <f aca="false">IF(C35=0,0,D35/C35*100)</f>
        <v>0</v>
      </c>
    </row>
    <row r="36" customFormat="false" ht="15" hidden="false" customHeight="false" outlineLevel="0" collapsed="false">
      <c r="A36" s="36" t="s">
        <v>607</v>
      </c>
      <c r="B36" s="12" t="str">
        <f aca="false">INDEX(Data!$F$2:$F$2797,MATCH($A36,Data!$G$2:$G$2797,0))</f>
        <v>Khyber Pakhtunkhwa</v>
      </c>
      <c r="C36" s="13" t="n">
        <f aca="false">SUMIF(Data!$G$2:$G$2797,$A36,Data!$B$2:$B$2797)</f>
        <v>161</v>
      </c>
      <c r="D36" s="13" t="n">
        <f aca="false">SUMIF(Data!$G$2:$G$2797,$A36,Data!$C$2:$C$2797)</f>
        <v>4</v>
      </c>
      <c r="E36" s="13" t="n">
        <f aca="false">SUMIF(Data!$G$2:$G$2797,$A36,Data!$D$2:$D$2797)</f>
        <v>130</v>
      </c>
      <c r="F36" s="13" t="n">
        <f aca="false">C36-D36-E36</f>
        <v>27</v>
      </c>
      <c r="G36" s="26" t="n">
        <f aca="false">IF(C36=0,0,D36/C36*100)</f>
        <v>2.48447204968944</v>
      </c>
    </row>
    <row r="37" customFormat="false" ht="15" hidden="false" customHeight="false" outlineLevel="0" collapsed="false">
      <c r="A37" s="36" t="s">
        <v>608</v>
      </c>
      <c r="B37" s="12" t="str">
        <f aca="false">INDEX(Data!$F$2:$F$2797,MATCH($A37,Data!$G$2:$G$2797,0))</f>
        <v>Khyber Pakhtunkhwa</v>
      </c>
      <c r="C37" s="13" t="n">
        <f aca="false">SUMIF(Data!$G$2:$G$2797,$A37,Data!$B$2:$B$2797)</f>
        <v>150</v>
      </c>
      <c r="D37" s="13" t="n">
        <f aca="false">SUMIF(Data!$G$2:$G$2797,$A37,Data!$C$2:$C$2797)</f>
        <v>3</v>
      </c>
      <c r="E37" s="13" t="n">
        <f aca="false">SUMIF(Data!$G$2:$G$2797,$A37,Data!$D$2:$D$2797)</f>
        <v>21</v>
      </c>
      <c r="F37" s="13" t="n">
        <f aca="false">C37-D37-E37</f>
        <v>126</v>
      </c>
      <c r="G37" s="26" t="n">
        <f aca="false">IF(C37=0,0,D37/C37*100)</f>
        <v>2</v>
      </c>
    </row>
    <row r="38" customFormat="false" ht="15" hidden="false" customHeight="false" outlineLevel="0" collapsed="false">
      <c r="A38" s="36" t="s">
        <v>609</v>
      </c>
      <c r="B38" s="12" t="str">
        <f aca="false">INDEX(Data!$F$2:$F$2797,MATCH($A38,Data!$G$2:$G$2797,0))</f>
        <v>Khyber Pakhtunkhwa</v>
      </c>
      <c r="C38" s="13" t="n">
        <f aca="false">SUMIF(Data!$G$2:$G$2797,$A38,Data!$B$2:$B$2797)</f>
        <v>137</v>
      </c>
      <c r="D38" s="13" t="n">
        <f aca="false">SUMIF(Data!$G$2:$G$2797,$A38,Data!$C$2:$C$2797)</f>
        <v>1</v>
      </c>
      <c r="E38" s="13" t="n">
        <f aca="false">SUMIF(Data!$G$2:$G$2797,$A38,Data!$D$2:$D$2797)</f>
        <v>38</v>
      </c>
      <c r="F38" s="13" t="n">
        <f aca="false">C38-D38-E38</f>
        <v>98</v>
      </c>
      <c r="G38" s="26" t="n">
        <f aca="false">IF(C38=0,0,D38/C38*100)</f>
        <v>0.72992700729927</v>
      </c>
    </row>
    <row r="39" customFormat="false" ht="15" hidden="false" customHeight="false" outlineLevel="0" collapsed="false">
      <c r="A39" s="36" t="s">
        <v>610</v>
      </c>
      <c r="B39" s="12" t="str">
        <f aca="false">INDEX(Data!$F$2:$F$2797,MATCH($A39,Data!$G$2:$G$2797,0))</f>
        <v>Khyber Pakhtunkhwa</v>
      </c>
      <c r="C39" s="13" t="n">
        <f aca="false">SUMIF(Data!$G$2:$G$2797,$A39,Data!$B$2:$B$2797)</f>
        <v>137</v>
      </c>
      <c r="D39" s="13" t="n">
        <f aca="false">SUMIF(Data!$G$2:$G$2797,$A39,Data!$C$2:$C$2797)</f>
        <v>14</v>
      </c>
      <c r="E39" s="13" t="n">
        <f aca="false">SUMIF(Data!$G$2:$G$2797,$A39,Data!$D$2:$D$2797)</f>
        <v>22</v>
      </c>
      <c r="F39" s="13" t="n">
        <f aca="false">C39-D39-E39</f>
        <v>101</v>
      </c>
      <c r="G39" s="26" t="n">
        <f aca="false">IF(C39=0,0,D39/C39*100)</f>
        <v>10.2189781021898</v>
      </c>
    </row>
    <row r="40" customFormat="false" ht="15" hidden="false" customHeight="false" outlineLevel="0" collapsed="false">
      <c r="A40" s="36" t="s">
        <v>611</v>
      </c>
      <c r="B40" s="12" t="str">
        <f aca="false">INDEX(Data!$F$2:$F$2797,MATCH($A40,Data!$G$2:$G$2797,0))</f>
        <v>Khyber Pakhtunkhwa</v>
      </c>
      <c r="C40" s="13" t="n">
        <f aca="false">SUMIF(Data!$G$2:$G$2797,$A40,Data!$B$2:$B$2797)</f>
        <v>129</v>
      </c>
      <c r="D40" s="13" t="n">
        <f aca="false">SUMIF(Data!$G$2:$G$2797,$A40,Data!$C$2:$C$2797)</f>
        <v>10</v>
      </c>
      <c r="E40" s="13" t="n">
        <f aca="false">SUMIF(Data!$G$2:$G$2797,$A40,Data!$D$2:$D$2797)</f>
        <v>55</v>
      </c>
      <c r="F40" s="13" t="n">
        <f aca="false">C40-D40-E40</f>
        <v>64</v>
      </c>
      <c r="G40" s="26" t="n">
        <f aca="false">IF(C40=0,0,D40/C40*100)</f>
        <v>7.75193798449612</v>
      </c>
    </row>
    <row r="41" customFormat="false" ht="15" hidden="false" customHeight="false" outlineLevel="0" collapsed="false">
      <c r="A41" s="36" t="s">
        <v>612</v>
      </c>
      <c r="B41" s="12" t="str">
        <f aca="false">INDEX(Data!$F$2:$F$2797,MATCH($A41,Data!$G$2:$G$2797,0))</f>
        <v>Khyber Pakhtunkhwa</v>
      </c>
      <c r="C41" s="13" t="n">
        <f aca="false">SUMIF(Data!$G$2:$G$2797,$A41,Data!$B$2:$B$2797)</f>
        <v>124</v>
      </c>
      <c r="D41" s="13" t="n">
        <f aca="false">SUMIF(Data!$G$2:$G$2797,$A41,Data!$C$2:$C$2797)</f>
        <v>3</v>
      </c>
      <c r="E41" s="13" t="n">
        <f aca="false">SUMIF(Data!$G$2:$G$2797,$A41,Data!$D$2:$D$2797)</f>
        <v>37</v>
      </c>
      <c r="F41" s="13" t="n">
        <f aca="false">C41-D41-E41</f>
        <v>84</v>
      </c>
      <c r="G41" s="26" t="n">
        <f aca="false">IF(C41=0,0,D41/C41*100)</f>
        <v>2.41935483870968</v>
      </c>
    </row>
    <row r="42" customFormat="false" ht="15" hidden="false" customHeight="false" outlineLevel="0" collapsed="false">
      <c r="A42" s="36" t="s">
        <v>613</v>
      </c>
      <c r="B42" s="12" t="str">
        <f aca="false">INDEX(Data!$F$2:$F$2797,MATCH($A42,Data!$G$2:$G$2797,0))</f>
        <v>Khyber Pakhtunkhwa</v>
      </c>
      <c r="C42" s="13" t="n">
        <f aca="false">SUMIF(Data!$G$2:$G$2797,$A42,Data!$B$2:$B$2797)</f>
        <v>123</v>
      </c>
      <c r="D42" s="13" t="n">
        <f aca="false">SUMIF(Data!$G$2:$G$2797,$A42,Data!$C$2:$C$2797)</f>
        <v>3</v>
      </c>
      <c r="E42" s="13" t="n">
        <f aca="false">SUMIF(Data!$G$2:$G$2797,$A42,Data!$D$2:$D$2797)</f>
        <v>31</v>
      </c>
      <c r="F42" s="13" t="n">
        <f aca="false">C42-D42-E42</f>
        <v>89</v>
      </c>
      <c r="G42" s="26" t="n">
        <f aca="false">IF(C42=0,0,D42/C42*100)</f>
        <v>2.4390243902439</v>
      </c>
    </row>
    <row r="43" customFormat="false" ht="15" hidden="false" customHeight="false" outlineLevel="0" collapsed="false">
      <c r="A43" s="36" t="s">
        <v>614</v>
      </c>
      <c r="B43" s="12" t="str">
        <f aca="false">INDEX(Data!$F$2:$F$2797,MATCH($A43,Data!$G$2:$G$2797,0))</f>
        <v>Khyber Pakhtunkhwa</v>
      </c>
      <c r="C43" s="13" t="n">
        <f aca="false">SUMIF(Data!$G$2:$G$2797,$A43,Data!$B$2:$B$2797)</f>
        <v>118</v>
      </c>
      <c r="D43" s="13" t="n">
        <f aca="false">SUMIF(Data!$G$2:$G$2797,$A43,Data!$C$2:$C$2797)</f>
        <v>12</v>
      </c>
      <c r="E43" s="13" t="n">
        <f aca="false">SUMIF(Data!$G$2:$G$2797,$A43,Data!$D$2:$D$2797)</f>
        <v>45</v>
      </c>
      <c r="F43" s="13" t="n">
        <f aca="false">C43-D43-E43</f>
        <v>61</v>
      </c>
      <c r="G43" s="26" t="n">
        <f aca="false">IF(C43=0,0,D43/C43*100)</f>
        <v>10.1694915254237</v>
      </c>
    </row>
    <row r="44" customFormat="false" ht="15" hidden="false" customHeight="false" outlineLevel="0" collapsed="false">
      <c r="A44" s="36" t="s">
        <v>615</v>
      </c>
      <c r="B44" s="12" t="str">
        <f aca="false">INDEX(Data!$F$2:$F$2797,MATCH($A44,Data!$G$2:$G$2797,0))</f>
        <v>Federal Administration Tribal Area</v>
      </c>
      <c r="C44" s="13" t="n">
        <f aca="false">SUMIF(Data!$G$2:$G$2797,$A44,Data!$B$2:$B$2797)</f>
        <v>114</v>
      </c>
      <c r="D44" s="13" t="n">
        <f aca="false">SUMIF(Data!$G$2:$G$2797,$A44,Data!$C$2:$C$2797)</f>
        <v>2</v>
      </c>
      <c r="E44" s="13" t="n">
        <f aca="false">SUMIF(Data!$G$2:$G$2797,$A44,Data!$D$2:$D$2797)</f>
        <v>9</v>
      </c>
      <c r="F44" s="13" t="n">
        <f aca="false">C44-D44-E44</f>
        <v>103</v>
      </c>
      <c r="G44" s="26" t="n">
        <f aca="false">IF(C44=0,0,D44/C44*100)</f>
        <v>1.75438596491228</v>
      </c>
    </row>
    <row r="45" customFormat="false" ht="15" hidden="false" customHeight="false" outlineLevel="0" collapsed="false">
      <c r="A45" s="36" t="s">
        <v>616</v>
      </c>
      <c r="B45" s="12" t="str">
        <f aca="false">INDEX(Data!$F$2:$F$2797,MATCH($A45,Data!$G$2:$G$2797,0))</f>
        <v>Sindh</v>
      </c>
      <c r="C45" s="13" t="n">
        <f aca="false">SUMIF(Data!$G$2:$G$2797,$A45,Data!$B$2:$B$2797)</f>
        <v>99</v>
      </c>
      <c r="D45" s="13" t="n">
        <f aca="false">SUMIF(Data!$G$2:$G$2797,$A45,Data!$C$2:$C$2797)</f>
        <v>0</v>
      </c>
      <c r="E45" s="13" t="n">
        <f aca="false">SUMIF(Data!$G$2:$G$2797,$A45,Data!$D$2:$D$2797)</f>
        <v>104</v>
      </c>
      <c r="F45" s="13" t="n">
        <f aca="false">C45-D45-E45</f>
        <v>-5</v>
      </c>
      <c r="G45" s="26" t="n">
        <f aca="false">IF(C45=0,0,D45/C45*100)</f>
        <v>0</v>
      </c>
    </row>
    <row r="46" customFormat="false" ht="15" hidden="false" customHeight="false" outlineLevel="0" collapsed="false">
      <c r="A46" s="36" t="s">
        <v>617</v>
      </c>
      <c r="B46" s="12" t="str">
        <f aca="false">INDEX(Data!$F$2:$F$2797,MATCH($A46,Data!$G$2:$G$2797,0))</f>
        <v>Gilgit-Baltistan</v>
      </c>
      <c r="C46" s="13" t="n">
        <f aca="false">SUMIF(Data!$G$2:$G$2797,$A46,Data!$B$2:$B$2797)</f>
        <v>91</v>
      </c>
      <c r="D46" s="13" t="n">
        <f aca="false">SUMIF(Data!$G$2:$G$2797,$A46,Data!$C$2:$C$2797)</f>
        <v>1</v>
      </c>
      <c r="E46" s="13" t="n">
        <f aca="false">SUMIF(Data!$G$2:$G$2797,$A46,Data!$D$2:$D$2797)</f>
        <v>62</v>
      </c>
      <c r="F46" s="13" t="n">
        <f aca="false">C46-D46-E46</f>
        <v>28</v>
      </c>
      <c r="G46" s="26" t="n">
        <f aca="false">IF(C46=0,0,D46/C46*100)</f>
        <v>1.0989010989011</v>
      </c>
    </row>
    <row r="47" customFormat="false" ht="15" hidden="false" customHeight="false" outlineLevel="0" collapsed="false">
      <c r="A47" s="36" t="s">
        <v>618</v>
      </c>
      <c r="B47" s="12" t="str">
        <f aca="false">INDEX(Data!$F$2:$F$2797,MATCH($A47,Data!$G$2:$G$2797,0))</f>
        <v>Punjab</v>
      </c>
      <c r="C47" s="13" t="n">
        <f aca="false">SUMIF(Data!$G$2:$G$2797,$A47,Data!$B$2:$B$2797)</f>
        <v>89</v>
      </c>
      <c r="D47" s="13" t="n">
        <f aca="false">SUMIF(Data!$G$2:$G$2797,$A47,Data!$C$2:$C$2797)</f>
        <v>1</v>
      </c>
      <c r="E47" s="13" t="n">
        <f aca="false">SUMIF(Data!$G$2:$G$2797,$A47,Data!$D$2:$D$2797)</f>
        <v>2</v>
      </c>
      <c r="F47" s="13" t="n">
        <f aca="false">C47-D47-E47</f>
        <v>86</v>
      </c>
      <c r="G47" s="26" t="n">
        <f aca="false">IF(C47=0,0,D47/C47*100)</f>
        <v>1.12359550561798</v>
      </c>
    </row>
    <row r="48" customFormat="false" ht="15" hidden="false" customHeight="false" outlineLevel="0" collapsed="false">
      <c r="A48" s="36" t="s">
        <v>619</v>
      </c>
      <c r="B48" s="12" t="str">
        <f aca="false">INDEX(Data!$F$2:$F$2797,MATCH($A48,Data!$G$2:$G$2797,0))</f>
        <v>Sindh</v>
      </c>
      <c r="C48" s="13" t="n">
        <f aca="false">SUMIF(Data!$G$2:$G$2797,$A48,Data!$B$2:$B$2797)</f>
        <v>88</v>
      </c>
      <c r="D48" s="13" t="n">
        <f aca="false">SUMIF(Data!$G$2:$G$2797,$A48,Data!$C$2:$C$2797)</f>
        <v>0</v>
      </c>
      <c r="E48" s="13" t="n">
        <f aca="false">SUMIF(Data!$G$2:$G$2797,$A48,Data!$D$2:$D$2797)</f>
        <v>35</v>
      </c>
      <c r="F48" s="13" t="n">
        <f aca="false">C48-D48-E48</f>
        <v>53</v>
      </c>
      <c r="G48" s="26" t="n">
        <f aca="false">IF(C48=0,0,D48/C48*100)</f>
        <v>0</v>
      </c>
    </row>
    <row r="49" customFormat="false" ht="15" hidden="false" customHeight="false" outlineLevel="0" collapsed="false">
      <c r="A49" s="36" t="s">
        <v>620</v>
      </c>
      <c r="B49" s="12" t="str">
        <f aca="false">INDEX(Data!$F$2:$F$2797,MATCH($A49,Data!$G$2:$G$2797,0))</f>
        <v>Punjab</v>
      </c>
      <c r="C49" s="13" t="n">
        <f aca="false">SUMIF(Data!$G$2:$G$2797,$A49,Data!$B$2:$B$2797)</f>
        <v>85</v>
      </c>
      <c r="D49" s="13" t="n">
        <f aca="false">SUMIF(Data!$G$2:$G$2797,$A49,Data!$C$2:$C$2797)</f>
        <v>0</v>
      </c>
      <c r="E49" s="13" t="n">
        <f aca="false">SUMIF(Data!$G$2:$G$2797,$A49,Data!$D$2:$D$2797)</f>
        <v>1</v>
      </c>
      <c r="F49" s="13" t="n">
        <f aca="false">C49-D49-E49</f>
        <v>84</v>
      </c>
      <c r="G49" s="26" t="n">
        <f aca="false">IF(C49=0,0,D49/C49*100)</f>
        <v>0</v>
      </c>
    </row>
    <row r="50" customFormat="false" ht="15" hidden="false" customHeight="false" outlineLevel="0" collapsed="false">
      <c r="A50" s="36" t="s">
        <v>621</v>
      </c>
      <c r="B50" s="12" t="str">
        <f aca="false">INDEX(Data!$F$2:$F$2797,MATCH($A50,Data!$G$2:$G$2797,0))</f>
        <v>Khyber Pakhtunkhwa</v>
      </c>
      <c r="C50" s="13" t="n">
        <f aca="false">SUMIF(Data!$G$2:$G$2797,$A50,Data!$B$2:$B$2797)</f>
        <v>84</v>
      </c>
      <c r="D50" s="13" t="n">
        <f aca="false">SUMIF(Data!$G$2:$G$2797,$A50,Data!$C$2:$C$2797)</f>
        <v>2</v>
      </c>
      <c r="E50" s="13" t="n">
        <f aca="false">SUMIF(Data!$G$2:$G$2797,$A50,Data!$D$2:$D$2797)</f>
        <v>26</v>
      </c>
      <c r="F50" s="13" t="n">
        <f aca="false">C50-D50-E50</f>
        <v>56</v>
      </c>
      <c r="G50" s="26" t="n">
        <f aca="false">IF(C50=0,0,D50/C50*100)</f>
        <v>2.38095238095238</v>
      </c>
    </row>
    <row r="51" customFormat="false" ht="15" hidden="false" customHeight="false" outlineLevel="0" collapsed="false">
      <c r="A51" s="36" t="s">
        <v>622</v>
      </c>
      <c r="B51" s="12" t="str">
        <f aca="false">INDEX(Data!$F$2:$F$2797,MATCH($A51,Data!$G$2:$G$2797,0))</f>
        <v>Punjab</v>
      </c>
      <c r="C51" s="13" t="n">
        <f aca="false">SUMIF(Data!$G$2:$G$2797,$A51,Data!$B$2:$B$2797)</f>
        <v>79</v>
      </c>
      <c r="D51" s="13" t="n">
        <f aca="false">SUMIF(Data!$G$2:$G$2797,$A51,Data!$C$2:$C$2797)</f>
        <v>0</v>
      </c>
      <c r="E51" s="13" t="n">
        <f aca="false">SUMIF(Data!$G$2:$G$2797,$A51,Data!$D$2:$D$2797)</f>
        <v>0</v>
      </c>
      <c r="F51" s="13" t="n">
        <f aca="false">C51-D51-E51</f>
        <v>79</v>
      </c>
      <c r="G51" s="26" t="n">
        <f aca="false">IF(C51=0,0,D51/C51*100)</f>
        <v>0</v>
      </c>
    </row>
    <row r="52" customFormat="false" ht="15" hidden="false" customHeight="false" outlineLevel="0" collapsed="false">
      <c r="A52" s="36" t="s">
        <v>623</v>
      </c>
      <c r="B52" s="12" t="str">
        <f aca="false">INDEX(Data!$F$2:$F$2797,MATCH($A52,Data!$G$2:$G$2797,0))</f>
        <v>Sindh</v>
      </c>
      <c r="C52" s="13" t="n">
        <f aca="false">SUMIF(Data!$G$2:$G$2797,$A52,Data!$B$2:$B$2797)</f>
        <v>79</v>
      </c>
      <c r="D52" s="13" t="n">
        <f aca="false">SUMIF(Data!$G$2:$G$2797,$A52,Data!$C$2:$C$2797)</f>
        <v>0</v>
      </c>
      <c r="E52" s="13" t="n">
        <f aca="false">SUMIF(Data!$G$2:$G$2797,$A52,Data!$D$2:$D$2797)</f>
        <v>109</v>
      </c>
      <c r="F52" s="13" t="n">
        <f aca="false">C52-D52-E52</f>
        <v>-30</v>
      </c>
      <c r="G52" s="26" t="n">
        <f aca="false">IF(C52=0,0,D52/C52*100)</f>
        <v>0</v>
      </c>
    </row>
    <row r="53" customFormat="false" ht="15" hidden="false" customHeight="false" outlineLevel="0" collapsed="false">
      <c r="A53" s="36" t="s">
        <v>624</v>
      </c>
      <c r="B53" s="12" t="str">
        <f aca="false">INDEX(Data!$F$2:$F$2797,MATCH($A53,Data!$G$2:$G$2797,0))</f>
        <v>Gilgit-Baltistan</v>
      </c>
      <c r="C53" s="13" t="n">
        <f aca="false">SUMIF(Data!$G$2:$G$2797,$A53,Data!$B$2:$B$2797)</f>
        <v>78</v>
      </c>
      <c r="D53" s="13" t="n">
        <f aca="false">SUMIF(Data!$G$2:$G$2797,$A53,Data!$C$2:$C$2797)</f>
        <v>1</v>
      </c>
      <c r="E53" s="13" t="n">
        <f aca="false">SUMIF(Data!$G$2:$G$2797,$A53,Data!$D$2:$D$2797)</f>
        <v>65</v>
      </c>
      <c r="F53" s="13" t="n">
        <f aca="false">C53-D53-E53</f>
        <v>12</v>
      </c>
      <c r="G53" s="26" t="n">
        <f aca="false">IF(C53=0,0,D53/C53*100)</f>
        <v>1.28205128205128</v>
      </c>
    </row>
    <row r="54" customFormat="false" ht="15" hidden="false" customHeight="false" outlineLevel="0" collapsed="false">
      <c r="A54" s="36" t="s">
        <v>625</v>
      </c>
      <c r="B54" s="12" t="str">
        <f aca="false">INDEX(Data!$F$2:$F$2797,MATCH($A54,Data!$G$2:$G$2797,0))</f>
        <v>Punjab</v>
      </c>
      <c r="C54" s="13" t="n">
        <f aca="false">SUMIF(Data!$G$2:$G$2797,$A54,Data!$B$2:$B$2797)</f>
        <v>78</v>
      </c>
      <c r="D54" s="13" t="n">
        <f aca="false">SUMIF(Data!$G$2:$G$2797,$A54,Data!$C$2:$C$2797)</f>
        <v>0</v>
      </c>
      <c r="E54" s="13" t="n">
        <f aca="false">SUMIF(Data!$G$2:$G$2797,$A54,Data!$D$2:$D$2797)</f>
        <v>0</v>
      </c>
      <c r="F54" s="13" t="n">
        <f aca="false">C54-D54-E54</f>
        <v>78</v>
      </c>
      <c r="G54" s="26" t="n">
        <f aca="false">IF(C54=0,0,D54/C54*100)</f>
        <v>0</v>
      </c>
    </row>
    <row r="55" customFormat="false" ht="15" hidden="false" customHeight="false" outlineLevel="0" collapsed="false">
      <c r="A55" s="36" t="s">
        <v>626</v>
      </c>
      <c r="B55" s="12" t="str">
        <f aca="false">INDEX(Data!$F$2:$F$2797,MATCH($A55,Data!$G$2:$G$2797,0))</f>
        <v>Punjab</v>
      </c>
      <c r="C55" s="13" t="n">
        <f aca="false">SUMIF(Data!$G$2:$G$2797,$A55,Data!$B$2:$B$2797)</f>
        <v>77</v>
      </c>
      <c r="D55" s="13" t="n">
        <f aca="false">SUMIF(Data!$G$2:$G$2797,$A55,Data!$C$2:$C$2797)</f>
        <v>0</v>
      </c>
      <c r="E55" s="13" t="n">
        <f aca="false">SUMIF(Data!$G$2:$G$2797,$A55,Data!$D$2:$D$2797)</f>
        <v>0</v>
      </c>
      <c r="F55" s="13" t="n">
        <f aca="false">C55-D55-E55</f>
        <v>77</v>
      </c>
      <c r="G55" s="26" t="n">
        <f aca="false">IF(C55=0,0,D55/C55*100)</f>
        <v>0</v>
      </c>
    </row>
    <row r="56" customFormat="false" ht="15" hidden="false" customHeight="false" outlineLevel="0" collapsed="false">
      <c r="A56" s="36" t="s">
        <v>627</v>
      </c>
      <c r="B56" s="12" t="str">
        <f aca="false">INDEX(Data!$F$2:$F$2797,MATCH($A56,Data!$G$2:$G$2797,0))</f>
        <v>Punjab</v>
      </c>
      <c r="C56" s="13" t="n">
        <f aca="false">SUMIF(Data!$G$2:$G$2797,$A56,Data!$B$2:$B$2797)</f>
        <v>74</v>
      </c>
      <c r="D56" s="13" t="n">
        <f aca="false">SUMIF(Data!$G$2:$G$2797,$A56,Data!$C$2:$C$2797)</f>
        <v>0</v>
      </c>
      <c r="E56" s="13" t="n">
        <f aca="false">SUMIF(Data!$G$2:$G$2797,$A56,Data!$D$2:$D$2797)</f>
        <v>3</v>
      </c>
      <c r="F56" s="13" t="n">
        <f aca="false">C56-D56-E56</f>
        <v>71</v>
      </c>
      <c r="G56" s="26" t="n">
        <f aca="false">IF(C56=0,0,D56/C56*100)</f>
        <v>0</v>
      </c>
    </row>
    <row r="57" customFormat="false" ht="15" hidden="false" customHeight="false" outlineLevel="0" collapsed="false">
      <c r="A57" s="36" t="s">
        <v>628</v>
      </c>
      <c r="B57" s="12" t="str">
        <f aca="false">INDEX(Data!$F$2:$F$2797,MATCH($A57,Data!$G$2:$G$2797,0))</f>
        <v>Punjab</v>
      </c>
      <c r="C57" s="13" t="n">
        <f aca="false">SUMIF(Data!$G$2:$G$2797,$A57,Data!$B$2:$B$2797)</f>
        <v>72</v>
      </c>
      <c r="D57" s="13" t="n">
        <f aca="false">SUMIF(Data!$G$2:$G$2797,$A57,Data!$C$2:$C$2797)</f>
        <v>0</v>
      </c>
      <c r="E57" s="13" t="n">
        <f aca="false">SUMIF(Data!$G$2:$G$2797,$A57,Data!$D$2:$D$2797)</f>
        <v>6</v>
      </c>
      <c r="F57" s="13" t="n">
        <f aca="false">C57-D57-E57</f>
        <v>66</v>
      </c>
      <c r="G57" s="26" t="n">
        <f aca="false">IF(C57=0,0,D57/C57*100)</f>
        <v>0</v>
      </c>
    </row>
    <row r="58" customFormat="false" ht="15" hidden="false" customHeight="false" outlineLevel="0" collapsed="false">
      <c r="A58" s="36" t="s">
        <v>629</v>
      </c>
      <c r="B58" s="12" t="str">
        <f aca="false">INDEX(Data!$F$2:$F$2797,MATCH($A58,Data!$G$2:$G$2797,0))</f>
        <v>Gilgit-Baltistan</v>
      </c>
      <c r="C58" s="13" t="n">
        <f aca="false">SUMIF(Data!$G$2:$G$2797,$A58,Data!$B$2:$B$2797)</f>
        <v>69</v>
      </c>
      <c r="D58" s="13" t="n">
        <f aca="false">SUMIF(Data!$G$2:$G$2797,$A58,Data!$C$2:$C$2797)</f>
        <v>14</v>
      </c>
      <c r="E58" s="13" t="n">
        <f aca="false">SUMIF(Data!$G$2:$G$2797,$A58,Data!$D$2:$D$2797)</f>
        <v>62</v>
      </c>
      <c r="F58" s="13" t="n">
        <f aca="false">C58-D58-E58</f>
        <v>-7</v>
      </c>
      <c r="G58" s="26" t="n">
        <f aca="false">IF(C58=0,0,D58/C58*100)</f>
        <v>20.2898550724638</v>
      </c>
    </row>
    <row r="59" customFormat="false" ht="15" hidden="false" customHeight="false" outlineLevel="0" collapsed="false">
      <c r="A59" s="36" t="s">
        <v>630</v>
      </c>
      <c r="B59" s="12" t="str">
        <f aca="false">INDEX(Data!$F$2:$F$2797,MATCH($A59,Data!$G$2:$G$2797,0))</f>
        <v>Sindh</v>
      </c>
      <c r="C59" s="13" t="n">
        <f aca="false">SUMIF(Data!$G$2:$G$2797,$A59,Data!$B$2:$B$2797)</f>
        <v>65</v>
      </c>
      <c r="D59" s="13" t="n">
        <f aca="false">SUMIF(Data!$G$2:$G$2797,$A59,Data!$C$2:$C$2797)</f>
        <v>1</v>
      </c>
      <c r="E59" s="13" t="n">
        <f aca="false">SUMIF(Data!$G$2:$G$2797,$A59,Data!$D$2:$D$2797)</f>
        <v>44</v>
      </c>
      <c r="F59" s="13" t="n">
        <f aca="false">C59-D59-E59</f>
        <v>20</v>
      </c>
      <c r="G59" s="26" t="n">
        <f aca="false">IF(C59=0,0,D59/C59*100)</f>
        <v>1.53846153846154</v>
      </c>
    </row>
    <row r="60" customFormat="false" ht="15" hidden="false" customHeight="false" outlineLevel="0" collapsed="false">
      <c r="A60" s="36" t="s">
        <v>631</v>
      </c>
      <c r="B60" s="12" t="str">
        <f aca="false">INDEX(Data!$F$2:$F$2797,MATCH($A60,Data!$G$2:$G$2797,0))</f>
        <v>Punjab</v>
      </c>
      <c r="C60" s="13" t="n">
        <f aca="false">SUMIF(Data!$G$2:$G$2797,$A60,Data!$B$2:$B$2797)</f>
        <v>63</v>
      </c>
      <c r="D60" s="13" t="n">
        <f aca="false">SUMIF(Data!$G$2:$G$2797,$A60,Data!$C$2:$C$2797)</f>
        <v>0</v>
      </c>
      <c r="E60" s="13" t="n">
        <f aca="false">SUMIF(Data!$G$2:$G$2797,$A60,Data!$D$2:$D$2797)</f>
        <v>0</v>
      </c>
      <c r="F60" s="13" t="n">
        <f aca="false">C60-D60-E60</f>
        <v>63</v>
      </c>
      <c r="G60" s="26" t="n">
        <f aca="false">IF(C60=0,0,D60/C60*100)</f>
        <v>0</v>
      </c>
    </row>
    <row r="61" customFormat="false" ht="15" hidden="false" customHeight="false" outlineLevel="0" collapsed="false">
      <c r="A61" s="36" t="s">
        <v>632</v>
      </c>
      <c r="B61" s="12" t="str">
        <f aca="false">INDEX(Data!$F$2:$F$2797,MATCH($A61,Data!$G$2:$G$2797,0))</f>
        <v>Punjab</v>
      </c>
      <c r="C61" s="13" t="n">
        <f aca="false">SUMIF(Data!$G$2:$G$2797,$A61,Data!$B$2:$B$2797)</f>
        <v>61</v>
      </c>
      <c r="D61" s="13" t="n">
        <f aca="false">SUMIF(Data!$G$2:$G$2797,$A61,Data!$C$2:$C$2797)</f>
        <v>0</v>
      </c>
      <c r="E61" s="13" t="n">
        <f aca="false">SUMIF(Data!$G$2:$G$2797,$A61,Data!$D$2:$D$2797)</f>
        <v>0</v>
      </c>
      <c r="F61" s="13" t="n">
        <f aca="false">C61-D61-E61</f>
        <v>61</v>
      </c>
      <c r="G61" s="26" t="n">
        <f aca="false">IF(C61=0,0,D61/C61*100)</f>
        <v>0</v>
      </c>
    </row>
    <row r="62" customFormat="false" ht="15" hidden="false" customHeight="false" outlineLevel="0" collapsed="false">
      <c r="A62" s="36" t="s">
        <v>633</v>
      </c>
      <c r="B62" s="12" t="str">
        <f aca="false">INDEX(Data!$F$2:$F$2797,MATCH($A62,Data!$G$2:$G$2797,0))</f>
        <v>Sindh</v>
      </c>
      <c r="C62" s="13" t="n">
        <f aca="false">SUMIF(Data!$G$2:$G$2797,$A62,Data!$B$2:$B$2797)</f>
        <v>56</v>
      </c>
      <c r="D62" s="13" t="n">
        <f aca="false">SUMIF(Data!$G$2:$G$2797,$A62,Data!$C$2:$C$2797)</f>
        <v>4</v>
      </c>
      <c r="E62" s="13" t="n">
        <f aca="false">SUMIF(Data!$G$2:$G$2797,$A62,Data!$D$2:$D$2797)</f>
        <v>11</v>
      </c>
      <c r="F62" s="13" t="n">
        <f aca="false">C62-D62-E62</f>
        <v>41</v>
      </c>
      <c r="G62" s="26" t="n">
        <f aca="false">IF(C62=0,0,D62/C62*100)</f>
        <v>7.14285714285714</v>
      </c>
    </row>
    <row r="63" customFormat="false" ht="15" hidden="false" customHeight="false" outlineLevel="0" collapsed="false">
      <c r="A63" s="36" t="s">
        <v>634</v>
      </c>
      <c r="B63" s="12" t="str">
        <f aca="false">INDEX(Data!$F$2:$F$2797,MATCH($A63,Data!$G$2:$G$2797,0))</f>
        <v>Punjab</v>
      </c>
      <c r="C63" s="13" t="n">
        <f aca="false">SUMIF(Data!$G$2:$G$2797,$A63,Data!$B$2:$B$2797)</f>
        <v>54</v>
      </c>
      <c r="D63" s="13" t="n">
        <f aca="false">SUMIF(Data!$G$2:$G$2797,$A63,Data!$C$2:$C$2797)</f>
        <v>0</v>
      </c>
      <c r="E63" s="13" t="n">
        <f aca="false">SUMIF(Data!$G$2:$G$2797,$A63,Data!$D$2:$D$2797)</f>
        <v>4</v>
      </c>
      <c r="F63" s="13" t="n">
        <f aca="false">C63-D63-E63</f>
        <v>50</v>
      </c>
      <c r="G63" s="26" t="n">
        <f aca="false">IF(C63=0,0,D63/C63*100)</f>
        <v>0</v>
      </c>
    </row>
    <row r="64" customFormat="false" ht="15" hidden="false" customHeight="false" outlineLevel="0" collapsed="false">
      <c r="A64" s="36" t="s">
        <v>635</v>
      </c>
      <c r="B64" s="12" t="str">
        <f aca="false">INDEX(Data!$F$2:$F$2797,MATCH($A64,Data!$G$2:$G$2797,0))</f>
        <v>Sindh</v>
      </c>
      <c r="C64" s="13" t="n">
        <f aca="false">SUMIF(Data!$G$2:$G$2797,$A64,Data!$B$2:$B$2797)</f>
        <v>53</v>
      </c>
      <c r="D64" s="13" t="n">
        <f aca="false">SUMIF(Data!$G$2:$G$2797,$A64,Data!$C$2:$C$2797)</f>
        <v>0</v>
      </c>
      <c r="E64" s="13" t="n">
        <f aca="false">SUMIF(Data!$G$2:$G$2797,$A64,Data!$D$2:$D$2797)</f>
        <v>25</v>
      </c>
      <c r="F64" s="13" t="n">
        <f aca="false">C64-D64-E64</f>
        <v>28</v>
      </c>
      <c r="G64" s="26" t="n">
        <f aca="false">IF(C64=0,0,D64/C64*100)</f>
        <v>0</v>
      </c>
    </row>
    <row r="65" customFormat="false" ht="15" hidden="false" customHeight="false" outlineLevel="0" collapsed="false">
      <c r="A65" s="36" t="s">
        <v>636</v>
      </c>
      <c r="B65" s="12" t="str">
        <f aca="false">INDEX(Data!$F$2:$F$2797,MATCH($A65,Data!$G$2:$G$2797,0))</f>
        <v>Sindh</v>
      </c>
      <c r="C65" s="13" t="n">
        <f aca="false">SUMIF(Data!$G$2:$G$2797,$A65,Data!$B$2:$B$2797)</f>
        <v>50</v>
      </c>
      <c r="D65" s="13" t="n">
        <f aca="false">SUMIF(Data!$G$2:$G$2797,$A65,Data!$C$2:$C$2797)</f>
        <v>4</v>
      </c>
      <c r="E65" s="13" t="n">
        <f aca="false">SUMIF(Data!$G$2:$G$2797,$A65,Data!$D$2:$D$2797)</f>
        <v>34</v>
      </c>
      <c r="F65" s="13" t="n">
        <f aca="false">C65-D65-E65</f>
        <v>12</v>
      </c>
      <c r="G65" s="26" t="n">
        <f aca="false">IF(C65=0,0,D65/C65*100)</f>
        <v>8</v>
      </c>
    </row>
    <row r="66" customFormat="false" ht="15" hidden="false" customHeight="false" outlineLevel="0" collapsed="false">
      <c r="A66" s="36" t="s">
        <v>637</v>
      </c>
      <c r="B66" s="12" t="str">
        <f aca="false">INDEX(Data!$F$2:$F$2797,MATCH($A66,Data!$G$2:$G$2797,0))</f>
        <v>Sindh</v>
      </c>
      <c r="C66" s="13" t="n">
        <f aca="false">SUMIF(Data!$G$2:$G$2797,$A66,Data!$B$2:$B$2797)</f>
        <v>49</v>
      </c>
      <c r="D66" s="13" t="n">
        <f aca="false">SUMIF(Data!$G$2:$G$2797,$A66,Data!$C$2:$C$2797)</f>
        <v>2</v>
      </c>
      <c r="E66" s="13" t="n">
        <f aca="false">SUMIF(Data!$G$2:$G$2797,$A66,Data!$D$2:$D$2797)</f>
        <v>12</v>
      </c>
      <c r="F66" s="13" t="n">
        <f aca="false">C66-D66-E66</f>
        <v>35</v>
      </c>
      <c r="G66" s="26" t="n">
        <f aca="false">IF(C66=0,0,D66/C66*100)</f>
        <v>4.08163265306123</v>
      </c>
    </row>
    <row r="67" customFormat="false" ht="15" hidden="false" customHeight="false" outlineLevel="0" collapsed="false">
      <c r="A67" s="36" t="s">
        <v>638</v>
      </c>
      <c r="B67" s="12" t="str">
        <f aca="false">INDEX(Data!$F$2:$F$2797,MATCH($A67,Data!$G$2:$G$2797,0))</f>
        <v>Punjab</v>
      </c>
      <c r="C67" s="13" t="n">
        <f aca="false">SUMIF(Data!$G$2:$G$2797,$A67,Data!$B$2:$B$2797)</f>
        <v>47</v>
      </c>
      <c r="D67" s="13" t="n">
        <f aca="false">SUMIF(Data!$G$2:$G$2797,$A67,Data!$C$2:$C$2797)</f>
        <v>0</v>
      </c>
      <c r="E67" s="13" t="n">
        <f aca="false">SUMIF(Data!$G$2:$G$2797,$A67,Data!$D$2:$D$2797)</f>
        <v>1</v>
      </c>
      <c r="F67" s="13" t="n">
        <f aca="false">C67-D67-E67</f>
        <v>46</v>
      </c>
      <c r="G67" s="26" t="n">
        <f aca="false">IF(C67=0,0,D67/C67*100)</f>
        <v>0</v>
      </c>
    </row>
    <row r="68" customFormat="false" ht="15" hidden="false" customHeight="false" outlineLevel="0" collapsed="false">
      <c r="A68" s="36" t="s">
        <v>639</v>
      </c>
      <c r="B68" s="12" t="str">
        <f aca="false">INDEX(Data!$F$2:$F$2797,MATCH($A68,Data!$G$2:$G$2797,0))</f>
        <v>Sindh</v>
      </c>
      <c r="C68" s="13" t="n">
        <f aca="false">SUMIF(Data!$G$2:$G$2797,$A68,Data!$B$2:$B$2797)</f>
        <v>44</v>
      </c>
      <c r="D68" s="13" t="n">
        <f aca="false">SUMIF(Data!$G$2:$G$2797,$A68,Data!$C$2:$C$2797)</f>
        <v>2</v>
      </c>
      <c r="E68" s="13" t="n">
        <f aca="false">SUMIF(Data!$G$2:$G$2797,$A68,Data!$D$2:$D$2797)</f>
        <v>20</v>
      </c>
      <c r="F68" s="13" t="n">
        <f aca="false">C68-D68-E68</f>
        <v>22</v>
      </c>
      <c r="G68" s="26" t="n">
        <f aca="false">IF(C68=0,0,D68/C68*100)</f>
        <v>4.54545454545455</v>
      </c>
    </row>
    <row r="69" customFormat="false" ht="15" hidden="false" customHeight="false" outlineLevel="0" collapsed="false">
      <c r="A69" s="36" t="s">
        <v>640</v>
      </c>
      <c r="B69" s="12" t="str">
        <f aca="false">INDEX(Data!$F$2:$F$2797,MATCH($A69,Data!$G$2:$G$2797,0))</f>
        <v>Sindh</v>
      </c>
      <c r="C69" s="13" t="n">
        <f aca="false">SUMIF(Data!$G$2:$G$2797,$A69,Data!$B$2:$B$2797)</f>
        <v>43</v>
      </c>
      <c r="D69" s="13" t="n">
        <f aca="false">SUMIF(Data!$G$2:$G$2797,$A69,Data!$C$2:$C$2797)</f>
        <v>1</v>
      </c>
      <c r="E69" s="13" t="n">
        <f aca="false">SUMIF(Data!$G$2:$G$2797,$A69,Data!$D$2:$D$2797)</f>
        <v>26</v>
      </c>
      <c r="F69" s="13" t="n">
        <f aca="false">C69-D69-E69</f>
        <v>16</v>
      </c>
      <c r="G69" s="26" t="n">
        <f aca="false">IF(C69=0,0,D69/C69*100)</f>
        <v>2.32558139534884</v>
      </c>
    </row>
    <row r="70" customFormat="false" ht="15" hidden="false" customHeight="false" outlineLevel="0" collapsed="false">
      <c r="A70" s="36" t="s">
        <v>641</v>
      </c>
      <c r="B70" s="12" t="str">
        <f aca="false">INDEX(Data!$F$2:$F$2797,MATCH($A70,Data!$G$2:$G$2797,0))</f>
        <v>Sindh</v>
      </c>
      <c r="C70" s="13" t="n">
        <f aca="false">SUMIF(Data!$G$2:$G$2797,$A70,Data!$B$2:$B$2797)</f>
        <v>41</v>
      </c>
      <c r="D70" s="13" t="n">
        <f aca="false">SUMIF(Data!$G$2:$G$2797,$A70,Data!$C$2:$C$2797)</f>
        <v>1</v>
      </c>
      <c r="E70" s="13" t="n">
        <f aca="false">SUMIF(Data!$G$2:$G$2797,$A70,Data!$D$2:$D$2797)</f>
        <v>29</v>
      </c>
      <c r="F70" s="13" t="n">
        <f aca="false">C70-D70-E70</f>
        <v>11</v>
      </c>
      <c r="G70" s="26" t="n">
        <f aca="false">IF(C70=0,0,D70/C70*100)</f>
        <v>2.4390243902439</v>
      </c>
    </row>
    <row r="71" customFormat="false" ht="15" hidden="false" customHeight="false" outlineLevel="0" collapsed="false">
      <c r="A71" s="36" t="s">
        <v>642</v>
      </c>
      <c r="B71" s="12" t="str">
        <f aca="false">INDEX(Data!$F$2:$F$2797,MATCH($A71,Data!$G$2:$G$2797,0))</f>
        <v>Sindh</v>
      </c>
      <c r="C71" s="13" t="n">
        <f aca="false">SUMIF(Data!$G$2:$G$2797,$A71,Data!$B$2:$B$2797)</f>
        <v>38</v>
      </c>
      <c r="D71" s="13" t="n">
        <f aca="false">SUMIF(Data!$G$2:$G$2797,$A71,Data!$C$2:$C$2797)</f>
        <v>0</v>
      </c>
      <c r="E71" s="13" t="n">
        <f aca="false">SUMIF(Data!$G$2:$G$2797,$A71,Data!$D$2:$D$2797)</f>
        <v>42</v>
      </c>
      <c r="F71" s="13" t="n">
        <f aca="false">C71-D71-E71</f>
        <v>-4</v>
      </c>
      <c r="G71" s="26" t="n">
        <f aca="false">IF(C71=0,0,D71/C71*100)</f>
        <v>0</v>
      </c>
    </row>
    <row r="72" customFormat="false" ht="15" hidden="false" customHeight="false" outlineLevel="0" collapsed="false">
      <c r="A72" s="36" t="s">
        <v>643</v>
      </c>
      <c r="B72" s="12" t="str">
        <f aca="false">INDEX(Data!$F$2:$F$2797,MATCH($A72,Data!$G$2:$G$2797,0))</f>
        <v>Khyber Pakhtunkhwa</v>
      </c>
      <c r="C72" s="13" t="n">
        <f aca="false">SUMIF(Data!$G$2:$G$2797,$A72,Data!$B$2:$B$2797)</f>
        <v>35</v>
      </c>
      <c r="D72" s="13" t="n">
        <f aca="false">SUMIF(Data!$G$2:$G$2797,$A72,Data!$C$2:$C$2797)</f>
        <v>0</v>
      </c>
      <c r="E72" s="13" t="n">
        <f aca="false">SUMIF(Data!$G$2:$G$2797,$A72,Data!$D$2:$D$2797)</f>
        <v>17</v>
      </c>
      <c r="F72" s="13" t="n">
        <f aca="false">C72-D72-E72</f>
        <v>18</v>
      </c>
      <c r="G72" s="26" t="n">
        <f aca="false">IF(C72=0,0,D72/C72*100)</f>
        <v>0</v>
      </c>
    </row>
    <row r="73" customFormat="false" ht="15" hidden="false" customHeight="false" outlineLevel="0" collapsed="false">
      <c r="A73" s="36" t="s">
        <v>644</v>
      </c>
      <c r="B73" s="12" t="str">
        <f aca="false">INDEX(Data!$F$2:$F$2797,MATCH($A73,Data!$G$2:$G$2797,0))</f>
        <v>Sindh</v>
      </c>
      <c r="C73" s="13" t="n">
        <f aca="false">SUMIF(Data!$G$2:$G$2797,$A73,Data!$B$2:$B$2797)</f>
        <v>35</v>
      </c>
      <c r="D73" s="13" t="n">
        <f aca="false">SUMIF(Data!$G$2:$G$2797,$A73,Data!$C$2:$C$2797)</f>
        <v>0</v>
      </c>
      <c r="E73" s="13" t="n">
        <f aca="false">SUMIF(Data!$G$2:$G$2797,$A73,Data!$D$2:$D$2797)</f>
        <v>14</v>
      </c>
      <c r="F73" s="13" t="n">
        <f aca="false">C73-D73-E73</f>
        <v>21</v>
      </c>
      <c r="G73" s="26" t="n">
        <f aca="false">IF(C73=0,0,D73/C73*100)</f>
        <v>0</v>
      </c>
    </row>
    <row r="74" customFormat="false" ht="15" hidden="false" customHeight="false" outlineLevel="0" collapsed="false">
      <c r="A74" s="36" t="s">
        <v>645</v>
      </c>
      <c r="B74" s="12" t="str">
        <f aca="false">INDEX(Data!$F$2:$F$2797,MATCH($A74,Data!$G$2:$G$2797,0))</f>
        <v>Punjab</v>
      </c>
      <c r="C74" s="13" t="n">
        <f aca="false">SUMIF(Data!$G$2:$G$2797,$A74,Data!$B$2:$B$2797)</f>
        <v>32</v>
      </c>
      <c r="D74" s="13" t="n">
        <f aca="false">SUMIF(Data!$G$2:$G$2797,$A74,Data!$C$2:$C$2797)</f>
        <v>0</v>
      </c>
      <c r="E74" s="13" t="n">
        <f aca="false">SUMIF(Data!$G$2:$G$2797,$A74,Data!$D$2:$D$2797)</f>
        <v>0</v>
      </c>
      <c r="F74" s="13" t="n">
        <f aca="false">C74-D74-E74</f>
        <v>32</v>
      </c>
      <c r="G74" s="26" t="n">
        <f aca="false">IF(C74=0,0,D74/C74*100)</f>
        <v>0</v>
      </c>
    </row>
    <row r="75" customFormat="false" ht="15" hidden="false" customHeight="false" outlineLevel="0" collapsed="false">
      <c r="A75" s="36" t="s">
        <v>646</v>
      </c>
      <c r="B75" s="12" t="str">
        <f aca="false">INDEX(Data!$F$2:$F$2797,MATCH($A75,Data!$G$2:$G$2797,0))</f>
        <v>Gilgit-Baltistan</v>
      </c>
      <c r="C75" s="13" t="n">
        <f aca="false">SUMIF(Data!$G$2:$G$2797,$A75,Data!$B$2:$B$2797)</f>
        <v>31</v>
      </c>
      <c r="D75" s="13" t="n">
        <f aca="false">SUMIF(Data!$G$2:$G$2797,$A75,Data!$C$2:$C$2797)</f>
        <v>0</v>
      </c>
      <c r="E75" s="13" t="n">
        <f aca="false">SUMIF(Data!$G$2:$G$2797,$A75,Data!$D$2:$D$2797)</f>
        <v>21</v>
      </c>
      <c r="F75" s="13" t="n">
        <f aca="false">C75-D75-E75</f>
        <v>10</v>
      </c>
      <c r="G75" s="26" t="n">
        <f aca="false">IF(C75=0,0,D75/C75*100)</f>
        <v>0</v>
      </c>
    </row>
    <row r="76" customFormat="false" ht="15" hidden="false" customHeight="false" outlineLevel="0" collapsed="false">
      <c r="A76" s="36" t="s">
        <v>647</v>
      </c>
      <c r="B76" s="12" t="str">
        <f aca="false">INDEX(Data!$F$2:$F$2797,MATCH($A76,Data!$G$2:$G$2797,0))</f>
        <v>Punjab</v>
      </c>
      <c r="C76" s="13" t="n">
        <f aca="false">SUMIF(Data!$G$2:$G$2797,$A76,Data!$B$2:$B$2797)</f>
        <v>31</v>
      </c>
      <c r="D76" s="13" t="n">
        <f aca="false">SUMIF(Data!$G$2:$G$2797,$A76,Data!$C$2:$C$2797)</f>
        <v>0</v>
      </c>
      <c r="E76" s="13" t="n">
        <f aca="false">SUMIF(Data!$G$2:$G$2797,$A76,Data!$D$2:$D$2797)</f>
        <v>0</v>
      </c>
      <c r="F76" s="13" t="n">
        <f aca="false">C76-D76-E76</f>
        <v>31</v>
      </c>
      <c r="G76" s="26" t="n">
        <f aca="false">IF(C76=0,0,D76/C76*100)</f>
        <v>0</v>
      </c>
    </row>
    <row r="77" customFormat="false" ht="15" hidden="false" customHeight="false" outlineLevel="0" collapsed="false">
      <c r="A77" s="36" t="s">
        <v>648</v>
      </c>
      <c r="B77" s="12" t="str">
        <f aca="false">INDEX(Data!$F$2:$F$2797,MATCH($A77,Data!$G$2:$G$2797,0))</f>
        <v>Punjab</v>
      </c>
      <c r="C77" s="13" t="n">
        <f aca="false">SUMIF(Data!$G$2:$G$2797,$A77,Data!$B$2:$B$2797)</f>
        <v>29</v>
      </c>
      <c r="D77" s="13" t="n">
        <f aca="false">SUMIF(Data!$G$2:$G$2797,$A77,Data!$C$2:$C$2797)</f>
        <v>0</v>
      </c>
      <c r="E77" s="13" t="n">
        <f aca="false">SUMIF(Data!$G$2:$G$2797,$A77,Data!$D$2:$D$2797)</f>
        <v>7</v>
      </c>
      <c r="F77" s="13" t="n">
        <f aca="false">C77-D77-E77</f>
        <v>22</v>
      </c>
      <c r="G77" s="26" t="n">
        <f aca="false">IF(C77=0,0,D77/C77*100)</f>
        <v>0</v>
      </c>
    </row>
    <row r="78" customFormat="false" ht="15" hidden="false" customHeight="false" outlineLevel="0" collapsed="false">
      <c r="A78" s="36" t="s">
        <v>649</v>
      </c>
      <c r="B78" s="12" t="str">
        <f aca="false">INDEX(Data!$F$2:$F$2797,MATCH($A78,Data!$G$2:$G$2797,0))</f>
        <v>Gilgit-Baltistan</v>
      </c>
      <c r="C78" s="13" t="n">
        <f aca="false">SUMIF(Data!$G$2:$G$2797,$A78,Data!$B$2:$B$2797)</f>
        <v>28</v>
      </c>
      <c r="D78" s="13" t="n">
        <f aca="false">SUMIF(Data!$G$2:$G$2797,$A78,Data!$C$2:$C$2797)</f>
        <v>0</v>
      </c>
      <c r="E78" s="13" t="n">
        <f aca="false">SUMIF(Data!$G$2:$G$2797,$A78,Data!$D$2:$D$2797)</f>
        <v>6</v>
      </c>
      <c r="F78" s="13" t="n">
        <f aca="false">C78-D78-E78</f>
        <v>22</v>
      </c>
      <c r="G78" s="26" t="n">
        <f aca="false">IF(C78=0,0,D78/C78*100)</f>
        <v>0</v>
      </c>
    </row>
    <row r="79" customFormat="false" ht="15" hidden="false" customHeight="false" outlineLevel="0" collapsed="false">
      <c r="A79" s="36" t="s">
        <v>650</v>
      </c>
      <c r="B79" s="12" t="str">
        <f aca="false">INDEX(Data!$F$2:$F$2797,MATCH($A79,Data!$G$2:$G$2797,0))</f>
        <v>Gilgit-Baltistan</v>
      </c>
      <c r="C79" s="13" t="n">
        <f aca="false">SUMIF(Data!$G$2:$G$2797,$A79,Data!$B$2:$B$2797)</f>
        <v>28</v>
      </c>
      <c r="D79" s="13" t="n">
        <f aca="false">SUMIF(Data!$G$2:$G$2797,$A79,Data!$C$2:$C$2797)</f>
        <v>0</v>
      </c>
      <c r="E79" s="13" t="n">
        <f aca="false">SUMIF(Data!$G$2:$G$2797,$A79,Data!$D$2:$D$2797)</f>
        <v>0</v>
      </c>
      <c r="F79" s="13" t="n">
        <f aca="false">C79-D79-E79</f>
        <v>28</v>
      </c>
      <c r="G79" s="26" t="n">
        <f aca="false">IF(C79=0,0,D79/C79*100)</f>
        <v>0</v>
      </c>
    </row>
    <row r="80" customFormat="false" ht="15" hidden="false" customHeight="false" outlineLevel="0" collapsed="false">
      <c r="A80" s="36" t="s">
        <v>651</v>
      </c>
      <c r="B80" s="12" t="str">
        <f aca="false">INDEX(Data!$F$2:$F$2797,MATCH($A80,Data!$G$2:$G$2797,0))</f>
        <v>Punjab</v>
      </c>
      <c r="C80" s="13" t="n">
        <f aca="false">SUMIF(Data!$G$2:$G$2797,$A80,Data!$B$2:$B$2797)</f>
        <v>27</v>
      </c>
      <c r="D80" s="13" t="n">
        <f aca="false">SUMIF(Data!$G$2:$G$2797,$A80,Data!$C$2:$C$2797)</f>
        <v>0</v>
      </c>
      <c r="E80" s="13" t="n">
        <f aca="false">SUMIF(Data!$G$2:$G$2797,$A80,Data!$D$2:$D$2797)</f>
        <v>6</v>
      </c>
      <c r="F80" s="13" t="n">
        <f aca="false">C80-D80-E80</f>
        <v>21</v>
      </c>
      <c r="G80" s="26" t="n">
        <f aca="false">IF(C80=0,0,D80/C80*100)</f>
        <v>0</v>
      </c>
    </row>
    <row r="81" customFormat="false" ht="15" hidden="false" customHeight="false" outlineLevel="0" collapsed="false">
      <c r="A81" s="36" t="s">
        <v>652</v>
      </c>
      <c r="B81" s="12" t="str">
        <f aca="false">INDEX(Data!$F$2:$F$2797,MATCH($A81,Data!$G$2:$G$2797,0))</f>
        <v>Punjab</v>
      </c>
      <c r="C81" s="13" t="n">
        <f aca="false">SUMIF(Data!$G$2:$G$2797,$A81,Data!$B$2:$B$2797)</f>
        <v>27</v>
      </c>
      <c r="D81" s="13" t="n">
        <f aca="false">SUMIF(Data!$G$2:$G$2797,$A81,Data!$C$2:$C$2797)</f>
        <v>0</v>
      </c>
      <c r="E81" s="13" t="n">
        <f aca="false">SUMIF(Data!$G$2:$G$2797,$A81,Data!$D$2:$D$2797)</f>
        <v>0</v>
      </c>
      <c r="F81" s="13" t="n">
        <f aca="false">C81-D81-E81</f>
        <v>27</v>
      </c>
      <c r="G81" s="26" t="n">
        <f aca="false">IF(C81=0,0,D81/C81*100)</f>
        <v>0</v>
      </c>
    </row>
    <row r="82" customFormat="false" ht="15" hidden="false" customHeight="false" outlineLevel="0" collapsed="false">
      <c r="A82" s="36" t="s">
        <v>653</v>
      </c>
      <c r="B82" s="12" t="str">
        <f aca="false">INDEX(Data!$F$2:$F$2797,MATCH($A82,Data!$G$2:$G$2797,0))</f>
        <v>Punjab</v>
      </c>
      <c r="C82" s="13" t="n">
        <f aca="false">SUMIF(Data!$G$2:$G$2797,$A82,Data!$B$2:$B$2797)</f>
        <v>25</v>
      </c>
      <c r="D82" s="13" t="n">
        <f aca="false">SUMIF(Data!$G$2:$G$2797,$A82,Data!$C$2:$C$2797)</f>
        <v>0</v>
      </c>
      <c r="E82" s="13" t="n">
        <f aca="false">SUMIF(Data!$G$2:$G$2797,$A82,Data!$D$2:$D$2797)</f>
        <v>0</v>
      </c>
      <c r="F82" s="13" t="n">
        <f aca="false">C82-D82-E82</f>
        <v>25</v>
      </c>
      <c r="G82" s="26" t="n">
        <f aca="false">IF(C82=0,0,D82/C82*100)</f>
        <v>0</v>
      </c>
    </row>
    <row r="83" customFormat="false" ht="15" hidden="false" customHeight="false" outlineLevel="0" collapsed="false">
      <c r="A83" s="36" t="s">
        <v>654</v>
      </c>
      <c r="B83" s="12" t="str">
        <f aca="false">INDEX(Data!$F$2:$F$2797,MATCH($A83,Data!$G$2:$G$2797,0))</f>
        <v>Gilgit-Baltistan</v>
      </c>
      <c r="C83" s="13" t="n">
        <f aca="false">SUMIF(Data!$G$2:$G$2797,$A83,Data!$B$2:$B$2797)</f>
        <v>24</v>
      </c>
      <c r="D83" s="13" t="n">
        <f aca="false">SUMIF(Data!$G$2:$G$2797,$A83,Data!$C$2:$C$2797)</f>
        <v>0</v>
      </c>
      <c r="E83" s="13" t="n">
        <f aca="false">SUMIF(Data!$G$2:$G$2797,$A83,Data!$D$2:$D$2797)</f>
        <v>12</v>
      </c>
      <c r="F83" s="13" t="n">
        <f aca="false">C83-D83-E83</f>
        <v>12</v>
      </c>
      <c r="G83" s="26" t="n">
        <f aca="false">IF(C83=0,0,D83/C83*100)</f>
        <v>0</v>
      </c>
    </row>
    <row r="84" customFormat="false" ht="15" hidden="false" customHeight="false" outlineLevel="0" collapsed="false">
      <c r="A84" s="36" t="s">
        <v>655</v>
      </c>
      <c r="B84" s="12" t="str">
        <f aca="false">INDEX(Data!$F$2:$F$2797,MATCH($A84,Data!$G$2:$G$2797,0))</f>
        <v>Khyber Pakhtunkhwa</v>
      </c>
      <c r="C84" s="13" t="n">
        <f aca="false">SUMIF(Data!$G$2:$G$2797,$A84,Data!$B$2:$B$2797)</f>
        <v>24</v>
      </c>
      <c r="D84" s="13" t="n">
        <f aca="false">SUMIF(Data!$G$2:$G$2797,$A84,Data!$C$2:$C$2797)</f>
        <v>1</v>
      </c>
      <c r="E84" s="13" t="n">
        <f aca="false">SUMIF(Data!$G$2:$G$2797,$A84,Data!$D$2:$D$2797)</f>
        <v>15</v>
      </c>
      <c r="F84" s="13" t="n">
        <f aca="false">C84-D84-E84</f>
        <v>8</v>
      </c>
      <c r="G84" s="26" t="n">
        <f aca="false">IF(C84=0,0,D84/C84*100)</f>
        <v>4.16666666666667</v>
      </c>
    </row>
    <row r="85" customFormat="false" ht="15" hidden="false" customHeight="false" outlineLevel="0" collapsed="false">
      <c r="A85" s="36" t="s">
        <v>656</v>
      </c>
      <c r="B85" s="12" t="str">
        <f aca="false">INDEX(Data!$F$2:$F$2797,MATCH($A85,Data!$G$2:$G$2797,0))</f>
        <v>Khyber Pakhtunkhwa</v>
      </c>
      <c r="C85" s="13" t="n">
        <f aca="false">SUMIF(Data!$G$2:$G$2797,$A85,Data!$B$2:$B$2797)</f>
        <v>21</v>
      </c>
      <c r="D85" s="13" t="n">
        <f aca="false">SUMIF(Data!$G$2:$G$2797,$A85,Data!$C$2:$C$2797)</f>
        <v>1</v>
      </c>
      <c r="E85" s="13" t="n">
        <f aca="false">SUMIF(Data!$G$2:$G$2797,$A85,Data!$D$2:$D$2797)</f>
        <v>4</v>
      </c>
      <c r="F85" s="13" t="n">
        <f aca="false">C85-D85-E85</f>
        <v>16</v>
      </c>
      <c r="G85" s="26" t="n">
        <f aca="false">IF(C85=0,0,D85/C85*100)</f>
        <v>4.76190476190476</v>
      </c>
    </row>
    <row r="86" customFormat="false" ht="15" hidden="false" customHeight="false" outlineLevel="0" collapsed="false">
      <c r="A86" s="36" t="s">
        <v>657</v>
      </c>
      <c r="B86" s="12" t="str">
        <f aca="false">INDEX(Data!$F$2:$F$2797,MATCH($A86,Data!$G$2:$G$2797,0))</f>
        <v>Punjab</v>
      </c>
      <c r="C86" s="13" t="n">
        <f aca="false">SUMIF(Data!$G$2:$G$2797,$A86,Data!$B$2:$B$2797)</f>
        <v>21</v>
      </c>
      <c r="D86" s="13" t="n">
        <f aca="false">SUMIF(Data!$G$2:$G$2797,$A86,Data!$C$2:$C$2797)</f>
        <v>0</v>
      </c>
      <c r="E86" s="13" t="n">
        <f aca="false">SUMIF(Data!$G$2:$G$2797,$A86,Data!$D$2:$D$2797)</f>
        <v>4</v>
      </c>
      <c r="F86" s="13" t="n">
        <f aca="false">C86-D86-E86</f>
        <v>17</v>
      </c>
      <c r="G86" s="26" t="n">
        <f aca="false">IF(C86=0,0,D86/C86*100)</f>
        <v>0</v>
      </c>
    </row>
    <row r="87" customFormat="false" ht="15" hidden="false" customHeight="false" outlineLevel="0" collapsed="false">
      <c r="A87" s="36" t="s">
        <v>658</v>
      </c>
      <c r="B87" s="12" t="str">
        <f aca="false">INDEX(Data!$F$2:$F$2797,MATCH($A87,Data!$G$2:$G$2797,0))</f>
        <v>Gilgit-Baltistan</v>
      </c>
      <c r="C87" s="13" t="n">
        <f aca="false">SUMIF(Data!$G$2:$G$2797,$A87,Data!$B$2:$B$2797)</f>
        <v>19</v>
      </c>
      <c r="D87" s="13" t="n">
        <f aca="false">SUMIF(Data!$G$2:$G$2797,$A87,Data!$C$2:$C$2797)</f>
        <v>0</v>
      </c>
      <c r="E87" s="13" t="n">
        <f aca="false">SUMIF(Data!$G$2:$G$2797,$A87,Data!$D$2:$D$2797)</f>
        <v>3</v>
      </c>
      <c r="F87" s="13" t="n">
        <f aca="false">C87-D87-E87</f>
        <v>16</v>
      </c>
      <c r="G87" s="26" t="n">
        <f aca="false">IF(C87=0,0,D87/C87*100)</f>
        <v>0</v>
      </c>
    </row>
    <row r="88" customFormat="false" ht="15" hidden="false" customHeight="false" outlineLevel="0" collapsed="false">
      <c r="A88" s="36" t="s">
        <v>659</v>
      </c>
      <c r="B88" s="12" t="str">
        <f aca="false">INDEX(Data!$F$2:$F$2797,MATCH($A88,Data!$G$2:$G$2797,0))</f>
        <v>Punjab</v>
      </c>
      <c r="C88" s="13" t="n">
        <f aca="false">SUMIF(Data!$G$2:$G$2797,$A88,Data!$B$2:$B$2797)</f>
        <v>18</v>
      </c>
      <c r="D88" s="13" t="n">
        <f aca="false">SUMIF(Data!$G$2:$G$2797,$A88,Data!$C$2:$C$2797)</f>
        <v>0</v>
      </c>
      <c r="E88" s="13" t="n">
        <f aca="false">SUMIF(Data!$G$2:$G$2797,$A88,Data!$D$2:$D$2797)</f>
        <v>1</v>
      </c>
      <c r="F88" s="13" t="n">
        <f aca="false">C88-D88-E88</f>
        <v>17</v>
      </c>
      <c r="G88" s="26" t="n">
        <f aca="false">IF(C88=0,0,D88/C88*100)</f>
        <v>0</v>
      </c>
    </row>
    <row r="89" customFormat="false" ht="15" hidden="false" customHeight="false" outlineLevel="0" collapsed="false">
      <c r="A89" s="36" t="s">
        <v>660</v>
      </c>
      <c r="B89" s="12" t="str">
        <f aca="false">INDEX(Data!$F$2:$F$2797,MATCH($A89,Data!$G$2:$G$2797,0))</f>
        <v>Gilgit-Baltistan</v>
      </c>
      <c r="C89" s="13" t="n">
        <f aca="false">SUMIF(Data!$G$2:$G$2797,$A89,Data!$B$2:$B$2797)</f>
        <v>16</v>
      </c>
      <c r="D89" s="13" t="n">
        <f aca="false">SUMIF(Data!$G$2:$G$2797,$A89,Data!$C$2:$C$2797)</f>
        <v>0</v>
      </c>
      <c r="E89" s="13" t="n">
        <f aca="false">SUMIF(Data!$G$2:$G$2797,$A89,Data!$D$2:$D$2797)</f>
        <v>10</v>
      </c>
      <c r="F89" s="13" t="n">
        <f aca="false">C89-D89-E89</f>
        <v>6</v>
      </c>
      <c r="G89" s="26" t="n">
        <f aca="false">IF(C89=0,0,D89/C89*100)</f>
        <v>0</v>
      </c>
    </row>
    <row r="90" customFormat="false" ht="15" hidden="false" customHeight="false" outlineLevel="0" collapsed="false">
      <c r="A90" s="36" t="s">
        <v>661</v>
      </c>
      <c r="B90" s="12" t="str">
        <f aca="false">INDEX(Data!$F$2:$F$2797,MATCH($A90,Data!$G$2:$G$2797,0))</f>
        <v>Punjab</v>
      </c>
      <c r="C90" s="13" t="n">
        <f aca="false">SUMIF(Data!$G$2:$G$2797,$A90,Data!$B$2:$B$2797)</f>
        <v>15</v>
      </c>
      <c r="D90" s="13" t="n">
        <f aca="false">SUMIF(Data!$G$2:$G$2797,$A90,Data!$C$2:$C$2797)</f>
        <v>0</v>
      </c>
      <c r="E90" s="13" t="n">
        <f aca="false">SUMIF(Data!$G$2:$G$2797,$A90,Data!$D$2:$D$2797)</f>
        <v>0</v>
      </c>
      <c r="F90" s="13" t="n">
        <f aca="false">C90-D90-E90</f>
        <v>15</v>
      </c>
      <c r="G90" s="26" t="n">
        <f aca="false">IF(C90=0,0,D90/C90*100)</f>
        <v>0</v>
      </c>
    </row>
    <row r="91" customFormat="false" ht="15" hidden="false" customHeight="false" outlineLevel="0" collapsed="false">
      <c r="A91" s="36" t="s">
        <v>662</v>
      </c>
      <c r="B91" s="12" t="str">
        <f aca="false">INDEX(Data!$F$2:$F$2797,MATCH($A91,Data!$G$2:$G$2797,0))</f>
        <v>Khyber Pakhtunkhwa</v>
      </c>
      <c r="C91" s="13" t="n">
        <f aca="false">SUMIF(Data!$G$2:$G$2797,$A91,Data!$B$2:$B$2797)</f>
        <v>15</v>
      </c>
      <c r="D91" s="13" t="n">
        <f aca="false">SUMIF(Data!$G$2:$G$2797,$A91,Data!$C$2:$C$2797)</f>
        <v>0</v>
      </c>
      <c r="E91" s="13" t="n">
        <f aca="false">SUMIF(Data!$G$2:$G$2797,$A91,Data!$D$2:$D$2797)</f>
        <v>5</v>
      </c>
      <c r="F91" s="13" t="n">
        <f aca="false">C91-D91-E91</f>
        <v>10</v>
      </c>
      <c r="G91" s="26" t="n">
        <f aca="false">IF(C91=0,0,D91/C91*100)</f>
        <v>0</v>
      </c>
    </row>
    <row r="92" customFormat="false" ht="15" hidden="false" customHeight="false" outlineLevel="0" collapsed="false">
      <c r="A92" s="36" t="s">
        <v>663</v>
      </c>
      <c r="B92" s="12" t="str">
        <f aca="false">INDEX(Data!$F$2:$F$2797,MATCH($A92,Data!$G$2:$G$2797,0))</f>
        <v>Sindh</v>
      </c>
      <c r="C92" s="13" t="n">
        <f aca="false">SUMIF(Data!$G$2:$G$2797,$A92,Data!$B$2:$B$2797)</f>
        <v>13</v>
      </c>
      <c r="D92" s="13" t="n">
        <f aca="false">SUMIF(Data!$G$2:$G$2797,$A92,Data!$C$2:$C$2797)</f>
        <v>1</v>
      </c>
      <c r="E92" s="13" t="n">
        <f aca="false">SUMIF(Data!$G$2:$G$2797,$A92,Data!$D$2:$D$2797)</f>
        <v>45</v>
      </c>
      <c r="F92" s="13" t="n">
        <f aca="false">C92-D92-E92</f>
        <v>-33</v>
      </c>
      <c r="G92" s="26" t="n">
        <f aca="false">IF(C92=0,0,D92/C92*100)</f>
        <v>7.69230769230769</v>
      </c>
    </row>
    <row r="93" customFormat="false" ht="15" hidden="false" customHeight="false" outlineLevel="0" collapsed="false">
      <c r="A93" s="36" t="s">
        <v>664</v>
      </c>
      <c r="B93" s="12" t="str">
        <f aca="false">INDEX(Data!$F$2:$F$2797,MATCH($A93,Data!$G$2:$G$2797,0))</f>
        <v>Khyber Pakhtunkhwa</v>
      </c>
      <c r="C93" s="13" t="n">
        <f aca="false">SUMIF(Data!$G$2:$G$2797,$A93,Data!$B$2:$B$2797)</f>
        <v>12</v>
      </c>
      <c r="D93" s="13" t="n">
        <f aca="false">SUMIF(Data!$G$2:$G$2797,$A93,Data!$C$2:$C$2797)</f>
        <v>1</v>
      </c>
      <c r="E93" s="13" t="n">
        <f aca="false">SUMIF(Data!$G$2:$G$2797,$A93,Data!$D$2:$D$2797)</f>
        <v>7</v>
      </c>
      <c r="F93" s="13" t="n">
        <f aca="false">C93-D93-E93</f>
        <v>4</v>
      </c>
      <c r="G93" s="26" t="n">
        <f aca="false">IF(C93=0,0,D93/C93*100)</f>
        <v>8.33333333333333</v>
      </c>
    </row>
    <row r="94" customFormat="false" ht="15" hidden="false" customHeight="false" outlineLevel="0" collapsed="false">
      <c r="A94" s="36" t="s">
        <v>665</v>
      </c>
      <c r="B94" s="12" t="str">
        <f aca="false">INDEX(Data!$F$2:$F$2797,MATCH($A94,Data!$G$2:$G$2797,0))</f>
        <v>Baluchistan</v>
      </c>
      <c r="C94" s="13" t="n">
        <f aca="false">SUMIF(Data!$G$2:$G$2797,$A94,Data!$B$2:$B$2797)</f>
        <v>12</v>
      </c>
      <c r="D94" s="13" t="n">
        <f aca="false">SUMIF(Data!$G$2:$G$2797,$A94,Data!$C$2:$C$2797)</f>
        <v>0</v>
      </c>
      <c r="E94" s="13" t="n">
        <f aca="false">SUMIF(Data!$G$2:$G$2797,$A94,Data!$D$2:$D$2797)</f>
        <v>0</v>
      </c>
      <c r="F94" s="13" t="n">
        <f aca="false">C94-D94-E94</f>
        <v>12</v>
      </c>
      <c r="G94" s="26" t="n">
        <f aca="false">IF(C94=0,0,D94/C94*100)</f>
        <v>0</v>
      </c>
    </row>
    <row r="95" customFormat="false" ht="15" hidden="false" customHeight="false" outlineLevel="0" collapsed="false">
      <c r="A95" s="36" t="s">
        <v>666</v>
      </c>
      <c r="B95" s="12" t="str">
        <f aca="false">INDEX(Data!$F$2:$F$2797,MATCH($A95,Data!$G$2:$G$2797,0))</f>
        <v>Khyber Pakhtunkhwa</v>
      </c>
      <c r="C95" s="13" t="n">
        <f aca="false">SUMIF(Data!$G$2:$G$2797,$A95,Data!$B$2:$B$2797)</f>
        <v>11</v>
      </c>
      <c r="D95" s="13" t="n">
        <f aca="false">SUMIF(Data!$G$2:$G$2797,$A95,Data!$C$2:$C$2797)</f>
        <v>0</v>
      </c>
      <c r="E95" s="13" t="n">
        <f aca="false">SUMIF(Data!$G$2:$G$2797,$A95,Data!$D$2:$D$2797)</f>
        <v>4</v>
      </c>
      <c r="F95" s="13" t="n">
        <f aca="false">C95-D95-E95</f>
        <v>7</v>
      </c>
      <c r="G95" s="26" t="n">
        <f aca="false">IF(C95=0,0,D95/C95*100)</f>
        <v>0</v>
      </c>
    </row>
    <row r="96" customFormat="false" ht="15" hidden="false" customHeight="false" outlineLevel="0" collapsed="false">
      <c r="A96" s="36" t="s">
        <v>667</v>
      </c>
      <c r="B96" s="12" t="str">
        <f aca="false">INDEX(Data!$F$2:$F$2797,MATCH($A96,Data!$G$2:$G$2797,0))</f>
        <v>Federal Administration Tribal Area</v>
      </c>
      <c r="C96" s="13" t="n">
        <f aca="false">SUMIF(Data!$G$2:$G$2797,$A96,Data!$B$2:$B$2797)</f>
        <v>10</v>
      </c>
      <c r="D96" s="13" t="n">
        <f aca="false">SUMIF(Data!$G$2:$G$2797,$A96,Data!$C$2:$C$2797)</f>
        <v>0</v>
      </c>
      <c r="E96" s="13" t="n">
        <f aca="false">SUMIF(Data!$G$2:$G$2797,$A96,Data!$D$2:$D$2797)</f>
        <v>5</v>
      </c>
      <c r="F96" s="13" t="n">
        <f aca="false">C96-D96-E96</f>
        <v>5</v>
      </c>
      <c r="G96" s="26" t="n">
        <f aca="false">IF(C96=0,0,D96/C96*100)</f>
        <v>0</v>
      </c>
    </row>
    <row r="97" customFormat="false" ht="15" hidden="false" customHeight="false" outlineLevel="0" collapsed="false">
      <c r="A97" s="36" t="s">
        <v>668</v>
      </c>
      <c r="B97" s="12" t="str">
        <f aca="false">INDEX(Data!$F$2:$F$2797,MATCH($A97,Data!$G$2:$G$2797,0))</f>
        <v>Punjab</v>
      </c>
      <c r="C97" s="13" t="n">
        <f aca="false">SUMIF(Data!$G$2:$G$2797,$A97,Data!$B$2:$B$2797)</f>
        <v>10</v>
      </c>
      <c r="D97" s="13" t="n">
        <f aca="false">SUMIF(Data!$G$2:$G$2797,$A97,Data!$C$2:$C$2797)</f>
        <v>0</v>
      </c>
      <c r="E97" s="13" t="n">
        <f aca="false">SUMIF(Data!$G$2:$G$2797,$A97,Data!$D$2:$D$2797)</f>
        <v>0</v>
      </c>
      <c r="F97" s="13" t="n">
        <f aca="false">C97-D97-E97</f>
        <v>10</v>
      </c>
      <c r="G97" s="26" t="n">
        <f aca="false">IF(C97=0,0,D97/C97*100)</f>
        <v>0</v>
      </c>
    </row>
    <row r="98" customFormat="false" ht="15" hidden="false" customHeight="false" outlineLevel="0" collapsed="false">
      <c r="A98" s="36" t="s">
        <v>669</v>
      </c>
      <c r="B98" s="12" t="str">
        <f aca="false">INDEX(Data!$F$2:$F$2797,MATCH($A98,Data!$G$2:$G$2797,0))</f>
        <v>Punjab</v>
      </c>
      <c r="C98" s="13" t="n">
        <f aca="false">SUMIF(Data!$G$2:$G$2797,$A98,Data!$B$2:$B$2797)</f>
        <v>9</v>
      </c>
      <c r="D98" s="13" t="n">
        <f aca="false">SUMIF(Data!$G$2:$G$2797,$A98,Data!$C$2:$C$2797)</f>
        <v>0</v>
      </c>
      <c r="E98" s="13" t="n">
        <f aca="false">SUMIF(Data!$G$2:$G$2797,$A98,Data!$D$2:$D$2797)</f>
        <v>0</v>
      </c>
      <c r="F98" s="13" t="n">
        <f aca="false">C98-D98-E98</f>
        <v>9</v>
      </c>
      <c r="G98" s="26" t="n">
        <f aca="false">IF(C98=0,0,D98/C98*100)</f>
        <v>0</v>
      </c>
    </row>
    <row r="99" customFormat="false" ht="15" hidden="false" customHeight="false" outlineLevel="0" collapsed="false">
      <c r="A99" s="36" t="s">
        <v>670</v>
      </c>
      <c r="B99" s="12" t="str">
        <f aca="false">INDEX(Data!$F$2:$F$2797,MATCH($A99,Data!$G$2:$G$2797,0))</f>
        <v>Sindh</v>
      </c>
      <c r="C99" s="13" t="n">
        <f aca="false">SUMIF(Data!$G$2:$G$2797,$A99,Data!$B$2:$B$2797)</f>
        <v>9</v>
      </c>
      <c r="D99" s="13" t="n">
        <f aca="false">SUMIF(Data!$G$2:$G$2797,$A99,Data!$C$2:$C$2797)</f>
        <v>1</v>
      </c>
      <c r="E99" s="13" t="n">
        <f aca="false">SUMIF(Data!$G$2:$G$2797,$A99,Data!$D$2:$D$2797)</f>
        <v>1</v>
      </c>
      <c r="F99" s="13" t="n">
        <f aca="false">C99-D99-E99</f>
        <v>7</v>
      </c>
      <c r="G99" s="26" t="n">
        <f aca="false">IF(C99=0,0,D99/C99*100)</f>
        <v>11.1111111111111</v>
      </c>
    </row>
    <row r="100" customFormat="false" ht="15" hidden="false" customHeight="false" outlineLevel="0" collapsed="false">
      <c r="A100" s="36" t="s">
        <v>671</v>
      </c>
      <c r="B100" s="12" t="str">
        <f aca="false">INDEX(Data!$F$2:$F$2797,MATCH($A100,Data!$G$2:$G$2797,0))</f>
        <v>Sindh</v>
      </c>
      <c r="C100" s="13" t="n">
        <f aca="false">SUMIF(Data!$G$2:$G$2797,$A100,Data!$B$2:$B$2797)</f>
        <v>9</v>
      </c>
      <c r="D100" s="13" t="n">
        <f aca="false">SUMIF(Data!$G$2:$G$2797,$A100,Data!$C$2:$C$2797)</f>
        <v>0</v>
      </c>
      <c r="E100" s="13" t="n">
        <f aca="false">SUMIF(Data!$G$2:$G$2797,$A100,Data!$D$2:$D$2797)</f>
        <v>20</v>
      </c>
      <c r="F100" s="13" t="n">
        <f aca="false">C100-D100-E100</f>
        <v>-11</v>
      </c>
      <c r="G100" s="26" t="n">
        <f aca="false">IF(C100=0,0,D100/C100*100)</f>
        <v>0</v>
      </c>
    </row>
    <row r="101" customFormat="false" ht="15" hidden="false" customHeight="false" outlineLevel="0" collapsed="false">
      <c r="A101" s="36" t="s">
        <v>672</v>
      </c>
      <c r="B101" s="12" t="str">
        <f aca="false">INDEX(Data!$F$2:$F$2797,MATCH($A101,Data!$G$2:$G$2797,0))</f>
        <v>Azad Jummu Kashmir</v>
      </c>
      <c r="C101" s="13" t="n">
        <f aca="false">SUMIF(Data!$G$2:$G$2797,$A101,Data!$B$2:$B$2797)</f>
        <v>9</v>
      </c>
      <c r="D101" s="13" t="n">
        <f aca="false">SUMIF(Data!$G$2:$G$2797,$A101,Data!$C$2:$C$2797)</f>
        <v>0</v>
      </c>
      <c r="E101" s="13" t="n">
        <f aca="false">SUMIF(Data!$G$2:$G$2797,$A101,Data!$D$2:$D$2797)</f>
        <v>0</v>
      </c>
      <c r="F101" s="13" t="n">
        <f aca="false">C101-D101-E101</f>
        <v>9</v>
      </c>
      <c r="G101" s="26" t="n">
        <f aca="false">IF(C101=0,0,D101/C101*100)</f>
        <v>0</v>
      </c>
    </row>
    <row r="102" customFormat="false" ht="15" hidden="false" customHeight="false" outlineLevel="0" collapsed="false">
      <c r="A102" s="36" t="s">
        <v>673</v>
      </c>
      <c r="B102" s="12" t="str">
        <f aca="false">INDEX(Data!$F$2:$F$2797,MATCH($A102,Data!$G$2:$G$2797,0))</f>
        <v>Khyber Pakhtunkhwa</v>
      </c>
      <c r="C102" s="13" t="n">
        <f aca="false">SUMIF(Data!$G$2:$G$2797,$A102,Data!$B$2:$B$2797)</f>
        <v>8</v>
      </c>
      <c r="D102" s="13" t="n">
        <f aca="false">SUMIF(Data!$G$2:$G$2797,$A102,Data!$C$2:$C$2797)</f>
        <v>0</v>
      </c>
      <c r="E102" s="13" t="n">
        <f aca="false">SUMIF(Data!$G$2:$G$2797,$A102,Data!$D$2:$D$2797)</f>
        <v>10</v>
      </c>
      <c r="F102" s="13" t="n">
        <f aca="false">C102-D102-E102</f>
        <v>-2</v>
      </c>
      <c r="G102" s="26" t="n">
        <f aca="false">IF(C102=0,0,D102/C102*100)</f>
        <v>0</v>
      </c>
    </row>
    <row r="103" customFormat="false" ht="15" hidden="false" customHeight="false" outlineLevel="0" collapsed="false">
      <c r="A103" s="36" t="s">
        <v>674</v>
      </c>
      <c r="B103" s="12" t="str">
        <f aca="false">INDEX(Data!$F$2:$F$2797,MATCH($A103,Data!$G$2:$G$2797,0))</f>
        <v>Punjab</v>
      </c>
      <c r="C103" s="13" t="n">
        <f aca="false">SUMIF(Data!$G$2:$G$2797,$A103,Data!$B$2:$B$2797)</f>
        <v>8</v>
      </c>
      <c r="D103" s="13" t="n">
        <f aca="false">SUMIF(Data!$G$2:$G$2797,$A103,Data!$C$2:$C$2797)</f>
        <v>0</v>
      </c>
      <c r="E103" s="13" t="n">
        <f aca="false">SUMIF(Data!$G$2:$G$2797,$A103,Data!$D$2:$D$2797)</f>
        <v>0</v>
      </c>
      <c r="F103" s="13" t="n">
        <f aca="false">C103-D103-E103</f>
        <v>8</v>
      </c>
      <c r="G103" s="26" t="n">
        <f aca="false">IF(C103=0,0,D103/C103*100)</f>
        <v>0</v>
      </c>
    </row>
    <row r="104" customFormat="false" ht="15" hidden="false" customHeight="false" outlineLevel="0" collapsed="false">
      <c r="A104" s="36" t="s">
        <v>675</v>
      </c>
      <c r="B104" s="12" t="str">
        <f aca="false">INDEX(Data!$F$2:$F$2797,MATCH($A104,Data!$G$2:$G$2797,0))</f>
        <v>Punjab</v>
      </c>
      <c r="C104" s="13" t="n">
        <f aca="false">SUMIF(Data!$G$2:$G$2797,$A104,Data!$B$2:$B$2797)</f>
        <v>8</v>
      </c>
      <c r="D104" s="13" t="n">
        <f aca="false">SUMIF(Data!$G$2:$G$2797,$A104,Data!$C$2:$C$2797)</f>
        <v>0</v>
      </c>
      <c r="E104" s="13" t="n">
        <f aca="false">SUMIF(Data!$G$2:$G$2797,$A104,Data!$D$2:$D$2797)</f>
        <v>0</v>
      </c>
      <c r="F104" s="13" t="n">
        <f aca="false">C104-D104-E104</f>
        <v>8</v>
      </c>
      <c r="G104" s="26" t="n">
        <f aca="false">IF(C104=0,0,D104/C104*100)</f>
        <v>0</v>
      </c>
    </row>
    <row r="105" customFormat="false" ht="15" hidden="false" customHeight="false" outlineLevel="0" collapsed="false">
      <c r="A105" s="36" t="s">
        <v>676</v>
      </c>
      <c r="B105" s="12" t="str">
        <f aca="false">INDEX(Data!$F$2:$F$2797,MATCH($A105,Data!$G$2:$G$2797,0))</f>
        <v>Federal Administration Tribal Area</v>
      </c>
      <c r="C105" s="13" t="n">
        <f aca="false">SUMIF(Data!$G$2:$G$2797,$A105,Data!$B$2:$B$2797)</f>
        <v>8</v>
      </c>
      <c r="D105" s="13" t="n">
        <f aca="false">SUMIF(Data!$G$2:$G$2797,$A105,Data!$C$2:$C$2797)</f>
        <v>0</v>
      </c>
      <c r="E105" s="13" t="n">
        <f aca="false">SUMIF(Data!$G$2:$G$2797,$A105,Data!$D$2:$D$2797)</f>
        <v>3</v>
      </c>
      <c r="F105" s="13" t="n">
        <f aca="false">C105-D105-E105</f>
        <v>5</v>
      </c>
      <c r="G105" s="26" t="n">
        <f aca="false">IF(C105=0,0,D105/C105*100)</f>
        <v>0</v>
      </c>
    </row>
    <row r="106" customFormat="false" ht="15" hidden="false" customHeight="false" outlineLevel="0" collapsed="false">
      <c r="A106" s="36" t="s">
        <v>677</v>
      </c>
      <c r="B106" s="12" t="str">
        <f aca="false">INDEX(Data!$F$2:$F$2797,MATCH($A106,Data!$G$2:$G$2797,0))</f>
        <v>Punjab</v>
      </c>
      <c r="C106" s="13" t="n">
        <f aca="false">SUMIF(Data!$G$2:$G$2797,$A106,Data!$B$2:$B$2797)</f>
        <v>7</v>
      </c>
      <c r="D106" s="13" t="n">
        <f aca="false">SUMIF(Data!$G$2:$G$2797,$A106,Data!$C$2:$C$2797)</f>
        <v>0</v>
      </c>
      <c r="E106" s="13" t="n">
        <f aca="false">SUMIF(Data!$G$2:$G$2797,$A106,Data!$D$2:$D$2797)</f>
        <v>0</v>
      </c>
      <c r="F106" s="13" t="n">
        <f aca="false">C106-D106-E106</f>
        <v>7</v>
      </c>
      <c r="G106" s="26" t="n">
        <f aca="false">IF(C106=0,0,D106/C106*100)</f>
        <v>0</v>
      </c>
    </row>
    <row r="107" customFormat="false" ht="15" hidden="false" customHeight="false" outlineLevel="0" collapsed="false">
      <c r="A107" s="36" t="s">
        <v>678</v>
      </c>
      <c r="B107" s="12" t="str">
        <f aca="false">INDEX(Data!$F$2:$F$2797,MATCH($A107,Data!$G$2:$G$2797,0))</f>
        <v>Punjab</v>
      </c>
      <c r="C107" s="13" t="n">
        <f aca="false">SUMIF(Data!$G$2:$G$2797,$A107,Data!$B$2:$B$2797)</f>
        <v>7</v>
      </c>
      <c r="D107" s="13" t="n">
        <f aca="false">SUMIF(Data!$G$2:$G$2797,$A107,Data!$C$2:$C$2797)</f>
        <v>0</v>
      </c>
      <c r="E107" s="13" t="n">
        <f aca="false">SUMIF(Data!$G$2:$G$2797,$A107,Data!$D$2:$D$2797)</f>
        <v>0</v>
      </c>
      <c r="F107" s="13" t="n">
        <f aca="false">C107-D107-E107</f>
        <v>7</v>
      </c>
      <c r="G107" s="26" t="n">
        <f aca="false">IF(C107=0,0,D107/C107*100)</f>
        <v>0</v>
      </c>
    </row>
    <row r="108" customFormat="false" ht="15" hidden="false" customHeight="false" outlineLevel="0" collapsed="false">
      <c r="A108" s="36" t="s">
        <v>679</v>
      </c>
      <c r="B108" s="12" t="str">
        <f aca="false">INDEX(Data!$F$2:$F$2797,MATCH($A108,Data!$G$2:$G$2797,0))</f>
        <v>Sindh</v>
      </c>
      <c r="C108" s="13" t="n">
        <f aca="false">SUMIF(Data!$G$2:$G$2797,$A108,Data!$B$2:$B$2797)</f>
        <v>7</v>
      </c>
      <c r="D108" s="13" t="n">
        <f aca="false">SUMIF(Data!$G$2:$G$2797,$A108,Data!$C$2:$C$2797)</f>
        <v>0</v>
      </c>
      <c r="E108" s="13" t="n">
        <f aca="false">SUMIF(Data!$G$2:$G$2797,$A108,Data!$D$2:$D$2797)</f>
        <v>2</v>
      </c>
      <c r="F108" s="13" t="n">
        <f aca="false">C108-D108-E108</f>
        <v>5</v>
      </c>
      <c r="G108" s="26" t="n">
        <f aca="false">IF(C108=0,0,D108/C108*100)</f>
        <v>0</v>
      </c>
    </row>
    <row r="109" customFormat="false" ht="15" hidden="false" customHeight="false" outlineLevel="0" collapsed="false">
      <c r="A109" s="36" t="s">
        <v>680</v>
      </c>
      <c r="B109" s="12" t="str">
        <f aca="false">INDEX(Data!$F$2:$F$2797,MATCH($A109,Data!$G$2:$G$2797,0))</f>
        <v>Punjab</v>
      </c>
      <c r="C109" s="13" t="n">
        <f aca="false">SUMIF(Data!$G$2:$G$2797,$A109,Data!$B$2:$B$2797)</f>
        <v>5</v>
      </c>
      <c r="D109" s="13" t="n">
        <f aca="false">SUMIF(Data!$G$2:$G$2797,$A109,Data!$C$2:$C$2797)</f>
        <v>0</v>
      </c>
      <c r="E109" s="13" t="n">
        <f aca="false">SUMIF(Data!$G$2:$G$2797,$A109,Data!$D$2:$D$2797)</f>
        <v>1</v>
      </c>
      <c r="F109" s="13" t="n">
        <f aca="false">C109-D109-E109</f>
        <v>4</v>
      </c>
      <c r="G109" s="26" t="n">
        <f aca="false">IF(C109=0,0,D109/C109*100)</f>
        <v>0</v>
      </c>
    </row>
    <row r="110" customFormat="false" ht="15" hidden="false" customHeight="false" outlineLevel="0" collapsed="false">
      <c r="A110" s="36" t="s">
        <v>681</v>
      </c>
      <c r="B110" s="12" t="str">
        <f aca="false">INDEX(Data!$F$2:$F$2797,MATCH($A110,Data!$G$2:$G$2797,0))</f>
        <v>Baluchistan</v>
      </c>
      <c r="C110" s="13" t="n">
        <f aca="false">SUMIF(Data!$G$2:$G$2797,$A110,Data!$B$2:$B$2797)</f>
        <v>3</v>
      </c>
      <c r="D110" s="13" t="n">
        <f aca="false">SUMIF(Data!$G$2:$G$2797,$A110,Data!$C$2:$C$2797)</f>
        <v>0</v>
      </c>
      <c r="E110" s="13" t="n">
        <f aca="false">SUMIF(Data!$G$2:$G$2797,$A110,Data!$D$2:$D$2797)</f>
        <v>0</v>
      </c>
      <c r="F110" s="13" t="n">
        <f aca="false">C110-D110-E110</f>
        <v>3</v>
      </c>
      <c r="G110" s="26" t="n">
        <f aca="false">IF(C110=0,0,D110/C110*100)</f>
        <v>0</v>
      </c>
    </row>
    <row r="111" customFormat="false" ht="15" hidden="false" customHeight="false" outlineLevel="0" collapsed="false">
      <c r="A111" s="36" t="s">
        <v>682</v>
      </c>
      <c r="B111" s="12" t="str">
        <f aca="false">INDEX(Data!$F$2:$F$2797,MATCH($A111,Data!$G$2:$G$2797,0))</f>
        <v>Khyber Pakhtunkhwa</v>
      </c>
      <c r="C111" s="13" t="n">
        <f aca="false">SUMIF(Data!$G$2:$G$2797,$A111,Data!$B$2:$B$2797)</f>
        <v>2</v>
      </c>
      <c r="D111" s="13" t="n">
        <f aca="false">SUMIF(Data!$G$2:$G$2797,$A111,Data!$C$2:$C$2797)</f>
        <v>0</v>
      </c>
      <c r="E111" s="13" t="n">
        <f aca="false">SUMIF(Data!$G$2:$G$2797,$A111,Data!$D$2:$D$2797)</f>
        <v>0</v>
      </c>
      <c r="F111" s="13" t="n">
        <f aca="false">C111-D111-E111</f>
        <v>2</v>
      </c>
      <c r="G111" s="26" t="n">
        <f aca="false">IF(C111=0,0,D111/C111*100)</f>
        <v>0</v>
      </c>
    </row>
    <row r="112" customFormat="false" ht="15" hidden="false" customHeight="false" outlineLevel="0" collapsed="false">
      <c r="A112" s="36" t="s">
        <v>683</v>
      </c>
      <c r="B112" s="12" t="str">
        <f aca="false">INDEX(Data!$F$2:$F$2797,MATCH($A112,Data!$G$2:$G$2797,0))</f>
        <v>Azad Jummu Kashmir</v>
      </c>
      <c r="C112" s="13" t="n">
        <f aca="false">SUMIF(Data!$G$2:$G$2797,$A112,Data!$B$2:$B$2797)</f>
        <v>2</v>
      </c>
      <c r="D112" s="13" t="n">
        <f aca="false">SUMIF(Data!$G$2:$G$2797,$A112,Data!$C$2:$C$2797)</f>
        <v>0</v>
      </c>
      <c r="E112" s="13" t="n">
        <f aca="false">SUMIF(Data!$G$2:$G$2797,$A112,Data!$D$2:$D$2797)</f>
        <v>0</v>
      </c>
      <c r="F112" s="13" t="n">
        <f aca="false">C112-D112-E112</f>
        <v>2</v>
      </c>
      <c r="G112" s="26" t="n">
        <f aca="false">IF(C112=0,0,D112/C112*100)</f>
        <v>0</v>
      </c>
    </row>
    <row r="113" customFormat="false" ht="15" hidden="false" customHeight="false" outlineLevel="0" collapsed="false">
      <c r="A113" s="36" t="s">
        <v>684</v>
      </c>
      <c r="B113" s="12" t="str">
        <f aca="false">INDEX(Data!$F$2:$F$2797,MATCH($A113,Data!$G$2:$G$2797,0))</f>
        <v>Punjab</v>
      </c>
      <c r="C113" s="13" t="n">
        <f aca="false">SUMIF(Data!$G$2:$G$2797,$A113,Data!$B$2:$B$2797)</f>
        <v>2</v>
      </c>
      <c r="D113" s="13" t="n">
        <f aca="false">SUMIF(Data!$G$2:$G$2797,$A113,Data!$C$2:$C$2797)</f>
        <v>0</v>
      </c>
      <c r="E113" s="13" t="n">
        <f aca="false">SUMIF(Data!$G$2:$G$2797,$A113,Data!$D$2:$D$2797)</f>
        <v>0</v>
      </c>
      <c r="F113" s="13" t="n">
        <f aca="false">C113-D113-E113</f>
        <v>2</v>
      </c>
      <c r="G113" s="26" t="n">
        <f aca="false">IF(C113=0,0,D113/C113*100)</f>
        <v>0</v>
      </c>
    </row>
    <row r="114" customFormat="false" ht="15" hidden="false" customHeight="false" outlineLevel="0" collapsed="false">
      <c r="A114" s="36" t="s">
        <v>685</v>
      </c>
      <c r="B114" s="12" t="str">
        <f aca="false">INDEX(Data!$F$2:$F$2797,MATCH($A114,Data!$G$2:$G$2797,0))</f>
        <v>Khyber Pakhtunkhwa</v>
      </c>
      <c r="C114" s="13" t="n">
        <f aca="false">SUMIF(Data!$G$2:$G$2797,$A114,Data!$B$2:$B$2797)</f>
        <v>2</v>
      </c>
      <c r="D114" s="13" t="n">
        <f aca="false">SUMIF(Data!$G$2:$G$2797,$A114,Data!$C$2:$C$2797)</f>
        <v>0</v>
      </c>
      <c r="E114" s="13" t="n">
        <f aca="false">SUMIF(Data!$G$2:$G$2797,$A114,Data!$D$2:$D$2797)</f>
        <v>0</v>
      </c>
      <c r="F114" s="13" t="n">
        <f aca="false">C114-D114-E114</f>
        <v>2</v>
      </c>
      <c r="G114" s="26" t="n">
        <f aca="false">IF(C114=0,0,D114/C114*100)</f>
        <v>0</v>
      </c>
    </row>
    <row r="115" customFormat="false" ht="15" hidden="false" customHeight="false" outlineLevel="0" collapsed="false">
      <c r="A115" s="36" t="s">
        <v>686</v>
      </c>
      <c r="B115" s="12" t="str">
        <f aca="false">INDEX(Data!$F$2:$F$2797,MATCH($A115,Data!$G$2:$G$2797,0))</f>
        <v>Azad Jummu Kashmir</v>
      </c>
      <c r="C115" s="13" t="n">
        <f aca="false">SUMIF(Data!$G$2:$G$2797,$A115,Data!$B$2:$B$2797)</f>
        <v>1</v>
      </c>
      <c r="D115" s="13" t="n">
        <f aca="false">SUMIF(Data!$G$2:$G$2797,$A115,Data!$C$2:$C$2797)</f>
        <v>0</v>
      </c>
      <c r="E115" s="13" t="n">
        <f aca="false">SUMIF(Data!$G$2:$G$2797,$A115,Data!$D$2:$D$2797)</f>
        <v>0</v>
      </c>
      <c r="F115" s="13" t="n">
        <f aca="false">C115-D115-E115</f>
        <v>1</v>
      </c>
      <c r="G115" s="26" t="n">
        <f aca="false">IF(C115=0,0,D115/C115*100)</f>
        <v>0</v>
      </c>
    </row>
    <row r="116" customFormat="false" ht="15" hidden="false" customHeight="false" outlineLevel="0" collapsed="false">
      <c r="A116" s="36" t="s">
        <v>687</v>
      </c>
      <c r="B116" s="12" t="str">
        <f aca="false">INDEX(Data!$F$2:$F$2797,MATCH($A116,Data!$G$2:$G$2797,0))</f>
        <v>Khyber Pakhtunkhwa</v>
      </c>
      <c r="C116" s="13" t="n">
        <f aca="false">SUMIF(Data!$G$2:$G$2797,$A116,Data!$B$2:$B$2797)</f>
        <v>1</v>
      </c>
      <c r="D116" s="13" t="n">
        <f aca="false">SUMIF(Data!$G$2:$G$2797,$A116,Data!$C$2:$C$2797)</f>
        <v>0</v>
      </c>
      <c r="E116" s="13" t="n">
        <f aca="false">SUMIF(Data!$G$2:$G$2797,$A116,Data!$D$2:$D$2797)</f>
        <v>0</v>
      </c>
      <c r="F116" s="13" t="n">
        <f aca="false">C116-D116-E116</f>
        <v>1</v>
      </c>
      <c r="G116" s="26" t="n">
        <f aca="false">IF(C116=0,0,D116/C116*100)</f>
        <v>0</v>
      </c>
    </row>
    <row r="117" customFormat="false" ht="15" hidden="false" customHeight="false" outlineLevel="0" collapsed="false">
      <c r="A117" s="36" t="s">
        <v>688</v>
      </c>
      <c r="B117" s="12" t="str">
        <f aca="false">INDEX(Data!$F$2:$F$2797,MATCH($A117,Data!$G$2:$G$2797,0))</f>
        <v>Punjab</v>
      </c>
      <c r="C117" s="13" t="n">
        <f aca="false">SUMIF(Data!$G$2:$G$2797,$A117,Data!$B$2:$B$2797)</f>
        <v>1</v>
      </c>
      <c r="D117" s="13" t="n">
        <f aca="false">SUMIF(Data!$G$2:$G$2797,$A117,Data!$C$2:$C$2797)</f>
        <v>0</v>
      </c>
      <c r="E117" s="13" t="n">
        <f aca="false">SUMIF(Data!$G$2:$G$2797,$A117,Data!$D$2:$D$2797)</f>
        <v>0</v>
      </c>
      <c r="F117" s="13" t="n">
        <f aca="false">C117-D117-E117</f>
        <v>1</v>
      </c>
      <c r="G117" s="26" t="n">
        <f aca="false">IF(C117=0,0,D117/C117*100)</f>
        <v>0</v>
      </c>
    </row>
    <row r="118" customFormat="false" ht="15" hidden="false" customHeight="false" outlineLevel="0" collapsed="false">
      <c r="A118" s="36" t="s">
        <v>689</v>
      </c>
      <c r="B118" s="12" t="str">
        <f aca="false">INDEX(Data!$F$2:$F$2797,MATCH($A118,Data!$G$2:$G$2797,0))</f>
        <v>Baluchistan</v>
      </c>
      <c r="C118" s="13" t="n">
        <f aca="false">SUMIF(Data!$G$2:$G$2797,$A118,Data!$B$2:$B$2797)</f>
        <v>1</v>
      </c>
      <c r="D118" s="13" t="n">
        <f aca="false">SUMIF(Data!$G$2:$G$2797,$A118,Data!$C$2:$C$2797)</f>
        <v>0</v>
      </c>
      <c r="E118" s="13" t="n">
        <f aca="false">SUMIF(Data!$G$2:$G$2797,$A118,Data!$D$2:$D$2797)</f>
        <v>0</v>
      </c>
      <c r="F118" s="13" t="n">
        <f aca="false">C118-D118-E118</f>
        <v>1</v>
      </c>
      <c r="G118" s="26" t="n">
        <f aca="false">IF(C118=0,0,D118/C118*100)</f>
        <v>0</v>
      </c>
    </row>
    <row r="119" customFormat="false" ht="15" hidden="false" customHeight="false" outlineLevel="0" collapsed="false">
      <c r="A119" s="36" t="s">
        <v>690</v>
      </c>
      <c r="B119" s="12" t="str">
        <f aca="false">INDEX(Data!$F$2:$F$2797,MATCH($A119,Data!$G$2:$G$2797,0))</f>
        <v>Punjab</v>
      </c>
      <c r="C119" s="13" t="n">
        <f aca="false">SUMIF(Data!$G$2:$G$2797,$A119,Data!$B$2:$B$2797)</f>
        <v>1</v>
      </c>
      <c r="D119" s="13" t="n">
        <f aca="false">SUMIF(Data!$G$2:$G$2797,$A119,Data!$C$2:$C$2797)</f>
        <v>0</v>
      </c>
      <c r="E119" s="13" t="n">
        <f aca="false">SUMIF(Data!$G$2:$G$2797,$A119,Data!$D$2:$D$2797)</f>
        <v>0</v>
      </c>
      <c r="F119" s="13" t="n">
        <f aca="false">C119-D119-E119</f>
        <v>1</v>
      </c>
      <c r="G119" s="26" t="n">
        <f aca="false">IF(C119=0,0,D119/C119*100)</f>
        <v>0</v>
      </c>
    </row>
    <row r="120" customFormat="false" ht="15" hidden="false" customHeight="false" outlineLevel="0" collapsed="false">
      <c r="A120" s="36" t="s">
        <v>691</v>
      </c>
      <c r="B120" s="12" t="str">
        <f aca="false">INDEX(Data!$F$2:$F$2797,MATCH($A120,Data!$G$2:$G$2797,0))</f>
        <v>Khyber Pakhtunkhwa</v>
      </c>
      <c r="C120" s="13" t="n">
        <f aca="false">SUMIF(Data!$G$2:$G$2797,$A120,Data!$B$2:$B$2797)</f>
        <v>0</v>
      </c>
      <c r="D120" s="13" t="n">
        <f aca="false">SUMIF(Data!$G$2:$G$2797,$A120,Data!$C$2:$C$2797)</f>
        <v>0</v>
      </c>
      <c r="E120" s="13" t="n">
        <f aca="false">SUMIF(Data!$G$2:$G$2797,$A120,Data!$D$2:$D$2797)</f>
        <v>0</v>
      </c>
      <c r="F120" s="13" t="n">
        <f aca="false">C120-D120-E120</f>
        <v>0</v>
      </c>
      <c r="G120" s="26" t="n">
        <f aca="false">IF(C120=0,0,D120/C120*100)</f>
        <v>0</v>
      </c>
    </row>
    <row r="121" customFormat="false" ht="15" hidden="false" customHeight="false" outlineLevel="0" collapsed="false">
      <c r="A121" s="36" t="s">
        <v>692</v>
      </c>
      <c r="B121" s="12" t="str">
        <f aca="false">INDEX(Data!$F$2:$F$2797,MATCH($A121,Data!$G$2:$G$2797,0))</f>
        <v>Khyber Pakhtunkhwa</v>
      </c>
      <c r="C121" s="13" t="n">
        <f aca="false">SUMIF(Data!$G$2:$G$2797,$A121,Data!$B$2:$B$2797)</f>
        <v>0</v>
      </c>
      <c r="D121" s="13" t="n">
        <f aca="false">SUMIF(Data!$G$2:$G$2797,$A121,Data!$C$2:$C$2797)</f>
        <v>0</v>
      </c>
      <c r="E121" s="13" t="n">
        <f aca="false">SUMIF(Data!$G$2:$G$2797,$A121,Data!$D$2:$D$2797)</f>
        <v>0</v>
      </c>
      <c r="F121" s="13" t="n">
        <f aca="false">C121-D121-E121</f>
        <v>0</v>
      </c>
      <c r="G121" s="26" t="n">
        <f aca="false">IF(C121=0,0,D121/C121*100)</f>
        <v>0</v>
      </c>
    </row>
    <row r="122" customFormat="false" ht="15" hidden="false" customHeight="false" outlineLevel="0" collapsed="false">
      <c r="A122" s="20" t="s">
        <v>53</v>
      </c>
      <c r="B122" s="20"/>
      <c r="C122" s="22" t="n">
        <f aca="false">SUM(C5:C121)</f>
        <v>83985</v>
      </c>
      <c r="D122" s="22" t="n">
        <f aca="false">SUM(D5:D121)</f>
        <v>1728</v>
      </c>
      <c r="E122" s="22" t="n">
        <f aca="false">SUM(E5:E121)</f>
        <v>24753</v>
      </c>
      <c r="F122" s="22" t="n">
        <f aca="false">SUM(F5:F121)</f>
        <v>57504</v>
      </c>
      <c r="G122" s="27" t="n">
        <f aca="false">IF(C122=0,0,D122/C122*100)</f>
        <v>2.05751026969102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J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7" min="2" style="0" width="13"/>
    <col collapsed="false" customWidth="true" hidden="false" outlineLevel="0" max="9" min="8" style="0" width="12"/>
    <col collapsed="false" customWidth="true" hidden="false" outlineLevel="0" max="10" min="10" style="0" width="13"/>
  </cols>
  <sheetData>
    <row r="1" customFormat="false" ht="19.7" hidden="false" customHeight="false" outlineLevel="0" collapsed="false">
      <c r="A1" s="1" t="s">
        <v>693</v>
      </c>
    </row>
    <row r="2" customFormat="false" ht="15" hidden="false" customHeight="false" outlineLevel="0" collapsed="false">
      <c r="A2" s="2" t="s">
        <v>694</v>
      </c>
    </row>
    <row r="4" customFormat="false" ht="31.5" hidden="false" customHeight="true" outlineLevel="0" collapsed="false">
      <c r="A4" s="10" t="s">
        <v>89</v>
      </c>
      <c r="B4" s="10" t="s">
        <v>695</v>
      </c>
      <c r="C4" s="10" t="s">
        <v>696</v>
      </c>
      <c r="D4" s="10" t="s">
        <v>697</v>
      </c>
      <c r="E4" s="10" t="s">
        <v>698</v>
      </c>
      <c r="F4" s="10" t="s">
        <v>699</v>
      </c>
      <c r="G4" s="10" t="s">
        <v>700</v>
      </c>
      <c r="H4" s="10" t="s">
        <v>701</v>
      </c>
      <c r="I4" s="10" t="s">
        <v>702</v>
      </c>
      <c r="J4" s="10" t="s">
        <v>703</v>
      </c>
    </row>
    <row r="5" customFormat="false" ht="15" hidden="false" customHeight="false" outlineLevel="0" collapsed="false">
      <c r="A5" s="36" t="str">
        <f aca="false">City_Agg!A5</f>
        <v>Karachi</v>
      </c>
      <c r="B5" s="13" t="n">
        <f aca="false">City_Agg!C5</f>
        <v>29346</v>
      </c>
      <c r="C5" s="13" t="n">
        <f aca="false">City_Agg!D5</f>
        <v>498</v>
      </c>
      <c r="D5" s="13" t="n">
        <f aca="false">City_Agg!E5</f>
        <v>13248</v>
      </c>
      <c r="E5" s="38" t="n">
        <f aca="false">IF(Clustering_Guide!$C$7=1,LN(1+MAX(B5,0)),B5)</f>
        <v>10.2869456053812</v>
      </c>
      <c r="F5" s="38" t="n">
        <f aca="false">IF(Clustering_Guide!$C$7=1,LN(1+MAX(C5,0)),C5)</f>
        <v>6.21260609575152</v>
      </c>
      <c r="G5" s="38" t="n">
        <f aca="false">IF(Clustering_Guide!$C$7=1,LN(1+MAX(D5,0)),D5)</f>
        <v>9.49167735686812</v>
      </c>
      <c r="H5" s="38" t="n">
        <f aca="false">(E5-AVERAGE(E$5:E$121))/STDEV(E$5:E$121)</f>
        <v>3.2743087782752</v>
      </c>
      <c r="I5" s="38" t="n">
        <f aca="false">(F5-AVERAGE(F$5:F$121))/STDEV(F$5:F$121)</f>
        <v>4.03885179691129</v>
      </c>
      <c r="J5" s="38" t="n">
        <f aca="false">(G5-AVERAGE(G$5:G$121))/STDEV(G$5:G$121)</f>
        <v>3.25271285960204</v>
      </c>
    </row>
    <row r="6" customFormat="false" ht="15" hidden="false" customHeight="false" outlineLevel="0" collapsed="false">
      <c r="A6" s="36" t="str">
        <f aca="false">City_Agg!A6</f>
        <v>Lahore</v>
      </c>
      <c r="B6" s="13" t="n">
        <f aca="false">City_Agg!C6</f>
        <v>28015</v>
      </c>
      <c r="C6" s="13" t="n">
        <f aca="false">City_Agg!D6</f>
        <v>582</v>
      </c>
      <c r="D6" s="13" t="n">
        <f aca="false">City_Agg!E6</f>
        <v>3853</v>
      </c>
      <c r="E6" s="38" t="n">
        <f aca="false">IF(Clustering_Guide!$C$7=1,LN(1+MAX(B6,0)),B6)</f>
        <v>10.2405310545256</v>
      </c>
      <c r="F6" s="38" t="n">
        <f aca="false">IF(Clustering_Guide!$C$7=1,LN(1+MAX(C6,0)),C6)</f>
        <v>6.36818718635049</v>
      </c>
      <c r="G6" s="38" t="n">
        <f aca="false">IF(Clustering_Guide!$C$7=1,LN(1+MAX(D6,0)),D6)</f>
        <v>8.25686684897431</v>
      </c>
      <c r="H6" s="38" t="n">
        <f aca="false">(E6-AVERAGE(E$5:E$121))/STDEV(E$5:E$121)</f>
        <v>3.25015139617543</v>
      </c>
      <c r="I6" s="38" t="n">
        <f aca="false">(F6-AVERAGE(F$5:F$121))/STDEV(F$5:F$121)</f>
        <v>4.15684103709117</v>
      </c>
      <c r="J6" s="38" t="n">
        <f aca="false">(G6-AVERAGE(G$5:G$121))/STDEV(G$5:G$121)</f>
        <v>2.68051289882026</v>
      </c>
    </row>
    <row r="7" customFormat="false" ht="15" hidden="false" customHeight="false" outlineLevel="0" collapsed="false">
      <c r="A7" s="36" t="str">
        <f aca="false">City_Agg!A7</f>
        <v>Quetta</v>
      </c>
      <c r="B7" s="13" t="n">
        <f aca="false">City_Agg!C7</f>
        <v>5109</v>
      </c>
      <c r="C7" s="13" t="n">
        <f aca="false">City_Agg!D7</f>
        <v>49</v>
      </c>
      <c r="D7" s="13" t="n">
        <f aca="false">City_Agg!E7</f>
        <v>1981</v>
      </c>
      <c r="E7" s="38" t="n">
        <f aca="false">IF(Clustering_Guide!$C$7=1,LN(1+MAX(B7,0)),B7)</f>
        <v>8.53895468319775</v>
      </c>
      <c r="F7" s="38" t="n">
        <f aca="false">IF(Clustering_Guide!$C$7=1,LN(1+MAX(C7,0)),C7)</f>
        <v>3.91202300542815</v>
      </c>
      <c r="G7" s="38" t="n">
        <f aca="false">IF(Clustering_Guide!$C$7=1,LN(1+MAX(D7,0)),D7)</f>
        <v>7.59186171488993</v>
      </c>
      <c r="H7" s="38" t="n">
        <f aca="false">(E7-AVERAGE(E$5:E$121))/STDEV(E$5:E$121)</f>
        <v>2.36453191227648</v>
      </c>
      <c r="I7" s="38" t="n">
        <f aca="false">(F7-AVERAGE(F$5:F$121))/STDEV(F$5:F$121)</f>
        <v>2.29414072853602</v>
      </c>
      <c r="J7" s="38" t="n">
        <f aca="false">(G7-AVERAGE(G$5:G$121))/STDEV(G$5:G$121)</f>
        <v>2.37235556681649</v>
      </c>
    </row>
    <row r="8" customFormat="false" ht="15" hidden="false" customHeight="false" outlineLevel="0" collapsed="false">
      <c r="A8" s="36" t="str">
        <f aca="false">City_Agg!A8</f>
        <v>Peshawar</v>
      </c>
      <c r="B8" s="13" t="n">
        <f aca="false">City_Agg!C8</f>
        <v>4923</v>
      </c>
      <c r="C8" s="13" t="n">
        <f aca="false">City_Agg!D8</f>
        <v>265</v>
      </c>
      <c r="D8" s="13" t="n">
        <f aca="false">City_Agg!E8</f>
        <v>407</v>
      </c>
      <c r="E8" s="38" t="n">
        <f aca="false">IF(Clustering_Guide!$C$7=1,LN(1+MAX(B8,0)),B8)</f>
        <v>8.50187648730434</v>
      </c>
      <c r="F8" s="38" t="n">
        <f aca="false">IF(Clustering_Guide!$C$7=1,LN(1+MAX(C8,0)),C8)</f>
        <v>5.5834963087817</v>
      </c>
      <c r="G8" s="38" t="n">
        <f aca="false">IF(Clustering_Guide!$C$7=1,LN(1+MAX(D8,0)),D8)</f>
        <v>6.01126717440416</v>
      </c>
      <c r="H8" s="38" t="n">
        <f aca="false">(E8-AVERAGE(E$5:E$121))/STDEV(E$5:E$121)</f>
        <v>2.345233823008</v>
      </c>
      <c r="I8" s="38" t="n">
        <f aca="false">(F8-AVERAGE(F$5:F$121))/STDEV(F$5:F$121)</f>
        <v>3.56174892105073</v>
      </c>
      <c r="J8" s="38" t="n">
        <f aca="false">(G8-AVERAGE(G$5:G$121))/STDEV(G$5:G$121)</f>
        <v>1.6399224296702</v>
      </c>
    </row>
    <row r="9" customFormat="false" ht="15" hidden="false" customHeight="false" outlineLevel="0" collapsed="false">
      <c r="A9" s="36" t="str">
        <f aca="false">City_Agg!A9</f>
        <v>Islamabad</v>
      </c>
      <c r="B9" s="13" t="n">
        <f aca="false">City_Agg!C9</f>
        <v>3523</v>
      </c>
      <c r="C9" s="13" t="n">
        <f aca="false">City_Agg!D9</f>
        <v>36</v>
      </c>
      <c r="D9" s="13" t="n">
        <f aca="false">City_Agg!E9</f>
        <v>460</v>
      </c>
      <c r="E9" s="38" t="n">
        <f aca="false">IF(Clustering_Guide!$C$7=1,LN(1+MAX(B9,0)),B9)</f>
        <v>8.16735198705607</v>
      </c>
      <c r="F9" s="38" t="n">
        <f aca="false">IF(Clustering_Guide!$C$7=1,LN(1+MAX(C9,0)),C9)</f>
        <v>3.61091791264422</v>
      </c>
      <c r="G9" s="38" t="n">
        <f aca="false">IF(Clustering_Guide!$C$7=1,LN(1+MAX(D9,0)),D9)</f>
        <v>6.13339804299665</v>
      </c>
      <c r="H9" s="38" t="n">
        <f aca="false">(E9-AVERAGE(E$5:E$121))/STDEV(E$5:E$121)</f>
        <v>2.1711238504828</v>
      </c>
      <c r="I9" s="38" t="n">
        <f aca="false">(F9-AVERAGE(F$5:F$121))/STDEV(F$5:F$121)</f>
        <v>2.06578932043694</v>
      </c>
      <c r="J9" s="38" t="n">
        <f aca="false">(G9-AVERAGE(G$5:G$121))/STDEV(G$5:G$121)</f>
        <v>1.69651676359603</v>
      </c>
    </row>
    <row r="10" customFormat="false" ht="15" hidden="false" customHeight="false" outlineLevel="0" collapsed="false">
      <c r="A10" s="36" t="str">
        <f aca="false">City_Agg!A10</f>
        <v>Swat</v>
      </c>
      <c r="B10" s="13" t="n">
        <f aca="false">City_Agg!C10</f>
        <v>958</v>
      </c>
      <c r="C10" s="13" t="n">
        <f aca="false">City_Agg!D10</f>
        <v>45</v>
      </c>
      <c r="D10" s="13" t="n">
        <f aca="false">City_Agg!E10</f>
        <v>266</v>
      </c>
      <c r="E10" s="38" t="n">
        <f aca="false">IF(Clustering_Guide!$C$7=1,LN(1+MAX(B10,0)),B10)</f>
        <v>6.86589107488344</v>
      </c>
      <c r="F10" s="38" t="n">
        <f aca="false">IF(Clustering_Guide!$C$7=1,LN(1+MAX(C10,0)),C10)</f>
        <v>3.8286413964891</v>
      </c>
      <c r="G10" s="38" t="n">
        <f aca="false">IF(Clustering_Guide!$C$7=1,LN(1+MAX(D10,0)),D10)</f>
        <v>5.58724865840025</v>
      </c>
      <c r="H10" s="38" t="n">
        <f aca="false">(E10-AVERAGE(E$5:E$121))/STDEV(E$5:E$121)</f>
        <v>1.49375246664447</v>
      </c>
      <c r="I10" s="38" t="n">
        <f aca="false">(F10-AVERAGE(F$5:F$121))/STDEV(F$5:F$121)</f>
        <v>2.23090597008422</v>
      </c>
      <c r="J10" s="38" t="n">
        <f aca="false">(G10-AVERAGE(G$5:G$121))/STDEV(G$5:G$121)</f>
        <v>1.44343610510691</v>
      </c>
    </row>
    <row r="11" customFormat="false" ht="15" hidden="false" customHeight="false" outlineLevel="0" collapsed="false">
      <c r="A11" s="36" t="str">
        <f aca="false">City_Agg!A11</f>
        <v>Multan</v>
      </c>
      <c r="B11" s="13" t="n">
        <f aca="false">City_Agg!C11</f>
        <v>712</v>
      </c>
      <c r="C11" s="13" t="n">
        <f aca="false">City_Agg!D11</f>
        <v>2</v>
      </c>
      <c r="D11" s="13" t="n">
        <f aca="false">City_Agg!E11</f>
        <v>1</v>
      </c>
      <c r="E11" s="38" t="n">
        <f aca="false">IF(Clustering_Guide!$C$7=1,LN(1+MAX(B11,0)),B11)</f>
        <v>6.5694814204143</v>
      </c>
      <c r="F11" s="38" t="n">
        <f aca="false">IF(Clustering_Guide!$C$7=1,LN(1+MAX(C11,0)),C11)</f>
        <v>1.09861228866811</v>
      </c>
      <c r="G11" s="38" t="n">
        <f aca="false">IF(Clustering_Guide!$C$7=1,LN(1+MAX(D11,0)),D11)</f>
        <v>0.693147180559945</v>
      </c>
      <c r="H11" s="38" t="n">
        <f aca="false">(E11-AVERAGE(E$5:E$121))/STDEV(E$5:E$121)</f>
        <v>1.339480128572</v>
      </c>
      <c r="I11" s="38" t="n">
        <f aca="false">(F11-AVERAGE(F$5:F$121))/STDEV(F$5:F$121)</f>
        <v>0.160512589624996</v>
      </c>
      <c r="J11" s="38" t="n">
        <f aca="false">(G11-AVERAGE(G$5:G$121))/STDEV(G$5:G$121)</f>
        <v>-0.824446015898766</v>
      </c>
    </row>
    <row r="12" customFormat="false" ht="15" hidden="false" customHeight="false" outlineLevel="0" collapsed="false">
      <c r="A12" s="36" t="str">
        <f aca="false">City_Agg!A12</f>
        <v>Sukkur</v>
      </c>
      <c r="B12" s="13" t="n">
        <f aca="false">City_Agg!C12</f>
        <v>681</v>
      </c>
      <c r="C12" s="13" t="n">
        <f aca="false">City_Agg!D12</f>
        <v>5</v>
      </c>
      <c r="D12" s="13" t="n">
        <f aca="false">City_Agg!E12</f>
        <v>488</v>
      </c>
      <c r="E12" s="38" t="n">
        <f aca="false">IF(Clustering_Guide!$C$7=1,LN(1+MAX(B12,0)),B12)</f>
        <v>6.52502965784346</v>
      </c>
      <c r="F12" s="38" t="n">
        <f aca="false">IF(Clustering_Guide!$C$7=1,LN(1+MAX(C12,0)),C12)</f>
        <v>1.79175946922806</v>
      </c>
      <c r="G12" s="38" t="n">
        <f aca="false">IF(Clustering_Guide!$C$7=1,LN(1+MAX(D12,0)),D12)</f>
        <v>6.19236248947487</v>
      </c>
      <c r="H12" s="38" t="n">
        <f aca="false">(E12-AVERAGE(E$5:E$121))/STDEV(E$5:E$121)</f>
        <v>1.31634431892529</v>
      </c>
      <c r="I12" s="38" t="n">
        <f aca="false">(F12-AVERAGE(F$5:F$121))/STDEV(F$5:F$121)</f>
        <v>0.686180001083741</v>
      </c>
      <c r="J12" s="38" t="n">
        <f aca="false">(G12-AVERAGE(G$5:G$121))/STDEV(G$5:G$121)</f>
        <v>1.72384035190912</v>
      </c>
    </row>
    <row r="13" customFormat="false" ht="15" hidden="false" customHeight="false" outlineLevel="0" collapsed="false">
      <c r="A13" s="36" t="str">
        <f aca="false">City_Agg!A13</f>
        <v>Hyderabad</v>
      </c>
      <c r="B13" s="13" t="n">
        <f aca="false">City_Agg!C13</f>
        <v>610</v>
      </c>
      <c r="C13" s="13" t="n">
        <f aca="false">City_Agg!D13</f>
        <v>11</v>
      </c>
      <c r="D13" s="13" t="n">
        <f aca="false">City_Agg!E13</f>
        <v>459</v>
      </c>
      <c r="E13" s="38" t="n">
        <f aca="false">IF(Clustering_Guide!$C$7=1,LN(1+MAX(B13,0)),B13)</f>
        <v>6.4150969591716</v>
      </c>
      <c r="F13" s="38" t="n">
        <f aca="false">IF(Clustering_Guide!$C$7=1,LN(1+MAX(C13,0)),C13)</f>
        <v>2.484906649788</v>
      </c>
      <c r="G13" s="38" t="n">
        <f aca="false">IF(Clustering_Guide!$C$7=1,LN(1+MAX(D13,0)),D13)</f>
        <v>6.13122648948314</v>
      </c>
      <c r="H13" s="38" t="n">
        <f aca="false">(E13-AVERAGE(E$5:E$121))/STDEV(E$5:E$121)</f>
        <v>1.25912764531491</v>
      </c>
      <c r="I13" s="38" t="n">
        <f aca="false">(F13-AVERAGE(F$5:F$121))/STDEV(F$5:F$121)</f>
        <v>1.21184741254249</v>
      </c>
      <c r="J13" s="38" t="n">
        <f aca="false">(G13-AVERAGE(G$5:G$121))/STDEV(G$5:G$121)</f>
        <v>1.69551048544459</v>
      </c>
    </row>
    <row r="14" customFormat="false" ht="15" hidden="false" customHeight="false" outlineLevel="0" collapsed="false">
      <c r="A14" s="36" t="str">
        <f aca="false">City_Agg!A14</f>
        <v>Raiwind</v>
      </c>
      <c r="B14" s="13" t="n">
        <f aca="false">City_Agg!C14</f>
        <v>546</v>
      </c>
      <c r="C14" s="13" t="n">
        <f aca="false">City_Agg!D14</f>
        <v>1</v>
      </c>
      <c r="D14" s="13" t="n">
        <f aca="false">City_Agg!E14</f>
        <v>1</v>
      </c>
      <c r="E14" s="38" t="n">
        <f aca="false">IF(Clustering_Guide!$C$7=1,LN(1+MAX(B14,0)),B14)</f>
        <v>6.30444880242198</v>
      </c>
      <c r="F14" s="38" t="n">
        <f aca="false">IF(Clustering_Guide!$C$7=1,LN(1+MAX(C14,0)),C14)</f>
        <v>0.693147180559945</v>
      </c>
      <c r="G14" s="38" t="n">
        <f aca="false">IF(Clustering_Guide!$C$7=1,LN(1+MAX(D14,0)),D14)</f>
        <v>0.693147180559945</v>
      </c>
      <c r="H14" s="38" t="n">
        <f aca="false">(E14-AVERAGE(E$5:E$121))/STDEV(E$5:E$121)</f>
        <v>1.20153859722623</v>
      </c>
      <c r="I14" s="38" t="n">
        <f aca="false">(F14-AVERAGE(F$5:F$121))/STDEV(F$5:F$121)</f>
        <v>-0.146983133929529</v>
      </c>
      <c r="J14" s="38" t="n">
        <f aca="false">(G14-AVERAGE(G$5:G$121))/STDEV(G$5:G$121)</f>
        <v>-0.824446015898766</v>
      </c>
    </row>
    <row r="15" customFormat="false" ht="15" hidden="false" customHeight="false" outlineLevel="0" collapsed="false">
      <c r="A15" s="36" t="str">
        <f aca="false">City_Agg!A15</f>
        <v>Malakand</v>
      </c>
      <c r="B15" s="13" t="n">
        <f aca="false">City_Agg!C15</f>
        <v>486</v>
      </c>
      <c r="C15" s="13" t="n">
        <f aca="false">City_Agg!D15</f>
        <v>16</v>
      </c>
      <c r="D15" s="13" t="n">
        <f aca="false">City_Agg!E15</f>
        <v>99</v>
      </c>
      <c r="E15" s="38" t="n">
        <f aca="false">IF(Clustering_Guide!$C$7=1,LN(1+MAX(B15,0)),B15)</f>
        <v>6.18826412308259</v>
      </c>
      <c r="F15" s="38" t="n">
        <f aca="false">IF(Clustering_Guide!$C$7=1,LN(1+MAX(C15,0)),C15)</f>
        <v>2.83321334405622</v>
      </c>
      <c r="G15" s="38" t="n">
        <f aca="false">IF(Clustering_Guide!$C$7=1,LN(1+MAX(D15,0)),D15)</f>
        <v>4.60517018598809</v>
      </c>
      <c r="H15" s="38" t="n">
        <f aca="false">(E15-AVERAGE(E$5:E$121))/STDEV(E$5:E$121)</f>
        <v>1.14106795512792</v>
      </c>
      <c r="I15" s="38" t="n">
        <f aca="false">(F15-AVERAGE(F$5:F$121))/STDEV(F$5:F$121)</f>
        <v>1.4759954658056</v>
      </c>
      <c r="J15" s="38" t="n">
        <f aca="false">(G15-AVERAGE(G$5:G$121))/STDEV(G$5:G$121)</f>
        <v>0.988349871383994</v>
      </c>
    </row>
    <row r="16" customFormat="false" ht="15" hidden="false" customHeight="false" outlineLevel="0" collapsed="false">
      <c r="A16" s="36" t="str">
        <f aca="false">City_Agg!A16</f>
        <v>Mardan</v>
      </c>
      <c r="B16" s="13" t="n">
        <f aca="false">City_Agg!C16</f>
        <v>473</v>
      </c>
      <c r="C16" s="13" t="n">
        <f aca="false">City_Agg!D16</f>
        <v>24</v>
      </c>
      <c r="D16" s="13" t="n">
        <f aca="false">City_Agg!E16</f>
        <v>146</v>
      </c>
      <c r="E16" s="38" t="n">
        <f aca="false">IF(Clustering_Guide!$C$7=1,LN(1+MAX(B16,0)),B16)</f>
        <v>6.16120732169508</v>
      </c>
      <c r="F16" s="38" t="n">
        <f aca="false">IF(Clustering_Guide!$C$7=1,LN(1+MAX(C16,0)),C16)</f>
        <v>3.2188758248682</v>
      </c>
      <c r="G16" s="38" t="n">
        <f aca="false">IF(Clustering_Guide!$C$7=1,LN(1+MAX(D16,0)),D16)</f>
        <v>4.99043258677874</v>
      </c>
      <c r="H16" s="38" t="n">
        <f aca="false">(E16-AVERAGE(E$5:E$121))/STDEV(E$5:E$121)</f>
        <v>1.1269857012341</v>
      </c>
      <c r="I16" s="38" t="n">
        <f aca="false">(F16-AVERAGE(F$5:F$121))/STDEV(F$5:F$121)</f>
        <v>1.76847331707728</v>
      </c>
      <c r="J16" s="38" t="n">
        <f aca="false">(G16-AVERAGE(G$5:G$121))/STDEV(G$5:G$121)</f>
        <v>1.16687696458076</v>
      </c>
    </row>
    <row r="17" customFormat="false" ht="15" hidden="false" customHeight="false" outlineLevel="0" collapsed="false">
      <c r="A17" s="36" t="str">
        <f aca="false">City_Agg!A17</f>
        <v>Gilgit</v>
      </c>
      <c r="B17" s="13" t="n">
        <f aca="false">City_Agg!C17</f>
        <v>402</v>
      </c>
      <c r="C17" s="13" t="n">
        <f aca="false">City_Agg!D17</f>
        <v>8</v>
      </c>
      <c r="D17" s="13" t="n">
        <f aca="false">City_Agg!E17</f>
        <v>121</v>
      </c>
      <c r="E17" s="38" t="n">
        <f aca="false">IF(Clustering_Guide!$C$7=1,LN(1+MAX(B17,0)),B17)</f>
        <v>5.99893656194668</v>
      </c>
      <c r="F17" s="38" t="n">
        <f aca="false">IF(Clustering_Guide!$C$7=1,LN(1+MAX(C17,0)),C17)</f>
        <v>2.19722457733622</v>
      </c>
      <c r="G17" s="38" t="n">
        <f aca="false">IF(Clustering_Guide!$C$7=1,LN(1+MAX(D17,0)),D17)</f>
        <v>4.80402104473326</v>
      </c>
      <c r="H17" s="38" t="n">
        <f aca="false">(E17-AVERAGE(E$5:E$121))/STDEV(E$5:E$121)</f>
        <v>1.04252863605511</v>
      </c>
      <c r="I17" s="38" t="n">
        <f aca="false">(F17-AVERAGE(F$5:F$121))/STDEV(F$5:F$121)</f>
        <v>0.993675724638266</v>
      </c>
      <c r="J17" s="38" t="n">
        <f aca="false">(G17-AVERAGE(G$5:G$121))/STDEV(G$5:G$121)</f>
        <v>1.0804955511041</v>
      </c>
    </row>
    <row r="18" customFormat="false" ht="15" hidden="false" customHeight="false" outlineLevel="0" collapsed="false">
      <c r="A18" s="36" t="str">
        <f aca="false">City_Agg!A18</f>
        <v>Larkana</v>
      </c>
      <c r="B18" s="13" t="n">
        <f aca="false">City_Agg!C18</f>
        <v>398</v>
      </c>
      <c r="C18" s="13" t="n">
        <f aca="false">City_Agg!D18</f>
        <v>3</v>
      </c>
      <c r="D18" s="13" t="n">
        <f aca="false">City_Agg!E18</f>
        <v>282</v>
      </c>
      <c r="E18" s="38" t="n">
        <f aca="false">IF(Clustering_Guide!$C$7=1,LN(1+MAX(B18,0)),B18)</f>
        <v>5.98896141688986</v>
      </c>
      <c r="F18" s="38" t="n">
        <f aca="false">IF(Clustering_Guide!$C$7=1,LN(1+MAX(C18,0)),C18)</f>
        <v>1.38629436111989</v>
      </c>
      <c r="G18" s="38" t="n">
        <f aca="false">IF(Clustering_Guide!$C$7=1,LN(1+MAX(D18,0)),D18)</f>
        <v>5.64544689764324</v>
      </c>
      <c r="H18" s="38" t="n">
        <f aca="false">(E18-AVERAGE(E$5:E$121))/STDEV(E$5:E$121)</f>
        <v>1.03733687213202</v>
      </c>
      <c r="I18" s="38" t="n">
        <f aca="false">(F18-AVERAGE(F$5:F$121))/STDEV(F$5:F$121)</f>
        <v>0.378684277529216</v>
      </c>
      <c r="J18" s="38" t="n">
        <f aca="false">(G18-AVERAGE(G$5:G$121))/STDEV(G$5:G$121)</f>
        <v>1.47040463995458</v>
      </c>
    </row>
    <row r="19" customFormat="false" ht="15" hidden="false" customHeight="false" outlineLevel="0" collapsed="false">
      <c r="A19" s="36" t="str">
        <f aca="false">City_Agg!A19</f>
        <v>Ghotki</v>
      </c>
      <c r="B19" s="13" t="n">
        <f aca="false">City_Agg!C19</f>
        <v>376</v>
      </c>
      <c r="C19" s="13" t="n">
        <f aca="false">City_Agg!D19</f>
        <v>1</v>
      </c>
      <c r="D19" s="13" t="n">
        <f aca="false">City_Agg!E19</f>
        <v>146</v>
      </c>
      <c r="E19" s="38" t="n">
        <f aca="false">IF(Clustering_Guide!$C$7=1,LN(1+MAX(B19,0)),B19)</f>
        <v>5.93224518744801</v>
      </c>
      <c r="F19" s="38" t="n">
        <f aca="false">IF(Clustering_Guide!$C$7=1,LN(1+MAX(C19,0)),C19)</f>
        <v>0.693147180559945</v>
      </c>
      <c r="G19" s="38" t="n">
        <f aca="false">IF(Clustering_Guide!$C$7=1,LN(1+MAX(D19,0)),D19)</f>
        <v>4.99043258677874</v>
      </c>
      <c r="H19" s="38" t="n">
        <f aca="false">(E19-AVERAGE(E$5:E$121))/STDEV(E$5:E$121)</f>
        <v>1.00781777519734</v>
      </c>
      <c r="I19" s="38" t="n">
        <f aca="false">(F19-AVERAGE(F$5:F$121))/STDEV(F$5:F$121)</f>
        <v>-0.146983133929529</v>
      </c>
      <c r="J19" s="38" t="n">
        <f aca="false">(G19-AVERAGE(G$5:G$121))/STDEV(G$5:G$121)</f>
        <v>1.16687696458076</v>
      </c>
    </row>
    <row r="20" customFormat="false" ht="15" hidden="false" customHeight="false" outlineLevel="0" collapsed="false">
      <c r="A20" s="36" t="str">
        <f aca="false">City_Agg!A20</f>
        <v>Dir Lower</v>
      </c>
      <c r="B20" s="13" t="n">
        <f aca="false">City_Agg!C20</f>
        <v>350</v>
      </c>
      <c r="C20" s="13" t="n">
        <f aca="false">City_Agg!D20</f>
        <v>8</v>
      </c>
      <c r="D20" s="13" t="n">
        <f aca="false">City_Agg!E20</f>
        <v>101</v>
      </c>
      <c r="E20" s="38" t="n">
        <f aca="false">IF(Clustering_Guide!$C$7=1,LN(1+MAX(B20,0)),B20)</f>
        <v>5.86078622346587</v>
      </c>
      <c r="F20" s="38" t="n">
        <f aca="false">IF(Clustering_Guide!$C$7=1,LN(1+MAX(C20,0)),C20)</f>
        <v>2.19722457733622</v>
      </c>
      <c r="G20" s="38" t="n">
        <f aca="false">IF(Clustering_Guide!$C$7=1,LN(1+MAX(D20,0)),D20)</f>
        <v>4.62497281328427</v>
      </c>
      <c r="H20" s="38" t="n">
        <f aca="false">(E20-AVERAGE(E$5:E$121))/STDEV(E$5:E$121)</f>
        <v>0.970625526957299</v>
      </c>
      <c r="I20" s="38" t="n">
        <f aca="false">(F20-AVERAGE(F$5:F$121))/STDEV(F$5:F$121)</f>
        <v>0.993675724638266</v>
      </c>
      <c r="J20" s="38" t="n">
        <f aca="false">(G20-AVERAGE(G$5:G$121))/STDEV(G$5:G$121)</f>
        <v>0.997526228800629</v>
      </c>
    </row>
    <row r="21" customFormat="false" ht="15" hidden="false" customHeight="false" outlineLevel="0" collapsed="false">
      <c r="A21" s="36" t="str">
        <f aca="false">City_Agg!A21</f>
        <v>Khairpur</v>
      </c>
      <c r="B21" s="13" t="n">
        <f aca="false">City_Agg!C21</f>
        <v>294</v>
      </c>
      <c r="C21" s="13" t="n">
        <f aca="false">City_Agg!D21</f>
        <v>3</v>
      </c>
      <c r="D21" s="13" t="n">
        <f aca="false">City_Agg!E21</f>
        <v>360</v>
      </c>
      <c r="E21" s="38" t="n">
        <f aca="false">IF(Clustering_Guide!$C$7=1,LN(1+MAX(B21,0)),B21)</f>
        <v>5.68697535633982</v>
      </c>
      <c r="F21" s="38" t="n">
        <f aca="false">IF(Clustering_Guide!$C$7=1,LN(1+MAX(C21,0)),C21)</f>
        <v>1.38629436111989</v>
      </c>
      <c r="G21" s="38" t="n">
        <f aca="false">IF(Clustering_Guide!$C$7=1,LN(1+MAX(D21,0)),D21)</f>
        <v>5.88887795833288</v>
      </c>
      <c r="H21" s="38" t="n">
        <f aca="false">(E21-AVERAGE(E$5:E$121))/STDEV(E$5:E$121)</f>
        <v>0.88016218188859</v>
      </c>
      <c r="I21" s="38" t="n">
        <f aca="false">(F21-AVERAGE(F$5:F$121))/STDEV(F$5:F$121)</f>
        <v>0.378684277529216</v>
      </c>
      <c r="J21" s="38" t="n">
        <f aca="false">(G21-AVERAGE(G$5:G$121))/STDEV(G$5:G$121)</f>
        <v>1.58320837987195</v>
      </c>
    </row>
    <row r="22" customFormat="false" ht="15" hidden="false" customHeight="false" outlineLevel="0" collapsed="false">
      <c r="A22" s="36" t="str">
        <f aca="false">City_Agg!A22</f>
        <v>Abbottabad</v>
      </c>
      <c r="B22" s="13" t="n">
        <f aca="false">City_Agg!C22</f>
        <v>279</v>
      </c>
      <c r="C22" s="13" t="n">
        <f aca="false">City_Agg!D22</f>
        <v>14</v>
      </c>
      <c r="D22" s="13" t="n">
        <f aca="false">City_Agg!E22</f>
        <v>44</v>
      </c>
      <c r="E22" s="38" t="n">
        <f aca="false">IF(Clustering_Guide!$C$7=1,LN(1+MAX(B22,0)),B22)</f>
        <v>5.63478960316925</v>
      </c>
      <c r="F22" s="38" t="n">
        <f aca="false">IF(Clustering_Guide!$C$7=1,LN(1+MAX(C22,0)),C22)</f>
        <v>2.70805020110221</v>
      </c>
      <c r="G22" s="38" t="n">
        <f aca="false">IF(Clustering_Guide!$C$7=1,LN(1+MAX(D22,0)),D22)</f>
        <v>3.80666248977032</v>
      </c>
      <c r="H22" s="38" t="n">
        <f aca="false">(E22-AVERAGE(E$5:E$121))/STDEV(E$5:E$121)</f>
        <v>0.853001062018471</v>
      </c>
      <c r="I22" s="38" t="n">
        <f aca="false">(F22-AVERAGE(F$5:F$121))/STDEV(F$5:F$121)</f>
        <v>1.38107452085777</v>
      </c>
      <c r="J22" s="38" t="n">
        <f aca="false">(G22-AVERAGE(G$5:G$121))/STDEV(G$5:G$121)</f>
        <v>0.618328666074444</v>
      </c>
    </row>
    <row r="23" customFormat="false" ht="15" hidden="false" customHeight="false" outlineLevel="0" collapsed="false">
      <c r="A23" s="36" t="str">
        <f aca="false">City_Agg!A23</f>
        <v>Nowshera</v>
      </c>
      <c r="B23" s="13" t="n">
        <f aca="false">City_Agg!C23</f>
        <v>278</v>
      </c>
      <c r="C23" s="13" t="n">
        <f aca="false">City_Agg!D23</f>
        <v>14</v>
      </c>
      <c r="D23" s="13" t="n">
        <f aca="false">City_Agg!E23</f>
        <v>88</v>
      </c>
      <c r="E23" s="38" t="n">
        <f aca="false">IF(Clustering_Guide!$C$7=1,LN(1+MAX(B23,0)),B23)</f>
        <v>5.63121178182137</v>
      </c>
      <c r="F23" s="38" t="n">
        <f aca="false">IF(Clustering_Guide!$C$7=1,LN(1+MAX(C23,0)),C23)</f>
        <v>2.70805020110221</v>
      </c>
      <c r="G23" s="38" t="n">
        <f aca="false">IF(Clustering_Guide!$C$7=1,LN(1+MAX(D23,0)),D23)</f>
        <v>4.48863636973214</v>
      </c>
      <c r="H23" s="38" t="n">
        <f aca="false">(E23-AVERAGE(E$5:E$121))/STDEV(E$5:E$121)</f>
        <v>0.851138913278639</v>
      </c>
      <c r="I23" s="38" t="n">
        <f aca="false">(F23-AVERAGE(F$5:F$121))/STDEV(F$5:F$121)</f>
        <v>1.38107452085777</v>
      </c>
      <c r="J23" s="38" t="n">
        <f aca="false">(G23-AVERAGE(G$5:G$121))/STDEV(G$5:G$121)</f>
        <v>0.934349160614903</v>
      </c>
    </row>
    <row r="24" customFormat="false" ht="15" hidden="false" customHeight="false" outlineLevel="0" collapsed="false">
      <c r="A24" s="36" t="str">
        <f aca="false">City_Agg!A24</f>
        <v>Muzaffarabad</v>
      </c>
      <c r="B24" s="13" t="n">
        <f aca="false">City_Agg!C24</f>
        <v>273</v>
      </c>
      <c r="C24" s="13" t="n">
        <f aca="false">City_Agg!D24</f>
        <v>6</v>
      </c>
      <c r="D24" s="13" t="n">
        <f aca="false">City_Agg!E24</f>
        <v>110</v>
      </c>
      <c r="E24" s="38" t="n">
        <f aca="false">IF(Clustering_Guide!$C$7=1,LN(1+MAX(B24,0)),B24)</f>
        <v>5.61312810638807</v>
      </c>
      <c r="F24" s="38" t="n">
        <f aca="false">IF(Clustering_Guide!$C$7=1,LN(1+MAX(C24,0)),C24)</f>
        <v>1.94591014905531</v>
      </c>
      <c r="G24" s="38" t="n">
        <f aca="false">IF(Clustering_Guide!$C$7=1,LN(1+MAX(D24,0)),D24)</f>
        <v>4.70953020131233</v>
      </c>
      <c r="H24" s="38" t="n">
        <f aca="false">(E24-AVERAGE(E$5:E$121))/STDEV(E$5:E$121)</f>
        <v>0.841726902407959</v>
      </c>
      <c r="I24" s="38" t="n">
        <f aca="false">(F24-AVERAGE(F$5:F$121))/STDEV(F$5:F$121)</f>
        <v>0.803084449535714</v>
      </c>
      <c r="J24" s="38" t="n">
        <f aca="false">(G24-AVERAGE(G$5:G$121))/STDEV(G$5:G$121)</f>
        <v>1.03670935350208</v>
      </c>
    </row>
    <row r="25" customFormat="false" ht="15" hidden="false" customHeight="false" outlineLevel="0" collapsed="false">
      <c r="A25" s="36" t="str">
        <f aca="false">City_Agg!A25</f>
        <v>Dera Ghazi Khan</v>
      </c>
      <c r="B25" s="13" t="n">
        <f aca="false">City_Agg!C25</f>
        <v>247</v>
      </c>
      <c r="C25" s="13" t="n">
        <f aca="false">City_Agg!D25</f>
        <v>6</v>
      </c>
      <c r="D25" s="13" t="n">
        <f aca="false">City_Agg!E25</f>
        <v>182</v>
      </c>
      <c r="E25" s="38" t="n">
        <f aca="false">IF(Clustering_Guide!$C$7=1,LN(1+MAX(B25,0)),B25)</f>
        <v>5.51342874616498</v>
      </c>
      <c r="F25" s="38" t="n">
        <f aca="false">IF(Clustering_Guide!$C$7=1,LN(1+MAX(C25,0)),C25)</f>
        <v>1.94591014905531</v>
      </c>
      <c r="G25" s="38" t="n">
        <f aca="false">IF(Clustering_Guide!$C$7=1,LN(1+MAX(D25,0)),D25)</f>
        <v>5.20948615284142</v>
      </c>
      <c r="H25" s="38" t="n">
        <f aca="false">(E25-AVERAGE(E$5:E$121))/STDEV(E$5:E$121)</f>
        <v>0.789836374639921</v>
      </c>
      <c r="I25" s="38" t="n">
        <f aca="false">(F25-AVERAGE(F$5:F$121))/STDEV(F$5:F$121)</f>
        <v>0.803084449535714</v>
      </c>
      <c r="J25" s="38" t="n">
        <f aca="false">(G25-AVERAGE(G$5:G$121))/STDEV(G$5:G$121)</f>
        <v>1.26838439516132</v>
      </c>
    </row>
    <row r="26" customFormat="false" ht="15" hidden="false" customHeight="false" outlineLevel="0" collapsed="false">
      <c r="A26" s="36" t="str">
        <f aca="false">City_Agg!A26</f>
        <v>Charsadda</v>
      </c>
      <c r="B26" s="13" t="n">
        <f aca="false">City_Agg!C26</f>
        <v>245</v>
      </c>
      <c r="C26" s="13" t="n">
        <f aca="false">City_Agg!D26</f>
        <v>6</v>
      </c>
      <c r="D26" s="13" t="n">
        <f aca="false">City_Agg!E26</f>
        <v>44</v>
      </c>
      <c r="E26" s="38" t="n">
        <f aca="false">IF(Clustering_Guide!$C$7=1,LN(1+MAX(B26,0)),B26)</f>
        <v>5.50533153593236</v>
      </c>
      <c r="F26" s="38" t="n">
        <f aca="false">IF(Clustering_Guide!$C$7=1,LN(1+MAX(C26,0)),C26)</f>
        <v>1.94591014905531</v>
      </c>
      <c r="G26" s="38" t="n">
        <f aca="false">IF(Clustering_Guide!$C$7=1,LN(1+MAX(D26,0)),D26)</f>
        <v>3.80666248977032</v>
      </c>
      <c r="H26" s="38" t="n">
        <f aca="false">(E26-AVERAGE(E$5:E$121))/STDEV(E$5:E$121)</f>
        <v>0.7856220194878</v>
      </c>
      <c r="I26" s="38" t="n">
        <f aca="false">(F26-AVERAGE(F$5:F$121))/STDEV(F$5:F$121)</f>
        <v>0.803084449535714</v>
      </c>
      <c r="J26" s="38" t="n">
        <f aca="false">(G26-AVERAGE(G$5:G$121))/STDEV(G$5:G$121)</f>
        <v>0.618328666074444</v>
      </c>
    </row>
    <row r="27" customFormat="false" ht="15" hidden="false" customHeight="false" outlineLevel="0" collapsed="false">
      <c r="A27" s="36" t="str">
        <f aca="false">City_Agg!A27</f>
        <v>Dir Upper</v>
      </c>
      <c r="B27" s="13" t="n">
        <f aca="false">City_Agg!C27</f>
        <v>244</v>
      </c>
      <c r="C27" s="13" t="n">
        <f aca="false">City_Agg!D27</f>
        <v>2</v>
      </c>
      <c r="D27" s="13" t="n">
        <f aca="false">City_Agg!E27</f>
        <v>93</v>
      </c>
      <c r="E27" s="38" t="n">
        <f aca="false">IF(Clustering_Guide!$C$7=1,LN(1+MAX(B27,0)),B27)</f>
        <v>5.50125821054473</v>
      </c>
      <c r="F27" s="38" t="n">
        <f aca="false">IF(Clustering_Guide!$C$7=1,LN(1+MAX(C27,0)),C27)</f>
        <v>1.09861228866811</v>
      </c>
      <c r="G27" s="38" t="n">
        <f aca="false">IF(Clustering_Guide!$C$7=1,LN(1+MAX(D27,0)),D27)</f>
        <v>4.54329478227</v>
      </c>
      <c r="H27" s="38" t="n">
        <f aca="false">(E27-AVERAGE(E$5:E$121))/STDEV(E$5:E$121)</f>
        <v>0.783501975751688</v>
      </c>
      <c r="I27" s="38" t="n">
        <f aca="false">(F27-AVERAGE(F$5:F$121))/STDEV(F$5:F$121)</f>
        <v>0.160512589624996</v>
      </c>
      <c r="J27" s="38" t="n">
        <f aca="false">(G27-AVERAGE(G$5:G$121))/STDEV(G$5:G$121)</f>
        <v>0.959677371956339</v>
      </c>
    </row>
    <row r="28" customFormat="false" ht="15" hidden="false" customHeight="false" outlineLevel="0" collapsed="false">
      <c r="A28" s="36" t="str">
        <f aca="false">City_Agg!A28</f>
        <v>Khyber</v>
      </c>
      <c r="B28" s="13" t="n">
        <f aca="false">City_Agg!C28</f>
        <v>244</v>
      </c>
      <c r="C28" s="13" t="n">
        <f aca="false">City_Agg!D28</f>
        <v>4</v>
      </c>
      <c r="D28" s="13" t="n">
        <f aca="false">City_Agg!E28</f>
        <v>49</v>
      </c>
      <c r="E28" s="38" t="n">
        <f aca="false">IF(Clustering_Guide!$C$7=1,LN(1+MAX(B28,0)),B28)</f>
        <v>5.50125821054473</v>
      </c>
      <c r="F28" s="38" t="n">
        <f aca="false">IF(Clustering_Guide!$C$7=1,LN(1+MAX(C28,0)),C28)</f>
        <v>1.6094379124341</v>
      </c>
      <c r="G28" s="38" t="n">
        <f aca="false">IF(Clustering_Guide!$C$7=1,LN(1+MAX(D28,0)),D28)</f>
        <v>3.91202300542815</v>
      </c>
      <c r="H28" s="38" t="n">
        <f aca="false">(E28-AVERAGE(E$5:E$121))/STDEV(E$5:E$121)</f>
        <v>0.783501975751688</v>
      </c>
      <c r="I28" s="38" t="n">
        <f aca="false">(F28-AVERAGE(F$5:F$121))/STDEV(F$5:F$121)</f>
        <v>0.547911385844501</v>
      </c>
      <c r="J28" s="38" t="n">
        <f aca="false">(G28-AVERAGE(G$5:G$121))/STDEV(G$5:G$121)</f>
        <v>0.667151770949206</v>
      </c>
    </row>
    <row r="29" customFormat="false" ht="15" hidden="false" customHeight="false" outlineLevel="0" collapsed="false">
      <c r="A29" s="36" t="str">
        <f aca="false">City_Agg!A29</f>
        <v>Bajaur</v>
      </c>
      <c r="B29" s="13" t="n">
        <f aca="false">City_Agg!C29</f>
        <v>234</v>
      </c>
      <c r="C29" s="13" t="n">
        <f aca="false">City_Agg!D29</f>
        <v>14</v>
      </c>
      <c r="D29" s="13" t="n">
        <f aca="false">City_Agg!E29</f>
        <v>56</v>
      </c>
      <c r="E29" s="38" t="n">
        <f aca="false">IF(Clustering_Guide!$C$7=1,LN(1+MAX(B29,0)),B29)</f>
        <v>5.45958551414416</v>
      </c>
      <c r="F29" s="38" t="n">
        <f aca="false">IF(Clustering_Guide!$C$7=1,LN(1+MAX(C29,0)),C29)</f>
        <v>2.70805020110221</v>
      </c>
      <c r="G29" s="38" t="n">
        <f aca="false">IF(Clustering_Guide!$C$7=1,LN(1+MAX(D29,0)),D29)</f>
        <v>4.04305126783455</v>
      </c>
      <c r="H29" s="38" t="n">
        <f aca="false">(E29-AVERAGE(E$5:E$121))/STDEV(E$5:E$121)</f>
        <v>0.761812586723473</v>
      </c>
      <c r="I29" s="38" t="n">
        <f aca="false">(F29-AVERAGE(F$5:F$121))/STDEV(F$5:F$121)</f>
        <v>1.38107452085777</v>
      </c>
      <c r="J29" s="38" t="n">
        <f aca="false">(G29-AVERAGE(G$5:G$121))/STDEV(G$5:G$121)</f>
        <v>0.727869076261203</v>
      </c>
    </row>
    <row r="30" customFormat="false" ht="15" hidden="false" customHeight="false" outlineLevel="0" collapsed="false">
      <c r="A30" s="36" t="str">
        <f aca="false">City_Agg!A30</f>
        <v>Shikarpur</v>
      </c>
      <c r="B30" s="13" t="n">
        <f aca="false">City_Agg!C30</f>
        <v>211</v>
      </c>
      <c r="C30" s="13" t="n">
        <f aca="false">City_Agg!D30</f>
        <v>6</v>
      </c>
      <c r="D30" s="13" t="n">
        <f aca="false">City_Agg!E30</f>
        <v>186</v>
      </c>
      <c r="E30" s="38" t="n">
        <f aca="false">IF(Clustering_Guide!$C$7=1,LN(1+MAX(B30,0)),B30)</f>
        <v>5.35658627467201</v>
      </c>
      <c r="F30" s="38" t="n">
        <f aca="false">IF(Clustering_Guide!$C$7=1,LN(1+MAX(C30,0)),C30)</f>
        <v>1.94591014905531</v>
      </c>
      <c r="G30" s="38" t="n">
        <f aca="false">IF(Clustering_Guide!$C$7=1,LN(1+MAX(D30,0)),D30)</f>
        <v>5.23110861685459</v>
      </c>
      <c r="H30" s="38" t="n">
        <f aca="false">(E30-AVERAGE(E$5:E$121))/STDEV(E$5:E$121)</f>
        <v>0.708204570744665</v>
      </c>
      <c r="I30" s="38" t="n">
        <f aca="false">(F30-AVERAGE(F$5:F$121))/STDEV(F$5:F$121)</f>
        <v>0.803084449535714</v>
      </c>
      <c r="J30" s="38" t="n">
        <f aca="false">(G30-AVERAGE(G$5:G$121))/STDEV(G$5:G$121)</f>
        <v>1.27840404836418</v>
      </c>
    </row>
    <row r="31" customFormat="false" ht="15" hidden="false" customHeight="false" outlineLevel="0" collapsed="false">
      <c r="A31" s="36" t="str">
        <f aca="false">City_Agg!A31</f>
        <v>Rawalpindi</v>
      </c>
      <c r="B31" s="13" t="n">
        <f aca="false">City_Agg!C31</f>
        <v>187</v>
      </c>
      <c r="C31" s="13" t="n">
        <f aca="false">City_Agg!D31</f>
        <v>1</v>
      </c>
      <c r="D31" s="13" t="n">
        <f aca="false">City_Agg!E31</f>
        <v>0</v>
      </c>
      <c r="E31" s="38" t="n">
        <f aca="false">IF(Clustering_Guide!$C$7=1,LN(1+MAX(B31,0)),B31)</f>
        <v>5.23644196282995</v>
      </c>
      <c r="F31" s="38" t="n">
        <f aca="false">IF(Clustering_Guide!$C$7=1,LN(1+MAX(C31,0)),C31)</f>
        <v>0.693147180559945</v>
      </c>
      <c r="G31" s="38" t="n">
        <f aca="false">IF(Clustering_Guide!$C$7=1,LN(1+MAX(D31,0)),D31)</f>
        <v>0</v>
      </c>
      <c r="H31" s="38" t="n">
        <f aca="false">(E31-AVERAGE(E$5:E$121))/STDEV(E$5:E$121)</f>
        <v>0.645673058648075</v>
      </c>
      <c r="I31" s="38" t="n">
        <f aca="false">(F31-AVERAGE(F$5:F$121))/STDEV(F$5:F$121)</f>
        <v>-0.146983133929529</v>
      </c>
      <c r="J31" s="38" t="n">
        <f aca="false">(G31-AVERAGE(G$5:G$121))/STDEV(G$5:G$121)</f>
        <v>-1.14564411633355</v>
      </c>
    </row>
    <row r="32" customFormat="false" ht="15" hidden="false" customHeight="false" outlineLevel="0" collapsed="false">
      <c r="A32" s="36" t="str">
        <f aca="false">City_Agg!A32</f>
        <v>Buner</v>
      </c>
      <c r="B32" s="13" t="n">
        <f aca="false">City_Agg!C32</f>
        <v>172</v>
      </c>
      <c r="C32" s="13" t="n">
        <f aca="false">City_Agg!D32</f>
        <v>5</v>
      </c>
      <c r="D32" s="13" t="n">
        <f aca="false">City_Agg!E32</f>
        <v>77</v>
      </c>
      <c r="E32" s="38" t="n">
        <f aca="false">IF(Clustering_Guide!$C$7=1,LN(1+MAX(B32,0)),B32)</f>
        <v>5.15329159449778</v>
      </c>
      <c r="F32" s="38" t="n">
        <f aca="false">IF(Clustering_Guide!$C$7=1,LN(1+MAX(C32,0)),C32)</f>
        <v>1.79175946922806</v>
      </c>
      <c r="G32" s="38" t="n">
        <f aca="false">IF(Clustering_Guide!$C$7=1,LN(1+MAX(D32,0)),D32)</f>
        <v>4.35670882668959</v>
      </c>
      <c r="H32" s="38" t="n">
        <f aca="false">(E32-AVERAGE(E$5:E$121))/STDEV(E$5:E$121)</f>
        <v>0.602395784980437</v>
      </c>
      <c r="I32" s="38" t="n">
        <f aca="false">(F32-AVERAGE(F$5:F$121))/STDEV(F$5:F$121)</f>
        <v>0.686180001083741</v>
      </c>
      <c r="J32" s="38" t="n">
        <f aca="false">(G32-AVERAGE(G$5:G$121))/STDEV(G$5:G$121)</f>
        <v>0.8732151368336</v>
      </c>
    </row>
    <row r="33" customFormat="false" ht="15" hidden="false" customHeight="false" outlineLevel="0" collapsed="false">
      <c r="A33" s="36" t="str">
        <f aca="false">City_Agg!A33</f>
        <v>Sargodha</v>
      </c>
      <c r="B33" s="13" t="n">
        <f aca="false">City_Agg!C33</f>
        <v>164</v>
      </c>
      <c r="C33" s="13" t="n">
        <f aca="false">City_Agg!D33</f>
        <v>0</v>
      </c>
      <c r="D33" s="13" t="n">
        <f aca="false">City_Agg!E33</f>
        <v>4</v>
      </c>
      <c r="E33" s="38" t="n">
        <f aca="false">IF(Clustering_Guide!$C$7=1,LN(1+MAX(B33,0)),B33)</f>
        <v>5.10594547390058</v>
      </c>
      <c r="F33" s="38" t="n">
        <f aca="false">IF(Clustering_Guide!$C$7=1,LN(1+MAX(C33,0)),C33)</f>
        <v>0</v>
      </c>
      <c r="G33" s="38" t="n">
        <f aca="false">IF(Clustering_Guide!$C$7=1,LN(1+MAX(D33,0)),D33)</f>
        <v>1.6094379124341</v>
      </c>
      <c r="H33" s="38" t="n">
        <f aca="false">(E33-AVERAGE(E$5:E$121))/STDEV(E$5:E$121)</f>
        <v>0.577753548760862</v>
      </c>
      <c r="I33" s="38" t="n">
        <f aca="false">(F33-AVERAGE(F$5:F$121))/STDEV(F$5:F$121)</f>
        <v>-0.672650545388274</v>
      </c>
      <c r="J33" s="38" t="n">
        <f aca="false">(G33-AVERAGE(G$5:G$121))/STDEV(G$5:G$121)</f>
        <v>-0.399845222909568</v>
      </c>
    </row>
    <row r="34" customFormat="false" ht="15" hidden="false" customHeight="false" outlineLevel="0" collapsed="false">
      <c r="A34" s="36" t="str">
        <f aca="false">City_Agg!A34</f>
        <v>Shaheed Benazirabad</v>
      </c>
      <c r="B34" s="13" t="n">
        <f aca="false">City_Agg!C34</f>
        <v>164</v>
      </c>
      <c r="C34" s="13" t="n">
        <f aca="false">City_Agg!D34</f>
        <v>2</v>
      </c>
      <c r="D34" s="13" t="n">
        <f aca="false">City_Agg!E34</f>
        <v>63</v>
      </c>
      <c r="E34" s="38" t="n">
        <f aca="false">IF(Clustering_Guide!$C$7=1,LN(1+MAX(B34,0)),B34)</f>
        <v>5.10594547390058</v>
      </c>
      <c r="F34" s="38" t="n">
        <f aca="false">IF(Clustering_Guide!$C$7=1,LN(1+MAX(C34,0)),C34)</f>
        <v>1.09861228866811</v>
      </c>
      <c r="G34" s="38" t="n">
        <f aca="false">IF(Clustering_Guide!$C$7=1,LN(1+MAX(D34,0)),D34)</f>
        <v>4.15888308335967</v>
      </c>
      <c r="H34" s="38" t="n">
        <f aca="false">(E34-AVERAGE(E$5:E$121))/STDEV(E$5:E$121)</f>
        <v>0.577753548760862</v>
      </c>
      <c r="I34" s="38" t="n">
        <f aca="false">(F34-AVERAGE(F$5:F$121))/STDEV(F$5:F$121)</f>
        <v>0.160512589624996</v>
      </c>
      <c r="J34" s="38" t="n">
        <f aca="false">(G34-AVERAGE(G$5:G$121))/STDEV(G$5:G$121)</f>
        <v>0.781544486275172</v>
      </c>
    </row>
    <row r="35" customFormat="false" ht="15" hidden="false" customHeight="false" outlineLevel="0" collapsed="false">
      <c r="A35" s="36" t="str">
        <f aca="false">City_Agg!A35</f>
        <v>Gujrat</v>
      </c>
      <c r="B35" s="13" t="n">
        <f aca="false">City_Agg!C35</f>
        <v>163</v>
      </c>
      <c r="C35" s="13" t="n">
        <f aca="false">City_Agg!D35</f>
        <v>0</v>
      </c>
      <c r="D35" s="13" t="n">
        <f aca="false">City_Agg!E35</f>
        <v>4</v>
      </c>
      <c r="E35" s="38" t="n">
        <f aca="false">IF(Clustering_Guide!$C$7=1,LN(1+MAX(B35,0)),B35)</f>
        <v>5.0998664278242</v>
      </c>
      <c r="F35" s="38" t="n">
        <f aca="false">IF(Clustering_Guide!$C$7=1,LN(1+MAX(C35,0)),C35)</f>
        <v>0</v>
      </c>
      <c r="G35" s="38" t="n">
        <f aca="false">IF(Clustering_Guide!$C$7=1,LN(1+MAX(D35,0)),D35)</f>
        <v>1.6094379124341</v>
      </c>
      <c r="H35" s="38" t="n">
        <f aca="false">(E35-AVERAGE(E$5:E$121))/STDEV(E$5:E$121)</f>
        <v>0.574589587542617</v>
      </c>
      <c r="I35" s="38" t="n">
        <f aca="false">(F35-AVERAGE(F$5:F$121))/STDEV(F$5:F$121)</f>
        <v>-0.672650545388274</v>
      </c>
      <c r="J35" s="38" t="n">
        <f aca="false">(G35-AVERAGE(G$5:G$121))/STDEV(G$5:G$121)</f>
        <v>-0.399845222909568</v>
      </c>
    </row>
    <row r="36" customFormat="false" ht="15" hidden="false" customHeight="false" outlineLevel="0" collapsed="false">
      <c r="A36" s="36" t="str">
        <f aca="false">City_Agg!A36</f>
        <v>Dera Ismail Khan</v>
      </c>
      <c r="B36" s="13" t="n">
        <f aca="false">City_Agg!C36</f>
        <v>161</v>
      </c>
      <c r="C36" s="13" t="n">
        <f aca="false">City_Agg!D36</f>
        <v>4</v>
      </c>
      <c r="D36" s="13" t="n">
        <f aca="false">City_Agg!E36</f>
        <v>130</v>
      </c>
      <c r="E36" s="38" t="n">
        <f aca="false">IF(Clustering_Guide!$C$7=1,LN(1+MAX(B36,0)),B36)</f>
        <v>5.08759633523238</v>
      </c>
      <c r="F36" s="38" t="n">
        <f aca="false">IF(Clustering_Guide!$C$7=1,LN(1+MAX(C36,0)),C36)</f>
        <v>1.6094379124341</v>
      </c>
      <c r="G36" s="38" t="n">
        <f aca="false">IF(Clustering_Guide!$C$7=1,LN(1+MAX(D36,0)),D36)</f>
        <v>4.87519732320115</v>
      </c>
      <c r="H36" s="38" t="n">
        <f aca="false">(E36-AVERAGE(E$5:E$121))/STDEV(E$5:E$121)</f>
        <v>0.568203372235645</v>
      </c>
      <c r="I36" s="38" t="n">
        <f aca="false">(F36-AVERAGE(F$5:F$121))/STDEV(F$5:F$121)</f>
        <v>0.547911385844501</v>
      </c>
      <c r="J36" s="38" t="n">
        <f aca="false">(G36-AVERAGE(G$5:G$121))/STDEV(G$5:G$121)</f>
        <v>1.11347799131462</v>
      </c>
    </row>
    <row r="37" customFormat="false" ht="15" hidden="false" customHeight="false" outlineLevel="0" collapsed="false">
      <c r="A37" s="36" t="str">
        <f aca="false">City_Agg!A37</f>
        <v>Karak</v>
      </c>
      <c r="B37" s="13" t="n">
        <f aca="false">City_Agg!C37</f>
        <v>150</v>
      </c>
      <c r="C37" s="13" t="n">
        <f aca="false">City_Agg!D37</f>
        <v>3</v>
      </c>
      <c r="D37" s="13" t="n">
        <f aca="false">City_Agg!E37</f>
        <v>21</v>
      </c>
      <c r="E37" s="38" t="n">
        <f aca="false">IF(Clustering_Guide!$C$7=1,LN(1+MAX(B37,0)),B37)</f>
        <v>5.01727983681492</v>
      </c>
      <c r="F37" s="38" t="n">
        <f aca="false">IF(Clustering_Guide!$C$7=1,LN(1+MAX(C37,0)),C37)</f>
        <v>1.38629436111989</v>
      </c>
      <c r="G37" s="38" t="n">
        <f aca="false">IF(Clustering_Guide!$C$7=1,LN(1+MAX(D37,0)),D37)</f>
        <v>3.09104245335832</v>
      </c>
      <c r="H37" s="38" t="n">
        <f aca="false">(E37-AVERAGE(E$5:E$121))/STDEV(E$5:E$121)</f>
        <v>0.531605743068138</v>
      </c>
      <c r="I37" s="38" t="n">
        <f aca="false">(F37-AVERAGE(F$5:F$121))/STDEV(F$5:F$121)</f>
        <v>0.378684277529216</v>
      </c>
      <c r="J37" s="38" t="n">
        <f aca="false">(G37-AVERAGE(G$5:G$121))/STDEV(G$5:G$121)</f>
        <v>0.286716848591577</v>
      </c>
    </row>
    <row r="38" customFormat="false" ht="15" hidden="false" customHeight="false" outlineLevel="0" collapsed="false">
      <c r="A38" s="36" t="str">
        <f aca="false">City_Agg!A38</f>
        <v>Shangla</v>
      </c>
      <c r="B38" s="13" t="n">
        <f aca="false">City_Agg!C38</f>
        <v>137</v>
      </c>
      <c r="C38" s="13" t="n">
        <f aca="false">City_Agg!D38</f>
        <v>1</v>
      </c>
      <c r="D38" s="13" t="n">
        <f aca="false">City_Agg!E38</f>
        <v>38</v>
      </c>
      <c r="E38" s="38" t="n">
        <f aca="false">IF(Clustering_Guide!$C$7=1,LN(1+MAX(B38,0)),B38)</f>
        <v>4.92725368515721</v>
      </c>
      <c r="F38" s="38" t="n">
        <f aca="false">IF(Clustering_Guide!$C$7=1,LN(1+MAX(C38,0)),C38)</f>
        <v>0.693147180559945</v>
      </c>
      <c r="G38" s="38" t="n">
        <f aca="false">IF(Clustering_Guide!$C$7=1,LN(1+MAX(D38,0)),D38)</f>
        <v>3.66356164612965</v>
      </c>
      <c r="H38" s="38" t="n">
        <f aca="false">(E38-AVERAGE(E$5:E$121))/STDEV(E$5:E$121)</f>
        <v>0.484749830332174</v>
      </c>
      <c r="I38" s="38" t="n">
        <f aca="false">(F38-AVERAGE(F$5:F$121))/STDEV(F$5:F$121)</f>
        <v>-0.146983133929529</v>
      </c>
      <c r="J38" s="38" t="n">
        <f aca="false">(G38-AVERAGE(G$5:G$121))/STDEV(G$5:G$121)</f>
        <v>0.552017036398812</v>
      </c>
    </row>
    <row r="39" customFormat="false" ht="15" hidden="false" customHeight="false" outlineLevel="0" collapsed="false">
      <c r="A39" s="36" t="str">
        <f aca="false">City_Agg!A39</f>
        <v>Mansehra</v>
      </c>
      <c r="B39" s="13" t="n">
        <f aca="false">City_Agg!C39</f>
        <v>137</v>
      </c>
      <c r="C39" s="13" t="n">
        <f aca="false">City_Agg!D39</f>
        <v>14</v>
      </c>
      <c r="D39" s="13" t="n">
        <f aca="false">City_Agg!E39</f>
        <v>22</v>
      </c>
      <c r="E39" s="38" t="n">
        <f aca="false">IF(Clustering_Guide!$C$7=1,LN(1+MAX(B39,0)),B39)</f>
        <v>4.92725368515721</v>
      </c>
      <c r="F39" s="38" t="n">
        <f aca="false">IF(Clustering_Guide!$C$7=1,LN(1+MAX(C39,0)),C39)</f>
        <v>2.70805020110221</v>
      </c>
      <c r="G39" s="38" t="n">
        <f aca="false">IF(Clustering_Guide!$C$7=1,LN(1+MAX(D39,0)),D39)</f>
        <v>3.13549421592915</v>
      </c>
      <c r="H39" s="38" t="n">
        <f aca="false">(E39-AVERAGE(E$5:E$121))/STDEV(E$5:E$121)</f>
        <v>0.484749830332174</v>
      </c>
      <c r="I39" s="38" t="n">
        <f aca="false">(F39-AVERAGE(F$5:F$121))/STDEV(F$5:F$121)</f>
        <v>1.38107452085777</v>
      </c>
      <c r="J39" s="38" t="n">
        <f aca="false">(G39-AVERAGE(G$5:G$121))/STDEV(G$5:G$121)</f>
        <v>0.307315391151031</v>
      </c>
    </row>
    <row r="40" customFormat="false" ht="15" hidden="false" customHeight="false" outlineLevel="0" collapsed="false">
      <c r="A40" s="36" t="str">
        <f aca="false">City_Agg!A40</f>
        <v>Swabi</v>
      </c>
      <c r="B40" s="13" t="n">
        <f aca="false">City_Agg!C40</f>
        <v>129</v>
      </c>
      <c r="C40" s="13" t="n">
        <f aca="false">City_Agg!D40</f>
        <v>10</v>
      </c>
      <c r="D40" s="13" t="n">
        <f aca="false">City_Agg!E40</f>
        <v>55</v>
      </c>
      <c r="E40" s="38" t="n">
        <f aca="false">IF(Clustering_Guide!$C$7=1,LN(1+MAX(B40,0)),B40)</f>
        <v>4.86753445045558</v>
      </c>
      <c r="F40" s="38" t="n">
        <f aca="false">IF(Clustering_Guide!$C$7=1,LN(1+MAX(C40,0)),C40)</f>
        <v>2.39789527279837</v>
      </c>
      <c r="G40" s="38" t="n">
        <f aca="false">IF(Clustering_Guide!$C$7=1,LN(1+MAX(D40,0)),D40)</f>
        <v>4.02535169073515</v>
      </c>
      <c r="H40" s="38" t="n">
        <f aca="false">(E40-AVERAGE(E$5:E$121))/STDEV(E$5:E$121)</f>
        <v>0.453667759197148</v>
      </c>
      <c r="I40" s="38" t="n">
        <f aca="false">(F40-AVERAGE(F$5:F$121))/STDEV(F$5:F$121)</f>
        <v>1.14585991869933</v>
      </c>
      <c r="J40" s="38" t="n">
        <f aca="false">(G40-AVERAGE(G$5:G$121))/STDEV(G$5:G$121)</f>
        <v>0.719667253181963</v>
      </c>
    </row>
    <row r="41" customFormat="false" ht="15" hidden="false" customHeight="false" outlineLevel="0" collapsed="false">
      <c r="A41" s="36" t="str">
        <f aca="false">City_Agg!A41</f>
        <v>Haripur</v>
      </c>
      <c r="B41" s="13" t="n">
        <f aca="false">City_Agg!C41</f>
        <v>124</v>
      </c>
      <c r="C41" s="13" t="n">
        <f aca="false">City_Agg!D41</f>
        <v>3</v>
      </c>
      <c r="D41" s="13" t="n">
        <f aca="false">City_Agg!E41</f>
        <v>37</v>
      </c>
      <c r="E41" s="38" t="n">
        <f aca="false">IF(Clustering_Guide!$C$7=1,LN(1+MAX(B41,0)),B41)</f>
        <v>4.8283137373023</v>
      </c>
      <c r="F41" s="38" t="n">
        <f aca="false">IF(Clustering_Guide!$C$7=1,LN(1+MAX(C41,0)),C41)</f>
        <v>1.38629436111989</v>
      </c>
      <c r="G41" s="38" t="n">
        <f aca="false">IF(Clustering_Guide!$C$7=1,LN(1+MAX(D41,0)),D41)</f>
        <v>3.63758615972639</v>
      </c>
      <c r="H41" s="38" t="n">
        <f aca="false">(E41-AVERAGE(E$5:E$121))/STDEV(E$5:E$121)</f>
        <v>0.433254553932755</v>
      </c>
      <c r="I41" s="38" t="n">
        <f aca="false">(F41-AVERAGE(F$5:F$121))/STDEV(F$5:F$121)</f>
        <v>0.378684277529216</v>
      </c>
      <c r="J41" s="38" t="n">
        <f aca="false">(G41-AVERAGE(G$5:G$121))/STDEV(G$5:G$121)</f>
        <v>0.539980232203984</v>
      </c>
    </row>
    <row r="42" customFormat="false" ht="15" hidden="false" customHeight="false" outlineLevel="0" collapsed="false">
      <c r="A42" s="36" t="str">
        <f aca="false">City_Agg!A42</f>
        <v>Battagram</v>
      </c>
      <c r="B42" s="13" t="n">
        <f aca="false">City_Agg!C42</f>
        <v>123</v>
      </c>
      <c r="C42" s="13" t="n">
        <f aca="false">City_Agg!D42</f>
        <v>3</v>
      </c>
      <c r="D42" s="13" t="n">
        <f aca="false">City_Agg!E42</f>
        <v>31</v>
      </c>
      <c r="E42" s="38" t="n">
        <f aca="false">IF(Clustering_Guide!$C$7=1,LN(1+MAX(B42,0)),B42)</f>
        <v>4.82028156560504</v>
      </c>
      <c r="F42" s="38" t="n">
        <f aca="false">IF(Clustering_Guide!$C$7=1,LN(1+MAX(C42,0)),C42)</f>
        <v>1.38629436111989</v>
      </c>
      <c r="G42" s="38" t="n">
        <f aca="false">IF(Clustering_Guide!$C$7=1,LN(1+MAX(D42,0)),D42)</f>
        <v>3.46573590279973</v>
      </c>
      <c r="H42" s="38" t="n">
        <f aca="false">(E42-AVERAGE(E$5:E$121))/STDEV(E$5:E$121)</f>
        <v>0.429074049388274</v>
      </c>
      <c r="I42" s="38" t="n">
        <f aca="false">(F42-AVERAGE(F$5:F$121))/STDEV(F$5:F$121)</f>
        <v>0.378684277529216</v>
      </c>
      <c r="J42" s="38" t="n">
        <f aca="false">(G42-AVERAGE(G$5:G$121))/STDEV(G$5:G$121)</f>
        <v>0.460346385840384</v>
      </c>
    </row>
    <row r="43" customFormat="false" ht="15" hidden="false" customHeight="false" outlineLevel="0" collapsed="false">
      <c r="A43" s="36" t="str">
        <f aca="false">City_Agg!A43</f>
        <v>Kohat</v>
      </c>
      <c r="B43" s="13" t="n">
        <f aca="false">City_Agg!C43</f>
        <v>118</v>
      </c>
      <c r="C43" s="13" t="n">
        <f aca="false">City_Agg!D43</f>
        <v>12</v>
      </c>
      <c r="D43" s="13" t="n">
        <f aca="false">City_Agg!E43</f>
        <v>45</v>
      </c>
      <c r="E43" s="38" t="n">
        <f aca="false">IF(Clustering_Guide!$C$7=1,LN(1+MAX(B43,0)),B43)</f>
        <v>4.77912349311153</v>
      </c>
      <c r="F43" s="38" t="n">
        <f aca="false">IF(Clustering_Guide!$C$7=1,LN(1+MAX(C43,0)),C43)</f>
        <v>2.56494935746154</v>
      </c>
      <c r="G43" s="38" t="n">
        <f aca="false">IF(Clustering_Guide!$C$7=1,LN(1+MAX(D43,0)),D43)</f>
        <v>3.8286413964891</v>
      </c>
      <c r="H43" s="38" t="n">
        <f aca="false">(E43-AVERAGE(E$5:E$121))/STDEV(E$5:E$121)</f>
        <v>0.407652506674014</v>
      </c>
      <c r="I43" s="38" t="n">
        <f aca="false">(F43-AVERAGE(F$5:F$121))/STDEV(F$5:F$121)</f>
        <v>1.27255002250608</v>
      </c>
      <c r="J43" s="38" t="n">
        <f aca="false">(G43-AVERAGE(G$5:G$121))/STDEV(G$5:G$121)</f>
        <v>0.628513491585819</v>
      </c>
    </row>
    <row r="44" customFormat="false" ht="15" hidden="false" customHeight="false" outlineLevel="0" collapsed="false">
      <c r="A44" s="36" t="str">
        <f aca="false">City_Agg!A44</f>
        <v>Kurram</v>
      </c>
      <c r="B44" s="13" t="n">
        <f aca="false">City_Agg!C44</f>
        <v>114</v>
      </c>
      <c r="C44" s="13" t="n">
        <f aca="false">City_Agg!D44</f>
        <v>2</v>
      </c>
      <c r="D44" s="13" t="n">
        <f aca="false">City_Agg!E44</f>
        <v>9</v>
      </c>
      <c r="E44" s="38" t="n">
        <f aca="false">IF(Clustering_Guide!$C$7=1,LN(1+MAX(B44,0)),B44)</f>
        <v>4.74493212836325</v>
      </c>
      <c r="F44" s="38" t="n">
        <f aca="false">IF(Clustering_Guide!$C$7=1,LN(1+MAX(C44,0)),C44)</f>
        <v>1.09861228866811</v>
      </c>
      <c r="G44" s="38" t="n">
        <f aca="false">IF(Clustering_Guide!$C$7=1,LN(1+MAX(D44,0)),D44)</f>
        <v>2.30258509299405</v>
      </c>
      <c r="H44" s="38" t="n">
        <f aca="false">(E44-AVERAGE(E$5:E$121))/STDEV(E$5:E$121)</f>
        <v>0.389856926462388</v>
      </c>
      <c r="I44" s="38" t="n">
        <f aca="false">(F44-AVERAGE(F$5:F$121))/STDEV(F$5:F$121)</f>
        <v>0.160512589624996</v>
      </c>
      <c r="J44" s="38" t="n">
        <f aca="false">(G44-AVERAGE(G$5:G$121))/STDEV(G$5:G$121)</f>
        <v>-0.0786471224747799</v>
      </c>
    </row>
    <row r="45" customFormat="false" ht="15" hidden="false" customHeight="false" outlineLevel="0" collapsed="false">
      <c r="A45" s="36" t="str">
        <f aca="false">City_Agg!A45</f>
        <v>Kambar Shahdadkot</v>
      </c>
      <c r="B45" s="13" t="n">
        <f aca="false">City_Agg!C45</f>
        <v>99</v>
      </c>
      <c r="C45" s="13" t="n">
        <f aca="false">City_Agg!D45</f>
        <v>0</v>
      </c>
      <c r="D45" s="13" t="n">
        <f aca="false">City_Agg!E45</f>
        <v>104</v>
      </c>
      <c r="E45" s="38" t="n">
        <f aca="false">IF(Clustering_Guide!$C$7=1,LN(1+MAX(B45,0)),B45)</f>
        <v>4.60517018598809</v>
      </c>
      <c r="F45" s="38" t="n">
        <f aca="false">IF(Clustering_Guide!$C$7=1,LN(1+MAX(C45,0)),C45)</f>
        <v>0</v>
      </c>
      <c r="G45" s="38" t="n">
        <f aca="false">IF(Clustering_Guide!$C$7=1,LN(1+MAX(D45,0)),D45)</f>
        <v>4.65396035015752</v>
      </c>
      <c r="H45" s="38" t="n">
        <f aca="false">(E45-AVERAGE(E$5:E$121))/STDEV(E$5:E$121)</f>
        <v>0.317115025857358</v>
      </c>
      <c r="I45" s="38" t="n">
        <f aca="false">(F45-AVERAGE(F$5:F$121))/STDEV(F$5:F$121)</f>
        <v>-0.672650545388274</v>
      </c>
      <c r="J45" s="38" t="n">
        <f aca="false">(G45-AVERAGE(G$5:G$121))/STDEV(G$5:G$121)</f>
        <v>1.01095878979359</v>
      </c>
    </row>
    <row r="46" customFormat="false" ht="15" hidden="false" customHeight="false" outlineLevel="0" collapsed="false">
      <c r="A46" s="36" t="str">
        <f aca="false">City_Agg!A46</f>
        <v>Nagar</v>
      </c>
      <c r="B46" s="13" t="n">
        <f aca="false">City_Agg!C46</f>
        <v>91</v>
      </c>
      <c r="C46" s="13" t="n">
        <f aca="false">City_Agg!D46</f>
        <v>1</v>
      </c>
      <c r="D46" s="13" t="n">
        <f aca="false">City_Agg!E46</f>
        <v>62</v>
      </c>
      <c r="E46" s="38" t="n">
        <f aca="false">IF(Clustering_Guide!$C$7=1,LN(1+MAX(B46,0)),B46)</f>
        <v>4.52178857704904</v>
      </c>
      <c r="F46" s="38" t="n">
        <f aca="false">IF(Clustering_Guide!$C$7=1,LN(1+MAX(C46,0)),C46)</f>
        <v>0.693147180559945</v>
      </c>
      <c r="G46" s="38" t="n">
        <f aca="false">IF(Clustering_Guide!$C$7=1,LN(1+MAX(D46,0)),D46)</f>
        <v>4.14313472639153</v>
      </c>
      <c r="H46" s="38" t="n">
        <f aca="false">(E46-AVERAGE(E$5:E$121))/STDEV(E$5:E$121)</f>
        <v>0.273717398386991</v>
      </c>
      <c r="I46" s="38" t="n">
        <f aca="false">(F46-AVERAGE(F$5:F$121))/STDEV(F$5:F$121)</f>
        <v>-0.146983133929529</v>
      </c>
      <c r="J46" s="38" t="n">
        <f aca="false">(G46-AVERAGE(G$5:G$121))/STDEV(G$5:G$121)</f>
        <v>0.774246840861612</v>
      </c>
    </row>
    <row r="47" customFormat="false" ht="15" hidden="false" customHeight="false" outlineLevel="0" collapsed="false">
      <c r="A47" s="36" t="str">
        <f aca="false">City_Agg!A47</f>
        <v>Rahim Yar Khan</v>
      </c>
      <c r="B47" s="13" t="n">
        <f aca="false">City_Agg!C47</f>
        <v>89</v>
      </c>
      <c r="C47" s="13" t="n">
        <f aca="false">City_Agg!D47</f>
        <v>1</v>
      </c>
      <c r="D47" s="13" t="n">
        <f aca="false">City_Agg!E47</f>
        <v>2</v>
      </c>
      <c r="E47" s="38" t="n">
        <f aca="false">IF(Clustering_Guide!$C$7=1,LN(1+MAX(B47,0)),B47)</f>
        <v>4.49980967033027</v>
      </c>
      <c r="F47" s="38" t="n">
        <f aca="false">IF(Clustering_Guide!$C$7=1,LN(1+MAX(C47,0)),C47)</f>
        <v>0.693147180559945</v>
      </c>
      <c r="G47" s="38" t="n">
        <f aca="false">IF(Clustering_Guide!$C$7=1,LN(1+MAX(D47,0)),D47)</f>
        <v>1.09861228866811</v>
      </c>
      <c r="H47" s="38" t="n">
        <f aca="false">(E47-AVERAGE(E$5:E$121))/STDEV(E$5:E$121)</f>
        <v>0.262278036420678</v>
      </c>
      <c r="I47" s="38" t="n">
        <f aca="false">(F47-AVERAGE(F$5:F$121))/STDEV(F$5:F$121)</f>
        <v>-0.146983133929529</v>
      </c>
      <c r="J47" s="38" t="n">
        <f aca="false">(G47-AVERAGE(G$5:G$121))/STDEV(G$5:G$121)</f>
        <v>-0.636557171841548</v>
      </c>
    </row>
    <row r="48" customFormat="false" ht="15" hidden="false" customHeight="false" outlineLevel="0" collapsed="false">
      <c r="A48" s="36" t="str">
        <f aca="false">City_Agg!A48</f>
        <v>Jamshoro</v>
      </c>
      <c r="B48" s="13" t="n">
        <f aca="false">City_Agg!C48</f>
        <v>88</v>
      </c>
      <c r="C48" s="13" t="n">
        <f aca="false">City_Agg!D48</f>
        <v>0</v>
      </c>
      <c r="D48" s="13" t="n">
        <f aca="false">City_Agg!E48</f>
        <v>35</v>
      </c>
      <c r="E48" s="38" t="n">
        <f aca="false">IF(Clustering_Guide!$C$7=1,LN(1+MAX(B48,0)),B48)</f>
        <v>4.48863636973214</v>
      </c>
      <c r="F48" s="38" t="n">
        <f aca="false">IF(Clustering_Guide!$C$7=1,LN(1+MAX(C48,0)),C48)</f>
        <v>0</v>
      </c>
      <c r="G48" s="38" t="n">
        <f aca="false">IF(Clustering_Guide!$C$7=1,LN(1+MAX(D48,0)),D48)</f>
        <v>3.58351893845611</v>
      </c>
      <c r="H48" s="38" t="n">
        <f aca="false">(E48-AVERAGE(E$5:E$121))/STDEV(E$5:E$121)</f>
        <v>0.256462668461943</v>
      </c>
      <c r="I48" s="38" t="n">
        <f aca="false">(F48-AVERAGE(F$5:F$121))/STDEV(F$5:F$121)</f>
        <v>-0.672650545388274</v>
      </c>
      <c r="J48" s="38" t="n">
        <f aca="false">(G48-AVERAGE(G$5:G$121))/STDEV(G$5:G$121)</f>
        <v>0.514925973520034</v>
      </c>
    </row>
    <row r="49" customFormat="false" ht="15" hidden="false" customHeight="false" outlineLevel="0" collapsed="false">
      <c r="A49" s="36" t="str">
        <f aca="false">City_Agg!A49</f>
        <v>Gujranwala</v>
      </c>
      <c r="B49" s="13" t="n">
        <f aca="false">City_Agg!C49</f>
        <v>85</v>
      </c>
      <c r="C49" s="13" t="n">
        <f aca="false">City_Agg!D49</f>
        <v>0</v>
      </c>
      <c r="D49" s="13" t="n">
        <f aca="false">City_Agg!E49</f>
        <v>1</v>
      </c>
      <c r="E49" s="38" t="n">
        <f aca="false">IF(Clustering_Guide!$C$7=1,LN(1+MAX(B49,0)),B49)</f>
        <v>4.45434729625351</v>
      </c>
      <c r="F49" s="38" t="n">
        <f aca="false">IF(Clustering_Guide!$C$7=1,LN(1+MAX(C49,0)),C49)</f>
        <v>0</v>
      </c>
      <c r="G49" s="38" t="n">
        <f aca="false">IF(Clustering_Guide!$C$7=1,LN(1+MAX(D49,0)),D49)</f>
        <v>0.693147180559945</v>
      </c>
      <c r="H49" s="38" t="n">
        <f aca="false">(E49-AVERAGE(E$5:E$121))/STDEV(E$5:E$121)</f>
        <v>0.238616233785713</v>
      </c>
      <c r="I49" s="38" t="n">
        <f aca="false">(F49-AVERAGE(F$5:F$121))/STDEV(F$5:F$121)</f>
        <v>-0.672650545388274</v>
      </c>
      <c r="J49" s="38" t="n">
        <f aca="false">(G49-AVERAGE(G$5:G$121))/STDEV(G$5:G$121)</f>
        <v>-0.824446015898766</v>
      </c>
    </row>
    <row r="50" customFormat="false" ht="15" hidden="false" customHeight="false" outlineLevel="0" collapsed="false">
      <c r="A50" s="36" t="str">
        <f aca="false">City_Agg!A50</f>
        <v>Bannu</v>
      </c>
      <c r="B50" s="13" t="n">
        <f aca="false">City_Agg!C50</f>
        <v>84</v>
      </c>
      <c r="C50" s="13" t="n">
        <f aca="false">City_Agg!D50</f>
        <v>2</v>
      </c>
      <c r="D50" s="13" t="n">
        <f aca="false">City_Agg!E50</f>
        <v>26</v>
      </c>
      <c r="E50" s="38" t="n">
        <f aca="false">IF(Clustering_Guide!$C$7=1,LN(1+MAX(B50,0)),B50)</f>
        <v>4.44265125649032</v>
      </c>
      <c r="F50" s="38" t="n">
        <f aca="false">IF(Clustering_Guide!$C$7=1,LN(1+MAX(C50,0)),C50)</f>
        <v>1.09861228866811</v>
      </c>
      <c r="G50" s="38" t="n">
        <f aca="false">IF(Clustering_Guide!$C$7=1,LN(1+MAX(D50,0)),D50)</f>
        <v>3.29583686600433</v>
      </c>
      <c r="H50" s="38" t="n">
        <f aca="false">(E50-AVERAGE(E$5:E$121))/STDEV(E$5:E$121)</f>
        <v>0.232528795764548</v>
      </c>
      <c r="I50" s="38" t="n">
        <f aca="false">(F50-AVERAGE(F$5:F$121))/STDEV(F$5:F$121)</f>
        <v>0.160512589624996</v>
      </c>
      <c r="J50" s="38" t="n">
        <f aca="false">(G50-AVERAGE(G$5:G$121))/STDEV(G$5:G$121)</f>
        <v>0.381616717142464</v>
      </c>
    </row>
    <row r="51" customFormat="false" ht="15" hidden="false" customHeight="false" outlineLevel="0" collapsed="false">
      <c r="A51" s="36" t="str">
        <f aca="false">City_Agg!A51</f>
        <v>Lodhran</v>
      </c>
      <c r="B51" s="13" t="n">
        <f aca="false">City_Agg!C51</f>
        <v>79</v>
      </c>
      <c r="C51" s="13" t="n">
        <f aca="false">City_Agg!D51</f>
        <v>0</v>
      </c>
      <c r="D51" s="13" t="n">
        <f aca="false">City_Agg!E51</f>
        <v>0</v>
      </c>
      <c r="E51" s="38" t="n">
        <f aca="false">IF(Clustering_Guide!$C$7=1,LN(1+MAX(B51,0)),B51)</f>
        <v>4.38202663467388</v>
      </c>
      <c r="F51" s="38" t="n">
        <f aca="false">IF(Clustering_Guide!$C$7=1,LN(1+MAX(C51,0)),C51)</f>
        <v>0</v>
      </c>
      <c r="G51" s="38" t="n">
        <f aca="false">IF(Clustering_Guide!$C$7=1,LN(1+MAX(D51,0)),D51)</f>
        <v>0</v>
      </c>
      <c r="H51" s="38" t="n">
        <f aca="false">(E51-AVERAGE(E$5:E$121))/STDEV(E$5:E$121)</f>
        <v>0.200975497781959</v>
      </c>
      <c r="I51" s="38" t="n">
        <f aca="false">(F51-AVERAGE(F$5:F$121))/STDEV(F$5:F$121)</f>
        <v>-0.672650545388274</v>
      </c>
      <c r="J51" s="38" t="n">
        <f aca="false">(G51-AVERAGE(G$5:G$121))/STDEV(G$5:G$121)</f>
        <v>-1.14564411633355</v>
      </c>
    </row>
    <row r="52" customFormat="false" ht="15" hidden="false" customHeight="false" outlineLevel="0" collapsed="false">
      <c r="A52" s="36" t="str">
        <f aca="false">City_Agg!A52</f>
        <v>Jacobabad</v>
      </c>
      <c r="B52" s="13" t="n">
        <f aca="false">City_Agg!C52</f>
        <v>79</v>
      </c>
      <c r="C52" s="13" t="n">
        <f aca="false">City_Agg!D52</f>
        <v>0</v>
      </c>
      <c r="D52" s="13" t="n">
        <f aca="false">City_Agg!E52</f>
        <v>109</v>
      </c>
      <c r="E52" s="38" t="n">
        <f aca="false">IF(Clustering_Guide!$C$7=1,LN(1+MAX(B52,0)),B52)</f>
        <v>4.38202663467388</v>
      </c>
      <c r="F52" s="38" t="n">
        <f aca="false">IF(Clustering_Guide!$C$7=1,LN(1+MAX(C52,0)),C52)</f>
        <v>0</v>
      </c>
      <c r="G52" s="38" t="n">
        <f aca="false">IF(Clustering_Guide!$C$7=1,LN(1+MAX(D52,0)),D52)</f>
        <v>4.70048036579242</v>
      </c>
      <c r="H52" s="38" t="n">
        <f aca="false">(E52-AVERAGE(E$5:E$121))/STDEV(E$5:E$121)</f>
        <v>0.200975497781959</v>
      </c>
      <c r="I52" s="38" t="n">
        <f aca="false">(F52-AVERAGE(F$5:F$121))/STDEV(F$5:F$121)</f>
        <v>-0.672650545388274</v>
      </c>
      <c r="J52" s="38" t="n">
        <f aca="false">(G52-AVERAGE(G$5:G$121))/STDEV(G$5:G$121)</f>
        <v>1.03251574201556</v>
      </c>
    </row>
    <row r="53" customFormat="false" ht="15" hidden="false" customHeight="false" outlineLevel="0" collapsed="false">
      <c r="A53" s="36" t="str">
        <f aca="false">City_Agg!A53</f>
        <v>Skardu</v>
      </c>
      <c r="B53" s="13" t="n">
        <f aca="false">City_Agg!C53</f>
        <v>78</v>
      </c>
      <c r="C53" s="13" t="n">
        <f aca="false">City_Agg!D53</f>
        <v>1</v>
      </c>
      <c r="D53" s="13" t="n">
        <f aca="false">City_Agg!E53</f>
        <v>65</v>
      </c>
      <c r="E53" s="38" t="n">
        <f aca="false">IF(Clustering_Guide!$C$7=1,LN(1+MAX(B53,0)),B53)</f>
        <v>4.36944785246702</v>
      </c>
      <c r="F53" s="38" t="n">
        <f aca="false">IF(Clustering_Guide!$C$7=1,LN(1+MAX(C53,0)),C53)</f>
        <v>0.693147180559945</v>
      </c>
      <c r="G53" s="38" t="n">
        <f aca="false">IF(Clustering_Guide!$C$7=1,LN(1+MAX(D53,0)),D53)</f>
        <v>4.18965474202643</v>
      </c>
      <c r="H53" s="38" t="n">
        <f aca="false">(E53-AVERAGE(E$5:E$121))/STDEV(E$5:E$121)</f>
        <v>0.194428618785618</v>
      </c>
      <c r="I53" s="38" t="n">
        <f aca="false">(F53-AVERAGE(F$5:F$121))/STDEV(F$5:F$121)</f>
        <v>-0.146983133929529</v>
      </c>
      <c r="J53" s="38" t="n">
        <f aca="false">(G53-AVERAGE(G$5:G$121))/STDEV(G$5:G$121)</f>
        <v>0.795803793083582</v>
      </c>
    </row>
    <row r="54" customFormat="false" ht="15" hidden="false" customHeight="false" outlineLevel="0" collapsed="false">
      <c r="A54" s="36" t="str">
        <f aca="false">City_Agg!A54</f>
        <v>Sialkot</v>
      </c>
      <c r="B54" s="13" t="n">
        <f aca="false">City_Agg!C54</f>
        <v>78</v>
      </c>
      <c r="C54" s="13" t="n">
        <f aca="false">City_Agg!D54</f>
        <v>0</v>
      </c>
      <c r="D54" s="13" t="n">
        <f aca="false">City_Agg!E54</f>
        <v>0</v>
      </c>
      <c r="E54" s="38" t="n">
        <f aca="false">IF(Clustering_Guide!$C$7=1,LN(1+MAX(B54,0)),B54)</f>
        <v>4.36944785246702</v>
      </c>
      <c r="F54" s="38" t="n">
        <f aca="false">IF(Clustering_Guide!$C$7=1,LN(1+MAX(C54,0)),C54)</f>
        <v>0</v>
      </c>
      <c r="G54" s="38" t="n">
        <f aca="false">IF(Clustering_Guide!$C$7=1,LN(1+MAX(D54,0)),D54)</f>
        <v>0</v>
      </c>
      <c r="H54" s="38" t="n">
        <f aca="false">(E54-AVERAGE(E$5:E$121))/STDEV(E$5:E$121)</f>
        <v>0.194428618785618</v>
      </c>
      <c r="I54" s="38" t="n">
        <f aca="false">(F54-AVERAGE(F$5:F$121))/STDEV(F$5:F$121)</f>
        <v>-0.672650545388274</v>
      </c>
      <c r="J54" s="38" t="n">
        <f aca="false">(G54-AVERAGE(G$5:G$121))/STDEV(G$5:G$121)</f>
        <v>-1.14564411633355</v>
      </c>
    </row>
    <row r="55" customFormat="false" ht="15" hidden="false" customHeight="false" outlineLevel="0" collapsed="false">
      <c r="A55" s="36" t="str">
        <f aca="false">City_Agg!A55</f>
        <v>Faisalabad</v>
      </c>
      <c r="B55" s="13" t="n">
        <f aca="false">City_Agg!C55</f>
        <v>77</v>
      </c>
      <c r="C55" s="13" t="n">
        <f aca="false">City_Agg!D55</f>
        <v>0</v>
      </c>
      <c r="D55" s="13" t="n">
        <f aca="false">City_Agg!E55</f>
        <v>0</v>
      </c>
      <c r="E55" s="38" t="n">
        <f aca="false">IF(Clustering_Guide!$C$7=1,LN(1+MAX(B55,0)),B55)</f>
        <v>4.35670882668959</v>
      </c>
      <c r="F55" s="38" t="n">
        <f aca="false">IF(Clustering_Guide!$C$7=1,LN(1+MAX(C55,0)),C55)</f>
        <v>0</v>
      </c>
      <c r="G55" s="38" t="n">
        <f aca="false">IF(Clustering_Guide!$C$7=1,LN(1+MAX(D55,0)),D55)</f>
        <v>0</v>
      </c>
      <c r="H55" s="38" t="n">
        <f aca="false">(E55-AVERAGE(E$5:E$121))/STDEV(E$5:E$121)</f>
        <v>0.187798337815286</v>
      </c>
      <c r="I55" s="38" t="n">
        <f aca="false">(F55-AVERAGE(F$5:F$121))/STDEV(F$5:F$121)</f>
        <v>-0.672650545388274</v>
      </c>
      <c r="J55" s="38" t="n">
        <f aca="false">(G55-AVERAGE(G$5:G$121))/STDEV(G$5:G$121)</f>
        <v>-1.14564411633355</v>
      </c>
    </row>
    <row r="56" customFormat="false" ht="15" hidden="false" customHeight="false" outlineLevel="0" collapsed="false">
      <c r="A56" s="36" t="str">
        <f aca="false">City_Agg!A56</f>
        <v>Jhelum</v>
      </c>
      <c r="B56" s="13" t="n">
        <f aca="false">City_Agg!C56</f>
        <v>74</v>
      </c>
      <c r="C56" s="13" t="n">
        <f aca="false">City_Agg!D56</f>
        <v>0</v>
      </c>
      <c r="D56" s="13" t="n">
        <f aca="false">City_Agg!E56</f>
        <v>3</v>
      </c>
      <c r="E56" s="38" t="n">
        <f aca="false">IF(Clustering_Guide!$C$7=1,LN(1+MAX(B56,0)),B56)</f>
        <v>4.31748811353631</v>
      </c>
      <c r="F56" s="38" t="n">
        <f aca="false">IF(Clustering_Guide!$C$7=1,LN(1+MAX(C56,0)),C56)</f>
        <v>0</v>
      </c>
      <c r="G56" s="38" t="n">
        <f aca="false">IF(Clustering_Guide!$C$7=1,LN(1+MAX(D56,0)),D56)</f>
        <v>1.38629436111989</v>
      </c>
      <c r="H56" s="38" t="n">
        <f aca="false">(E56-AVERAGE(E$5:E$121))/STDEV(E$5:E$121)</f>
        <v>0.167385132550892</v>
      </c>
      <c r="I56" s="38" t="n">
        <f aca="false">(F56-AVERAGE(F$5:F$121))/STDEV(F$5:F$121)</f>
        <v>-0.672650545388274</v>
      </c>
      <c r="J56" s="38" t="n">
        <f aca="false">(G56-AVERAGE(G$5:G$121))/STDEV(G$5:G$121)</f>
        <v>-0.503247915463979</v>
      </c>
    </row>
    <row r="57" customFormat="false" ht="15" hidden="false" customHeight="false" outlineLevel="0" collapsed="false">
      <c r="A57" s="36" t="str">
        <f aca="false">City_Agg!A57</f>
        <v>Vehari</v>
      </c>
      <c r="B57" s="13" t="n">
        <f aca="false">City_Agg!C57</f>
        <v>72</v>
      </c>
      <c r="C57" s="13" t="n">
        <f aca="false">City_Agg!D57</f>
        <v>0</v>
      </c>
      <c r="D57" s="13" t="n">
        <f aca="false">City_Agg!E57</f>
        <v>6</v>
      </c>
      <c r="E57" s="38" t="n">
        <f aca="false">IF(Clustering_Guide!$C$7=1,LN(1+MAX(B57,0)),B57)</f>
        <v>4.29045944114839</v>
      </c>
      <c r="F57" s="38" t="n">
        <f aca="false">IF(Clustering_Guide!$C$7=1,LN(1+MAX(C57,0)),C57)</f>
        <v>0</v>
      </c>
      <c r="G57" s="38" t="n">
        <f aca="false">IF(Clustering_Guide!$C$7=1,LN(1+MAX(D57,0)),D57)</f>
        <v>1.94591014905531</v>
      </c>
      <c r="H57" s="38" t="n">
        <f aca="false">(E57-AVERAGE(E$5:E$121))/STDEV(E$5:E$121)</f>
        <v>0.153317518957985</v>
      </c>
      <c r="I57" s="38" t="n">
        <f aca="false">(F57-AVERAGE(F$5:F$121))/STDEV(F$5:F$121)</f>
        <v>-0.672650545388274</v>
      </c>
      <c r="J57" s="38" t="n">
        <f aca="false">(G57-AVERAGE(G$5:G$121))/STDEV(G$5:G$121)</f>
        <v>-0.2439270481224</v>
      </c>
    </row>
    <row r="58" customFormat="false" ht="15" hidden="false" customHeight="false" outlineLevel="0" collapsed="false">
      <c r="A58" s="36" t="str">
        <f aca="false">City_Agg!A58</f>
        <v>Astore</v>
      </c>
      <c r="B58" s="13" t="n">
        <f aca="false">City_Agg!C58</f>
        <v>69</v>
      </c>
      <c r="C58" s="13" t="n">
        <f aca="false">City_Agg!D58</f>
        <v>14</v>
      </c>
      <c r="D58" s="13" t="n">
        <f aca="false">City_Agg!E58</f>
        <v>62</v>
      </c>
      <c r="E58" s="38" t="n">
        <f aca="false">IF(Clustering_Guide!$C$7=1,LN(1+MAX(B58,0)),B58)</f>
        <v>4.24849524204936</v>
      </c>
      <c r="F58" s="38" t="n">
        <f aca="false">IF(Clustering_Guide!$C$7=1,LN(1+MAX(C58,0)),C58)</f>
        <v>2.70805020110221</v>
      </c>
      <c r="G58" s="38" t="n">
        <f aca="false">IF(Clustering_Guide!$C$7=1,LN(1+MAX(D58,0)),D58)</f>
        <v>4.14313472639153</v>
      </c>
      <c r="H58" s="38" t="n">
        <f aca="false">(E58-AVERAGE(E$5:E$121))/STDEV(E$5:E$121)</f>
        <v>0.131476411515176</v>
      </c>
      <c r="I58" s="38" t="n">
        <f aca="false">(F58-AVERAGE(F$5:F$121))/STDEV(F$5:F$121)</f>
        <v>1.38107452085777</v>
      </c>
      <c r="J58" s="38" t="n">
        <f aca="false">(G58-AVERAGE(G$5:G$121))/STDEV(G$5:G$121)</f>
        <v>0.774246840861612</v>
      </c>
    </row>
    <row r="59" customFormat="false" ht="15" hidden="false" customHeight="false" outlineLevel="0" collapsed="false">
      <c r="A59" s="36" t="str">
        <f aca="false">City_Agg!A59</f>
        <v>Sanghar</v>
      </c>
      <c r="B59" s="13" t="n">
        <f aca="false">City_Agg!C59</f>
        <v>65</v>
      </c>
      <c r="C59" s="13" t="n">
        <f aca="false">City_Agg!D59</f>
        <v>1</v>
      </c>
      <c r="D59" s="13" t="n">
        <f aca="false">City_Agg!E59</f>
        <v>44</v>
      </c>
      <c r="E59" s="38" t="n">
        <f aca="false">IF(Clustering_Guide!$C$7=1,LN(1+MAX(B59,0)),B59)</f>
        <v>4.18965474202643</v>
      </c>
      <c r="F59" s="38" t="n">
        <f aca="false">IF(Clustering_Guide!$C$7=1,LN(1+MAX(C59,0)),C59)</f>
        <v>0.693147180559945</v>
      </c>
      <c r="G59" s="38" t="n">
        <f aca="false">IF(Clustering_Guide!$C$7=1,LN(1+MAX(D59,0)),D59)</f>
        <v>3.80666248977032</v>
      </c>
      <c r="H59" s="38" t="n">
        <f aca="false">(E59-AVERAGE(E$5:E$121))/STDEV(E$5:E$121)</f>
        <v>0.100851695433816</v>
      </c>
      <c r="I59" s="38" t="n">
        <f aca="false">(F59-AVERAGE(F$5:F$121))/STDEV(F$5:F$121)</f>
        <v>-0.146983133929529</v>
      </c>
      <c r="J59" s="38" t="n">
        <f aca="false">(G59-AVERAGE(G$5:G$121))/STDEV(G$5:G$121)</f>
        <v>0.618328666074444</v>
      </c>
    </row>
    <row r="60" customFormat="false" ht="15" hidden="false" customHeight="false" outlineLevel="0" collapsed="false">
      <c r="A60" s="36" t="str">
        <f aca="false">City_Agg!A60</f>
        <v>Bhakkar</v>
      </c>
      <c r="B60" s="13" t="n">
        <f aca="false">City_Agg!C60</f>
        <v>63</v>
      </c>
      <c r="C60" s="13" t="n">
        <f aca="false">City_Agg!D60</f>
        <v>0</v>
      </c>
      <c r="D60" s="13" t="n">
        <f aca="false">City_Agg!E60</f>
        <v>0</v>
      </c>
      <c r="E60" s="38" t="n">
        <f aca="false">IF(Clustering_Guide!$C$7=1,LN(1+MAX(B60,0)),B60)</f>
        <v>4.15888308335967</v>
      </c>
      <c r="F60" s="38" t="n">
        <f aca="false">IF(Clustering_Guide!$C$7=1,LN(1+MAX(C60,0)),C60)</f>
        <v>0</v>
      </c>
      <c r="G60" s="38" t="n">
        <f aca="false">IF(Clustering_Guide!$C$7=1,LN(1+MAX(D60,0)),D60)</f>
        <v>0</v>
      </c>
      <c r="H60" s="38" t="n">
        <f aca="false">(E60-AVERAGE(E$5:E$121))/STDEV(E$5:E$121)</f>
        <v>0.0848359697065613</v>
      </c>
      <c r="I60" s="38" t="n">
        <f aca="false">(F60-AVERAGE(F$5:F$121))/STDEV(F$5:F$121)</f>
        <v>-0.672650545388274</v>
      </c>
      <c r="J60" s="38" t="n">
        <f aca="false">(G60-AVERAGE(G$5:G$121))/STDEV(G$5:G$121)</f>
        <v>-1.14564411633355</v>
      </c>
    </row>
    <row r="61" customFormat="false" ht="15" hidden="false" customHeight="false" outlineLevel="0" collapsed="false">
      <c r="A61" s="36" t="str">
        <f aca="false">City_Agg!A61</f>
        <v>Muzaffargar</v>
      </c>
      <c r="B61" s="13" t="n">
        <f aca="false">City_Agg!C61</f>
        <v>61</v>
      </c>
      <c r="C61" s="13" t="n">
        <f aca="false">City_Agg!D61</f>
        <v>0</v>
      </c>
      <c r="D61" s="13" t="n">
        <f aca="false">City_Agg!E61</f>
        <v>0</v>
      </c>
      <c r="E61" s="38" t="n">
        <f aca="false">IF(Clustering_Guide!$C$7=1,LN(1+MAX(B61,0)),B61)</f>
        <v>4.12713438504509</v>
      </c>
      <c r="F61" s="38" t="n">
        <f aca="false">IF(Clustering_Guide!$C$7=1,LN(1+MAX(C61,0)),C61)</f>
        <v>0</v>
      </c>
      <c r="G61" s="38" t="n">
        <f aca="false">IF(Clustering_Guide!$C$7=1,LN(1+MAX(D61,0)),D61)</f>
        <v>0</v>
      </c>
      <c r="H61" s="38" t="n">
        <f aca="false">(E61-AVERAGE(E$5:E$121))/STDEV(E$5:E$121)</f>
        <v>0.0683117241366259</v>
      </c>
      <c r="I61" s="38" t="n">
        <f aca="false">(F61-AVERAGE(F$5:F$121))/STDEV(F$5:F$121)</f>
        <v>-0.672650545388274</v>
      </c>
      <c r="J61" s="38" t="n">
        <f aca="false">(G61-AVERAGE(G$5:G$121))/STDEV(G$5:G$121)</f>
        <v>-1.14564411633355</v>
      </c>
    </row>
    <row r="62" customFormat="false" ht="15" hidden="false" customHeight="false" outlineLevel="0" collapsed="false">
      <c r="A62" s="36" t="str">
        <f aca="false">City_Agg!A62</f>
        <v>Badin</v>
      </c>
      <c r="B62" s="13" t="n">
        <f aca="false">City_Agg!C62</f>
        <v>56</v>
      </c>
      <c r="C62" s="13" t="n">
        <f aca="false">City_Agg!D62</f>
        <v>4</v>
      </c>
      <c r="D62" s="13" t="n">
        <f aca="false">City_Agg!E62</f>
        <v>11</v>
      </c>
      <c r="E62" s="38" t="n">
        <f aca="false">IF(Clustering_Guide!$C$7=1,LN(1+MAX(B62,0)),B62)</f>
        <v>4.04305126783455</v>
      </c>
      <c r="F62" s="38" t="n">
        <f aca="false">IF(Clustering_Guide!$C$7=1,LN(1+MAX(C62,0)),C62)</f>
        <v>1.6094379124341</v>
      </c>
      <c r="G62" s="38" t="n">
        <f aca="false">IF(Clustering_Guide!$C$7=1,LN(1+MAX(D62,0)),D62)</f>
        <v>2.484906649788</v>
      </c>
      <c r="H62" s="38" t="n">
        <f aca="false">(E62-AVERAGE(E$5:E$121))/STDEV(E$5:E$121)</f>
        <v>0.0245489826438638</v>
      </c>
      <c r="I62" s="38" t="n">
        <f aca="false">(F62-AVERAGE(F$5:F$121))/STDEV(F$5:F$121)</f>
        <v>0.547911385844501</v>
      </c>
      <c r="J62" s="38" t="n">
        <f aca="false">(G62-AVERAGE(G$5:G$121))/STDEV(G$5:G$121)</f>
        <v>0.00583902902802759</v>
      </c>
    </row>
    <row r="63" customFormat="false" ht="15" hidden="false" customHeight="false" outlineLevel="0" collapsed="false">
      <c r="A63" s="36" t="str">
        <f aca="false">City_Agg!A63</f>
        <v>Bahawalpur</v>
      </c>
      <c r="B63" s="13" t="n">
        <f aca="false">City_Agg!C63</f>
        <v>54</v>
      </c>
      <c r="C63" s="13" t="n">
        <f aca="false">City_Agg!D63</f>
        <v>0</v>
      </c>
      <c r="D63" s="13" t="n">
        <f aca="false">City_Agg!E63</f>
        <v>4</v>
      </c>
      <c r="E63" s="38" t="n">
        <f aca="false">IF(Clustering_Guide!$C$7=1,LN(1+MAX(B63,0)),B63)</f>
        <v>4.00733318523247</v>
      </c>
      <c r="F63" s="38" t="n">
        <f aca="false">IF(Clustering_Guide!$C$7=1,LN(1+MAX(C63,0)),C63)</f>
        <v>0</v>
      </c>
      <c r="G63" s="38" t="n">
        <f aca="false">IF(Clustering_Guide!$C$7=1,LN(1+MAX(D63,0)),D63)</f>
        <v>1.6094379124341</v>
      </c>
      <c r="H63" s="38" t="n">
        <f aca="false">(E63-AVERAGE(E$5:E$121))/STDEV(E$5:E$121)</f>
        <v>0.00595879156403144</v>
      </c>
      <c r="I63" s="38" t="n">
        <f aca="false">(F63-AVERAGE(F$5:F$121))/STDEV(F$5:F$121)</f>
        <v>-0.672650545388274</v>
      </c>
      <c r="J63" s="38" t="n">
        <f aca="false">(G63-AVERAGE(G$5:G$121))/STDEV(G$5:G$121)</f>
        <v>-0.399845222909568</v>
      </c>
    </row>
    <row r="64" customFormat="false" ht="15" hidden="false" customHeight="false" outlineLevel="0" collapsed="false">
      <c r="A64" s="36" t="str">
        <f aca="false">City_Agg!A64</f>
        <v>Dadu</v>
      </c>
      <c r="B64" s="13" t="n">
        <f aca="false">City_Agg!C64</f>
        <v>53</v>
      </c>
      <c r="C64" s="13" t="n">
        <f aca="false">City_Agg!D64</f>
        <v>0</v>
      </c>
      <c r="D64" s="13" t="n">
        <f aca="false">City_Agg!E64</f>
        <v>25</v>
      </c>
      <c r="E64" s="38" t="n">
        <f aca="false">IF(Clustering_Guide!$C$7=1,LN(1+MAX(B64,0)),B64)</f>
        <v>3.98898404656427</v>
      </c>
      <c r="F64" s="38" t="n">
        <f aca="false">IF(Clustering_Guide!$C$7=1,LN(1+MAX(C64,0)),C64)</f>
        <v>0</v>
      </c>
      <c r="G64" s="38" t="n">
        <f aca="false">IF(Clustering_Guide!$C$7=1,LN(1+MAX(D64,0)),D64)</f>
        <v>3.25809653802148</v>
      </c>
      <c r="H64" s="38" t="n">
        <f aca="false">(E64-AVERAGE(E$5:E$121))/STDEV(E$5:E$121)</f>
        <v>-0.00359138496118499</v>
      </c>
      <c r="I64" s="38" t="n">
        <f aca="false">(F64-AVERAGE(F$5:F$121))/STDEV(F$5:F$121)</f>
        <v>-0.672650545388274</v>
      </c>
      <c r="J64" s="38" t="n">
        <f aca="false">(G64-AVERAGE(G$5:G$121))/STDEV(G$5:G$121)</f>
        <v>0.364128192341594</v>
      </c>
    </row>
    <row r="65" customFormat="false" ht="15" hidden="false" customHeight="false" outlineLevel="0" collapsed="false">
      <c r="A65" s="36" t="str">
        <f aca="false">City_Agg!A65</f>
        <v>Other</v>
      </c>
      <c r="B65" s="13" t="n">
        <f aca="false">City_Agg!C65</f>
        <v>50</v>
      </c>
      <c r="C65" s="13" t="n">
        <f aca="false">City_Agg!D65</f>
        <v>4</v>
      </c>
      <c r="D65" s="13" t="n">
        <f aca="false">City_Agg!E65</f>
        <v>34</v>
      </c>
      <c r="E65" s="38" t="n">
        <f aca="false">IF(Clustering_Guide!$C$7=1,LN(1+MAX(B65,0)),B65)</f>
        <v>3.93182563272433</v>
      </c>
      <c r="F65" s="38" t="n">
        <f aca="false">IF(Clustering_Guide!$C$7=1,LN(1+MAX(C65,0)),C65)</f>
        <v>1.6094379124341</v>
      </c>
      <c r="G65" s="38" t="n">
        <f aca="false">IF(Clustering_Guide!$C$7=1,LN(1+MAX(D65,0)),D65)</f>
        <v>3.55534806148941</v>
      </c>
      <c r="H65" s="38" t="n">
        <f aca="false">(E65-AVERAGE(E$5:E$121))/STDEV(E$5:E$121)</f>
        <v>-0.0333406256173151</v>
      </c>
      <c r="I65" s="38" t="n">
        <f aca="false">(F65-AVERAGE(F$5:F$121))/STDEV(F$5:F$121)</f>
        <v>0.547911385844501</v>
      </c>
      <c r="J65" s="38" t="n">
        <f aca="false">(G65-AVERAGE(G$5:G$121))/STDEV(G$5:G$121)</f>
        <v>0.501871845301586</v>
      </c>
    </row>
    <row r="66" customFormat="false" ht="15" hidden="false" customHeight="false" outlineLevel="0" collapsed="false">
      <c r="A66" s="36" t="str">
        <f aca="false">City_Agg!A66</f>
        <v>Thatta</v>
      </c>
      <c r="B66" s="13" t="n">
        <f aca="false">City_Agg!C66</f>
        <v>49</v>
      </c>
      <c r="C66" s="13" t="n">
        <f aca="false">City_Agg!D66</f>
        <v>2</v>
      </c>
      <c r="D66" s="13" t="n">
        <f aca="false">City_Agg!E66</f>
        <v>12</v>
      </c>
      <c r="E66" s="38" t="n">
        <f aca="false">IF(Clustering_Guide!$C$7=1,LN(1+MAX(B66,0)),B66)</f>
        <v>3.91202300542815</v>
      </c>
      <c r="F66" s="38" t="n">
        <f aca="false">IF(Clustering_Guide!$C$7=1,LN(1+MAX(C66,0)),C66)</f>
        <v>1.09861228866811</v>
      </c>
      <c r="G66" s="38" t="n">
        <f aca="false">IF(Clustering_Guide!$C$7=1,LN(1+MAX(D66,0)),D66)</f>
        <v>2.56494935746154</v>
      </c>
      <c r="H66" s="38" t="n">
        <f aca="false">(E66-AVERAGE(E$5:E$121))/STDEV(E$5:E$121)</f>
        <v>-0.0436472993942904</v>
      </c>
      <c r="I66" s="38" t="n">
        <f aca="false">(F66-AVERAGE(F$5:F$121))/STDEV(F$5:F$121)</f>
        <v>0.160512589624996</v>
      </c>
      <c r="J66" s="38" t="n">
        <f aca="false">(G66-AVERAGE(G$5:G$121))/STDEV(G$5:G$121)</f>
        <v>0.042930091906806</v>
      </c>
    </row>
    <row r="67" customFormat="false" ht="15" hidden="false" customHeight="false" outlineLevel="0" collapsed="false">
      <c r="A67" s="36" t="str">
        <f aca="false">City_Agg!A67</f>
        <v>Hafizabad</v>
      </c>
      <c r="B67" s="13" t="n">
        <f aca="false">City_Agg!C67</f>
        <v>47</v>
      </c>
      <c r="C67" s="13" t="n">
        <f aca="false">City_Agg!D67</f>
        <v>0</v>
      </c>
      <c r="D67" s="13" t="n">
        <f aca="false">City_Agg!E67</f>
        <v>1</v>
      </c>
      <c r="E67" s="38" t="n">
        <f aca="false">IF(Clustering_Guide!$C$7=1,LN(1+MAX(B67,0)),B67)</f>
        <v>3.87120101090789</v>
      </c>
      <c r="F67" s="38" t="n">
        <f aca="false">IF(Clustering_Guide!$C$7=1,LN(1+MAX(C67,0)),C67)</f>
        <v>0</v>
      </c>
      <c r="G67" s="38" t="n">
        <f aca="false">IF(Clustering_Guide!$C$7=1,LN(1+MAX(D67,0)),D67)</f>
        <v>0.693147180559945</v>
      </c>
      <c r="H67" s="38" t="n">
        <f aca="false">(E67-AVERAGE(E$5:E$121))/STDEV(E$5:E$121)</f>
        <v>-0.0648939235999031</v>
      </c>
      <c r="I67" s="38" t="n">
        <f aca="false">(F67-AVERAGE(F$5:F$121))/STDEV(F$5:F$121)</f>
        <v>-0.672650545388274</v>
      </c>
      <c r="J67" s="38" t="n">
        <f aca="false">(G67-AVERAGE(G$5:G$121))/STDEV(G$5:G$121)</f>
        <v>-0.824446015898766</v>
      </c>
    </row>
    <row r="68" customFormat="false" ht="15" hidden="false" customHeight="false" outlineLevel="0" collapsed="false">
      <c r="A68" s="36" t="str">
        <f aca="false">City_Agg!A68</f>
        <v>Mirpurkhas</v>
      </c>
      <c r="B68" s="13" t="n">
        <f aca="false">City_Agg!C68</f>
        <v>44</v>
      </c>
      <c r="C68" s="13" t="n">
        <f aca="false">City_Agg!D68</f>
        <v>2</v>
      </c>
      <c r="D68" s="13" t="n">
        <f aca="false">City_Agg!E68</f>
        <v>20</v>
      </c>
      <c r="E68" s="38" t="n">
        <f aca="false">IF(Clustering_Guide!$C$7=1,LN(1+MAX(B68,0)),B68)</f>
        <v>3.80666248977032</v>
      </c>
      <c r="F68" s="38" t="n">
        <f aca="false">IF(Clustering_Guide!$C$7=1,LN(1+MAX(C68,0)),C68)</f>
        <v>1.09861228866811</v>
      </c>
      <c r="G68" s="38" t="n">
        <f aca="false">IF(Clustering_Guide!$C$7=1,LN(1+MAX(D68,0)),D68)</f>
        <v>3.04452243772342</v>
      </c>
      <c r="H68" s="38" t="n">
        <f aca="false">(E68-AVERAGE(E$5:E$121))/STDEV(E$5:E$121)</f>
        <v>-0.0984842888309702</v>
      </c>
      <c r="I68" s="38" t="n">
        <f aca="false">(F68-AVERAGE(F$5:F$121))/STDEV(F$5:F$121)</f>
        <v>0.160512589624996</v>
      </c>
      <c r="J68" s="38" t="n">
        <f aca="false">(G68-AVERAGE(G$5:G$121))/STDEV(G$5:G$121)</f>
        <v>0.265159896369606</v>
      </c>
    </row>
    <row r="69" customFormat="false" ht="15" hidden="false" customHeight="false" outlineLevel="0" collapsed="false">
      <c r="A69" s="36" t="str">
        <f aca="false">City_Agg!A69</f>
        <v>Kashmore</v>
      </c>
      <c r="B69" s="13" t="n">
        <f aca="false">City_Agg!C69</f>
        <v>43</v>
      </c>
      <c r="C69" s="13" t="n">
        <f aca="false">City_Agg!D69</f>
        <v>1</v>
      </c>
      <c r="D69" s="13" t="n">
        <f aca="false">City_Agg!E69</f>
        <v>26</v>
      </c>
      <c r="E69" s="38" t="n">
        <f aca="false">IF(Clustering_Guide!$C$7=1,LN(1+MAX(B69,0)),B69)</f>
        <v>3.78418963391826</v>
      </c>
      <c r="F69" s="38" t="n">
        <f aca="false">IF(Clustering_Guide!$C$7=1,LN(1+MAX(C69,0)),C69)</f>
        <v>0.693147180559945</v>
      </c>
      <c r="G69" s="38" t="n">
        <f aca="false">IF(Clustering_Guide!$C$7=1,LN(1+MAX(D69,0)),D69)</f>
        <v>3.29583686600433</v>
      </c>
      <c r="H69" s="38" t="n">
        <f aca="false">(E69-AVERAGE(E$5:E$121))/STDEV(E$5:E$121)</f>
        <v>-0.110180736511367</v>
      </c>
      <c r="I69" s="38" t="n">
        <f aca="false">(F69-AVERAGE(F$5:F$121))/STDEV(F$5:F$121)</f>
        <v>-0.146983133929529</v>
      </c>
      <c r="J69" s="38" t="n">
        <f aca="false">(G69-AVERAGE(G$5:G$121))/STDEV(G$5:G$121)</f>
        <v>0.381616717142464</v>
      </c>
    </row>
    <row r="70" customFormat="false" ht="15" hidden="false" customHeight="false" outlineLevel="0" collapsed="false">
      <c r="A70" s="36" t="str">
        <f aca="false">City_Agg!A70</f>
        <v>Naushero Feroz</v>
      </c>
      <c r="B70" s="13" t="n">
        <f aca="false">City_Agg!C70</f>
        <v>41</v>
      </c>
      <c r="C70" s="13" t="n">
        <f aca="false">City_Agg!D70</f>
        <v>1</v>
      </c>
      <c r="D70" s="13" t="n">
        <f aca="false">City_Agg!E70</f>
        <v>29</v>
      </c>
      <c r="E70" s="38" t="n">
        <f aca="false">IF(Clustering_Guide!$C$7=1,LN(1+MAX(B70,0)),B70)</f>
        <v>3.73766961828337</v>
      </c>
      <c r="F70" s="38" t="n">
        <f aca="false">IF(Clustering_Guide!$C$7=1,LN(1+MAX(C70,0)),C70)</f>
        <v>0.693147180559945</v>
      </c>
      <c r="G70" s="38" t="n">
        <f aca="false">IF(Clustering_Guide!$C$7=1,LN(1+MAX(D70,0)),D70)</f>
        <v>3.40119738166216</v>
      </c>
      <c r="H70" s="38" t="n">
        <f aca="false">(E70-AVERAGE(E$5:E$121))/STDEV(E$5:E$121)</f>
        <v>-0.134393009866687</v>
      </c>
      <c r="I70" s="38" t="n">
        <f aca="false">(F70-AVERAGE(F$5:F$121))/STDEV(F$5:F$121)</f>
        <v>-0.146983133929529</v>
      </c>
      <c r="J70" s="38" t="n">
        <f aca="false">(G70-AVERAGE(G$5:G$121))/STDEV(G$5:G$121)</f>
        <v>0.430439822017226</v>
      </c>
    </row>
    <row r="71" customFormat="false" ht="15" hidden="false" customHeight="false" outlineLevel="0" collapsed="false">
      <c r="A71" s="36" t="str">
        <f aca="false">City_Agg!A71</f>
        <v>Tando M. Khan</v>
      </c>
      <c r="B71" s="13" t="n">
        <f aca="false">City_Agg!C71</f>
        <v>38</v>
      </c>
      <c r="C71" s="13" t="n">
        <f aca="false">City_Agg!D71</f>
        <v>0</v>
      </c>
      <c r="D71" s="13" t="n">
        <f aca="false">City_Agg!E71</f>
        <v>42</v>
      </c>
      <c r="E71" s="38" t="n">
        <f aca="false">IF(Clustering_Guide!$C$7=1,LN(1+MAX(B71,0)),B71)</f>
        <v>3.66356164612965</v>
      </c>
      <c r="F71" s="38" t="n">
        <f aca="false">IF(Clustering_Guide!$C$7=1,LN(1+MAX(C71,0)),C71)</f>
        <v>0</v>
      </c>
      <c r="G71" s="38" t="n">
        <f aca="false">IF(Clustering_Guide!$C$7=1,LN(1+MAX(D71,0)),D71)</f>
        <v>3.76120011569356</v>
      </c>
      <c r="H71" s="38" t="n">
        <f aca="false">(E71-AVERAGE(E$5:E$121))/STDEV(E$5:E$121)</f>
        <v>-0.172963987436362</v>
      </c>
      <c r="I71" s="38" t="n">
        <f aca="false">(F71-AVERAGE(F$5:F$121))/STDEV(F$5:F$121)</f>
        <v>-0.672650545388274</v>
      </c>
      <c r="J71" s="38" t="n">
        <f aca="false">(G71-AVERAGE(G$5:G$121))/STDEV(G$5:G$121)</f>
        <v>0.597261815332999</v>
      </c>
    </row>
    <row r="72" customFormat="false" ht="15" hidden="false" customHeight="false" outlineLevel="0" collapsed="false">
      <c r="A72" s="36" t="str">
        <f aca="false">City_Agg!A72</f>
        <v>Chitral Lower</v>
      </c>
      <c r="B72" s="13" t="n">
        <f aca="false">City_Agg!C72</f>
        <v>35</v>
      </c>
      <c r="C72" s="13" t="n">
        <f aca="false">City_Agg!D72</f>
        <v>0</v>
      </c>
      <c r="D72" s="13" t="n">
        <f aca="false">City_Agg!E72</f>
        <v>17</v>
      </c>
      <c r="E72" s="38" t="n">
        <f aca="false">IF(Clustering_Guide!$C$7=1,LN(1+MAX(B72,0)),B72)</f>
        <v>3.58351893845611</v>
      </c>
      <c r="F72" s="38" t="n">
        <f aca="false">IF(Clustering_Guide!$C$7=1,LN(1+MAX(C72,0)),C72)</f>
        <v>0</v>
      </c>
      <c r="G72" s="38" t="n">
        <f aca="false">IF(Clustering_Guide!$C$7=1,LN(1+MAX(D72,0)),D72)</f>
        <v>2.89037175789616</v>
      </c>
      <c r="H72" s="38" t="n">
        <f aca="false">(E72-AVERAGE(E$5:E$121))/STDEV(E$5:E$121)</f>
        <v>-0.214623816906368</v>
      </c>
      <c r="I72" s="38" t="n">
        <f aca="false">(F72-AVERAGE(F$5:F$121))/STDEV(F$5:F$121)</f>
        <v>-0.672650545388274</v>
      </c>
      <c r="J72" s="38" t="n">
        <f aca="false">(G72-AVERAGE(G$5:G$121))/STDEV(G$5:G$121)</f>
        <v>0.193727873085246</v>
      </c>
    </row>
    <row r="73" customFormat="false" ht="15" hidden="false" customHeight="false" outlineLevel="0" collapsed="false">
      <c r="A73" s="36" t="str">
        <f aca="false">City_Agg!A73</f>
        <v>Sujawal</v>
      </c>
      <c r="B73" s="13" t="n">
        <f aca="false">City_Agg!C73</f>
        <v>35</v>
      </c>
      <c r="C73" s="13" t="n">
        <f aca="false">City_Agg!D73</f>
        <v>0</v>
      </c>
      <c r="D73" s="13" t="n">
        <f aca="false">City_Agg!E73</f>
        <v>14</v>
      </c>
      <c r="E73" s="38" t="n">
        <f aca="false">IF(Clustering_Guide!$C$7=1,LN(1+MAX(B73,0)),B73)</f>
        <v>3.58351893845611</v>
      </c>
      <c r="F73" s="38" t="n">
        <f aca="false">IF(Clustering_Guide!$C$7=1,LN(1+MAX(C73,0)),C73)</f>
        <v>0</v>
      </c>
      <c r="G73" s="38" t="n">
        <f aca="false">IF(Clustering_Guide!$C$7=1,LN(1+MAX(D73,0)),D73)</f>
        <v>2.70805020110221</v>
      </c>
      <c r="H73" s="38" t="n">
        <f aca="false">(E73-AVERAGE(E$5:E$121))/STDEV(E$5:E$121)</f>
        <v>-0.214623816906368</v>
      </c>
      <c r="I73" s="38" t="n">
        <f aca="false">(F73-AVERAGE(F$5:F$121))/STDEV(F$5:F$121)</f>
        <v>-0.672650545388274</v>
      </c>
      <c r="J73" s="38" t="n">
        <f aca="false">(G73-AVERAGE(G$5:G$121))/STDEV(G$5:G$121)</f>
        <v>0.109241721582438</v>
      </c>
    </row>
    <row r="74" customFormat="false" ht="15" hidden="false" customHeight="false" outlineLevel="0" collapsed="false">
      <c r="A74" s="36" t="str">
        <f aca="false">City_Agg!A74</f>
        <v>Laiya</v>
      </c>
      <c r="B74" s="13" t="n">
        <f aca="false">City_Agg!C74</f>
        <v>32</v>
      </c>
      <c r="C74" s="13" t="n">
        <f aca="false">City_Agg!D74</f>
        <v>0</v>
      </c>
      <c r="D74" s="13" t="n">
        <f aca="false">City_Agg!E74</f>
        <v>0</v>
      </c>
      <c r="E74" s="38" t="n">
        <f aca="false">IF(Clustering_Guide!$C$7=1,LN(1+MAX(B74,0)),B74)</f>
        <v>3.49650756146648</v>
      </c>
      <c r="F74" s="38" t="n">
        <f aca="false">IF(Clustering_Guide!$C$7=1,LN(1+MAX(C74,0)),C74)</f>
        <v>0</v>
      </c>
      <c r="G74" s="38" t="n">
        <f aca="false">IF(Clustering_Guide!$C$7=1,LN(1+MAX(D74,0)),D74)</f>
        <v>0</v>
      </c>
      <c r="H74" s="38" t="n">
        <f aca="false">(E74-AVERAGE(E$5:E$121))/STDEV(E$5:E$121)</f>
        <v>-0.259910629817831</v>
      </c>
      <c r="I74" s="38" t="n">
        <f aca="false">(F74-AVERAGE(F$5:F$121))/STDEV(F$5:F$121)</f>
        <v>-0.672650545388274</v>
      </c>
      <c r="J74" s="38" t="n">
        <f aca="false">(G74-AVERAGE(G$5:G$121))/STDEV(G$5:G$121)</f>
        <v>-1.14564411633355</v>
      </c>
    </row>
    <row r="75" customFormat="false" ht="15" hidden="false" customHeight="false" outlineLevel="0" collapsed="false">
      <c r="A75" s="36" t="str">
        <f aca="false">City_Agg!A75</f>
        <v>Shigar</v>
      </c>
      <c r="B75" s="13" t="n">
        <f aca="false">City_Agg!C75</f>
        <v>31</v>
      </c>
      <c r="C75" s="13" t="n">
        <f aca="false">City_Agg!D75</f>
        <v>0</v>
      </c>
      <c r="D75" s="13" t="n">
        <f aca="false">City_Agg!E75</f>
        <v>21</v>
      </c>
      <c r="E75" s="38" t="n">
        <f aca="false">IF(Clustering_Guide!$C$7=1,LN(1+MAX(B75,0)),B75)</f>
        <v>3.46573590279973</v>
      </c>
      <c r="F75" s="38" t="n">
        <f aca="false">IF(Clustering_Guide!$C$7=1,LN(1+MAX(C75,0)),C75)</f>
        <v>0</v>
      </c>
      <c r="G75" s="38" t="n">
        <f aca="false">IF(Clustering_Guide!$C$7=1,LN(1+MAX(D75,0)),D75)</f>
        <v>3.09104245335832</v>
      </c>
      <c r="H75" s="38" t="n">
        <f aca="false">(E75-AVERAGE(E$5:E$121))/STDEV(E$5:E$121)</f>
        <v>-0.275926355545086</v>
      </c>
      <c r="I75" s="38" t="n">
        <f aca="false">(F75-AVERAGE(F$5:F$121))/STDEV(F$5:F$121)</f>
        <v>-0.672650545388274</v>
      </c>
      <c r="J75" s="38" t="n">
        <f aca="false">(G75-AVERAGE(G$5:G$121))/STDEV(G$5:G$121)</f>
        <v>0.286716848591577</v>
      </c>
    </row>
    <row r="76" customFormat="false" ht="15" hidden="false" customHeight="false" outlineLevel="0" collapsed="false">
      <c r="A76" s="36" t="str">
        <f aca="false">City_Agg!A76</f>
        <v>Narowal</v>
      </c>
      <c r="B76" s="13" t="n">
        <f aca="false">City_Agg!C76</f>
        <v>31</v>
      </c>
      <c r="C76" s="13" t="n">
        <f aca="false">City_Agg!D76</f>
        <v>0</v>
      </c>
      <c r="D76" s="13" t="n">
        <f aca="false">City_Agg!E76</f>
        <v>0</v>
      </c>
      <c r="E76" s="38" t="n">
        <f aca="false">IF(Clustering_Guide!$C$7=1,LN(1+MAX(B76,0)),B76)</f>
        <v>3.46573590279973</v>
      </c>
      <c r="F76" s="38" t="n">
        <f aca="false">IF(Clustering_Guide!$C$7=1,LN(1+MAX(C76,0)),C76)</f>
        <v>0</v>
      </c>
      <c r="G76" s="38" t="n">
        <f aca="false">IF(Clustering_Guide!$C$7=1,LN(1+MAX(D76,0)),D76)</f>
        <v>0</v>
      </c>
      <c r="H76" s="38" t="n">
        <f aca="false">(E76-AVERAGE(E$5:E$121))/STDEV(E$5:E$121)</f>
        <v>-0.275926355545086</v>
      </c>
      <c r="I76" s="38" t="n">
        <f aca="false">(F76-AVERAGE(F$5:F$121))/STDEV(F$5:F$121)</f>
        <v>-0.672650545388274</v>
      </c>
      <c r="J76" s="38" t="n">
        <f aca="false">(G76-AVERAGE(G$5:G$121))/STDEV(G$5:G$121)</f>
        <v>-1.14564411633355</v>
      </c>
    </row>
    <row r="77" customFormat="false" ht="15" hidden="false" customHeight="false" outlineLevel="0" collapsed="false">
      <c r="A77" s="36" t="str">
        <f aca="false">City_Agg!A77</f>
        <v>Mandi Bahauddin</v>
      </c>
      <c r="B77" s="13" t="n">
        <f aca="false">City_Agg!C77</f>
        <v>29</v>
      </c>
      <c r="C77" s="13" t="n">
        <f aca="false">City_Agg!D77</f>
        <v>0</v>
      </c>
      <c r="D77" s="13" t="n">
        <f aca="false">City_Agg!E77</f>
        <v>7</v>
      </c>
      <c r="E77" s="38" t="n">
        <f aca="false">IF(Clustering_Guide!$C$7=1,LN(1+MAX(B77,0)),B77)</f>
        <v>3.40119738166216</v>
      </c>
      <c r="F77" s="38" t="n">
        <f aca="false">IF(Clustering_Guide!$C$7=1,LN(1+MAX(C77,0)),C77)</f>
        <v>0</v>
      </c>
      <c r="G77" s="38" t="n">
        <f aca="false">IF(Clustering_Guide!$C$7=1,LN(1+MAX(D77,0)),D77)</f>
        <v>2.07944154167984</v>
      </c>
      <c r="H77" s="38" t="n">
        <f aca="false">(E77-AVERAGE(E$5:E$121))/STDEV(E$5:E$121)</f>
        <v>-0.309516720776153</v>
      </c>
      <c r="I77" s="38" t="n">
        <f aca="false">(F77-AVERAGE(F$5:F$121))/STDEV(F$5:F$121)</f>
        <v>-0.672650545388274</v>
      </c>
      <c r="J77" s="38" t="n">
        <f aca="false">(G77-AVERAGE(G$5:G$121))/STDEV(G$5:G$121)</f>
        <v>-0.182049815029191</v>
      </c>
    </row>
    <row r="78" customFormat="false" ht="15" hidden="false" customHeight="false" outlineLevel="0" collapsed="false">
      <c r="A78" s="36" t="str">
        <f aca="false">City_Agg!A78</f>
        <v>Ghanche</v>
      </c>
      <c r="B78" s="13" t="n">
        <f aca="false">City_Agg!C78</f>
        <v>28</v>
      </c>
      <c r="C78" s="13" t="n">
        <f aca="false">City_Agg!D78</f>
        <v>0</v>
      </c>
      <c r="D78" s="13" t="n">
        <f aca="false">City_Agg!E78</f>
        <v>6</v>
      </c>
      <c r="E78" s="38" t="n">
        <f aca="false">IF(Clustering_Guide!$C$7=1,LN(1+MAX(B78,0)),B78)</f>
        <v>3.36729582998647</v>
      </c>
      <c r="F78" s="38" t="n">
        <f aca="false">IF(Clustering_Guide!$C$7=1,LN(1+MAX(C78,0)),C78)</f>
        <v>0</v>
      </c>
      <c r="G78" s="38" t="n">
        <f aca="false">IF(Clustering_Guide!$C$7=1,LN(1+MAX(D78,0)),D78)</f>
        <v>1.94591014905531</v>
      </c>
      <c r="H78" s="38" t="n">
        <f aca="false">(E78-AVERAGE(E$5:E$121))/STDEV(E$5:E$121)</f>
        <v>-0.327161461972788</v>
      </c>
      <c r="I78" s="38" t="n">
        <f aca="false">(F78-AVERAGE(F$5:F$121))/STDEV(F$5:F$121)</f>
        <v>-0.672650545388274</v>
      </c>
      <c r="J78" s="38" t="n">
        <f aca="false">(G78-AVERAGE(G$5:G$121))/STDEV(G$5:G$121)</f>
        <v>-0.2439270481224</v>
      </c>
    </row>
    <row r="79" customFormat="false" ht="15" hidden="false" customHeight="false" outlineLevel="0" collapsed="false">
      <c r="A79" s="36" t="str">
        <f aca="false">City_Agg!A79</f>
        <v>Hunza</v>
      </c>
      <c r="B79" s="13" t="n">
        <f aca="false">City_Agg!C79</f>
        <v>28</v>
      </c>
      <c r="C79" s="13" t="n">
        <f aca="false">City_Agg!D79</f>
        <v>0</v>
      </c>
      <c r="D79" s="13" t="n">
        <f aca="false">City_Agg!E79</f>
        <v>0</v>
      </c>
      <c r="E79" s="38" t="n">
        <f aca="false">IF(Clustering_Guide!$C$7=1,LN(1+MAX(B79,0)),B79)</f>
        <v>3.36729582998647</v>
      </c>
      <c r="F79" s="38" t="n">
        <f aca="false">IF(Clustering_Guide!$C$7=1,LN(1+MAX(C79,0)),C79)</f>
        <v>0</v>
      </c>
      <c r="G79" s="38" t="n">
        <f aca="false">IF(Clustering_Guide!$C$7=1,LN(1+MAX(D79,0)),D79)</f>
        <v>0</v>
      </c>
      <c r="H79" s="38" t="n">
        <f aca="false">(E79-AVERAGE(E$5:E$121))/STDEV(E$5:E$121)</f>
        <v>-0.327161461972788</v>
      </c>
      <c r="I79" s="38" t="n">
        <f aca="false">(F79-AVERAGE(F$5:F$121))/STDEV(F$5:F$121)</f>
        <v>-0.672650545388274</v>
      </c>
      <c r="J79" s="38" t="n">
        <f aca="false">(G79-AVERAGE(G$5:G$121))/STDEV(G$5:G$121)</f>
        <v>-1.14564411633355</v>
      </c>
    </row>
    <row r="80" customFormat="false" ht="15" hidden="false" customHeight="false" outlineLevel="0" collapsed="false">
      <c r="A80" s="36" t="str">
        <f aca="false">City_Agg!A80</f>
        <v>Nankana Sahib</v>
      </c>
      <c r="B80" s="13" t="n">
        <f aca="false">City_Agg!C80</f>
        <v>27</v>
      </c>
      <c r="C80" s="13" t="n">
        <f aca="false">City_Agg!D80</f>
        <v>0</v>
      </c>
      <c r="D80" s="13" t="n">
        <f aca="false">City_Agg!E80</f>
        <v>6</v>
      </c>
      <c r="E80" s="38" t="n">
        <f aca="false">IF(Clustering_Guide!$C$7=1,LN(1+MAX(B80,0)),B80)</f>
        <v>3.3322045101752</v>
      </c>
      <c r="F80" s="38" t="n">
        <f aca="false">IF(Clustering_Guide!$C$7=1,LN(1+MAX(C80,0)),C80)</f>
        <v>0</v>
      </c>
      <c r="G80" s="38" t="n">
        <f aca="false">IF(Clustering_Guide!$C$7=1,LN(1+MAX(D80,0)),D80)</f>
        <v>1.94591014905531</v>
      </c>
      <c r="H80" s="38" t="n">
        <f aca="false">(E80-AVERAGE(E$5:E$121))/STDEV(E$5:E$121)</f>
        <v>-0.34542544181187</v>
      </c>
      <c r="I80" s="38" t="n">
        <f aca="false">(F80-AVERAGE(F$5:F$121))/STDEV(F$5:F$121)</f>
        <v>-0.672650545388274</v>
      </c>
      <c r="J80" s="38" t="n">
        <f aca="false">(G80-AVERAGE(G$5:G$121))/STDEV(G$5:G$121)</f>
        <v>-0.2439270481224</v>
      </c>
    </row>
    <row r="81" customFormat="false" ht="15" hidden="false" customHeight="false" outlineLevel="0" collapsed="false">
      <c r="A81" s="36" t="str">
        <f aca="false">City_Agg!A81</f>
        <v>Khushab</v>
      </c>
      <c r="B81" s="13" t="n">
        <f aca="false">City_Agg!C81</f>
        <v>27</v>
      </c>
      <c r="C81" s="13" t="n">
        <f aca="false">City_Agg!D81</f>
        <v>0</v>
      </c>
      <c r="D81" s="13" t="n">
        <f aca="false">City_Agg!E81</f>
        <v>0</v>
      </c>
      <c r="E81" s="38" t="n">
        <f aca="false">IF(Clustering_Guide!$C$7=1,LN(1+MAX(B81,0)),B81)</f>
        <v>3.3322045101752</v>
      </c>
      <c r="F81" s="38" t="n">
        <f aca="false">IF(Clustering_Guide!$C$7=1,LN(1+MAX(C81,0)),C81)</f>
        <v>0</v>
      </c>
      <c r="G81" s="38" t="n">
        <f aca="false">IF(Clustering_Guide!$C$7=1,LN(1+MAX(D81,0)),D81)</f>
        <v>0</v>
      </c>
      <c r="H81" s="38" t="n">
        <f aca="false">(E81-AVERAGE(E$5:E$121))/STDEV(E$5:E$121)</f>
        <v>-0.34542544181187</v>
      </c>
      <c r="I81" s="38" t="n">
        <f aca="false">(F81-AVERAGE(F$5:F$121))/STDEV(F$5:F$121)</f>
        <v>-0.672650545388274</v>
      </c>
      <c r="J81" s="38" t="n">
        <f aca="false">(G81-AVERAGE(G$5:G$121))/STDEV(G$5:G$121)</f>
        <v>-1.14564411633355</v>
      </c>
    </row>
    <row r="82" customFormat="false" ht="15" hidden="false" customHeight="false" outlineLevel="0" collapsed="false">
      <c r="A82" s="36" t="str">
        <f aca="false">City_Agg!A82</f>
        <v>Sheikhupura</v>
      </c>
      <c r="B82" s="13" t="n">
        <f aca="false">City_Agg!C82</f>
        <v>25</v>
      </c>
      <c r="C82" s="13" t="n">
        <f aca="false">City_Agg!D82</f>
        <v>0</v>
      </c>
      <c r="D82" s="13" t="n">
        <f aca="false">City_Agg!E82</f>
        <v>0</v>
      </c>
      <c r="E82" s="38" t="n">
        <f aca="false">IF(Clustering_Guide!$C$7=1,LN(1+MAX(B82,0)),B82)</f>
        <v>3.25809653802148</v>
      </c>
      <c r="F82" s="38" t="n">
        <f aca="false">IF(Clustering_Guide!$C$7=1,LN(1+MAX(C82,0)),C82)</f>
        <v>0</v>
      </c>
      <c r="G82" s="38" t="n">
        <f aca="false">IF(Clustering_Guide!$C$7=1,LN(1+MAX(D82,0)),D82)</f>
        <v>0</v>
      </c>
      <c r="H82" s="38" t="n">
        <f aca="false">(E82-AVERAGE(E$5:E$121))/STDEV(E$5:E$121)</f>
        <v>-0.383996419381545</v>
      </c>
      <c r="I82" s="38" t="n">
        <f aca="false">(F82-AVERAGE(F$5:F$121))/STDEV(F$5:F$121)</f>
        <v>-0.672650545388274</v>
      </c>
      <c r="J82" s="38" t="n">
        <f aca="false">(G82-AVERAGE(G$5:G$121))/STDEV(G$5:G$121)</f>
        <v>-1.14564411633355</v>
      </c>
    </row>
    <row r="83" customFormat="false" ht="15" hidden="false" customHeight="false" outlineLevel="0" collapsed="false">
      <c r="A83" s="36" t="str">
        <f aca="false">City_Agg!A83</f>
        <v>Diamer</v>
      </c>
      <c r="B83" s="13" t="n">
        <f aca="false">City_Agg!C83</f>
        <v>24</v>
      </c>
      <c r="C83" s="13" t="n">
        <f aca="false">City_Agg!D83</f>
        <v>0</v>
      </c>
      <c r="D83" s="13" t="n">
        <f aca="false">City_Agg!E83</f>
        <v>12</v>
      </c>
      <c r="E83" s="38" t="n">
        <f aca="false">IF(Clustering_Guide!$C$7=1,LN(1+MAX(B83,0)),B83)</f>
        <v>3.2188758248682</v>
      </c>
      <c r="F83" s="38" t="n">
        <f aca="false">IF(Clustering_Guide!$C$7=1,LN(1+MAX(C83,0)),C83)</f>
        <v>0</v>
      </c>
      <c r="G83" s="38" t="n">
        <f aca="false">IF(Clustering_Guide!$C$7=1,LN(1+MAX(D83,0)),D83)</f>
        <v>2.56494935746154</v>
      </c>
      <c r="H83" s="38" t="n">
        <f aca="false">(E83-AVERAGE(E$5:E$121))/STDEV(E$5:E$121)</f>
        <v>-0.404409624645938</v>
      </c>
      <c r="I83" s="38" t="n">
        <f aca="false">(F83-AVERAGE(F$5:F$121))/STDEV(F$5:F$121)</f>
        <v>-0.672650545388274</v>
      </c>
      <c r="J83" s="38" t="n">
        <f aca="false">(G83-AVERAGE(G$5:G$121))/STDEV(G$5:G$121)</f>
        <v>0.042930091906806</v>
      </c>
    </row>
    <row r="84" customFormat="false" ht="15" hidden="false" customHeight="false" outlineLevel="0" collapsed="false">
      <c r="A84" s="36" t="str">
        <f aca="false">City_Agg!A84</f>
        <v>Hangu</v>
      </c>
      <c r="B84" s="13" t="n">
        <f aca="false">City_Agg!C84</f>
        <v>24</v>
      </c>
      <c r="C84" s="13" t="n">
        <f aca="false">City_Agg!D84</f>
        <v>1</v>
      </c>
      <c r="D84" s="13" t="n">
        <f aca="false">City_Agg!E84</f>
        <v>15</v>
      </c>
      <c r="E84" s="38" t="n">
        <f aca="false">IF(Clustering_Guide!$C$7=1,LN(1+MAX(B84,0)),B84)</f>
        <v>3.2188758248682</v>
      </c>
      <c r="F84" s="38" t="n">
        <f aca="false">IF(Clustering_Guide!$C$7=1,LN(1+MAX(C84,0)),C84)</f>
        <v>0.693147180559945</v>
      </c>
      <c r="G84" s="38" t="n">
        <f aca="false">IF(Clustering_Guide!$C$7=1,LN(1+MAX(D84,0)),D84)</f>
        <v>2.77258872223978</v>
      </c>
      <c r="H84" s="38" t="n">
        <f aca="false">(E84-AVERAGE(E$5:E$121))/STDEV(E$5:E$121)</f>
        <v>-0.404409624645938</v>
      </c>
      <c r="I84" s="38" t="n">
        <f aca="false">(F84-AVERAGE(F$5:F$121))/STDEV(F$5:F$121)</f>
        <v>-0.146983133929529</v>
      </c>
      <c r="J84" s="38" t="n">
        <f aca="false">(G84-AVERAGE(G$5:G$121))/STDEV(G$5:G$121)</f>
        <v>0.139148285405597</v>
      </c>
    </row>
    <row r="85" customFormat="false" ht="15" hidden="false" customHeight="false" outlineLevel="0" collapsed="false">
      <c r="A85" s="36" t="str">
        <f aca="false">City_Agg!A85</f>
        <v>Mohmand</v>
      </c>
      <c r="B85" s="13" t="n">
        <f aca="false">City_Agg!C85</f>
        <v>21</v>
      </c>
      <c r="C85" s="13" t="n">
        <f aca="false">City_Agg!D85</f>
        <v>1</v>
      </c>
      <c r="D85" s="13" t="n">
        <f aca="false">City_Agg!E85</f>
        <v>4</v>
      </c>
      <c r="E85" s="38" t="n">
        <f aca="false">IF(Clustering_Guide!$C$7=1,LN(1+MAX(B85,0)),B85)</f>
        <v>3.09104245335832</v>
      </c>
      <c r="F85" s="38" t="n">
        <f aca="false">IF(Clustering_Guide!$C$7=1,LN(1+MAX(C85,0)),C85)</f>
        <v>0.693147180559945</v>
      </c>
      <c r="G85" s="38" t="n">
        <f aca="false">IF(Clustering_Guide!$C$7=1,LN(1+MAX(D85,0)),D85)</f>
        <v>1.6094379124341</v>
      </c>
      <c r="H85" s="38" t="n">
        <f aca="false">(E85-AVERAGE(E$5:E$121))/STDEV(E$5:E$121)</f>
        <v>-0.470943061763014</v>
      </c>
      <c r="I85" s="38" t="n">
        <f aca="false">(F85-AVERAGE(F$5:F$121))/STDEV(F$5:F$121)</f>
        <v>-0.146983133929529</v>
      </c>
      <c r="J85" s="38" t="n">
        <f aca="false">(G85-AVERAGE(G$5:G$121))/STDEV(G$5:G$121)</f>
        <v>-0.399845222909568</v>
      </c>
    </row>
    <row r="86" customFormat="false" ht="15" hidden="false" customHeight="false" outlineLevel="0" collapsed="false">
      <c r="A86" s="36" t="str">
        <f aca="false">City_Agg!A86</f>
        <v>Bahawal Nagar</v>
      </c>
      <c r="B86" s="13" t="n">
        <f aca="false">City_Agg!C86</f>
        <v>21</v>
      </c>
      <c r="C86" s="13" t="n">
        <f aca="false">City_Agg!D86</f>
        <v>0</v>
      </c>
      <c r="D86" s="13" t="n">
        <f aca="false">City_Agg!E86</f>
        <v>4</v>
      </c>
      <c r="E86" s="38" t="n">
        <f aca="false">IF(Clustering_Guide!$C$7=1,LN(1+MAX(B86,0)),B86)</f>
        <v>3.09104245335832</v>
      </c>
      <c r="F86" s="38" t="n">
        <f aca="false">IF(Clustering_Guide!$C$7=1,LN(1+MAX(C86,0)),C86)</f>
        <v>0</v>
      </c>
      <c r="G86" s="38" t="n">
        <f aca="false">IF(Clustering_Guide!$C$7=1,LN(1+MAX(D86,0)),D86)</f>
        <v>1.6094379124341</v>
      </c>
      <c r="H86" s="38" t="n">
        <f aca="false">(E86-AVERAGE(E$5:E$121))/STDEV(E$5:E$121)</f>
        <v>-0.470943061763014</v>
      </c>
      <c r="I86" s="38" t="n">
        <f aca="false">(F86-AVERAGE(F$5:F$121))/STDEV(F$5:F$121)</f>
        <v>-0.672650545388274</v>
      </c>
      <c r="J86" s="38" t="n">
        <f aca="false">(G86-AVERAGE(G$5:G$121))/STDEV(G$5:G$121)</f>
        <v>-0.399845222909568</v>
      </c>
    </row>
    <row r="87" customFormat="false" ht="15" hidden="false" customHeight="false" outlineLevel="0" collapsed="false">
      <c r="A87" s="36" t="str">
        <f aca="false">City_Agg!A87</f>
        <v>Ghizer</v>
      </c>
      <c r="B87" s="13" t="n">
        <f aca="false">City_Agg!C87</f>
        <v>19</v>
      </c>
      <c r="C87" s="13" t="n">
        <f aca="false">City_Agg!D87</f>
        <v>0</v>
      </c>
      <c r="D87" s="13" t="n">
        <f aca="false">City_Agg!E87</f>
        <v>3</v>
      </c>
      <c r="E87" s="38" t="n">
        <f aca="false">IF(Clustering_Guide!$C$7=1,LN(1+MAX(B87,0)),B87)</f>
        <v>2.99573227355399</v>
      </c>
      <c r="F87" s="38" t="n">
        <f aca="false">IF(Clustering_Guide!$C$7=1,LN(1+MAX(C87,0)),C87)</f>
        <v>0</v>
      </c>
      <c r="G87" s="38" t="n">
        <f aca="false">IF(Clustering_Guide!$C$7=1,LN(1+MAX(D87,0)),D87)</f>
        <v>1.38629436111989</v>
      </c>
      <c r="H87" s="38" t="n">
        <f aca="false">(E87-AVERAGE(E$5:E$121))/STDEV(E$5:E$121)</f>
        <v>-0.520549152721336</v>
      </c>
      <c r="I87" s="38" t="n">
        <f aca="false">(F87-AVERAGE(F$5:F$121))/STDEV(F$5:F$121)</f>
        <v>-0.672650545388274</v>
      </c>
      <c r="J87" s="38" t="n">
        <f aca="false">(G87-AVERAGE(G$5:G$121))/STDEV(G$5:G$121)</f>
        <v>-0.503247915463979</v>
      </c>
    </row>
    <row r="88" customFormat="false" ht="15" hidden="false" customHeight="false" outlineLevel="0" collapsed="false">
      <c r="A88" s="36" t="str">
        <f aca="false">City_Agg!A88</f>
        <v>Mianwali</v>
      </c>
      <c r="B88" s="13" t="n">
        <f aca="false">City_Agg!C88</f>
        <v>18</v>
      </c>
      <c r="C88" s="13" t="n">
        <f aca="false">City_Agg!D88</f>
        <v>0</v>
      </c>
      <c r="D88" s="13" t="n">
        <f aca="false">City_Agg!E88</f>
        <v>1</v>
      </c>
      <c r="E88" s="38" t="n">
        <f aca="false">IF(Clustering_Guide!$C$7=1,LN(1+MAX(B88,0)),B88)</f>
        <v>2.94443897916644</v>
      </c>
      <c r="F88" s="38" t="n">
        <f aca="false">IF(Clustering_Guide!$C$7=1,LN(1+MAX(C88,0)),C88)</f>
        <v>0</v>
      </c>
      <c r="G88" s="38" t="n">
        <f aca="false">IF(Clustering_Guide!$C$7=1,LN(1+MAX(D88,0)),D88)</f>
        <v>0.693147180559945</v>
      </c>
      <c r="H88" s="38" t="n">
        <f aca="false">(E88-AVERAGE(E$5:E$121))/STDEV(E$5:E$121)</f>
        <v>-0.547245774552967</v>
      </c>
      <c r="I88" s="38" t="n">
        <f aca="false">(F88-AVERAGE(F$5:F$121))/STDEV(F$5:F$121)</f>
        <v>-0.672650545388274</v>
      </c>
      <c r="J88" s="38" t="n">
        <f aca="false">(G88-AVERAGE(G$5:G$121))/STDEV(G$5:G$121)</f>
        <v>-0.824446015898766</v>
      </c>
    </row>
    <row r="89" customFormat="false" ht="15" hidden="false" customHeight="false" outlineLevel="0" collapsed="false">
      <c r="A89" s="36" t="str">
        <f aca="false">City_Agg!A89</f>
        <v>Kharmang</v>
      </c>
      <c r="B89" s="13" t="n">
        <f aca="false">City_Agg!C89</f>
        <v>16</v>
      </c>
      <c r="C89" s="13" t="n">
        <f aca="false">City_Agg!D89</f>
        <v>0</v>
      </c>
      <c r="D89" s="13" t="n">
        <f aca="false">City_Agg!E89</f>
        <v>10</v>
      </c>
      <c r="E89" s="38" t="n">
        <f aca="false">IF(Clustering_Guide!$C$7=1,LN(1+MAX(B89,0)),B89)</f>
        <v>2.83321334405622</v>
      </c>
      <c r="F89" s="38" t="n">
        <f aca="false">IF(Clustering_Guide!$C$7=1,LN(1+MAX(C89,0)),C89)</f>
        <v>0</v>
      </c>
      <c r="G89" s="38" t="n">
        <f aca="false">IF(Clustering_Guide!$C$7=1,LN(1+MAX(D89,0)),D89)</f>
        <v>2.39789527279837</v>
      </c>
      <c r="H89" s="38" t="n">
        <f aca="false">(E89-AVERAGE(E$5:E$121))/STDEV(E$5:E$121)</f>
        <v>-0.605135382814146</v>
      </c>
      <c r="I89" s="38" t="n">
        <f aca="false">(F89-AVERAGE(F$5:F$121))/STDEV(F$5:F$121)</f>
        <v>-0.672650545388274</v>
      </c>
      <c r="J89" s="38" t="n">
        <f aca="false">(G89-AVERAGE(G$5:G$121))/STDEV(G$5:G$121)</f>
        <v>-0.0344812518432112</v>
      </c>
    </row>
    <row r="90" customFormat="false" ht="15" hidden="false" customHeight="false" outlineLevel="0" collapsed="false">
      <c r="A90" s="36" t="str">
        <f aca="false">City_Agg!A90</f>
        <v>Attock</v>
      </c>
      <c r="B90" s="13" t="n">
        <f aca="false">City_Agg!C90</f>
        <v>15</v>
      </c>
      <c r="C90" s="13" t="n">
        <f aca="false">City_Agg!D90</f>
        <v>0</v>
      </c>
      <c r="D90" s="13" t="n">
        <f aca="false">City_Agg!E90</f>
        <v>0</v>
      </c>
      <c r="E90" s="38" t="n">
        <f aca="false">IF(Clustering_Guide!$C$7=1,LN(1+MAX(B90,0)),B90)</f>
        <v>2.77258872223978</v>
      </c>
      <c r="F90" s="38" t="n">
        <f aca="false">IF(Clustering_Guide!$C$7=1,LN(1+MAX(C90,0)),C90)</f>
        <v>0</v>
      </c>
      <c r="G90" s="38" t="n">
        <f aca="false">IF(Clustering_Guide!$C$7=1,LN(1+MAX(D90,0)),D90)</f>
        <v>0</v>
      </c>
      <c r="H90" s="38" t="n">
        <f aca="false">(E90-AVERAGE(E$5:E$121))/STDEV(E$5:E$121)</f>
        <v>-0.636688680796734</v>
      </c>
      <c r="I90" s="38" t="n">
        <f aca="false">(F90-AVERAGE(F$5:F$121))/STDEV(F$5:F$121)</f>
        <v>-0.672650545388274</v>
      </c>
      <c r="J90" s="38" t="n">
        <f aca="false">(G90-AVERAGE(G$5:G$121))/STDEV(G$5:G$121)</f>
        <v>-1.14564411633355</v>
      </c>
    </row>
    <row r="91" customFormat="false" ht="15" hidden="false" customHeight="false" outlineLevel="0" collapsed="false">
      <c r="A91" s="36" t="str">
        <f aca="false">City_Agg!A91</f>
        <v>Chitral Upper</v>
      </c>
      <c r="B91" s="13" t="n">
        <f aca="false">City_Agg!C91</f>
        <v>15</v>
      </c>
      <c r="C91" s="13" t="n">
        <f aca="false">City_Agg!D91</f>
        <v>0</v>
      </c>
      <c r="D91" s="13" t="n">
        <f aca="false">City_Agg!E91</f>
        <v>5</v>
      </c>
      <c r="E91" s="38" t="n">
        <f aca="false">IF(Clustering_Guide!$C$7=1,LN(1+MAX(B91,0)),B91)</f>
        <v>2.77258872223978</v>
      </c>
      <c r="F91" s="38" t="n">
        <f aca="false">IF(Clustering_Guide!$C$7=1,LN(1+MAX(C91,0)),C91)</f>
        <v>0</v>
      </c>
      <c r="G91" s="38" t="n">
        <f aca="false">IF(Clustering_Guide!$C$7=1,LN(1+MAX(D91,0)),D91)</f>
        <v>1.79175946922806</v>
      </c>
      <c r="H91" s="38" t="n">
        <f aca="false">(E91-AVERAGE(E$5:E$121))/STDEV(E$5:E$121)</f>
        <v>-0.636688680796734</v>
      </c>
      <c r="I91" s="38" t="n">
        <f aca="false">(F91-AVERAGE(F$5:F$121))/STDEV(F$5:F$121)</f>
        <v>-0.672650545388274</v>
      </c>
      <c r="J91" s="38" t="n">
        <f aca="false">(G91-AVERAGE(G$5:G$121))/STDEV(G$5:G$121)</f>
        <v>-0.31535907140676</v>
      </c>
    </row>
    <row r="92" customFormat="false" ht="15" hidden="false" customHeight="false" outlineLevel="0" collapsed="false">
      <c r="A92" s="36" t="str">
        <f aca="false">City_Agg!A92</f>
        <v>Matiari</v>
      </c>
      <c r="B92" s="13" t="n">
        <f aca="false">City_Agg!C92</f>
        <v>13</v>
      </c>
      <c r="C92" s="13" t="n">
        <f aca="false">City_Agg!D92</f>
        <v>1</v>
      </c>
      <c r="D92" s="13" t="n">
        <f aca="false">City_Agg!E92</f>
        <v>45</v>
      </c>
      <c r="E92" s="38" t="n">
        <f aca="false">IF(Clustering_Guide!$C$7=1,LN(1+MAX(B92,0)),B92)</f>
        <v>2.63905732961526</v>
      </c>
      <c r="F92" s="38" t="n">
        <f aca="false">IF(Clustering_Guide!$C$7=1,LN(1+MAX(C92,0)),C92)</f>
        <v>0.693147180559945</v>
      </c>
      <c r="G92" s="38" t="n">
        <f aca="false">IF(Clustering_Guide!$C$7=1,LN(1+MAX(D92,0)),D92)</f>
        <v>3.8286413964891</v>
      </c>
      <c r="H92" s="38" t="n">
        <f aca="false">(E92-AVERAGE(E$5:E$121))/STDEV(E$5:E$121)</f>
        <v>-0.706187767063518</v>
      </c>
      <c r="I92" s="38" t="n">
        <f aca="false">(F92-AVERAGE(F$5:F$121))/STDEV(F$5:F$121)</f>
        <v>-0.146983133929529</v>
      </c>
      <c r="J92" s="38" t="n">
        <f aca="false">(G92-AVERAGE(G$5:G$121))/STDEV(G$5:G$121)</f>
        <v>0.628513491585819</v>
      </c>
    </row>
    <row r="93" customFormat="false" ht="15" hidden="false" customHeight="false" outlineLevel="0" collapsed="false">
      <c r="A93" s="36" t="str">
        <f aca="false">City_Agg!A93</f>
        <v>Lakki Marwat</v>
      </c>
      <c r="B93" s="13" t="n">
        <f aca="false">City_Agg!C93</f>
        <v>12</v>
      </c>
      <c r="C93" s="13" t="n">
        <f aca="false">City_Agg!D93</f>
        <v>1</v>
      </c>
      <c r="D93" s="13" t="n">
        <f aca="false">City_Agg!E93</f>
        <v>7</v>
      </c>
      <c r="E93" s="38" t="n">
        <f aca="false">IF(Clustering_Guide!$C$7=1,LN(1+MAX(B93,0)),B93)</f>
        <v>2.56494935746154</v>
      </c>
      <c r="F93" s="38" t="n">
        <f aca="false">IF(Clustering_Guide!$C$7=1,LN(1+MAX(C93,0)),C93)</f>
        <v>0.693147180559945</v>
      </c>
      <c r="G93" s="38" t="n">
        <f aca="false">IF(Clustering_Guide!$C$7=1,LN(1+MAX(D93,0)),D93)</f>
        <v>2.07944154167984</v>
      </c>
      <c r="H93" s="38" t="n">
        <f aca="false">(E93-AVERAGE(E$5:E$121))/STDEV(E$5:E$121)</f>
        <v>-0.744758744633192</v>
      </c>
      <c r="I93" s="38" t="n">
        <f aca="false">(F93-AVERAGE(F$5:F$121))/STDEV(F$5:F$121)</f>
        <v>-0.146983133929529</v>
      </c>
      <c r="J93" s="38" t="n">
        <f aca="false">(G93-AVERAGE(G$5:G$121))/STDEV(G$5:G$121)</f>
        <v>-0.182049815029191</v>
      </c>
    </row>
    <row r="94" customFormat="false" ht="15" hidden="false" customHeight="false" outlineLevel="0" collapsed="false">
      <c r="A94" s="36" t="str">
        <f aca="false">City_Agg!A94</f>
        <v>Taftan</v>
      </c>
      <c r="B94" s="13" t="n">
        <f aca="false">City_Agg!C94</f>
        <v>12</v>
      </c>
      <c r="C94" s="13" t="n">
        <f aca="false">City_Agg!D94</f>
        <v>0</v>
      </c>
      <c r="D94" s="13" t="n">
        <f aca="false">City_Agg!E94</f>
        <v>0</v>
      </c>
      <c r="E94" s="38" t="n">
        <f aca="false">IF(Clustering_Guide!$C$7=1,LN(1+MAX(B94,0)),B94)</f>
        <v>2.56494935746154</v>
      </c>
      <c r="F94" s="38" t="n">
        <f aca="false">IF(Clustering_Guide!$C$7=1,LN(1+MAX(C94,0)),C94)</f>
        <v>0</v>
      </c>
      <c r="G94" s="38" t="n">
        <f aca="false">IF(Clustering_Guide!$C$7=1,LN(1+MAX(D94,0)),D94)</f>
        <v>0</v>
      </c>
      <c r="H94" s="38" t="n">
        <f aca="false">(E94-AVERAGE(E$5:E$121))/STDEV(E$5:E$121)</f>
        <v>-0.744758744633192</v>
      </c>
      <c r="I94" s="38" t="n">
        <f aca="false">(F94-AVERAGE(F$5:F$121))/STDEV(F$5:F$121)</f>
        <v>-0.672650545388274</v>
      </c>
      <c r="J94" s="38" t="n">
        <f aca="false">(G94-AVERAGE(G$5:G$121))/STDEV(G$5:G$121)</f>
        <v>-1.14564411633355</v>
      </c>
    </row>
    <row r="95" customFormat="false" ht="15" hidden="false" customHeight="false" outlineLevel="0" collapsed="false">
      <c r="A95" s="36" t="str">
        <f aca="false">City_Agg!A95</f>
        <v>Orakzai</v>
      </c>
      <c r="B95" s="13" t="n">
        <f aca="false">City_Agg!C95</f>
        <v>11</v>
      </c>
      <c r="C95" s="13" t="n">
        <f aca="false">City_Agg!D95</f>
        <v>0</v>
      </c>
      <c r="D95" s="13" t="n">
        <f aca="false">City_Agg!E95</f>
        <v>4</v>
      </c>
      <c r="E95" s="38" t="n">
        <f aca="false">IF(Clustering_Guide!$C$7=1,LN(1+MAX(B95,0)),B95)</f>
        <v>2.484906649788</v>
      </c>
      <c r="F95" s="38" t="n">
        <f aca="false">IF(Clustering_Guide!$C$7=1,LN(1+MAX(C95,0)),C95)</f>
        <v>0</v>
      </c>
      <c r="G95" s="38" t="n">
        <f aca="false">IF(Clustering_Guide!$C$7=1,LN(1+MAX(D95,0)),D95)</f>
        <v>1.6094379124341</v>
      </c>
      <c r="H95" s="38" t="n">
        <f aca="false">(E95-AVERAGE(E$5:E$121))/STDEV(E$5:E$121)</f>
        <v>-0.786418574103199</v>
      </c>
      <c r="I95" s="38" t="n">
        <f aca="false">(F95-AVERAGE(F$5:F$121))/STDEV(F$5:F$121)</f>
        <v>-0.672650545388274</v>
      </c>
      <c r="J95" s="38" t="n">
        <f aca="false">(G95-AVERAGE(G$5:G$121))/STDEV(G$5:G$121)</f>
        <v>-0.399845222909568</v>
      </c>
    </row>
    <row r="96" customFormat="false" ht="15" hidden="false" customHeight="false" outlineLevel="0" collapsed="false">
      <c r="A96" s="36" t="str">
        <f aca="false">City_Agg!A96</f>
        <v>North Waziristan</v>
      </c>
      <c r="B96" s="13" t="n">
        <f aca="false">City_Agg!C96</f>
        <v>10</v>
      </c>
      <c r="C96" s="13" t="n">
        <f aca="false">City_Agg!D96</f>
        <v>0</v>
      </c>
      <c r="D96" s="13" t="n">
        <f aca="false">City_Agg!E96</f>
        <v>5</v>
      </c>
      <c r="E96" s="38" t="n">
        <f aca="false">IF(Clustering_Guide!$C$7=1,LN(1+MAX(B96,0)),B96)</f>
        <v>2.39789527279837</v>
      </c>
      <c r="F96" s="38" t="n">
        <f aca="false">IF(Clustering_Guide!$C$7=1,LN(1+MAX(C96,0)),C96)</f>
        <v>0</v>
      </c>
      <c r="G96" s="38" t="n">
        <f aca="false">IF(Clustering_Guide!$C$7=1,LN(1+MAX(D96,0)),D96)</f>
        <v>1.79175946922806</v>
      </c>
      <c r="H96" s="38" t="n">
        <f aca="false">(E96-AVERAGE(E$5:E$121))/STDEV(E$5:E$121)</f>
        <v>-0.831705387014662</v>
      </c>
      <c r="I96" s="38" t="n">
        <f aca="false">(F96-AVERAGE(F$5:F$121))/STDEV(F$5:F$121)</f>
        <v>-0.672650545388274</v>
      </c>
      <c r="J96" s="38" t="n">
        <f aca="false">(G96-AVERAGE(G$5:G$121))/STDEV(G$5:G$121)</f>
        <v>-0.31535907140676</v>
      </c>
    </row>
    <row r="97" customFormat="false" ht="15" hidden="false" customHeight="false" outlineLevel="0" collapsed="false">
      <c r="A97" s="36" t="str">
        <f aca="false">City_Agg!A97</f>
        <v>Kasur</v>
      </c>
      <c r="B97" s="13" t="n">
        <f aca="false">City_Agg!C97</f>
        <v>10</v>
      </c>
      <c r="C97" s="13" t="n">
        <f aca="false">City_Agg!D97</f>
        <v>0</v>
      </c>
      <c r="D97" s="13" t="n">
        <f aca="false">City_Agg!E97</f>
        <v>0</v>
      </c>
      <c r="E97" s="38" t="n">
        <f aca="false">IF(Clustering_Guide!$C$7=1,LN(1+MAX(B97,0)),B97)</f>
        <v>2.39789527279837</v>
      </c>
      <c r="F97" s="38" t="n">
        <f aca="false">IF(Clustering_Guide!$C$7=1,LN(1+MAX(C97,0)),C97)</f>
        <v>0</v>
      </c>
      <c r="G97" s="38" t="n">
        <f aca="false">IF(Clustering_Guide!$C$7=1,LN(1+MAX(D97,0)),D97)</f>
        <v>0</v>
      </c>
      <c r="H97" s="38" t="n">
        <f aca="false">(E97-AVERAGE(E$5:E$121))/STDEV(E$5:E$121)</f>
        <v>-0.831705387014662</v>
      </c>
      <c r="I97" s="38" t="n">
        <f aca="false">(F97-AVERAGE(F$5:F$121))/STDEV(F$5:F$121)</f>
        <v>-0.672650545388274</v>
      </c>
      <c r="J97" s="38" t="n">
        <f aca="false">(G97-AVERAGE(G$5:G$121))/STDEV(G$5:G$121)</f>
        <v>-1.14564411633355</v>
      </c>
    </row>
    <row r="98" customFormat="false" ht="15" hidden="false" customHeight="false" outlineLevel="0" collapsed="false">
      <c r="A98" s="36" t="str">
        <f aca="false">City_Agg!A98</f>
        <v>Rajanpur</v>
      </c>
      <c r="B98" s="13" t="n">
        <f aca="false">City_Agg!C98</f>
        <v>9</v>
      </c>
      <c r="C98" s="13" t="n">
        <f aca="false">City_Agg!D98</f>
        <v>0</v>
      </c>
      <c r="D98" s="13" t="n">
        <f aca="false">City_Agg!E98</f>
        <v>0</v>
      </c>
      <c r="E98" s="38" t="n">
        <f aca="false">IF(Clustering_Guide!$C$7=1,LN(1+MAX(B98,0)),B98)</f>
        <v>2.30258509299405</v>
      </c>
      <c r="F98" s="38" t="n">
        <f aca="false">IF(Clustering_Guide!$C$7=1,LN(1+MAX(C98,0)),C98)</f>
        <v>0</v>
      </c>
      <c r="G98" s="38" t="n">
        <f aca="false">IF(Clustering_Guide!$C$7=1,LN(1+MAX(D98,0)),D98)</f>
        <v>0</v>
      </c>
      <c r="H98" s="38" t="n">
        <f aca="false">(E98-AVERAGE(E$5:E$121))/STDEV(E$5:E$121)</f>
        <v>-0.881311477972984</v>
      </c>
      <c r="I98" s="38" t="n">
        <f aca="false">(F98-AVERAGE(F$5:F$121))/STDEV(F$5:F$121)</f>
        <v>-0.672650545388274</v>
      </c>
      <c r="J98" s="38" t="n">
        <f aca="false">(G98-AVERAGE(G$5:G$121))/STDEV(G$5:G$121)</f>
        <v>-1.14564411633355</v>
      </c>
    </row>
    <row r="99" customFormat="false" ht="15" hidden="false" customHeight="false" outlineLevel="0" collapsed="false">
      <c r="A99" s="36" t="str">
        <f aca="false">City_Agg!A99</f>
        <v>Umerkot</v>
      </c>
      <c r="B99" s="13" t="n">
        <f aca="false">City_Agg!C99</f>
        <v>9</v>
      </c>
      <c r="C99" s="13" t="n">
        <f aca="false">City_Agg!D99</f>
        <v>1</v>
      </c>
      <c r="D99" s="13" t="n">
        <f aca="false">City_Agg!E99</f>
        <v>1</v>
      </c>
      <c r="E99" s="38" t="n">
        <f aca="false">IF(Clustering_Guide!$C$7=1,LN(1+MAX(B99,0)),B99)</f>
        <v>2.30258509299405</v>
      </c>
      <c r="F99" s="38" t="n">
        <f aca="false">IF(Clustering_Guide!$C$7=1,LN(1+MAX(C99,0)),C99)</f>
        <v>0.693147180559945</v>
      </c>
      <c r="G99" s="38" t="n">
        <f aca="false">IF(Clustering_Guide!$C$7=1,LN(1+MAX(D99,0)),D99)</f>
        <v>0.693147180559945</v>
      </c>
      <c r="H99" s="38" t="n">
        <f aca="false">(E99-AVERAGE(E$5:E$121))/STDEV(E$5:E$121)</f>
        <v>-0.881311477972984</v>
      </c>
      <c r="I99" s="38" t="n">
        <f aca="false">(F99-AVERAGE(F$5:F$121))/STDEV(F$5:F$121)</f>
        <v>-0.146983133929529</v>
      </c>
      <c r="J99" s="38" t="n">
        <f aca="false">(G99-AVERAGE(G$5:G$121))/STDEV(G$5:G$121)</f>
        <v>-0.824446015898766</v>
      </c>
    </row>
    <row r="100" customFormat="false" ht="15" hidden="false" customHeight="false" outlineLevel="0" collapsed="false">
      <c r="A100" s="36" t="str">
        <f aca="false">City_Agg!A100</f>
        <v>Tando Allahyar</v>
      </c>
      <c r="B100" s="13" t="n">
        <f aca="false">City_Agg!C100</f>
        <v>9</v>
      </c>
      <c r="C100" s="13" t="n">
        <f aca="false">City_Agg!D100</f>
        <v>0</v>
      </c>
      <c r="D100" s="13" t="n">
        <f aca="false">City_Agg!E100</f>
        <v>20</v>
      </c>
      <c r="E100" s="38" t="n">
        <f aca="false">IF(Clustering_Guide!$C$7=1,LN(1+MAX(B100,0)),B100)</f>
        <v>2.30258509299405</v>
      </c>
      <c r="F100" s="38" t="n">
        <f aca="false">IF(Clustering_Guide!$C$7=1,LN(1+MAX(C100,0)),C100)</f>
        <v>0</v>
      </c>
      <c r="G100" s="38" t="n">
        <f aca="false">IF(Clustering_Guide!$C$7=1,LN(1+MAX(D100,0)),D100)</f>
        <v>3.04452243772342</v>
      </c>
      <c r="H100" s="38" t="n">
        <f aca="false">(E100-AVERAGE(E$5:E$121))/STDEV(E$5:E$121)</f>
        <v>-0.881311477972984</v>
      </c>
      <c r="I100" s="38" t="n">
        <f aca="false">(F100-AVERAGE(F$5:F$121))/STDEV(F$5:F$121)</f>
        <v>-0.672650545388274</v>
      </c>
      <c r="J100" s="38" t="n">
        <f aca="false">(G100-AVERAGE(G$5:G$121))/STDEV(G$5:G$121)</f>
        <v>0.265159896369606</v>
      </c>
    </row>
    <row r="101" customFormat="false" ht="15" hidden="false" customHeight="false" outlineLevel="0" collapsed="false">
      <c r="A101" s="36" t="str">
        <f aca="false">City_Agg!A101</f>
        <v>Mirpur</v>
      </c>
      <c r="B101" s="13" t="n">
        <f aca="false">City_Agg!C101</f>
        <v>9</v>
      </c>
      <c r="C101" s="13" t="n">
        <f aca="false">City_Agg!D101</f>
        <v>0</v>
      </c>
      <c r="D101" s="13" t="n">
        <f aca="false">City_Agg!E101</f>
        <v>0</v>
      </c>
      <c r="E101" s="38" t="n">
        <f aca="false">IF(Clustering_Guide!$C$7=1,LN(1+MAX(B101,0)),B101)</f>
        <v>2.30258509299405</v>
      </c>
      <c r="F101" s="38" t="n">
        <f aca="false">IF(Clustering_Guide!$C$7=1,LN(1+MAX(C101,0)),C101)</f>
        <v>0</v>
      </c>
      <c r="G101" s="38" t="n">
        <f aca="false">IF(Clustering_Guide!$C$7=1,LN(1+MAX(D101,0)),D101)</f>
        <v>0</v>
      </c>
      <c r="H101" s="38" t="n">
        <f aca="false">(E101-AVERAGE(E$5:E$121))/STDEV(E$5:E$121)</f>
        <v>-0.881311477972984</v>
      </c>
      <c r="I101" s="38" t="n">
        <f aca="false">(F101-AVERAGE(F$5:F$121))/STDEV(F$5:F$121)</f>
        <v>-0.672650545388274</v>
      </c>
      <c r="J101" s="38" t="n">
        <f aca="false">(G101-AVERAGE(G$5:G$121))/STDEV(G$5:G$121)</f>
        <v>-1.14564411633355</v>
      </c>
    </row>
    <row r="102" customFormat="false" ht="15" hidden="false" customHeight="false" outlineLevel="0" collapsed="false">
      <c r="A102" s="36" t="str">
        <f aca="false">City_Agg!A102</f>
        <v>Tank</v>
      </c>
      <c r="B102" s="13" t="n">
        <f aca="false">City_Agg!C102</f>
        <v>8</v>
      </c>
      <c r="C102" s="13" t="n">
        <f aca="false">City_Agg!D102</f>
        <v>0</v>
      </c>
      <c r="D102" s="13" t="n">
        <f aca="false">City_Agg!E102</f>
        <v>10</v>
      </c>
      <c r="E102" s="38" t="n">
        <f aca="false">IF(Clustering_Guide!$C$7=1,LN(1+MAX(B102,0)),B102)</f>
        <v>2.19722457733622</v>
      </c>
      <c r="F102" s="38" t="n">
        <f aca="false">IF(Clustering_Guide!$C$7=1,LN(1+MAX(C102,0)),C102)</f>
        <v>0</v>
      </c>
      <c r="G102" s="38" t="n">
        <f aca="false">IF(Clustering_Guide!$C$7=1,LN(1+MAX(D102,0)),D102)</f>
        <v>2.39789527279837</v>
      </c>
      <c r="H102" s="38" t="n">
        <f aca="false">(E102-AVERAGE(E$5:E$121))/STDEV(E$5:E$121)</f>
        <v>-0.936148467409663</v>
      </c>
      <c r="I102" s="38" t="n">
        <f aca="false">(F102-AVERAGE(F$5:F$121))/STDEV(F$5:F$121)</f>
        <v>-0.672650545388274</v>
      </c>
      <c r="J102" s="38" t="n">
        <f aca="false">(G102-AVERAGE(G$5:G$121))/STDEV(G$5:G$121)</f>
        <v>-0.0344812518432112</v>
      </c>
    </row>
    <row r="103" customFormat="false" ht="15" hidden="false" customHeight="false" outlineLevel="0" collapsed="false">
      <c r="A103" s="36" t="str">
        <f aca="false">City_Agg!A103</f>
        <v>Sahiwal</v>
      </c>
      <c r="B103" s="13" t="n">
        <f aca="false">City_Agg!C103</f>
        <v>8</v>
      </c>
      <c r="C103" s="13" t="n">
        <f aca="false">City_Agg!D103</f>
        <v>0</v>
      </c>
      <c r="D103" s="13" t="n">
        <f aca="false">City_Agg!E103</f>
        <v>0</v>
      </c>
      <c r="E103" s="38" t="n">
        <f aca="false">IF(Clustering_Guide!$C$7=1,LN(1+MAX(B103,0)),B103)</f>
        <v>2.19722457733622</v>
      </c>
      <c r="F103" s="38" t="n">
        <f aca="false">IF(Clustering_Guide!$C$7=1,LN(1+MAX(C103,0)),C103)</f>
        <v>0</v>
      </c>
      <c r="G103" s="38" t="n">
        <f aca="false">IF(Clustering_Guide!$C$7=1,LN(1+MAX(D103,0)),D103)</f>
        <v>0</v>
      </c>
      <c r="H103" s="38" t="n">
        <f aca="false">(E103-AVERAGE(E$5:E$121))/STDEV(E$5:E$121)</f>
        <v>-0.936148467409663</v>
      </c>
      <c r="I103" s="38" t="n">
        <f aca="false">(F103-AVERAGE(F$5:F$121))/STDEV(F$5:F$121)</f>
        <v>-0.672650545388274</v>
      </c>
      <c r="J103" s="38" t="n">
        <f aca="false">(G103-AVERAGE(G$5:G$121))/STDEV(G$5:G$121)</f>
        <v>-1.14564411633355</v>
      </c>
    </row>
    <row r="104" customFormat="false" ht="15" hidden="false" customHeight="false" outlineLevel="0" collapsed="false">
      <c r="A104" s="36" t="str">
        <f aca="false">City_Agg!A104</f>
        <v>Chiniot</v>
      </c>
      <c r="B104" s="13" t="n">
        <f aca="false">City_Agg!C104</f>
        <v>8</v>
      </c>
      <c r="C104" s="13" t="n">
        <f aca="false">City_Agg!D104</f>
        <v>0</v>
      </c>
      <c r="D104" s="13" t="n">
        <f aca="false">City_Agg!E104</f>
        <v>0</v>
      </c>
      <c r="E104" s="38" t="n">
        <f aca="false">IF(Clustering_Guide!$C$7=1,LN(1+MAX(B104,0)),B104)</f>
        <v>2.19722457733622</v>
      </c>
      <c r="F104" s="38" t="n">
        <f aca="false">IF(Clustering_Guide!$C$7=1,LN(1+MAX(C104,0)),C104)</f>
        <v>0</v>
      </c>
      <c r="G104" s="38" t="n">
        <f aca="false">IF(Clustering_Guide!$C$7=1,LN(1+MAX(D104,0)),D104)</f>
        <v>0</v>
      </c>
      <c r="H104" s="38" t="n">
        <f aca="false">(E104-AVERAGE(E$5:E$121))/STDEV(E$5:E$121)</f>
        <v>-0.936148467409663</v>
      </c>
      <c r="I104" s="38" t="n">
        <f aca="false">(F104-AVERAGE(F$5:F$121))/STDEV(F$5:F$121)</f>
        <v>-0.672650545388274</v>
      </c>
      <c r="J104" s="38" t="n">
        <f aca="false">(G104-AVERAGE(G$5:G$121))/STDEV(G$5:G$121)</f>
        <v>-1.14564411633355</v>
      </c>
    </row>
    <row r="105" customFormat="false" ht="15" hidden="false" customHeight="false" outlineLevel="0" collapsed="false">
      <c r="A105" s="36" t="str">
        <f aca="false">City_Agg!A105</f>
        <v>South Waziristan</v>
      </c>
      <c r="B105" s="13" t="n">
        <f aca="false">City_Agg!C105</f>
        <v>8</v>
      </c>
      <c r="C105" s="13" t="n">
        <f aca="false">City_Agg!D105</f>
        <v>0</v>
      </c>
      <c r="D105" s="13" t="n">
        <f aca="false">City_Agg!E105</f>
        <v>3</v>
      </c>
      <c r="E105" s="38" t="n">
        <f aca="false">IF(Clustering_Guide!$C$7=1,LN(1+MAX(B105,0)),B105)</f>
        <v>2.19722457733622</v>
      </c>
      <c r="F105" s="38" t="n">
        <f aca="false">IF(Clustering_Guide!$C$7=1,LN(1+MAX(C105,0)),C105)</f>
        <v>0</v>
      </c>
      <c r="G105" s="38" t="n">
        <f aca="false">IF(Clustering_Guide!$C$7=1,LN(1+MAX(D105,0)),D105)</f>
        <v>1.38629436111989</v>
      </c>
      <c r="H105" s="38" t="n">
        <f aca="false">(E105-AVERAGE(E$5:E$121))/STDEV(E$5:E$121)</f>
        <v>-0.936148467409663</v>
      </c>
      <c r="I105" s="38" t="n">
        <f aca="false">(F105-AVERAGE(F$5:F$121))/STDEV(F$5:F$121)</f>
        <v>-0.672650545388274</v>
      </c>
      <c r="J105" s="38" t="n">
        <f aca="false">(G105-AVERAGE(G$5:G$121))/STDEV(G$5:G$121)</f>
        <v>-0.503247915463979</v>
      </c>
    </row>
    <row r="106" customFormat="false" ht="15" hidden="false" customHeight="false" outlineLevel="0" collapsed="false">
      <c r="A106" s="36" t="str">
        <f aca="false">City_Agg!A106</f>
        <v>Toba Tek Singh</v>
      </c>
      <c r="B106" s="13" t="n">
        <f aca="false">City_Agg!C106</f>
        <v>7</v>
      </c>
      <c r="C106" s="13" t="n">
        <f aca="false">City_Agg!D106</f>
        <v>0</v>
      </c>
      <c r="D106" s="13" t="n">
        <f aca="false">City_Agg!E106</f>
        <v>0</v>
      </c>
      <c r="E106" s="38" t="n">
        <f aca="false">IF(Clustering_Guide!$C$7=1,LN(1+MAX(B106,0)),B106)</f>
        <v>2.07944154167984</v>
      </c>
      <c r="F106" s="38" t="n">
        <f aca="false">IF(Clustering_Guide!$C$7=1,LN(1+MAX(C106,0)),C106)</f>
        <v>0</v>
      </c>
      <c r="G106" s="38" t="n">
        <f aca="false">IF(Clustering_Guide!$C$7=1,LN(1+MAX(D106,0)),D106)</f>
        <v>0</v>
      </c>
      <c r="H106" s="38" t="n">
        <f aca="false">(E106-AVERAGE(E$5:E$121))/STDEV(E$5:E$121)</f>
        <v>-0.997451006048382</v>
      </c>
      <c r="I106" s="38" t="n">
        <f aca="false">(F106-AVERAGE(F$5:F$121))/STDEV(F$5:F$121)</f>
        <v>-0.672650545388274</v>
      </c>
      <c r="J106" s="38" t="n">
        <f aca="false">(G106-AVERAGE(G$5:G$121))/STDEV(G$5:G$121)</f>
        <v>-1.14564411633355</v>
      </c>
    </row>
    <row r="107" customFormat="false" ht="15" hidden="false" customHeight="false" outlineLevel="0" collapsed="false">
      <c r="A107" s="36" t="str">
        <f aca="false">City_Agg!A107</f>
        <v>Khanewal</v>
      </c>
      <c r="B107" s="13" t="n">
        <f aca="false">City_Agg!C107</f>
        <v>7</v>
      </c>
      <c r="C107" s="13" t="n">
        <f aca="false">City_Agg!D107</f>
        <v>0</v>
      </c>
      <c r="D107" s="13" t="n">
        <f aca="false">City_Agg!E107</f>
        <v>0</v>
      </c>
      <c r="E107" s="38" t="n">
        <f aca="false">IF(Clustering_Guide!$C$7=1,LN(1+MAX(B107,0)),B107)</f>
        <v>2.07944154167984</v>
      </c>
      <c r="F107" s="38" t="n">
        <f aca="false">IF(Clustering_Guide!$C$7=1,LN(1+MAX(C107,0)),C107)</f>
        <v>0</v>
      </c>
      <c r="G107" s="38" t="n">
        <f aca="false">IF(Clustering_Guide!$C$7=1,LN(1+MAX(D107,0)),D107)</f>
        <v>0</v>
      </c>
      <c r="H107" s="38" t="n">
        <f aca="false">(E107-AVERAGE(E$5:E$121))/STDEV(E$5:E$121)</f>
        <v>-0.997451006048382</v>
      </c>
      <c r="I107" s="38" t="n">
        <f aca="false">(F107-AVERAGE(F$5:F$121))/STDEV(F$5:F$121)</f>
        <v>-0.672650545388274</v>
      </c>
      <c r="J107" s="38" t="n">
        <f aca="false">(G107-AVERAGE(G$5:G$121))/STDEV(G$5:G$121)</f>
        <v>-1.14564411633355</v>
      </c>
    </row>
    <row r="108" customFormat="false" ht="15" hidden="false" customHeight="false" outlineLevel="0" collapsed="false">
      <c r="A108" s="36" t="str">
        <f aca="false">City_Agg!A108</f>
        <v>Tharparkar</v>
      </c>
      <c r="B108" s="13" t="n">
        <f aca="false">City_Agg!C108</f>
        <v>7</v>
      </c>
      <c r="C108" s="13" t="n">
        <f aca="false">City_Agg!D108</f>
        <v>0</v>
      </c>
      <c r="D108" s="13" t="n">
        <f aca="false">City_Agg!E108</f>
        <v>2</v>
      </c>
      <c r="E108" s="38" t="n">
        <f aca="false">IF(Clustering_Guide!$C$7=1,LN(1+MAX(B108,0)),B108)</f>
        <v>2.07944154167984</v>
      </c>
      <c r="F108" s="38" t="n">
        <f aca="false">IF(Clustering_Guide!$C$7=1,LN(1+MAX(C108,0)),C108)</f>
        <v>0</v>
      </c>
      <c r="G108" s="38" t="n">
        <f aca="false">IF(Clustering_Guide!$C$7=1,LN(1+MAX(D108,0)),D108)</f>
        <v>1.09861228866811</v>
      </c>
      <c r="H108" s="38" t="n">
        <f aca="false">(E108-AVERAGE(E$5:E$121))/STDEV(E$5:E$121)</f>
        <v>-0.997451006048382</v>
      </c>
      <c r="I108" s="38" t="n">
        <f aca="false">(F108-AVERAGE(F$5:F$121))/STDEV(F$5:F$121)</f>
        <v>-0.672650545388274</v>
      </c>
      <c r="J108" s="38" t="n">
        <f aca="false">(G108-AVERAGE(G$5:G$121))/STDEV(G$5:G$121)</f>
        <v>-0.636557171841548</v>
      </c>
    </row>
    <row r="109" customFormat="false" ht="15" hidden="false" customHeight="false" outlineLevel="0" collapsed="false">
      <c r="A109" s="36" t="str">
        <f aca="false">City_Agg!A109</f>
        <v>Chakwal</v>
      </c>
      <c r="B109" s="13" t="n">
        <f aca="false">City_Agg!C109</f>
        <v>5</v>
      </c>
      <c r="C109" s="13" t="n">
        <f aca="false">City_Agg!D109</f>
        <v>0</v>
      </c>
      <c r="D109" s="13" t="n">
        <f aca="false">City_Agg!E109</f>
        <v>1</v>
      </c>
      <c r="E109" s="38" t="n">
        <f aca="false">IF(Clustering_Guide!$C$7=1,LN(1+MAX(B109,0)),B109)</f>
        <v>1.79175946922806</v>
      </c>
      <c r="F109" s="38" t="n">
        <f aca="false">IF(Clustering_Guide!$C$7=1,LN(1+MAX(C109,0)),C109)</f>
        <v>0</v>
      </c>
      <c r="G109" s="38" t="n">
        <f aca="false">IF(Clustering_Guide!$C$7=1,LN(1+MAX(D109,0)),D109)</f>
        <v>0.693147180559945</v>
      </c>
      <c r="H109" s="38" t="n">
        <f aca="false">(E109-AVERAGE(E$5:E$121))/STDEV(E$5:E$121)</f>
        <v>-1.14718089935485</v>
      </c>
      <c r="I109" s="38" t="n">
        <f aca="false">(F109-AVERAGE(F$5:F$121))/STDEV(F$5:F$121)</f>
        <v>-0.672650545388274</v>
      </c>
      <c r="J109" s="38" t="n">
        <f aca="false">(G109-AVERAGE(G$5:G$121))/STDEV(G$5:G$121)</f>
        <v>-0.824446015898766</v>
      </c>
    </row>
    <row r="110" customFormat="false" ht="15" hidden="false" customHeight="false" outlineLevel="0" collapsed="false">
      <c r="A110" s="36" t="str">
        <f aca="false">City_Agg!A110</f>
        <v>Pishin</v>
      </c>
      <c r="B110" s="13" t="n">
        <f aca="false">City_Agg!C110</f>
        <v>3</v>
      </c>
      <c r="C110" s="13" t="n">
        <f aca="false">City_Agg!D110</f>
        <v>0</v>
      </c>
      <c r="D110" s="13" t="n">
        <f aca="false">City_Agg!E110</f>
        <v>0</v>
      </c>
      <c r="E110" s="38" t="n">
        <f aca="false">IF(Clustering_Guide!$C$7=1,LN(1+MAX(B110,0)),B110)</f>
        <v>1.38629436111989</v>
      </c>
      <c r="F110" s="38" t="n">
        <f aca="false">IF(Clustering_Guide!$C$7=1,LN(1+MAX(C110,0)),C110)</f>
        <v>0</v>
      </c>
      <c r="G110" s="38" t="n">
        <f aca="false">IF(Clustering_Guide!$C$7=1,LN(1+MAX(D110,0)),D110)</f>
        <v>0</v>
      </c>
      <c r="H110" s="38" t="n">
        <f aca="false">(E110-AVERAGE(E$5:E$121))/STDEV(E$5:E$121)</f>
        <v>-1.35821333130003</v>
      </c>
      <c r="I110" s="38" t="n">
        <f aca="false">(F110-AVERAGE(F$5:F$121))/STDEV(F$5:F$121)</f>
        <v>-0.672650545388274</v>
      </c>
      <c r="J110" s="38" t="n">
        <f aca="false">(G110-AVERAGE(G$5:G$121))/STDEV(G$5:G$121)</f>
        <v>-1.14564411633355</v>
      </c>
    </row>
    <row r="111" customFormat="false" ht="15" hidden="false" customHeight="false" outlineLevel="0" collapsed="false">
      <c r="A111" s="36" t="str">
        <f aca="false">City_Agg!A111</f>
        <v>Kohistan Lower</v>
      </c>
      <c r="B111" s="13" t="n">
        <f aca="false">City_Agg!C111</f>
        <v>2</v>
      </c>
      <c r="C111" s="13" t="n">
        <f aca="false">City_Agg!D111</f>
        <v>0</v>
      </c>
      <c r="D111" s="13" t="n">
        <f aca="false">City_Agg!E111</f>
        <v>0</v>
      </c>
      <c r="E111" s="38" t="n">
        <f aca="false">IF(Clustering_Guide!$C$7=1,LN(1+MAX(B111,0)),B111)</f>
        <v>1.09861228866811</v>
      </c>
      <c r="F111" s="38" t="n">
        <f aca="false">IF(Clustering_Guide!$C$7=1,LN(1+MAX(C111,0)),C111)</f>
        <v>0</v>
      </c>
      <c r="G111" s="38" t="n">
        <f aca="false">IF(Clustering_Guide!$C$7=1,LN(1+MAX(D111,0)),D111)</f>
        <v>0</v>
      </c>
      <c r="H111" s="38" t="n">
        <f aca="false">(E111-AVERAGE(E$5:E$121))/STDEV(E$5:E$121)</f>
        <v>-1.50794322460649</v>
      </c>
      <c r="I111" s="38" t="n">
        <f aca="false">(F111-AVERAGE(F$5:F$121))/STDEV(F$5:F$121)</f>
        <v>-0.672650545388274</v>
      </c>
      <c r="J111" s="38" t="n">
        <f aca="false">(G111-AVERAGE(G$5:G$121))/STDEV(G$5:G$121)</f>
        <v>-1.14564411633355</v>
      </c>
    </row>
    <row r="112" customFormat="false" ht="15" hidden="false" customHeight="false" outlineLevel="0" collapsed="false">
      <c r="A112" s="36" t="str">
        <f aca="false">City_Agg!A112</f>
        <v>Bhambore</v>
      </c>
      <c r="B112" s="13" t="n">
        <f aca="false">City_Agg!C112</f>
        <v>2</v>
      </c>
      <c r="C112" s="13" t="n">
        <f aca="false">City_Agg!D112</f>
        <v>0</v>
      </c>
      <c r="D112" s="13" t="n">
        <f aca="false">City_Agg!E112</f>
        <v>0</v>
      </c>
      <c r="E112" s="38" t="n">
        <f aca="false">IF(Clustering_Guide!$C$7=1,LN(1+MAX(B112,0)),B112)</f>
        <v>1.09861228866811</v>
      </c>
      <c r="F112" s="38" t="n">
        <f aca="false">IF(Clustering_Guide!$C$7=1,LN(1+MAX(C112,0)),C112)</f>
        <v>0</v>
      </c>
      <c r="G112" s="38" t="n">
        <f aca="false">IF(Clustering_Guide!$C$7=1,LN(1+MAX(D112,0)),D112)</f>
        <v>0</v>
      </c>
      <c r="H112" s="38" t="n">
        <f aca="false">(E112-AVERAGE(E$5:E$121))/STDEV(E$5:E$121)</f>
        <v>-1.50794322460649</v>
      </c>
      <c r="I112" s="38" t="n">
        <f aca="false">(F112-AVERAGE(F$5:F$121))/STDEV(F$5:F$121)</f>
        <v>-0.672650545388274</v>
      </c>
      <c r="J112" s="38" t="n">
        <f aca="false">(G112-AVERAGE(G$5:G$121))/STDEV(G$5:G$121)</f>
        <v>-1.14564411633355</v>
      </c>
    </row>
    <row r="113" customFormat="false" ht="15" hidden="false" customHeight="false" outlineLevel="0" collapsed="false">
      <c r="A113" s="36" t="str">
        <f aca="false">City_Agg!A113</f>
        <v>Jhang</v>
      </c>
      <c r="B113" s="13" t="n">
        <f aca="false">City_Agg!C113</f>
        <v>2</v>
      </c>
      <c r="C113" s="13" t="n">
        <f aca="false">City_Agg!D113</f>
        <v>0</v>
      </c>
      <c r="D113" s="13" t="n">
        <f aca="false">City_Agg!E113</f>
        <v>0</v>
      </c>
      <c r="E113" s="38" t="n">
        <f aca="false">IF(Clustering_Guide!$C$7=1,LN(1+MAX(B113,0)),B113)</f>
        <v>1.09861228866811</v>
      </c>
      <c r="F113" s="38" t="n">
        <f aca="false">IF(Clustering_Guide!$C$7=1,LN(1+MAX(C113,0)),C113)</f>
        <v>0</v>
      </c>
      <c r="G113" s="38" t="n">
        <f aca="false">IF(Clustering_Guide!$C$7=1,LN(1+MAX(D113,0)),D113)</f>
        <v>0</v>
      </c>
      <c r="H113" s="38" t="n">
        <f aca="false">(E113-AVERAGE(E$5:E$121))/STDEV(E$5:E$121)</f>
        <v>-1.50794322460649</v>
      </c>
      <c r="I113" s="38" t="n">
        <f aca="false">(F113-AVERAGE(F$5:F$121))/STDEV(F$5:F$121)</f>
        <v>-0.672650545388274</v>
      </c>
      <c r="J113" s="38" t="n">
        <f aca="false">(G113-AVERAGE(G$5:G$121))/STDEV(G$5:G$121)</f>
        <v>-1.14564411633355</v>
      </c>
    </row>
    <row r="114" customFormat="false" ht="15" hidden="false" customHeight="false" outlineLevel="0" collapsed="false">
      <c r="A114" s="36" t="str">
        <f aca="false">City_Agg!A114</f>
        <v>Tor Ghar</v>
      </c>
      <c r="B114" s="13" t="n">
        <f aca="false">City_Agg!C114</f>
        <v>2</v>
      </c>
      <c r="C114" s="13" t="n">
        <f aca="false">City_Agg!D114</f>
        <v>0</v>
      </c>
      <c r="D114" s="13" t="n">
        <f aca="false">City_Agg!E114</f>
        <v>0</v>
      </c>
      <c r="E114" s="38" t="n">
        <f aca="false">IF(Clustering_Guide!$C$7=1,LN(1+MAX(B114,0)),B114)</f>
        <v>1.09861228866811</v>
      </c>
      <c r="F114" s="38" t="n">
        <f aca="false">IF(Clustering_Guide!$C$7=1,LN(1+MAX(C114,0)),C114)</f>
        <v>0</v>
      </c>
      <c r="G114" s="38" t="n">
        <f aca="false">IF(Clustering_Guide!$C$7=1,LN(1+MAX(D114,0)),D114)</f>
        <v>0</v>
      </c>
      <c r="H114" s="38" t="n">
        <f aca="false">(E114-AVERAGE(E$5:E$121))/STDEV(E$5:E$121)</f>
        <v>-1.50794322460649</v>
      </c>
      <c r="I114" s="38" t="n">
        <f aca="false">(F114-AVERAGE(F$5:F$121))/STDEV(F$5:F$121)</f>
        <v>-0.672650545388274</v>
      </c>
      <c r="J114" s="38" t="n">
        <f aca="false">(G114-AVERAGE(G$5:G$121))/STDEV(G$5:G$121)</f>
        <v>-1.14564411633355</v>
      </c>
    </row>
    <row r="115" customFormat="false" ht="15" hidden="false" customHeight="false" outlineLevel="0" collapsed="false">
      <c r="A115" s="36" t="str">
        <f aca="false">City_Agg!A115</f>
        <v>Trarkhel</v>
      </c>
      <c r="B115" s="13" t="n">
        <f aca="false">City_Agg!C115</f>
        <v>1</v>
      </c>
      <c r="C115" s="13" t="n">
        <f aca="false">City_Agg!D115</f>
        <v>0</v>
      </c>
      <c r="D115" s="13" t="n">
        <f aca="false">City_Agg!E115</f>
        <v>0</v>
      </c>
      <c r="E115" s="38" t="n">
        <f aca="false">IF(Clustering_Guide!$C$7=1,LN(1+MAX(B115,0)),B115)</f>
        <v>0.693147180559945</v>
      </c>
      <c r="F115" s="38" t="n">
        <f aca="false">IF(Clustering_Guide!$C$7=1,LN(1+MAX(C115,0)),C115)</f>
        <v>0</v>
      </c>
      <c r="G115" s="38" t="n">
        <f aca="false">IF(Clustering_Guide!$C$7=1,LN(1+MAX(D115,0)),D115)</f>
        <v>0</v>
      </c>
      <c r="H115" s="38" t="n">
        <f aca="false">(E115-AVERAGE(E$5:E$121))/STDEV(E$5:E$121)</f>
        <v>-1.71897565655168</v>
      </c>
      <c r="I115" s="38" t="n">
        <f aca="false">(F115-AVERAGE(F$5:F$121))/STDEV(F$5:F$121)</f>
        <v>-0.672650545388274</v>
      </c>
      <c r="J115" s="38" t="n">
        <f aca="false">(G115-AVERAGE(G$5:G$121))/STDEV(G$5:G$121)</f>
        <v>-1.14564411633355</v>
      </c>
    </row>
    <row r="116" customFormat="false" ht="15" hidden="false" customHeight="false" outlineLevel="0" collapsed="false">
      <c r="A116" s="36" t="str">
        <f aca="false">City_Agg!A116</f>
        <v>Kohistan Upper</v>
      </c>
      <c r="B116" s="13" t="n">
        <f aca="false">City_Agg!C116</f>
        <v>1</v>
      </c>
      <c r="C116" s="13" t="n">
        <f aca="false">City_Agg!D116</f>
        <v>0</v>
      </c>
      <c r="D116" s="13" t="n">
        <f aca="false">City_Agg!E116</f>
        <v>0</v>
      </c>
      <c r="E116" s="38" t="n">
        <f aca="false">IF(Clustering_Guide!$C$7=1,LN(1+MAX(B116,0)),B116)</f>
        <v>0.693147180559945</v>
      </c>
      <c r="F116" s="38" t="n">
        <f aca="false">IF(Clustering_Guide!$C$7=1,LN(1+MAX(C116,0)),C116)</f>
        <v>0</v>
      </c>
      <c r="G116" s="38" t="n">
        <f aca="false">IF(Clustering_Guide!$C$7=1,LN(1+MAX(D116,0)),D116)</f>
        <v>0</v>
      </c>
      <c r="H116" s="38" t="n">
        <f aca="false">(E116-AVERAGE(E$5:E$121))/STDEV(E$5:E$121)</f>
        <v>-1.71897565655168</v>
      </c>
      <c r="I116" s="38" t="n">
        <f aca="false">(F116-AVERAGE(F$5:F$121))/STDEV(F$5:F$121)</f>
        <v>-0.672650545388274</v>
      </c>
      <c r="J116" s="38" t="n">
        <f aca="false">(G116-AVERAGE(G$5:G$121))/STDEV(G$5:G$121)</f>
        <v>-1.14564411633355</v>
      </c>
    </row>
    <row r="117" customFormat="false" ht="15" hidden="false" customHeight="false" outlineLevel="0" collapsed="false">
      <c r="A117" s="36" t="str">
        <f aca="false">City_Agg!A117</f>
        <v>Okara</v>
      </c>
      <c r="B117" s="13" t="n">
        <f aca="false">City_Agg!C117</f>
        <v>1</v>
      </c>
      <c r="C117" s="13" t="n">
        <f aca="false">City_Agg!D117</f>
        <v>0</v>
      </c>
      <c r="D117" s="13" t="n">
        <f aca="false">City_Agg!E117</f>
        <v>0</v>
      </c>
      <c r="E117" s="38" t="n">
        <f aca="false">IF(Clustering_Guide!$C$7=1,LN(1+MAX(B117,0)),B117)</f>
        <v>0.693147180559945</v>
      </c>
      <c r="F117" s="38" t="n">
        <f aca="false">IF(Clustering_Guide!$C$7=1,LN(1+MAX(C117,0)),C117)</f>
        <v>0</v>
      </c>
      <c r="G117" s="38" t="n">
        <f aca="false">IF(Clustering_Guide!$C$7=1,LN(1+MAX(D117,0)),D117)</f>
        <v>0</v>
      </c>
      <c r="H117" s="38" t="n">
        <f aca="false">(E117-AVERAGE(E$5:E$121))/STDEV(E$5:E$121)</f>
        <v>-1.71897565655168</v>
      </c>
      <c r="I117" s="38" t="n">
        <f aca="false">(F117-AVERAGE(F$5:F$121))/STDEV(F$5:F$121)</f>
        <v>-0.672650545388274</v>
      </c>
      <c r="J117" s="38" t="n">
        <f aca="false">(G117-AVERAGE(G$5:G$121))/STDEV(G$5:G$121)</f>
        <v>-1.14564411633355</v>
      </c>
    </row>
    <row r="118" customFormat="false" ht="15" hidden="false" customHeight="false" outlineLevel="0" collapsed="false">
      <c r="A118" s="36" t="str">
        <f aca="false">City_Agg!A118</f>
        <v>Ziarat</v>
      </c>
      <c r="B118" s="13" t="n">
        <f aca="false">City_Agg!C118</f>
        <v>1</v>
      </c>
      <c r="C118" s="13" t="n">
        <f aca="false">City_Agg!D118</f>
        <v>0</v>
      </c>
      <c r="D118" s="13" t="n">
        <f aca="false">City_Agg!E118</f>
        <v>0</v>
      </c>
      <c r="E118" s="38" t="n">
        <f aca="false">IF(Clustering_Guide!$C$7=1,LN(1+MAX(B118,0)),B118)</f>
        <v>0.693147180559945</v>
      </c>
      <c r="F118" s="38" t="n">
        <f aca="false">IF(Clustering_Guide!$C$7=1,LN(1+MAX(C118,0)),C118)</f>
        <v>0</v>
      </c>
      <c r="G118" s="38" t="n">
        <f aca="false">IF(Clustering_Guide!$C$7=1,LN(1+MAX(D118,0)),D118)</f>
        <v>0</v>
      </c>
      <c r="H118" s="38" t="n">
        <f aca="false">(E118-AVERAGE(E$5:E$121))/STDEV(E$5:E$121)</f>
        <v>-1.71897565655168</v>
      </c>
      <c r="I118" s="38" t="n">
        <f aca="false">(F118-AVERAGE(F$5:F$121))/STDEV(F$5:F$121)</f>
        <v>-0.672650545388274</v>
      </c>
      <c r="J118" s="38" t="n">
        <f aca="false">(G118-AVERAGE(G$5:G$121))/STDEV(G$5:G$121)</f>
        <v>-1.14564411633355</v>
      </c>
    </row>
    <row r="119" customFormat="false" ht="15" hidden="false" customHeight="false" outlineLevel="0" collapsed="false">
      <c r="A119" s="36" t="str">
        <f aca="false">City_Agg!A119</f>
        <v>Pakpatan</v>
      </c>
      <c r="B119" s="13" t="n">
        <f aca="false">City_Agg!C119</f>
        <v>1</v>
      </c>
      <c r="C119" s="13" t="n">
        <f aca="false">City_Agg!D119</f>
        <v>0</v>
      </c>
      <c r="D119" s="13" t="n">
        <f aca="false">City_Agg!E119</f>
        <v>0</v>
      </c>
      <c r="E119" s="38" t="n">
        <f aca="false">IF(Clustering_Guide!$C$7=1,LN(1+MAX(B119,0)),B119)</f>
        <v>0.693147180559945</v>
      </c>
      <c r="F119" s="38" t="n">
        <f aca="false">IF(Clustering_Guide!$C$7=1,LN(1+MAX(C119,0)),C119)</f>
        <v>0</v>
      </c>
      <c r="G119" s="38" t="n">
        <f aca="false">IF(Clustering_Guide!$C$7=1,LN(1+MAX(D119,0)),D119)</f>
        <v>0</v>
      </c>
      <c r="H119" s="38" t="n">
        <f aca="false">(E119-AVERAGE(E$5:E$121))/STDEV(E$5:E$121)</f>
        <v>-1.71897565655168</v>
      </c>
      <c r="I119" s="38" t="n">
        <f aca="false">(F119-AVERAGE(F$5:F$121))/STDEV(F$5:F$121)</f>
        <v>-0.672650545388274</v>
      </c>
      <c r="J119" s="38" t="n">
        <f aca="false">(G119-AVERAGE(G$5:G$121))/STDEV(G$5:G$121)</f>
        <v>-1.14564411633355</v>
      </c>
    </row>
    <row r="120" customFormat="false" ht="15" hidden="false" customHeight="false" outlineLevel="0" collapsed="false">
      <c r="A120" s="36" t="str">
        <f aca="false">City_Agg!A120</f>
        <v>Chitral</v>
      </c>
      <c r="B120" s="13" t="n">
        <f aca="false">City_Agg!C120</f>
        <v>0</v>
      </c>
      <c r="C120" s="13" t="n">
        <f aca="false">City_Agg!D120</f>
        <v>0</v>
      </c>
      <c r="D120" s="13" t="n">
        <f aca="false">City_Agg!E120</f>
        <v>0</v>
      </c>
      <c r="E120" s="38" t="n">
        <f aca="false">IF(Clustering_Guide!$C$7=1,LN(1+MAX(B120,0)),B120)</f>
        <v>0</v>
      </c>
      <c r="F120" s="38" t="n">
        <f aca="false">IF(Clustering_Guide!$C$7=1,LN(1+MAX(C120,0)),C120)</f>
        <v>0</v>
      </c>
      <c r="G120" s="38" t="n">
        <f aca="false">IF(Clustering_Guide!$C$7=1,LN(1+MAX(D120,0)),D120)</f>
        <v>0</v>
      </c>
      <c r="H120" s="38" t="n">
        <f aca="false">(E120-AVERAGE(E$5:E$121))/STDEV(E$5:E$121)</f>
        <v>-2.07973798180332</v>
      </c>
      <c r="I120" s="38" t="n">
        <f aca="false">(F120-AVERAGE(F$5:F$121))/STDEV(F$5:F$121)</f>
        <v>-0.672650545388274</v>
      </c>
      <c r="J120" s="38" t="n">
        <f aca="false">(G120-AVERAGE(G$5:G$121))/STDEV(G$5:G$121)</f>
        <v>-1.14564411633355</v>
      </c>
    </row>
    <row r="121" customFormat="false" ht="15" hidden="false" customHeight="false" outlineLevel="0" collapsed="false">
      <c r="A121" s="36" t="str">
        <f aca="false">City_Agg!A121</f>
        <v>Kolai Pallas</v>
      </c>
      <c r="B121" s="13" t="n">
        <f aca="false">City_Agg!C121</f>
        <v>0</v>
      </c>
      <c r="C121" s="13" t="n">
        <f aca="false">City_Agg!D121</f>
        <v>0</v>
      </c>
      <c r="D121" s="13" t="n">
        <f aca="false">City_Agg!E121</f>
        <v>0</v>
      </c>
      <c r="E121" s="38" t="n">
        <f aca="false">IF(Clustering_Guide!$C$7=1,LN(1+MAX(B121,0)),B121)</f>
        <v>0</v>
      </c>
      <c r="F121" s="38" t="n">
        <f aca="false">IF(Clustering_Guide!$C$7=1,LN(1+MAX(C121,0)),C121)</f>
        <v>0</v>
      </c>
      <c r="G121" s="38" t="n">
        <f aca="false">IF(Clustering_Guide!$C$7=1,LN(1+MAX(D121,0)),D121)</f>
        <v>0</v>
      </c>
      <c r="H121" s="38" t="n">
        <f aca="false">(E121-AVERAGE(E$5:E$121))/STDEV(E$5:E$121)</f>
        <v>-2.07973798180332</v>
      </c>
      <c r="I121" s="38" t="n">
        <f aca="false">(F121-AVERAGE(F$5:F$121))/STDEV(F$5:F$121)</f>
        <v>-0.672650545388274</v>
      </c>
      <c r="J121" s="38" t="n">
        <f aca="false">(G121-AVERAGE(G$5:G$121))/STDEV(G$5:G$121)</f>
        <v>-1.14564411633355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CD1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2" topLeftCell="B23" activePane="bottomRight" state="frozen"/>
      <selection pane="topLeft" activeCell="A1" activeCellId="0" sqref="A1"/>
      <selection pane="topRight" activeCell="B1" activeCellId="0" sqref="B1"/>
      <selection pane="bottomLeft" activeCell="A23" activeCellId="0" sqref="A2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3"/>
    <col collapsed="false" customWidth="true" hidden="false" outlineLevel="0" max="14" min="12" style="0" width="10"/>
    <col collapsed="false" customWidth="true" hidden="false" outlineLevel="0" max="21" min="15" style="0" width="11"/>
    <col collapsed="false" customWidth="true" hidden="false" outlineLevel="0" max="23" min="23" style="0" width="13"/>
    <col collapsed="false" customWidth="true" hidden="false" outlineLevel="0" max="26" min="24" style="0" width="10"/>
    <col collapsed="false" customWidth="true" hidden="false" outlineLevel="0" max="27" min="27" style="0" width="9"/>
    <col collapsed="false" customWidth="true" hidden="false" outlineLevel="0" max="28" min="28" style="0" width="2"/>
    <col collapsed="false" customWidth="true" hidden="false" outlineLevel="0" max="31" min="29" style="0" width="10"/>
    <col collapsed="false" customWidth="true" hidden="false" outlineLevel="0" max="32" min="32" style="0" width="9"/>
    <col collapsed="false" customWidth="true" hidden="false" outlineLevel="0" max="33" min="33" style="0" width="2"/>
    <col collapsed="false" customWidth="true" hidden="false" outlineLevel="0" max="36" min="34" style="0" width="10"/>
    <col collapsed="false" customWidth="true" hidden="false" outlineLevel="0" max="37" min="37" style="0" width="9"/>
    <col collapsed="false" customWidth="true" hidden="false" outlineLevel="0" max="38" min="38" style="0" width="2"/>
    <col collapsed="false" customWidth="true" hidden="false" outlineLevel="0" max="41" min="39" style="0" width="10"/>
    <col collapsed="false" customWidth="true" hidden="false" outlineLevel="0" max="42" min="42" style="0" width="9"/>
    <col collapsed="false" customWidth="true" hidden="false" outlineLevel="0" max="43" min="43" style="0" width="2"/>
    <col collapsed="false" customWidth="true" hidden="false" outlineLevel="0" max="46" min="44" style="0" width="10"/>
    <col collapsed="false" customWidth="true" hidden="false" outlineLevel="0" max="47" min="47" style="0" width="9"/>
    <col collapsed="false" customWidth="true" hidden="false" outlineLevel="0" max="48" min="48" style="0" width="2"/>
    <col collapsed="false" customWidth="true" hidden="false" outlineLevel="0" max="51" min="49" style="0" width="10"/>
    <col collapsed="false" customWidth="true" hidden="false" outlineLevel="0" max="52" min="52" style="0" width="9"/>
    <col collapsed="false" customWidth="true" hidden="false" outlineLevel="0" max="53" min="53" style="0" width="2"/>
    <col collapsed="false" customWidth="true" hidden="false" outlineLevel="0" max="56" min="54" style="0" width="10"/>
    <col collapsed="false" customWidth="true" hidden="false" outlineLevel="0" max="57" min="57" style="0" width="9"/>
    <col collapsed="false" customWidth="true" hidden="false" outlineLevel="0" max="58" min="58" style="0" width="2"/>
    <col collapsed="false" customWidth="true" hidden="false" outlineLevel="0" max="61" min="59" style="0" width="10"/>
    <col collapsed="false" customWidth="true" hidden="false" outlineLevel="0" max="62" min="62" style="0" width="9"/>
    <col collapsed="false" customWidth="true" hidden="false" outlineLevel="0" max="63" min="63" style="0" width="2"/>
    <col collapsed="false" customWidth="true" hidden="false" outlineLevel="0" max="66" min="64" style="0" width="10"/>
    <col collapsed="false" customWidth="true" hidden="false" outlineLevel="0" max="67" min="67" style="0" width="9"/>
    <col collapsed="false" customWidth="true" hidden="false" outlineLevel="0" max="68" min="68" style="0" width="2"/>
    <col collapsed="false" customWidth="true" hidden="false" outlineLevel="0" max="71" min="69" style="0" width="10"/>
    <col collapsed="false" customWidth="true" hidden="false" outlineLevel="0" max="72" min="72" style="0" width="9"/>
    <col collapsed="false" customWidth="true" hidden="false" outlineLevel="0" max="73" min="73" style="0" width="2"/>
    <col collapsed="false" customWidth="true" hidden="false" outlineLevel="0" max="76" min="74" style="0" width="10"/>
    <col collapsed="false" customWidth="true" hidden="false" outlineLevel="0" max="77" min="77" style="0" width="9"/>
    <col collapsed="false" customWidth="true" hidden="false" outlineLevel="0" max="78" min="78" style="0" width="2"/>
    <col collapsed="false" customWidth="true" hidden="false" outlineLevel="0" max="81" min="79" style="0" width="10"/>
    <col collapsed="false" customWidth="true" hidden="false" outlineLevel="0" max="82" min="82" style="0" width="9"/>
    <col collapsed="false" customWidth="true" hidden="false" outlineLevel="0" max="83" min="83" style="0" width="2"/>
  </cols>
  <sheetData>
    <row r="1" customFormat="false" ht="19.7" hidden="false" customHeight="false" outlineLevel="0" collapsed="false">
      <c r="A1" s="1" t="s">
        <v>704</v>
      </c>
    </row>
    <row r="2" customFormat="false" ht="15" hidden="false" customHeight="false" outlineLevel="0" collapsed="false">
      <c r="A2" s="2" t="s">
        <v>705</v>
      </c>
    </row>
    <row r="4" customFormat="false" ht="31.5" hidden="false" customHeight="true" outlineLevel="0" collapsed="false">
      <c r="A4" s="68" t="s">
        <v>706</v>
      </c>
      <c r="B4" s="69"/>
      <c r="L4" s="10" t="s">
        <v>707</v>
      </c>
      <c r="M4" s="10" t="s">
        <v>708</v>
      </c>
      <c r="N4" s="10" t="s">
        <v>709</v>
      </c>
      <c r="O4" s="10" t="s">
        <v>156</v>
      </c>
      <c r="P4" s="10" t="s">
        <v>158</v>
      </c>
      <c r="Q4" s="10" t="s">
        <v>710</v>
      </c>
      <c r="R4" s="10" t="s">
        <v>590</v>
      </c>
      <c r="S4" s="10" t="s">
        <v>66</v>
      </c>
    </row>
    <row r="5" customFormat="false" ht="15" hidden="false" customHeight="false" outlineLevel="0" collapsed="false">
      <c r="A5" s="40" t="s">
        <v>711</v>
      </c>
      <c r="B5" s="15" t="n">
        <v>3</v>
      </c>
      <c r="L5" s="63" t="n">
        <v>1</v>
      </c>
      <c r="M5" s="36" t="str">
        <f aca="false">CHOOSE(RANK(O5,$O$5:$O$7,0),"High burden","Medium burden","Low burden")</f>
        <v>High burden</v>
      </c>
      <c r="N5" s="15" t="n">
        <f aca="false">COUNTIF($E$23:$E$139,L5)</f>
        <v>6</v>
      </c>
      <c r="O5" s="16" t="n">
        <f aca="false">IFERROR(AVERAGEIF($E$23:$E$139,L5,KMeans_Data!$B$5:$B$121),0)</f>
        <v>11979</v>
      </c>
      <c r="P5" s="16" t="n">
        <f aca="false">IFERROR(AVERAGEIF($E$23:$E$139,L5,KMeans_Data!$C$5:$C$121),0)</f>
        <v>245.833333333333</v>
      </c>
      <c r="Q5" s="16" t="n">
        <f aca="false">IFERROR(AVERAGEIF($E$23:$E$139,L5,KMeans_Data!$D$5:$D$121),0)</f>
        <v>3369.16666666667</v>
      </c>
      <c r="R5" s="26" t="n">
        <f aca="false">IFERROR(SUMIF($E$23:$E$139,L5,KMeans_Data!$C$5:$C$121)/SUMIF($E$23:$E$139,L5,KMeans_Data!$B$5:$B$121)*100,0)</f>
        <v>2.05220246542561</v>
      </c>
      <c r="S5" s="14" t="n">
        <f aca="false">SUMIF($E$23:$E$139,L5,KMeans_Data!$B$5:$B$121)/SUM(KMeans_Data!$B$5:$B$121)</f>
        <v>0.855795677799607</v>
      </c>
    </row>
    <row r="6" customFormat="false" ht="15" hidden="false" customHeight="false" outlineLevel="0" collapsed="false">
      <c r="A6" s="40" t="s">
        <v>712</v>
      </c>
      <c r="B6" s="15" t="n">
        <f aca="false">Clustering_Guide!$C$7</f>
        <v>1</v>
      </c>
      <c r="L6" s="63" t="n">
        <v>2</v>
      </c>
      <c r="M6" s="36" t="str">
        <f aca="false">CHOOSE(RANK(O6,$O$5:$O$7,0),"High burden","Medium burden","Low burden")</f>
        <v>Low burden</v>
      </c>
      <c r="N6" s="15" t="n">
        <f aca="false">COUNTIF($E$23:$E$139,L6)</f>
        <v>63</v>
      </c>
      <c r="O6" s="16" t="n">
        <f aca="false">IFERROR(AVERAGEIF($E$23:$E$139,L6,KMeans_Data!$B$5:$B$121),0)</f>
        <v>31.0952380952381</v>
      </c>
      <c r="P6" s="16" t="n">
        <f aca="false">IFERROR(AVERAGEIF($E$23:$E$139,L6,KMeans_Data!$C$5:$C$121),0)</f>
        <v>0.0952380952380952</v>
      </c>
      <c r="Q6" s="16" t="n">
        <f aca="false">IFERROR(AVERAGEIF($E$23:$E$139,L6,KMeans_Data!$D$5:$D$121),0)</f>
        <v>3.22222222222222</v>
      </c>
      <c r="R6" s="26" t="n">
        <f aca="false">IFERROR(SUMIF($E$23:$E$139,L6,KMeans_Data!$C$5:$C$121)/SUMIF($E$23:$E$139,L6,KMeans_Data!$B$5:$B$121)*100,0)</f>
        <v>0.306278713629403</v>
      </c>
      <c r="S6" s="14" t="n">
        <f aca="false">SUMIF($E$23:$E$139,L6,KMeans_Data!$B$5:$B$121)/SUM(KMeans_Data!$B$5:$B$121)</f>
        <v>0.0233255938560457</v>
      </c>
    </row>
    <row r="7" customFormat="false" ht="15" hidden="false" customHeight="false" outlineLevel="0" collapsed="false">
      <c r="A7" s="68" t="s">
        <v>713</v>
      </c>
      <c r="B7" s="69"/>
      <c r="L7" s="63" t="n">
        <v>3</v>
      </c>
      <c r="M7" s="36" t="str">
        <f aca="false">CHOOSE(RANK(O7,$O$5:$O$7,0),"High burden","Medium burden","Low burden")</f>
        <v>Medium burden</v>
      </c>
      <c r="N7" s="15" t="n">
        <f aca="false">COUNTIF($E$23:$E$139,L7)</f>
        <v>48</v>
      </c>
      <c r="O7" s="16" t="n">
        <f aca="false">IFERROR(AVERAGEIF($E$23:$E$139,L7,KMeans_Data!$B$5:$B$121),0)</f>
        <v>211.5</v>
      </c>
      <c r="P7" s="16" t="n">
        <f aca="false">IFERROR(AVERAGEIF($E$23:$E$139,L7,KMeans_Data!$C$5:$C$121),0)</f>
        <v>5.14583333333333</v>
      </c>
      <c r="Q7" s="16" t="n">
        <f aca="false">IFERROR(AVERAGEIF($E$23:$E$139,L7,KMeans_Data!$D$5:$D$121),0)</f>
        <v>90.3125</v>
      </c>
      <c r="R7" s="26" t="n">
        <f aca="false">IFERROR(SUMIF($E$23:$E$139,L7,KMeans_Data!$C$5:$C$121)/SUMIF($E$23:$E$139,L7,KMeans_Data!$B$5:$B$121)*100,0)</f>
        <v>2.43301812450749</v>
      </c>
      <c r="S7" s="14" t="n">
        <f aca="false">SUMIF($E$23:$E$139,L7,KMeans_Data!$B$5:$B$121)/SUM(KMeans_Data!$B$5:$B$121)</f>
        <v>0.120878728344347</v>
      </c>
    </row>
    <row r="8" customFormat="false" ht="15" hidden="false" customHeight="false" outlineLevel="0" collapsed="false">
      <c r="A8" s="40" t="s">
        <v>714</v>
      </c>
      <c r="B8" s="32" t="s">
        <v>91</v>
      </c>
      <c r="L8" s="20" t="s">
        <v>53</v>
      </c>
      <c r="M8" s="20"/>
      <c r="N8" s="21" t="n">
        <f aca="false">SUM(N5:N7)</f>
        <v>117</v>
      </c>
      <c r="O8" s="20"/>
      <c r="P8" s="20"/>
      <c r="Q8" s="20"/>
      <c r="R8" s="20"/>
      <c r="S8" s="25" t="n">
        <f aca="false">SUM(S5:S7)</f>
        <v>1</v>
      </c>
    </row>
    <row r="9" customFormat="false" ht="15" hidden="false" customHeight="false" outlineLevel="0" collapsed="false">
      <c r="A9" s="40" t="s">
        <v>715</v>
      </c>
      <c r="B9" s="32" t="s">
        <v>691</v>
      </c>
    </row>
    <row r="10" customFormat="false" ht="15" hidden="false" customHeight="false" outlineLevel="0" collapsed="false">
      <c r="A10" s="40" t="s">
        <v>716</v>
      </c>
      <c r="B10" s="32" t="s">
        <v>104</v>
      </c>
    </row>
    <row r="11" customFormat="false" ht="15" hidden="false" customHeight="false" outlineLevel="0" collapsed="false">
      <c r="A11" s="46" t="s">
        <v>717</v>
      </c>
    </row>
    <row r="15" customFormat="false" ht="15" hidden="false" customHeight="false" outlineLevel="0" collapsed="false">
      <c r="L15" s="68" t="s">
        <v>718</v>
      </c>
      <c r="M15" s="69"/>
      <c r="N15" s="69"/>
      <c r="X15" s="68" t="s">
        <v>719</v>
      </c>
      <c r="Y15" s="69"/>
      <c r="Z15" s="69"/>
      <c r="AC15" s="68" t="s">
        <v>720</v>
      </c>
      <c r="AD15" s="69"/>
      <c r="AE15" s="69"/>
      <c r="AH15" s="68" t="s">
        <v>721</v>
      </c>
      <c r="AI15" s="69"/>
      <c r="AJ15" s="69"/>
      <c r="AM15" s="68" t="s">
        <v>722</v>
      </c>
      <c r="AN15" s="69"/>
      <c r="AO15" s="69"/>
      <c r="AR15" s="68" t="s">
        <v>723</v>
      </c>
      <c r="AS15" s="69"/>
      <c r="AT15" s="69"/>
      <c r="AW15" s="68" t="s">
        <v>724</v>
      </c>
      <c r="AX15" s="69"/>
      <c r="AY15" s="69"/>
      <c r="BB15" s="68" t="s">
        <v>725</v>
      </c>
      <c r="BC15" s="69"/>
      <c r="BD15" s="69"/>
      <c r="BG15" s="68" t="s">
        <v>726</v>
      </c>
      <c r="BH15" s="69"/>
      <c r="BI15" s="69"/>
      <c r="BL15" s="68" t="s">
        <v>727</v>
      </c>
      <c r="BM15" s="69"/>
      <c r="BN15" s="69"/>
      <c r="BQ15" s="68" t="s">
        <v>728</v>
      </c>
      <c r="BR15" s="69"/>
      <c r="BS15" s="69"/>
      <c r="BV15" s="68" t="s">
        <v>729</v>
      </c>
      <c r="BW15" s="69"/>
      <c r="BX15" s="69"/>
      <c r="CA15" s="68" t="s">
        <v>730</v>
      </c>
      <c r="CB15" s="69"/>
      <c r="CC15" s="69"/>
    </row>
    <row r="16" customFormat="false" ht="15" hidden="false" customHeight="false" outlineLevel="0" collapsed="false">
      <c r="A16" s="40"/>
      <c r="K16" s="40" t="s">
        <v>701</v>
      </c>
      <c r="L16" s="17" t="n">
        <f aca="false">IFERROR(AVERAGEIF($E$23:$E$139,1,$B$23:$B$139),0)</f>
        <v>2.48318370447707</v>
      </c>
      <c r="M16" s="17" t="n">
        <f aca="false">IFERROR(AVERAGEIF($E$23:$E$139,2,$B$23:$B$139),0)</f>
        <v>-0.637662600739859</v>
      </c>
      <c r="N16" s="17" t="n">
        <f aca="false">IFERROR(AVERAGEIF($E$23:$E$139,3,$B$23:$B$139),0)</f>
        <v>0.526534200411431</v>
      </c>
      <c r="W16" s="40" t="s">
        <v>701</v>
      </c>
      <c r="X16" s="17" t="n">
        <f aca="false">INDEX($B$23:$B$139,MATCH($B$8,$A$23:$A$139,0))</f>
        <v>3.2743087782752</v>
      </c>
      <c r="Y16" s="17" t="n">
        <f aca="false">INDEX($B$23:$B$139,MATCH($B$9,$A$23:$A$139,0))</f>
        <v>-2.07973798180332</v>
      </c>
      <c r="Z16" s="17" t="n">
        <f aca="false">INDEX($B$23:$B$139,MATCH($B$10,$A$23:$A$139,0))</f>
        <v>1.03733687213202</v>
      </c>
      <c r="AC16" s="17" t="n">
        <f aca="false">IFERROR(AVERAGEIF($AA$23:$AA$139,1,$B$23:$B$139),X16)</f>
        <v>2.80855647743378</v>
      </c>
      <c r="AD16" s="17" t="n">
        <f aca="false">IFERROR(AVERAGEIF($AA$23:$AA$139,2,$B$23:$B$139),Y16)</f>
        <v>-0.764384666350696</v>
      </c>
      <c r="AE16" s="17" t="n">
        <f aca="false">IFERROR(AVERAGEIF($AA$23:$AA$139,3,$B$23:$B$139),Z16)</f>
        <v>0.509195696155973</v>
      </c>
      <c r="AH16" s="17" t="n">
        <f aca="false">IFERROR(AVERAGEIF($AF$23:$AF$139,1,$B$23:$B$139),AC16)</f>
        <v>2.48318370447707</v>
      </c>
      <c r="AI16" s="17" t="n">
        <f aca="false">IFERROR(AVERAGEIF($AF$23:$AF$139,2,$B$23:$B$139),AD16)</f>
        <v>-0.641424745515567</v>
      </c>
      <c r="AJ16" s="17" t="n">
        <f aca="false">IFERROR(AVERAGEIF($AF$23:$AF$139,3,$B$23:$B$139),AE16)</f>
        <v>0.507535346838832</v>
      </c>
      <c r="AM16" s="17" t="n">
        <f aca="false">IFERROR(AVERAGEIF($AK$23:$AK$139,1,$B$23:$B$139),AH16)</f>
        <v>2.48318370447707</v>
      </c>
      <c r="AN16" s="17" t="n">
        <f aca="false">IFERROR(AVERAGEIF($AK$23:$AK$139,2,$B$23:$B$139),AI16)</f>
        <v>-0.637662600739859</v>
      </c>
      <c r="AO16" s="17" t="n">
        <f aca="false">IFERROR(AVERAGEIF($AK$23:$AK$139,3,$B$23:$B$139),AJ16)</f>
        <v>0.526534200411431</v>
      </c>
      <c r="AR16" s="17" t="n">
        <f aca="false">IFERROR(AVERAGEIF($AP$23:$AP$139,1,$B$23:$B$139),AM16)</f>
        <v>2.48318370447707</v>
      </c>
      <c r="AS16" s="17" t="n">
        <f aca="false">IFERROR(AVERAGEIF($AP$23:$AP$139,2,$B$23:$B$139),AN16)</f>
        <v>-0.637662600739859</v>
      </c>
      <c r="AT16" s="17" t="n">
        <f aca="false">IFERROR(AVERAGEIF($AP$23:$AP$139,3,$B$23:$B$139),AO16)</f>
        <v>0.526534200411431</v>
      </c>
      <c r="AW16" s="17" t="n">
        <f aca="false">IFERROR(AVERAGEIF($AU$23:$AU$139,1,$B$23:$B$139),AR16)</f>
        <v>2.48318370447707</v>
      </c>
      <c r="AX16" s="17" t="n">
        <f aca="false">IFERROR(AVERAGEIF($AU$23:$AU$139,2,$B$23:$B$139),AS16)</f>
        <v>-0.637662600739859</v>
      </c>
      <c r="AY16" s="17" t="n">
        <f aca="false">IFERROR(AVERAGEIF($AU$23:$AU$139,3,$B$23:$B$139),AT16)</f>
        <v>0.526534200411431</v>
      </c>
      <c r="BB16" s="17" t="n">
        <f aca="false">IFERROR(AVERAGEIF($AZ$23:$AZ$139,1,$B$23:$B$139),AW16)</f>
        <v>2.48318370447707</v>
      </c>
      <c r="BC16" s="17" t="n">
        <f aca="false">IFERROR(AVERAGEIF($AZ$23:$AZ$139,2,$B$23:$B$139),AX16)</f>
        <v>-0.637662600739859</v>
      </c>
      <c r="BD16" s="17" t="n">
        <f aca="false">IFERROR(AVERAGEIF($AZ$23:$AZ$139,3,$B$23:$B$139),AY16)</f>
        <v>0.526534200411431</v>
      </c>
      <c r="BG16" s="17" t="n">
        <f aca="false">IFERROR(AVERAGEIF($BE$23:$BE$139,1,$B$23:$B$139),BB16)</f>
        <v>2.48318370447707</v>
      </c>
      <c r="BH16" s="17" t="n">
        <f aca="false">IFERROR(AVERAGEIF($BE$23:$BE$139,2,$B$23:$B$139),BC16)</f>
        <v>-0.637662600739859</v>
      </c>
      <c r="BI16" s="17" t="n">
        <f aca="false">IFERROR(AVERAGEIF($BE$23:$BE$139,3,$B$23:$B$139),BD16)</f>
        <v>0.526534200411431</v>
      </c>
      <c r="BL16" s="17" t="n">
        <f aca="false">IFERROR(AVERAGEIF($BJ$23:$BJ$139,1,$B$23:$B$139),BG16)</f>
        <v>2.48318370447707</v>
      </c>
      <c r="BM16" s="17" t="n">
        <f aca="false">IFERROR(AVERAGEIF($BJ$23:$BJ$139,2,$B$23:$B$139),BH16)</f>
        <v>-0.637662600739859</v>
      </c>
      <c r="BN16" s="17" t="n">
        <f aca="false">IFERROR(AVERAGEIF($BJ$23:$BJ$139,3,$B$23:$B$139),BI16)</f>
        <v>0.526534200411431</v>
      </c>
      <c r="BQ16" s="17" t="n">
        <f aca="false">IFERROR(AVERAGEIF($BO$23:$BO$139,1,$B$23:$B$139),BL16)</f>
        <v>2.48318370447707</v>
      </c>
      <c r="BR16" s="17" t="n">
        <f aca="false">IFERROR(AVERAGEIF($BO$23:$BO$139,2,$B$23:$B$139),BM16)</f>
        <v>-0.637662600739859</v>
      </c>
      <c r="BS16" s="17" t="n">
        <f aca="false">IFERROR(AVERAGEIF($BO$23:$BO$139,3,$B$23:$B$139),BN16)</f>
        <v>0.526534200411431</v>
      </c>
      <c r="BV16" s="17" t="n">
        <f aca="false">IFERROR(AVERAGEIF($BT$23:$BT$139,1,$B$23:$B$139),BQ16)</f>
        <v>2.48318370447707</v>
      </c>
      <c r="BW16" s="17" t="n">
        <f aca="false">IFERROR(AVERAGEIF($BT$23:$BT$139,2,$B$23:$B$139),BR16)</f>
        <v>-0.637662600739859</v>
      </c>
      <c r="BX16" s="17" t="n">
        <f aca="false">IFERROR(AVERAGEIF($BT$23:$BT$139,3,$B$23:$B$139),BS16)</f>
        <v>0.526534200411431</v>
      </c>
      <c r="CA16" s="17" t="n">
        <f aca="false">IFERROR(AVERAGEIF($BY$23:$BY$139,1,$B$23:$B$139),BV16)</f>
        <v>2.48318370447707</v>
      </c>
      <c r="CB16" s="17" t="n">
        <f aca="false">IFERROR(AVERAGEIF($BY$23:$BY$139,2,$B$23:$B$139),BW16)</f>
        <v>-0.637662600739859</v>
      </c>
      <c r="CC16" s="17" t="n">
        <f aca="false">IFERROR(AVERAGEIF($BY$23:$BY$139,3,$B$23:$B$139),BX16)</f>
        <v>0.526534200411431</v>
      </c>
    </row>
    <row r="17" customFormat="false" ht="15" hidden="false" customHeight="false" outlineLevel="0" collapsed="false">
      <c r="K17" s="40" t="s">
        <v>702</v>
      </c>
      <c r="L17" s="17" t="n">
        <f aca="false">IFERROR(AVERAGEIF($E$23:$E$139,1,$C$23:$C$139),0)</f>
        <v>3.05804629568506</v>
      </c>
      <c r="M17" s="17" t="n">
        <f aca="false">IFERROR(AVERAGEIF($E$23:$E$139,2,$C$23:$C$139),0)</f>
        <v>-0.622586982392203</v>
      </c>
      <c r="N17" s="17" t="n">
        <f aca="false">IFERROR(AVERAGEIF($E$23:$E$139,3,$C$23:$C$139),0)</f>
        <v>0.434889627429134</v>
      </c>
      <c r="W17" s="40" t="s">
        <v>702</v>
      </c>
      <c r="X17" s="17" t="n">
        <f aca="false">INDEX($C$23:$C$139,MATCH($B$8,$A$23:$A$139,0))</f>
        <v>4.03885179691129</v>
      </c>
      <c r="Y17" s="17" t="n">
        <f aca="false">INDEX($C$23:$C$139,MATCH($B$9,$A$23:$A$139,0))</f>
        <v>-0.672650545388274</v>
      </c>
      <c r="Z17" s="17" t="n">
        <f aca="false">INDEX($C$23:$C$139,MATCH($B$10,$A$23:$A$139,0))</f>
        <v>0.378684277529216</v>
      </c>
      <c r="AC17" s="17" t="n">
        <f aca="false">IFERROR(AVERAGEIF($AA$23:$AA$139,1,$C$23:$C$139),X17)</f>
        <v>3.5128956208973</v>
      </c>
      <c r="AD17" s="17" t="n">
        <f aca="false">IFERROR(AVERAGEIF($AA$23:$AA$139,2,$C$23:$C$139),Y17)</f>
        <v>-0.643446800307233</v>
      </c>
      <c r="AE17" s="17" t="n">
        <f aca="false">IFERROR(AVERAGEIF($AA$23:$AA$139,3,$C$23:$C$139),Z17)</f>
        <v>0.350754995474599</v>
      </c>
      <c r="AH17" s="17" t="n">
        <f aca="false">IFERROR(AVERAGEIF($AF$23:$AF$139,1,$C$23:$C$139),AC17)</f>
        <v>3.05804629568506</v>
      </c>
      <c r="AI17" s="17" t="n">
        <f aca="false">IFERROR(AVERAGEIF($AF$23:$AF$139,2,$C$23:$C$139),AD17)</f>
        <v>-0.630258012206117</v>
      </c>
      <c r="AJ17" s="17" t="n">
        <f aca="false">IFERROR(AVERAGEIF($AF$23:$AF$139,3,$C$23:$C$139),AE17)</f>
        <v>0.423014673115692</v>
      </c>
      <c r="AM17" s="17" t="n">
        <f aca="false">IFERROR(AVERAGEIF($AK$23:$AK$139,1,$C$23:$C$139),AH17)</f>
        <v>3.05804629568506</v>
      </c>
      <c r="AN17" s="17" t="n">
        <f aca="false">IFERROR(AVERAGEIF($AK$23:$AK$139,2,$C$23:$C$139),AI17)</f>
        <v>-0.622586982392203</v>
      </c>
      <c r="AO17" s="17" t="n">
        <f aca="false">IFERROR(AVERAGEIF($AK$23:$AK$139,3,$C$23:$C$139),AJ17)</f>
        <v>0.434889627429134</v>
      </c>
      <c r="AR17" s="17" t="n">
        <f aca="false">IFERROR(AVERAGEIF($AP$23:$AP$139,1,$C$23:$C$139),AM17)</f>
        <v>3.05804629568506</v>
      </c>
      <c r="AS17" s="17" t="n">
        <f aca="false">IFERROR(AVERAGEIF($AP$23:$AP$139,2,$C$23:$C$139),AN17)</f>
        <v>-0.622586982392203</v>
      </c>
      <c r="AT17" s="17" t="n">
        <f aca="false">IFERROR(AVERAGEIF($AP$23:$AP$139,3,$C$23:$C$139),AO17)</f>
        <v>0.434889627429134</v>
      </c>
      <c r="AW17" s="17" t="n">
        <f aca="false">IFERROR(AVERAGEIF($AU$23:$AU$139,1,$C$23:$C$139),AR17)</f>
        <v>3.05804629568506</v>
      </c>
      <c r="AX17" s="17" t="n">
        <f aca="false">IFERROR(AVERAGEIF($AU$23:$AU$139,2,$C$23:$C$139),AS17)</f>
        <v>-0.622586982392203</v>
      </c>
      <c r="AY17" s="17" t="n">
        <f aca="false">IFERROR(AVERAGEIF($AU$23:$AU$139,3,$C$23:$C$139),AT17)</f>
        <v>0.434889627429134</v>
      </c>
      <c r="BB17" s="17" t="n">
        <f aca="false">IFERROR(AVERAGEIF($AZ$23:$AZ$139,1,$C$23:$C$139),AW17)</f>
        <v>3.05804629568506</v>
      </c>
      <c r="BC17" s="17" t="n">
        <f aca="false">IFERROR(AVERAGEIF($AZ$23:$AZ$139,2,$C$23:$C$139),AX17)</f>
        <v>-0.622586982392203</v>
      </c>
      <c r="BD17" s="17" t="n">
        <f aca="false">IFERROR(AVERAGEIF($AZ$23:$AZ$139,3,$C$23:$C$139),AY17)</f>
        <v>0.434889627429134</v>
      </c>
      <c r="BG17" s="17" t="n">
        <f aca="false">IFERROR(AVERAGEIF($BE$23:$BE$139,1,$C$23:$C$139),BB17)</f>
        <v>3.05804629568506</v>
      </c>
      <c r="BH17" s="17" t="n">
        <f aca="false">IFERROR(AVERAGEIF($BE$23:$BE$139,2,$C$23:$C$139),BC17)</f>
        <v>-0.622586982392203</v>
      </c>
      <c r="BI17" s="17" t="n">
        <f aca="false">IFERROR(AVERAGEIF($BE$23:$BE$139,3,$C$23:$C$139),BD17)</f>
        <v>0.434889627429134</v>
      </c>
      <c r="BL17" s="17" t="n">
        <f aca="false">IFERROR(AVERAGEIF($BJ$23:$BJ$139,1,$C$23:$C$139),BG17)</f>
        <v>3.05804629568506</v>
      </c>
      <c r="BM17" s="17" t="n">
        <f aca="false">IFERROR(AVERAGEIF($BJ$23:$BJ$139,2,$C$23:$C$139),BH17)</f>
        <v>-0.622586982392203</v>
      </c>
      <c r="BN17" s="17" t="n">
        <f aca="false">IFERROR(AVERAGEIF($BJ$23:$BJ$139,3,$C$23:$C$139),BI17)</f>
        <v>0.434889627429134</v>
      </c>
      <c r="BQ17" s="17" t="n">
        <f aca="false">IFERROR(AVERAGEIF($BO$23:$BO$139,1,$C$23:$C$139),BL17)</f>
        <v>3.05804629568506</v>
      </c>
      <c r="BR17" s="17" t="n">
        <f aca="false">IFERROR(AVERAGEIF($BO$23:$BO$139,2,$C$23:$C$139),BM17)</f>
        <v>-0.622586982392203</v>
      </c>
      <c r="BS17" s="17" t="n">
        <f aca="false">IFERROR(AVERAGEIF($BO$23:$BO$139,3,$C$23:$C$139),BN17)</f>
        <v>0.434889627429134</v>
      </c>
      <c r="BV17" s="17" t="n">
        <f aca="false">IFERROR(AVERAGEIF($BT$23:$BT$139,1,$C$23:$C$139),BQ17)</f>
        <v>3.05804629568506</v>
      </c>
      <c r="BW17" s="17" t="n">
        <f aca="false">IFERROR(AVERAGEIF($BT$23:$BT$139,2,$C$23:$C$139),BR17)</f>
        <v>-0.622586982392203</v>
      </c>
      <c r="BX17" s="17" t="n">
        <f aca="false">IFERROR(AVERAGEIF($BT$23:$BT$139,3,$C$23:$C$139),BS17)</f>
        <v>0.434889627429134</v>
      </c>
      <c r="CA17" s="17" t="n">
        <f aca="false">IFERROR(AVERAGEIF($BY$23:$BY$139,1,$C$23:$C$139),BV17)</f>
        <v>3.05804629568506</v>
      </c>
      <c r="CB17" s="17" t="n">
        <f aca="false">IFERROR(AVERAGEIF($BY$23:$BY$139,2,$C$23:$C$139),BW17)</f>
        <v>-0.622586982392203</v>
      </c>
      <c r="CC17" s="17" t="n">
        <f aca="false">IFERROR(AVERAGEIF($BY$23:$BY$139,3,$C$23:$C$139),BX17)</f>
        <v>0.434889627429134</v>
      </c>
    </row>
    <row r="18" customFormat="false" ht="15" hidden="false" customHeight="false" outlineLevel="0" collapsed="false">
      <c r="K18" s="40" t="s">
        <v>703</v>
      </c>
      <c r="L18" s="17" t="n">
        <f aca="false">IFERROR(AVERAGEIF($E$23:$E$139,1,$D$23:$D$139),0)</f>
        <v>2.18090943726866</v>
      </c>
      <c r="M18" s="17" t="n">
        <f aca="false">IFERROR(AVERAGEIF($E$23:$E$139,2,$D$23:$D$139),0)</f>
        <v>-0.741641395772766</v>
      </c>
      <c r="N18" s="17" t="n">
        <f aca="false">IFERROR(AVERAGEIF($E$23:$E$139,3,$D$23:$D$139),0)</f>
        <v>0.700790652293173</v>
      </c>
      <c r="W18" s="40" t="s">
        <v>703</v>
      </c>
      <c r="X18" s="17" t="n">
        <f aca="false">INDEX($D$23:$D$139,MATCH($B$8,$A$23:$A$139,0))</f>
        <v>3.25271285960204</v>
      </c>
      <c r="Y18" s="17" t="n">
        <f aca="false">INDEX($D$23:$D$139,MATCH($B$9,$A$23:$A$139,0))</f>
        <v>-1.14564411633355</v>
      </c>
      <c r="Z18" s="17" t="n">
        <f aca="false">INDEX($D$23:$D$139,MATCH($B$10,$A$23:$A$139,0))</f>
        <v>1.47040463995458</v>
      </c>
      <c r="AC18" s="17" t="n">
        <f aca="false">IFERROR(AVERAGEIF($AA$23:$AA$139,1,$D$23:$D$139),X18)</f>
        <v>2.48637593872725</v>
      </c>
      <c r="AD18" s="17" t="n">
        <f aca="false">IFERROR(AVERAGEIF($AA$23:$AA$139,2,$D$23:$D$139),Y18)</f>
        <v>-0.826415257041342</v>
      </c>
      <c r="AE18" s="17" t="n">
        <f aca="false">IFERROR(AVERAGEIF($AA$23:$AA$139,3,$D$23:$D$139),Z18)</f>
        <v>0.587812205513957</v>
      </c>
      <c r="AH18" s="17" t="n">
        <f aca="false">IFERROR(AVERAGEIF($AF$23:$AF$139,1,$D$23:$D$139),AC18)</f>
        <v>2.18090943726866</v>
      </c>
      <c r="AI18" s="17" t="n">
        <f aca="false">IFERROR(AVERAGEIF($AF$23:$AF$139,2,$D$23:$D$139),AD18)</f>
        <v>-0.755847680953062</v>
      </c>
      <c r="AJ18" s="17" t="n">
        <f aca="false">IFERROR(AVERAGEIF($AF$23:$AF$139,3,$D$23:$D$139),AE18)</f>
        <v>0.689328563173018</v>
      </c>
      <c r="AM18" s="17" t="n">
        <f aca="false">IFERROR(AVERAGEIF($AK$23:$AK$139,1,$D$23:$D$139),AH18)</f>
        <v>2.18090943726866</v>
      </c>
      <c r="AN18" s="17" t="n">
        <f aca="false">IFERROR(AVERAGEIF($AK$23:$AK$139,2,$D$23:$D$139),AI18)</f>
        <v>-0.741641395772766</v>
      </c>
      <c r="AO18" s="17" t="n">
        <f aca="false">IFERROR(AVERAGEIF($AK$23:$AK$139,3,$D$23:$D$139),AJ18)</f>
        <v>0.700790652293173</v>
      </c>
      <c r="AR18" s="17" t="n">
        <f aca="false">IFERROR(AVERAGEIF($AP$23:$AP$139,1,$D$23:$D$139),AM18)</f>
        <v>2.18090943726866</v>
      </c>
      <c r="AS18" s="17" t="n">
        <f aca="false">IFERROR(AVERAGEIF($AP$23:$AP$139,2,$D$23:$D$139),AN18)</f>
        <v>-0.741641395772766</v>
      </c>
      <c r="AT18" s="17" t="n">
        <f aca="false">IFERROR(AVERAGEIF($AP$23:$AP$139,3,$D$23:$D$139),AO18)</f>
        <v>0.700790652293173</v>
      </c>
      <c r="AW18" s="17" t="n">
        <f aca="false">IFERROR(AVERAGEIF($AU$23:$AU$139,1,$D$23:$D$139),AR18)</f>
        <v>2.18090943726866</v>
      </c>
      <c r="AX18" s="17" t="n">
        <f aca="false">IFERROR(AVERAGEIF($AU$23:$AU$139,2,$D$23:$D$139),AS18)</f>
        <v>-0.741641395772766</v>
      </c>
      <c r="AY18" s="17" t="n">
        <f aca="false">IFERROR(AVERAGEIF($AU$23:$AU$139,3,$D$23:$D$139),AT18)</f>
        <v>0.700790652293173</v>
      </c>
      <c r="BB18" s="17" t="n">
        <f aca="false">IFERROR(AVERAGEIF($AZ$23:$AZ$139,1,$D$23:$D$139),AW18)</f>
        <v>2.18090943726866</v>
      </c>
      <c r="BC18" s="17" t="n">
        <f aca="false">IFERROR(AVERAGEIF($AZ$23:$AZ$139,2,$D$23:$D$139),AX18)</f>
        <v>-0.741641395772766</v>
      </c>
      <c r="BD18" s="17" t="n">
        <f aca="false">IFERROR(AVERAGEIF($AZ$23:$AZ$139,3,$D$23:$D$139),AY18)</f>
        <v>0.700790652293173</v>
      </c>
      <c r="BG18" s="17" t="n">
        <f aca="false">IFERROR(AVERAGEIF($BE$23:$BE$139,1,$D$23:$D$139),BB18)</f>
        <v>2.18090943726866</v>
      </c>
      <c r="BH18" s="17" t="n">
        <f aca="false">IFERROR(AVERAGEIF($BE$23:$BE$139,2,$D$23:$D$139),BC18)</f>
        <v>-0.741641395772766</v>
      </c>
      <c r="BI18" s="17" t="n">
        <f aca="false">IFERROR(AVERAGEIF($BE$23:$BE$139,3,$D$23:$D$139),BD18)</f>
        <v>0.700790652293173</v>
      </c>
      <c r="BL18" s="17" t="n">
        <f aca="false">IFERROR(AVERAGEIF($BJ$23:$BJ$139,1,$D$23:$D$139),BG18)</f>
        <v>2.18090943726866</v>
      </c>
      <c r="BM18" s="17" t="n">
        <f aca="false">IFERROR(AVERAGEIF($BJ$23:$BJ$139,2,$D$23:$D$139),BH18)</f>
        <v>-0.741641395772766</v>
      </c>
      <c r="BN18" s="17" t="n">
        <f aca="false">IFERROR(AVERAGEIF($BJ$23:$BJ$139,3,$D$23:$D$139),BI18)</f>
        <v>0.700790652293173</v>
      </c>
      <c r="BQ18" s="17" t="n">
        <f aca="false">IFERROR(AVERAGEIF($BO$23:$BO$139,1,$D$23:$D$139),BL18)</f>
        <v>2.18090943726866</v>
      </c>
      <c r="BR18" s="17" t="n">
        <f aca="false">IFERROR(AVERAGEIF($BO$23:$BO$139,2,$D$23:$D$139),BM18)</f>
        <v>-0.741641395772766</v>
      </c>
      <c r="BS18" s="17" t="n">
        <f aca="false">IFERROR(AVERAGEIF($BO$23:$BO$139,3,$D$23:$D$139),BN18)</f>
        <v>0.700790652293173</v>
      </c>
      <c r="BV18" s="17" t="n">
        <f aca="false">IFERROR(AVERAGEIF($BT$23:$BT$139,1,$D$23:$D$139),BQ18)</f>
        <v>2.18090943726866</v>
      </c>
      <c r="BW18" s="17" t="n">
        <f aca="false">IFERROR(AVERAGEIF($BT$23:$BT$139,2,$D$23:$D$139),BR18)</f>
        <v>-0.741641395772766</v>
      </c>
      <c r="BX18" s="17" t="n">
        <f aca="false">IFERROR(AVERAGEIF($BT$23:$BT$139,3,$D$23:$D$139),BS18)</f>
        <v>0.700790652293173</v>
      </c>
      <c r="CA18" s="17" t="n">
        <f aca="false">IFERROR(AVERAGEIF($BY$23:$BY$139,1,$D$23:$D$139),BV18)</f>
        <v>2.18090943726866</v>
      </c>
      <c r="CB18" s="17" t="n">
        <f aca="false">IFERROR(AVERAGEIF($BY$23:$BY$139,2,$D$23:$D$139),BW18)</f>
        <v>-0.741641395772766</v>
      </c>
      <c r="CC18" s="17" t="n">
        <f aca="false">IFERROR(AVERAGEIF($BY$23:$BY$139,3,$D$23:$D$139),BX18)</f>
        <v>0.700790652293173</v>
      </c>
    </row>
    <row r="19" customFormat="false" ht="15" hidden="false" customHeight="false" outlineLevel="0" collapsed="false">
      <c r="K19" s="40" t="s">
        <v>731</v>
      </c>
      <c r="L19" s="15" t="n">
        <f aca="false">COUNTIF($E$23:$E$139,1)</f>
        <v>6</v>
      </c>
      <c r="M19" s="15" t="n">
        <f aca="false">COUNTIF($E$23:$E$139,2)</f>
        <v>63</v>
      </c>
      <c r="N19" s="15" t="n">
        <f aca="false">COUNTIF($E$23:$E$139,3)</f>
        <v>48</v>
      </c>
      <c r="W19" s="40" t="s">
        <v>731</v>
      </c>
      <c r="X19" s="15" t="n">
        <f aca="false">COUNTIF($AA$23:$AA$139,1)</f>
        <v>4</v>
      </c>
      <c r="Y19" s="15" t="n">
        <f aca="false">COUNTIF($AA$23:$AA$139,2)</f>
        <v>54</v>
      </c>
      <c r="Z19" s="15" t="n">
        <f aca="false">COUNTIF($AA$23:$AA$139,3)</f>
        <v>59</v>
      </c>
      <c r="AC19" s="15" t="n">
        <f aca="false">COUNTIF($AF$23:$AF$139,1)</f>
        <v>6</v>
      </c>
      <c r="AD19" s="15" t="n">
        <f aca="false">COUNTIF($AF$23:$AF$139,2)</f>
        <v>62</v>
      </c>
      <c r="AE19" s="15" t="n">
        <f aca="false">COUNTIF($AF$23:$AF$139,3)</f>
        <v>49</v>
      </c>
      <c r="AH19" s="15" t="n">
        <f aca="false">COUNTIF($AK$23:$AK$139,1)</f>
        <v>6</v>
      </c>
      <c r="AI19" s="15" t="n">
        <f aca="false">COUNTIF($AK$23:$AK$139,2)</f>
        <v>63</v>
      </c>
      <c r="AJ19" s="15" t="n">
        <f aca="false">COUNTIF($AK$23:$AK$139,3)</f>
        <v>48</v>
      </c>
      <c r="AM19" s="15" t="n">
        <f aca="false">COUNTIF($AP$23:$AP$139,1)</f>
        <v>6</v>
      </c>
      <c r="AN19" s="15" t="n">
        <f aca="false">COUNTIF($AP$23:$AP$139,2)</f>
        <v>63</v>
      </c>
      <c r="AO19" s="15" t="n">
        <f aca="false">COUNTIF($AP$23:$AP$139,3)</f>
        <v>48</v>
      </c>
      <c r="AR19" s="15" t="n">
        <f aca="false">COUNTIF($AU$23:$AU$139,1)</f>
        <v>6</v>
      </c>
      <c r="AS19" s="15" t="n">
        <f aca="false">COUNTIF($AU$23:$AU$139,2)</f>
        <v>63</v>
      </c>
      <c r="AT19" s="15" t="n">
        <f aca="false">COUNTIF($AU$23:$AU$139,3)</f>
        <v>48</v>
      </c>
      <c r="AW19" s="15" t="n">
        <f aca="false">COUNTIF($AZ$23:$AZ$139,1)</f>
        <v>6</v>
      </c>
      <c r="AX19" s="15" t="n">
        <f aca="false">COUNTIF($AZ$23:$AZ$139,2)</f>
        <v>63</v>
      </c>
      <c r="AY19" s="15" t="n">
        <f aca="false">COUNTIF($AZ$23:$AZ$139,3)</f>
        <v>48</v>
      </c>
      <c r="BB19" s="15" t="n">
        <f aca="false">COUNTIF($BE$23:$BE$139,1)</f>
        <v>6</v>
      </c>
      <c r="BC19" s="15" t="n">
        <f aca="false">COUNTIF($BE$23:$BE$139,2)</f>
        <v>63</v>
      </c>
      <c r="BD19" s="15" t="n">
        <f aca="false">COUNTIF($BE$23:$BE$139,3)</f>
        <v>48</v>
      </c>
      <c r="BG19" s="15" t="n">
        <f aca="false">COUNTIF($BJ$23:$BJ$139,1)</f>
        <v>6</v>
      </c>
      <c r="BH19" s="15" t="n">
        <f aca="false">COUNTIF($BJ$23:$BJ$139,2)</f>
        <v>63</v>
      </c>
      <c r="BI19" s="15" t="n">
        <f aca="false">COUNTIF($BJ$23:$BJ$139,3)</f>
        <v>48</v>
      </c>
      <c r="BL19" s="15" t="n">
        <f aca="false">COUNTIF($BO$23:$BO$139,1)</f>
        <v>6</v>
      </c>
      <c r="BM19" s="15" t="n">
        <f aca="false">COUNTIF($BO$23:$BO$139,2)</f>
        <v>63</v>
      </c>
      <c r="BN19" s="15" t="n">
        <f aca="false">COUNTIF($BO$23:$BO$139,3)</f>
        <v>48</v>
      </c>
      <c r="BQ19" s="15" t="n">
        <f aca="false">COUNTIF($BT$23:$BT$139,1)</f>
        <v>6</v>
      </c>
      <c r="BR19" s="15" t="n">
        <f aca="false">COUNTIF($BT$23:$BT$139,2)</f>
        <v>63</v>
      </c>
      <c r="BS19" s="15" t="n">
        <f aca="false">COUNTIF($BT$23:$BT$139,3)</f>
        <v>48</v>
      </c>
      <c r="BV19" s="15" t="n">
        <f aca="false">COUNTIF($BY$23:$BY$139,1)</f>
        <v>6</v>
      </c>
      <c r="BW19" s="15" t="n">
        <f aca="false">COUNTIF($BY$23:$BY$139,2)</f>
        <v>63</v>
      </c>
      <c r="BX19" s="15" t="n">
        <f aca="false">COUNTIF($BY$23:$BY$139,3)</f>
        <v>48</v>
      </c>
      <c r="CA19" s="15" t="n">
        <f aca="false">COUNTIF($CD$23:$CD$139,1)</f>
        <v>6</v>
      </c>
      <c r="CB19" s="15" t="n">
        <f aca="false">COUNTIF($CD$23:$CD$139,2)</f>
        <v>63</v>
      </c>
      <c r="CC19" s="15" t="n">
        <f aca="false">COUNTIF($CD$23:$CD$139,3)</f>
        <v>48</v>
      </c>
    </row>
    <row r="20" customFormat="false" ht="15" hidden="false" customHeight="false" outlineLevel="0" collapsed="false">
      <c r="K20" s="40" t="s">
        <v>732</v>
      </c>
      <c r="L20" s="17" t="n">
        <f aca="false">SUMIF($E$23:$E$139,1,$F$23:$F$139)</f>
        <v>9.50510259121389</v>
      </c>
      <c r="M20" s="17" t="n">
        <f aca="false">SUMIF($E$23:$E$139,2,$F$23:$F$139)</f>
        <v>43.1319445541802</v>
      </c>
      <c r="N20" s="17" t="n">
        <f aca="false">SUMIF($E$23:$E$139,3,$F$23:$F$139)</f>
        <v>43.0704898386158</v>
      </c>
      <c r="W20" s="40" t="s">
        <v>733</v>
      </c>
      <c r="AA20" s="12" t="s">
        <v>734</v>
      </c>
      <c r="AF20" s="15" t="n">
        <f aca="false">SUMPRODUCT(--($AF$23:$AF$139&lt;&gt;$AA$23:$AA$139))</f>
        <v>10</v>
      </c>
      <c r="AK20" s="15" t="n">
        <f aca="false">SUMPRODUCT(--($AK$23:$AK$139&lt;&gt;$AF$23:$AF$139))</f>
        <v>1</v>
      </c>
      <c r="AP20" s="15" t="n">
        <f aca="false">SUMPRODUCT(--($AP$23:$AP$139&lt;&gt;$AK$23:$AK$139))</f>
        <v>0</v>
      </c>
      <c r="AU20" s="15" t="n">
        <f aca="false">SUMPRODUCT(--($AU$23:$AU$139&lt;&gt;$AP$23:$AP$139))</f>
        <v>0</v>
      </c>
      <c r="AZ20" s="15" t="n">
        <f aca="false">SUMPRODUCT(--($AZ$23:$AZ$139&lt;&gt;$AU$23:$AU$139))</f>
        <v>0</v>
      </c>
      <c r="BE20" s="15" t="n">
        <f aca="false">SUMPRODUCT(--($BE$23:$BE$139&lt;&gt;$AZ$23:$AZ$139))</f>
        <v>0</v>
      </c>
      <c r="BJ20" s="15" t="n">
        <f aca="false">SUMPRODUCT(--($BJ$23:$BJ$139&lt;&gt;$BE$23:$BE$139))</f>
        <v>0</v>
      </c>
      <c r="BO20" s="15" t="n">
        <f aca="false">SUMPRODUCT(--($BO$23:$BO$139&lt;&gt;$BJ$23:$BJ$139))</f>
        <v>0</v>
      </c>
      <c r="BT20" s="15" t="n">
        <f aca="false">SUMPRODUCT(--($BT$23:$BT$139&lt;&gt;$BO$23:$BO$139))</f>
        <v>0</v>
      </c>
      <c r="BY20" s="15" t="n">
        <f aca="false">SUMPRODUCT(--($BY$23:$BY$139&lt;&gt;$BT$23:$BT$139))</f>
        <v>0</v>
      </c>
      <c r="CD20" s="15" t="n">
        <f aca="false">SUMPRODUCT(--($CD$23:$CD$139&lt;&gt;$BY$23:$BY$139))</f>
        <v>0</v>
      </c>
    </row>
    <row r="21" customFormat="false" ht="15" hidden="false" customHeight="false" outlineLevel="0" collapsed="false">
      <c r="K21" s="40" t="s">
        <v>526</v>
      </c>
      <c r="L21" s="70" t="n">
        <f aca="false">SUM($F$23:$F$139)</f>
        <v>95.7075369840099</v>
      </c>
      <c r="M21" s="40" t="s">
        <v>52</v>
      </c>
      <c r="N21" s="36" t="str">
        <f aca="false">IF(CD20=0,"Converged","Not converged: more iterations needed")</f>
        <v>Converged</v>
      </c>
    </row>
    <row r="22" customFormat="false" ht="31.5" hidden="false" customHeight="true" outlineLevel="0" collapsed="false">
      <c r="A22" s="10" t="s">
        <v>735</v>
      </c>
      <c r="B22" s="10" t="s">
        <v>701</v>
      </c>
      <c r="C22" s="10" t="s">
        <v>702</v>
      </c>
      <c r="D22" s="10" t="s">
        <v>703</v>
      </c>
      <c r="E22" s="10" t="s">
        <v>707</v>
      </c>
      <c r="F22" s="10" t="s">
        <v>736</v>
      </c>
      <c r="G22" s="10" t="s">
        <v>708</v>
      </c>
      <c r="H22" s="10" t="s">
        <v>737</v>
      </c>
      <c r="I22" s="10" t="s">
        <v>738</v>
      </c>
      <c r="J22" s="10" t="s">
        <v>739</v>
      </c>
      <c r="X22" s="10" t="s">
        <v>740</v>
      </c>
      <c r="Y22" s="10" t="s">
        <v>741</v>
      </c>
      <c r="Z22" s="10" t="s">
        <v>742</v>
      </c>
      <c r="AA22" s="10" t="s">
        <v>707</v>
      </c>
      <c r="AC22" s="10" t="s">
        <v>740</v>
      </c>
      <c r="AD22" s="10" t="s">
        <v>741</v>
      </c>
      <c r="AE22" s="10" t="s">
        <v>742</v>
      </c>
      <c r="AF22" s="10" t="s">
        <v>707</v>
      </c>
      <c r="AH22" s="10" t="s">
        <v>740</v>
      </c>
      <c r="AI22" s="10" t="s">
        <v>741</v>
      </c>
      <c r="AJ22" s="10" t="s">
        <v>742</v>
      </c>
      <c r="AK22" s="10" t="s">
        <v>707</v>
      </c>
      <c r="AM22" s="10" t="s">
        <v>740</v>
      </c>
      <c r="AN22" s="10" t="s">
        <v>741</v>
      </c>
      <c r="AO22" s="10" t="s">
        <v>742</v>
      </c>
      <c r="AP22" s="10" t="s">
        <v>707</v>
      </c>
      <c r="AR22" s="10" t="s">
        <v>740</v>
      </c>
      <c r="AS22" s="10" t="s">
        <v>741</v>
      </c>
      <c r="AT22" s="10" t="s">
        <v>742</v>
      </c>
      <c r="AU22" s="10" t="s">
        <v>707</v>
      </c>
      <c r="AW22" s="10" t="s">
        <v>740</v>
      </c>
      <c r="AX22" s="10" t="s">
        <v>741</v>
      </c>
      <c r="AY22" s="10" t="s">
        <v>742</v>
      </c>
      <c r="AZ22" s="10" t="s">
        <v>707</v>
      </c>
      <c r="BB22" s="10" t="s">
        <v>740</v>
      </c>
      <c r="BC22" s="10" t="s">
        <v>741</v>
      </c>
      <c r="BD22" s="10" t="s">
        <v>742</v>
      </c>
      <c r="BE22" s="10" t="s">
        <v>707</v>
      </c>
      <c r="BG22" s="10" t="s">
        <v>740</v>
      </c>
      <c r="BH22" s="10" t="s">
        <v>741</v>
      </c>
      <c r="BI22" s="10" t="s">
        <v>742</v>
      </c>
      <c r="BJ22" s="10" t="s">
        <v>707</v>
      </c>
      <c r="BL22" s="10" t="s">
        <v>740</v>
      </c>
      <c r="BM22" s="10" t="s">
        <v>741</v>
      </c>
      <c r="BN22" s="10" t="s">
        <v>742</v>
      </c>
      <c r="BO22" s="10" t="s">
        <v>707</v>
      </c>
      <c r="BQ22" s="10" t="s">
        <v>740</v>
      </c>
      <c r="BR22" s="10" t="s">
        <v>741</v>
      </c>
      <c r="BS22" s="10" t="s">
        <v>742</v>
      </c>
      <c r="BT22" s="10" t="s">
        <v>707</v>
      </c>
      <c r="BV22" s="10" t="s">
        <v>740</v>
      </c>
      <c r="BW22" s="10" t="s">
        <v>741</v>
      </c>
      <c r="BX22" s="10" t="s">
        <v>742</v>
      </c>
      <c r="BY22" s="10" t="s">
        <v>707</v>
      </c>
      <c r="CA22" s="10" t="s">
        <v>740</v>
      </c>
      <c r="CB22" s="10" t="s">
        <v>741</v>
      </c>
      <c r="CC22" s="10" t="s">
        <v>742</v>
      </c>
      <c r="CD22" s="10" t="s">
        <v>707</v>
      </c>
    </row>
    <row r="23" customFormat="false" ht="15" hidden="false" customHeight="false" outlineLevel="0" collapsed="false">
      <c r="A23" s="36" t="str">
        <f aca="false">KMeans_Data!A5</f>
        <v>Karachi</v>
      </c>
      <c r="B23" s="17" t="n">
        <f aca="false">KMeans_Data!H5</f>
        <v>3.2743087782752</v>
      </c>
      <c r="C23" s="17" t="n">
        <f aca="false">KMeans_Data!I5</f>
        <v>4.03885179691129</v>
      </c>
      <c r="D23" s="17" t="n">
        <f aca="false">KMeans_Data!J5</f>
        <v>3.25271285960204</v>
      </c>
      <c r="E23" s="63" t="n">
        <f aca="false">CD23</f>
        <v>1</v>
      </c>
      <c r="F23" s="38" t="n">
        <f aca="false">($B23-INDEX($L$16:$N$16,E23))^2+($C23-INDEX($L$17:$N$17,E23))^2+($D23-INDEX($L$18:$N$18,E23))^2</f>
        <v>2.7366208897533</v>
      </c>
      <c r="G23" s="12" t="str">
        <f aca="false">INDEX($M$5:$M$7,E23)</f>
        <v>High burden</v>
      </c>
      <c r="H23" s="17" t="n">
        <f aca="false">IF(COUNTIF(Distance_Matrix!$E$9:$DQ$9,$E23)&lt;=1,0,SUMIF(Distance_Matrix!$E$9:$DQ$9,$E23,Distance_Matrix!$E$14:$DQ$14)/(COUNTIF(Distance_Matrix!$E$9:$DQ$9,$E23)-1))</f>
        <v>2.10453876012587</v>
      </c>
      <c r="I23" s="17" t="n">
        <f aca="false">MIN(IF(1=$E23,1E+099,IF(COUNTIF(Distance_Matrix!$E$9:$DQ$9,1)=0,1E+099,SUMIF(Distance_Matrix!$E$9:$DQ$9,1,Distance_Matrix!$E$14:$DQ$14)/COUNTIF(Distance_Matrix!$E$9:$DQ$9,1))),IF(2=$E23,1E+099,IF(COUNTIF(Distance_Matrix!$E$9:$DQ$9,2)=0,1E+099,SUMIF(Distance_Matrix!$E$9:$DQ$9,2,Distance_Matrix!$E$14:$DQ$14)/COUNTIF(Distance_Matrix!$E$9:$DQ$9,2))),IF(3=$E23,1E+099,IF(COUNTIF(Distance_Matrix!$E$9:$DQ$9,3)=0,1E+099,SUMIF(Distance_Matrix!$E$9:$DQ$9,3,Distance_Matrix!$E$14:$DQ$14)/COUNTIF(Distance_Matrix!$E$9:$DQ$9,3))))</f>
        <v>5.23499053347753</v>
      </c>
      <c r="J23" s="17" t="n">
        <f aca="false">IF(COUNTIF(Distance_Matrix!$E$9:$DQ$9,$E23)&lt;=1,0,(I23-H23)/MAX(H23,I23))</f>
        <v>0.597986138338276</v>
      </c>
      <c r="X23" s="17" t="n">
        <f aca="false">SQRT(($B23-X$16)^2+($C23-X$17)^2+($D23-X$18)^2)</f>
        <v>0</v>
      </c>
      <c r="Y23" s="17" t="n">
        <f aca="false">SQRT(($B23-Y$16)^2+($C23-Y$17)^2+($D23-Y$18)^2)</f>
        <v>8.37911780072121</v>
      </c>
      <c r="Z23" s="17" t="n">
        <f aca="false">SQRT(($B23-Z$16)^2+($C23-Z$17)^2+($D23-Z$18)^2)</f>
        <v>4.64515792720078</v>
      </c>
      <c r="AA23" s="63" t="n">
        <f aca="false">MATCH(MIN(X23:Z23),X23:Z23,0)</f>
        <v>1</v>
      </c>
      <c r="AC23" s="17" t="n">
        <f aca="false">SQRT(($B23-AC$16)^2+($C23-AC$17)^2+($D23-AC$18)^2)</f>
        <v>1.03962848225806</v>
      </c>
      <c r="AD23" s="17" t="n">
        <f aca="false">SQRT(($B23-AD$16)^2+($C23-AD$17)^2+($D23-AD$18)^2)</f>
        <v>7.40771564553941</v>
      </c>
      <c r="AE23" s="17" t="n">
        <f aca="false">SQRT(($B23-AE$16)^2+($C23-AE$17)^2+($D23-AE$18)^2)</f>
        <v>5.32443460564909</v>
      </c>
      <c r="AF23" s="63" t="n">
        <f aca="false">MATCH(MIN(AC23:AE23),AC23:AE23,0)</f>
        <v>1</v>
      </c>
      <c r="AH23" s="17" t="n">
        <f aca="false">SQRT(($B23-AH$16)^2+($C23-AH$17)^2+($D23-AH$18)^2)</f>
        <v>1.65427352325826</v>
      </c>
      <c r="AI23" s="17" t="n">
        <f aca="false">SQRT(($B23-AI$16)^2+($C23-AI$17)^2+($D23-AI$18)^2)</f>
        <v>7.29397786164934</v>
      </c>
      <c r="AJ23" s="17" t="n">
        <f aca="false">SQRT(($B23-AJ$16)^2+($C23-AJ$17)^2+($D23-AJ$18)^2)</f>
        <v>5.22496434226106</v>
      </c>
      <c r="AK23" s="63" t="n">
        <f aca="false">MATCH(MIN(AH23:AJ23),AH23:AJ23,0)</f>
        <v>1</v>
      </c>
      <c r="AM23" s="17" t="n">
        <f aca="false">SQRT(($B23-AM$16)^2+($C23-AM$17)^2+($D23-AM$18)^2)</f>
        <v>1.65427352325826</v>
      </c>
      <c r="AN23" s="17" t="n">
        <f aca="false">SQRT(($B23-AN$16)^2+($C23-AN$17)^2+($D23-AN$18)^2)</f>
        <v>7.27924429325313</v>
      </c>
      <c r="AO23" s="17" t="n">
        <f aca="false">SQRT(($B23-AO$16)^2+($C23-AO$17)^2+($D23-AO$18)^2)</f>
        <v>5.20106867883603</v>
      </c>
      <c r="AP23" s="63" t="n">
        <f aca="false">MATCH(MIN(AM23:AO23),AM23:AO23,0)</f>
        <v>1</v>
      </c>
      <c r="AR23" s="17" t="n">
        <f aca="false">SQRT(($B23-AR$16)^2+($C23-AR$17)^2+($D23-AR$18)^2)</f>
        <v>1.65427352325826</v>
      </c>
      <c r="AS23" s="17" t="n">
        <f aca="false">SQRT(($B23-AS$16)^2+($C23-AS$17)^2+($D23-AS$18)^2)</f>
        <v>7.27924429325313</v>
      </c>
      <c r="AT23" s="17" t="n">
        <f aca="false">SQRT(($B23-AT$16)^2+($C23-AT$17)^2+($D23-AT$18)^2)</f>
        <v>5.20106867883603</v>
      </c>
      <c r="AU23" s="63" t="n">
        <f aca="false">MATCH(MIN(AR23:AT23),AR23:AT23,0)</f>
        <v>1</v>
      </c>
      <c r="AW23" s="17" t="n">
        <f aca="false">SQRT(($B23-AW$16)^2+($C23-AW$17)^2+($D23-AW$18)^2)</f>
        <v>1.65427352325826</v>
      </c>
      <c r="AX23" s="17" t="n">
        <f aca="false">SQRT(($B23-AX$16)^2+($C23-AX$17)^2+($D23-AX$18)^2)</f>
        <v>7.27924429325313</v>
      </c>
      <c r="AY23" s="17" t="n">
        <f aca="false">SQRT(($B23-AY$16)^2+($C23-AY$17)^2+($D23-AY$18)^2)</f>
        <v>5.20106867883603</v>
      </c>
      <c r="AZ23" s="63" t="n">
        <f aca="false">MATCH(MIN(AW23:AY23),AW23:AY23,0)</f>
        <v>1</v>
      </c>
      <c r="BB23" s="17" t="n">
        <f aca="false">SQRT(($B23-BB$16)^2+($C23-BB$17)^2+($D23-BB$18)^2)</f>
        <v>1.65427352325826</v>
      </c>
      <c r="BC23" s="17" t="n">
        <f aca="false">SQRT(($B23-BC$16)^2+($C23-BC$17)^2+($D23-BC$18)^2)</f>
        <v>7.27924429325313</v>
      </c>
      <c r="BD23" s="17" t="n">
        <f aca="false">SQRT(($B23-BD$16)^2+($C23-BD$17)^2+($D23-BD$18)^2)</f>
        <v>5.20106867883603</v>
      </c>
      <c r="BE23" s="63" t="n">
        <f aca="false">MATCH(MIN(BB23:BD23),BB23:BD23,0)</f>
        <v>1</v>
      </c>
      <c r="BG23" s="17" t="n">
        <f aca="false">SQRT(($B23-BG$16)^2+($C23-BG$17)^2+($D23-BG$18)^2)</f>
        <v>1.65427352325826</v>
      </c>
      <c r="BH23" s="17" t="n">
        <f aca="false">SQRT(($B23-BH$16)^2+($C23-BH$17)^2+($D23-BH$18)^2)</f>
        <v>7.27924429325313</v>
      </c>
      <c r="BI23" s="17" t="n">
        <f aca="false">SQRT(($B23-BI$16)^2+($C23-BI$17)^2+($D23-BI$18)^2)</f>
        <v>5.20106867883603</v>
      </c>
      <c r="BJ23" s="63" t="n">
        <f aca="false">MATCH(MIN(BG23:BI23),BG23:BI23,0)</f>
        <v>1</v>
      </c>
      <c r="BL23" s="17" t="n">
        <f aca="false">SQRT(($B23-BL$16)^2+($C23-BL$17)^2+($D23-BL$18)^2)</f>
        <v>1.65427352325826</v>
      </c>
      <c r="BM23" s="17" t="n">
        <f aca="false">SQRT(($B23-BM$16)^2+($C23-BM$17)^2+($D23-BM$18)^2)</f>
        <v>7.27924429325313</v>
      </c>
      <c r="BN23" s="17" t="n">
        <f aca="false">SQRT(($B23-BN$16)^2+($C23-BN$17)^2+($D23-BN$18)^2)</f>
        <v>5.20106867883603</v>
      </c>
      <c r="BO23" s="63" t="n">
        <f aca="false">MATCH(MIN(BL23:BN23),BL23:BN23,0)</f>
        <v>1</v>
      </c>
      <c r="BQ23" s="17" t="n">
        <f aca="false">SQRT(($B23-BQ$16)^2+($C23-BQ$17)^2+($D23-BQ$18)^2)</f>
        <v>1.65427352325826</v>
      </c>
      <c r="BR23" s="17" t="n">
        <f aca="false">SQRT(($B23-BR$16)^2+($C23-BR$17)^2+($D23-BR$18)^2)</f>
        <v>7.27924429325313</v>
      </c>
      <c r="BS23" s="17" t="n">
        <f aca="false">SQRT(($B23-BS$16)^2+($C23-BS$17)^2+($D23-BS$18)^2)</f>
        <v>5.20106867883603</v>
      </c>
      <c r="BT23" s="63" t="n">
        <f aca="false">MATCH(MIN(BQ23:BS23),BQ23:BS23,0)</f>
        <v>1</v>
      </c>
      <c r="BV23" s="17" t="n">
        <f aca="false">SQRT(($B23-BV$16)^2+($C23-BV$17)^2+($D23-BV$18)^2)</f>
        <v>1.65427352325826</v>
      </c>
      <c r="BW23" s="17" t="n">
        <f aca="false">SQRT(($B23-BW$16)^2+($C23-BW$17)^2+($D23-BW$18)^2)</f>
        <v>7.27924429325313</v>
      </c>
      <c r="BX23" s="17" t="n">
        <f aca="false">SQRT(($B23-BX$16)^2+($C23-BX$17)^2+($D23-BX$18)^2)</f>
        <v>5.20106867883603</v>
      </c>
      <c r="BY23" s="63" t="n">
        <f aca="false">MATCH(MIN(BV23:BX23),BV23:BX23,0)</f>
        <v>1</v>
      </c>
      <c r="CA23" s="17" t="n">
        <f aca="false">SQRT(($B23-CA$16)^2+($C23-CA$17)^2+($D23-CA$18)^2)</f>
        <v>1.65427352325826</v>
      </c>
      <c r="CB23" s="17" t="n">
        <f aca="false">SQRT(($B23-CB$16)^2+($C23-CB$17)^2+($D23-CB$18)^2)</f>
        <v>7.27924429325313</v>
      </c>
      <c r="CC23" s="17" t="n">
        <f aca="false">SQRT(($B23-CC$16)^2+($C23-CC$17)^2+($D23-CC$18)^2)</f>
        <v>5.20106867883603</v>
      </c>
      <c r="CD23" s="63" t="n">
        <f aca="false">MATCH(MIN(CA23:CC23),CA23:CC23,0)</f>
        <v>1</v>
      </c>
    </row>
    <row r="24" customFormat="false" ht="15" hidden="false" customHeight="false" outlineLevel="0" collapsed="false">
      <c r="A24" s="36" t="str">
        <f aca="false">KMeans_Data!A6</f>
        <v>Lahore</v>
      </c>
      <c r="B24" s="17" t="n">
        <f aca="false">KMeans_Data!H6</f>
        <v>3.25015139617543</v>
      </c>
      <c r="C24" s="17" t="n">
        <f aca="false">KMeans_Data!I6</f>
        <v>4.15684103709117</v>
      </c>
      <c r="D24" s="17" t="n">
        <f aca="false">KMeans_Data!J6</f>
        <v>2.68051289882026</v>
      </c>
      <c r="E24" s="63" t="n">
        <f aca="false">CD24</f>
        <v>1</v>
      </c>
      <c r="F24" s="38" t="n">
        <f aca="false">($B24-INDEX($L$16:$N$16,E24))^2+($C24-INDEX($L$17:$N$17,E24))^2+($D24-INDEX($L$18:$N$18,E24))^2</f>
        <v>2.04519294264516</v>
      </c>
      <c r="G24" s="12" t="str">
        <f aca="false">INDEX($M$5:$M$7,E24)</f>
        <v>High burden</v>
      </c>
      <c r="H24" s="17" t="n">
        <f aca="false">IF(COUNTIF(Distance_Matrix!$E$9:$DQ$9,$E24)&lt;=1,0,SUMIF(Distance_Matrix!$E$9:$DQ$9,$E24,Distance_Matrix!$E$15:$DQ$15)/(COUNTIF(Distance_Matrix!$E$9:$DQ$9,$E24)-1))</f>
        <v>1.92156330749532</v>
      </c>
      <c r="I24" s="17" t="n">
        <f aca="false">MIN(IF(1=$E24,1E+099,IF(COUNTIF(Distance_Matrix!$E$9:$DQ$9,1)=0,1E+099,SUMIF(Distance_Matrix!$E$9:$DQ$9,1,Distance_Matrix!$E$15:$DQ$15)/COUNTIF(Distance_Matrix!$E$9:$DQ$9,1))),IF(2=$E24,1E+099,IF(COUNTIF(Distance_Matrix!$E$9:$DQ$9,2)=0,1E+099,SUMIF(Distance_Matrix!$E$9:$DQ$9,2,Distance_Matrix!$E$15:$DQ$15)/COUNTIF(Distance_Matrix!$E$9:$DQ$9,2))),IF(3=$E24,1E+099,IF(COUNTIF(Distance_Matrix!$E$9:$DQ$9,3)=0,1E+099,SUMIF(Distance_Matrix!$E$9:$DQ$9,3,Distance_Matrix!$E$15:$DQ$15)/COUNTIF(Distance_Matrix!$E$9:$DQ$9,3))))</f>
        <v>5.05388803533664</v>
      </c>
      <c r="J24" s="17" t="n">
        <f aca="false">IF(COUNTIF(Distance_Matrix!$E$9:$DQ$9,$E24)&lt;=1,0,(I24-H24)/MAX(H24,I24))</f>
        <v>0.619785144811321</v>
      </c>
      <c r="X24" s="17" t="n">
        <f aca="false">SQRT(($B24-X$16)^2+($C24-X$17)^2+($D24-X$18)^2)</f>
        <v>0.584737406898874</v>
      </c>
      <c r="Y24" s="17" t="n">
        <f aca="false">SQRT(($B24-Y$16)^2+($C24-Y$17)^2+($D24-Y$18)^2)</f>
        <v>8.14685136916964</v>
      </c>
      <c r="Z24" s="17" t="n">
        <f aca="false">SQRT(($B24-Z$16)^2+($C24-Z$17)^2+($D24-Z$18)^2)</f>
        <v>4.54261803543023</v>
      </c>
      <c r="AA24" s="63" t="n">
        <f aca="false">MATCH(MIN(X24:Z24),X24:Z24,0)</f>
        <v>1</v>
      </c>
      <c r="AC24" s="17" t="n">
        <f aca="false">SQRT(($B24-AC$16)^2+($C24-AC$17)^2+($D24-AC$18)^2)</f>
        <v>0.80458742879173</v>
      </c>
      <c r="AD24" s="17" t="n">
        <f aca="false">SQRT(($B24-AD$16)^2+($C24-AD$17)^2+($D24-AD$18)^2)</f>
        <v>7.1734098035434</v>
      </c>
      <c r="AE24" s="17" t="n">
        <f aca="false">SQRT(($B24-AE$16)^2+($C24-AE$17)^2+($D24-AE$18)^2)</f>
        <v>5.13600285216259</v>
      </c>
      <c r="AF24" s="63" t="n">
        <f aca="false">MATCH(MIN(AC24:AE24),AC24:AE24,0)</f>
        <v>1</v>
      </c>
      <c r="AH24" s="17" t="n">
        <f aca="false">SQRT(($B24-AH$16)^2+($C24-AH$17)^2+($D24-AH$18)^2)</f>
        <v>1.43010242383025</v>
      </c>
      <c r="AI24" s="17" t="n">
        <f aca="false">SQRT(($B24-AI$16)^2+($C24-AI$17)^2+($D24-AI$18)^2)</f>
        <v>7.06181677817979</v>
      </c>
      <c r="AJ24" s="17" t="n">
        <f aca="false">SQRT(($B24-AJ$16)^2+($C24-AJ$17)^2+($D24-AJ$18)^2)</f>
        <v>5.04263990077855</v>
      </c>
      <c r="AK24" s="63" t="n">
        <f aca="false">MATCH(MIN(AH24:AJ24),AH24:AJ24,0)</f>
        <v>1</v>
      </c>
      <c r="AM24" s="17" t="n">
        <f aca="false">SQRT(($B24-AM$16)^2+($C24-AM$17)^2+($D24-AM$18)^2)</f>
        <v>1.43010242383025</v>
      </c>
      <c r="AN24" s="17" t="n">
        <f aca="false">SQRT(($B24-AN$16)^2+($C24-AN$17)^2+($D24-AN$18)^2)</f>
        <v>7.04763576556242</v>
      </c>
      <c r="AO24" s="17" t="n">
        <f aca="false">SQRT(($B24-AO$16)^2+($C24-AO$17)^2+($D24-AO$18)^2)</f>
        <v>5.01899522796553</v>
      </c>
      <c r="AP24" s="63" t="n">
        <f aca="false">MATCH(MIN(AM24:AO24),AM24:AO24,0)</f>
        <v>1</v>
      </c>
      <c r="AR24" s="17" t="n">
        <f aca="false">SQRT(($B24-AR$16)^2+($C24-AR$17)^2+($D24-AR$18)^2)</f>
        <v>1.43010242383025</v>
      </c>
      <c r="AS24" s="17" t="n">
        <f aca="false">SQRT(($B24-AS$16)^2+($C24-AS$17)^2+($D24-AS$18)^2)</f>
        <v>7.04763576556242</v>
      </c>
      <c r="AT24" s="17" t="n">
        <f aca="false">SQRT(($B24-AT$16)^2+($C24-AT$17)^2+($D24-AT$18)^2)</f>
        <v>5.01899522796553</v>
      </c>
      <c r="AU24" s="63" t="n">
        <f aca="false">MATCH(MIN(AR24:AT24),AR24:AT24,0)</f>
        <v>1</v>
      </c>
      <c r="AW24" s="17" t="n">
        <f aca="false">SQRT(($B24-AW$16)^2+($C24-AW$17)^2+($D24-AW$18)^2)</f>
        <v>1.43010242383025</v>
      </c>
      <c r="AX24" s="17" t="n">
        <f aca="false">SQRT(($B24-AX$16)^2+($C24-AX$17)^2+($D24-AX$18)^2)</f>
        <v>7.04763576556242</v>
      </c>
      <c r="AY24" s="17" t="n">
        <f aca="false">SQRT(($B24-AY$16)^2+($C24-AY$17)^2+($D24-AY$18)^2)</f>
        <v>5.01899522796553</v>
      </c>
      <c r="AZ24" s="63" t="n">
        <f aca="false">MATCH(MIN(AW24:AY24),AW24:AY24,0)</f>
        <v>1</v>
      </c>
      <c r="BB24" s="17" t="n">
        <f aca="false">SQRT(($B24-BB$16)^2+($C24-BB$17)^2+($D24-BB$18)^2)</f>
        <v>1.43010242383025</v>
      </c>
      <c r="BC24" s="17" t="n">
        <f aca="false">SQRT(($B24-BC$16)^2+($C24-BC$17)^2+($D24-BC$18)^2)</f>
        <v>7.04763576556242</v>
      </c>
      <c r="BD24" s="17" t="n">
        <f aca="false">SQRT(($B24-BD$16)^2+($C24-BD$17)^2+($D24-BD$18)^2)</f>
        <v>5.01899522796553</v>
      </c>
      <c r="BE24" s="63" t="n">
        <f aca="false">MATCH(MIN(BB24:BD24),BB24:BD24,0)</f>
        <v>1</v>
      </c>
      <c r="BG24" s="17" t="n">
        <f aca="false">SQRT(($B24-BG$16)^2+($C24-BG$17)^2+($D24-BG$18)^2)</f>
        <v>1.43010242383025</v>
      </c>
      <c r="BH24" s="17" t="n">
        <f aca="false">SQRT(($B24-BH$16)^2+($C24-BH$17)^2+($D24-BH$18)^2)</f>
        <v>7.04763576556242</v>
      </c>
      <c r="BI24" s="17" t="n">
        <f aca="false">SQRT(($B24-BI$16)^2+($C24-BI$17)^2+($D24-BI$18)^2)</f>
        <v>5.01899522796553</v>
      </c>
      <c r="BJ24" s="63" t="n">
        <f aca="false">MATCH(MIN(BG24:BI24),BG24:BI24,0)</f>
        <v>1</v>
      </c>
      <c r="BL24" s="17" t="n">
        <f aca="false">SQRT(($B24-BL$16)^2+($C24-BL$17)^2+($D24-BL$18)^2)</f>
        <v>1.43010242383025</v>
      </c>
      <c r="BM24" s="17" t="n">
        <f aca="false">SQRT(($B24-BM$16)^2+($C24-BM$17)^2+($D24-BM$18)^2)</f>
        <v>7.04763576556242</v>
      </c>
      <c r="BN24" s="17" t="n">
        <f aca="false">SQRT(($B24-BN$16)^2+($C24-BN$17)^2+($D24-BN$18)^2)</f>
        <v>5.01899522796553</v>
      </c>
      <c r="BO24" s="63" t="n">
        <f aca="false">MATCH(MIN(BL24:BN24),BL24:BN24,0)</f>
        <v>1</v>
      </c>
      <c r="BQ24" s="17" t="n">
        <f aca="false">SQRT(($B24-BQ$16)^2+($C24-BQ$17)^2+($D24-BQ$18)^2)</f>
        <v>1.43010242383025</v>
      </c>
      <c r="BR24" s="17" t="n">
        <f aca="false">SQRT(($B24-BR$16)^2+($C24-BR$17)^2+($D24-BR$18)^2)</f>
        <v>7.04763576556242</v>
      </c>
      <c r="BS24" s="17" t="n">
        <f aca="false">SQRT(($B24-BS$16)^2+($C24-BS$17)^2+($D24-BS$18)^2)</f>
        <v>5.01899522796553</v>
      </c>
      <c r="BT24" s="63" t="n">
        <f aca="false">MATCH(MIN(BQ24:BS24),BQ24:BS24,0)</f>
        <v>1</v>
      </c>
      <c r="BV24" s="17" t="n">
        <f aca="false">SQRT(($B24-BV$16)^2+($C24-BV$17)^2+($D24-BV$18)^2)</f>
        <v>1.43010242383025</v>
      </c>
      <c r="BW24" s="17" t="n">
        <f aca="false">SQRT(($B24-BW$16)^2+($C24-BW$17)^2+($D24-BW$18)^2)</f>
        <v>7.04763576556242</v>
      </c>
      <c r="BX24" s="17" t="n">
        <f aca="false">SQRT(($B24-BX$16)^2+($C24-BX$17)^2+($D24-BX$18)^2)</f>
        <v>5.01899522796553</v>
      </c>
      <c r="BY24" s="63" t="n">
        <f aca="false">MATCH(MIN(BV24:BX24),BV24:BX24,0)</f>
        <v>1</v>
      </c>
      <c r="CA24" s="17" t="n">
        <f aca="false">SQRT(($B24-CA$16)^2+($C24-CA$17)^2+($D24-CA$18)^2)</f>
        <v>1.43010242383025</v>
      </c>
      <c r="CB24" s="17" t="n">
        <f aca="false">SQRT(($B24-CB$16)^2+($C24-CB$17)^2+($D24-CB$18)^2)</f>
        <v>7.04763576556242</v>
      </c>
      <c r="CC24" s="17" t="n">
        <f aca="false">SQRT(($B24-CC$16)^2+($C24-CC$17)^2+($D24-CC$18)^2)</f>
        <v>5.01899522796553</v>
      </c>
      <c r="CD24" s="63" t="n">
        <f aca="false">MATCH(MIN(CA24:CC24),CA24:CC24,0)</f>
        <v>1</v>
      </c>
    </row>
    <row r="25" customFormat="false" ht="15" hidden="false" customHeight="false" outlineLevel="0" collapsed="false">
      <c r="A25" s="36" t="str">
        <f aca="false">KMeans_Data!A7</f>
        <v>Quetta</v>
      </c>
      <c r="B25" s="17" t="n">
        <f aca="false">KMeans_Data!H7</f>
        <v>2.36453191227648</v>
      </c>
      <c r="C25" s="17" t="n">
        <f aca="false">KMeans_Data!I7</f>
        <v>2.29414072853602</v>
      </c>
      <c r="D25" s="17" t="n">
        <f aca="false">KMeans_Data!J7</f>
        <v>2.37235556681649</v>
      </c>
      <c r="E25" s="63" t="n">
        <f aca="false">CD25</f>
        <v>1</v>
      </c>
      <c r="F25" s="38" t="n">
        <f aca="false">($B25-INDEX($L$16:$N$16,E25))^2+($C25-INDEX($L$17:$N$17,E25))^2+($D25-INDEX($L$18:$N$18,E25))^2</f>
        <v>0.634281583832555</v>
      </c>
      <c r="G25" s="12" t="str">
        <f aca="false">INDEX($M$5:$M$7,E25)</f>
        <v>High burden</v>
      </c>
      <c r="H25" s="17" t="n">
        <f aca="false">IF(COUNTIF(Distance_Matrix!$E$9:$DQ$9,$E25)&lt;=1,0,SUMIF(Distance_Matrix!$E$9:$DQ$9,$E25,Distance_Matrix!$E$16:$DQ$16)/(COUNTIF(Distance_Matrix!$E$9:$DQ$9,$E25)-1))</f>
        <v>1.54382086615435</v>
      </c>
      <c r="I25" s="17" t="n">
        <f aca="false">MIN(IF(1=$E25,1E+099,IF(COUNTIF(Distance_Matrix!$E$9:$DQ$9,1)=0,1E+099,SUMIF(Distance_Matrix!$E$9:$DQ$9,1,Distance_Matrix!$E$16:$DQ$16)/COUNTIF(Distance_Matrix!$E$9:$DQ$9,1))),IF(2=$E25,1E+099,IF(COUNTIF(Distance_Matrix!$E$9:$DQ$9,2)=0,1E+099,SUMIF(Distance_Matrix!$E$9:$DQ$9,2,Distance_Matrix!$E$16:$DQ$16)/COUNTIF(Distance_Matrix!$E$9:$DQ$9,2))),IF(3=$E25,1E+099,IF(COUNTIF(Distance_Matrix!$E$9:$DQ$9,3)=0,1E+099,SUMIF(Distance_Matrix!$E$9:$DQ$9,3,Distance_Matrix!$E$16:$DQ$16)/COUNTIF(Distance_Matrix!$E$9:$DQ$9,3))))</f>
        <v>3.1630977199013</v>
      </c>
      <c r="J25" s="17" t="n">
        <f aca="false">IF(COUNTIF(Distance_Matrix!$E$9:$DQ$9,$E25)&lt;=1,0,(I25-H25)/MAX(H25,I25))</f>
        <v>0.511927546075776</v>
      </c>
      <c r="X25" s="17" t="n">
        <f aca="false">SQRT(($B25-X$16)^2+($C25-X$17)^2+($D25-X$18)^2)</f>
        <v>2.15562975043914</v>
      </c>
      <c r="Y25" s="17" t="n">
        <f aca="false">SQRT(($B25-Y$16)^2+($C25-Y$17)^2+($D25-Y$18)^2)</f>
        <v>6.3976329314131</v>
      </c>
      <c r="Z25" s="17" t="n">
        <f aca="false">SQRT(($B25-Z$16)^2+($C25-Z$17)^2+($D25-Z$18)^2)</f>
        <v>2.49878681858911</v>
      </c>
      <c r="AA25" s="63" t="n">
        <f aca="false">MATCH(MIN(X25:Z25),X25:Z25,0)</f>
        <v>1</v>
      </c>
      <c r="AC25" s="17" t="n">
        <f aca="false">SQRT(($B25-AC$16)^2+($C25-AC$17)^2+($D25-AC$18)^2)</f>
        <v>1.30212209386384</v>
      </c>
      <c r="AD25" s="17" t="n">
        <f aca="false">SQRT(($B25-AD$16)^2+($C25-AD$17)^2+($D25-AD$18)^2)</f>
        <v>5.35272586904911</v>
      </c>
      <c r="AE25" s="17" t="n">
        <f aca="false">SQRT(($B25-AE$16)^2+($C25-AE$17)^2+($D25-AE$18)^2)</f>
        <v>3.22546362414522</v>
      </c>
      <c r="AF25" s="63" t="n">
        <f aca="false">MATCH(MIN(AC25:AE25),AC25:AE25,0)</f>
        <v>1</v>
      </c>
      <c r="AH25" s="17" t="n">
        <f aca="false">SQRT(($B25-AH$16)^2+($C25-AH$17)^2+($D25-AH$18)^2)</f>
        <v>0.796417970561033</v>
      </c>
      <c r="AI25" s="17" t="n">
        <f aca="false">SQRT(($B25-AI$16)^2+($C25-AI$17)^2+($D25-AI$18)^2)</f>
        <v>5.23197276204058</v>
      </c>
      <c r="AJ25" s="17" t="n">
        <f aca="false">SQRT(($B25-AJ$16)^2+($C25-AJ$17)^2+($D25-AJ$18)^2)</f>
        <v>3.12763950197481</v>
      </c>
      <c r="AK25" s="63" t="n">
        <f aca="false">MATCH(MIN(AH25:AJ25),AH25:AJ25,0)</f>
        <v>1</v>
      </c>
      <c r="AM25" s="17" t="n">
        <f aca="false">SQRT(($B25-AM$16)^2+($C25-AM$17)^2+($D25-AM$18)^2)</f>
        <v>0.796417970561033</v>
      </c>
      <c r="AN25" s="17" t="n">
        <f aca="false">SQRT(($B25-AN$16)^2+($C25-AN$17)^2+($D25-AN$18)^2)</f>
        <v>5.2170345519938</v>
      </c>
      <c r="AO25" s="17" t="n">
        <f aca="false">SQRT(($B25-AO$16)^2+($C25-AO$17)^2+($D25-AO$18)^2)</f>
        <v>3.10309192729666</v>
      </c>
      <c r="AP25" s="63" t="n">
        <f aca="false">MATCH(MIN(AM25:AO25),AM25:AO25,0)</f>
        <v>1</v>
      </c>
      <c r="AR25" s="17" t="n">
        <f aca="false">SQRT(($B25-AR$16)^2+($C25-AR$17)^2+($D25-AR$18)^2)</f>
        <v>0.796417970561033</v>
      </c>
      <c r="AS25" s="17" t="n">
        <f aca="false">SQRT(($B25-AS$16)^2+($C25-AS$17)^2+($D25-AS$18)^2)</f>
        <v>5.2170345519938</v>
      </c>
      <c r="AT25" s="17" t="n">
        <f aca="false">SQRT(($B25-AT$16)^2+($C25-AT$17)^2+($D25-AT$18)^2)</f>
        <v>3.10309192729666</v>
      </c>
      <c r="AU25" s="63" t="n">
        <f aca="false">MATCH(MIN(AR25:AT25),AR25:AT25,0)</f>
        <v>1</v>
      </c>
      <c r="AW25" s="17" t="n">
        <f aca="false">SQRT(($B25-AW$16)^2+($C25-AW$17)^2+($D25-AW$18)^2)</f>
        <v>0.796417970561033</v>
      </c>
      <c r="AX25" s="17" t="n">
        <f aca="false">SQRT(($B25-AX$16)^2+($C25-AX$17)^2+($D25-AX$18)^2)</f>
        <v>5.2170345519938</v>
      </c>
      <c r="AY25" s="17" t="n">
        <f aca="false">SQRT(($B25-AY$16)^2+($C25-AY$17)^2+($D25-AY$18)^2)</f>
        <v>3.10309192729666</v>
      </c>
      <c r="AZ25" s="63" t="n">
        <f aca="false">MATCH(MIN(AW25:AY25),AW25:AY25,0)</f>
        <v>1</v>
      </c>
      <c r="BB25" s="17" t="n">
        <f aca="false">SQRT(($B25-BB$16)^2+($C25-BB$17)^2+($D25-BB$18)^2)</f>
        <v>0.796417970561033</v>
      </c>
      <c r="BC25" s="17" t="n">
        <f aca="false">SQRT(($B25-BC$16)^2+($C25-BC$17)^2+($D25-BC$18)^2)</f>
        <v>5.2170345519938</v>
      </c>
      <c r="BD25" s="17" t="n">
        <f aca="false">SQRT(($B25-BD$16)^2+($C25-BD$17)^2+($D25-BD$18)^2)</f>
        <v>3.10309192729666</v>
      </c>
      <c r="BE25" s="63" t="n">
        <f aca="false">MATCH(MIN(BB25:BD25),BB25:BD25,0)</f>
        <v>1</v>
      </c>
      <c r="BG25" s="17" t="n">
        <f aca="false">SQRT(($B25-BG$16)^2+($C25-BG$17)^2+($D25-BG$18)^2)</f>
        <v>0.796417970561033</v>
      </c>
      <c r="BH25" s="17" t="n">
        <f aca="false">SQRT(($B25-BH$16)^2+($C25-BH$17)^2+($D25-BH$18)^2)</f>
        <v>5.2170345519938</v>
      </c>
      <c r="BI25" s="17" t="n">
        <f aca="false">SQRT(($B25-BI$16)^2+($C25-BI$17)^2+($D25-BI$18)^2)</f>
        <v>3.10309192729666</v>
      </c>
      <c r="BJ25" s="63" t="n">
        <f aca="false">MATCH(MIN(BG25:BI25),BG25:BI25,0)</f>
        <v>1</v>
      </c>
      <c r="BL25" s="17" t="n">
        <f aca="false">SQRT(($B25-BL$16)^2+($C25-BL$17)^2+($D25-BL$18)^2)</f>
        <v>0.796417970561033</v>
      </c>
      <c r="BM25" s="17" t="n">
        <f aca="false">SQRT(($B25-BM$16)^2+($C25-BM$17)^2+($D25-BM$18)^2)</f>
        <v>5.2170345519938</v>
      </c>
      <c r="BN25" s="17" t="n">
        <f aca="false">SQRT(($B25-BN$16)^2+($C25-BN$17)^2+($D25-BN$18)^2)</f>
        <v>3.10309192729666</v>
      </c>
      <c r="BO25" s="63" t="n">
        <f aca="false">MATCH(MIN(BL25:BN25),BL25:BN25,0)</f>
        <v>1</v>
      </c>
      <c r="BQ25" s="17" t="n">
        <f aca="false">SQRT(($B25-BQ$16)^2+($C25-BQ$17)^2+($D25-BQ$18)^2)</f>
        <v>0.796417970561033</v>
      </c>
      <c r="BR25" s="17" t="n">
        <f aca="false">SQRT(($B25-BR$16)^2+($C25-BR$17)^2+($D25-BR$18)^2)</f>
        <v>5.2170345519938</v>
      </c>
      <c r="BS25" s="17" t="n">
        <f aca="false">SQRT(($B25-BS$16)^2+($C25-BS$17)^2+($D25-BS$18)^2)</f>
        <v>3.10309192729666</v>
      </c>
      <c r="BT25" s="63" t="n">
        <f aca="false">MATCH(MIN(BQ25:BS25),BQ25:BS25,0)</f>
        <v>1</v>
      </c>
      <c r="BV25" s="17" t="n">
        <f aca="false">SQRT(($B25-BV$16)^2+($C25-BV$17)^2+($D25-BV$18)^2)</f>
        <v>0.796417970561033</v>
      </c>
      <c r="BW25" s="17" t="n">
        <f aca="false">SQRT(($B25-BW$16)^2+($C25-BW$17)^2+($D25-BW$18)^2)</f>
        <v>5.2170345519938</v>
      </c>
      <c r="BX25" s="17" t="n">
        <f aca="false">SQRT(($B25-BX$16)^2+($C25-BX$17)^2+($D25-BX$18)^2)</f>
        <v>3.10309192729666</v>
      </c>
      <c r="BY25" s="63" t="n">
        <f aca="false">MATCH(MIN(BV25:BX25),BV25:BX25,0)</f>
        <v>1</v>
      </c>
      <c r="CA25" s="17" t="n">
        <f aca="false">SQRT(($B25-CA$16)^2+($C25-CA$17)^2+($D25-CA$18)^2)</f>
        <v>0.796417970561033</v>
      </c>
      <c r="CB25" s="17" t="n">
        <f aca="false">SQRT(($B25-CB$16)^2+($C25-CB$17)^2+($D25-CB$18)^2)</f>
        <v>5.2170345519938</v>
      </c>
      <c r="CC25" s="17" t="n">
        <f aca="false">SQRT(($B25-CC$16)^2+($C25-CC$17)^2+($D25-CC$18)^2)</f>
        <v>3.10309192729666</v>
      </c>
      <c r="CD25" s="63" t="n">
        <f aca="false">MATCH(MIN(CA25:CC25),CA25:CC25,0)</f>
        <v>1</v>
      </c>
    </row>
    <row r="26" customFormat="false" ht="15" hidden="false" customHeight="false" outlineLevel="0" collapsed="false">
      <c r="A26" s="36" t="str">
        <f aca="false">KMeans_Data!A8</f>
        <v>Peshawar</v>
      </c>
      <c r="B26" s="17" t="n">
        <f aca="false">KMeans_Data!H8</f>
        <v>2.345233823008</v>
      </c>
      <c r="C26" s="17" t="n">
        <f aca="false">KMeans_Data!I8</f>
        <v>3.56174892105073</v>
      </c>
      <c r="D26" s="17" t="n">
        <f aca="false">KMeans_Data!J8</f>
        <v>1.6399224296702</v>
      </c>
      <c r="E26" s="63" t="n">
        <f aca="false">CD26</f>
        <v>1</v>
      </c>
      <c r="F26" s="38" t="n">
        <f aca="false">($B26-INDEX($L$16:$N$16,E26))^2+($C26-INDEX($L$17:$N$17,E26))^2+($D26-INDEX($L$18:$N$18,E26))^2</f>
        <v>0.565413446987925</v>
      </c>
      <c r="G26" s="12" t="str">
        <f aca="false">INDEX($M$5:$M$7,E26)</f>
        <v>High burden</v>
      </c>
      <c r="H26" s="17" t="n">
        <f aca="false">IF(COUNTIF(Distance_Matrix!$E$9:$DQ$9,$E26)&lt;=1,0,SUMIF(Distance_Matrix!$E$9:$DQ$9,$E26,Distance_Matrix!$E$17:$DQ$17)/(COUNTIF(Distance_Matrix!$E$9:$DQ$9,$E26)-1))</f>
        <v>1.59734368186843</v>
      </c>
      <c r="I26" s="17" t="n">
        <f aca="false">MIN(IF(1=$E26,1E+099,IF(COUNTIF(Distance_Matrix!$E$9:$DQ$9,1)=0,1E+099,SUMIF(Distance_Matrix!$E$9:$DQ$9,1,Distance_Matrix!$E$17:$DQ$17)/COUNTIF(Distance_Matrix!$E$9:$DQ$9,1))),IF(2=$E26,1E+099,IF(COUNTIF(Distance_Matrix!$E$9:$DQ$9,2)=0,1E+099,SUMIF(Distance_Matrix!$E$9:$DQ$9,2,Distance_Matrix!$E$17:$DQ$17)/COUNTIF(Distance_Matrix!$E$9:$DQ$9,2))),IF(3=$E26,1E+099,IF(COUNTIF(Distance_Matrix!$E$9:$DQ$9,3)=0,1E+099,SUMIF(Distance_Matrix!$E$9:$DQ$9,3,Distance_Matrix!$E$17:$DQ$17)/COUNTIF(Distance_Matrix!$E$9:$DQ$9,3))))</f>
        <v>3.78453911442428</v>
      </c>
      <c r="J26" s="17" t="n">
        <f aca="false">IF(COUNTIF(Distance_Matrix!$E$9:$DQ$9,$E26)&lt;=1,0,(I26-H26)/MAX(H26,I26))</f>
        <v>0.577929139170378</v>
      </c>
      <c r="X26" s="17" t="n">
        <f aca="false">SQRT(($B26-X$16)^2+($C26-X$17)^2+($D26-X$18)^2)</f>
        <v>1.92143186127921</v>
      </c>
      <c r="Y26" s="17" t="n">
        <f aca="false">SQRT(($B26-Y$16)^2+($C26-Y$17)^2+($D26-Y$18)^2)</f>
        <v>6.7282906668016</v>
      </c>
      <c r="Z26" s="17" t="n">
        <f aca="false">SQRT(($B26-Z$16)^2+($C26-Z$17)^2+($D26-Z$18)^2)</f>
        <v>3.44546531545124</v>
      </c>
      <c r="AA26" s="63" t="n">
        <f aca="false">MATCH(MIN(X26:Z26),X26:Z26,0)</f>
        <v>1</v>
      </c>
      <c r="AC26" s="17" t="n">
        <f aca="false">SQRT(($B26-AC$16)^2+($C26-AC$17)^2+($D26-AC$18)^2)</f>
        <v>0.966197738578917</v>
      </c>
      <c r="AD26" s="17" t="n">
        <f aca="false">SQRT(($B26-AD$16)^2+($C26-AD$17)^2+($D26-AD$18)^2)</f>
        <v>5.78240605537025</v>
      </c>
      <c r="AE26" s="17" t="n">
        <f aca="false">SQRT(($B26-AE$16)^2+($C26-AE$17)^2+($D26-AE$18)^2)</f>
        <v>3.84557588887741</v>
      </c>
      <c r="AF26" s="63" t="n">
        <f aca="false">MATCH(MIN(AC26:AE26),AC26:AE26,0)</f>
        <v>1</v>
      </c>
      <c r="AH26" s="17" t="n">
        <f aca="false">SQRT(($B26-AH$16)^2+($C26-AH$17)^2+($D26-AH$18)^2)</f>
        <v>0.751939789469825</v>
      </c>
      <c r="AI26" s="17" t="n">
        <f aca="false">SQRT(($B26-AI$16)^2+($C26-AI$17)^2+($D26-AI$18)^2)</f>
        <v>5.67739077009541</v>
      </c>
      <c r="AJ26" s="17" t="n">
        <f aca="false">SQRT(($B26-AJ$16)^2+($C26-AJ$17)^2+($D26-AJ$18)^2)</f>
        <v>3.7593107170726</v>
      </c>
      <c r="AK26" s="63" t="n">
        <f aca="false">MATCH(MIN(AH26:AJ26),AH26:AJ26,0)</f>
        <v>1</v>
      </c>
      <c r="AM26" s="17" t="n">
        <f aca="false">SQRT(($B26-AM$16)^2+($C26-AM$17)^2+($D26-AM$18)^2)</f>
        <v>0.751939789469825</v>
      </c>
      <c r="AN26" s="17" t="n">
        <f aca="false">SQRT(($B26-AN$16)^2+($C26-AN$17)^2+($D26-AN$18)^2)</f>
        <v>5.66376061308279</v>
      </c>
      <c r="AO26" s="17" t="n">
        <f aca="false">SQRT(($B26-AO$16)^2+($C26-AO$17)^2+($D26-AO$18)^2)</f>
        <v>3.73722970321869</v>
      </c>
      <c r="AP26" s="63" t="n">
        <f aca="false">MATCH(MIN(AM26:AO26),AM26:AO26,0)</f>
        <v>1</v>
      </c>
      <c r="AR26" s="17" t="n">
        <f aca="false">SQRT(($B26-AR$16)^2+($C26-AR$17)^2+($D26-AR$18)^2)</f>
        <v>0.751939789469825</v>
      </c>
      <c r="AS26" s="17" t="n">
        <f aca="false">SQRT(($B26-AS$16)^2+($C26-AS$17)^2+($D26-AS$18)^2)</f>
        <v>5.66376061308279</v>
      </c>
      <c r="AT26" s="17" t="n">
        <f aca="false">SQRT(($B26-AT$16)^2+($C26-AT$17)^2+($D26-AT$18)^2)</f>
        <v>3.73722970321869</v>
      </c>
      <c r="AU26" s="63" t="n">
        <f aca="false">MATCH(MIN(AR26:AT26),AR26:AT26,0)</f>
        <v>1</v>
      </c>
      <c r="AW26" s="17" t="n">
        <f aca="false">SQRT(($B26-AW$16)^2+($C26-AW$17)^2+($D26-AW$18)^2)</f>
        <v>0.751939789469825</v>
      </c>
      <c r="AX26" s="17" t="n">
        <f aca="false">SQRT(($B26-AX$16)^2+($C26-AX$17)^2+($D26-AX$18)^2)</f>
        <v>5.66376061308279</v>
      </c>
      <c r="AY26" s="17" t="n">
        <f aca="false">SQRT(($B26-AY$16)^2+($C26-AY$17)^2+($D26-AY$18)^2)</f>
        <v>3.73722970321869</v>
      </c>
      <c r="AZ26" s="63" t="n">
        <f aca="false">MATCH(MIN(AW26:AY26),AW26:AY26,0)</f>
        <v>1</v>
      </c>
      <c r="BB26" s="17" t="n">
        <f aca="false">SQRT(($B26-BB$16)^2+($C26-BB$17)^2+($D26-BB$18)^2)</f>
        <v>0.751939789469825</v>
      </c>
      <c r="BC26" s="17" t="n">
        <f aca="false">SQRT(($B26-BC$16)^2+($C26-BC$17)^2+($D26-BC$18)^2)</f>
        <v>5.66376061308279</v>
      </c>
      <c r="BD26" s="17" t="n">
        <f aca="false">SQRT(($B26-BD$16)^2+($C26-BD$17)^2+($D26-BD$18)^2)</f>
        <v>3.73722970321869</v>
      </c>
      <c r="BE26" s="63" t="n">
        <f aca="false">MATCH(MIN(BB26:BD26),BB26:BD26,0)</f>
        <v>1</v>
      </c>
      <c r="BG26" s="17" t="n">
        <f aca="false">SQRT(($B26-BG$16)^2+($C26-BG$17)^2+($D26-BG$18)^2)</f>
        <v>0.751939789469825</v>
      </c>
      <c r="BH26" s="17" t="n">
        <f aca="false">SQRT(($B26-BH$16)^2+($C26-BH$17)^2+($D26-BH$18)^2)</f>
        <v>5.66376061308279</v>
      </c>
      <c r="BI26" s="17" t="n">
        <f aca="false">SQRT(($B26-BI$16)^2+($C26-BI$17)^2+($D26-BI$18)^2)</f>
        <v>3.73722970321869</v>
      </c>
      <c r="BJ26" s="63" t="n">
        <f aca="false">MATCH(MIN(BG26:BI26),BG26:BI26,0)</f>
        <v>1</v>
      </c>
      <c r="BL26" s="17" t="n">
        <f aca="false">SQRT(($B26-BL$16)^2+($C26-BL$17)^2+($D26-BL$18)^2)</f>
        <v>0.751939789469825</v>
      </c>
      <c r="BM26" s="17" t="n">
        <f aca="false">SQRT(($B26-BM$16)^2+($C26-BM$17)^2+($D26-BM$18)^2)</f>
        <v>5.66376061308279</v>
      </c>
      <c r="BN26" s="17" t="n">
        <f aca="false">SQRT(($B26-BN$16)^2+($C26-BN$17)^2+($D26-BN$18)^2)</f>
        <v>3.73722970321869</v>
      </c>
      <c r="BO26" s="63" t="n">
        <f aca="false">MATCH(MIN(BL26:BN26),BL26:BN26,0)</f>
        <v>1</v>
      </c>
      <c r="BQ26" s="17" t="n">
        <f aca="false">SQRT(($B26-BQ$16)^2+($C26-BQ$17)^2+($D26-BQ$18)^2)</f>
        <v>0.751939789469825</v>
      </c>
      <c r="BR26" s="17" t="n">
        <f aca="false">SQRT(($B26-BR$16)^2+($C26-BR$17)^2+($D26-BR$18)^2)</f>
        <v>5.66376061308279</v>
      </c>
      <c r="BS26" s="17" t="n">
        <f aca="false">SQRT(($B26-BS$16)^2+($C26-BS$17)^2+($D26-BS$18)^2)</f>
        <v>3.73722970321869</v>
      </c>
      <c r="BT26" s="63" t="n">
        <f aca="false">MATCH(MIN(BQ26:BS26),BQ26:BS26,0)</f>
        <v>1</v>
      </c>
      <c r="BV26" s="17" t="n">
        <f aca="false">SQRT(($B26-BV$16)^2+($C26-BV$17)^2+($D26-BV$18)^2)</f>
        <v>0.751939789469825</v>
      </c>
      <c r="BW26" s="17" t="n">
        <f aca="false">SQRT(($B26-BW$16)^2+($C26-BW$17)^2+($D26-BW$18)^2)</f>
        <v>5.66376061308279</v>
      </c>
      <c r="BX26" s="17" t="n">
        <f aca="false">SQRT(($B26-BX$16)^2+($C26-BX$17)^2+($D26-BX$18)^2)</f>
        <v>3.73722970321869</v>
      </c>
      <c r="BY26" s="63" t="n">
        <f aca="false">MATCH(MIN(BV26:BX26),BV26:BX26,0)</f>
        <v>1</v>
      </c>
      <c r="CA26" s="17" t="n">
        <f aca="false">SQRT(($B26-CA$16)^2+($C26-CA$17)^2+($D26-CA$18)^2)</f>
        <v>0.751939789469825</v>
      </c>
      <c r="CB26" s="17" t="n">
        <f aca="false">SQRT(($B26-CB$16)^2+($C26-CB$17)^2+($D26-CB$18)^2)</f>
        <v>5.66376061308279</v>
      </c>
      <c r="CC26" s="17" t="n">
        <f aca="false">SQRT(($B26-CC$16)^2+($C26-CC$17)^2+($D26-CC$18)^2)</f>
        <v>3.73722970321869</v>
      </c>
      <c r="CD26" s="63" t="n">
        <f aca="false">MATCH(MIN(CA26:CC26),CA26:CC26,0)</f>
        <v>1</v>
      </c>
    </row>
    <row r="27" customFormat="false" ht="15" hidden="false" customHeight="false" outlineLevel="0" collapsed="false">
      <c r="A27" s="36" t="str">
        <f aca="false">KMeans_Data!A9</f>
        <v>Islamabad</v>
      </c>
      <c r="B27" s="17" t="n">
        <f aca="false">KMeans_Data!H9</f>
        <v>2.1711238504828</v>
      </c>
      <c r="C27" s="17" t="n">
        <f aca="false">KMeans_Data!I9</f>
        <v>2.06578932043694</v>
      </c>
      <c r="D27" s="17" t="n">
        <f aca="false">KMeans_Data!J9</f>
        <v>1.69651676359603</v>
      </c>
      <c r="E27" s="63" t="n">
        <f aca="false">CD27</f>
        <v>1</v>
      </c>
      <c r="F27" s="38" t="n">
        <f aca="false">($B27-INDEX($L$16:$N$16,E27))^2+($C27-INDEX($L$17:$N$17,E27))^2+($D27-INDEX($L$18:$N$18,E27))^2</f>
        <v>1.31659151971118</v>
      </c>
      <c r="G27" s="12" t="str">
        <f aca="false">INDEX($M$5:$M$7,E27)</f>
        <v>High burden</v>
      </c>
      <c r="H27" s="17" t="n">
        <f aca="false">IF(COUNTIF(Distance_Matrix!$E$9:$DQ$9,$E27)&lt;=1,0,SUMIF(Distance_Matrix!$E$9:$DQ$9,$E27,Distance_Matrix!$E$18:$DQ$18)/(COUNTIF(Distance_Matrix!$E$9:$DQ$9,$E27)-1))</f>
        <v>1.65657323667089</v>
      </c>
      <c r="I27" s="17" t="n">
        <f aca="false">MIN(IF(1=$E27,1E+099,IF(COUNTIF(Distance_Matrix!$E$9:$DQ$9,1)=0,1E+099,SUMIF(Distance_Matrix!$E$9:$DQ$9,1,Distance_Matrix!$E$18:$DQ$18)/COUNTIF(Distance_Matrix!$E$9:$DQ$9,1))),IF(2=$E27,1E+099,IF(COUNTIF(Distance_Matrix!$E$9:$DQ$9,2)=0,1E+099,SUMIF(Distance_Matrix!$E$9:$DQ$9,2,Distance_Matrix!$E$18:$DQ$18)/COUNTIF(Distance_Matrix!$E$9:$DQ$9,2))),IF(3=$E27,1E+099,IF(COUNTIF(Distance_Matrix!$E$9:$DQ$9,3)=0,1E+099,SUMIF(Distance_Matrix!$E$9:$DQ$9,3,Distance_Matrix!$E$18:$DQ$18)/COUNTIF(Distance_Matrix!$E$9:$DQ$9,3))))</f>
        <v>2.59668071517538</v>
      </c>
      <c r="J27" s="17" t="n">
        <f aca="false">IF(COUNTIF(Distance_Matrix!$E$9:$DQ$9,$E27)&lt;=1,0,(I27-H27)/MAX(H27,I27))</f>
        <v>0.362041999622965</v>
      </c>
      <c r="X27" s="17" t="n">
        <f aca="false">SQRT(($B27-X$16)^2+($C27-X$17)^2+($D27-X$18)^2)</f>
        <v>2.74440135734622</v>
      </c>
      <c r="Y27" s="17" t="n">
        <f aca="false">SQRT(($B27-Y$16)^2+($C27-Y$17)^2+($D27-Y$18)^2)</f>
        <v>5.80058252965424</v>
      </c>
      <c r="Z27" s="17" t="n">
        <f aca="false">SQRT(($B27-Z$16)^2+($C27-Z$17)^2+($D27-Z$18)^2)</f>
        <v>2.04521955558325</v>
      </c>
      <c r="AA27" s="63" t="n">
        <f aca="false">MATCH(MIN(X27:Z27),X27:Z27,0)</f>
        <v>3</v>
      </c>
      <c r="AC27" s="17" t="n">
        <f aca="false">SQRT(($B27-AC$16)^2+($C27-AC$17)^2+($D27-AC$18)^2)</f>
        <v>1.76757305797318</v>
      </c>
      <c r="AD27" s="17" t="n">
        <f aca="false">SQRT(($B27-AD$16)^2+($C27-AD$17)^2+($D27-AD$18)^2)</f>
        <v>4.72465412396552</v>
      </c>
      <c r="AE27" s="17" t="n">
        <f aca="false">SQRT(($B27-AE$16)^2+($C27-AE$17)^2+($D27-AE$18)^2)</f>
        <v>2.63297810911052</v>
      </c>
      <c r="AF27" s="63" t="n">
        <f aca="false">MATCH(MIN(AC27:AE27),AC27:AE27,0)</f>
        <v>1</v>
      </c>
      <c r="AH27" s="17" t="n">
        <f aca="false">SQRT(($B27-AH$16)^2+($C27-AH$17)^2+($D27-AH$18)^2)</f>
        <v>1.14742821985132</v>
      </c>
      <c r="AI27" s="17" t="n">
        <f aca="false">SQRT(($B27-AI$16)^2+($C27-AI$17)^2+($D27-AI$18)^2)</f>
        <v>4.60360643339467</v>
      </c>
      <c r="AJ27" s="17" t="n">
        <f aca="false">SQRT(($B27-AJ$16)^2+($C27-AJ$17)^2+($D27-AJ$18)^2)</f>
        <v>2.54571469776352</v>
      </c>
      <c r="AK27" s="63" t="n">
        <f aca="false">MATCH(MIN(AH27:AJ27),AH27:AJ27,0)</f>
        <v>1</v>
      </c>
      <c r="AM27" s="17" t="n">
        <f aca="false">SQRT(($B27-AM$16)^2+($C27-AM$17)^2+($D27-AM$18)^2)</f>
        <v>1.14742821985132</v>
      </c>
      <c r="AN27" s="17" t="n">
        <f aca="false">SQRT(($B27-AN$16)^2+($C27-AN$17)^2+($D27-AN$18)^2)</f>
        <v>4.58925524287786</v>
      </c>
      <c r="AO27" s="17" t="n">
        <f aca="false">SQRT(($B27-AO$16)^2+($C27-AO$17)^2+($D27-AO$18)^2)</f>
        <v>2.52110678363793</v>
      </c>
      <c r="AP27" s="63" t="n">
        <f aca="false">MATCH(MIN(AM27:AO27),AM27:AO27,0)</f>
        <v>1</v>
      </c>
      <c r="AR27" s="17" t="n">
        <f aca="false">SQRT(($B27-AR$16)^2+($C27-AR$17)^2+($D27-AR$18)^2)</f>
        <v>1.14742821985132</v>
      </c>
      <c r="AS27" s="17" t="n">
        <f aca="false">SQRT(($B27-AS$16)^2+($C27-AS$17)^2+($D27-AS$18)^2)</f>
        <v>4.58925524287786</v>
      </c>
      <c r="AT27" s="17" t="n">
        <f aca="false">SQRT(($B27-AT$16)^2+($C27-AT$17)^2+($D27-AT$18)^2)</f>
        <v>2.52110678363793</v>
      </c>
      <c r="AU27" s="63" t="n">
        <f aca="false">MATCH(MIN(AR27:AT27),AR27:AT27,0)</f>
        <v>1</v>
      </c>
      <c r="AW27" s="17" t="n">
        <f aca="false">SQRT(($B27-AW$16)^2+($C27-AW$17)^2+($D27-AW$18)^2)</f>
        <v>1.14742821985132</v>
      </c>
      <c r="AX27" s="17" t="n">
        <f aca="false">SQRT(($B27-AX$16)^2+($C27-AX$17)^2+($D27-AX$18)^2)</f>
        <v>4.58925524287786</v>
      </c>
      <c r="AY27" s="17" t="n">
        <f aca="false">SQRT(($B27-AY$16)^2+($C27-AY$17)^2+($D27-AY$18)^2)</f>
        <v>2.52110678363793</v>
      </c>
      <c r="AZ27" s="63" t="n">
        <f aca="false">MATCH(MIN(AW27:AY27),AW27:AY27,0)</f>
        <v>1</v>
      </c>
      <c r="BB27" s="17" t="n">
        <f aca="false">SQRT(($B27-BB$16)^2+($C27-BB$17)^2+($D27-BB$18)^2)</f>
        <v>1.14742821985132</v>
      </c>
      <c r="BC27" s="17" t="n">
        <f aca="false">SQRT(($B27-BC$16)^2+($C27-BC$17)^2+($D27-BC$18)^2)</f>
        <v>4.58925524287786</v>
      </c>
      <c r="BD27" s="17" t="n">
        <f aca="false">SQRT(($B27-BD$16)^2+($C27-BD$17)^2+($D27-BD$18)^2)</f>
        <v>2.52110678363793</v>
      </c>
      <c r="BE27" s="63" t="n">
        <f aca="false">MATCH(MIN(BB27:BD27),BB27:BD27,0)</f>
        <v>1</v>
      </c>
      <c r="BG27" s="17" t="n">
        <f aca="false">SQRT(($B27-BG$16)^2+($C27-BG$17)^2+($D27-BG$18)^2)</f>
        <v>1.14742821985132</v>
      </c>
      <c r="BH27" s="17" t="n">
        <f aca="false">SQRT(($B27-BH$16)^2+($C27-BH$17)^2+($D27-BH$18)^2)</f>
        <v>4.58925524287786</v>
      </c>
      <c r="BI27" s="17" t="n">
        <f aca="false">SQRT(($B27-BI$16)^2+($C27-BI$17)^2+($D27-BI$18)^2)</f>
        <v>2.52110678363793</v>
      </c>
      <c r="BJ27" s="63" t="n">
        <f aca="false">MATCH(MIN(BG27:BI27),BG27:BI27,0)</f>
        <v>1</v>
      </c>
      <c r="BL27" s="17" t="n">
        <f aca="false">SQRT(($B27-BL$16)^2+($C27-BL$17)^2+($D27-BL$18)^2)</f>
        <v>1.14742821985132</v>
      </c>
      <c r="BM27" s="17" t="n">
        <f aca="false">SQRT(($B27-BM$16)^2+($C27-BM$17)^2+($D27-BM$18)^2)</f>
        <v>4.58925524287786</v>
      </c>
      <c r="BN27" s="17" t="n">
        <f aca="false">SQRT(($B27-BN$16)^2+($C27-BN$17)^2+($D27-BN$18)^2)</f>
        <v>2.52110678363793</v>
      </c>
      <c r="BO27" s="63" t="n">
        <f aca="false">MATCH(MIN(BL27:BN27),BL27:BN27,0)</f>
        <v>1</v>
      </c>
      <c r="BQ27" s="17" t="n">
        <f aca="false">SQRT(($B27-BQ$16)^2+($C27-BQ$17)^2+($D27-BQ$18)^2)</f>
        <v>1.14742821985132</v>
      </c>
      <c r="BR27" s="17" t="n">
        <f aca="false">SQRT(($B27-BR$16)^2+($C27-BR$17)^2+($D27-BR$18)^2)</f>
        <v>4.58925524287786</v>
      </c>
      <c r="BS27" s="17" t="n">
        <f aca="false">SQRT(($B27-BS$16)^2+($C27-BS$17)^2+($D27-BS$18)^2)</f>
        <v>2.52110678363793</v>
      </c>
      <c r="BT27" s="63" t="n">
        <f aca="false">MATCH(MIN(BQ27:BS27),BQ27:BS27,0)</f>
        <v>1</v>
      </c>
      <c r="BV27" s="17" t="n">
        <f aca="false">SQRT(($B27-BV$16)^2+($C27-BV$17)^2+($D27-BV$18)^2)</f>
        <v>1.14742821985132</v>
      </c>
      <c r="BW27" s="17" t="n">
        <f aca="false">SQRT(($B27-BW$16)^2+($C27-BW$17)^2+($D27-BW$18)^2)</f>
        <v>4.58925524287786</v>
      </c>
      <c r="BX27" s="17" t="n">
        <f aca="false">SQRT(($B27-BX$16)^2+($C27-BX$17)^2+($D27-BX$18)^2)</f>
        <v>2.52110678363793</v>
      </c>
      <c r="BY27" s="63" t="n">
        <f aca="false">MATCH(MIN(BV27:BX27),BV27:BX27,0)</f>
        <v>1</v>
      </c>
      <c r="CA27" s="17" t="n">
        <f aca="false">SQRT(($B27-CA$16)^2+($C27-CA$17)^2+($D27-CA$18)^2)</f>
        <v>1.14742821985132</v>
      </c>
      <c r="CB27" s="17" t="n">
        <f aca="false">SQRT(($B27-CB$16)^2+($C27-CB$17)^2+($D27-CB$18)^2)</f>
        <v>4.58925524287786</v>
      </c>
      <c r="CC27" s="17" t="n">
        <f aca="false">SQRT(($B27-CC$16)^2+($C27-CC$17)^2+($D27-CC$18)^2)</f>
        <v>2.52110678363793</v>
      </c>
      <c r="CD27" s="63" t="n">
        <f aca="false">MATCH(MIN(CA27:CC27),CA27:CC27,0)</f>
        <v>1</v>
      </c>
    </row>
    <row r="28" customFormat="false" ht="15" hidden="false" customHeight="false" outlineLevel="0" collapsed="false">
      <c r="A28" s="36" t="str">
        <f aca="false">KMeans_Data!A10</f>
        <v>Swat</v>
      </c>
      <c r="B28" s="17" t="n">
        <f aca="false">KMeans_Data!H10</f>
        <v>1.49375246664447</v>
      </c>
      <c r="C28" s="17" t="n">
        <f aca="false">KMeans_Data!I10</f>
        <v>2.23090597008422</v>
      </c>
      <c r="D28" s="17" t="n">
        <f aca="false">KMeans_Data!J10</f>
        <v>1.44343610510691</v>
      </c>
      <c r="E28" s="63" t="n">
        <f aca="false">CD28</f>
        <v>1</v>
      </c>
      <c r="F28" s="38" t="n">
        <f aca="false">($B28-INDEX($L$16:$N$16,E28))^2+($C28-INDEX($L$17:$N$17,E28))^2+($D28-INDEX($L$18:$N$18,E28))^2</f>
        <v>2.20700220828376</v>
      </c>
      <c r="G28" s="12" t="str">
        <f aca="false">INDEX($M$5:$M$7,E28)</f>
        <v>High burden</v>
      </c>
      <c r="H28" s="17" t="n">
        <f aca="false">IF(COUNTIF(Distance_Matrix!$E$9:$DQ$9,$E28)&lt;=1,0,SUMIF(Distance_Matrix!$E$9:$DQ$9,$E28,Distance_Matrix!$E$19:$DQ$19)/(COUNTIF(Distance_Matrix!$E$9:$DQ$9,$E28)-1))</f>
        <v>1.9220689422187</v>
      </c>
      <c r="I28" s="17" t="n">
        <f aca="false">MIN(IF(1=$E28,1E+099,IF(COUNTIF(Distance_Matrix!$E$9:$DQ$9,1)=0,1E+099,SUMIF(Distance_Matrix!$E$9:$DQ$9,1,Distance_Matrix!$E$19:$DQ$19)/COUNTIF(Distance_Matrix!$E$9:$DQ$9,1))),IF(2=$E28,1E+099,IF(COUNTIF(Distance_Matrix!$E$9:$DQ$9,2)=0,1E+099,SUMIF(Distance_Matrix!$E$9:$DQ$9,2,Distance_Matrix!$E$19:$DQ$19)/COUNTIF(Distance_Matrix!$E$9:$DQ$9,2))),IF(3=$E28,1E+099,IF(COUNTIF(Distance_Matrix!$E$9:$DQ$9,3)=0,1E+099,SUMIF(Distance_Matrix!$E$9:$DQ$9,3,Distance_Matrix!$E$19:$DQ$19)/COUNTIF(Distance_Matrix!$E$9:$DQ$9,3))))</f>
        <v>2.25041785908463</v>
      </c>
      <c r="J28" s="17" t="n">
        <f aca="false">IF(COUNTIF(Distance_Matrix!$E$9:$DQ$9,$E28)&lt;=1,0,(I28-H28)/MAX(H28,I28))</f>
        <v>0.145905755031416</v>
      </c>
      <c r="X28" s="17" t="n">
        <f aca="false">SQRT(($B28-X$16)^2+($C28-X$17)^2+($D28-X$18)^2)</f>
        <v>3.11649342466592</v>
      </c>
      <c r="Y28" s="17" t="n">
        <f aca="false">SQRT(($B28-Y$16)^2+($C28-Y$17)^2+($D28-Y$18)^2)</f>
        <v>5.28240577925859</v>
      </c>
      <c r="Z28" s="17" t="n">
        <f aca="false">SQRT(($B28-Z$16)^2+($C28-Z$17)^2+($D28-Z$18)^2)</f>
        <v>1.90781752145149</v>
      </c>
      <c r="AA28" s="63" t="n">
        <f aca="false">MATCH(MIN(X28:Z28),X28:Z28,0)</f>
        <v>3</v>
      </c>
      <c r="AC28" s="17" t="n">
        <f aca="false">SQRT(($B28-AC$16)^2+($C28-AC$17)^2+($D28-AC$18)^2)</f>
        <v>2.11185476492384</v>
      </c>
      <c r="AD28" s="17" t="n">
        <f aca="false">SQRT(($B28-AD$16)^2+($C28-AD$17)^2+($D28-AD$18)^2)</f>
        <v>4.30270988637567</v>
      </c>
      <c r="AE28" s="17" t="n">
        <f aca="false">SQRT(($B28-AE$16)^2+($C28-AE$17)^2+($D28-AE$18)^2)</f>
        <v>2.28832077716279</v>
      </c>
      <c r="AF28" s="63" t="n">
        <f aca="false">MATCH(MIN(AC28:AE28),AC28:AE28,0)</f>
        <v>1</v>
      </c>
      <c r="AH28" s="17" t="n">
        <f aca="false">SQRT(($B28-AH$16)^2+($C28-AH$17)^2+($D28-AH$18)^2)</f>
        <v>1.48559826611496</v>
      </c>
      <c r="AI28" s="17" t="n">
        <f aca="false">SQRT(($B28-AI$16)^2+($C28-AI$17)^2+($D28-AI$18)^2)</f>
        <v>4.19310031271723</v>
      </c>
      <c r="AJ28" s="17" t="n">
        <f aca="false">SQRT(($B28-AJ$16)^2+($C28-AJ$17)^2+($D28-AJ$18)^2)</f>
        <v>2.19311954390404</v>
      </c>
      <c r="AK28" s="63" t="n">
        <f aca="false">MATCH(MIN(AH28:AJ28),AH28:AJ28,0)</f>
        <v>1</v>
      </c>
      <c r="AM28" s="17" t="n">
        <f aca="false">SQRT(($B28-AM$16)^2+($C28-AM$17)^2+($D28-AM$18)^2)</f>
        <v>1.48559826611496</v>
      </c>
      <c r="AN28" s="17" t="n">
        <f aca="false">SQRT(($B28-AN$16)^2+($C28-AN$17)^2+($D28-AN$18)^2)</f>
        <v>4.17850642026025</v>
      </c>
      <c r="AO28" s="17" t="n">
        <f aca="false">SQRT(($B28-AO$16)^2+($C28-AO$17)^2+($D28-AO$18)^2)</f>
        <v>2.17087727571227</v>
      </c>
      <c r="AP28" s="63" t="n">
        <f aca="false">MATCH(MIN(AM28:AO28),AM28:AO28,0)</f>
        <v>1</v>
      </c>
      <c r="AR28" s="17" t="n">
        <f aca="false">SQRT(($B28-AR$16)^2+($C28-AR$17)^2+($D28-AR$18)^2)</f>
        <v>1.48559826611496</v>
      </c>
      <c r="AS28" s="17" t="n">
        <f aca="false">SQRT(($B28-AS$16)^2+($C28-AS$17)^2+($D28-AS$18)^2)</f>
        <v>4.17850642026025</v>
      </c>
      <c r="AT28" s="17" t="n">
        <f aca="false">SQRT(($B28-AT$16)^2+($C28-AT$17)^2+($D28-AT$18)^2)</f>
        <v>2.17087727571227</v>
      </c>
      <c r="AU28" s="63" t="n">
        <f aca="false">MATCH(MIN(AR28:AT28),AR28:AT28,0)</f>
        <v>1</v>
      </c>
      <c r="AW28" s="17" t="n">
        <f aca="false">SQRT(($B28-AW$16)^2+($C28-AW$17)^2+($D28-AW$18)^2)</f>
        <v>1.48559826611496</v>
      </c>
      <c r="AX28" s="17" t="n">
        <f aca="false">SQRT(($B28-AX$16)^2+($C28-AX$17)^2+($D28-AX$18)^2)</f>
        <v>4.17850642026025</v>
      </c>
      <c r="AY28" s="17" t="n">
        <f aca="false">SQRT(($B28-AY$16)^2+($C28-AY$17)^2+($D28-AY$18)^2)</f>
        <v>2.17087727571227</v>
      </c>
      <c r="AZ28" s="63" t="n">
        <f aca="false">MATCH(MIN(AW28:AY28),AW28:AY28,0)</f>
        <v>1</v>
      </c>
      <c r="BB28" s="17" t="n">
        <f aca="false">SQRT(($B28-BB$16)^2+($C28-BB$17)^2+($D28-BB$18)^2)</f>
        <v>1.48559826611496</v>
      </c>
      <c r="BC28" s="17" t="n">
        <f aca="false">SQRT(($B28-BC$16)^2+($C28-BC$17)^2+($D28-BC$18)^2)</f>
        <v>4.17850642026025</v>
      </c>
      <c r="BD28" s="17" t="n">
        <f aca="false">SQRT(($B28-BD$16)^2+($C28-BD$17)^2+($D28-BD$18)^2)</f>
        <v>2.17087727571227</v>
      </c>
      <c r="BE28" s="63" t="n">
        <f aca="false">MATCH(MIN(BB28:BD28),BB28:BD28,0)</f>
        <v>1</v>
      </c>
      <c r="BG28" s="17" t="n">
        <f aca="false">SQRT(($B28-BG$16)^2+($C28-BG$17)^2+($D28-BG$18)^2)</f>
        <v>1.48559826611496</v>
      </c>
      <c r="BH28" s="17" t="n">
        <f aca="false">SQRT(($B28-BH$16)^2+($C28-BH$17)^2+($D28-BH$18)^2)</f>
        <v>4.17850642026025</v>
      </c>
      <c r="BI28" s="17" t="n">
        <f aca="false">SQRT(($B28-BI$16)^2+($C28-BI$17)^2+($D28-BI$18)^2)</f>
        <v>2.17087727571227</v>
      </c>
      <c r="BJ28" s="63" t="n">
        <f aca="false">MATCH(MIN(BG28:BI28),BG28:BI28,0)</f>
        <v>1</v>
      </c>
      <c r="BL28" s="17" t="n">
        <f aca="false">SQRT(($B28-BL$16)^2+($C28-BL$17)^2+($D28-BL$18)^2)</f>
        <v>1.48559826611496</v>
      </c>
      <c r="BM28" s="17" t="n">
        <f aca="false">SQRT(($B28-BM$16)^2+($C28-BM$17)^2+($D28-BM$18)^2)</f>
        <v>4.17850642026025</v>
      </c>
      <c r="BN28" s="17" t="n">
        <f aca="false">SQRT(($B28-BN$16)^2+($C28-BN$17)^2+($D28-BN$18)^2)</f>
        <v>2.17087727571227</v>
      </c>
      <c r="BO28" s="63" t="n">
        <f aca="false">MATCH(MIN(BL28:BN28),BL28:BN28,0)</f>
        <v>1</v>
      </c>
      <c r="BQ28" s="17" t="n">
        <f aca="false">SQRT(($B28-BQ$16)^2+($C28-BQ$17)^2+($D28-BQ$18)^2)</f>
        <v>1.48559826611496</v>
      </c>
      <c r="BR28" s="17" t="n">
        <f aca="false">SQRT(($B28-BR$16)^2+($C28-BR$17)^2+($D28-BR$18)^2)</f>
        <v>4.17850642026025</v>
      </c>
      <c r="BS28" s="17" t="n">
        <f aca="false">SQRT(($B28-BS$16)^2+($C28-BS$17)^2+($D28-BS$18)^2)</f>
        <v>2.17087727571227</v>
      </c>
      <c r="BT28" s="63" t="n">
        <f aca="false">MATCH(MIN(BQ28:BS28),BQ28:BS28,0)</f>
        <v>1</v>
      </c>
      <c r="BV28" s="17" t="n">
        <f aca="false">SQRT(($B28-BV$16)^2+($C28-BV$17)^2+($D28-BV$18)^2)</f>
        <v>1.48559826611496</v>
      </c>
      <c r="BW28" s="17" t="n">
        <f aca="false">SQRT(($B28-BW$16)^2+($C28-BW$17)^2+($D28-BW$18)^2)</f>
        <v>4.17850642026025</v>
      </c>
      <c r="BX28" s="17" t="n">
        <f aca="false">SQRT(($B28-BX$16)^2+($C28-BX$17)^2+($D28-BX$18)^2)</f>
        <v>2.17087727571227</v>
      </c>
      <c r="BY28" s="63" t="n">
        <f aca="false">MATCH(MIN(BV28:BX28),BV28:BX28,0)</f>
        <v>1</v>
      </c>
      <c r="CA28" s="17" t="n">
        <f aca="false">SQRT(($B28-CA$16)^2+($C28-CA$17)^2+($D28-CA$18)^2)</f>
        <v>1.48559826611496</v>
      </c>
      <c r="CB28" s="17" t="n">
        <f aca="false">SQRT(($B28-CB$16)^2+($C28-CB$17)^2+($D28-CB$18)^2)</f>
        <v>4.17850642026025</v>
      </c>
      <c r="CC28" s="17" t="n">
        <f aca="false">SQRT(($B28-CC$16)^2+($C28-CC$17)^2+($D28-CC$18)^2)</f>
        <v>2.17087727571227</v>
      </c>
      <c r="CD28" s="63" t="n">
        <f aca="false">MATCH(MIN(CA28:CC28),CA28:CC28,0)</f>
        <v>1</v>
      </c>
    </row>
    <row r="29" customFormat="false" ht="15" hidden="false" customHeight="false" outlineLevel="0" collapsed="false">
      <c r="A29" s="36" t="str">
        <f aca="false">KMeans_Data!A11</f>
        <v>Multan</v>
      </c>
      <c r="B29" s="17" t="n">
        <f aca="false">KMeans_Data!H11</f>
        <v>1.339480128572</v>
      </c>
      <c r="C29" s="17" t="n">
        <f aca="false">KMeans_Data!I11</f>
        <v>0.160512589624996</v>
      </c>
      <c r="D29" s="17" t="n">
        <f aca="false">KMeans_Data!J11</f>
        <v>-0.824446015898766</v>
      </c>
      <c r="E29" s="63" t="n">
        <f aca="false">CD29</f>
        <v>3</v>
      </c>
      <c r="F29" s="38" t="n">
        <f aca="false">($B29-INDEX($L$16:$N$16,E29))^2+($C29-INDEX($L$17:$N$17,E29))^2+($D29-INDEX($L$18:$N$18,E29))^2</f>
        <v>3.06251073498426</v>
      </c>
      <c r="G29" s="12" t="str">
        <f aca="false">INDEX($M$5:$M$7,E29)</f>
        <v>Medium burden</v>
      </c>
      <c r="H29" s="17" t="n">
        <f aca="false">IF(COUNTIF(Distance_Matrix!$E$9:$DQ$9,$E29)&lt;=1,0,SUMIF(Distance_Matrix!$E$9:$DQ$9,$E29,Distance_Matrix!$E$20:$DQ$20)/(COUNTIF(Distance_Matrix!$E$9:$DQ$9,$E29)-1))</f>
        <v>1.97136906797438</v>
      </c>
      <c r="I29" s="17" t="n">
        <f aca="false">MIN(IF(1=$E29,1E+099,IF(COUNTIF(Distance_Matrix!$E$9:$DQ$9,1)=0,1E+099,SUMIF(Distance_Matrix!$E$9:$DQ$9,1,Distance_Matrix!$E$20:$DQ$20)/COUNTIF(Distance_Matrix!$E$9:$DQ$9,1))),IF(2=$E29,1E+099,IF(COUNTIF(Distance_Matrix!$E$9:$DQ$9,2)=0,1E+099,SUMIF(Distance_Matrix!$E$9:$DQ$9,2,Distance_Matrix!$E$20:$DQ$20)/COUNTIF(Distance_Matrix!$E$9:$DQ$9,2))),IF(3=$E29,1E+099,IF(COUNTIF(Distance_Matrix!$E$9:$DQ$9,3)=0,1E+099,SUMIF(Distance_Matrix!$E$9:$DQ$9,3,Distance_Matrix!$E$20:$DQ$20)/COUNTIF(Distance_Matrix!$E$9:$DQ$9,3))))</f>
        <v>2.20160345053987</v>
      </c>
      <c r="J29" s="17" t="n">
        <f aca="false">IF(COUNTIF(Distance_Matrix!$E$9:$DQ$9,$E29)&lt;=1,0,(I29-H29)/MAX(H29,I29))</f>
        <v>0.104575772948133</v>
      </c>
      <c r="X29" s="17" t="n">
        <f aca="false">SQRT(($B29-X$16)^2+($C29-X$17)^2+($D29-X$18)^2)</f>
        <v>5.95048749318587</v>
      </c>
      <c r="Y29" s="17" t="n">
        <f aca="false">SQRT(($B29-Y$16)^2+($C29-Y$17)^2+($D29-Y$18)^2)</f>
        <v>3.53389042212498</v>
      </c>
      <c r="Z29" s="17" t="n">
        <f aca="false">SQRT(($B29-Z$16)^2+($C29-Z$17)^2+($D29-Z$18)^2)</f>
        <v>2.32491482972725</v>
      </c>
      <c r="AA29" s="63" t="n">
        <f aca="false">MATCH(MIN(X29:Z29),X29:Z29,0)</f>
        <v>3</v>
      </c>
      <c r="AC29" s="17" t="n">
        <f aca="false">SQRT(($B29-AC$16)^2+($C29-AC$17)^2+($D29-AC$18)^2)</f>
        <v>4.93540265048164</v>
      </c>
      <c r="AD29" s="17" t="n">
        <f aca="false">SQRT(($B29-AD$16)^2+($C29-AD$17)^2+($D29-AD$18)^2)</f>
        <v>2.25224369327255</v>
      </c>
      <c r="AE29" s="17" t="n">
        <f aca="false">SQRT(($B29-AE$16)^2+($C29-AE$17)^2+($D29-AE$18)^2)</f>
        <v>1.64925367837809</v>
      </c>
      <c r="AF29" s="63" t="n">
        <f aca="false">MATCH(MIN(AC29:AE29),AC29:AE29,0)</f>
        <v>3</v>
      </c>
      <c r="AH29" s="17" t="n">
        <f aca="false">SQRT(($B29-AH$16)^2+($C29-AH$17)^2+($D29-AH$18)^2)</f>
        <v>4.32850099308934</v>
      </c>
      <c r="AI29" s="17" t="n">
        <f aca="false">SQRT(($B29-AI$16)^2+($C29-AI$17)^2+($D29-AI$18)^2)</f>
        <v>2.13401218282875</v>
      </c>
      <c r="AJ29" s="17" t="n">
        <f aca="false">SQRT(($B29-AJ$16)^2+($C29-AJ$17)^2+($D29-AJ$18)^2)</f>
        <v>1.747155671351</v>
      </c>
      <c r="AK29" s="63" t="n">
        <f aca="false">MATCH(MIN(AH29:AJ29),AH29:AJ29,0)</f>
        <v>3</v>
      </c>
      <c r="AM29" s="17" t="n">
        <f aca="false">SQRT(($B29-AM$16)^2+($C29-AM$17)^2+($D29-AM$18)^2)</f>
        <v>4.32850099308934</v>
      </c>
      <c r="AN29" s="17" t="n">
        <f aca="false">SQRT(($B29-AN$16)^2+($C29-AN$17)^2+($D29-AN$18)^2)</f>
        <v>2.12819052645163</v>
      </c>
      <c r="AO29" s="17" t="n">
        <f aca="false">SQRT(($B29-AO$16)^2+($C29-AO$17)^2+($D29-AO$18)^2)</f>
        <v>1.75000306713567</v>
      </c>
      <c r="AP29" s="63" t="n">
        <f aca="false">MATCH(MIN(AM29:AO29),AM29:AO29,0)</f>
        <v>3</v>
      </c>
      <c r="AR29" s="17" t="n">
        <f aca="false">SQRT(($B29-AR$16)^2+($C29-AR$17)^2+($D29-AR$18)^2)</f>
        <v>4.32850099308934</v>
      </c>
      <c r="AS29" s="17" t="n">
        <f aca="false">SQRT(($B29-AS$16)^2+($C29-AS$17)^2+($D29-AS$18)^2)</f>
        <v>2.12819052645163</v>
      </c>
      <c r="AT29" s="17" t="n">
        <f aca="false">SQRT(($B29-AT$16)^2+($C29-AT$17)^2+($D29-AT$18)^2)</f>
        <v>1.75000306713567</v>
      </c>
      <c r="AU29" s="63" t="n">
        <f aca="false">MATCH(MIN(AR29:AT29),AR29:AT29,0)</f>
        <v>3</v>
      </c>
      <c r="AW29" s="17" t="n">
        <f aca="false">SQRT(($B29-AW$16)^2+($C29-AW$17)^2+($D29-AW$18)^2)</f>
        <v>4.32850099308934</v>
      </c>
      <c r="AX29" s="17" t="n">
        <f aca="false">SQRT(($B29-AX$16)^2+($C29-AX$17)^2+($D29-AX$18)^2)</f>
        <v>2.12819052645163</v>
      </c>
      <c r="AY29" s="17" t="n">
        <f aca="false">SQRT(($B29-AY$16)^2+($C29-AY$17)^2+($D29-AY$18)^2)</f>
        <v>1.75000306713567</v>
      </c>
      <c r="AZ29" s="63" t="n">
        <f aca="false">MATCH(MIN(AW29:AY29),AW29:AY29,0)</f>
        <v>3</v>
      </c>
      <c r="BB29" s="17" t="n">
        <f aca="false">SQRT(($B29-BB$16)^2+($C29-BB$17)^2+($D29-BB$18)^2)</f>
        <v>4.32850099308934</v>
      </c>
      <c r="BC29" s="17" t="n">
        <f aca="false">SQRT(($B29-BC$16)^2+($C29-BC$17)^2+($D29-BC$18)^2)</f>
        <v>2.12819052645163</v>
      </c>
      <c r="BD29" s="17" t="n">
        <f aca="false">SQRT(($B29-BD$16)^2+($C29-BD$17)^2+($D29-BD$18)^2)</f>
        <v>1.75000306713567</v>
      </c>
      <c r="BE29" s="63" t="n">
        <f aca="false">MATCH(MIN(BB29:BD29),BB29:BD29,0)</f>
        <v>3</v>
      </c>
      <c r="BG29" s="17" t="n">
        <f aca="false">SQRT(($B29-BG$16)^2+($C29-BG$17)^2+($D29-BG$18)^2)</f>
        <v>4.32850099308934</v>
      </c>
      <c r="BH29" s="17" t="n">
        <f aca="false">SQRT(($B29-BH$16)^2+($C29-BH$17)^2+($D29-BH$18)^2)</f>
        <v>2.12819052645163</v>
      </c>
      <c r="BI29" s="17" t="n">
        <f aca="false">SQRT(($B29-BI$16)^2+($C29-BI$17)^2+($D29-BI$18)^2)</f>
        <v>1.75000306713567</v>
      </c>
      <c r="BJ29" s="63" t="n">
        <f aca="false">MATCH(MIN(BG29:BI29),BG29:BI29,0)</f>
        <v>3</v>
      </c>
      <c r="BL29" s="17" t="n">
        <f aca="false">SQRT(($B29-BL$16)^2+($C29-BL$17)^2+($D29-BL$18)^2)</f>
        <v>4.32850099308934</v>
      </c>
      <c r="BM29" s="17" t="n">
        <f aca="false">SQRT(($B29-BM$16)^2+($C29-BM$17)^2+($D29-BM$18)^2)</f>
        <v>2.12819052645163</v>
      </c>
      <c r="BN29" s="17" t="n">
        <f aca="false">SQRT(($B29-BN$16)^2+($C29-BN$17)^2+($D29-BN$18)^2)</f>
        <v>1.75000306713567</v>
      </c>
      <c r="BO29" s="63" t="n">
        <f aca="false">MATCH(MIN(BL29:BN29),BL29:BN29,0)</f>
        <v>3</v>
      </c>
      <c r="BQ29" s="17" t="n">
        <f aca="false">SQRT(($B29-BQ$16)^2+($C29-BQ$17)^2+($D29-BQ$18)^2)</f>
        <v>4.32850099308934</v>
      </c>
      <c r="BR29" s="17" t="n">
        <f aca="false">SQRT(($B29-BR$16)^2+($C29-BR$17)^2+($D29-BR$18)^2)</f>
        <v>2.12819052645163</v>
      </c>
      <c r="BS29" s="17" t="n">
        <f aca="false">SQRT(($B29-BS$16)^2+($C29-BS$17)^2+($D29-BS$18)^2)</f>
        <v>1.75000306713567</v>
      </c>
      <c r="BT29" s="63" t="n">
        <f aca="false">MATCH(MIN(BQ29:BS29),BQ29:BS29,0)</f>
        <v>3</v>
      </c>
      <c r="BV29" s="17" t="n">
        <f aca="false">SQRT(($B29-BV$16)^2+($C29-BV$17)^2+($D29-BV$18)^2)</f>
        <v>4.32850099308934</v>
      </c>
      <c r="BW29" s="17" t="n">
        <f aca="false">SQRT(($B29-BW$16)^2+($C29-BW$17)^2+($D29-BW$18)^2)</f>
        <v>2.12819052645163</v>
      </c>
      <c r="BX29" s="17" t="n">
        <f aca="false">SQRT(($B29-BX$16)^2+($C29-BX$17)^2+($D29-BX$18)^2)</f>
        <v>1.75000306713567</v>
      </c>
      <c r="BY29" s="63" t="n">
        <f aca="false">MATCH(MIN(BV29:BX29),BV29:BX29,0)</f>
        <v>3</v>
      </c>
      <c r="CA29" s="17" t="n">
        <f aca="false">SQRT(($B29-CA$16)^2+($C29-CA$17)^2+($D29-CA$18)^2)</f>
        <v>4.32850099308934</v>
      </c>
      <c r="CB29" s="17" t="n">
        <f aca="false">SQRT(($B29-CB$16)^2+($C29-CB$17)^2+($D29-CB$18)^2)</f>
        <v>2.12819052645163</v>
      </c>
      <c r="CC29" s="17" t="n">
        <f aca="false">SQRT(($B29-CC$16)^2+($C29-CC$17)^2+($D29-CC$18)^2)</f>
        <v>1.75000306713567</v>
      </c>
      <c r="CD29" s="63" t="n">
        <f aca="false">MATCH(MIN(CA29:CC29),CA29:CC29,0)</f>
        <v>3</v>
      </c>
    </row>
    <row r="30" customFormat="false" ht="15" hidden="false" customHeight="false" outlineLevel="0" collapsed="false">
      <c r="A30" s="36" t="str">
        <f aca="false">KMeans_Data!A12</f>
        <v>Sukkur</v>
      </c>
      <c r="B30" s="17" t="n">
        <f aca="false">KMeans_Data!H12</f>
        <v>1.31634431892529</v>
      </c>
      <c r="C30" s="17" t="n">
        <f aca="false">KMeans_Data!I12</f>
        <v>0.686180001083741</v>
      </c>
      <c r="D30" s="17" t="n">
        <f aca="false">KMeans_Data!J12</f>
        <v>1.72384035190912</v>
      </c>
      <c r="E30" s="63" t="n">
        <f aca="false">CD30</f>
        <v>3</v>
      </c>
      <c r="F30" s="38" t="n">
        <f aca="false">($B30-INDEX($L$16:$N$16,E30))^2+($C30-INDEX($L$17:$N$17,E30))^2+($D30-INDEX($L$18:$N$18,E30))^2</f>
        <v>1.73357756308262</v>
      </c>
      <c r="G30" s="12" t="str">
        <f aca="false">INDEX($M$5:$M$7,E30)</f>
        <v>Medium burden</v>
      </c>
      <c r="H30" s="17" t="n">
        <f aca="false">IF(COUNTIF(Distance_Matrix!$E$9:$DQ$9,$E30)&lt;=1,0,SUMIF(Distance_Matrix!$E$9:$DQ$9,$E30,Distance_Matrix!$E$21:$DQ$21)/(COUNTIF(Distance_Matrix!$E$9:$DQ$9,$E30)-1))</f>
        <v>1.53702607456374</v>
      </c>
      <c r="I30" s="17" t="n">
        <f aca="false">MIN(IF(1=$E30,1E+099,IF(COUNTIF(Distance_Matrix!$E$9:$DQ$9,1)=0,1E+099,SUMIF(Distance_Matrix!$E$9:$DQ$9,1,Distance_Matrix!$E$21:$DQ$21)/COUNTIF(Distance_Matrix!$E$9:$DQ$9,1))),IF(2=$E30,1E+099,IF(COUNTIF(Distance_Matrix!$E$9:$DQ$9,2)=0,1E+099,SUMIF(Distance_Matrix!$E$9:$DQ$9,2,Distance_Matrix!$E$21:$DQ$21)/COUNTIF(Distance_Matrix!$E$9:$DQ$9,2))),IF(3=$E30,1E+099,IF(COUNTIF(Distance_Matrix!$E$9:$DQ$9,3)=0,1E+099,SUMIF(Distance_Matrix!$E$9:$DQ$9,3,Distance_Matrix!$E$21:$DQ$21)/COUNTIF(Distance_Matrix!$E$9:$DQ$9,3))))</f>
        <v>2.75728906701159</v>
      </c>
      <c r="J30" s="17" t="n">
        <f aca="false">IF(COUNTIF(Distance_Matrix!$E$9:$DQ$9,$E30)&lt;=1,0,(I30-H30)/MAX(H30,I30))</f>
        <v>0.44255896381963</v>
      </c>
      <c r="X30" s="17" t="n">
        <f aca="false">SQRT(($B30-X$16)^2+($C30-X$17)^2+($D30-X$18)^2)</f>
        <v>4.17270705171046</v>
      </c>
      <c r="Y30" s="17" t="n">
        <f aca="false">SQRT(($B30-Y$16)^2+($C30-Y$17)^2+($D30-Y$18)^2)</f>
        <v>4.64905759921659</v>
      </c>
      <c r="Z30" s="17" t="n">
        <f aca="false">SQRT(($B30-Z$16)^2+($C30-Z$17)^2+($D30-Z$18)^2)</f>
        <v>0.486444689008236</v>
      </c>
      <c r="AA30" s="63" t="n">
        <f aca="false">MATCH(MIN(X30:Z30),X30:Z30,0)</f>
        <v>3</v>
      </c>
      <c r="AC30" s="17" t="n">
        <f aca="false">SQRT(($B30-AC$16)^2+($C30-AC$17)^2+($D30-AC$18)^2)</f>
        <v>3.28610390013198</v>
      </c>
      <c r="AD30" s="17" t="n">
        <f aca="false">SQRT(($B30-AD$16)^2+($C30-AD$17)^2+($D30-AD$18)^2)</f>
        <v>3.54980903882562</v>
      </c>
      <c r="AE30" s="17" t="n">
        <f aca="false">SQRT(($B30-AE$16)^2+($C30-AE$17)^2+($D30-AE$18)^2)</f>
        <v>1.43337321833091</v>
      </c>
      <c r="AF30" s="63" t="n">
        <f aca="false">MATCH(MIN(AC30:AE30),AC30:AE30,0)</f>
        <v>3</v>
      </c>
      <c r="AH30" s="17" t="n">
        <f aca="false">SQRT(($B30-AH$16)^2+($C30-AH$17)^2+($D30-AH$18)^2)</f>
        <v>2.68256892174871</v>
      </c>
      <c r="AI30" s="17" t="n">
        <f aca="false">SQRT(($B30-AI$16)^2+($C30-AI$17)^2+($D30-AI$18)^2)</f>
        <v>3.42267753269806</v>
      </c>
      <c r="AJ30" s="17" t="n">
        <f aca="false">SQRT(($B30-AJ$16)^2+($C30-AJ$17)^2+($D30-AJ$18)^2)</f>
        <v>1.33926942181401</v>
      </c>
      <c r="AK30" s="63" t="n">
        <f aca="false">MATCH(MIN(AH30:AJ30),AH30:AJ30,0)</f>
        <v>3</v>
      </c>
      <c r="AM30" s="17" t="n">
        <f aca="false">SQRT(($B30-AM$16)^2+($C30-AM$17)^2+($D30-AM$18)^2)</f>
        <v>2.68256892174871</v>
      </c>
      <c r="AN30" s="17" t="n">
        <f aca="false">SQRT(($B30-AN$16)^2+($C30-AN$17)^2+($D30-AN$18)^2)</f>
        <v>3.40728840976054</v>
      </c>
      <c r="AO30" s="17" t="n">
        <f aca="false">SQRT(($B30-AO$16)^2+($C30-AO$17)^2+($D30-AO$18)^2)</f>
        <v>1.31665392684738</v>
      </c>
      <c r="AP30" s="63" t="n">
        <f aca="false">MATCH(MIN(AM30:AO30),AM30:AO30,0)</f>
        <v>3</v>
      </c>
      <c r="AR30" s="17" t="n">
        <f aca="false">SQRT(($B30-AR$16)^2+($C30-AR$17)^2+($D30-AR$18)^2)</f>
        <v>2.68256892174871</v>
      </c>
      <c r="AS30" s="17" t="n">
        <f aca="false">SQRT(($B30-AS$16)^2+($C30-AS$17)^2+($D30-AS$18)^2)</f>
        <v>3.40728840976054</v>
      </c>
      <c r="AT30" s="17" t="n">
        <f aca="false">SQRT(($B30-AT$16)^2+($C30-AT$17)^2+($D30-AT$18)^2)</f>
        <v>1.31665392684738</v>
      </c>
      <c r="AU30" s="63" t="n">
        <f aca="false">MATCH(MIN(AR30:AT30),AR30:AT30,0)</f>
        <v>3</v>
      </c>
      <c r="AW30" s="17" t="n">
        <f aca="false">SQRT(($B30-AW$16)^2+($C30-AW$17)^2+($D30-AW$18)^2)</f>
        <v>2.68256892174871</v>
      </c>
      <c r="AX30" s="17" t="n">
        <f aca="false">SQRT(($B30-AX$16)^2+($C30-AX$17)^2+($D30-AX$18)^2)</f>
        <v>3.40728840976054</v>
      </c>
      <c r="AY30" s="17" t="n">
        <f aca="false">SQRT(($B30-AY$16)^2+($C30-AY$17)^2+($D30-AY$18)^2)</f>
        <v>1.31665392684738</v>
      </c>
      <c r="AZ30" s="63" t="n">
        <f aca="false">MATCH(MIN(AW30:AY30),AW30:AY30,0)</f>
        <v>3</v>
      </c>
      <c r="BB30" s="17" t="n">
        <f aca="false">SQRT(($B30-BB$16)^2+($C30-BB$17)^2+($D30-BB$18)^2)</f>
        <v>2.68256892174871</v>
      </c>
      <c r="BC30" s="17" t="n">
        <f aca="false">SQRT(($B30-BC$16)^2+($C30-BC$17)^2+($D30-BC$18)^2)</f>
        <v>3.40728840976054</v>
      </c>
      <c r="BD30" s="17" t="n">
        <f aca="false">SQRT(($B30-BD$16)^2+($C30-BD$17)^2+($D30-BD$18)^2)</f>
        <v>1.31665392684738</v>
      </c>
      <c r="BE30" s="63" t="n">
        <f aca="false">MATCH(MIN(BB30:BD30),BB30:BD30,0)</f>
        <v>3</v>
      </c>
      <c r="BG30" s="17" t="n">
        <f aca="false">SQRT(($B30-BG$16)^2+($C30-BG$17)^2+($D30-BG$18)^2)</f>
        <v>2.68256892174871</v>
      </c>
      <c r="BH30" s="17" t="n">
        <f aca="false">SQRT(($B30-BH$16)^2+($C30-BH$17)^2+($D30-BH$18)^2)</f>
        <v>3.40728840976054</v>
      </c>
      <c r="BI30" s="17" t="n">
        <f aca="false">SQRT(($B30-BI$16)^2+($C30-BI$17)^2+($D30-BI$18)^2)</f>
        <v>1.31665392684738</v>
      </c>
      <c r="BJ30" s="63" t="n">
        <f aca="false">MATCH(MIN(BG30:BI30),BG30:BI30,0)</f>
        <v>3</v>
      </c>
      <c r="BL30" s="17" t="n">
        <f aca="false">SQRT(($B30-BL$16)^2+($C30-BL$17)^2+($D30-BL$18)^2)</f>
        <v>2.68256892174871</v>
      </c>
      <c r="BM30" s="17" t="n">
        <f aca="false">SQRT(($B30-BM$16)^2+($C30-BM$17)^2+($D30-BM$18)^2)</f>
        <v>3.40728840976054</v>
      </c>
      <c r="BN30" s="17" t="n">
        <f aca="false">SQRT(($B30-BN$16)^2+($C30-BN$17)^2+($D30-BN$18)^2)</f>
        <v>1.31665392684738</v>
      </c>
      <c r="BO30" s="63" t="n">
        <f aca="false">MATCH(MIN(BL30:BN30),BL30:BN30,0)</f>
        <v>3</v>
      </c>
      <c r="BQ30" s="17" t="n">
        <f aca="false">SQRT(($B30-BQ$16)^2+($C30-BQ$17)^2+($D30-BQ$18)^2)</f>
        <v>2.68256892174871</v>
      </c>
      <c r="BR30" s="17" t="n">
        <f aca="false">SQRT(($B30-BR$16)^2+($C30-BR$17)^2+($D30-BR$18)^2)</f>
        <v>3.40728840976054</v>
      </c>
      <c r="BS30" s="17" t="n">
        <f aca="false">SQRT(($B30-BS$16)^2+($C30-BS$17)^2+($D30-BS$18)^2)</f>
        <v>1.31665392684738</v>
      </c>
      <c r="BT30" s="63" t="n">
        <f aca="false">MATCH(MIN(BQ30:BS30),BQ30:BS30,0)</f>
        <v>3</v>
      </c>
      <c r="BV30" s="17" t="n">
        <f aca="false">SQRT(($B30-BV$16)^2+($C30-BV$17)^2+($D30-BV$18)^2)</f>
        <v>2.68256892174871</v>
      </c>
      <c r="BW30" s="17" t="n">
        <f aca="false">SQRT(($B30-BW$16)^2+($C30-BW$17)^2+($D30-BW$18)^2)</f>
        <v>3.40728840976054</v>
      </c>
      <c r="BX30" s="17" t="n">
        <f aca="false">SQRT(($B30-BX$16)^2+($C30-BX$17)^2+($D30-BX$18)^2)</f>
        <v>1.31665392684738</v>
      </c>
      <c r="BY30" s="63" t="n">
        <f aca="false">MATCH(MIN(BV30:BX30),BV30:BX30,0)</f>
        <v>3</v>
      </c>
      <c r="CA30" s="17" t="n">
        <f aca="false">SQRT(($B30-CA$16)^2+($C30-CA$17)^2+($D30-CA$18)^2)</f>
        <v>2.68256892174871</v>
      </c>
      <c r="CB30" s="17" t="n">
        <f aca="false">SQRT(($B30-CB$16)^2+($C30-CB$17)^2+($D30-CB$18)^2)</f>
        <v>3.40728840976054</v>
      </c>
      <c r="CC30" s="17" t="n">
        <f aca="false">SQRT(($B30-CC$16)^2+($C30-CC$17)^2+($D30-CC$18)^2)</f>
        <v>1.31665392684738</v>
      </c>
      <c r="CD30" s="63" t="n">
        <f aca="false">MATCH(MIN(CA30:CC30),CA30:CC30,0)</f>
        <v>3</v>
      </c>
    </row>
    <row r="31" customFormat="false" ht="15" hidden="false" customHeight="false" outlineLevel="0" collapsed="false">
      <c r="A31" s="36" t="str">
        <f aca="false">KMeans_Data!A13</f>
        <v>Hyderabad</v>
      </c>
      <c r="B31" s="17" t="n">
        <f aca="false">KMeans_Data!H13</f>
        <v>1.25912764531491</v>
      </c>
      <c r="C31" s="17" t="n">
        <f aca="false">KMeans_Data!I13</f>
        <v>1.21184741254249</v>
      </c>
      <c r="D31" s="17" t="n">
        <f aca="false">KMeans_Data!J13</f>
        <v>1.69551048544459</v>
      </c>
      <c r="E31" s="63" t="n">
        <f aca="false">CD31</f>
        <v>3</v>
      </c>
      <c r="F31" s="38" t="n">
        <f aca="false">($B31-INDEX($L$16:$N$16,E31))^2+($C31-INDEX($L$17:$N$17,E31))^2+($D31-INDEX($L$18:$N$18,E31))^2</f>
        <v>2.12982410182858</v>
      </c>
      <c r="G31" s="12" t="str">
        <f aca="false">INDEX($M$5:$M$7,E31)</f>
        <v>Medium burden</v>
      </c>
      <c r="H31" s="17" t="n">
        <f aca="false">IF(COUNTIF(Distance_Matrix!$E$9:$DQ$9,$E31)&lt;=1,0,SUMIF(Distance_Matrix!$E$9:$DQ$9,$E31,Distance_Matrix!$E$22:$DQ$22)/(COUNTIF(Distance_Matrix!$E$9:$DQ$9,$E31)-1))</f>
        <v>1.63441092744367</v>
      </c>
      <c r="I31" s="17" t="n">
        <f aca="false">MIN(IF(1=$E31,1E+099,IF(COUNTIF(Distance_Matrix!$E$9:$DQ$9,1)=0,1E+099,SUMIF(Distance_Matrix!$E$9:$DQ$9,1,Distance_Matrix!$E$22:$DQ$22)/COUNTIF(Distance_Matrix!$E$9:$DQ$9,1))),IF(2=$E31,1E+099,IF(COUNTIF(Distance_Matrix!$E$9:$DQ$9,2)=0,1E+099,SUMIF(Distance_Matrix!$E$9:$DQ$9,2,Distance_Matrix!$E$22:$DQ$22)/COUNTIF(Distance_Matrix!$E$9:$DQ$9,2))),IF(3=$E31,1E+099,IF(COUNTIF(Distance_Matrix!$E$9:$DQ$9,3)=0,1E+099,SUMIF(Distance_Matrix!$E$9:$DQ$9,3,Distance_Matrix!$E$22:$DQ$22)/COUNTIF(Distance_Matrix!$E$9:$DQ$9,3))))</f>
        <v>2.34946744137042</v>
      </c>
      <c r="J31" s="17" t="n">
        <f aca="false">IF(COUNTIF(Distance_Matrix!$E$9:$DQ$9,$E31)&lt;=1,0,(I31-H31)/MAX(H31,I31))</f>
        <v>0.304348339260095</v>
      </c>
      <c r="X31" s="17" t="n">
        <f aca="false">SQRT(($B31-X$16)^2+($C31-X$17)^2+($D31-X$18)^2)</f>
        <v>3.80496885952581</v>
      </c>
      <c r="Y31" s="17" t="n">
        <f aca="false">SQRT(($B31-Y$16)^2+($C31-Y$17)^2+($D31-Y$18)^2)</f>
        <v>4.77195093233386</v>
      </c>
      <c r="Z31" s="17" t="n">
        <f aca="false">SQRT(($B31-Z$16)^2+($C31-Z$17)^2+($D31-Z$18)^2)</f>
        <v>0.891080579009539</v>
      </c>
      <c r="AA31" s="63" t="n">
        <f aca="false">MATCH(MIN(X31:Z31),X31:Z31,0)</f>
        <v>3</v>
      </c>
      <c r="AC31" s="17" t="n">
        <f aca="false">SQRT(($B31-AC$16)^2+($C31-AC$17)^2+($D31-AC$18)^2)</f>
        <v>2.88461795185604</v>
      </c>
      <c r="AD31" s="17" t="n">
        <f aca="false">SQRT(($B31-AD$16)^2+($C31-AD$17)^2+($D31-AD$18)^2)</f>
        <v>3.72784497294471</v>
      </c>
      <c r="AE31" s="17" t="n">
        <f aca="false">SQRT(($B31-AE$16)^2+($C31-AE$17)^2+($D31-AE$18)^2)</f>
        <v>1.59087194910918</v>
      </c>
      <c r="AF31" s="63" t="n">
        <f aca="false">MATCH(MIN(AC31:AE31),AC31:AE31,0)</f>
        <v>3</v>
      </c>
      <c r="AH31" s="17" t="n">
        <f aca="false">SQRT(($B31-AH$16)^2+($C31-AH$17)^2+($D31-AH$18)^2)</f>
        <v>2.26768068619027</v>
      </c>
      <c r="AI31" s="17" t="n">
        <f aca="false">SQRT(($B31-AI$16)^2+($C31-AI$17)^2+($D31-AI$18)^2)</f>
        <v>3.60757656136972</v>
      </c>
      <c r="AJ31" s="17" t="n">
        <f aca="false">SQRT(($B31-AJ$16)^2+($C31-AJ$17)^2+($D31-AJ$18)^2)</f>
        <v>1.4830880400793</v>
      </c>
      <c r="AK31" s="63" t="n">
        <f aca="false">MATCH(MIN(AH31:AJ31),AH31:AJ31,0)</f>
        <v>3</v>
      </c>
      <c r="AM31" s="17" t="n">
        <f aca="false">SQRT(($B31-AM$16)^2+($C31-AM$17)^2+($D31-AM$18)^2)</f>
        <v>2.26768068619027</v>
      </c>
      <c r="AN31" s="17" t="n">
        <f aca="false">SQRT(($B31-AN$16)^2+($C31-AN$17)^2+($D31-AN$18)^2)</f>
        <v>3.592028964105</v>
      </c>
      <c r="AO31" s="17" t="n">
        <f aca="false">SQRT(($B31-AO$16)^2+($C31-AO$17)^2+($D31-AO$18)^2)</f>
        <v>1.4593916889679</v>
      </c>
      <c r="AP31" s="63" t="n">
        <f aca="false">MATCH(MIN(AM31:AO31),AM31:AO31,0)</f>
        <v>3</v>
      </c>
      <c r="AR31" s="17" t="n">
        <f aca="false">SQRT(($B31-AR$16)^2+($C31-AR$17)^2+($D31-AR$18)^2)</f>
        <v>2.26768068619027</v>
      </c>
      <c r="AS31" s="17" t="n">
        <f aca="false">SQRT(($B31-AS$16)^2+($C31-AS$17)^2+($D31-AS$18)^2)</f>
        <v>3.592028964105</v>
      </c>
      <c r="AT31" s="17" t="n">
        <f aca="false">SQRT(($B31-AT$16)^2+($C31-AT$17)^2+($D31-AT$18)^2)</f>
        <v>1.4593916889679</v>
      </c>
      <c r="AU31" s="63" t="n">
        <f aca="false">MATCH(MIN(AR31:AT31),AR31:AT31,0)</f>
        <v>3</v>
      </c>
      <c r="AW31" s="17" t="n">
        <f aca="false">SQRT(($B31-AW$16)^2+($C31-AW$17)^2+($D31-AW$18)^2)</f>
        <v>2.26768068619027</v>
      </c>
      <c r="AX31" s="17" t="n">
        <f aca="false">SQRT(($B31-AX$16)^2+($C31-AX$17)^2+($D31-AX$18)^2)</f>
        <v>3.592028964105</v>
      </c>
      <c r="AY31" s="17" t="n">
        <f aca="false">SQRT(($B31-AY$16)^2+($C31-AY$17)^2+($D31-AY$18)^2)</f>
        <v>1.4593916889679</v>
      </c>
      <c r="AZ31" s="63" t="n">
        <f aca="false">MATCH(MIN(AW31:AY31),AW31:AY31,0)</f>
        <v>3</v>
      </c>
      <c r="BB31" s="17" t="n">
        <f aca="false">SQRT(($B31-BB$16)^2+($C31-BB$17)^2+($D31-BB$18)^2)</f>
        <v>2.26768068619027</v>
      </c>
      <c r="BC31" s="17" t="n">
        <f aca="false">SQRT(($B31-BC$16)^2+($C31-BC$17)^2+($D31-BC$18)^2)</f>
        <v>3.592028964105</v>
      </c>
      <c r="BD31" s="17" t="n">
        <f aca="false">SQRT(($B31-BD$16)^2+($C31-BD$17)^2+($D31-BD$18)^2)</f>
        <v>1.4593916889679</v>
      </c>
      <c r="BE31" s="63" t="n">
        <f aca="false">MATCH(MIN(BB31:BD31),BB31:BD31,0)</f>
        <v>3</v>
      </c>
      <c r="BG31" s="17" t="n">
        <f aca="false">SQRT(($B31-BG$16)^2+($C31-BG$17)^2+($D31-BG$18)^2)</f>
        <v>2.26768068619027</v>
      </c>
      <c r="BH31" s="17" t="n">
        <f aca="false">SQRT(($B31-BH$16)^2+($C31-BH$17)^2+($D31-BH$18)^2)</f>
        <v>3.592028964105</v>
      </c>
      <c r="BI31" s="17" t="n">
        <f aca="false">SQRT(($B31-BI$16)^2+($C31-BI$17)^2+($D31-BI$18)^2)</f>
        <v>1.4593916889679</v>
      </c>
      <c r="BJ31" s="63" t="n">
        <f aca="false">MATCH(MIN(BG31:BI31),BG31:BI31,0)</f>
        <v>3</v>
      </c>
      <c r="BL31" s="17" t="n">
        <f aca="false">SQRT(($B31-BL$16)^2+($C31-BL$17)^2+($D31-BL$18)^2)</f>
        <v>2.26768068619027</v>
      </c>
      <c r="BM31" s="17" t="n">
        <f aca="false">SQRT(($B31-BM$16)^2+($C31-BM$17)^2+($D31-BM$18)^2)</f>
        <v>3.592028964105</v>
      </c>
      <c r="BN31" s="17" t="n">
        <f aca="false">SQRT(($B31-BN$16)^2+($C31-BN$17)^2+($D31-BN$18)^2)</f>
        <v>1.4593916889679</v>
      </c>
      <c r="BO31" s="63" t="n">
        <f aca="false">MATCH(MIN(BL31:BN31),BL31:BN31,0)</f>
        <v>3</v>
      </c>
      <c r="BQ31" s="17" t="n">
        <f aca="false">SQRT(($B31-BQ$16)^2+($C31-BQ$17)^2+($D31-BQ$18)^2)</f>
        <v>2.26768068619027</v>
      </c>
      <c r="BR31" s="17" t="n">
        <f aca="false">SQRT(($B31-BR$16)^2+($C31-BR$17)^2+($D31-BR$18)^2)</f>
        <v>3.592028964105</v>
      </c>
      <c r="BS31" s="17" t="n">
        <f aca="false">SQRT(($B31-BS$16)^2+($C31-BS$17)^2+($D31-BS$18)^2)</f>
        <v>1.4593916889679</v>
      </c>
      <c r="BT31" s="63" t="n">
        <f aca="false">MATCH(MIN(BQ31:BS31),BQ31:BS31,0)</f>
        <v>3</v>
      </c>
      <c r="BV31" s="17" t="n">
        <f aca="false">SQRT(($B31-BV$16)^2+($C31-BV$17)^2+($D31-BV$18)^2)</f>
        <v>2.26768068619027</v>
      </c>
      <c r="BW31" s="17" t="n">
        <f aca="false">SQRT(($B31-BW$16)^2+($C31-BW$17)^2+($D31-BW$18)^2)</f>
        <v>3.592028964105</v>
      </c>
      <c r="BX31" s="17" t="n">
        <f aca="false">SQRT(($B31-BX$16)^2+($C31-BX$17)^2+($D31-BX$18)^2)</f>
        <v>1.4593916889679</v>
      </c>
      <c r="BY31" s="63" t="n">
        <f aca="false">MATCH(MIN(BV31:BX31),BV31:BX31,0)</f>
        <v>3</v>
      </c>
      <c r="CA31" s="17" t="n">
        <f aca="false">SQRT(($B31-CA$16)^2+($C31-CA$17)^2+($D31-CA$18)^2)</f>
        <v>2.26768068619027</v>
      </c>
      <c r="CB31" s="17" t="n">
        <f aca="false">SQRT(($B31-CB$16)^2+($C31-CB$17)^2+($D31-CB$18)^2)</f>
        <v>3.592028964105</v>
      </c>
      <c r="CC31" s="17" t="n">
        <f aca="false">SQRT(($B31-CC$16)^2+($C31-CC$17)^2+($D31-CC$18)^2)</f>
        <v>1.4593916889679</v>
      </c>
      <c r="CD31" s="63" t="n">
        <f aca="false">MATCH(MIN(CA31:CC31),CA31:CC31,0)</f>
        <v>3</v>
      </c>
    </row>
    <row r="32" customFormat="false" ht="15" hidden="false" customHeight="false" outlineLevel="0" collapsed="false">
      <c r="A32" s="36" t="str">
        <f aca="false">KMeans_Data!A14</f>
        <v>Raiwind</v>
      </c>
      <c r="B32" s="17" t="n">
        <f aca="false">KMeans_Data!H14</f>
        <v>1.20153859722623</v>
      </c>
      <c r="C32" s="17" t="n">
        <f aca="false">KMeans_Data!I14</f>
        <v>-0.146983133929529</v>
      </c>
      <c r="D32" s="17" t="n">
        <f aca="false">KMeans_Data!J14</f>
        <v>-0.824446015898766</v>
      </c>
      <c r="E32" s="63" t="n">
        <f aca="false">CD32</f>
        <v>3</v>
      </c>
      <c r="F32" s="38" t="n">
        <f aca="false">($B32-INDEX($L$16:$N$16,E32))^2+($C32-INDEX($L$17:$N$17,E32))^2+($D32-INDEX($L$18:$N$18,E32))^2</f>
        <v>3.12055374012771</v>
      </c>
      <c r="G32" s="12" t="str">
        <f aca="false">INDEX($M$5:$M$7,E32)</f>
        <v>Medium burden</v>
      </c>
      <c r="H32" s="17" t="n">
        <f aca="false">IF(COUNTIF(Distance_Matrix!$E$9:$DQ$9,$E32)&lt;=1,0,SUMIF(Distance_Matrix!$E$9:$DQ$9,$E32,Distance_Matrix!$E$23:$DQ$23)/(COUNTIF(Distance_Matrix!$E$9:$DQ$9,$E32)-1))</f>
        <v>1.97885259028505</v>
      </c>
      <c r="I32" s="17" t="n">
        <f aca="false">MIN(IF(1=$E32,1E+099,IF(COUNTIF(Distance_Matrix!$E$9:$DQ$9,1)=0,1E+099,SUMIF(Distance_Matrix!$E$9:$DQ$9,1,Distance_Matrix!$E$23:$DQ$23)/COUNTIF(Distance_Matrix!$E$9:$DQ$9,1))),IF(2=$E32,1E+099,IF(COUNTIF(Distance_Matrix!$E$9:$DQ$9,2)=0,1E+099,SUMIF(Distance_Matrix!$E$9:$DQ$9,2,Distance_Matrix!$E$23:$DQ$23)/COUNTIF(Distance_Matrix!$E$9:$DQ$9,2))),IF(3=$E32,1E+099,IF(COUNTIF(Distance_Matrix!$E$9:$DQ$9,3)=0,1E+099,SUMIF(Distance_Matrix!$E$9:$DQ$9,3,Distance_Matrix!$E$23:$DQ$23)/COUNTIF(Distance_Matrix!$E$9:$DQ$9,3))))</f>
        <v>1.97823243339679</v>
      </c>
      <c r="J32" s="17" t="n">
        <f aca="false">IF(COUNTIF(Distance_Matrix!$E$9:$DQ$9,$E32)&lt;=1,0,(I32-H32)/MAX(H32,I32))</f>
        <v>-0.000313392160335819</v>
      </c>
      <c r="X32" s="17" t="n">
        <f aca="false">SQRT(($B32-X$16)^2+($C32-X$17)^2+($D32-X$18)^2)</f>
        <v>6.20006570834277</v>
      </c>
      <c r="Y32" s="17" t="n">
        <f aca="false">SQRT(($B32-Y$16)^2+($C32-Y$17)^2+($D32-Y$18)^2)</f>
        <v>3.33860306644569</v>
      </c>
      <c r="Z32" s="17" t="n">
        <f aca="false">SQRT(($B32-Z$16)^2+($C32-Z$17)^2+($D32-Z$18)^2)</f>
        <v>2.36000592513328</v>
      </c>
      <c r="AA32" s="63" t="n">
        <f aca="false">MATCH(MIN(X32:Z32),X32:Z32,0)</f>
        <v>3</v>
      </c>
      <c r="AC32" s="17" t="n">
        <f aca="false">SQRT(($B32-AC$16)^2+($C32-AC$17)^2+($D32-AC$18)^2)</f>
        <v>5.19025635037165</v>
      </c>
      <c r="AD32" s="17" t="n">
        <f aca="false">SQRT(($B32-AD$16)^2+($C32-AD$17)^2+($D32-AD$18)^2)</f>
        <v>2.02764255435144</v>
      </c>
      <c r="AE32" s="17" t="n">
        <f aca="false">SQRT(($B32-AE$16)^2+($C32-AE$17)^2+($D32-AE$18)^2)</f>
        <v>1.64971367881609</v>
      </c>
      <c r="AF32" s="63" t="n">
        <f aca="false">MATCH(MIN(AC32:AE32),AC32:AE32,0)</f>
        <v>3</v>
      </c>
      <c r="AH32" s="17" t="n">
        <f aca="false">SQRT(($B32-AH$16)^2+($C32-AH$17)^2+($D32-AH$18)^2)</f>
        <v>4.57678809051925</v>
      </c>
      <c r="AI32" s="17" t="n">
        <f aca="false">SQRT(($B32-AI$16)^2+($C32-AI$17)^2+($D32-AI$18)^2)</f>
        <v>1.9065083850381</v>
      </c>
      <c r="AJ32" s="17" t="n">
        <f aca="false">SQRT(($B32-AJ$16)^2+($C32-AJ$17)^2+($D32-AJ$18)^2)</f>
        <v>1.76012825891427</v>
      </c>
      <c r="AK32" s="63" t="n">
        <f aca="false">MATCH(MIN(AH32:AJ32),AH32:AJ32,0)</f>
        <v>3</v>
      </c>
      <c r="AM32" s="17" t="n">
        <f aca="false">SQRT(($B32-AM$16)^2+($C32-AM$17)^2+($D32-AM$18)^2)</f>
        <v>4.57678809051925</v>
      </c>
      <c r="AN32" s="17" t="n">
        <f aca="false">SQRT(($B32-AN$16)^2+($C32-AN$17)^2+($D32-AN$18)^2)</f>
        <v>1.90150379236714</v>
      </c>
      <c r="AO32" s="17" t="n">
        <f aca="false">SQRT(($B32-AO$16)^2+($C32-AO$17)^2+($D32-AO$18)^2)</f>
        <v>1.76650891311867</v>
      </c>
      <c r="AP32" s="63" t="n">
        <f aca="false">MATCH(MIN(AM32:AO32),AM32:AO32,0)</f>
        <v>3</v>
      </c>
      <c r="AR32" s="17" t="n">
        <f aca="false">SQRT(($B32-AR$16)^2+($C32-AR$17)^2+($D32-AR$18)^2)</f>
        <v>4.57678809051925</v>
      </c>
      <c r="AS32" s="17" t="n">
        <f aca="false">SQRT(($B32-AS$16)^2+($C32-AS$17)^2+($D32-AS$18)^2)</f>
        <v>1.90150379236714</v>
      </c>
      <c r="AT32" s="17" t="n">
        <f aca="false">SQRT(($B32-AT$16)^2+($C32-AT$17)^2+($D32-AT$18)^2)</f>
        <v>1.76650891311867</v>
      </c>
      <c r="AU32" s="63" t="n">
        <f aca="false">MATCH(MIN(AR32:AT32),AR32:AT32,0)</f>
        <v>3</v>
      </c>
      <c r="AW32" s="17" t="n">
        <f aca="false">SQRT(($B32-AW$16)^2+($C32-AW$17)^2+($D32-AW$18)^2)</f>
        <v>4.57678809051925</v>
      </c>
      <c r="AX32" s="17" t="n">
        <f aca="false">SQRT(($B32-AX$16)^2+($C32-AX$17)^2+($D32-AX$18)^2)</f>
        <v>1.90150379236714</v>
      </c>
      <c r="AY32" s="17" t="n">
        <f aca="false">SQRT(($B32-AY$16)^2+($C32-AY$17)^2+($D32-AY$18)^2)</f>
        <v>1.76650891311867</v>
      </c>
      <c r="AZ32" s="63" t="n">
        <f aca="false">MATCH(MIN(AW32:AY32),AW32:AY32,0)</f>
        <v>3</v>
      </c>
      <c r="BB32" s="17" t="n">
        <f aca="false">SQRT(($B32-BB$16)^2+($C32-BB$17)^2+($D32-BB$18)^2)</f>
        <v>4.57678809051925</v>
      </c>
      <c r="BC32" s="17" t="n">
        <f aca="false">SQRT(($B32-BC$16)^2+($C32-BC$17)^2+($D32-BC$18)^2)</f>
        <v>1.90150379236714</v>
      </c>
      <c r="BD32" s="17" t="n">
        <f aca="false">SQRT(($B32-BD$16)^2+($C32-BD$17)^2+($D32-BD$18)^2)</f>
        <v>1.76650891311867</v>
      </c>
      <c r="BE32" s="63" t="n">
        <f aca="false">MATCH(MIN(BB32:BD32),BB32:BD32,0)</f>
        <v>3</v>
      </c>
      <c r="BG32" s="17" t="n">
        <f aca="false">SQRT(($B32-BG$16)^2+($C32-BG$17)^2+($D32-BG$18)^2)</f>
        <v>4.57678809051925</v>
      </c>
      <c r="BH32" s="17" t="n">
        <f aca="false">SQRT(($B32-BH$16)^2+($C32-BH$17)^2+($D32-BH$18)^2)</f>
        <v>1.90150379236714</v>
      </c>
      <c r="BI32" s="17" t="n">
        <f aca="false">SQRT(($B32-BI$16)^2+($C32-BI$17)^2+($D32-BI$18)^2)</f>
        <v>1.76650891311867</v>
      </c>
      <c r="BJ32" s="63" t="n">
        <f aca="false">MATCH(MIN(BG32:BI32),BG32:BI32,0)</f>
        <v>3</v>
      </c>
      <c r="BL32" s="17" t="n">
        <f aca="false">SQRT(($B32-BL$16)^2+($C32-BL$17)^2+($D32-BL$18)^2)</f>
        <v>4.57678809051925</v>
      </c>
      <c r="BM32" s="17" t="n">
        <f aca="false">SQRT(($B32-BM$16)^2+($C32-BM$17)^2+($D32-BM$18)^2)</f>
        <v>1.90150379236714</v>
      </c>
      <c r="BN32" s="17" t="n">
        <f aca="false">SQRT(($B32-BN$16)^2+($C32-BN$17)^2+($D32-BN$18)^2)</f>
        <v>1.76650891311867</v>
      </c>
      <c r="BO32" s="63" t="n">
        <f aca="false">MATCH(MIN(BL32:BN32),BL32:BN32,0)</f>
        <v>3</v>
      </c>
      <c r="BQ32" s="17" t="n">
        <f aca="false">SQRT(($B32-BQ$16)^2+($C32-BQ$17)^2+($D32-BQ$18)^2)</f>
        <v>4.57678809051925</v>
      </c>
      <c r="BR32" s="17" t="n">
        <f aca="false">SQRT(($B32-BR$16)^2+($C32-BR$17)^2+($D32-BR$18)^2)</f>
        <v>1.90150379236714</v>
      </c>
      <c r="BS32" s="17" t="n">
        <f aca="false">SQRT(($B32-BS$16)^2+($C32-BS$17)^2+($D32-BS$18)^2)</f>
        <v>1.76650891311867</v>
      </c>
      <c r="BT32" s="63" t="n">
        <f aca="false">MATCH(MIN(BQ32:BS32),BQ32:BS32,0)</f>
        <v>3</v>
      </c>
      <c r="BV32" s="17" t="n">
        <f aca="false">SQRT(($B32-BV$16)^2+($C32-BV$17)^2+($D32-BV$18)^2)</f>
        <v>4.57678809051925</v>
      </c>
      <c r="BW32" s="17" t="n">
        <f aca="false">SQRT(($B32-BW$16)^2+($C32-BW$17)^2+($D32-BW$18)^2)</f>
        <v>1.90150379236714</v>
      </c>
      <c r="BX32" s="17" t="n">
        <f aca="false">SQRT(($B32-BX$16)^2+($C32-BX$17)^2+($D32-BX$18)^2)</f>
        <v>1.76650891311867</v>
      </c>
      <c r="BY32" s="63" t="n">
        <f aca="false">MATCH(MIN(BV32:BX32),BV32:BX32,0)</f>
        <v>3</v>
      </c>
      <c r="CA32" s="17" t="n">
        <f aca="false">SQRT(($B32-CA$16)^2+($C32-CA$17)^2+($D32-CA$18)^2)</f>
        <v>4.57678809051925</v>
      </c>
      <c r="CB32" s="17" t="n">
        <f aca="false">SQRT(($B32-CB$16)^2+($C32-CB$17)^2+($D32-CB$18)^2)</f>
        <v>1.90150379236714</v>
      </c>
      <c r="CC32" s="17" t="n">
        <f aca="false">SQRT(($B32-CC$16)^2+($C32-CC$17)^2+($D32-CC$18)^2)</f>
        <v>1.76650891311867</v>
      </c>
      <c r="CD32" s="63" t="n">
        <f aca="false">MATCH(MIN(CA32:CC32),CA32:CC32,0)</f>
        <v>3</v>
      </c>
    </row>
    <row r="33" customFormat="false" ht="15" hidden="false" customHeight="false" outlineLevel="0" collapsed="false">
      <c r="A33" s="36" t="str">
        <f aca="false">KMeans_Data!A15</f>
        <v>Malakand</v>
      </c>
      <c r="B33" s="17" t="n">
        <f aca="false">KMeans_Data!H15</f>
        <v>1.14106795512792</v>
      </c>
      <c r="C33" s="17" t="n">
        <f aca="false">KMeans_Data!I15</f>
        <v>1.4759954658056</v>
      </c>
      <c r="D33" s="17" t="n">
        <f aca="false">KMeans_Data!J15</f>
        <v>0.988349871383994</v>
      </c>
      <c r="E33" s="63" t="n">
        <f aca="false">CD33</f>
        <v>3</v>
      </c>
      <c r="F33" s="38" t="n">
        <f aca="false">($B33-INDEX($L$16:$N$16,E33))^2+($C33-INDEX($L$17:$N$17,E33))^2+($D33-INDEX($L$18:$N$18,E33))^2</f>
        <v>1.54424340687163</v>
      </c>
      <c r="G33" s="12" t="str">
        <f aca="false">INDEX($M$5:$M$7,E33)</f>
        <v>Medium burden</v>
      </c>
      <c r="H33" s="17" t="n">
        <f aca="false">IF(COUNTIF(Distance_Matrix!$E$9:$DQ$9,$E33)&lt;=1,0,SUMIF(Distance_Matrix!$E$9:$DQ$9,$E33,Distance_Matrix!$E$24:$DQ$24)/(COUNTIF(Distance_Matrix!$E$9:$DQ$9,$E33)-1))</f>
        <v>1.43594163686308</v>
      </c>
      <c r="I33" s="17" t="n">
        <f aca="false">MIN(IF(1=$E33,1E+099,IF(COUNTIF(Distance_Matrix!$E$9:$DQ$9,1)=0,1E+099,SUMIF(Distance_Matrix!$E$9:$DQ$9,1,Distance_Matrix!$E$24:$DQ$24)/COUNTIF(Distance_Matrix!$E$9:$DQ$9,1))),IF(2=$E33,1E+099,IF(COUNTIF(Distance_Matrix!$E$9:$DQ$9,2)=0,1E+099,SUMIF(Distance_Matrix!$E$9:$DQ$9,2,Distance_Matrix!$E$24:$DQ$24)/COUNTIF(Distance_Matrix!$E$9:$DQ$9,2))),IF(3=$E33,1E+099,IF(COUNTIF(Distance_Matrix!$E$9:$DQ$9,3)=0,1E+099,SUMIF(Distance_Matrix!$E$9:$DQ$9,3,Distance_Matrix!$E$24:$DQ$24)/COUNTIF(Distance_Matrix!$E$9:$DQ$9,3))))</f>
        <v>2.44754054018057</v>
      </c>
      <c r="J33" s="17" t="n">
        <f aca="false">IF(COUNTIF(Distance_Matrix!$E$9:$DQ$9,$E33)&lt;=1,0,(I33-H33)/MAX(H33,I33))</f>
        <v>0.413312419839574</v>
      </c>
      <c r="X33" s="17" t="n">
        <f aca="false">SQRT(($B33-X$16)^2+($C33-X$17)^2+($D33-X$18)^2)</f>
        <v>4.03066852095808</v>
      </c>
      <c r="Y33" s="17" t="n">
        <f aca="false">SQRT(($B33-Y$16)^2+($C33-Y$17)^2+($D33-Y$18)^2)</f>
        <v>4.42088236717576</v>
      </c>
      <c r="Z33" s="17" t="n">
        <f aca="false">SQRT(($B33-Z$16)^2+($C33-Z$17)^2+($D33-Z$18)^2)</f>
        <v>1.2030082216667</v>
      </c>
      <c r="AA33" s="63" t="n">
        <f aca="false">MATCH(MIN(X33:Z33),X33:Z33,0)</f>
        <v>3</v>
      </c>
      <c r="AC33" s="17" t="n">
        <f aca="false">SQRT(($B33-AC$16)^2+($C33-AC$17)^2+($D33-AC$18)^2)</f>
        <v>3.02878891840853</v>
      </c>
      <c r="AD33" s="17" t="n">
        <f aca="false">SQRT(($B33-AD$16)^2+($C33-AD$17)^2+($D33-AD$18)^2)</f>
        <v>3.37878050240525</v>
      </c>
      <c r="AE33" s="17" t="n">
        <f aca="false">SQRT(($B33-AE$16)^2+($C33-AE$17)^2+($D33-AE$18)^2)</f>
        <v>1.35124353449319</v>
      </c>
      <c r="AF33" s="63" t="n">
        <f aca="false">MATCH(MIN(AC33:AE33),AC33:AE33,0)</f>
        <v>3</v>
      </c>
      <c r="AH33" s="17" t="n">
        <f aca="false">SQRT(($B33-AH$16)^2+($C33-AH$17)^2+($D33-AH$18)^2)</f>
        <v>2.3929809508553</v>
      </c>
      <c r="AI33" s="17" t="n">
        <f aca="false">SQRT(($B33-AI$16)^2+($C33-AI$17)^2+($D33-AI$18)^2)</f>
        <v>3.26432367314614</v>
      </c>
      <c r="AJ33" s="17" t="n">
        <f aca="false">SQRT(($B33-AJ$16)^2+($C33-AJ$17)^2+($D33-AJ$18)^2)</f>
        <v>1.26473153605959</v>
      </c>
      <c r="AK33" s="63" t="n">
        <f aca="false">MATCH(MIN(AH33:AJ33),AH33:AJ33,0)</f>
        <v>3</v>
      </c>
      <c r="AM33" s="17" t="n">
        <f aca="false">SQRT(($B33-AM$16)^2+($C33-AM$17)^2+($D33-AM$18)^2)</f>
        <v>2.3929809508553</v>
      </c>
      <c r="AN33" s="17" t="n">
        <f aca="false">SQRT(($B33-AN$16)^2+($C33-AN$17)^2+($D33-AN$18)^2)</f>
        <v>3.24973852281999</v>
      </c>
      <c r="AO33" s="17" t="n">
        <f aca="false">SQRT(($B33-AO$16)^2+($C33-AO$17)^2+($D33-AO$18)^2)</f>
        <v>1.24267590580635</v>
      </c>
      <c r="AP33" s="63" t="n">
        <f aca="false">MATCH(MIN(AM33:AO33),AM33:AO33,0)</f>
        <v>3</v>
      </c>
      <c r="AR33" s="17" t="n">
        <f aca="false">SQRT(($B33-AR$16)^2+($C33-AR$17)^2+($D33-AR$18)^2)</f>
        <v>2.3929809508553</v>
      </c>
      <c r="AS33" s="17" t="n">
        <f aca="false">SQRT(($B33-AS$16)^2+($C33-AS$17)^2+($D33-AS$18)^2)</f>
        <v>3.24973852281999</v>
      </c>
      <c r="AT33" s="17" t="n">
        <f aca="false">SQRT(($B33-AT$16)^2+($C33-AT$17)^2+($D33-AT$18)^2)</f>
        <v>1.24267590580635</v>
      </c>
      <c r="AU33" s="63" t="n">
        <f aca="false">MATCH(MIN(AR33:AT33),AR33:AT33,0)</f>
        <v>3</v>
      </c>
      <c r="AW33" s="17" t="n">
        <f aca="false">SQRT(($B33-AW$16)^2+($C33-AW$17)^2+($D33-AW$18)^2)</f>
        <v>2.3929809508553</v>
      </c>
      <c r="AX33" s="17" t="n">
        <f aca="false">SQRT(($B33-AX$16)^2+($C33-AX$17)^2+($D33-AX$18)^2)</f>
        <v>3.24973852281999</v>
      </c>
      <c r="AY33" s="17" t="n">
        <f aca="false">SQRT(($B33-AY$16)^2+($C33-AY$17)^2+($D33-AY$18)^2)</f>
        <v>1.24267590580635</v>
      </c>
      <c r="AZ33" s="63" t="n">
        <f aca="false">MATCH(MIN(AW33:AY33),AW33:AY33,0)</f>
        <v>3</v>
      </c>
      <c r="BB33" s="17" t="n">
        <f aca="false">SQRT(($B33-BB$16)^2+($C33-BB$17)^2+($D33-BB$18)^2)</f>
        <v>2.3929809508553</v>
      </c>
      <c r="BC33" s="17" t="n">
        <f aca="false">SQRT(($B33-BC$16)^2+($C33-BC$17)^2+($D33-BC$18)^2)</f>
        <v>3.24973852281999</v>
      </c>
      <c r="BD33" s="17" t="n">
        <f aca="false">SQRT(($B33-BD$16)^2+($C33-BD$17)^2+($D33-BD$18)^2)</f>
        <v>1.24267590580635</v>
      </c>
      <c r="BE33" s="63" t="n">
        <f aca="false">MATCH(MIN(BB33:BD33),BB33:BD33,0)</f>
        <v>3</v>
      </c>
      <c r="BG33" s="17" t="n">
        <f aca="false">SQRT(($B33-BG$16)^2+($C33-BG$17)^2+($D33-BG$18)^2)</f>
        <v>2.3929809508553</v>
      </c>
      <c r="BH33" s="17" t="n">
        <f aca="false">SQRT(($B33-BH$16)^2+($C33-BH$17)^2+($D33-BH$18)^2)</f>
        <v>3.24973852281999</v>
      </c>
      <c r="BI33" s="17" t="n">
        <f aca="false">SQRT(($B33-BI$16)^2+($C33-BI$17)^2+($D33-BI$18)^2)</f>
        <v>1.24267590580635</v>
      </c>
      <c r="BJ33" s="63" t="n">
        <f aca="false">MATCH(MIN(BG33:BI33),BG33:BI33,0)</f>
        <v>3</v>
      </c>
      <c r="BL33" s="17" t="n">
        <f aca="false">SQRT(($B33-BL$16)^2+($C33-BL$17)^2+($D33-BL$18)^2)</f>
        <v>2.3929809508553</v>
      </c>
      <c r="BM33" s="17" t="n">
        <f aca="false">SQRT(($B33-BM$16)^2+($C33-BM$17)^2+($D33-BM$18)^2)</f>
        <v>3.24973852281999</v>
      </c>
      <c r="BN33" s="17" t="n">
        <f aca="false">SQRT(($B33-BN$16)^2+($C33-BN$17)^2+($D33-BN$18)^2)</f>
        <v>1.24267590580635</v>
      </c>
      <c r="BO33" s="63" t="n">
        <f aca="false">MATCH(MIN(BL33:BN33),BL33:BN33,0)</f>
        <v>3</v>
      </c>
      <c r="BQ33" s="17" t="n">
        <f aca="false">SQRT(($B33-BQ$16)^2+($C33-BQ$17)^2+($D33-BQ$18)^2)</f>
        <v>2.3929809508553</v>
      </c>
      <c r="BR33" s="17" t="n">
        <f aca="false">SQRT(($B33-BR$16)^2+($C33-BR$17)^2+($D33-BR$18)^2)</f>
        <v>3.24973852281999</v>
      </c>
      <c r="BS33" s="17" t="n">
        <f aca="false">SQRT(($B33-BS$16)^2+($C33-BS$17)^2+($D33-BS$18)^2)</f>
        <v>1.24267590580635</v>
      </c>
      <c r="BT33" s="63" t="n">
        <f aca="false">MATCH(MIN(BQ33:BS33),BQ33:BS33,0)</f>
        <v>3</v>
      </c>
      <c r="BV33" s="17" t="n">
        <f aca="false">SQRT(($B33-BV$16)^2+($C33-BV$17)^2+($D33-BV$18)^2)</f>
        <v>2.3929809508553</v>
      </c>
      <c r="BW33" s="17" t="n">
        <f aca="false">SQRT(($B33-BW$16)^2+($C33-BW$17)^2+($D33-BW$18)^2)</f>
        <v>3.24973852281999</v>
      </c>
      <c r="BX33" s="17" t="n">
        <f aca="false">SQRT(($B33-BX$16)^2+($C33-BX$17)^2+($D33-BX$18)^2)</f>
        <v>1.24267590580635</v>
      </c>
      <c r="BY33" s="63" t="n">
        <f aca="false">MATCH(MIN(BV33:BX33),BV33:BX33,0)</f>
        <v>3</v>
      </c>
      <c r="CA33" s="17" t="n">
        <f aca="false">SQRT(($B33-CA$16)^2+($C33-CA$17)^2+($D33-CA$18)^2)</f>
        <v>2.3929809508553</v>
      </c>
      <c r="CB33" s="17" t="n">
        <f aca="false">SQRT(($B33-CB$16)^2+($C33-CB$17)^2+($D33-CB$18)^2)</f>
        <v>3.24973852281999</v>
      </c>
      <c r="CC33" s="17" t="n">
        <f aca="false">SQRT(($B33-CC$16)^2+($C33-CC$17)^2+($D33-CC$18)^2)</f>
        <v>1.24267590580635</v>
      </c>
      <c r="CD33" s="63" t="n">
        <f aca="false">MATCH(MIN(CA33:CC33),CA33:CC33,0)</f>
        <v>3</v>
      </c>
    </row>
    <row r="34" customFormat="false" ht="15" hidden="false" customHeight="false" outlineLevel="0" collapsed="false">
      <c r="A34" s="36" t="str">
        <f aca="false">KMeans_Data!A16</f>
        <v>Mardan</v>
      </c>
      <c r="B34" s="17" t="n">
        <f aca="false">KMeans_Data!H16</f>
        <v>1.1269857012341</v>
      </c>
      <c r="C34" s="17" t="n">
        <f aca="false">KMeans_Data!I16</f>
        <v>1.76847331707728</v>
      </c>
      <c r="D34" s="17" t="n">
        <f aca="false">KMeans_Data!J16</f>
        <v>1.16687696458076</v>
      </c>
      <c r="E34" s="63" t="n">
        <f aca="false">CD34</f>
        <v>3</v>
      </c>
      <c r="F34" s="38" t="n">
        <f aca="false">($B34-INDEX($L$16:$N$16,E34))^2+($C34-INDEX($L$17:$N$17,E34))^2+($D34-INDEX($L$18:$N$18,E34))^2</f>
        <v>2.35622391263759</v>
      </c>
      <c r="G34" s="12" t="str">
        <f aca="false">INDEX($M$5:$M$7,E34)</f>
        <v>Medium burden</v>
      </c>
      <c r="H34" s="17" t="n">
        <f aca="false">IF(COUNTIF(Distance_Matrix!$E$9:$DQ$9,$E34)&lt;=1,0,SUMIF(Distance_Matrix!$E$9:$DQ$9,$E34,Distance_Matrix!$E$25:$DQ$25)/(COUNTIF(Distance_Matrix!$E$9:$DQ$9,$E34)-1))</f>
        <v>1.68636843826822</v>
      </c>
      <c r="I34" s="17" t="n">
        <f aca="false">MIN(IF(1=$E34,1E+099,IF(COUNTIF(Distance_Matrix!$E$9:$DQ$9,1)=0,1E+099,SUMIF(Distance_Matrix!$E$9:$DQ$9,1,Distance_Matrix!$E$25:$DQ$25)/COUNTIF(Distance_Matrix!$E$9:$DQ$9,1))),IF(2=$E34,1E+099,IF(COUNTIF(Distance_Matrix!$E$9:$DQ$9,2)=0,1E+099,SUMIF(Distance_Matrix!$E$9:$DQ$9,2,Distance_Matrix!$E$25:$DQ$25)/COUNTIF(Distance_Matrix!$E$9:$DQ$9,2))),IF(3=$E34,1E+099,IF(COUNTIF(Distance_Matrix!$E$9:$DQ$9,3)=0,1E+099,SUMIF(Distance_Matrix!$E$9:$DQ$9,3,Distance_Matrix!$E$25:$DQ$25)/COUNTIF(Distance_Matrix!$E$9:$DQ$9,3))))</f>
        <v>2.19628201591619</v>
      </c>
      <c r="J34" s="17" t="n">
        <f aca="false">IF(COUNTIF(Distance_Matrix!$E$9:$DQ$9,$E34)&lt;=1,0,(I34-H34)/MAX(H34,I34))</f>
        <v>0.23217126669193</v>
      </c>
      <c r="X34" s="17" t="n">
        <f aca="false">SQRT(($B34-X$16)^2+($C34-X$17)^2+($D34-X$18)^2)</f>
        <v>3.7571699748409</v>
      </c>
      <c r="Y34" s="17" t="n">
        <f aca="false">SQRT(($B34-Y$16)^2+($C34-Y$17)^2+($D34-Y$18)^2)</f>
        <v>4.64649504905847</v>
      </c>
      <c r="Z34" s="17" t="n">
        <f aca="false">SQRT(($B34-Z$16)^2+($C34-Z$17)^2+($D34-Z$18)^2)</f>
        <v>1.42536996486005</v>
      </c>
      <c r="AA34" s="63" t="n">
        <f aca="false">MATCH(MIN(X34:Z34),X34:Z34,0)</f>
        <v>3</v>
      </c>
      <c r="AC34" s="17" t="n">
        <f aca="false">SQRT(($B34-AC$16)^2+($C34-AC$17)^2+($D34-AC$18)^2)</f>
        <v>2.75894309332527</v>
      </c>
      <c r="AD34" s="17" t="n">
        <f aca="false">SQRT(($B34-AD$16)^2+($C34-AD$17)^2+($D34-AD$18)^2)</f>
        <v>3.65620765285577</v>
      </c>
      <c r="AE34" s="17" t="n">
        <f aca="false">SQRT(($B34-AE$16)^2+($C34-AE$17)^2+($D34-AE$18)^2)</f>
        <v>1.65133452848762</v>
      </c>
      <c r="AF34" s="63" t="n">
        <f aca="false">MATCH(MIN(AC34:AE34),AC34:AE34,0)</f>
        <v>3</v>
      </c>
      <c r="AH34" s="17" t="n">
        <f aca="false">SQRT(($B34-AH$16)^2+($C34-AH$17)^2+($D34-AH$18)^2)</f>
        <v>2.12850495578965</v>
      </c>
      <c r="AI34" s="17" t="n">
        <f aca="false">SQRT(($B34-AI$16)^2+($C34-AI$17)^2+($D34-AI$18)^2)</f>
        <v>3.54655573208743</v>
      </c>
      <c r="AJ34" s="17" t="n">
        <f aca="false">SQRT(($B34-AJ$16)^2+($C34-AJ$17)^2+($D34-AJ$18)^2)</f>
        <v>1.55628730633468</v>
      </c>
      <c r="AK34" s="63" t="n">
        <f aca="false">MATCH(MIN(AH34:AJ34),AH34:AJ34,0)</f>
        <v>3</v>
      </c>
      <c r="AM34" s="17" t="n">
        <f aca="false">SQRT(($B34-AM$16)^2+($C34-AM$17)^2+($D34-AM$18)^2)</f>
        <v>2.12850495578965</v>
      </c>
      <c r="AN34" s="17" t="n">
        <f aca="false">SQRT(($B34-AN$16)^2+($C34-AN$17)^2+($D34-AN$18)^2)</f>
        <v>3.53179774578969</v>
      </c>
      <c r="AO34" s="17" t="n">
        <f aca="false">SQRT(($B34-AO$16)^2+($C34-AO$17)^2+($D34-AO$18)^2)</f>
        <v>1.53499964581025</v>
      </c>
      <c r="AP34" s="63" t="n">
        <f aca="false">MATCH(MIN(AM34:AO34),AM34:AO34,0)</f>
        <v>3</v>
      </c>
      <c r="AR34" s="17" t="n">
        <f aca="false">SQRT(($B34-AR$16)^2+($C34-AR$17)^2+($D34-AR$18)^2)</f>
        <v>2.12850495578965</v>
      </c>
      <c r="AS34" s="17" t="n">
        <f aca="false">SQRT(($B34-AS$16)^2+($C34-AS$17)^2+($D34-AS$18)^2)</f>
        <v>3.53179774578969</v>
      </c>
      <c r="AT34" s="17" t="n">
        <f aca="false">SQRT(($B34-AT$16)^2+($C34-AT$17)^2+($D34-AT$18)^2)</f>
        <v>1.53499964581025</v>
      </c>
      <c r="AU34" s="63" t="n">
        <f aca="false">MATCH(MIN(AR34:AT34),AR34:AT34,0)</f>
        <v>3</v>
      </c>
      <c r="AW34" s="17" t="n">
        <f aca="false">SQRT(($B34-AW$16)^2+($C34-AW$17)^2+($D34-AW$18)^2)</f>
        <v>2.12850495578965</v>
      </c>
      <c r="AX34" s="17" t="n">
        <f aca="false">SQRT(($B34-AX$16)^2+($C34-AX$17)^2+($D34-AX$18)^2)</f>
        <v>3.53179774578969</v>
      </c>
      <c r="AY34" s="17" t="n">
        <f aca="false">SQRT(($B34-AY$16)^2+($C34-AY$17)^2+($D34-AY$18)^2)</f>
        <v>1.53499964581025</v>
      </c>
      <c r="AZ34" s="63" t="n">
        <f aca="false">MATCH(MIN(AW34:AY34),AW34:AY34,0)</f>
        <v>3</v>
      </c>
      <c r="BB34" s="17" t="n">
        <f aca="false">SQRT(($B34-BB$16)^2+($C34-BB$17)^2+($D34-BB$18)^2)</f>
        <v>2.12850495578965</v>
      </c>
      <c r="BC34" s="17" t="n">
        <f aca="false">SQRT(($B34-BC$16)^2+($C34-BC$17)^2+($D34-BC$18)^2)</f>
        <v>3.53179774578969</v>
      </c>
      <c r="BD34" s="17" t="n">
        <f aca="false">SQRT(($B34-BD$16)^2+($C34-BD$17)^2+($D34-BD$18)^2)</f>
        <v>1.53499964581025</v>
      </c>
      <c r="BE34" s="63" t="n">
        <f aca="false">MATCH(MIN(BB34:BD34),BB34:BD34,0)</f>
        <v>3</v>
      </c>
      <c r="BG34" s="17" t="n">
        <f aca="false">SQRT(($B34-BG$16)^2+($C34-BG$17)^2+($D34-BG$18)^2)</f>
        <v>2.12850495578965</v>
      </c>
      <c r="BH34" s="17" t="n">
        <f aca="false">SQRT(($B34-BH$16)^2+($C34-BH$17)^2+($D34-BH$18)^2)</f>
        <v>3.53179774578969</v>
      </c>
      <c r="BI34" s="17" t="n">
        <f aca="false">SQRT(($B34-BI$16)^2+($C34-BI$17)^2+($D34-BI$18)^2)</f>
        <v>1.53499964581025</v>
      </c>
      <c r="BJ34" s="63" t="n">
        <f aca="false">MATCH(MIN(BG34:BI34),BG34:BI34,0)</f>
        <v>3</v>
      </c>
      <c r="BL34" s="17" t="n">
        <f aca="false">SQRT(($B34-BL$16)^2+($C34-BL$17)^2+($D34-BL$18)^2)</f>
        <v>2.12850495578965</v>
      </c>
      <c r="BM34" s="17" t="n">
        <f aca="false">SQRT(($B34-BM$16)^2+($C34-BM$17)^2+($D34-BM$18)^2)</f>
        <v>3.53179774578969</v>
      </c>
      <c r="BN34" s="17" t="n">
        <f aca="false">SQRT(($B34-BN$16)^2+($C34-BN$17)^2+($D34-BN$18)^2)</f>
        <v>1.53499964581025</v>
      </c>
      <c r="BO34" s="63" t="n">
        <f aca="false">MATCH(MIN(BL34:BN34),BL34:BN34,0)</f>
        <v>3</v>
      </c>
      <c r="BQ34" s="17" t="n">
        <f aca="false">SQRT(($B34-BQ$16)^2+($C34-BQ$17)^2+($D34-BQ$18)^2)</f>
        <v>2.12850495578965</v>
      </c>
      <c r="BR34" s="17" t="n">
        <f aca="false">SQRT(($B34-BR$16)^2+($C34-BR$17)^2+($D34-BR$18)^2)</f>
        <v>3.53179774578969</v>
      </c>
      <c r="BS34" s="17" t="n">
        <f aca="false">SQRT(($B34-BS$16)^2+($C34-BS$17)^2+($D34-BS$18)^2)</f>
        <v>1.53499964581025</v>
      </c>
      <c r="BT34" s="63" t="n">
        <f aca="false">MATCH(MIN(BQ34:BS34),BQ34:BS34,0)</f>
        <v>3</v>
      </c>
      <c r="BV34" s="17" t="n">
        <f aca="false">SQRT(($B34-BV$16)^2+($C34-BV$17)^2+($D34-BV$18)^2)</f>
        <v>2.12850495578965</v>
      </c>
      <c r="BW34" s="17" t="n">
        <f aca="false">SQRT(($B34-BW$16)^2+($C34-BW$17)^2+($D34-BW$18)^2)</f>
        <v>3.53179774578969</v>
      </c>
      <c r="BX34" s="17" t="n">
        <f aca="false">SQRT(($B34-BX$16)^2+($C34-BX$17)^2+($D34-BX$18)^2)</f>
        <v>1.53499964581025</v>
      </c>
      <c r="BY34" s="63" t="n">
        <f aca="false">MATCH(MIN(BV34:BX34),BV34:BX34,0)</f>
        <v>3</v>
      </c>
      <c r="CA34" s="17" t="n">
        <f aca="false">SQRT(($B34-CA$16)^2+($C34-CA$17)^2+($D34-CA$18)^2)</f>
        <v>2.12850495578965</v>
      </c>
      <c r="CB34" s="17" t="n">
        <f aca="false">SQRT(($B34-CB$16)^2+($C34-CB$17)^2+($D34-CB$18)^2)</f>
        <v>3.53179774578969</v>
      </c>
      <c r="CC34" s="17" t="n">
        <f aca="false">SQRT(($B34-CC$16)^2+($C34-CC$17)^2+($D34-CC$18)^2)</f>
        <v>1.53499964581025</v>
      </c>
      <c r="CD34" s="63" t="n">
        <f aca="false">MATCH(MIN(CA34:CC34),CA34:CC34,0)</f>
        <v>3</v>
      </c>
    </row>
    <row r="35" customFormat="false" ht="15" hidden="false" customHeight="false" outlineLevel="0" collapsed="false">
      <c r="A35" s="36" t="str">
        <f aca="false">KMeans_Data!A17</f>
        <v>Gilgit</v>
      </c>
      <c r="B35" s="17" t="n">
        <f aca="false">KMeans_Data!H17</f>
        <v>1.04252863605511</v>
      </c>
      <c r="C35" s="17" t="n">
        <f aca="false">KMeans_Data!I17</f>
        <v>0.993675724638266</v>
      </c>
      <c r="D35" s="17" t="n">
        <f aca="false">KMeans_Data!J17</f>
        <v>1.0804955511041</v>
      </c>
      <c r="E35" s="63" t="n">
        <f aca="false">CD35</f>
        <v>3</v>
      </c>
      <c r="F35" s="38" t="n">
        <f aca="false">($B35-INDEX($L$16:$N$16,E35))^2+($C35-INDEX($L$17:$N$17,E35))^2+($D35-INDEX($L$18:$N$18,E35))^2</f>
        <v>0.722667970230471</v>
      </c>
      <c r="G35" s="12" t="str">
        <f aca="false">INDEX($M$5:$M$7,E35)</f>
        <v>Medium burden</v>
      </c>
      <c r="H35" s="17" t="n">
        <f aca="false">IF(COUNTIF(Distance_Matrix!$E$9:$DQ$9,$E35)&lt;=1,0,SUMIF(Distance_Matrix!$E$9:$DQ$9,$E35,Distance_Matrix!$E$26:$DQ$26)/(COUNTIF(Distance_Matrix!$E$9:$DQ$9,$E35)-1))</f>
        <v>1.15235530873452</v>
      </c>
      <c r="I35" s="17" t="n">
        <f aca="false">MIN(IF(1=$E35,1E+099,IF(COUNTIF(Distance_Matrix!$E$9:$DQ$9,1)=0,1E+099,SUMIF(Distance_Matrix!$E$9:$DQ$9,1,Distance_Matrix!$E$26:$DQ$26)/COUNTIF(Distance_Matrix!$E$9:$DQ$9,1))),IF(2=$E35,1E+099,IF(COUNTIF(Distance_Matrix!$E$9:$DQ$9,2)=0,1E+099,SUMIF(Distance_Matrix!$E$9:$DQ$9,2,Distance_Matrix!$E$26:$DQ$26)/COUNTIF(Distance_Matrix!$E$9:$DQ$9,2))),IF(3=$E35,1E+099,IF(COUNTIF(Distance_Matrix!$E$9:$DQ$9,3)=0,1E+099,SUMIF(Distance_Matrix!$E$9:$DQ$9,3,Distance_Matrix!$E$26:$DQ$26)/COUNTIF(Distance_Matrix!$E$9:$DQ$9,3))))</f>
        <v>2.79423272120024</v>
      </c>
      <c r="J35" s="17" t="n">
        <f aca="false">IF(COUNTIF(Distance_Matrix!$E$9:$DQ$9,$E35)&lt;=1,0,(I35-H35)/MAX(H35,I35))</f>
        <v>0.58759508469304</v>
      </c>
      <c r="X35" s="17" t="n">
        <f aca="false">SQRT(($B35-X$16)^2+($C35-X$17)^2+($D35-X$18)^2)</f>
        <v>4.35573965586675</v>
      </c>
      <c r="Y35" s="17" t="n">
        <f aca="false">SQRT(($B35-Y$16)^2+($C35-Y$17)^2+($D35-Y$18)^2)</f>
        <v>4.18101541376173</v>
      </c>
      <c r="Z35" s="17" t="n">
        <f aca="false">SQRT(($B35-Z$16)^2+($C35-Z$17)^2+($D35-Z$18)^2)</f>
        <v>0.72819676736314</v>
      </c>
      <c r="AA35" s="63" t="n">
        <f aca="false">MATCH(MIN(X35:Z35),X35:Z35,0)</f>
        <v>3</v>
      </c>
      <c r="AC35" s="17" t="n">
        <f aca="false">SQRT(($B35-AC$16)^2+($C35-AC$17)^2+($D35-AC$18)^2)</f>
        <v>3.38257636817492</v>
      </c>
      <c r="AD35" s="17" t="n">
        <f aca="false">SQRT(($B35-AD$16)^2+($C35-AD$17)^2+($D35-AD$18)^2)</f>
        <v>3.09538602993502</v>
      </c>
      <c r="AE35" s="17" t="n">
        <f aca="false">SQRT(($B35-AE$16)^2+($C35-AE$17)^2+($D35-AE$18)^2)</f>
        <v>0.969808211860312</v>
      </c>
      <c r="AF35" s="63" t="n">
        <f aca="false">MATCH(MIN(AC35:AE35),AC35:AE35,0)</f>
        <v>3</v>
      </c>
      <c r="AH35" s="17" t="n">
        <f aca="false">SQRT(($B35-AH$16)^2+($C35-AH$17)^2+($D35-AH$18)^2)</f>
        <v>2.74736666676251</v>
      </c>
      <c r="AI35" s="17" t="n">
        <f aca="false">SQRT(($B35-AI$16)^2+($C35-AI$17)^2+($D35-AI$18)^2)</f>
        <v>2.97405720168373</v>
      </c>
      <c r="AJ35" s="17" t="n">
        <f aca="false">SQRT(($B35-AJ$16)^2+($C35-AJ$17)^2+($D35-AJ$18)^2)</f>
        <v>0.874576164595388</v>
      </c>
      <c r="AK35" s="63" t="n">
        <f aca="false">MATCH(MIN(AH35:AJ35),AH35:AJ35,0)</f>
        <v>3</v>
      </c>
      <c r="AM35" s="17" t="n">
        <f aca="false">SQRT(($B35-AM$16)^2+($C35-AM$17)^2+($D35-AM$18)^2)</f>
        <v>2.74736666676251</v>
      </c>
      <c r="AN35" s="17" t="n">
        <f aca="false">SQRT(($B35-AN$16)^2+($C35-AN$17)^2+($D35-AN$18)^2)</f>
        <v>2.95897461690935</v>
      </c>
      <c r="AO35" s="17" t="n">
        <f aca="false">SQRT(($B35-AO$16)^2+($C35-AO$17)^2+($D35-AO$18)^2)</f>
        <v>0.850098800275868</v>
      </c>
      <c r="AP35" s="63" t="n">
        <f aca="false">MATCH(MIN(AM35:AO35),AM35:AO35,0)</f>
        <v>3</v>
      </c>
      <c r="AR35" s="17" t="n">
        <f aca="false">SQRT(($B35-AR$16)^2+($C35-AR$17)^2+($D35-AR$18)^2)</f>
        <v>2.74736666676251</v>
      </c>
      <c r="AS35" s="17" t="n">
        <f aca="false">SQRT(($B35-AS$16)^2+($C35-AS$17)^2+($D35-AS$18)^2)</f>
        <v>2.95897461690935</v>
      </c>
      <c r="AT35" s="17" t="n">
        <f aca="false">SQRT(($B35-AT$16)^2+($C35-AT$17)^2+($D35-AT$18)^2)</f>
        <v>0.850098800275868</v>
      </c>
      <c r="AU35" s="63" t="n">
        <f aca="false">MATCH(MIN(AR35:AT35),AR35:AT35,0)</f>
        <v>3</v>
      </c>
      <c r="AW35" s="17" t="n">
        <f aca="false">SQRT(($B35-AW$16)^2+($C35-AW$17)^2+($D35-AW$18)^2)</f>
        <v>2.74736666676251</v>
      </c>
      <c r="AX35" s="17" t="n">
        <f aca="false">SQRT(($B35-AX$16)^2+($C35-AX$17)^2+($D35-AX$18)^2)</f>
        <v>2.95897461690935</v>
      </c>
      <c r="AY35" s="17" t="n">
        <f aca="false">SQRT(($B35-AY$16)^2+($C35-AY$17)^2+($D35-AY$18)^2)</f>
        <v>0.850098800275868</v>
      </c>
      <c r="AZ35" s="63" t="n">
        <f aca="false">MATCH(MIN(AW35:AY35),AW35:AY35,0)</f>
        <v>3</v>
      </c>
      <c r="BB35" s="17" t="n">
        <f aca="false">SQRT(($B35-BB$16)^2+($C35-BB$17)^2+($D35-BB$18)^2)</f>
        <v>2.74736666676251</v>
      </c>
      <c r="BC35" s="17" t="n">
        <f aca="false">SQRT(($B35-BC$16)^2+($C35-BC$17)^2+($D35-BC$18)^2)</f>
        <v>2.95897461690935</v>
      </c>
      <c r="BD35" s="17" t="n">
        <f aca="false">SQRT(($B35-BD$16)^2+($C35-BD$17)^2+($D35-BD$18)^2)</f>
        <v>0.850098800275868</v>
      </c>
      <c r="BE35" s="63" t="n">
        <f aca="false">MATCH(MIN(BB35:BD35),BB35:BD35,0)</f>
        <v>3</v>
      </c>
      <c r="BG35" s="17" t="n">
        <f aca="false">SQRT(($B35-BG$16)^2+($C35-BG$17)^2+($D35-BG$18)^2)</f>
        <v>2.74736666676251</v>
      </c>
      <c r="BH35" s="17" t="n">
        <f aca="false">SQRT(($B35-BH$16)^2+($C35-BH$17)^2+($D35-BH$18)^2)</f>
        <v>2.95897461690935</v>
      </c>
      <c r="BI35" s="17" t="n">
        <f aca="false">SQRT(($B35-BI$16)^2+($C35-BI$17)^2+($D35-BI$18)^2)</f>
        <v>0.850098800275868</v>
      </c>
      <c r="BJ35" s="63" t="n">
        <f aca="false">MATCH(MIN(BG35:BI35),BG35:BI35,0)</f>
        <v>3</v>
      </c>
      <c r="BL35" s="17" t="n">
        <f aca="false">SQRT(($B35-BL$16)^2+($C35-BL$17)^2+($D35-BL$18)^2)</f>
        <v>2.74736666676251</v>
      </c>
      <c r="BM35" s="17" t="n">
        <f aca="false">SQRT(($B35-BM$16)^2+($C35-BM$17)^2+($D35-BM$18)^2)</f>
        <v>2.95897461690935</v>
      </c>
      <c r="BN35" s="17" t="n">
        <f aca="false">SQRT(($B35-BN$16)^2+($C35-BN$17)^2+($D35-BN$18)^2)</f>
        <v>0.850098800275868</v>
      </c>
      <c r="BO35" s="63" t="n">
        <f aca="false">MATCH(MIN(BL35:BN35),BL35:BN35,0)</f>
        <v>3</v>
      </c>
      <c r="BQ35" s="17" t="n">
        <f aca="false">SQRT(($B35-BQ$16)^2+($C35-BQ$17)^2+($D35-BQ$18)^2)</f>
        <v>2.74736666676251</v>
      </c>
      <c r="BR35" s="17" t="n">
        <f aca="false">SQRT(($B35-BR$16)^2+($C35-BR$17)^2+($D35-BR$18)^2)</f>
        <v>2.95897461690935</v>
      </c>
      <c r="BS35" s="17" t="n">
        <f aca="false">SQRT(($B35-BS$16)^2+($C35-BS$17)^2+($D35-BS$18)^2)</f>
        <v>0.850098800275868</v>
      </c>
      <c r="BT35" s="63" t="n">
        <f aca="false">MATCH(MIN(BQ35:BS35),BQ35:BS35,0)</f>
        <v>3</v>
      </c>
      <c r="BV35" s="17" t="n">
        <f aca="false">SQRT(($B35-BV$16)^2+($C35-BV$17)^2+($D35-BV$18)^2)</f>
        <v>2.74736666676251</v>
      </c>
      <c r="BW35" s="17" t="n">
        <f aca="false">SQRT(($B35-BW$16)^2+($C35-BW$17)^2+($D35-BW$18)^2)</f>
        <v>2.95897461690935</v>
      </c>
      <c r="BX35" s="17" t="n">
        <f aca="false">SQRT(($B35-BX$16)^2+($C35-BX$17)^2+($D35-BX$18)^2)</f>
        <v>0.850098800275868</v>
      </c>
      <c r="BY35" s="63" t="n">
        <f aca="false">MATCH(MIN(BV35:BX35),BV35:BX35,0)</f>
        <v>3</v>
      </c>
      <c r="CA35" s="17" t="n">
        <f aca="false">SQRT(($B35-CA$16)^2+($C35-CA$17)^2+($D35-CA$18)^2)</f>
        <v>2.74736666676251</v>
      </c>
      <c r="CB35" s="17" t="n">
        <f aca="false">SQRT(($B35-CB$16)^2+($C35-CB$17)^2+($D35-CB$18)^2)</f>
        <v>2.95897461690935</v>
      </c>
      <c r="CC35" s="17" t="n">
        <f aca="false">SQRT(($B35-CC$16)^2+($C35-CC$17)^2+($D35-CC$18)^2)</f>
        <v>0.850098800275868</v>
      </c>
      <c r="CD35" s="63" t="n">
        <f aca="false">MATCH(MIN(CA35:CC35),CA35:CC35,0)</f>
        <v>3</v>
      </c>
    </row>
    <row r="36" customFormat="false" ht="15" hidden="false" customHeight="false" outlineLevel="0" collapsed="false">
      <c r="A36" s="36" t="str">
        <f aca="false">KMeans_Data!A18</f>
        <v>Larkana</v>
      </c>
      <c r="B36" s="17" t="n">
        <f aca="false">KMeans_Data!H18</f>
        <v>1.03733687213202</v>
      </c>
      <c r="C36" s="17" t="n">
        <f aca="false">KMeans_Data!I18</f>
        <v>0.378684277529216</v>
      </c>
      <c r="D36" s="17" t="n">
        <f aca="false">KMeans_Data!J18</f>
        <v>1.47040463995458</v>
      </c>
      <c r="E36" s="63" t="n">
        <f aca="false">CD36</f>
        <v>3</v>
      </c>
      <c r="F36" s="38" t="n">
        <f aca="false">($B36-INDEX($L$16:$N$16,E36))^2+($C36-INDEX($L$17:$N$17,E36))^2+($D36-INDEX($L$18:$N$18,E36))^2</f>
        <v>0.856384100798364</v>
      </c>
      <c r="G36" s="12" t="str">
        <f aca="false">INDEX($M$5:$M$7,E36)</f>
        <v>Medium burden</v>
      </c>
      <c r="H36" s="17" t="n">
        <f aca="false">IF(COUNTIF(Distance_Matrix!$E$9:$DQ$9,$E36)&lt;=1,0,SUMIF(Distance_Matrix!$E$9:$DQ$9,$E36,Distance_Matrix!$E$27:$DQ$27)/(COUNTIF(Distance_Matrix!$E$9:$DQ$9,$E36)-1))</f>
        <v>1.24771033412878</v>
      </c>
      <c r="I36" s="17" t="n">
        <f aca="false">MIN(IF(1=$E36,1E+099,IF(COUNTIF(Distance_Matrix!$E$9:$DQ$9,1)=0,1E+099,SUMIF(Distance_Matrix!$E$9:$DQ$9,1,Distance_Matrix!$E$27:$DQ$27)/COUNTIF(Distance_Matrix!$E$9:$DQ$9,1))),IF(2=$E36,1E+099,IF(COUNTIF(Distance_Matrix!$E$9:$DQ$9,2)=0,1E+099,SUMIF(Distance_Matrix!$E$9:$DQ$9,2,Distance_Matrix!$E$27:$DQ$27)/COUNTIF(Distance_Matrix!$E$9:$DQ$9,2))),IF(3=$E36,1E+099,IF(COUNTIF(Distance_Matrix!$E$9:$DQ$9,3)=0,1E+099,SUMIF(Distance_Matrix!$E$9:$DQ$9,3,Distance_Matrix!$E$27:$DQ$27)/COUNTIF(Distance_Matrix!$E$9:$DQ$9,3))))</f>
        <v>3.00573462583071</v>
      </c>
      <c r="J36" s="17" t="n">
        <f aca="false">IF(COUNTIF(Distance_Matrix!$E$9:$DQ$9,$E36)&lt;=1,0,(I36-H36)/MAX(H36,I36))</f>
        <v>0.584890055360778</v>
      </c>
      <c r="X36" s="17" t="n">
        <f aca="false">SQRT(($B36-X$16)^2+($C36-X$17)^2+($D36-X$18)^2)</f>
        <v>4.64515792720078</v>
      </c>
      <c r="Y36" s="17" t="n">
        <f aca="false">SQRT(($B36-Y$16)^2+($C36-Y$17)^2+($D36-Y$18)^2)</f>
        <v>4.20299555676564</v>
      </c>
      <c r="Z36" s="17" t="n">
        <f aca="false">SQRT(($B36-Z$16)^2+($C36-Z$17)^2+($D36-Z$18)^2)</f>
        <v>0</v>
      </c>
      <c r="AA36" s="63" t="n">
        <f aca="false">MATCH(MIN(X36:Z36),X36:Z36,0)</f>
        <v>3</v>
      </c>
      <c r="AC36" s="17" t="n">
        <f aca="false">SQRT(($B36-AC$16)^2+($C36-AC$17)^2+($D36-AC$18)^2)</f>
        <v>3.74068139715645</v>
      </c>
      <c r="AD36" s="17" t="n">
        <f aca="false">SQRT(($B36-AD$16)^2+($C36-AD$17)^2+($D36-AD$18)^2)</f>
        <v>3.09294909136054</v>
      </c>
      <c r="AE36" s="17" t="n">
        <f aca="false">SQRT(($B36-AE$16)^2+($C36-AE$17)^2+($D36-AE$18)^2)</f>
        <v>1.02892300581204</v>
      </c>
      <c r="AF36" s="63" t="n">
        <f aca="false">MATCH(MIN(AC36:AE36),AC36:AE36,0)</f>
        <v>3</v>
      </c>
      <c r="AH36" s="17" t="n">
        <f aca="false">SQRT(($B36-AH$16)^2+($C36-AH$17)^2+($D36-AH$18)^2)</f>
        <v>3.12638304658029</v>
      </c>
      <c r="AI36" s="17" t="n">
        <f aca="false">SQRT(($B36-AI$16)^2+($C36-AI$17)^2+($D36-AI$18)^2)</f>
        <v>2.96519889876713</v>
      </c>
      <c r="AJ36" s="17" t="n">
        <f aca="false">SQRT(($B36-AJ$16)^2+($C36-AJ$17)^2+($D36-AJ$18)^2)</f>
        <v>0.944846377934702</v>
      </c>
      <c r="AK36" s="63" t="n">
        <f aca="false">MATCH(MIN(AH36:AJ36),AH36:AJ36,0)</f>
        <v>3</v>
      </c>
      <c r="AM36" s="17" t="n">
        <f aca="false">SQRT(($B36-AM$16)^2+($C36-AM$17)^2+($D36-AM$18)^2)</f>
        <v>3.12638304658029</v>
      </c>
      <c r="AN36" s="17" t="n">
        <f aca="false">SQRT(($B36-AN$16)^2+($C36-AN$17)^2+($D36-AN$18)^2)</f>
        <v>2.94979915150893</v>
      </c>
      <c r="AO36" s="17" t="n">
        <f aca="false">SQRT(($B36-AO$16)^2+($C36-AO$17)^2+($D36-AO$18)^2)</f>
        <v>0.925410233787353</v>
      </c>
      <c r="AP36" s="63" t="n">
        <f aca="false">MATCH(MIN(AM36:AO36),AM36:AO36,0)</f>
        <v>3</v>
      </c>
      <c r="AR36" s="17" t="n">
        <f aca="false">SQRT(($B36-AR$16)^2+($C36-AR$17)^2+($D36-AR$18)^2)</f>
        <v>3.12638304658029</v>
      </c>
      <c r="AS36" s="17" t="n">
        <f aca="false">SQRT(($B36-AS$16)^2+($C36-AS$17)^2+($D36-AS$18)^2)</f>
        <v>2.94979915150893</v>
      </c>
      <c r="AT36" s="17" t="n">
        <f aca="false">SQRT(($B36-AT$16)^2+($C36-AT$17)^2+($D36-AT$18)^2)</f>
        <v>0.925410233787353</v>
      </c>
      <c r="AU36" s="63" t="n">
        <f aca="false">MATCH(MIN(AR36:AT36),AR36:AT36,0)</f>
        <v>3</v>
      </c>
      <c r="AW36" s="17" t="n">
        <f aca="false">SQRT(($B36-AW$16)^2+($C36-AW$17)^2+($D36-AW$18)^2)</f>
        <v>3.12638304658029</v>
      </c>
      <c r="AX36" s="17" t="n">
        <f aca="false">SQRT(($B36-AX$16)^2+($C36-AX$17)^2+($D36-AX$18)^2)</f>
        <v>2.94979915150893</v>
      </c>
      <c r="AY36" s="17" t="n">
        <f aca="false">SQRT(($B36-AY$16)^2+($C36-AY$17)^2+($D36-AY$18)^2)</f>
        <v>0.925410233787353</v>
      </c>
      <c r="AZ36" s="63" t="n">
        <f aca="false">MATCH(MIN(AW36:AY36),AW36:AY36,0)</f>
        <v>3</v>
      </c>
      <c r="BB36" s="17" t="n">
        <f aca="false">SQRT(($B36-BB$16)^2+($C36-BB$17)^2+($D36-BB$18)^2)</f>
        <v>3.12638304658029</v>
      </c>
      <c r="BC36" s="17" t="n">
        <f aca="false">SQRT(($B36-BC$16)^2+($C36-BC$17)^2+($D36-BC$18)^2)</f>
        <v>2.94979915150893</v>
      </c>
      <c r="BD36" s="17" t="n">
        <f aca="false">SQRT(($B36-BD$16)^2+($C36-BD$17)^2+($D36-BD$18)^2)</f>
        <v>0.925410233787353</v>
      </c>
      <c r="BE36" s="63" t="n">
        <f aca="false">MATCH(MIN(BB36:BD36),BB36:BD36,0)</f>
        <v>3</v>
      </c>
      <c r="BG36" s="17" t="n">
        <f aca="false">SQRT(($B36-BG$16)^2+($C36-BG$17)^2+($D36-BG$18)^2)</f>
        <v>3.12638304658029</v>
      </c>
      <c r="BH36" s="17" t="n">
        <f aca="false">SQRT(($B36-BH$16)^2+($C36-BH$17)^2+($D36-BH$18)^2)</f>
        <v>2.94979915150893</v>
      </c>
      <c r="BI36" s="17" t="n">
        <f aca="false">SQRT(($B36-BI$16)^2+($C36-BI$17)^2+($D36-BI$18)^2)</f>
        <v>0.925410233787353</v>
      </c>
      <c r="BJ36" s="63" t="n">
        <f aca="false">MATCH(MIN(BG36:BI36),BG36:BI36,0)</f>
        <v>3</v>
      </c>
      <c r="BL36" s="17" t="n">
        <f aca="false">SQRT(($B36-BL$16)^2+($C36-BL$17)^2+($D36-BL$18)^2)</f>
        <v>3.12638304658029</v>
      </c>
      <c r="BM36" s="17" t="n">
        <f aca="false">SQRT(($B36-BM$16)^2+($C36-BM$17)^2+($D36-BM$18)^2)</f>
        <v>2.94979915150893</v>
      </c>
      <c r="BN36" s="17" t="n">
        <f aca="false">SQRT(($B36-BN$16)^2+($C36-BN$17)^2+($D36-BN$18)^2)</f>
        <v>0.925410233787353</v>
      </c>
      <c r="BO36" s="63" t="n">
        <f aca="false">MATCH(MIN(BL36:BN36),BL36:BN36,0)</f>
        <v>3</v>
      </c>
      <c r="BQ36" s="17" t="n">
        <f aca="false">SQRT(($B36-BQ$16)^2+($C36-BQ$17)^2+($D36-BQ$18)^2)</f>
        <v>3.12638304658029</v>
      </c>
      <c r="BR36" s="17" t="n">
        <f aca="false">SQRT(($B36-BR$16)^2+($C36-BR$17)^2+($D36-BR$18)^2)</f>
        <v>2.94979915150893</v>
      </c>
      <c r="BS36" s="17" t="n">
        <f aca="false">SQRT(($B36-BS$16)^2+($C36-BS$17)^2+($D36-BS$18)^2)</f>
        <v>0.925410233787353</v>
      </c>
      <c r="BT36" s="63" t="n">
        <f aca="false">MATCH(MIN(BQ36:BS36),BQ36:BS36,0)</f>
        <v>3</v>
      </c>
      <c r="BV36" s="17" t="n">
        <f aca="false">SQRT(($B36-BV$16)^2+($C36-BV$17)^2+($D36-BV$18)^2)</f>
        <v>3.12638304658029</v>
      </c>
      <c r="BW36" s="17" t="n">
        <f aca="false">SQRT(($B36-BW$16)^2+($C36-BW$17)^2+($D36-BW$18)^2)</f>
        <v>2.94979915150893</v>
      </c>
      <c r="BX36" s="17" t="n">
        <f aca="false">SQRT(($B36-BX$16)^2+($C36-BX$17)^2+($D36-BX$18)^2)</f>
        <v>0.925410233787353</v>
      </c>
      <c r="BY36" s="63" t="n">
        <f aca="false">MATCH(MIN(BV36:BX36),BV36:BX36,0)</f>
        <v>3</v>
      </c>
      <c r="CA36" s="17" t="n">
        <f aca="false">SQRT(($B36-CA$16)^2+($C36-CA$17)^2+($D36-CA$18)^2)</f>
        <v>3.12638304658029</v>
      </c>
      <c r="CB36" s="17" t="n">
        <f aca="false">SQRT(($B36-CB$16)^2+($C36-CB$17)^2+($D36-CB$18)^2)</f>
        <v>2.94979915150893</v>
      </c>
      <c r="CC36" s="17" t="n">
        <f aca="false">SQRT(($B36-CC$16)^2+($C36-CC$17)^2+($D36-CC$18)^2)</f>
        <v>0.925410233787353</v>
      </c>
      <c r="CD36" s="63" t="n">
        <f aca="false">MATCH(MIN(CA36:CC36),CA36:CC36,0)</f>
        <v>3</v>
      </c>
    </row>
    <row r="37" customFormat="false" ht="15" hidden="false" customHeight="false" outlineLevel="0" collapsed="false">
      <c r="A37" s="36" t="str">
        <f aca="false">KMeans_Data!A19</f>
        <v>Ghotki</v>
      </c>
      <c r="B37" s="17" t="n">
        <f aca="false">KMeans_Data!H19</f>
        <v>1.00781777519734</v>
      </c>
      <c r="C37" s="17" t="n">
        <f aca="false">KMeans_Data!I19</f>
        <v>-0.146983133929529</v>
      </c>
      <c r="D37" s="17" t="n">
        <f aca="false">KMeans_Data!J19</f>
        <v>1.16687696458076</v>
      </c>
      <c r="E37" s="63" t="n">
        <f aca="false">CD37</f>
        <v>3</v>
      </c>
      <c r="F37" s="38" t="n">
        <f aca="false">($B37-INDEX($L$16:$N$16,E37))^2+($C37-INDEX($L$17:$N$17,E37))^2+($D37-INDEX($L$18:$N$18,E37))^2</f>
        <v>0.787446240271705</v>
      </c>
      <c r="G37" s="12" t="str">
        <f aca="false">INDEX($M$5:$M$7,E37)</f>
        <v>Medium burden</v>
      </c>
      <c r="H37" s="17" t="n">
        <f aca="false">IF(COUNTIF(Distance_Matrix!$E$9:$DQ$9,$E37)&lt;=1,0,SUMIF(Distance_Matrix!$E$9:$DQ$9,$E37,Distance_Matrix!$E$28:$DQ$28)/(COUNTIF(Distance_Matrix!$E$9:$DQ$9,$E37)-1))</f>
        <v>1.25256936645006</v>
      </c>
      <c r="I37" s="17" t="n">
        <f aca="false">MIN(IF(1=$E37,1E+099,IF(COUNTIF(Distance_Matrix!$E$9:$DQ$9,1)=0,1E+099,SUMIF(Distance_Matrix!$E$9:$DQ$9,1,Distance_Matrix!$E$28:$DQ$28)/COUNTIF(Distance_Matrix!$E$9:$DQ$9,1))),IF(2=$E37,1E+099,IF(COUNTIF(Distance_Matrix!$E$9:$DQ$9,2)=0,1E+099,SUMIF(Distance_Matrix!$E$9:$DQ$9,2,Distance_Matrix!$E$28:$DQ$28)/COUNTIF(Distance_Matrix!$E$9:$DQ$9,2))),IF(3=$E37,1E+099,IF(COUNTIF(Distance_Matrix!$E$9:$DQ$9,3)=0,1E+099,SUMIF(Distance_Matrix!$E$9:$DQ$9,3,Distance_Matrix!$E$28:$DQ$28)/COUNTIF(Distance_Matrix!$E$9:$DQ$9,3))))</f>
        <v>2.62261113566253</v>
      </c>
      <c r="J37" s="17" t="n">
        <f aca="false">IF(COUNTIF(Distance_Matrix!$E$9:$DQ$9,$E37)&lt;=1,0,(I37-H37)/MAX(H37,I37))</f>
        <v>0.522396077170001</v>
      </c>
      <c r="X37" s="17" t="n">
        <f aca="false">SQRT(($B37-X$16)^2+($C37-X$17)^2+($D37-X$18)^2)</f>
        <v>5.19700942044935</v>
      </c>
      <c r="Y37" s="17" t="n">
        <f aca="false">SQRT(($B37-Y$16)^2+($C37-Y$17)^2+($D37-Y$18)^2)</f>
        <v>3.89320954094829</v>
      </c>
      <c r="Z37" s="17" t="n">
        <f aca="false">SQRT(($B37-Z$16)^2+($C37-Z$17)^2+($D37-Z$18)^2)</f>
        <v>0.607722514204808</v>
      </c>
      <c r="AA37" s="63" t="n">
        <f aca="false">MATCH(MIN(X37:Z37),X37:Z37,0)</f>
        <v>3</v>
      </c>
      <c r="AC37" s="17" t="n">
        <f aca="false">SQRT(($B37-AC$16)^2+($C37-AC$17)^2+($D37-AC$18)^2)</f>
        <v>4.28700943742122</v>
      </c>
      <c r="AD37" s="17" t="n">
        <f aca="false">SQRT(($B37-AD$16)^2+($C37-AD$17)^2+($D37-AD$18)^2)</f>
        <v>2.71300415529376</v>
      </c>
      <c r="AE37" s="17" t="n">
        <f aca="false">SQRT(($B37-AE$16)^2+($C37-AE$17)^2+($D37-AE$18)^2)</f>
        <v>0.911966676125479</v>
      </c>
      <c r="AF37" s="63" t="n">
        <f aca="false">MATCH(MIN(AC37:AE37),AC37:AE37,0)</f>
        <v>3</v>
      </c>
      <c r="AH37" s="17" t="n">
        <f aca="false">SQRT(($B37-AH$16)^2+($C37-AH$17)^2+($D37-AH$18)^2)</f>
        <v>3.67112790919093</v>
      </c>
      <c r="AI37" s="17" t="n">
        <f aca="false">SQRT(($B37-AI$16)^2+($C37-AI$17)^2+($D37-AI$18)^2)</f>
        <v>2.57884190338297</v>
      </c>
      <c r="AJ37" s="17" t="n">
        <f aca="false">SQRT(($B37-AJ$16)^2+($C37-AJ$17)^2+($D37-AJ$18)^2)</f>
        <v>0.896232382726567</v>
      </c>
      <c r="AK37" s="63" t="n">
        <f aca="false">MATCH(MIN(AH37:AJ37),AH37:AJ37,0)</f>
        <v>3</v>
      </c>
      <c r="AM37" s="17" t="n">
        <f aca="false">SQRT(($B37-AM$16)^2+($C37-AM$17)^2+($D37-AM$18)^2)</f>
        <v>3.67112790919093</v>
      </c>
      <c r="AN37" s="17" t="n">
        <f aca="false">SQRT(($B37-AN$16)^2+($C37-AN$17)^2+($D37-AN$18)^2)</f>
        <v>2.56441943138665</v>
      </c>
      <c r="AO37" s="17" t="n">
        <f aca="false">SQRT(($B37-AO$16)^2+($C37-AO$17)^2+($D37-AO$18)^2)</f>
        <v>0.887381676772574</v>
      </c>
      <c r="AP37" s="63" t="n">
        <f aca="false">MATCH(MIN(AM37:AO37),AM37:AO37,0)</f>
        <v>3</v>
      </c>
      <c r="AR37" s="17" t="n">
        <f aca="false">SQRT(($B37-AR$16)^2+($C37-AR$17)^2+($D37-AR$18)^2)</f>
        <v>3.67112790919093</v>
      </c>
      <c r="AS37" s="17" t="n">
        <f aca="false">SQRT(($B37-AS$16)^2+($C37-AS$17)^2+($D37-AS$18)^2)</f>
        <v>2.56441943138665</v>
      </c>
      <c r="AT37" s="17" t="n">
        <f aca="false">SQRT(($B37-AT$16)^2+($C37-AT$17)^2+($D37-AT$18)^2)</f>
        <v>0.887381676772574</v>
      </c>
      <c r="AU37" s="63" t="n">
        <f aca="false">MATCH(MIN(AR37:AT37),AR37:AT37,0)</f>
        <v>3</v>
      </c>
      <c r="AW37" s="17" t="n">
        <f aca="false">SQRT(($B37-AW$16)^2+($C37-AW$17)^2+($D37-AW$18)^2)</f>
        <v>3.67112790919093</v>
      </c>
      <c r="AX37" s="17" t="n">
        <f aca="false">SQRT(($B37-AX$16)^2+($C37-AX$17)^2+($D37-AX$18)^2)</f>
        <v>2.56441943138665</v>
      </c>
      <c r="AY37" s="17" t="n">
        <f aca="false">SQRT(($B37-AY$16)^2+($C37-AY$17)^2+($D37-AY$18)^2)</f>
        <v>0.887381676772574</v>
      </c>
      <c r="AZ37" s="63" t="n">
        <f aca="false">MATCH(MIN(AW37:AY37),AW37:AY37,0)</f>
        <v>3</v>
      </c>
      <c r="BB37" s="17" t="n">
        <f aca="false">SQRT(($B37-BB$16)^2+($C37-BB$17)^2+($D37-BB$18)^2)</f>
        <v>3.67112790919093</v>
      </c>
      <c r="BC37" s="17" t="n">
        <f aca="false">SQRT(($B37-BC$16)^2+($C37-BC$17)^2+($D37-BC$18)^2)</f>
        <v>2.56441943138665</v>
      </c>
      <c r="BD37" s="17" t="n">
        <f aca="false">SQRT(($B37-BD$16)^2+($C37-BD$17)^2+($D37-BD$18)^2)</f>
        <v>0.887381676772574</v>
      </c>
      <c r="BE37" s="63" t="n">
        <f aca="false">MATCH(MIN(BB37:BD37),BB37:BD37,0)</f>
        <v>3</v>
      </c>
      <c r="BG37" s="17" t="n">
        <f aca="false">SQRT(($B37-BG$16)^2+($C37-BG$17)^2+($D37-BG$18)^2)</f>
        <v>3.67112790919093</v>
      </c>
      <c r="BH37" s="17" t="n">
        <f aca="false">SQRT(($B37-BH$16)^2+($C37-BH$17)^2+($D37-BH$18)^2)</f>
        <v>2.56441943138665</v>
      </c>
      <c r="BI37" s="17" t="n">
        <f aca="false">SQRT(($B37-BI$16)^2+($C37-BI$17)^2+($D37-BI$18)^2)</f>
        <v>0.887381676772574</v>
      </c>
      <c r="BJ37" s="63" t="n">
        <f aca="false">MATCH(MIN(BG37:BI37),BG37:BI37,0)</f>
        <v>3</v>
      </c>
      <c r="BL37" s="17" t="n">
        <f aca="false">SQRT(($B37-BL$16)^2+($C37-BL$17)^2+($D37-BL$18)^2)</f>
        <v>3.67112790919093</v>
      </c>
      <c r="BM37" s="17" t="n">
        <f aca="false">SQRT(($B37-BM$16)^2+($C37-BM$17)^2+($D37-BM$18)^2)</f>
        <v>2.56441943138665</v>
      </c>
      <c r="BN37" s="17" t="n">
        <f aca="false">SQRT(($B37-BN$16)^2+($C37-BN$17)^2+($D37-BN$18)^2)</f>
        <v>0.887381676772574</v>
      </c>
      <c r="BO37" s="63" t="n">
        <f aca="false">MATCH(MIN(BL37:BN37),BL37:BN37,0)</f>
        <v>3</v>
      </c>
      <c r="BQ37" s="17" t="n">
        <f aca="false">SQRT(($B37-BQ$16)^2+($C37-BQ$17)^2+($D37-BQ$18)^2)</f>
        <v>3.67112790919093</v>
      </c>
      <c r="BR37" s="17" t="n">
        <f aca="false">SQRT(($B37-BR$16)^2+($C37-BR$17)^2+($D37-BR$18)^2)</f>
        <v>2.56441943138665</v>
      </c>
      <c r="BS37" s="17" t="n">
        <f aca="false">SQRT(($B37-BS$16)^2+($C37-BS$17)^2+($D37-BS$18)^2)</f>
        <v>0.887381676772574</v>
      </c>
      <c r="BT37" s="63" t="n">
        <f aca="false">MATCH(MIN(BQ37:BS37),BQ37:BS37,0)</f>
        <v>3</v>
      </c>
      <c r="BV37" s="17" t="n">
        <f aca="false">SQRT(($B37-BV$16)^2+($C37-BV$17)^2+($D37-BV$18)^2)</f>
        <v>3.67112790919093</v>
      </c>
      <c r="BW37" s="17" t="n">
        <f aca="false">SQRT(($B37-BW$16)^2+($C37-BW$17)^2+($D37-BW$18)^2)</f>
        <v>2.56441943138665</v>
      </c>
      <c r="BX37" s="17" t="n">
        <f aca="false">SQRT(($B37-BX$16)^2+($C37-BX$17)^2+($D37-BX$18)^2)</f>
        <v>0.887381676772574</v>
      </c>
      <c r="BY37" s="63" t="n">
        <f aca="false">MATCH(MIN(BV37:BX37),BV37:BX37,0)</f>
        <v>3</v>
      </c>
      <c r="CA37" s="17" t="n">
        <f aca="false">SQRT(($B37-CA$16)^2+($C37-CA$17)^2+($D37-CA$18)^2)</f>
        <v>3.67112790919093</v>
      </c>
      <c r="CB37" s="17" t="n">
        <f aca="false">SQRT(($B37-CB$16)^2+($C37-CB$17)^2+($D37-CB$18)^2)</f>
        <v>2.56441943138665</v>
      </c>
      <c r="CC37" s="17" t="n">
        <f aca="false">SQRT(($B37-CC$16)^2+($C37-CC$17)^2+($D37-CC$18)^2)</f>
        <v>0.887381676772574</v>
      </c>
      <c r="CD37" s="63" t="n">
        <f aca="false">MATCH(MIN(CA37:CC37),CA37:CC37,0)</f>
        <v>3</v>
      </c>
    </row>
    <row r="38" customFormat="false" ht="15" hidden="false" customHeight="false" outlineLevel="0" collapsed="false">
      <c r="A38" s="36" t="str">
        <f aca="false">KMeans_Data!A20</f>
        <v>Dir Lower</v>
      </c>
      <c r="B38" s="17" t="n">
        <f aca="false">KMeans_Data!H20</f>
        <v>0.970625526957299</v>
      </c>
      <c r="C38" s="17" t="n">
        <f aca="false">KMeans_Data!I20</f>
        <v>0.993675724638266</v>
      </c>
      <c r="D38" s="17" t="n">
        <f aca="false">KMeans_Data!J20</f>
        <v>0.997526228800629</v>
      </c>
      <c r="E38" s="63" t="n">
        <f aca="false">CD38</f>
        <v>3</v>
      </c>
      <c r="F38" s="38" t="n">
        <f aca="false">($B38-INDEX($L$16:$N$16,E38))^2+($C38-INDEX($L$17:$N$17,E38))^2+($D38-INDEX($L$18:$N$18,E38))^2</f>
        <v>0.597511011112694</v>
      </c>
      <c r="G38" s="12" t="str">
        <f aca="false">INDEX($M$5:$M$7,E38)</f>
        <v>Medium burden</v>
      </c>
      <c r="H38" s="17" t="n">
        <f aca="false">IF(COUNTIF(Distance_Matrix!$E$9:$DQ$9,$E38)&lt;=1,0,SUMIF(Distance_Matrix!$E$9:$DQ$9,$E38,Distance_Matrix!$E$29:$DQ$29)/(COUNTIF(Distance_Matrix!$E$9:$DQ$9,$E38)-1))</f>
        <v>1.10318256496131</v>
      </c>
      <c r="I38" s="17" t="n">
        <f aca="false">MIN(IF(1=$E38,1E+099,IF(COUNTIF(Distance_Matrix!$E$9:$DQ$9,1)=0,1E+099,SUMIF(Distance_Matrix!$E$9:$DQ$9,1,Distance_Matrix!$E$29:$DQ$29)/COUNTIF(Distance_Matrix!$E$9:$DQ$9,1))),IF(2=$E38,1E+099,IF(COUNTIF(Distance_Matrix!$E$9:$DQ$9,2)=0,1E+099,SUMIF(Distance_Matrix!$E$9:$DQ$9,2,Distance_Matrix!$E$29:$DQ$29)/COUNTIF(Distance_Matrix!$E$9:$DQ$9,2))),IF(3=$E38,1E+099,IF(COUNTIF(Distance_Matrix!$E$9:$DQ$9,3)=0,1E+099,SUMIF(Distance_Matrix!$E$9:$DQ$9,3,Distance_Matrix!$E$29:$DQ$29)/COUNTIF(Distance_Matrix!$E$9:$DQ$9,3))))</f>
        <v>2.86410766958258</v>
      </c>
      <c r="J38" s="17" t="n">
        <f aca="false">IF(COUNTIF(Distance_Matrix!$E$9:$DQ$9,$E38)&lt;=1,0,(I38-H38)/MAX(H38,I38))</f>
        <v>0.614825037243766</v>
      </c>
      <c r="X38" s="17" t="n">
        <f aca="false">SQRT(($B38-X$16)^2+($C38-X$17)^2+($D38-X$18)^2)</f>
        <v>4.43462744470065</v>
      </c>
      <c r="Y38" s="17" t="n">
        <f aca="false">SQRT(($B38-Y$16)^2+($C38-Y$17)^2+($D38-Y$18)^2)</f>
        <v>4.08344706124881</v>
      </c>
      <c r="Z38" s="17" t="n">
        <f aca="false">SQRT(($B38-Z$16)^2+($C38-Z$17)^2+($D38-Z$18)^2)</f>
        <v>0.778639117517089</v>
      </c>
      <c r="AA38" s="63" t="n">
        <f aca="false">MATCH(MIN(X38:Z38),X38:Z38,0)</f>
        <v>3</v>
      </c>
      <c r="AC38" s="17" t="n">
        <f aca="false">SQRT(($B38-AC$16)^2+($C38-AC$17)^2+($D38-AC$18)^2)</f>
        <v>3.45559438059147</v>
      </c>
      <c r="AD38" s="17" t="n">
        <f aca="false">SQRT(($B38-AD$16)^2+($C38-AD$17)^2+($D38-AD$18)^2)</f>
        <v>3.00286414550209</v>
      </c>
      <c r="AE38" s="17" t="n">
        <f aca="false">SQRT(($B38-AE$16)^2+($C38-AE$17)^2+($D38-AE$18)^2)</f>
        <v>0.891139794655941</v>
      </c>
      <c r="AF38" s="63" t="n">
        <f aca="false">MATCH(MIN(AC38:AE38),AC38:AE38,0)</f>
        <v>3</v>
      </c>
      <c r="AH38" s="17" t="n">
        <f aca="false">SQRT(($B38-AH$16)^2+($C38-AH$17)^2+($D38-AH$18)^2)</f>
        <v>2.81954853000797</v>
      </c>
      <c r="AI38" s="17" t="n">
        <f aca="false">SQRT(($B38-AI$16)^2+($C38-AI$17)^2+($D38-AI$18)^2)</f>
        <v>2.88273948355486</v>
      </c>
      <c r="AJ38" s="17" t="n">
        <f aca="false">SQRT(($B38-AJ$16)^2+($C38-AJ$17)^2+($D38-AJ$18)^2)</f>
        <v>0.796926817057446</v>
      </c>
      <c r="AK38" s="63" t="n">
        <f aca="false">MATCH(MIN(AH38:AJ38),AH38:AJ38,0)</f>
        <v>3</v>
      </c>
      <c r="AM38" s="17" t="n">
        <f aca="false">SQRT(($B38-AM$16)^2+($C38-AM$17)^2+($D38-AM$18)^2)</f>
        <v>2.81954853000797</v>
      </c>
      <c r="AN38" s="17" t="n">
        <f aca="false">SQRT(($B38-AN$16)^2+($C38-AN$17)^2+($D38-AN$18)^2)</f>
        <v>2.86768196740736</v>
      </c>
      <c r="AO38" s="17" t="n">
        <f aca="false">SQRT(($B38-AO$16)^2+($C38-AO$17)^2+($D38-AO$18)^2)</f>
        <v>0.772988364150906</v>
      </c>
      <c r="AP38" s="63" t="n">
        <f aca="false">MATCH(MIN(AM38:AO38),AM38:AO38,0)</f>
        <v>3</v>
      </c>
      <c r="AR38" s="17" t="n">
        <f aca="false">SQRT(($B38-AR$16)^2+($C38-AR$17)^2+($D38-AR$18)^2)</f>
        <v>2.81954853000797</v>
      </c>
      <c r="AS38" s="17" t="n">
        <f aca="false">SQRT(($B38-AS$16)^2+($C38-AS$17)^2+($D38-AS$18)^2)</f>
        <v>2.86768196740736</v>
      </c>
      <c r="AT38" s="17" t="n">
        <f aca="false">SQRT(($B38-AT$16)^2+($C38-AT$17)^2+($D38-AT$18)^2)</f>
        <v>0.772988364150906</v>
      </c>
      <c r="AU38" s="63" t="n">
        <f aca="false">MATCH(MIN(AR38:AT38),AR38:AT38,0)</f>
        <v>3</v>
      </c>
      <c r="AW38" s="17" t="n">
        <f aca="false">SQRT(($B38-AW$16)^2+($C38-AW$17)^2+($D38-AW$18)^2)</f>
        <v>2.81954853000797</v>
      </c>
      <c r="AX38" s="17" t="n">
        <f aca="false">SQRT(($B38-AX$16)^2+($C38-AX$17)^2+($D38-AX$18)^2)</f>
        <v>2.86768196740736</v>
      </c>
      <c r="AY38" s="17" t="n">
        <f aca="false">SQRT(($B38-AY$16)^2+($C38-AY$17)^2+($D38-AY$18)^2)</f>
        <v>0.772988364150906</v>
      </c>
      <c r="AZ38" s="63" t="n">
        <f aca="false">MATCH(MIN(AW38:AY38),AW38:AY38,0)</f>
        <v>3</v>
      </c>
      <c r="BB38" s="17" t="n">
        <f aca="false">SQRT(($B38-BB$16)^2+($C38-BB$17)^2+($D38-BB$18)^2)</f>
        <v>2.81954853000797</v>
      </c>
      <c r="BC38" s="17" t="n">
        <f aca="false">SQRT(($B38-BC$16)^2+($C38-BC$17)^2+($D38-BC$18)^2)</f>
        <v>2.86768196740736</v>
      </c>
      <c r="BD38" s="17" t="n">
        <f aca="false">SQRT(($B38-BD$16)^2+($C38-BD$17)^2+($D38-BD$18)^2)</f>
        <v>0.772988364150906</v>
      </c>
      <c r="BE38" s="63" t="n">
        <f aca="false">MATCH(MIN(BB38:BD38),BB38:BD38,0)</f>
        <v>3</v>
      </c>
      <c r="BG38" s="17" t="n">
        <f aca="false">SQRT(($B38-BG$16)^2+($C38-BG$17)^2+($D38-BG$18)^2)</f>
        <v>2.81954853000797</v>
      </c>
      <c r="BH38" s="17" t="n">
        <f aca="false">SQRT(($B38-BH$16)^2+($C38-BH$17)^2+($D38-BH$18)^2)</f>
        <v>2.86768196740736</v>
      </c>
      <c r="BI38" s="17" t="n">
        <f aca="false">SQRT(($B38-BI$16)^2+($C38-BI$17)^2+($D38-BI$18)^2)</f>
        <v>0.772988364150906</v>
      </c>
      <c r="BJ38" s="63" t="n">
        <f aca="false">MATCH(MIN(BG38:BI38),BG38:BI38,0)</f>
        <v>3</v>
      </c>
      <c r="BL38" s="17" t="n">
        <f aca="false">SQRT(($B38-BL$16)^2+($C38-BL$17)^2+($D38-BL$18)^2)</f>
        <v>2.81954853000797</v>
      </c>
      <c r="BM38" s="17" t="n">
        <f aca="false">SQRT(($B38-BM$16)^2+($C38-BM$17)^2+($D38-BM$18)^2)</f>
        <v>2.86768196740736</v>
      </c>
      <c r="BN38" s="17" t="n">
        <f aca="false">SQRT(($B38-BN$16)^2+($C38-BN$17)^2+($D38-BN$18)^2)</f>
        <v>0.772988364150906</v>
      </c>
      <c r="BO38" s="63" t="n">
        <f aca="false">MATCH(MIN(BL38:BN38),BL38:BN38,0)</f>
        <v>3</v>
      </c>
      <c r="BQ38" s="17" t="n">
        <f aca="false">SQRT(($B38-BQ$16)^2+($C38-BQ$17)^2+($D38-BQ$18)^2)</f>
        <v>2.81954853000797</v>
      </c>
      <c r="BR38" s="17" t="n">
        <f aca="false">SQRT(($B38-BR$16)^2+($C38-BR$17)^2+($D38-BR$18)^2)</f>
        <v>2.86768196740736</v>
      </c>
      <c r="BS38" s="17" t="n">
        <f aca="false">SQRT(($B38-BS$16)^2+($C38-BS$17)^2+($D38-BS$18)^2)</f>
        <v>0.772988364150906</v>
      </c>
      <c r="BT38" s="63" t="n">
        <f aca="false">MATCH(MIN(BQ38:BS38),BQ38:BS38,0)</f>
        <v>3</v>
      </c>
      <c r="BV38" s="17" t="n">
        <f aca="false">SQRT(($B38-BV$16)^2+($C38-BV$17)^2+($D38-BV$18)^2)</f>
        <v>2.81954853000797</v>
      </c>
      <c r="BW38" s="17" t="n">
        <f aca="false">SQRT(($B38-BW$16)^2+($C38-BW$17)^2+($D38-BW$18)^2)</f>
        <v>2.86768196740736</v>
      </c>
      <c r="BX38" s="17" t="n">
        <f aca="false">SQRT(($B38-BX$16)^2+($C38-BX$17)^2+($D38-BX$18)^2)</f>
        <v>0.772988364150906</v>
      </c>
      <c r="BY38" s="63" t="n">
        <f aca="false">MATCH(MIN(BV38:BX38),BV38:BX38,0)</f>
        <v>3</v>
      </c>
      <c r="CA38" s="17" t="n">
        <f aca="false">SQRT(($B38-CA$16)^2+($C38-CA$17)^2+($D38-CA$18)^2)</f>
        <v>2.81954853000797</v>
      </c>
      <c r="CB38" s="17" t="n">
        <f aca="false">SQRT(($B38-CB$16)^2+($C38-CB$17)^2+($D38-CB$18)^2)</f>
        <v>2.86768196740736</v>
      </c>
      <c r="CC38" s="17" t="n">
        <f aca="false">SQRT(($B38-CC$16)^2+($C38-CC$17)^2+($D38-CC$18)^2)</f>
        <v>0.772988364150906</v>
      </c>
      <c r="CD38" s="63" t="n">
        <f aca="false">MATCH(MIN(CA38:CC38),CA38:CC38,0)</f>
        <v>3</v>
      </c>
    </row>
    <row r="39" customFormat="false" ht="15" hidden="false" customHeight="false" outlineLevel="0" collapsed="false">
      <c r="A39" s="36" t="str">
        <f aca="false">KMeans_Data!A21</f>
        <v>Khairpur</v>
      </c>
      <c r="B39" s="17" t="n">
        <f aca="false">KMeans_Data!H21</f>
        <v>0.88016218188859</v>
      </c>
      <c r="C39" s="17" t="n">
        <f aca="false">KMeans_Data!I21</f>
        <v>0.378684277529216</v>
      </c>
      <c r="D39" s="17" t="n">
        <f aca="false">KMeans_Data!J21</f>
        <v>1.58320837987195</v>
      </c>
      <c r="E39" s="63" t="n">
        <f aca="false">CD39</f>
        <v>3</v>
      </c>
      <c r="F39" s="38" t="n">
        <f aca="false">($B39-INDEX($L$16:$N$16,E39))^2+($C39-INDEX($L$17:$N$17,E39))^2+($D39-INDEX($L$18:$N$18,E39))^2</f>
        <v>0.90687283658627</v>
      </c>
      <c r="G39" s="12" t="str">
        <f aca="false">INDEX($M$5:$M$7,E39)</f>
        <v>Medium burden</v>
      </c>
      <c r="H39" s="17" t="n">
        <f aca="false">IF(COUNTIF(Distance_Matrix!$E$9:$DQ$9,$E39)&lt;=1,0,SUMIF(Distance_Matrix!$E$9:$DQ$9,$E39,Distance_Matrix!$E$30:$DQ$30)/(COUNTIF(Distance_Matrix!$E$9:$DQ$9,$E39)-1))</f>
        <v>1.26914908955801</v>
      </c>
      <c r="I39" s="17" t="n">
        <f aca="false">MIN(IF(1=$E39,1E+099,IF(COUNTIF(Distance_Matrix!$E$9:$DQ$9,1)=0,1E+099,SUMIF(Distance_Matrix!$E$9:$DQ$9,1,Distance_Matrix!$E$30:$DQ$30)/COUNTIF(Distance_Matrix!$E$9:$DQ$9,1))),IF(2=$E39,1E+099,IF(COUNTIF(Distance_Matrix!$E$9:$DQ$9,2)=0,1E+099,SUMIF(Distance_Matrix!$E$9:$DQ$9,2,Distance_Matrix!$E$30:$DQ$30)/COUNTIF(Distance_Matrix!$E$9:$DQ$9,2))),IF(3=$E39,1E+099,IF(COUNTIF(Distance_Matrix!$E$9:$DQ$9,3)=0,1E+099,SUMIF(Distance_Matrix!$E$9:$DQ$9,3,Distance_Matrix!$E$30:$DQ$30)/COUNTIF(Distance_Matrix!$E$9:$DQ$9,3))))</f>
        <v>3.00936449949432</v>
      </c>
      <c r="J39" s="17" t="n">
        <f aca="false">IF(COUNTIF(Distance_Matrix!$E$9:$DQ$9,$E39)&lt;=1,0,(I39-H39)/MAX(H39,I39))</f>
        <v>0.578266743768902</v>
      </c>
      <c r="X39" s="17" t="n">
        <f aca="false">SQRT(($B39-X$16)^2+($C39-X$17)^2+($D39-X$18)^2)</f>
        <v>4.68145377022651</v>
      </c>
      <c r="Y39" s="17" t="n">
        <f aca="false">SQRT(($B39-Y$16)^2+($C39-Y$17)^2+($D39-Y$18)^2)</f>
        <v>4.16088329984745</v>
      </c>
      <c r="Z39" s="17" t="n">
        <f aca="false">SQRT(($B39-Z$16)^2+($C39-Z$17)^2+($D39-Z$18)^2)</f>
        <v>0.193464640160583</v>
      </c>
      <c r="AA39" s="63" t="n">
        <f aca="false">MATCH(MIN(X39:Z39),X39:Z39,0)</f>
        <v>3</v>
      </c>
      <c r="AC39" s="17" t="n">
        <f aca="false">SQRT(($B39-AC$16)^2+($C39-AC$17)^2+($D39-AC$18)^2)</f>
        <v>3.78915517541273</v>
      </c>
      <c r="AD39" s="17" t="n">
        <f aca="false">SQRT(($B39-AD$16)^2+($C39-AD$17)^2+($D39-AD$18)^2)</f>
        <v>3.09120888131231</v>
      </c>
      <c r="AE39" s="17" t="n">
        <f aca="false">SQRT(($B39-AE$16)^2+($C39-AE$17)^2+($D39-AE$18)^2)</f>
        <v>1.06264280087874</v>
      </c>
      <c r="AF39" s="63" t="n">
        <f aca="false">MATCH(MIN(AC39:AE39),AC39:AE39,0)</f>
        <v>3</v>
      </c>
      <c r="AH39" s="17" t="n">
        <f aca="false">SQRT(($B39-AH$16)^2+($C39-AH$17)^2+($D39-AH$18)^2)</f>
        <v>3.17897866935769</v>
      </c>
      <c r="AI39" s="17" t="n">
        <f aca="false">SQRT(($B39-AI$16)^2+($C39-AI$17)^2+($D39-AI$18)^2)</f>
        <v>2.96721663808793</v>
      </c>
      <c r="AJ39" s="17" t="n">
        <f aca="false">SQRT(($B39-AJ$16)^2+($C39-AJ$17)^2+($D39-AJ$18)^2)</f>
        <v>0.969451942529264</v>
      </c>
      <c r="AK39" s="63" t="n">
        <f aca="false">MATCH(MIN(AH39:AJ39),AH39:AJ39,0)</f>
        <v>3</v>
      </c>
      <c r="AM39" s="17" t="n">
        <f aca="false">SQRT(($B39-AM$16)^2+($C39-AM$17)^2+($D39-AM$18)^2)</f>
        <v>3.17897866935769</v>
      </c>
      <c r="AN39" s="17" t="n">
        <f aca="false">SQRT(($B39-AN$16)^2+($C39-AN$17)^2+($D39-AN$18)^2)</f>
        <v>2.95148482734047</v>
      </c>
      <c r="AO39" s="17" t="n">
        <f aca="false">SQRT(($B39-AO$16)^2+($C39-AO$17)^2+($D39-AO$18)^2)</f>
        <v>0.952298711847427</v>
      </c>
      <c r="AP39" s="63" t="n">
        <f aca="false">MATCH(MIN(AM39:AO39),AM39:AO39,0)</f>
        <v>3</v>
      </c>
      <c r="AR39" s="17" t="n">
        <f aca="false">SQRT(($B39-AR$16)^2+($C39-AR$17)^2+($D39-AR$18)^2)</f>
        <v>3.17897866935769</v>
      </c>
      <c r="AS39" s="17" t="n">
        <f aca="false">SQRT(($B39-AS$16)^2+($C39-AS$17)^2+($D39-AS$18)^2)</f>
        <v>2.95148482734047</v>
      </c>
      <c r="AT39" s="17" t="n">
        <f aca="false">SQRT(($B39-AT$16)^2+($C39-AT$17)^2+($D39-AT$18)^2)</f>
        <v>0.952298711847427</v>
      </c>
      <c r="AU39" s="63" t="n">
        <f aca="false">MATCH(MIN(AR39:AT39),AR39:AT39,0)</f>
        <v>3</v>
      </c>
      <c r="AW39" s="17" t="n">
        <f aca="false">SQRT(($B39-AW$16)^2+($C39-AW$17)^2+($D39-AW$18)^2)</f>
        <v>3.17897866935769</v>
      </c>
      <c r="AX39" s="17" t="n">
        <f aca="false">SQRT(($B39-AX$16)^2+($C39-AX$17)^2+($D39-AX$18)^2)</f>
        <v>2.95148482734047</v>
      </c>
      <c r="AY39" s="17" t="n">
        <f aca="false">SQRT(($B39-AY$16)^2+($C39-AY$17)^2+($D39-AY$18)^2)</f>
        <v>0.952298711847427</v>
      </c>
      <c r="AZ39" s="63" t="n">
        <f aca="false">MATCH(MIN(AW39:AY39),AW39:AY39,0)</f>
        <v>3</v>
      </c>
      <c r="BB39" s="17" t="n">
        <f aca="false">SQRT(($B39-BB$16)^2+($C39-BB$17)^2+($D39-BB$18)^2)</f>
        <v>3.17897866935769</v>
      </c>
      <c r="BC39" s="17" t="n">
        <f aca="false">SQRT(($B39-BC$16)^2+($C39-BC$17)^2+($D39-BC$18)^2)</f>
        <v>2.95148482734047</v>
      </c>
      <c r="BD39" s="17" t="n">
        <f aca="false">SQRT(($B39-BD$16)^2+($C39-BD$17)^2+($D39-BD$18)^2)</f>
        <v>0.952298711847427</v>
      </c>
      <c r="BE39" s="63" t="n">
        <f aca="false">MATCH(MIN(BB39:BD39),BB39:BD39,0)</f>
        <v>3</v>
      </c>
      <c r="BG39" s="17" t="n">
        <f aca="false">SQRT(($B39-BG$16)^2+($C39-BG$17)^2+($D39-BG$18)^2)</f>
        <v>3.17897866935769</v>
      </c>
      <c r="BH39" s="17" t="n">
        <f aca="false">SQRT(($B39-BH$16)^2+($C39-BH$17)^2+($D39-BH$18)^2)</f>
        <v>2.95148482734047</v>
      </c>
      <c r="BI39" s="17" t="n">
        <f aca="false">SQRT(($B39-BI$16)^2+($C39-BI$17)^2+($D39-BI$18)^2)</f>
        <v>0.952298711847427</v>
      </c>
      <c r="BJ39" s="63" t="n">
        <f aca="false">MATCH(MIN(BG39:BI39),BG39:BI39,0)</f>
        <v>3</v>
      </c>
      <c r="BL39" s="17" t="n">
        <f aca="false">SQRT(($B39-BL$16)^2+($C39-BL$17)^2+($D39-BL$18)^2)</f>
        <v>3.17897866935769</v>
      </c>
      <c r="BM39" s="17" t="n">
        <f aca="false">SQRT(($B39-BM$16)^2+($C39-BM$17)^2+($D39-BM$18)^2)</f>
        <v>2.95148482734047</v>
      </c>
      <c r="BN39" s="17" t="n">
        <f aca="false">SQRT(($B39-BN$16)^2+($C39-BN$17)^2+($D39-BN$18)^2)</f>
        <v>0.952298711847427</v>
      </c>
      <c r="BO39" s="63" t="n">
        <f aca="false">MATCH(MIN(BL39:BN39),BL39:BN39,0)</f>
        <v>3</v>
      </c>
      <c r="BQ39" s="17" t="n">
        <f aca="false">SQRT(($B39-BQ$16)^2+($C39-BQ$17)^2+($D39-BQ$18)^2)</f>
        <v>3.17897866935769</v>
      </c>
      <c r="BR39" s="17" t="n">
        <f aca="false">SQRT(($B39-BR$16)^2+($C39-BR$17)^2+($D39-BR$18)^2)</f>
        <v>2.95148482734047</v>
      </c>
      <c r="BS39" s="17" t="n">
        <f aca="false">SQRT(($B39-BS$16)^2+($C39-BS$17)^2+($D39-BS$18)^2)</f>
        <v>0.952298711847427</v>
      </c>
      <c r="BT39" s="63" t="n">
        <f aca="false">MATCH(MIN(BQ39:BS39),BQ39:BS39,0)</f>
        <v>3</v>
      </c>
      <c r="BV39" s="17" t="n">
        <f aca="false">SQRT(($B39-BV$16)^2+($C39-BV$17)^2+($D39-BV$18)^2)</f>
        <v>3.17897866935769</v>
      </c>
      <c r="BW39" s="17" t="n">
        <f aca="false">SQRT(($B39-BW$16)^2+($C39-BW$17)^2+($D39-BW$18)^2)</f>
        <v>2.95148482734047</v>
      </c>
      <c r="BX39" s="17" t="n">
        <f aca="false">SQRT(($B39-BX$16)^2+($C39-BX$17)^2+($D39-BX$18)^2)</f>
        <v>0.952298711847427</v>
      </c>
      <c r="BY39" s="63" t="n">
        <f aca="false">MATCH(MIN(BV39:BX39),BV39:BX39,0)</f>
        <v>3</v>
      </c>
      <c r="CA39" s="17" t="n">
        <f aca="false">SQRT(($B39-CA$16)^2+($C39-CA$17)^2+($D39-CA$18)^2)</f>
        <v>3.17897866935769</v>
      </c>
      <c r="CB39" s="17" t="n">
        <f aca="false">SQRT(($B39-CB$16)^2+($C39-CB$17)^2+($D39-CB$18)^2)</f>
        <v>2.95148482734047</v>
      </c>
      <c r="CC39" s="17" t="n">
        <f aca="false">SQRT(($B39-CC$16)^2+($C39-CC$17)^2+($D39-CC$18)^2)</f>
        <v>0.952298711847427</v>
      </c>
      <c r="CD39" s="63" t="n">
        <f aca="false">MATCH(MIN(CA39:CC39),CA39:CC39,0)</f>
        <v>3</v>
      </c>
    </row>
    <row r="40" customFormat="false" ht="15" hidden="false" customHeight="false" outlineLevel="0" collapsed="false">
      <c r="A40" s="36" t="str">
        <f aca="false">KMeans_Data!A22</f>
        <v>Abbottabad</v>
      </c>
      <c r="B40" s="17" t="n">
        <f aca="false">KMeans_Data!H22</f>
        <v>0.853001062018471</v>
      </c>
      <c r="C40" s="17" t="n">
        <f aca="false">KMeans_Data!I22</f>
        <v>1.38107452085777</v>
      </c>
      <c r="D40" s="17" t="n">
        <f aca="false">KMeans_Data!J22</f>
        <v>0.618328666074444</v>
      </c>
      <c r="E40" s="63" t="n">
        <f aca="false">CD40</f>
        <v>3</v>
      </c>
      <c r="F40" s="38" t="n">
        <f aca="false">($B40-INDEX($L$16:$N$16,E40))^2+($C40-INDEX($L$17:$N$17,E40))^2+($D40-INDEX($L$18:$N$18,E40))^2</f>
        <v>1.00864644345125</v>
      </c>
      <c r="G40" s="12" t="str">
        <f aca="false">INDEX($M$5:$M$7,E40)</f>
        <v>Medium burden</v>
      </c>
      <c r="H40" s="17" t="n">
        <f aca="false">IF(COUNTIF(Distance_Matrix!$E$9:$DQ$9,$E40)&lt;=1,0,SUMIF(Distance_Matrix!$E$9:$DQ$9,$E40,Distance_Matrix!$E$31:$DQ$31)/(COUNTIF(Distance_Matrix!$E$9:$DQ$9,$E40)-1))</f>
        <v>1.26749947335506</v>
      </c>
      <c r="I40" s="17" t="n">
        <f aca="false">MIN(IF(1=$E40,1E+099,IF(COUNTIF(Distance_Matrix!$E$9:$DQ$9,1)=0,1E+099,SUMIF(Distance_Matrix!$E$9:$DQ$9,1,Distance_Matrix!$E$31:$DQ$31)/COUNTIF(Distance_Matrix!$E$9:$DQ$9,1))),IF(2=$E40,1E+099,IF(COUNTIF(Distance_Matrix!$E$9:$DQ$9,2)=0,1E+099,SUMIF(Distance_Matrix!$E$9:$DQ$9,2,Distance_Matrix!$E$31:$DQ$31)/COUNTIF(Distance_Matrix!$E$9:$DQ$9,2))),IF(3=$E40,1E+099,IF(COUNTIF(Distance_Matrix!$E$9:$DQ$9,3)=0,1E+099,SUMIF(Distance_Matrix!$E$9:$DQ$9,3,Distance_Matrix!$E$31:$DQ$31)/COUNTIF(Distance_Matrix!$E$9:$DQ$9,3))))</f>
        <v>2.86147400438523</v>
      </c>
      <c r="J40" s="17" t="n">
        <f aca="false">IF(COUNTIF(Distance_Matrix!$E$9:$DQ$9,$E40)&lt;=1,0,(I40-H40)/MAX(H40,I40))</f>
        <v>0.557046657976762</v>
      </c>
      <c r="X40" s="17" t="n">
        <f aca="false">SQRT(($B40-X$16)^2+($C40-X$17)^2+($D40-X$18)^2)</f>
        <v>4.45718422157071</v>
      </c>
      <c r="Y40" s="17" t="n">
        <f aca="false">SQRT(($B40-Y$16)^2+($C40-Y$17)^2+($D40-Y$18)^2)</f>
        <v>3.99128361858191</v>
      </c>
      <c r="Z40" s="17" t="n">
        <f aca="false">SQRT(($B40-Z$16)^2+($C40-Z$17)^2+($D40-Z$18)^2)</f>
        <v>1.32845751007486</v>
      </c>
      <c r="AA40" s="63" t="n">
        <f aca="false">MATCH(MIN(X40:Z40),X40:Z40,0)</f>
        <v>3</v>
      </c>
      <c r="AC40" s="17" t="n">
        <f aca="false">SQRT(($B40-AC$16)^2+($C40-AC$17)^2+($D40-AC$18)^2)</f>
        <v>3.44361130184571</v>
      </c>
      <c r="AD40" s="17" t="n">
        <f aca="false">SQRT(($B40-AD$16)^2+($C40-AD$17)^2+($D40-AD$18)^2)</f>
        <v>2.96680100066788</v>
      </c>
      <c r="AE40" s="17" t="n">
        <f aca="false">SQRT(($B40-AE$16)^2+($C40-AE$17)^2+($D40-AE$18)^2)</f>
        <v>1.08659638704847</v>
      </c>
      <c r="AF40" s="63" t="n">
        <f aca="false">MATCH(MIN(AC40:AE40),AC40:AE40,0)</f>
        <v>3</v>
      </c>
      <c r="AH40" s="17" t="n">
        <f aca="false">SQRT(($B40-AH$16)^2+($C40-AH$17)^2+($D40-AH$18)^2)</f>
        <v>2.81271904886474</v>
      </c>
      <c r="AI40" s="17" t="n">
        <f aca="false">SQRT(($B40-AI$16)^2+($C40-AI$17)^2+($D40-AI$18)^2)</f>
        <v>2.85781869360441</v>
      </c>
      <c r="AJ40" s="17" t="n">
        <f aca="false">SQRT(($B40-AJ$16)^2+($C40-AJ$17)^2+($D40-AJ$18)^2)</f>
        <v>1.02091440268426</v>
      </c>
      <c r="AK40" s="63" t="n">
        <f aca="false">MATCH(MIN(AH40:AJ40),AH40:AJ40,0)</f>
        <v>3</v>
      </c>
      <c r="AM40" s="17" t="n">
        <f aca="false">SQRT(($B40-AM$16)^2+($C40-AM$17)^2+($D40-AM$18)^2)</f>
        <v>2.81271904886474</v>
      </c>
      <c r="AN40" s="17" t="n">
        <f aca="false">SQRT(($B40-AN$16)^2+($C40-AN$17)^2+($D40-AN$18)^2)</f>
        <v>2.84363431970335</v>
      </c>
      <c r="AO40" s="17" t="n">
        <f aca="false">SQRT(($B40-AO$16)^2+($C40-AO$17)^2+($D40-AO$18)^2)</f>
        <v>1.0043139167866</v>
      </c>
      <c r="AP40" s="63" t="n">
        <f aca="false">MATCH(MIN(AM40:AO40),AM40:AO40,0)</f>
        <v>3</v>
      </c>
      <c r="AR40" s="17" t="n">
        <f aca="false">SQRT(($B40-AR$16)^2+($C40-AR$17)^2+($D40-AR$18)^2)</f>
        <v>2.81271904886474</v>
      </c>
      <c r="AS40" s="17" t="n">
        <f aca="false">SQRT(($B40-AS$16)^2+($C40-AS$17)^2+($D40-AS$18)^2)</f>
        <v>2.84363431970335</v>
      </c>
      <c r="AT40" s="17" t="n">
        <f aca="false">SQRT(($B40-AT$16)^2+($C40-AT$17)^2+($D40-AT$18)^2)</f>
        <v>1.0043139167866</v>
      </c>
      <c r="AU40" s="63" t="n">
        <f aca="false">MATCH(MIN(AR40:AT40),AR40:AT40,0)</f>
        <v>3</v>
      </c>
      <c r="AW40" s="17" t="n">
        <f aca="false">SQRT(($B40-AW$16)^2+($C40-AW$17)^2+($D40-AW$18)^2)</f>
        <v>2.81271904886474</v>
      </c>
      <c r="AX40" s="17" t="n">
        <f aca="false">SQRT(($B40-AX$16)^2+($C40-AX$17)^2+($D40-AX$18)^2)</f>
        <v>2.84363431970335</v>
      </c>
      <c r="AY40" s="17" t="n">
        <f aca="false">SQRT(($B40-AY$16)^2+($C40-AY$17)^2+($D40-AY$18)^2)</f>
        <v>1.0043139167866</v>
      </c>
      <c r="AZ40" s="63" t="n">
        <f aca="false">MATCH(MIN(AW40:AY40),AW40:AY40,0)</f>
        <v>3</v>
      </c>
      <c r="BB40" s="17" t="n">
        <f aca="false">SQRT(($B40-BB$16)^2+($C40-BB$17)^2+($D40-BB$18)^2)</f>
        <v>2.81271904886474</v>
      </c>
      <c r="BC40" s="17" t="n">
        <f aca="false">SQRT(($B40-BC$16)^2+($C40-BC$17)^2+($D40-BC$18)^2)</f>
        <v>2.84363431970335</v>
      </c>
      <c r="BD40" s="17" t="n">
        <f aca="false">SQRT(($B40-BD$16)^2+($C40-BD$17)^2+($D40-BD$18)^2)</f>
        <v>1.0043139167866</v>
      </c>
      <c r="BE40" s="63" t="n">
        <f aca="false">MATCH(MIN(BB40:BD40),BB40:BD40,0)</f>
        <v>3</v>
      </c>
      <c r="BG40" s="17" t="n">
        <f aca="false">SQRT(($B40-BG$16)^2+($C40-BG$17)^2+($D40-BG$18)^2)</f>
        <v>2.81271904886474</v>
      </c>
      <c r="BH40" s="17" t="n">
        <f aca="false">SQRT(($B40-BH$16)^2+($C40-BH$17)^2+($D40-BH$18)^2)</f>
        <v>2.84363431970335</v>
      </c>
      <c r="BI40" s="17" t="n">
        <f aca="false">SQRT(($B40-BI$16)^2+($C40-BI$17)^2+($D40-BI$18)^2)</f>
        <v>1.0043139167866</v>
      </c>
      <c r="BJ40" s="63" t="n">
        <f aca="false">MATCH(MIN(BG40:BI40),BG40:BI40,0)</f>
        <v>3</v>
      </c>
      <c r="BL40" s="17" t="n">
        <f aca="false">SQRT(($B40-BL$16)^2+($C40-BL$17)^2+($D40-BL$18)^2)</f>
        <v>2.81271904886474</v>
      </c>
      <c r="BM40" s="17" t="n">
        <f aca="false">SQRT(($B40-BM$16)^2+($C40-BM$17)^2+($D40-BM$18)^2)</f>
        <v>2.84363431970335</v>
      </c>
      <c r="BN40" s="17" t="n">
        <f aca="false">SQRT(($B40-BN$16)^2+($C40-BN$17)^2+($D40-BN$18)^2)</f>
        <v>1.0043139167866</v>
      </c>
      <c r="BO40" s="63" t="n">
        <f aca="false">MATCH(MIN(BL40:BN40),BL40:BN40,0)</f>
        <v>3</v>
      </c>
      <c r="BQ40" s="17" t="n">
        <f aca="false">SQRT(($B40-BQ$16)^2+($C40-BQ$17)^2+($D40-BQ$18)^2)</f>
        <v>2.81271904886474</v>
      </c>
      <c r="BR40" s="17" t="n">
        <f aca="false">SQRT(($B40-BR$16)^2+($C40-BR$17)^2+($D40-BR$18)^2)</f>
        <v>2.84363431970335</v>
      </c>
      <c r="BS40" s="17" t="n">
        <f aca="false">SQRT(($B40-BS$16)^2+($C40-BS$17)^2+($D40-BS$18)^2)</f>
        <v>1.0043139167866</v>
      </c>
      <c r="BT40" s="63" t="n">
        <f aca="false">MATCH(MIN(BQ40:BS40),BQ40:BS40,0)</f>
        <v>3</v>
      </c>
      <c r="BV40" s="17" t="n">
        <f aca="false">SQRT(($B40-BV$16)^2+($C40-BV$17)^2+($D40-BV$18)^2)</f>
        <v>2.81271904886474</v>
      </c>
      <c r="BW40" s="17" t="n">
        <f aca="false">SQRT(($B40-BW$16)^2+($C40-BW$17)^2+($D40-BW$18)^2)</f>
        <v>2.84363431970335</v>
      </c>
      <c r="BX40" s="17" t="n">
        <f aca="false">SQRT(($B40-BX$16)^2+($C40-BX$17)^2+($D40-BX$18)^2)</f>
        <v>1.0043139167866</v>
      </c>
      <c r="BY40" s="63" t="n">
        <f aca="false">MATCH(MIN(BV40:BX40),BV40:BX40,0)</f>
        <v>3</v>
      </c>
      <c r="CA40" s="17" t="n">
        <f aca="false">SQRT(($B40-CA$16)^2+($C40-CA$17)^2+($D40-CA$18)^2)</f>
        <v>2.81271904886474</v>
      </c>
      <c r="CB40" s="17" t="n">
        <f aca="false">SQRT(($B40-CB$16)^2+($C40-CB$17)^2+($D40-CB$18)^2)</f>
        <v>2.84363431970335</v>
      </c>
      <c r="CC40" s="17" t="n">
        <f aca="false">SQRT(($B40-CC$16)^2+($C40-CC$17)^2+($D40-CC$18)^2)</f>
        <v>1.0043139167866</v>
      </c>
      <c r="CD40" s="63" t="n">
        <f aca="false">MATCH(MIN(CA40:CC40),CA40:CC40,0)</f>
        <v>3</v>
      </c>
    </row>
    <row r="41" customFormat="false" ht="15" hidden="false" customHeight="false" outlineLevel="0" collapsed="false">
      <c r="A41" s="36" t="str">
        <f aca="false">KMeans_Data!A23</f>
        <v>Nowshera</v>
      </c>
      <c r="B41" s="17" t="n">
        <f aca="false">KMeans_Data!H23</f>
        <v>0.851138913278639</v>
      </c>
      <c r="C41" s="17" t="n">
        <f aca="false">KMeans_Data!I23</f>
        <v>1.38107452085777</v>
      </c>
      <c r="D41" s="17" t="n">
        <f aca="false">KMeans_Data!J23</f>
        <v>0.934349160614903</v>
      </c>
      <c r="E41" s="63" t="n">
        <f aca="false">CD41</f>
        <v>3</v>
      </c>
      <c r="F41" s="38" t="n">
        <f aca="false">($B41-INDEX($L$16:$N$16,E41))^2+($C41-INDEX($L$17:$N$17,E41))^2+($D41-INDEX($L$18:$N$18,E41))^2</f>
        <v>1.05518364897764</v>
      </c>
      <c r="G41" s="12" t="str">
        <f aca="false">INDEX($M$5:$M$7,E41)</f>
        <v>Medium burden</v>
      </c>
      <c r="H41" s="17" t="n">
        <f aca="false">IF(COUNTIF(Distance_Matrix!$E$9:$DQ$9,$E41)&lt;=1,0,SUMIF(Distance_Matrix!$E$9:$DQ$9,$E41,Distance_Matrix!$E$32:$DQ$32)/(COUNTIF(Distance_Matrix!$E$9:$DQ$9,$E41)-1))</f>
        <v>1.26597855533653</v>
      </c>
      <c r="I41" s="17" t="n">
        <f aca="false">MIN(IF(1=$E41,1E+099,IF(COUNTIF(Distance_Matrix!$E$9:$DQ$9,1)=0,1E+099,SUMIF(Distance_Matrix!$E$9:$DQ$9,1,Distance_Matrix!$E$32:$DQ$32)/COUNTIF(Distance_Matrix!$E$9:$DQ$9,1))),IF(2=$E41,1E+099,IF(COUNTIF(Distance_Matrix!$E$9:$DQ$9,2)=0,1E+099,SUMIF(Distance_Matrix!$E$9:$DQ$9,2,Distance_Matrix!$E$32:$DQ$32)/COUNTIF(Distance_Matrix!$E$9:$DQ$9,2))),IF(3=$E41,1E+099,IF(COUNTIF(Distance_Matrix!$E$9:$DQ$9,3)=0,1E+099,SUMIF(Distance_Matrix!$E$9:$DQ$9,3,Distance_Matrix!$E$32:$DQ$32)/COUNTIF(Distance_Matrix!$E$9:$DQ$9,3))))</f>
        <v>2.70142148053083</v>
      </c>
      <c r="J41" s="17" t="n">
        <f aca="false">IF(COUNTIF(Distance_Matrix!$E$9:$DQ$9,$E41)&lt;=1,0,(I41-H41)/MAX(H41,I41))</f>
        <v>0.531365777439598</v>
      </c>
      <c r="X41" s="17" t="n">
        <f aca="false">SQRT(($B41-X$16)^2+($C41-X$17)^2+($D41-X$18)^2)</f>
        <v>4.2790585979296</v>
      </c>
      <c r="Y41" s="17" t="n">
        <f aca="false">SQRT(($B41-Y$16)^2+($C41-Y$17)^2+($D41-Y$18)^2)</f>
        <v>4.13934753964962</v>
      </c>
      <c r="Z41" s="17" t="n">
        <f aca="false">SQRT(($B41-Z$16)^2+($C41-Z$17)^2+($D41-Z$18)^2)</f>
        <v>1.15187297768961</v>
      </c>
      <c r="AA41" s="63" t="n">
        <f aca="false">MATCH(MIN(X41:Z41),X41:Z41,0)</f>
        <v>3</v>
      </c>
      <c r="AC41" s="17" t="n">
        <f aca="false">SQRT(($B41-AC$16)^2+($C41-AC$17)^2+($D41-AC$18)^2)</f>
        <v>3.28404199775438</v>
      </c>
      <c r="AD41" s="17" t="n">
        <f aca="false">SQRT(($B41-AD$16)^2+($C41-AD$17)^2+($D41-AD$18)^2)</f>
        <v>3.13191544436857</v>
      </c>
      <c r="AE41" s="17" t="n">
        <f aca="false">SQRT(($B41-AE$16)^2+($C41-AE$17)^2+($D41-AE$18)^2)</f>
        <v>1.13954874813351</v>
      </c>
      <c r="AF41" s="63" t="n">
        <f aca="false">MATCH(MIN(AC41:AE41),AC41:AE41,0)</f>
        <v>3</v>
      </c>
      <c r="AH41" s="17" t="n">
        <f aca="false">SQRT(($B41-AH$16)^2+($C41-AH$17)^2+($D41-AH$18)^2)</f>
        <v>2.65136135925988</v>
      </c>
      <c r="AI41" s="17" t="n">
        <f aca="false">SQRT(($B41-AI$16)^2+($C41-AI$17)^2+($D41-AI$18)^2)</f>
        <v>3.02158405432658</v>
      </c>
      <c r="AJ41" s="17" t="n">
        <f aca="false">SQRT(($B41-AJ$16)^2+($C41-AJ$17)^2+($D41-AJ$18)^2)</f>
        <v>1.04688928540534</v>
      </c>
      <c r="AK41" s="63" t="n">
        <f aca="false">MATCH(MIN(AH41:AJ41),AH41:AJ41,0)</f>
        <v>3</v>
      </c>
      <c r="AM41" s="17" t="n">
        <f aca="false">SQRT(($B41-AM$16)^2+($C41-AM$17)^2+($D41-AM$18)^2)</f>
        <v>2.65136135925988</v>
      </c>
      <c r="AN41" s="17" t="n">
        <f aca="false">SQRT(($B41-AN$16)^2+($C41-AN$17)^2+($D41-AN$18)^2)</f>
        <v>3.00668151170861</v>
      </c>
      <c r="AO41" s="17" t="n">
        <f aca="false">SQRT(($B41-AO$16)^2+($C41-AO$17)^2+($D41-AO$18)^2)</f>
        <v>1.02722132424207</v>
      </c>
      <c r="AP41" s="63" t="n">
        <f aca="false">MATCH(MIN(AM41:AO41),AM41:AO41,0)</f>
        <v>3</v>
      </c>
      <c r="AR41" s="17" t="n">
        <f aca="false">SQRT(($B41-AR$16)^2+($C41-AR$17)^2+($D41-AR$18)^2)</f>
        <v>2.65136135925988</v>
      </c>
      <c r="AS41" s="17" t="n">
        <f aca="false">SQRT(($B41-AS$16)^2+($C41-AS$17)^2+($D41-AS$18)^2)</f>
        <v>3.00668151170861</v>
      </c>
      <c r="AT41" s="17" t="n">
        <f aca="false">SQRT(($B41-AT$16)^2+($C41-AT$17)^2+($D41-AT$18)^2)</f>
        <v>1.02722132424207</v>
      </c>
      <c r="AU41" s="63" t="n">
        <f aca="false">MATCH(MIN(AR41:AT41),AR41:AT41,0)</f>
        <v>3</v>
      </c>
      <c r="AW41" s="17" t="n">
        <f aca="false">SQRT(($B41-AW$16)^2+($C41-AW$17)^2+($D41-AW$18)^2)</f>
        <v>2.65136135925988</v>
      </c>
      <c r="AX41" s="17" t="n">
        <f aca="false">SQRT(($B41-AX$16)^2+($C41-AX$17)^2+($D41-AX$18)^2)</f>
        <v>3.00668151170861</v>
      </c>
      <c r="AY41" s="17" t="n">
        <f aca="false">SQRT(($B41-AY$16)^2+($C41-AY$17)^2+($D41-AY$18)^2)</f>
        <v>1.02722132424207</v>
      </c>
      <c r="AZ41" s="63" t="n">
        <f aca="false">MATCH(MIN(AW41:AY41),AW41:AY41,0)</f>
        <v>3</v>
      </c>
      <c r="BB41" s="17" t="n">
        <f aca="false">SQRT(($B41-BB$16)^2+($C41-BB$17)^2+($D41-BB$18)^2)</f>
        <v>2.65136135925988</v>
      </c>
      <c r="BC41" s="17" t="n">
        <f aca="false">SQRT(($B41-BC$16)^2+($C41-BC$17)^2+($D41-BC$18)^2)</f>
        <v>3.00668151170861</v>
      </c>
      <c r="BD41" s="17" t="n">
        <f aca="false">SQRT(($B41-BD$16)^2+($C41-BD$17)^2+($D41-BD$18)^2)</f>
        <v>1.02722132424207</v>
      </c>
      <c r="BE41" s="63" t="n">
        <f aca="false">MATCH(MIN(BB41:BD41),BB41:BD41,0)</f>
        <v>3</v>
      </c>
      <c r="BG41" s="17" t="n">
        <f aca="false">SQRT(($B41-BG$16)^2+($C41-BG$17)^2+($D41-BG$18)^2)</f>
        <v>2.65136135925988</v>
      </c>
      <c r="BH41" s="17" t="n">
        <f aca="false">SQRT(($B41-BH$16)^2+($C41-BH$17)^2+($D41-BH$18)^2)</f>
        <v>3.00668151170861</v>
      </c>
      <c r="BI41" s="17" t="n">
        <f aca="false">SQRT(($B41-BI$16)^2+($C41-BI$17)^2+($D41-BI$18)^2)</f>
        <v>1.02722132424207</v>
      </c>
      <c r="BJ41" s="63" t="n">
        <f aca="false">MATCH(MIN(BG41:BI41),BG41:BI41,0)</f>
        <v>3</v>
      </c>
      <c r="BL41" s="17" t="n">
        <f aca="false">SQRT(($B41-BL$16)^2+($C41-BL$17)^2+($D41-BL$18)^2)</f>
        <v>2.65136135925988</v>
      </c>
      <c r="BM41" s="17" t="n">
        <f aca="false">SQRT(($B41-BM$16)^2+($C41-BM$17)^2+($D41-BM$18)^2)</f>
        <v>3.00668151170861</v>
      </c>
      <c r="BN41" s="17" t="n">
        <f aca="false">SQRT(($B41-BN$16)^2+($C41-BN$17)^2+($D41-BN$18)^2)</f>
        <v>1.02722132424207</v>
      </c>
      <c r="BO41" s="63" t="n">
        <f aca="false">MATCH(MIN(BL41:BN41),BL41:BN41,0)</f>
        <v>3</v>
      </c>
      <c r="BQ41" s="17" t="n">
        <f aca="false">SQRT(($B41-BQ$16)^2+($C41-BQ$17)^2+($D41-BQ$18)^2)</f>
        <v>2.65136135925988</v>
      </c>
      <c r="BR41" s="17" t="n">
        <f aca="false">SQRT(($B41-BR$16)^2+($C41-BR$17)^2+($D41-BR$18)^2)</f>
        <v>3.00668151170861</v>
      </c>
      <c r="BS41" s="17" t="n">
        <f aca="false">SQRT(($B41-BS$16)^2+($C41-BS$17)^2+($D41-BS$18)^2)</f>
        <v>1.02722132424207</v>
      </c>
      <c r="BT41" s="63" t="n">
        <f aca="false">MATCH(MIN(BQ41:BS41),BQ41:BS41,0)</f>
        <v>3</v>
      </c>
      <c r="BV41" s="17" t="n">
        <f aca="false">SQRT(($B41-BV$16)^2+($C41-BV$17)^2+($D41-BV$18)^2)</f>
        <v>2.65136135925988</v>
      </c>
      <c r="BW41" s="17" t="n">
        <f aca="false">SQRT(($B41-BW$16)^2+($C41-BW$17)^2+($D41-BW$18)^2)</f>
        <v>3.00668151170861</v>
      </c>
      <c r="BX41" s="17" t="n">
        <f aca="false">SQRT(($B41-BX$16)^2+($C41-BX$17)^2+($D41-BX$18)^2)</f>
        <v>1.02722132424207</v>
      </c>
      <c r="BY41" s="63" t="n">
        <f aca="false">MATCH(MIN(BV41:BX41),BV41:BX41,0)</f>
        <v>3</v>
      </c>
      <c r="CA41" s="17" t="n">
        <f aca="false">SQRT(($B41-CA$16)^2+($C41-CA$17)^2+($D41-CA$18)^2)</f>
        <v>2.65136135925988</v>
      </c>
      <c r="CB41" s="17" t="n">
        <f aca="false">SQRT(($B41-CB$16)^2+($C41-CB$17)^2+($D41-CB$18)^2)</f>
        <v>3.00668151170861</v>
      </c>
      <c r="CC41" s="17" t="n">
        <f aca="false">SQRT(($B41-CC$16)^2+($C41-CC$17)^2+($D41-CC$18)^2)</f>
        <v>1.02722132424207</v>
      </c>
      <c r="CD41" s="63" t="n">
        <f aca="false">MATCH(MIN(CA41:CC41),CA41:CC41,0)</f>
        <v>3</v>
      </c>
    </row>
    <row r="42" customFormat="false" ht="15" hidden="false" customHeight="false" outlineLevel="0" collapsed="false">
      <c r="A42" s="36" t="str">
        <f aca="false">KMeans_Data!A24</f>
        <v>Muzaffarabad</v>
      </c>
      <c r="B42" s="17" t="n">
        <f aca="false">KMeans_Data!H24</f>
        <v>0.841726902407959</v>
      </c>
      <c r="C42" s="17" t="n">
        <f aca="false">KMeans_Data!I24</f>
        <v>0.803084449535714</v>
      </c>
      <c r="D42" s="17" t="n">
        <f aca="false">KMeans_Data!J24</f>
        <v>1.03670935350208</v>
      </c>
      <c r="E42" s="63" t="n">
        <f aca="false">CD42</f>
        <v>3</v>
      </c>
      <c r="F42" s="38" t="n">
        <f aca="false">($B42-INDEX($L$16:$N$16,E42))^2+($C42-INDEX($L$17:$N$17,E42))^2+($D42-INDEX($L$18:$N$18,E42))^2</f>
        <v>0.347755240239849</v>
      </c>
      <c r="G42" s="12" t="str">
        <f aca="false">INDEX($M$5:$M$7,E42)</f>
        <v>Medium burden</v>
      </c>
      <c r="H42" s="17" t="n">
        <f aca="false">IF(COUNTIF(Distance_Matrix!$E$9:$DQ$9,$E42)&lt;=1,0,SUMIF(Distance_Matrix!$E$9:$DQ$9,$E42,Distance_Matrix!$E$33:$DQ$33)/(COUNTIF(Distance_Matrix!$E$9:$DQ$9,$E42)-1))</f>
        <v>1.01069998834577</v>
      </c>
      <c r="I42" s="17" t="n">
        <f aca="false">MIN(IF(1=$E42,1E+099,IF(COUNTIF(Distance_Matrix!$E$9:$DQ$9,1)=0,1E+099,SUMIF(Distance_Matrix!$E$9:$DQ$9,1,Distance_Matrix!$E$33:$DQ$33)/COUNTIF(Distance_Matrix!$E$9:$DQ$9,1))),IF(2=$E42,1E+099,IF(COUNTIF(Distance_Matrix!$E$9:$DQ$9,2)=0,1E+099,SUMIF(Distance_Matrix!$E$9:$DQ$9,2,Distance_Matrix!$E$33:$DQ$33)/COUNTIF(Distance_Matrix!$E$9:$DQ$9,2))),IF(3=$E42,1E+099,IF(COUNTIF(Distance_Matrix!$E$9:$DQ$9,3)=0,1E+099,SUMIF(Distance_Matrix!$E$9:$DQ$9,3,Distance_Matrix!$E$33:$DQ$33)/COUNTIF(Distance_Matrix!$E$9:$DQ$9,3))))</f>
        <v>2.78673223341231</v>
      </c>
      <c r="J42" s="17" t="n">
        <f aca="false">IF(COUNTIF(Distance_Matrix!$E$9:$DQ$9,$E42)&lt;=1,0,(I42-H42)/MAX(H42,I42))</f>
        <v>0.637317150091529</v>
      </c>
      <c r="X42" s="17" t="n">
        <f aca="false">SQRT(($B42-X$16)^2+($C42-X$17)^2+($D42-X$18)^2)</f>
        <v>4.61500990770194</v>
      </c>
      <c r="Y42" s="17" t="n">
        <f aca="false">SQRT(($B42-Y$16)^2+($C42-Y$17)^2+($D42-Y$18)^2)</f>
        <v>3.93388071911523</v>
      </c>
      <c r="Z42" s="17" t="n">
        <f aca="false">SQRT(($B42-Z$16)^2+($C42-Z$17)^2+($D42-Z$18)^2)</f>
        <v>0.637550286444693</v>
      </c>
      <c r="AA42" s="63" t="n">
        <f aca="false">MATCH(MIN(X42:Z42),X42:Z42,0)</f>
        <v>3</v>
      </c>
      <c r="AC42" s="17" t="n">
        <f aca="false">SQRT(($B42-AC$16)^2+($C42-AC$17)^2+($D42-AC$18)^2)</f>
        <v>3.64870228573814</v>
      </c>
      <c r="AD42" s="17" t="n">
        <f aca="false">SQRT(($B42-AD$16)^2+($C42-AD$17)^2+($D42-AD$18)^2)</f>
        <v>2.85364334535435</v>
      </c>
      <c r="AE42" s="17" t="n">
        <f aca="false">SQRT(($B42-AE$16)^2+($C42-AE$17)^2+($D42-AE$18)^2)</f>
        <v>0.718809841066815</v>
      </c>
      <c r="AF42" s="63" t="n">
        <f aca="false">MATCH(MIN(AC42:AE42),AC42:AE42,0)</f>
        <v>3</v>
      </c>
      <c r="AH42" s="17" t="n">
        <f aca="false">SQRT(($B42-AH$16)^2+($C42-AH$17)^2+($D42-AH$18)^2)</f>
        <v>3.01470184136668</v>
      </c>
      <c r="AI42" s="17" t="n">
        <f aca="false">SQRT(($B42-AI$16)^2+($C42-AI$17)^2+($D42-AI$18)^2)</f>
        <v>2.73266722180821</v>
      </c>
      <c r="AJ42" s="17" t="n">
        <f aca="false">SQRT(($B42-AJ$16)^2+($C42-AJ$17)^2+($D42-AJ$18)^2)</f>
        <v>0.613848877372374</v>
      </c>
      <c r="AK42" s="63" t="n">
        <f aca="false">MATCH(MIN(AH42:AJ42),AH42:AJ42,0)</f>
        <v>3</v>
      </c>
      <c r="AM42" s="17" t="n">
        <f aca="false">SQRT(($B42-AM$16)^2+($C42-AM$17)^2+($D42-AM$18)^2)</f>
        <v>3.01470184136668</v>
      </c>
      <c r="AN42" s="17" t="n">
        <f aca="false">SQRT(($B42-AN$16)^2+($C42-AN$17)^2+($D42-AN$18)^2)</f>
        <v>2.71728977499378</v>
      </c>
      <c r="AO42" s="17" t="n">
        <f aca="false">SQRT(($B42-AO$16)^2+($C42-AO$17)^2+($D42-AO$18)^2)</f>
        <v>0.589707758334456</v>
      </c>
      <c r="AP42" s="63" t="n">
        <f aca="false">MATCH(MIN(AM42:AO42),AM42:AO42,0)</f>
        <v>3</v>
      </c>
      <c r="AR42" s="17" t="n">
        <f aca="false">SQRT(($B42-AR$16)^2+($C42-AR$17)^2+($D42-AR$18)^2)</f>
        <v>3.01470184136668</v>
      </c>
      <c r="AS42" s="17" t="n">
        <f aca="false">SQRT(($B42-AS$16)^2+($C42-AS$17)^2+($D42-AS$18)^2)</f>
        <v>2.71728977499378</v>
      </c>
      <c r="AT42" s="17" t="n">
        <f aca="false">SQRT(($B42-AT$16)^2+($C42-AT$17)^2+($D42-AT$18)^2)</f>
        <v>0.589707758334456</v>
      </c>
      <c r="AU42" s="63" t="n">
        <f aca="false">MATCH(MIN(AR42:AT42),AR42:AT42,0)</f>
        <v>3</v>
      </c>
      <c r="AW42" s="17" t="n">
        <f aca="false">SQRT(($B42-AW$16)^2+($C42-AW$17)^2+($D42-AW$18)^2)</f>
        <v>3.01470184136668</v>
      </c>
      <c r="AX42" s="17" t="n">
        <f aca="false">SQRT(($B42-AX$16)^2+($C42-AX$17)^2+($D42-AX$18)^2)</f>
        <v>2.71728977499378</v>
      </c>
      <c r="AY42" s="17" t="n">
        <f aca="false">SQRT(($B42-AY$16)^2+($C42-AY$17)^2+($D42-AY$18)^2)</f>
        <v>0.589707758334456</v>
      </c>
      <c r="AZ42" s="63" t="n">
        <f aca="false">MATCH(MIN(AW42:AY42),AW42:AY42,0)</f>
        <v>3</v>
      </c>
      <c r="BB42" s="17" t="n">
        <f aca="false">SQRT(($B42-BB$16)^2+($C42-BB$17)^2+($D42-BB$18)^2)</f>
        <v>3.01470184136668</v>
      </c>
      <c r="BC42" s="17" t="n">
        <f aca="false">SQRT(($B42-BC$16)^2+($C42-BC$17)^2+($D42-BC$18)^2)</f>
        <v>2.71728977499378</v>
      </c>
      <c r="BD42" s="17" t="n">
        <f aca="false">SQRT(($B42-BD$16)^2+($C42-BD$17)^2+($D42-BD$18)^2)</f>
        <v>0.589707758334456</v>
      </c>
      <c r="BE42" s="63" t="n">
        <f aca="false">MATCH(MIN(BB42:BD42),BB42:BD42,0)</f>
        <v>3</v>
      </c>
      <c r="BG42" s="17" t="n">
        <f aca="false">SQRT(($B42-BG$16)^2+($C42-BG$17)^2+($D42-BG$18)^2)</f>
        <v>3.01470184136668</v>
      </c>
      <c r="BH42" s="17" t="n">
        <f aca="false">SQRT(($B42-BH$16)^2+($C42-BH$17)^2+($D42-BH$18)^2)</f>
        <v>2.71728977499378</v>
      </c>
      <c r="BI42" s="17" t="n">
        <f aca="false">SQRT(($B42-BI$16)^2+($C42-BI$17)^2+($D42-BI$18)^2)</f>
        <v>0.589707758334456</v>
      </c>
      <c r="BJ42" s="63" t="n">
        <f aca="false">MATCH(MIN(BG42:BI42),BG42:BI42,0)</f>
        <v>3</v>
      </c>
      <c r="BL42" s="17" t="n">
        <f aca="false">SQRT(($B42-BL$16)^2+($C42-BL$17)^2+($D42-BL$18)^2)</f>
        <v>3.01470184136668</v>
      </c>
      <c r="BM42" s="17" t="n">
        <f aca="false">SQRT(($B42-BM$16)^2+($C42-BM$17)^2+($D42-BM$18)^2)</f>
        <v>2.71728977499378</v>
      </c>
      <c r="BN42" s="17" t="n">
        <f aca="false">SQRT(($B42-BN$16)^2+($C42-BN$17)^2+($D42-BN$18)^2)</f>
        <v>0.589707758334456</v>
      </c>
      <c r="BO42" s="63" t="n">
        <f aca="false">MATCH(MIN(BL42:BN42),BL42:BN42,0)</f>
        <v>3</v>
      </c>
      <c r="BQ42" s="17" t="n">
        <f aca="false">SQRT(($B42-BQ$16)^2+($C42-BQ$17)^2+($D42-BQ$18)^2)</f>
        <v>3.01470184136668</v>
      </c>
      <c r="BR42" s="17" t="n">
        <f aca="false">SQRT(($B42-BR$16)^2+($C42-BR$17)^2+($D42-BR$18)^2)</f>
        <v>2.71728977499378</v>
      </c>
      <c r="BS42" s="17" t="n">
        <f aca="false">SQRT(($B42-BS$16)^2+($C42-BS$17)^2+($D42-BS$18)^2)</f>
        <v>0.589707758334456</v>
      </c>
      <c r="BT42" s="63" t="n">
        <f aca="false">MATCH(MIN(BQ42:BS42),BQ42:BS42,0)</f>
        <v>3</v>
      </c>
      <c r="BV42" s="17" t="n">
        <f aca="false">SQRT(($B42-BV$16)^2+($C42-BV$17)^2+($D42-BV$18)^2)</f>
        <v>3.01470184136668</v>
      </c>
      <c r="BW42" s="17" t="n">
        <f aca="false">SQRT(($B42-BW$16)^2+($C42-BW$17)^2+($D42-BW$18)^2)</f>
        <v>2.71728977499378</v>
      </c>
      <c r="BX42" s="17" t="n">
        <f aca="false">SQRT(($B42-BX$16)^2+($C42-BX$17)^2+($D42-BX$18)^2)</f>
        <v>0.589707758334456</v>
      </c>
      <c r="BY42" s="63" t="n">
        <f aca="false">MATCH(MIN(BV42:BX42),BV42:BX42,0)</f>
        <v>3</v>
      </c>
      <c r="CA42" s="17" t="n">
        <f aca="false">SQRT(($B42-CA$16)^2+($C42-CA$17)^2+($D42-CA$18)^2)</f>
        <v>3.01470184136668</v>
      </c>
      <c r="CB42" s="17" t="n">
        <f aca="false">SQRT(($B42-CB$16)^2+($C42-CB$17)^2+($D42-CB$18)^2)</f>
        <v>2.71728977499378</v>
      </c>
      <c r="CC42" s="17" t="n">
        <f aca="false">SQRT(($B42-CC$16)^2+($C42-CC$17)^2+($D42-CC$18)^2)</f>
        <v>0.589707758334456</v>
      </c>
      <c r="CD42" s="63" t="n">
        <f aca="false">MATCH(MIN(CA42:CC42),CA42:CC42,0)</f>
        <v>3</v>
      </c>
    </row>
    <row r="43" customFormat="false" ht="15" hidden="false" customHeight="false" outlineLevel="0" collapsed="false">
      <c r="A43" s="36" t="str">
        <f aca="false">KMeans_Data!A25</f>
        <v>Dera Ghazi Khan</v>
      </c>
      <c r="B43" s="17" t="n">
        <f aca="false">KMeans_Data!H25</f>
        <v>0.789836374639921</v>
      </c>
      <c r="C43" s="17" t="n">
        <f aca="false">KMeans_Data!I25</f>
        <v>0.803084449535714</v>
      </c>
      <c r="D43" s="17" t="n">
        <f aca="false">KMeans_Data!J25</f>
        <v>1.26838439516132</v>
      </c>
      <c r="E43" s="63" t="n">
        <f aca="false">CD43</f>
        <v>3</v>
      </c>
      <c r="F43" s="38" t="n">
        <f aca="false">($B43-INDEX($L$16:$N$16,E43))^2+($C43-INDEX($L$17:$N$17,E43))^2+($D43-INDEX($L$18:$N$18,E43))^2</f>
        <v>0.52705811892262</v>
      </c>
      <c r="G43" s="12" t="str">
        <f aca="false">INDEX($M$5:$M$7,E43)</f>
        <v>Medium burden</v>
      </c>
      <c r="H43" s="17" t="n">
        <f aca="false">IF(COUNTIF(Distance_Matrix!$E$9:$DQ$9,$E43)&lt;=1,0,SUMIF(Distance_Matrix!$E$9:$DQ$9,$E43,Distance_Matrix!$E$34:$DQ$34)/(COUNTIF(Distance_Matrix!$E$9:$DQ$9,$E43)-1))</f>
        <v>1.08571106613901</v>
      </c>
      <c r="I43" s="17" t="n">
        <f aca="false">MIN(IF(1=$E43,1E+099,IF(COUNTIF(Distance_Matrix!$E$9:$DQ$9,1)=0,1E+099,SUMIF(Distance_Matrix!$E$9:$DQ$9,1,Distance_Matrix!$E$34:$DQ$34)/COUNTIF(Distance_Matrix!$E$9:$DQ$9,1))),IF(2=$E43,1E+099,IF(COUNTIF(Distance_Matrix!$E$9:$DQ$9,2)=0,1E+099,SUMIF(Distance_Matrix!$E$9:$DQ$9,2,Distance_Matrix!$E$34:$DQ$34)/COUNTIF(Distance_Matrix!$E$9:$DQ$9,2))),IF(3=$E43,1E+099,IF(COUNTIF(Distance_Matrix!$E$9:$DQ$9,3)=0,1E+099,SUMIF(Distance_Matrix!$E$9:$DQ$9,3,Distance_Matrix!$E$34:$DQ$34)/COUNTIF(Distance_Matrix!$E$9:$DQ$9,3))))</f>
        <v>2.91436432178214</v>
      </c>
      <c r="J43" s="17" t="n">
        <f aca="false">IF(COUNTIF(Distance_Matrix!$E$9:$DQ$9,$E43)&lt;=1,0,(I43-H43)/MAX(H43,I43))</f>
        <v>0.627462133672055</v>
      </c>
      <c r="X43" s="17" t="n">
        <f aca="false">SQRT(($B43-X$16)^2+($C43-X$17)^2+($D43-X$18)^2)</f>
        <v>4.53655738479708</v>
      </c>
      <c r="Y43" s="17" t="n">
        <f aca="false">SQRT(($B43-Y$16)^2+($C43-Y$17)^2+($D43-Y$18)^2)</f>
        <v>4.02986158778563</v>
      </c>
      <c r="Z43" s="17" t="n">
        <f aca="false">SQRT(($B43-Z$16)^2+($C43-Z$17)^2+($D43-Z$18)^2)</f>
        <v>0.53121011056296</v>
      </c>
      <c r="AA43" s="63" t="n">
        <f aca="false">MATCH(MIN(X43:Z43),X43:Z43,0)</f>
        <v>3</v>
      </c>
      <c r="AC43" s="17" t="n">
        <f aca="false">SQRT(($B43-AC$16)^2+($C43-AC$17)^2+($D43-AC$18)^2)</f>
        <v>3.59190907987079</v>
      </c>
      <c r="AD43" s="17" t="n">
        <f aca="false">SQRT(($B43-AD$16)^2+($C43-AD$17)^2+($D43-AD$18)^2)</f>
        <v>2.98265674925871</v>
      </c>
      <c r="AE43" s="17" t="n">
        <f aca="false">SQRT(($B43-AE$16)^2+($C43-AE$17)^2+($D43-AE$18)^2)</f>
        <v>0.864025248909177</v>
      </c>
      <c r="AF43" s="63" t="n">
        <f aca="false">MATCH(MIN(AC43:AE43),AC43:AE43,0)</f>
        <v>3</v>
      </c>
      <c r="AH43" s="17" t="n">
        <f aca="false">SQRT(($B43-AH$16)^2+($C43-AH$17)^2+($D43-AH$18)^2)</f>
        <v>2.96394670322003</v>
      </c>
      <c r="AI43" s="17" t="n">
        <f aca="false">SQRT(($B43-AI$16)^2+($C43-AI$17)^2+($D43-AI$18)^2)</f>
        <v>2.8636505556145</v>
      </c>
      <c r="AJ43" s="17" t="n">
        <f aca="false">SQRT(($B43-AJ$16)^2+($C43-AJ$17)^2+($D43-AJ$18)^2)</f>
        <v>0.747965615389627</v>
      </c>
      <c r="AK43" s="63" t="n">
        <f aca="false">MATCH(MIN(AH43:AJ43),AH43:AJ43,0)</f>
        <v>3</v>
      </c>
      <c r="AM43" s="17" t="n">
        <f aca="false">SQRT(($B43-AM$16)^2+($C43-AM$17)^2+($D43-AM$18)^2)</f>
        <v>2.96394670322003</v>
      </c>
      <c r="AN43" s="17" t="n">
        <f aca="false">SQRT(($B43-AN$16)^2+($C43-AN$17)^2+($D43-AN$18)^2)</f>
        <v>2.847893262878</v>
      </c>
      <c r="AO43" s="17" t="n">
        <f aca="false">SQRT(($B43-AO$16)^2+($C43-AO$17)^2+($D43-AO$18)^2)</f>
        <v>0.72598768510397</v>
      </c>
      <c r="AP43" s="63" t="n">
        <f aca="false">MATCH(MIN(AM43:AO43),AM43:AO43,0)</f>
        <v>3</v>
      </c>
      <c r="AR43" s="17" t="n">
        <f aca="false">SQRT(($B43-AR$16)^2+($C43-AR$17)^2+($D43-AR$18)^2)</f>
        <v>2.96394670322003</v>
      </c>
      <c r="AS43" s="17" t="n">
        <f aca="false">SQRT(($B43-AS$16)^2+($C43-AS$17)^2+($D43-AS$18)^2)</f>
        <v>2.847893262878</v>
      </c>
      <c r="AT43" s="17" t="n">
        <f aca="false">SQRT(($B43-AT$16)^2+($C43-AT$17)^2+($D43-AT$18)^2)</f>
        <v>0.72598768510397</v>
      </c>
      <c r="AU43" s="63" t="n">
        <f aca="false">MATCH(MIN(AR43:AT43),AR43:AT43,0)</f>
        <v>3</v>
      </c>
      <c r="AW43" s="17" t="n">
        <f aca="false">SQRT(($B43-AW$16)^2+($C43-AW$17)^2+($D43-AW$18)^2)</f>
        <v>2.96394670322003</v>
      </c>
      <c r="AX43" s="17" t="n">
        <f aca="false">SQRT(($B43-AX$16)^2+($C43-AX$17)^2+($D43-AX$18)^2)</f>
        <v>2.847893262878</v>
      </c>
      <c r="AY43" s="17" t="n">
        <f aca="false">SQRT(($B43-AY$16)^2+($C43-AY$17)^2+($D43-AY$18)^2)</f>
        <v>0.72598768510397</v>
      </c>
      <c r="AZ43" s="63" t="n">
        <f aca="false">MATCH(MIN(AW43:AY43),AW43:AY43,0)</f>
        <v>3</v>
      </c>
      <c r="BB43" s="17" t="n">
        <f aca="false">SQRT(($B43-BB$16)^2+($C43-BB$17)^2+($D43-BB$18)^2)</f>
        <v>2.96394670322003</v>
      </c>
      <c r="BC43" s="17" t="n">
        <f aca="false">SQRT(($B43-BC$16)^2+($C43-BC$17)^2+($D43-BC$18)^2)</f>
        <v>2.847893262878</v>
      </c>
      <c r="BD43" s="17" t="n">
        <f aca="false">SQRT(($B43-BD$16)^2+($C43-BD$17)^2+($D43-BD$18)^2)</f>
        <v>0.72598768510397</v>
      </c>
      <c r="BE43" s="63" t="n">
        <f aca="false">MATCH(MIN(BB43:BD43),BB43:BD43,0)</f>
        <v>3</v>
      </c>
      <c r="BG43" s="17" t="n">
        <f aca="false">SQRT(($B43-BG$16)^2+($C43-BG$17)^2+($D43-BG$18)^2)</f>
        <v>2.96394670322003</v>
      </c>
      <c r="BH43" s="17" t="n">
        <f aca="false">SQRT(($B43-BH$16)^2+($C43-BH$17)^2+($D43-BH$18)^2)</f>
        <v>2.847893262878</v>
      </c>
      <c r="BI43" s="17" t="n">
        <f aca="false">SQRT(($B43-BI$16)^2+($C43-BI$17)^2+($D43-BI$18)^2)</f>
        <v>0.72598768510397</v>
      </c>
      <c r="BJ43" s="63" t="n">
        <f aca="false">MATCH(MIN(BG43:BI43),BG43:BI43,0)</f>
        <v>3</v>
      </c>
      <c r="BL43" s="17" t="n">
        <f aca="false">SQRT(($B43-BL$16)^2+($C43-BL$17)^2+($D43-BL$18)^2)</f>
        <v>2.96394670322003</v>
      </c>
      <c r="BM43" s="17" t="n">
        <f aca="false">SQRT(($B43-BM$16)^2+($C43-BM$17)^2+($D43-BM$18)^2)</f>
        <v>2.847893262878</v>
      </c>
      <c r="BN43" s="17" t="n">
        <f aca="false">SQRT(($B43-BN$16)^2+($C43-BN$17)^2+($D43-BN$18)^2)</f>
        <v>0.72598768510397</v>
      </c>
      <c r="BO43" s="63" t="n">
        <f aca="false">MATCH(MIN(BL43:BN43),BL43:BN43,0)</f>
        <v>3</v>
      </c>
      <c r="BQ43" s="17" t="n">
        <f aca="false">SQRT(($B43-BQ$16)^2+($C43-BQ$17)^2+($D43-BQ$18)^2)</f>
        <v>2.96394670322003</v>
      </c>
      <c r="BR43" s="17" t="n">
        <f aca="false">SQRT(($B43-BR$16)^2+($C43-BR$17)^2+($D43-BR$18)^2)</f>
        <v>2.847893262878</v>
      </c>
      <c r="BS43" s="17" t="n">
        <f aca="false">SQRT(($B43-BS$16)^2+($C43-BS$17)^2+($D43-BS$18)^2)</f>
        <v>0.72598768510397</v>
      </c>
      <c r="BT43" s="63" t="n">
        <f aca="false">MATCH(MIN(BQ43:BS43),BQ43:BS43,0)</f>
        <v>3</v>
      </c>
      <c r="BV43" s="17" t="n">
        <f aca="false">SQRT(($B43-BV$16)^2+($C43-BV$17)^2+($D43-BV$18)^2)</f>
        <v>2.96394670322003</v>
      </c>
      <c r="BW43" s="17" t="n">
        <f aca="false">SQRT(($B43-BW$16)^2+($C43-BW$17)^2+($D43-BW$18)^2)</f>
        <v>2.847893262878</v>
      </c>
      <c r="BX43" s="17" t="n">
        <f aca="false">SQRT(($B43-BX$16)^2+($C43-BX$17)^2+($D43-BX$18)^2)</f>
        <v>0.72598768510397</v>
      </c>
      <c r="BY43" s="63" t="n">
        <f aca="false">MATCH(MIN(BV43:BX43),BV43:BX43,0)</f>
        <v>3</v>
      </c>
      <c r="CA43" s="17" t="n">
        <f aca="false">SQRT(($B43-CA$16)^2+($C43-CA$17)^2+($D43-CA$18)^2)</f>
        <v>2.96394670322003</v>
      </c>
      <c r="CB43" s="17" t="n">
        <f aca="false">SQRT(($B43-CB$16)^2+($C43-CB$17)^2+($D43-CB$18)^2)</f>
        <v>2.847893262878</v>
      </c>
      <c r="CC43" s="17" t="n">
        <f aca="false">SQRT(($B43-CC$16)^2+($C43-CC$17)^2+($D43-CC$18)^2)</f>
        <v>0.72598768510397</v>
      </c>
      <c r="CD43" s="63" t="n">
        <f aca="false">MATCH(MIN(CA43:CC43),CA43:CC43,0)</f>
        <v>3</v>
      </c>
    </row>
    <row r="44" customFormat="false" ht="15" hidden="false" customHeight="false" outlineLevel="0" collapsed="false">
      <c r="A44" s="36" t="str">
        <f aca="false">KMeans_Data!A26</f>
        <v>Charsadda</v>
      </c>
      <c r="B44" s="17" t="n">
        <f aca="false">KMeans_Data!H26</f>
        <v>0.7856220194878</v>
      </c>
      <c r="C44" s="17" t="n">
        <f aca="false">KMeans_Data!I26</f>
        <v>0.803084449535714</v>
      </c>
      <c r="D44" s="17" t="n">
        <f aca="false">KMeans_Data!J26</f>
        <v>0.618328666074444</v>
      </c>
      <c r="E44" s="63" t="n">
        <f aca="false">CD44</f>
        <v>3</v>
      </c>
      <c r="F44" s="38" t="n">
        <f aca="false">($B44-INDEX($L$16:$N$16,E44))^2+($C44-INDEX($L$17:$N$17,E44))^2+($D44-INDEX($L$18:$N$18,E44))^2</f>
        <v>0.209493904190983</v>
      </c>
      <c r="G44" s="12" t="str">
        <f aca="false">INDEX($M$5:$M$7,E44)</f>
        <v>Medium burden</v>
      </c>
      <c r="H44" s="17" t="n">
        <f aca="false">IF(COUNTIF(Distance_Matrix!$E$9:$DQ$9,$E44)&lt;=1,0,SUMIF(Distance_Matrix!$E$9:$DQ$9,$E44,Distance_Matrix!$E$35:$DQ$35)/(COUNTIF(Distance_Matrix!$E$9:$DQ$9,$E44)-1))</f>
        <v>0.977671985777189</v>
      </c>
      <c r="I44" s="17" t="n">
        <f aca="false">MIN(IF(1=$E44,1E+099,IF(COUNTIF(Distance_Matrix!$E$9:$DQ$9,1)=0,1E+099,SUMIF(Distance_Matrix!$E$9:$DQ$9,1,Distance_Matrix!$E$35:$DQ$35)/COUNTIF(Distance_Matrix!$E$9:$DQ$9,1))),IF(2=$E44,1E+099,IF(COUNTIF(Distance_Matrix!$E$9:$DQ$9,2)=0,1E+099,SUMIF(Distance_Matrix!$E$9:$DQ$9,2,Distance_Matrix!$E$35:$DQ$35)/COUNTIF(Distance_Matrix!$E$9:$DQ$9,2))),IF(3=$E44,1E+099,IF(COUNTIF(Distance_Matrix!$E$9:$DQ$9,3)=0,1E+099,SUMIF(Distance_Matrix!$E$9:$DQ$9,3,Distance_Matrix!$E$35:$DQ$35)/COUNTIF(Distance_Matrix!$E$9:$DQ$9,3))))</f>
        <v>2.51112219117339</v>
      </c>
      <c r="J44" s="17" t="n">
        <f aca="false">IF(COUNTIF(Distance_Matrix!$E$9:$DQ$9,$E44)&lt;=1,0,(I44-H44)/MAX(H44,I44))</f>
        <v>0.610663316499009</v>
      </c>
      <c r="X44" s="17" t="n">
        <f aca="false">SQRT(($B44-X$16)^2+($C44-X$17)^2+($D44-X$18)^2)</f>
        <v>4.85836723486541</v>
      </c>
      <c r="Y44" s="17" t="n">
        <f aca="false">SQRT(($B44-Y$16)^2+($C44-Y$17)^2+($D44-Y$18)^2)</f>
        <v>3.67419129732225</v>
      </c>
      <c r="Z44" s="17" t="n">
        <f aca="false">SQRT(($B44-Z$16)^2+($C44-Z$17)^2+($D44-Z$18)^2)</f>
        <v>0.984636652935809</v>
      </c>
      <c r="AA44" s="63" t="n">
        <f aca="false">MATCH(MIN(X44:Z44),X44:Z44,0)</f>
        <v>3</v>
      </c>
      <c r="AC44" s="17" t="n">
        <f aca="false">SQRT(($B44-AC$16)^2+($C44-AC$17)^2+($D44-AC$18)^2)</f>
        <v>3.86328112081516</v>
      </c>
      <c r="AD44" s="17" t="n">
        <f aca="false">SQRT(($B44-AD$16)^2+($C44-AD$17)^2+($D44-AD$18)^2)</f>
        <v>2.56559123523141</v>
      </c>
      <c r="AE44" s="17" t="n">
        <f aca="false">SQRT(($B44-AE$16)^2+($C44-AE$17)^2+($D44-AE$18)^2)</f>
        <v>0.530984652892263</v>
      </c>
      <c r="AF44" s="63" t="n">
        <f aca="false">MATCH(MIN(AC44:AE44),AC44:AE44,0)</f>
        <v>3</v>
      </c>
      <c r="AH44" s="17" t="n">
        <f aca="false">SQRT(($B44-AH$16)^2+($C44-AH$17)^2+($D44-AH$18)^2)</f>
        <v>3.22617843096732</v>
      </c>
      <c r="AI44" s="17" t="n">
        <f aca="false">SQRT(($B44-AI$16)^2+($C44-AI$17)^2+($D44-AI$18)^2)</f>
        <v>2.44525943712903</v>
      </c>
      <c r="AJ44" s="17" t="n">
        <f aca="false">SQRT(($B44-AJ$16)^2+($C44-AJ$17)^2+($D44-AJ$18)^2)</f>
        <v>0.476262761341833</v>
      </c>
      <c r="AK44" s="63" t="n">
        <f aca="false">MATCH(MIN(AH44:AJ44),AH44:AJ44,0)</f>
        <v>3</v>
      </c>
      <c r="AM44" s="17" t="n">
        <f aca="false">SQRT(($B44-AM$16)^2+($C44-AM$17)^2+($D44-AM$18)^2)</f>
        <v>3.22617843096732</v>
      </c>
      <c r="AN44" s="17" t="n">
        <f aca="false">SQRT(($B44-AN$16)^2+($C44-AN$17)^2+($D44-AN$18)^2)</f>
        <v>2.43059595801373</v>
      </c>
      <c r="AO44" s="17" t="n">
        <f aca="false">SQRT(($B44-AO$16)^2+($C44-AO$17)^2+($D44-AO$18)^2)</f>
        <v>0.457705040600366</v>
      </c>
      <c r="AP44" s="63" t="n">
        <f aca="false">MATCH(MIN(AM44:AO44),AM44:AO44,0)</f>
        <v>3</v>
      </c>
      <c r="AR44" s="17" t="n">
        <f aca="false">SQRT(($B44-AR$16)^2+($C44-AR$17)^2+($D44-AR$18)^2)</f>
        <v>3.22617843096732</v>
      </c>
      <c r="AS44" s="17" t="n">
        <f aca="false">SQRT(($B44-AS$16)^2+($C44-AS$17)^2+($D44-AS$18)^2)</f>
        <v>2.43059595801373</v>
      </c>
      <c r="AT44" s="17" t="n">
        <f aca="false">SQRT(($B44-AT$16)^2+($C44-AT$17)^2+($D44-AT$18)^2)</f>
        <v>0.457705040600366</v>
      </c>
      <c r="AU44" s="63" t="n">
        <f aca="false">MATCH(MIN(AR44:AT44),AR44:AT44,0)</f>
        <v>3</v>
      </c>
      <c r="AW44" s="17" t="n">
        <f aca="false">SQRT(($B44-AW$16)^2+($C44-AW$17)^2+($D44-AW$18)^2)</f>
        <v>3.22617843096732</v>
      </c>
      <c r="AX44" s="17" t="n">
        <f aca="false">SQRT(($B44-AX$16)^2+($C44-AX$17)^2+($D44-AX$18)^2)</f>
        <v>2.43059595801373</v>
      </c>
      <c r="AY44" s="17" t="n">
        <f aca="false">SQRT(($B44-AY$16)^2+($C44-AY$17)^2+($D44-AY$18)^2)</f>
        <v>0.457705040600366</v>
      </c>
      <c r="AZ44" s="63" t="n">
        <f aca="false">MATCH(MIN(AW44:AY44),AW44:AY44,0)</f>
        <v>3</v>
      </c>
      <c r="BB44" s="17" t="n">
        <f aca="false">SQRT(($B44-BB$16)^2+($C44-BB$17)^2+($D44-BB$18)^2)</f>
        <v>3.22617843096732</v>
      </c>
      <c r="BC44" s="17" t="n">
        <f aca="false">SQRT(($B44-BC$16)^2+($C44-BC$17)^2+($D44-BC$18)^2)</f>
        <v>2.43059595801373</v>
      </c>
      <c r="BD44" s="17" t="n">
        <f aca="false">SQRT(($B44-BD$16)^2+($C44-BD$17)^2+($D44-BD$18)^2)</f>
        <v>0.457705040600366</v>
      </c>
      <c r="BE44" s="63" t="n">
        <f aca="false">MATCH(MIN(BB44:BD44),BB44:BD44,0)</f>
        <v>3</v>
      </c>
      <c r="BG44" s="17" t="n">
        <f aca="false">SQRT(($B44-BG$16)^2+($C44-BG$17)^2+($D44-BG$18)^2)</f>
        <v>3.22617843096732</v>
      </c>
      <c r="BH44" s="17" t="n">
        <f aca="false">SQRT(($B44-BH$16)^2+($C44-BH$17)^2+($D44-BH$18)^2)</f>
        <v>2.43059595801373</v>
      </c>
      <c r="BI44" s="17" t="n">
        <f aca="false">SQRT(($B44-BI$16)^2+($C44-BI$17)^2+($D44-BI$18)^2)</f>
        <v>0.457705040600366</v>
      </c>
      <c r="BJ44" s="63" t="n">
        <f aca="false">MATCH(MIN(BG44:BI44),BG44:BI44,0)</f>
        <v>3</v>
      </c>
      <c r="BL44" s="17" t="n">
        <f aca="false">SQRT(($B44-BL$16)^2+($C44-BL$17)^2+($D44-BL$18)^2)</f>
        <v>3.22617843096732</v>
      </c>
      <c r="BM44" s="17" t="n">
        <f aca="false">SQRT(($B44-BM$16)^2+($C44-BM$17)^2+($D44-BM$18)^2)</f>
        <v>2.43059595801373</v>
      </c>
      <c r="BN44" s="17" t="n">
        <f aca="false">SQRT(($B44-BN$16)^2+($C44-BN$17)^2+($D44-BN$18)^2)</f>
        <v>0.457705040600366</v>
      </c>
      <c r="BO44" s="63" t="n">
        <f aca="false">MATCH(MIN(BL44:BN44),BL44:BN44,0)</f>
        <v>3</v>
      </c>
      <c r="BQ44" s="17" t="n">
        <f aca="false">SQRT(($B44-BQ$16)^2+($C44-BQ$17)^2+($D44-BQ$18)^2)</f>
        <v>3.22617843096732</v>
      </c>
      <c r="BR44" s="17" t="n">
        <f aca="false">SQRT(($B44-BR$16)^2+($C44-BR$17)^2+($D44-BR$18)^2)</f>
        <v>2.43059595801373</v>
      </c>
      <c r="BS44" s="17" t="n">
        <f aca="false">SQRT(($B44-BS$16)^2+($C44-BS$17)^2+($D44-BS$18)^2)</f>
        <v>0.457705040600366</v>
      </c>
      <c r="BT44" s="63" t="n">
        <f aca="false">MATCH(MIN(BQ44:BS44),BQ44:BS44,0)</f>
        <v>3</v>
      </c>
      <c r="BV44" s="17" t="n">
        <f aca="false">SQRT(($B44-BV$16)^2+($C44-BV$17)^2+($D44-BV$18)^2)</f>
        <v>3.22617843096732</v>
      </c>
      <c r="BW44" s="17" t="n">
        <f aca="false">SQRT(($B44-BW$16)^2+($C44-BW$17)^2+($D44-BW$18)^2)</f>
        <v>2.43059595801373</v>
      </c>
      <c r="BX44" s="17" t="n">
        <f aca="false">SQRT(($B44-BX$16)^2+($C44-BX$17)^2+($D44-BX$18)^2)</f>
        <v>0.457705040600366</v>
      </c>
      <c r="BY44" s="63" t="n">
        <f aca="false">MATCH(MIN(BV44:BX44),BV44:BX44,0)</f>
        <v>3</v>
      </c>
      <c r="CA44" s="17" t="n">
        <f aca="false">SQRT(($B44-CA$16)^2+($C44-CA$17)^2+($D44-CA$18)^2)</f>
        <v>3.22617843096732</v>
      </c>
      <c r="CB44" s="17" t="n">
        <f aca="false">SQRT(($B44-CB$16)^2+($C44-CB$17)^2+($D44-CB$18)^2)</f>
        <v>2.43059595801373</v>
      </c>
      <c r="CC44" s="17" t="n">
        <f aca="false">SQRT(($B44-CC$16)^2+($C44-CC$17)^2+($D44-CC$18)^2)</f>
        <v>0.457705040600366</v>
      </c>
      <c r="CD44" s="63" t="n">
        <f aca="false">MATCH(MIN(CA44:CC44),CA44:CC44,0)</f>
        <v>3</v>
      </c>
    </row>
    <row r="45" customFormat="false" ht="15" hidden="false" customHeight="false" outlineLevel="0" collapsed="false">
      <c r="A45" s="36" t="str">
        <f aca="false">KMeans_Data!A27</f>
        <v>Dir Upper</v>
      </c>
      <c r="B45" s="17" t="n">
        <f aca="false">KMeans_Data!H27</f>
        <v>0.783501975751688</v>
      </c>
      <c r="C45" s="17" t="n">
        <f aca="false">KMeans_Data!I27</f>
        <v>0.160512589624996</v>
      </c>
      <c r="D45" s="17" t="n">
        <f aca="false">KMeans_Data!J27</f>
        <v>0.959677371956339</v>
      </c>
      <c r="E45" s="63" t="n">
        <f aca="false">CD45</f>
        <v>3</v>
      </c>
      <c r="F45" s="38" t="n">
        <f aca="false">($B45-INDEX($L$16:$N$16,E45))^2+($C45-INDEX($L$17:$N$17,E45))^2+($D45-INDEX($L$18:$N$18,E45))^2</f>
        <v>0.208337530055449</v>
      </c>
      <c r="G45" s="12" t="str">
        <f aca="false">INDEX($M$5:$M$7,E45)</f>
        <v>Medium burden</v>
      </c>
      <c r="H45" s="17" t="n">
        <f aca="false">IF(COUNTIF(Distance_Matrix!$E$9:$DQ$9,$E45)&lt;=1,0,SUMIF(Distance_Matrix!$E$9:$DQ$9,$E45,Distance_Matrix!$E$36:$DQ$36)/(COUNTIF(Distance_Matrix!$E$9:$DQ$9,$E45)-1))</f>
        <v>0.995170385840708</v>
      </c>
      <c r="I45" s="17" t="n">
        <f aca="false">MIN(IF(1=$E45,1E+099,IF(COUNTIF(Distance_Matrix!$E$9:$DQ$9,1)=0,1E+099,SUMIF(Distance_Matrix!$E$9:$DQ$9,1,Distance_Matrix!$E$36:$DQ$36)/COUNTIF(Distance_Matrix!$E$9:$DQ$9,1))),IF(2=$E45,1E+099,IF(COUNTIF(Distance_Matrix!$E$9:$DQ$9,2)=0,1E+099,SUMIF(Distance_Matrix!$E$9:$DQ$9,2,Distance_Matrix!$E$36:$DQ$36)/COUNTIF(Distance_Matrix!$E$9:$DQ$9,2))),IF(3=$E45,1E+099,IF(COUNTIF(Distance_Matrix!$E$9:$DQ$9,3)=0,1E+099,SUMIF(Distance_Matrix!$E$9:$DQ$9,3,Distance_Matrix!$E$36:$DQ$36)/COUNTIF(Distance_Matrix!$E$9:$DQ$9,3))))</f>
        <v>2.42067939022889</v>
      </c>
      <c r="J45" s="17" t="n">
        <f aca="false">IF(COUNTIF(Distance_Matrix!$E$9:$DQ$9,$E45)&lt;=1,0,(I45-H45)/MAX(H45,I45))</f>
        <v>0.588887983324958</v>
      </c>
      <c r="X45" s="17" t="n">
        <f aca="false">SQRT(($B45-X$16)^2+($C45-X$17)^2+($D45-X$18)^2)</f>
        <v>5.14816911939323</v>
      </c>
      <c r="Y45" s="17" t="n">
        <f aca="false">SQRT(($B45-Y$16)^2+($C45-Y$17)^2+($D45-Y$18)^2)</f>
        <v>3.65029895120111</v>
      </c>
      <c r="Z45" s="17" t="n">
        <f aca="false">SQRT(($B45-Z$16)^2+($C45-Z$17)^2+($D45-Z$18)^2)</f>
        <v>0.61063359087127</v>
      </c>
      <c r="AA45" s="63" t="n">
        <f aca="false">MATCH(MIN(X45:Z45),X45:Z45,0)</f>
        <v>3</v>
      </c>
      <c r="AC45" s="17" t="n">
        <f aca="false">SQRT(($B45-AC$16)^2+($C45-AC$17)^2+($D45-AC$18)^2)</f>
        <v>4.20358492681256</v>
      </c>
      <c r="AD45" s="17" t="n">
        <f aca="false">SQRT(($B45-AD$16)^2+($C45-AD$17)^2+($D45-AD$18)^2)</f>
        <v>2.49648365442657</v>
      </c>
      <c r="AE45" s="17" t="n">
        <f aca="false">SQRT(($B45-AE$16)^2+($C45-AE$17)^2+($D45-AE$18)^2)</f>
        <v>0.49971973147186</v>
      </c>
      <c r="AF45" s="63" t="n">
        <f aca="false">MATCH(MIN(AC45:AE45),AC45:AE45,0)</f>
        <v>3</v>
      </c>
      <c r="AH45" s="17" t="n">
        <f aca="false">SQRT(($B45-AH$16)^2+($C45-AH$17)^2+($D45-AH$18)^2)</f>
        <v>3.57435690916059</v>
      </c>
      <c r="AI45" s="17" t="n">
        <f aca="false">SQRT(($B45-AI$16)^2+($C45-AI$17)^2+($D45-AI$18)^2)</f>
        <v>2.36617000928961</v>
      </c>
      <c r="AJ45" s="17" t="n">
        <f aca="false">SQRT(($B45-AJ$16)^2+($C45-AJ$17)^2+($D45-AJ$18)^2)</f>
        <v>0.467068948358851</v>
      </c>
      <c r="AK45" s="63" t="n">
        <f aca="false">MATCH(MIN(AH45:AJ45),AH45:AJ45,0)</f>
        <v>3</v>
      </c>
      <c r="AM45" s="17" t="n">
        <f aca="false">SQRT(($B45-AM$16)^2+($C45-AM$17)^2+($D45-AM$18)^2)</f>
        <v>3.57435690916059</v>
      </c>
      <c r="AN45" s="17" t="n">
        <f aca="false">SQRT(($B45-AN$16)^2+($C45-AN$17)^2+($D45-AN$18)^2)</f>
        <v>2.35105066780688</v>
      </c>
      <c r="AO45" s="17" t="n">
        <f aca="false">SQRT(($B45-AO$16)^2+($C45-AO$17)^2+($D45-AO$18)^2)</f>
        <v>0.456440061843227</v>
      </c>
      <c r="AP45" s="63" t="n">
        <f aca="false">MATCH(MIN(AM45:AO45),AM45:AO45,0)</f>
        <v>3</v>
      </c>
      <c r="AR45" s="17" t="n">
        <f aca="false">SQRT(($B45-AR$16)^2+($C45-AR$17)^2+($D45-AR$18)^2)</f>
        <v>3.57435690916059</v>
      </c>
      <c r="AS45" s="17" t="n">
        <f aca="false">SQRT(($B45-AS$16)^2+($C45-AS$17)^2+($D45-AS$18)^2)</f>
        <v>2.35105066780688</v>
      </c>
      <c r="AT45" s="17" t="n">
        <f aca="false">SQRT(($B45-AT$16)^2+($C45-AT$17)^2+($D45-AT$18)^2)</f>
        <v>0.456440061843227</v>
      </c>
      <c r="AU45" s="63" t="n">
        <f aca="false">MATCH(MIN(AR45:AT45),AR45:AT45,0)</f>
        <v>3</v>
      </c>
      <c r="AW45" s="17" t="n">
        <f aca="false">SQRT(($B45-AW$16)^2+($C45-AW$17)^2+($D45-AW$18)^2)</f>
        <v>3.57435690916059</v>
      </c>
      <c r="AX45" s="17" t="n">
        <f aca="false">SQRT(($B45-AX$16)^2+($C45-AX$17)^2+($D45-AX$18)^2)</f>
        <v>2.35105066780688</v>
      </c>
      <c r="AY45" s="17" t="n">
        <f aca="false">SQRT(($B45-AY$16)^2+($C45-AY$17)^2+($D45-AY$18)^2)</f>
        <v>0.456440061843227</v>
      </c>
      <c r="AZ45" s="63" t="n">
        <f aca="false">MATCH(MIN(AW45:AY45),AW45:AY45,0)</f>
        <v>3</v>
      </c>
      <c r="BB45" s="17" t="n">
        <f aca="false">SQRT(($B45-BB$16)^2+($C45-BB$17)^2+($D45-BB$18)^2)</f>
        <v>3.57435690916059</v>
      </c>
      <c r="BC45" s="17" t="n">
        <f aca="false">SQRT(($B45-BC$16)^2+($C45-BC$17)^2+($D45-BC$18)^2)</f>
        <v>2.35105066780688</v>
      </c>
      <c r="BD45" s="17" t="n">
        <f aca="false">SQRT(($B45-BD$16)^2+($C45-BD$17)^2+($D45-BD$18)^2)</f>
        <v>0.456440061843227</v>
      </c>
      <c r="BE45" s="63" t="n">
        <f aca="false">MATCH(MIN(BB45:BD45),BB45:BD45,0)</f>
        <v>3</v>
      </c>
      <c r="BG45" s="17" t="n">
        <f aca="false">SQRT(($B45-BG$16)^2+($C45-BG$17)^2+($D45-BG$18)^2)</f>
        <v>3.57435690916059</v>
      </c>
      <c r="BH45" s="17" t="n">
        <f aca="false">SQRT(($B45-BH$16)^2+($C45-BH$17)^2+($D45-BH$18)^2)</f>
        <v>2.35105066780688</v>
      </c>
      <c r="BI45" s="17" t="n">
        <f aca="false">SQRT(($B45-BI$16)^2+($C45-BI$17)^2+($D45-BI$18)^2)</f>
        <v>0.456440061843227</v>
      </c>
      <c r="BJ45" s="63" t="n">
        <f aca="false">MATCH(MIN(BG45:BI45),BG45:BI45,0)</f>
        <v>3</v>
      </c>
      <c r="BL45" s="17" t="n">
        <f aca="false">SQRT(($B45-BL$16)^2+($C45-BL$17)^2+($D45-BL$18)^2)</f>
        <v>3.57435690916059</v>
      </c>
      <c r="BM45" s="17" t="n">
        <f aca="false">SQRT(($B45-BM$16)^2+($C45-BM$17)^2+($D45-BM$18)^2)</f>
        <v>2.35105066780688</v>
      </c>
      <c r="BN45" s="17" t="n">
        <f aca="false">SQRT(($B45-BN$16)^2+($C45-BN$17)^2+($D45-BN$18)^2)</f>
        <v>0.456440061843227</v>
      </c>
      <c r="BO45" s="63" t="n">
        <f aca="false">MATCH(MIN(BL45:BN45),BL45:BN45,0)</f>
        <v>3</v>
      </c>
      <c r="BQ45" s="17" t="n">
        <f aca="false">SQRT(($B45-BQ$16)^2+($C45-BQ$17)^2+($D45-BQ$18)^2)</f>
        <v>3.57435690916059</v>
      </c>
      <c r="BR45" s="17" t="n">
        <f aca="false">SQRT(($B45-BR$16)^2+($C45-BR$17)^2+($D45-BR$18)^2)</f>
        <v>2.35105066780688</v>
      </c>
      <c r="BS45" s="17" t="n">
        <f aca="false">SQRT(($B45-BS$16)^2+($C45-BS$17)^2+($D45-BS$18)^2)</f>
        <v>0.456440061843227</v>
      </c>
      <c r="BT45" s="63" t="n">
        <f aca="false">MATCH(MIN(BQ45:BS45),BQ45:BS45,0)</f>
        <v>3</v>
      </c>
      <c r="BV45" s="17" t="n">
        <f aca="false">SQRT(($B45-BV$16)^2+($C45-BV$17)^2+($D45-BV$18)^2)</f>
        <v>3.57435690916059</v>
      </c>
      <c r="BW45" s="17" t="n">
        <f aca="false">SQRT(($B45-BW$16)^2+($C45-BW$17)^2+($D45-BW$18)^2)</f>
        <v>2.35105066780688</v>
      </c>
      <c r="BX45" s="17" t="n">
        <f aca="false">SQRT(($B45-BX$16)^2+($C45-BX$17)^2+($D45-BX$18)^2)</f>
        <v>0.456440061843227</v>
      </c>
      <c r="BY45" s="63" t="n">
        <f aca="false">MATCH(MIN(BV45:BX45),BV45:BX45,0)</f>
        <v>3</v>
      </c>
      <c r="CA45" s="17" t="n">
        <f aca="false">SQRT(($B45-CA$16)^2+($C45-CA$17)^2+($D45-CA$18)^2)</f>
        <v>3.57435690916059</v>
      </c>
      <c r="CB45" s="17" t="n">
        <f aca="false">SQRT(($B45-CB$16)^2+($C45-CB$17)^2+($D45-CB$18)^2)</f>
        <v>2.35105066780688</v>
      </c>
      <c r="CC45" s="17" t="n">
        <f aca="false">SQRT(($B45-CC$16)^2+($C45-CC$17)^2+($D45-CC$18)^2)</f>
        <v>0.456440061843227</v>
      </c>
      <c r="CD45" s="63" t="n">
        <f aca="false">MATCH(MIN(CA45:CC45),CA45:CC45,0)</f>
        <v>3</v>
      </c>
    </row>
    <row r="46" customFormat="false" ht="15" hidden="false" customHeight="false" outlineLevel="0" collapsed="false">
      <c r="A46" s="36" t="str">
        <f aca="false">KMeans_Data!A28</f>
        <v>Khyber</v>
      </c>
      <c r="B46" s="17" t="n">
        <f aca="false">KMeans_Data!H28</f>
        <v>0.783501975751688</v>
      </c>
      <c r="C46" s="17" t="n">
        <f aca="false">KMeans_Data!I28</f>
        <v>0.547911385844501</v>
      </c>
      <c r="D46" s="17" t="n">
        <f aca="false">KMeans_Data!J28</f>
        <v>0.667151770949206</v>
      </c>
      <c r="E46" s="63" t="n">
        <f aca="false">CD46</f>
        <v>3</v>
      </c>
      <c r="F46" s="38" t="n">
        <f aca="false">($B46-INDEX($L$16:$N$16,E46))^2+($C46-INDEX($L$17:$N$17,E46))^2+($D46-INDEX($L$18:$N$18,E46))^2</f>
        <v>0.0799379297766957</v>
      </c>
      <c r="G46" s="12" t="str">
        <f aca="false">INDEX($M$5:$M$7,E46)</f>
        <v>Medium burden</v>
      </c>
      <c r="H46" s="17" t="n">
        <f aca="false">IF(COUNTIF(Distance_Matrix!$E$9:$DQ$9,$E46)&lt;=1,0,SUMIF(Distance_Matrix!$E$9:$DQ$9,$E46,Distance_Matrix!$E$37:$DQ$37)/(COUNTIF(Distance_Matrix!$E$9:$DQ$9,$E46)-1))</f>
        <v>0.928789705382354</v>
      </c>
      <c r="I46" s="17" t="n">
        <f aca="false">MIN(IF(1=$E46,1E+099,IF(COUNTIF(Distance_Matrix!$E$9:$DQ$9,1)=0,1E+099,SUMIF(Distance_Matrix!$E$9:$DQ$9,1,Distance_Matrix!$E$37:$DQ$37)/COUNTIF(Distance_Matrix!$E$9:$DQ$9,1))),IF(2=$E46,1E+099,IF(COUNTIF(Distance_Matrix!$E$9:$DQ$9,2)=0,1E+099,SUMIF(Distance_Matrix!$E$9:$DQ$9,2,Distance_Matrix!$E$37:$DQ$37)/COUNTIF(Distance_Matrix!$E$9:$DQ$9,2))),IF(3=$E46,1E+099,IF(COUNTIF(Distance_Matrix!$E$9:$DQ$9,3)=0,1E+099,SUMIF(Distance_Matrix!$E$9:$DQ$9,3,Distance_Matrix!$E$37:$DQ$37)/COUNTIF(Distance_Matrix!$E$9:$DQ$9,3))))</f>
        <v>2.39689474577357</v>
      </c>
      <c r="J46" s="17" t="n">
        <f aca="false">IF(COUNTIF(Distance_Matrix!$E$9:$DQ$9,$E46)&lt;=1,0,(I46-H46)/MAX(H46,I46))</f>
        <v>0.612502924035324</v>
      </c>
      <c r="X46" s="17" t="n">
        <f aca="false">SQRT(($B46-X$16)^2+($C46-X$17)^2+($D46-X$18)^2)</f>
        <v>5.00758520888784</v>
      </c>
      <c r="Y46" s="17" t="n">
        <f aca="false">SQRT(($B46-Y$16)^2+($C46-Y$17)^2+($D46-Y$18)^2)</f>
        <v>3.60196382706207</v>
      </c>
      <c r="Z46" s="17" t="n">
        <f aca="false">SQRT(($B46-Z$16)^2+($C46-Z$17)^2+($D46-Z$18)^2)</f>
        <v>0.859235206666101</v>
      </c>
      <c r="AA46" s="63" t="n">
        <f aca="false">MATCH(MIN(X46:Z46),X46:Z46,0)</f>
        <v>3</v>
      </c>
      <c r="AC46" s="17" t="n">
        <f aca="false">SQRT(($B46-AC$16)^2+($C46-AC$17)^2+($D46-AC$18)^2)</f>
        <v>4.02511537990183</v>
      </c>
      <c r="AD46" s="17" t="n">
        <f aca="false">SQRT(($B46-AD$16)^2+($C46-AD$17)^2+($D46-AD$18)^2)</f>
        <v>2.45886759538009</v>
      </c>
      <c r="AE46" s="17" t="n">
        <f aca="false">SQRT(($B46-AE$16)^2+($C46-AE$17)^2+($D46-AE$18)^2)</f>
        <v>0.347000495580029</v>
      </c>
      <c r="AF46" s="63" t="n">
        <f aca="false">MATCH(MIN(AC46:AE46),AC46:AE46,0)</f>
        <v>3</v>
      </c>
      <c r="AH46" s="17" t="n">
        <f aca="false">SQRT(($B46-AH$16)^2+($C46-AH$17)^2+($D46-AH$18)^2)</f>
        <v>3.3883856800701</v>
      </c>
      <c r="AI46" s="17" t="n">
        <f aca="false">SQRT(($B46-AI$16)^2+($C46-AI$17)^2+($D46-AI$18)^2)</f>
        <v>2.33311524181695</v>
      </c>
      <c r="AJ46" s="17" t="n">
        <f aca="false">SQRT(($B46-AJ$16)^2+($C46-AJ$17)^2+($D46-AJ$18)^2)</f>
        <v>0.303724512078506</v>
      </c>
      <c r="AK46" s="63" t="n">
        <f aca="false">MATCH(MIN(AH46:AJ46),AH46:AJ46,0)</f>
        <v>3</v>
      </c>
      <c r="AM46" s="17" t="n">
        <f aca="false">SQRT(($B46-AM$16)^2+($C46-AM$17)^2+($D46-AM$18)^2)</f>
        <v>3.3883856800701</v>
      </c>
      <c r="AN46" s="17" t="n">
        <f aca="false">SQRT(($B46-AN$16)^2+($C46-AN$17)^2+($D46-AN$18)^2)</f>
        <v>2.31829104517136</v>
      </c>
      <c r="AO46" s="17" t="n">
        <f aca="false">SQRT(($B46-AO$16)^2+($C46-AO$17)^2+($D46-AO$18)^2)</f>
        <v>0.282732965493406</v>
      </c>
      <c r="AP46" s="63" t="n">
        <f aca="false">MATCH(MIN(AM46:AO46),AM46:AO46,0)</f>
        <v>3</v>
      </c>
      <c r="AR46" s="17" t="n">
        <f aca="false">SQRT(($B46-AR$16)^2+($C46-AR$17)^2+($D46-AR$18)^2)</f>
        <v>3.3883856800701</v>
      </c>
      <c r="AS46" s="17" t="n">
        <f aca="false">SQRT(($B46-AS$16)^2+($C46-AS$17)^2+($D46-AS$18)^2)</f>
        <v>2.31829104517136</v>
      </c>
      <c r="AT46" s="17" t="n">
        <f aca="false">SQRT(($B46-AT$16)^2+($C46-AT$17)^2+($D46-AT$18)^2)</f>
        <v>0.282732965493406</v>
      </c>
      <c r="AU46" s="63" t="n">
        <f aca="false">MATCH(MIN(AR46:AT46),AR46:AT46,0)</f>
        <v>3</v>
      </c>
      <c r="AW46" s="17" t="n">
        <f aca="false">SQRT(($B46-AW$16)^2+($C46-AW$17)^2+($D46-AW$18)^2)</f>
        <v>3.3883856800701</v>
      </c>
      <c r="AX46" s="17" t="n">
        <f aca="false">SQRT(($B46-AX$16)^2+($C46-AX$17)^2+($D46-AX$18)^2)</f>
        <v>2.31829104517136</v>
      </c>
      <c r="AY46" s="17" t="n">
        <f aca="false">SQRT(($B46-AY$16)^2+($C46-AY$17)^2+($D46-AY$18)^2)</f>
        <v>0.282732965493406</v>
      </c>
      <c r="AZ46" s="63" t="n">
        <f aca="false">MATCH(MIN(AW46:AY46),AW46:AY46,0)</f>
        <v>3</v>
      </c>
      <c r="BB46" s="17" t="n">
        <f aca="false">SQRT(($B46-BB$16)^2+($C46-BB$17)^2+($D46-BB$18)^2)</f>
        <v>3.3883856800701</v>
      </c>
      <c r="BC46" s="17" t="n">
        <f aca="false">SQRT(($B46-BC$16)^2+($C46-BC$17)^2+($D46-BC$18)^2)</f>
        <v>2.31829104517136</v>
      </c>
      <c r="BD46" s="17" t="n">
        <f aca="false">SQRT(($B46-BD$16)^2+($C46-BD$17)^2+($D46-BD$18)^2)</f>
        <v>0.282732965493406</v>
      </c>
      <c r="BE46" s="63" t="n">
        <f aca="false">MATCH(MIN(BB46:BD46),BB46:BD46,0)</f>
        <v>3</v>
      </c>
      <c r="BG46" s="17" t="n">
        <f aca="false">SQRT(($B46-BG$16)^2+($C46-BG$17)^2+($D46-BG$18)^2)</f>
        <v>3.3883856800701</v>
      </c>
      <c r="BH46" s="17" t="n">
        <f aca="false">SQRT(($B46-BH$16)^2+($C46-BH$17)^2+($D46-BH$18)^2)</f>
        <v>2.31829104517136</v>
      </c>
      <c r="BI46" s="17" t="n">
        <f aca="false">SQRT(($B46-BI$16)^2+($C46-BI$17)^2+($D46-BI$18)^2)</f>
        <v>0.282732965493406</v>
      </c>
      <c r="BJ46" s="63" t="n">
        <f aca="false">MATCH(MIN(BG46:BI46),BG46:BI46,0)</f>
        <v>3</v>
      </c>
      <c r="BL46" s="17" t="n">
        <f aca="false">SQRT(($B46-BL$16)^2+($C46-BL$17)^2+($D46-BL$18)^2)</f>
        <v>3.3883856800701</v>
      </c>
      <c r="BM46" s="17" t="n">
        <f aca="false">SQRT(($B46-BM$16)^2+($C46-BM$17)^2+($D46-BM$18)^2)</f>
        <v>2.31829104517136</v>
      </c>
      <c r="BN46" s="17" t="n">
        <f aca="false">SQRT(($B46-BN$16)^2+($C46-BN$17)^2+($D46-BN$18)^2)</f>
        <v>0.282732965493406</v>
      </c>
      <c r="BO46" s="63" t="n">
        <f aca="false">MATCH(MIN(BL46:BN46),BL46:BN46,0)</f>
        <v>3</v>
      </c>
      <c r="BQ46" s="17" t="n">
        <f aca="false">SQRT(($B46-BQ$16)^2+($C46-BQ$17)^2+($D46-BQ$18)^2)</f>
        <v>3.3883856800701</v>
      </c>
      <c r="BR46" s="17" t="n">
        <f aca="false">SQRT(($B46-BR$16)^2+($C46-BR$17)^2+($D46-BR$18)^2)</f>
        <v>2.31829104517136</v>
      </c>
      <c r="BS46" s="17" t="n">
        <f aca="false">SQRT(($B46-BS$16)^2+($C46-BS$17)^2+($D46-BS$18)^2)</f>
        <v>0.282732965493406</v>
      </c>
      <c r="BT46" s="63" t="n">
        <f aca="false">MATCH(MIN(BQ46:BS46),BQ46:BS46,0)</f>
        <v>3</v>
      </c>
      <c r="BV46" s="17" t="n">
        <f aca="false">SQRT(($B46-BV$16)^2+($C46-BV$17)^2+($D46-BV$18)^2)</f>
        <v>3.3883856800701</v>
      </c>
      <c r="BW46" s="17" t="n">
        <f aca="false">SQRT(($B46-BW$16)^2+($C46-BW$17)^2+($D46-BW$18)^2)</f>
        <v>2.31829104517136</v>
      </c>
      <c r="BX46" s="17" t="n">
        <f aca="false">SQRT(($B46-BX$16)^2+($C46-BX$17)^2+($D46-BX$18)^2)</f>
        <v>0.282732965493406</v>
      </c>
      <c r="BY46" s="63" t="n">
        <f aca="false">MATCH(MIN(BV46:BX46),BV46:BX46,0)</f>
        <v>3</v>
      </c>
      <c r="CA46" s="17" t="n">
        <f aca="false">SQRT(($B46-CA$16)^2+($C46-CA$17)^2+($D46-CA$18)^2)</f>
        <v>3.3883856800701</v>
      </c>
      <c r="CB46" s="17" t="n">
        <f aca="false">SQRT(($B46-CB$16)^2+($C46-CB$17)^2+($D46-CB$18)^2)</f>
        <v>2.31829104517136</v>
      </c>
      <c r="CC46" s="17" t="n">
        <f aca="false">SQRT(($B46-CC$16)^2+($C46-CC$17)^2+($D46-CC$18)^2)</f>
        <v>0.282732965493406</v>
      </c>
      <c r="CD46" s="63" t="n">
        <f aca="false">MATCH(MIN(CA46:CC46),CA46:CC46,0)</f>
        <v>3</v>
      </c>
    </row>
    <row r="47" customFormat="false" ht="15" hidden="false" customHeight="false" outlineLevel="0" collapsed="false">
      <c r="A47" s="36" t="str">
        <f aca="false">KMeans_Data!A29</f>
        <v>Bajaur</v>
      </c>
      <c r="B47" s="17" t="n">
        <f aca="false">KMeans_Data!H29</f>
        <v>0.761812586723473</v>
      </c>
      <c r="C47" s="17" t="n">
        <f aca="false">KMeans_Data!I29</f>
        <v>1.38107452085777</v>
      </c>
      <c r="D47" s="17" t="n">
        <f aca="false">KMeans_Data!J29</f>
        <v>0.727869076261203</v>
      </c>
      <c r="E47" s="63" t="n">
        <f aca="false">CD47</f>
        <v>3</v>
      </c>
      <c r="F47" s="38" t="n">
        <f aca="false">($B47-INDEX($L$16:$N$16,E47))^2+($C47-INDEX($L$17:$N$17,E47))^2+($D47-INDEX($L$18:$N$18,E47))^2</f>
        <v>0.951355012662752</v>
      </c>
      <c r="G47" s="12" t="str">
        <f aca="false">INDEX($M$5:$M$7,E47)</f>
        <v>Medium burden</v>
      </c>
      <c r="H47" s="17" t="n">
        <f aca="false">IF(COUNTIF(Distance_Matrix!$E$9:$DQ$9,$E47)&lt;=1,0,SUMIF(Distance_Matrix!$E$9:$DQ$9,$E47,Distance_Matrix!$E$38:$DQ$38)/(COUNTIF(Distance_Matrix!$E$9:$DQ$9,$E47)-1))</f>
        <v>1.23807151769732</v>
      </c>
      <c r="I47" s="17" t="n">
        <f aca="false">MIN(IF(1=$E47,1E+099,IF(COUNTIF(Distance_Matrix!$E$9:$DQ$9,1)=0,1E+099,SUMIF(Distance_Matrix!$E$9:$DQ$9,1,Distance_Matrix!$E$38:$DQ$38)/COUNTIF(Distance_Matrix!$E$9:$DQ$9,1))),IF(2=$E47,1E+099,IF(COUNTIF(Distance_Matrix!$E$9:$DQ$9,2)=0,1E+099,SUMIF(Distance_Matrix!$E$9:$DQ$9,2,Distance_Matrix!$E$38:$DQ$38)/COUNTIF(Distance_Matrix!$E$9:$DQ$9,2))),IF(3=$E47,1E+099,IF(COUNTIF(Distance_Matrix!$E$9:$DQ$9,3)=0,1E+099,SUMIF(Distance_Matrix!$E$9:$DQ$9,3,Distance_Matrix!$E$38:$DQ$38)/COUNTIF(Distance_Matrix!$E$9:$DQ$9,3))))</f>
        <v>2.85687437164939</v>
      </c>
      <c r="J47" s="17" t="n">
        <f aca="false">IF(COUNTIF(Distance_Matrix!$E$9:$DQ$9,$E47)&lt;=1,0,(I47-H47)/MAX(H47,I47))</f>
        <v>0.566634245459476</v>
      </c>
      <c r="X47" s="17" t="n">
        <f aca="false">SQRT(($B47-X$16)^2+($C47-X$17)^2+($D47-X$18)^2)</f>
        <v>4.44423821278105</v>
      </c>
      <c r="Y47" s="17" t="n">
        <f aca="false">SQRT(($B47-Y$16)^2+($C47-Y$17)^2+($D47-Y$18)^2)</f>
        <v>3.97520414117928</v>
      </c>
      <c r="Z47" s="17" t="n">
        <f aca="false">SQRT(($B47-Z$16)^2+($C47-Z$17)^2+($D47-Z$18)^2)</f>
        <v>1.27752060457733</v>
      </c>
      <c r="AA47" s="63" t="n">
        <f aca="false">MATCH(MIN(X47:Z47),X47:Z47,0)</f>
        <v>3</v>
      </c>
      <c r="AC47" s="17" t="n">
        <f aca="false">SQRT(($B47-AC$16)^2+($C47-AC$17)^2+($D47-AC$18)^2)</f>
        <v>3.43891961843744</v>
      </c>
      <c r="AD47" s="17" t="n">
        <f aca="false">SQRT(($B47-AD$16)^2+($C47-AD$17)^2+($D47-AD$18)^2)</f>
        <v>2.97384673846729</v>
      </c>
      <c r="AE47" s="17" t="n">
        <f aca="false">SQRT(($B47-AE$16)^2+($C47-AE$17)^2+($D47-AE$18)^2)</f>
        <v>1.07004184256005</v>
      </c>
      <c r="AF47" s="63" t="n">
        <f aca="false">MATCH(MIN(AC47:AE47),AC47:AE47,0)</f>
        <v>3</v>
      </c>
      <c r="AH47" s="17" t="n">
        <f aca="false">SQRT(($B47-AH$16)^2+($C47-AH$17)^2+($D47-AH$18)^2)</f>
        <v>2.8083231917499</v>
      </c>
      <c r="AI47" s="17" t="n">
        <f aca="false">SQRT(($B47-AI$16)^2+($C47-AI$17)^2+($D47-AI$18)^2)</f>
        <v>2.8663476733971</v>
      </c>
      <c r="AJ47" s="17" t="n">
        <f aca="false">SQRT(($B47-AJ$16)^2+($C47-AJ$17)^2+($D47-AJ$18)^2)</f>
        <v>0.991978305069233</v>
      </c>
      <c r="AK47" s="63" t="n">
        <f aca="false">MATCH(MIN(AH47:AJ47),AH47:AJ47,0)</f>
        <v>3</v>
      </c>
      <c r="AM47" s="17" t="n">
        <f aca="false">SQRT(($B47-AM$16)^2+($C47-AM$17)^2+($D47-AM$18)^2)</f>
        <v>2.8083231917499</v>
      </c>
      <c r="AN47" s="17" t="n">
        <f aca="false">SQRT(($B47-AN$16)^2+($C47-AN$17)^2+($D47-AN$18)^2)</f>
        <v>2.85178036450021</v>
      </c>
      <c r="AO47" s="17" t="n">
        <f aca="false">SQRT(($B47-AO$16)^2+($C47-AO$17)^2+($D47-AO$18)^2)</f>
        <v>0.975374293624121</v>
      </c>
      <c r="AP47" s="63" t="n">
        <f aca="false">MATCH(MIN(AM47:AO47),AM47:AO47,0)</f>
        <v>3</v>
      </c>
      <c r="AR47" s="17" t="n">
        <f aca="false">SQRT(($B47-AR$16)^2+($C47-AR$17)^2+($D47-AR$18)^2)</f>
        <v>2.8083231917499</v>
      </c>
      <c r="AS47" s="17" t="n">
        <f aca="false">SQRT(($B47-AS$16)^2+($C47-AS$17)^2+($D47-AS$18)^2)</f>
        <v>2.85178036450021</v>
      </c>
      <c r="AT47" s="17" t="n">
        <f aca="false">SQRT(($B47-AT$16)^2+($C47-AT$17)^2+($D47-AT$18)^2)</f>
        <v>0.975374293624121</v>
      </c>
      <c r="AU47" s="63" t="n">
        <f aca="false">MATCH(MIN(AR47:AT47),AR47:AT47,0)</f>
        <v>3</v>
      </c>
      <c r="AW47" s="17" t="n">
        <f aca="false">SQRT(($B47-AW$16)^2+($C47-AW$17)^2+($D47-AW$18)^2)</f>
        <v>2.8083231917499</v>
      </c>
      <c r="AX47" s="17" t="n">
        <f aca="false">SQRT(($B47-AX$16)^2+($C47-AX$17)^2+($D47-AX$18)^2)</f>
        <v>2.85178036450021</v>
      </c>
      <c r="AY47" s="17" t="n">
        <f aca="false">SQRT(($B47-AY$16)^2+($C47-AY$17)^2+($D47-AY$18)^2)</f>
        <v>0.975374293624121</v>
      </c>
      <c r="AZ47" s="63" t="n">
        <f aca="false">MATCH(MIN(AW47:AY47),AW47:AY47,0)</f>
        <v>3</v>
      </c>
      <c r="BB47" s="17" t="n">
        <f aca="false">SQRT(($B47-BB$16)^2+($C47-BB$17)^2+($D47-BB$18)^2)</f>
        <v>2.8083231917499</v>
      </c>
      <c r="BC47" s="17" t="n">
        <f aca="false">SQRT(($B47-BC$16)^2+($C47-BC$17)^2+($D47-BC$18)^2)</f>
        <v>2.85178036450021</v>
      </c>
      <c r="BD47" s="17" t="n">
        <f aca="false">SQRT(($B47-BD$16)^2+($C47-BD$17)^2+($D47-BD$18)^2)</f>
        <v>0.975374293624121</v>
      </c>
      <c r="BE47" s="63" t="n">
        <f aca="false">MATCH(MIN(BB47:BD47),BB47:BD47,0)</f>
        <v>3</v>
      </c>
      <c r="BG47" s="17" t="n">
        <f aca="false">SQRT(($B47-BG$16)^2+($C47-BG$17)^2+($D47-BG$18)^2)</f>
        <v>2.8083231917499</v>
      </c>
      <c r="BH47" s="17" t="n">
        <f aca="false">SQRT(($B47-BH$16)^2+($C47-BH$17)^2+($D47-BH$18)^2)</f>
        <v>2.85178036450021</v>
      </c>
      <c r="BI47" s="17" t="n">
        <f aca="false">SQRT(($B47-BI$16)^2+($C47-BI$17)^2+($D47-BI$18)^2)</f>
        <v>0.975374293624121</v>
      </c>
      <c r="BJ47" s="63" t="n">
        <f aca="false">MATCH(MIN(BG47:BI47),BG47:BI47,0)</f>
        <v>3</v>
      </c>
      <c r="BL47" s="17" t="n">
        <f aca="false">SQRT(($B47-BL$16)^2+($C47-BL$17)^2+($D47-BL$18)^2)</f>
        <v>2.8083231917499</v>
      </c>
      <c r="BM47" s="17" t="n">
        <f aca="false">SQRT(($B47-BM$16)^2+($C47-BM$17)^2+($D47-BM$18)^2)</f>
        <v>2.85178036450021</v>
      </c>
      <c r="BN47" s="17" t="n">
        <f aca="false">SQRT(($B47-BN$16)^2+($C47-BN$17)^2+($D47-BN$18)^2)</f>
        <v>0.975374293624121</v>
      </c>
      <c r="BO47" s="63" t="n">
        <f aca="false">MATCH(MIN(BL47:BN47),BL47:BN47,0)</f>
        <v>3</v>
      </c>
      <c r="BQ47" s="17" t="n">
        <f aca="false">SQRT(($B47-BQ$16)^2+($C47-BQ$17)^2+($D47-BQ$18)^2)</f>
        <v>2.8083231917499</v>
      </c>
      <c r="BR47" s="17" t="n">
        <f aca="false">SQRT(($B47-BR$16)^2+($C47-BR$17)^2+($D47-BR$18)^2)</f>
        <v>2.85178036450021</v>
      </c>
      <c r="BS47" s="17" t="n">
        <f aca="false">SQRT(($B47-BS$16)^2+($C47-BS$17)^2+($D47-BS$18)^2)</f>
        <v>0.975374293624121</v>
      </c>
      <c r="BT47" s="63" t="n">
        <f aca="false">MATCH(MIN(BQ47:BS47),BQ47:BS47,0)</f>
        <v>3</v>
      </c>
      <c r="BV47" s="17" t="n">
        <f aca="false">SQRT(($B47-BV$16)^2+($C47-BV$17)^2+($D47-BV$18)^2)</f>
        <v>2.8083231917499</v>
      </c>
      <c r="BW47" s="17" t="n">
        <f aca="false">SQRT(($B47-BW$16)^2+($C47-BW$17)^2+($D47-BW$18)^2)</f>
        <v>2.85178036450021</v>
      </c>
      <c r="BX47" s="17" t="n">
        <f aca="false">SQRT(($B47-BX$16)^2+($C47-BX$17)^2+($D47-BX$18)^2)</f>
        <v>0.975374293624121</v>
      </c>
      <c r="BY47" s="63" t="n">
        <f aca="false">MATCH(MIN(BV47:BX47),BV47:BX47,0)</f>
        <v>3</v>
      </c>
      <c r="CA47" s="17" t="n">
        <f aca="false">SQRT(($B47-CA$16)^2+($C47-CA$17)^2+($D47-CA$18)^2)</f>
        <v>2.8083231917499</v>
      </c>
      <c r="CB47" s="17" t="n">
        <f aca="false">SQRT(($B47-CB$16)^2+($C47-CB$17)^2+($D47-CB$18)^2)</f>
        <v>2.85178036450021</v>
      </c>
      <c r="CC47" s="17" t="n">
        <f aca="false">SQRT(($B47-CC$16)^2+($C47-CC$17)^2+($D47-CC$18)^2)</f>
        <v>0.975374293624121</v>
      </c>
      <c r="CD47" s="63" t="n">
        <f aca="false">MATCH(MIN(CA47:CC47),CA47:CC47,0)</f>
        <v>3</v>
      </c>
    </row>
    <row r="48" customFormat="false" ht="15" hidden="false" customHeight="false" outlineLevel="0" collapsed="false">
      <c r="A48" s="36" t="str">
        <f aca="false">KMeans_Data!A30</f>
        <v>Shikarpur</v>
      </c>
      <c r="B48" s="17" t="n">
        <f aca="false">KMeans_Data!H30</f>
        <v>0.708204570744665</v>
      </c>
      <c r="C48" s="17" t="n">
        <f aca="false">KMeans_Data!I30</f>
        <v>0.803084449535714</v>
      </c>
      <c r="D48" s="17" t="n">
        <f aca="false">KMeans_Data!J30</f>
        <v>1.27840404836418</v>
      </c>
      <c r="E48" s="63" t="n">
        <f aca="false">CD48</f>
        <v>3</v>
      </c>
      <c r="F48" s="38" t="n">
        <f aca="false">($B48-INDEX($L$16:$N$16,E48))^2+($C48-INDEX($L$17:$N$17,E48))^2+($D48-INDEX($L$18:$N$18,E48))^2</f>
        <v>0.50220878580379</v>
      </c>
      <c r="G48" s="12" t="str">
        <f aca="false">INDEX($M$5:$M$7,E48)</f>
        <v>Medium burden</v>
      </c>
      <c r="H48" s="17" t="n">
        <f aca="false">IF(COUNTIF(Distance_Matrix!$E$9:$DQ$9,$E48)&lt;=1,0,SUMIF(Distance_Matrix!$E$9:$DQ$9,$E48,Distance_Matrix!$E$39:$DQ$39)/(COUNTIF(Distance_Matrix!$E$9:$DQ$9,$E48)-1))</f>
        <v>1.08040088927242</v>
      </c>
      <c r="I48" s="17" t="n">
        <f aca="false">MIN(IF(1=$E48,1E+099,IF(COUNTIF(Distance_Matrix!$E$9:$DQ$9,1)=0,1E+099,SUMIF(Distance_Matrix!$E$9:$DQ$9,1,Distance_Matrix!$E$39:$DQ$39)/COUNTIF(Distance_Matrix!$E$9:$DQ$9,1))),IF(2=$E48,1E+099,IF(COUNTIF(Distance_Matrix!$E$9:$DQ$9,2)=0,1E+099,SUMIF(Distance_Matrix!$E$9:$DQ$9,2,Distance_Matrix!$E$39:$DQ$39)/COUNTIF(Distance_Matrix!$E$9:$DQ$9,2))),IF(3=$E48,1E+099,IF(COUNTIF(Distance_Matrix!$E$9:$DQ$9,3)=0,1E+099,SUMIF(Distance_Matrix!$E$9:$DQ$9,3,Distance_Matrix!$E$39:$DQ$39)/COUNTIF(Distance_Matrix!$E$9:$DQ$9,3))))</f>
        <v>2.88341557296835</v>
      </c>
      <c r="J48" s="17" t="n">
        <f aca="false">IF(COUNTIF(Distance_Matrix!$E$9:$DQ$9,$E48)&lt;=1,0,(I48-H48)/MAX(H48,I48))</f>
        <v>0.6253051764716</v>
      </c>
      <c r="X48" s="17" t="n">
        <f aca="false">SQRT(($B48-X$16)^2+($C48-X$17)^2+($D48-X$18)^2)</f>
        <v>4.57744212550846</v>
      </c>
      <c r="Y48" s="17" t="n">
        <f aca="false">SQRT(($B48-Y$16)^2+($C48-Y$17)^2+($D48-Y$18)^2)</f>
        <v>3.97824420521485</v>
      </c>
      <c r="Z48" s="17" t="n">
        <f aca="false">SQRT(($B48-Z$16)^2+($C48-Z$17)^2+($D48-Z$18)^2)</f>
        <v>0.570357611491903</v>
      </c>
      <c r="AA48" s="63" t="n">
        <f aca="false">MATCH(MIN(X48:Z48),X48:Z48,0)</f>
        <v>3</v>
      </c>
      <c r="AC48" s="17" t="n">
        <f aca="false">SQRT(($B48-AC$16)^2+($C48-AC$17)^2+($D48-AC$18)^2)</f>
        <v>3.63507232449039</v>
      </c>
      <c r="AD48" s="17" t="n">
        <f aca="false">SQRT(($B48-AD$16)^2+($C48-AD$17)^2+($D48-AD$18)^2)</f>
        <v>2.94809023375966</v>
      </c>
      <c r="AE48" s="17" t="n">
        <f aca="false">SQRT(($B48-AE$16)^2+($C48-AE$17)^2+($D48-AE$18)^2)</f>
        <v>0.849189943762612</v>
      </c>
      <c r="AF48" s="63" t="n">
        <f aca="false">MATCH(MIN(AC48:AE48),AC48:AE48,0)</f>
        <v>3</v>
      </c>
      <c r="AH48" s="17" t="n">
        <f aca="false">SQRT(($B48-AH$16)^2+($C48-AH$17)^2+($D48-AH$18)^2)</f>
        <v>3.00830846652672</v>
      </c>
      <c r="AI48" s="17" t="n">
        <f aca="false">SQRT(($B48-AI$16)^2+($C48-AI$17)^2+($D48-AI$18)^2)</f>
        <v>2.83092741026176</v>
      </c>
      <c r="AJ48" s="17" t="n">
        <f aca="false">SQRT(($B48-AJ$16)^2+($C48-AJ$17)^2+($D48-AJ$18)^2)</f>
        <v>0.729198943789783</v>
      </c>
      <c r="AK48" s="63" t="n">
        <f aca="false">MATCH(MIN(AH48:AJ48),AH48:AJ48,0)</f>
        <v>3</v>
      </c>
      <c r="AM48" s="17" t="n">
        <f aca="false">SQRT(($B48-AM$16)^2+($C48-AM$17)^2+($D48-AM$18)^2)</f>
        <v>3.00830846652672</v>
      </c>
      <c r="AN48" s="17" t="n">
        <f aca="false">SQRT(($B48-AN$16)^2+($C48-AN$17)^2+($D48-AN$18)^2)</f>
        <v>2.8150454830204</v>
      </c>
      <c r="AO48" s="17" t="n">
        <f aca="false">SQRT(($B48-AO$16)^2+($C48-AO$17)^2+($D48-AO$18)^2)</f>
        <v>0.708666907512825</v>
      </c>
      <c r="AP48" s="63" t="n">
        <f aca="false">MATCH(MIN(AM48:AO48),AM48:AO48,0)</f>
        <v>3</v>
      </c>
      <c r="AR48" s="17" t="n">
        <f aca="false">SQRT(($B48-AR$16)^2+($C48-AR$17)^2+($D48-AR$18)^2)</f>
        <v>3.00830846652672</v>
      </c>
      <c r="AS48" s="17" t="n">
        <f aca="false">SQRT(($B48-AS$16)^2+($C48-AS$17)^2+($D48-AS$18)^2)</f>
        <v>2.8150454830204</v>
      </c>
      <c r="AT48" s="17" t="n">
        <f aca="false">SQRT(($B48-AT$16)^2+($C48-AT$17)^2+($D48-AT$18)^2)</f>
        <v>0.708666907512825</v>
      </c>
      <c r="AU48" s="63" t="n">
        <f aca="false">MATCH(MIN(AR48:AT48),AR48:AT48,0)</f>
        <v>3</v>
      </c>
      <c r="AW48" s="17" t="n">
        <f aca="false">SQRT(($B48-AW$16)^2+($C48-AW$17)^2+($D48-AW$18)^2)</f>
        <v>3.00830846652672</v>
      </c>
      <c r="AX48" s="17" t="n">
        <f aca="false">SQRT(($B48-AX$16)^2+($C48-AX$17)^2+($D48-AX$18)^2)</f>
        <v>2.8150454830204</v>
      </c>
      <c r="AY48" s="17" t="n">
        <f aca="false">SQRT(($B48-AY$16)^2+($C48-AY$17)^2+($D48-AY$18)^2)</f>
        <v>0.708666907512825</v>
      </c>
      <c r="AZ48" s="63" t="n">
        <f aca="false">MATCH(MIN(AW48:AY48),AW48:AY48,0)</f>
        <v>3</v>
      </c>
      <c r="BB48" s="17" t="n">
        <f aca="false">SQRT(($B48-BB$16)^2+($C48-BB$17)^2+($D48-BB$18)^2)</f>
        <v>3.00830846652672</v>
      </c>
      <c r="BC48" s="17" t="n">
        <f aca="false">SQRT(($B48-BC$16)^2+($C48-BC$17)^2+($D48-BC$18)^2)</f>
        <v>2.8150454830204</v>
      </c>
      <c r="BD48" s="17" t="n">
        <f aca="false">SQRT(($B48-BD$16)^2+($C48-BD$17)^2+($D48-BD$18)^2)</f>
        <v>0.708666907512825</v>
      </c>
      <c r="BE48" s="63" t="n">
        <f aca="false">MATCH(MIN(BB48:BD48),BB48:BD48,0)</f>
        <v>3</v>
      </c>
      <c r="BG48" s="17" t="n">
        <f aca="false">SQRT(($B48-BG$16)^2+($C48-BG$17)^2+($D48-BG$18)^2)</f>
        <v>3.00830846652672</v>
      </c>
      <c r="BH48" s="17" t="n">
        <f aca="false">SQRT(($B48-BH$16)^2+($C48-BH$17)^2+($D48-BH$18)^2)</f>
        <v>2.8150454830204</v>
      </c>
      <c r="BI48" s="17" t="n">
        <f aca="false">SQRT(($B48-BI$16)^2+($C48-BI$17)^2+($D48-BI$18)^2)</f>
        <v>0.708666907512825</v>
      </c>
      <c r="BJ48" s="63" t="n">
        <f aca="false">MATCH(MIN(BG48:BI48),BG48:BI48,0)</f>
        <v>3</v>
      </c>
      <c r="BL48" s="17" t="n">
        <f aca="false">SQRT(($B48-BL$16)^2+($C48-BL$17)^2+($D48-BL$18)^2)</f>
        <v>3.00830846652672</v>
      </c>
      <c r="BM48" s="17" t="n">
        <f aca="false">SQRT(($B48-BM$16)^2+($C48-BM$17)^2+($D48-BM$18)^2)</f>
        <v>2.8150454830204</v>
      </c>
      <c r="BN48" s="17" t="n">
        <f aca="false">SQRT(($B48-BN$16)^2+($C48-BN$17)^2+($D48-BN$18)^2)</f>
        <v>0.708666907512825</v>
      </c>
      <c r="BO48" s="63" t="n">
        <f aca="false">MATCH(MIN(BL48:BN48),BL48:BN48,0)</f>
        <v>3</v>
      </c>
      <c r="BQ48" s="17" t="n">
        <f aca="false">SQRT(($B48-BQ$16)^2+($C48-BQ$17)^2+($D48-BQ$18)^2)</f>
        <v>3.00830846652672</v>
      </c>
      <c r="BR48" s="17" t="n">
        <f aca="false">SQRT(($B48-BR$16)^2+($C48-BR$17)^2+($D48-BR$18)^2)</f>
        <v>2.8150454830204</v>
      </c>
      <c r="BS48" s="17" t="n">
        <f aca="false">SQRT(($B48-BS$16)^2+($C48-BS$17)^2+($D48-BS$18)^2)</f>
        <v>0.708666907512825</v>
      </c>
      <c r="BT48" s="63" t="n">
        <f aca="false">MATCH(MIN(BQ48:BS48),BQ48:BS48,0)</f>
        <v>3</v>
      </c>
      <c r="BV48" s="17" t="n">
        <f aca="false">SQRT(($B48-BV$16)^2+($C48-BV$17)^2+($D48-BV$18)^2)</f>
        <v>3.00830846652672</v>
      </c>
      <c r="BW48" s="17" t="n">
        <f aca="false">SQRT(($B48-BW$16)^2+($C48-BW$17)^2+($D48-BW$18)^2)</f>
        <v>2.8150454830204</v>
      </c>
      <c r="BX48" s="17" t="n">
        <f aca="false">SQRT(($B48-BX$16)^2+($C48-BX$17)^2+($D48-BX$18)^2)</f>
        <v>0.708666907512825</v>
      </c>
      <c r="BY48" s="63" t="n">
        <f aca="false">MATCH(MIN(BV48:BX48),BV48:BX48,0)</f>
        <v>3</v>
      </c>
      <c r="CA48" s="17" t="n">
        <f aca="false">SQRT(($B48-CA$16)^2+($C48-CA$17)^2+($D48-CA$18)^2)</f>
        <v>3.00830846652672</v>
      </c>
      <c r="CB48" s="17" t="n">
        <f aca="false">SQRT(($B48-CB$16)^2+($C48-CB$17)^2+($D48-CB$18)^2)</f>
        <v>2.8150454830204</v>
      </c>
      <c r="CC48" s="17" t="n">
        <f aca="false">SQRT(($B48-CC$16)^2+($C48-CC$17)^2+($D48-CC$18)^2)</f>
        <v>0.708666907512825</v>
      </c>
      <c r="CD48" s="63" t="n">
        <f aca="false">MATCH(MIN(CA48:CC48),CA48:CC48,0)</f>
        <v>3</v>
      </c>
    </row>
    <row r="49" customFormat="false" ht="15" hidden="false" customHeight="false" outlineLevel="0" collapsed="false">
      <c r="A49" s="36" t="str">
        <f aca="false">KMeans_Data!A31</f>
        <v>Rawalpindi</v>
      </c>
      <c r="B49" s="17" t="n">
        <f aca="false">KMeans_Data!H31</f>
        <v>0.645673058648075</v>
      </c>
      <c r="C49" s="17" t="n">
        <f aca="false">KMeans_Data!I31</f>
        <v>-0.146983133929529</v>
      </c>
      <c r="D49" s="17" t="n">
        <f aca="false">KMeans_Data!J31</f>
        <v>-1.14564411633355</v>
      </c>
      <c r="E49" s="63" t="n">
        <f aca="false">CD49</f>
        <v>2</v>
      </c>
      <c r="F49" s="38" t="n">
        <f aca="false">($B49-INDEX($L$16:$N$16,E49))^2+($C49-INDEX($L$17:$N$17,E49))^2+($D49-INDEX($L$18:$N$18,E49))^2</f>
        <v>2.03636763354969</v>
      </c>
      <c r="G49" s="12" t="str">
        <f aca="false">INDEX($M$5:$M$7,E49)</f>
        <v>Low burden</v>
      </c>
      <c r="H49" s="17" t="n">
        <f aca="false">IF(COUNTIF(Distance_Matrix!$E$9:$DQ$9,$E49)&lt;=1,0,SUMIF(Distance_Matrix!$E$9:$DQ$9,$E49,Distance_Matrix!$E$40:$DQ$40)/(COUNTIF(Distance_Matrix!$E$9:$DQ$9,$E49)-1))</f>
        <v>1.57339128027142</v>
      </c>
      <c r="I49" s="17" t="n">
        <f aca="false">MIN(IF(1=$E49,1E+099,IF(COUNTIF(Distance_Matrix!$E$9:$DQ$9,1)=0,1E+099,SUMIF(Distance_Matrix!$E$9:$DQ$9,1,Distance_Matrix!$E$40:$DQ$40)/COUNTIF(Distance_Matrix!$E$9:$DQ$9,1))),IF(2=$E49,1E+099,IF(COUNTIF(Distance_Matrix!$E$9:$DQ$9,2)=0,1E+099,SUMIF(Distance_Matrix!$E$9:$DQ$9,2,Distance_Matrix!$E$40:$DQ$40)/COUNTIF(Distance_Matrix!$E$9:$DQ$9,2))),IF(3=$E49,1E+099,IF(COUNTIF(Distance_Matrix!$E$9:$DQ$9,3)=0,1E+099,SUMIF(Distance_Matrix!$E$9:$DQ$9,3,Distance_Matrix!$E$40:$DQ$40)/COUNTIF(Distance_Matrix!$E$9:$DQ$9,3))))</f>
        <v>2.09265109494292</v>
      </c>
      <c r="J49" s="17" t="n">
        <f aca="false">IF(COUNTIF(Distance_Matrix!$E$9:$DQ$9,$E49)&lt;=1,0,(I49-H49)/MAX(H49,I49))</f>
        <v>0.248134921261523</v>
      </c>
      <c r="X49" s="17" t="n">
        <f aca="false">SQRT(($B49-X$16)^2+($C49-X$17)^2+($D49-X$18)^2)</f>
        <v>6.61637996962902</v>
      </c>
      <c r="Y49" s="17" t="n">
        <f aca="false">SQRT(($B49-Y$16)^2+($C49-Y$17)^2+($D49-Y$18)^2)</f>
        <v>2.77564255027266</v>
      </c>
      <c r="Z49" s="17" t="n">
        <f aca="false">SQRT(($B49-Z$16)^2+($C49-Z$17)^2+($D49-Z$18)^2)</f>
        <v>2.6969311940684</v>
      </c>
      <c r="AA49" s="63" t="n">
        <f aca="false">MATCH(MIN(X49:Z49),X49:Z49,0)</f>
        <v>3</v>
      </c>
      <c r="AC49" s="17" t="n">
        <f aca="false">SQRT(($B49-AC$16)^2+($C49-AC$17)^2+($D49-AC$18)^2)</f>
        <v>5.59145301899737</v>
      </c>
      <c r="AD49" s="17" t="n">
        <f aca="false">SQRT(($B49-AD$16)^2+($C49-AD$17)^2+($D49-AD$18)^2)</f>
        <v>1.52860917976666</v>
      </c>
      <c r="AE49" s="17" t="n">
        <f aca="false">SQRT(($B49-AE$16)^2+($C49-AE$17)^2+($D49-AE$18)^2)</f>
        <v>1.80865699779937</v>
      </c>
      <c r="AF49" s="63" t="n">
        <f aca="false">MATCH(MIN(AC49:AE49),AC49:AE49,0)</f>
        <v>2</v>
      </c>
      <c r="AH49" s="17" t="n">
        <f aca="false">SQRT(($B49-AH$16)^2+($C49-AH$17)^2+($D49-AH$18)^2)</f>
        <v>4.97137984499415</v>
      </c>
      <c r="AI49" s="17" t="n">
        <f aca="false">SQRT(($B49-AI$16)^2+($C49-AI$17)^2+($D49-AI$18)^2)</f>
        <v>1.42902646108862</v>
      </c>
      <c r="AJ49" s="17" t="n">
        <f aca="false">SQRT(($B49-AJ$16)^2+($C49-AJ$17)^2+($D49-AJ$18)^2)</f>
        <v>1.92642265923026</v>
      </c>
      <c r="AK49" s="63" t="n">
        <f aca="false">MATCH(MIN(AH49:AJ49),AH49:AJ49,0)</f>
        <v>2</v>
      </c>
      <c r="AM49" s="17" t="n">
        <f aca="false">SQRT(($B49-AM$16)^2+($C49-AM$17)^2+($D49-AM$18)^2)</f>
        <v>4.97137984499415</v>
      </c>
      <c r="AN49" s="17" t="n">
        <f aca="false">SQRT(($B49-AN$16)^2+($C49-AN$17)^2+($D49-AN$18)^2)</f>
        <v>1.42701353656848</v>
      </c>
      <c r="AO49" s="17" t="n">
        <f aca="false">SQRT(($B49-AO$16)^2+($C49-AO$17)^2+($D49-AO$18)^2)</f>
        <v>1.93961112925935</v>
      </c>
      <c r="AP49" s="63" t="n">
        <f aca="false">MATCH(MIN(AM49:AO49),AM49:AO49,0)</f>
        <v>2</v>
      </c>
      <c r="AR49" s="17" t="n">
        <f aca="false">SQRT(($B49-AR$16)^2+($C49-AR$17)^2+($D49-AR$18)^2)</f>
        <v>4.97137984499415</v>
      </c>
      <c r="AS49" s="17" t="n">
        <f aca="false">SQRT(($B49-AS$16)^2+($C49-AS$17)^2+($D49-AS$18)^2)</f>
        <v>1.42701353656848</v>
      </c>
      <c r="AT49" s="17" t="n">
        <f aca="false">SQRT(($B49-AT$16)^2+($C49-AT$17)^2+($D49-AT$18)^2)</f>
        <v>1.93961112925935</v>
      </c>
      <c r="AU49" s="63" t="n">
        <f aca="false">MATCH(MIN(AR49:AT49),AR49:AT49,0)</f>
        <v>2</v>
      </c>
      <c r="AW49" s="17" t="n">
        <f aca="false">SQRT(($B49-AW$16)^2+($C49-AW$17)^2+($D49-AW$18)^2)</f>
        <v>4.97137984499415</v>
      </c>
      <c r="AX49" s="17" t="n">
        <f aca="false">SQRT(($B49-AX$16)^2+($C49-AX$17)^2+($D49-AX$18)^2)</f>
        <v>1.42701353656848</v>
      </c>
      <c r="AY49" s="17" t="n">
        <f aca="false">SQRT(($B49-AY$16)^2+($C49-AY$17)^2+($D49-AY$18)^2)</f>
        <v>1.93961112925935</v>
      </c>
      <c r="AZ49" s="63" t="n">
        <f aca="false">MATCH(MIN(AW49:AY49),AW49:AY49,0)</f>
        <v>2</v>
      </c>
      <c r="BB49" s="17" t="n">
        <f aca="false">SQRT(($B49-BB$16)^2+($C49-BB$17)^2+($D49-BB$18)^2)</f>
        <v>4.97137984499415</v>
      </c>
      <c r="BC49" s="17" t="n">
        <f aca="false">SQRT(($B49-BC$16)^2+($C49-BC$17)^2+($D49-BC$18)^2)</f>
        <v>1.42701353656848</v>
      </c>
      <c r="BD49" s="17" t="n">
        <f aca="false">SQRT(($B49-BD$16)^2+($C49-BD$17)^2+($D49-BD$18)^2)</f>
        <v>1.93961112925935</v>
      </c>
      <c r="BE49" s="63" t="n">
        <f aca="false">MATCH(MIN(BB49:BD49),BB49:BD49,0)</f>
        <v>2</v>
      </c>
      <c r="BG49" s="17" t="n">
        <f aca="false">SQRT(($B49-BG$16)^2+($C49-BG$17)^2+($D49-BG$18)^2)</f>
        <v>4.97137984499415</v>
      </c>
      <c r="BH49" s="17" t="n">
        <f aca="false">SQRT(($B49-BH$16)^2+($C49-BH$17)^2+($D49-BH$18)^2)</f>
        <v>1.42701353656848</v>
      </c>
      <c r="BI49" s="17" t="n">
        <f aca="false">SQRT(($B49-BI$16)^2+($C49-BI$17)^2+($D49-BI$18)^2)</f>
        <v>1.93961112925935</v>
      </c>
      <c r="BJ49" s="63" t="n">
        <f aca="false">MATCH(MIN(BG49:BI49),BG49:BI49,0)</f>
        <v>2</v>
      </c>
      <c r="BL49" s="17" t="n">
        <f aca="false">SQRT(($B49-BL$16)^2+($C49-BL$17)^2+($D49-BL$18)^2)</f>
        <v>4.97137984499415</v>
      </c>
      <c r="BM49" s="17" t="n">
        <f aca="false">SQRT(($B49-BM$16)^2+($C49-BM$17)^2+($D49-BM$18)^2)</f>
        <v>1.42701353656848</v>
      </c>
      <c r="BN49" s="17" t="n">
        <f aca="false">SQRT(($B49-BN$16)^2+($C49-BN$17)^2+($D49-BN$18)^2)</f>
        <v>1.93961112925935</v>
      </c>
      <c r="BO49" s="63" t="n">
        <f aca="false">MATCH(MIN(BL49:BN49),BL49:BN49,0)</f>
        <v>2</v>
      </c>
      <c r="BQ49" s="17" t="n">
        <f aca="false">SQRT(($B49-BQ$16)^2+($C49-BQ$17)^2+($D49-BQ$18)^2)</f>
        <v>4.97137984499415</v>
      </c>
      <c r="BR49" s="17" t="n">
        <f aca="false">SQRT(($B49-BR$16)^2+($C49-BR$17)^2+($D49-BR$18)^2)</f>
        <v>1.42701353656848</v>
      </c>
      <c r="BS49" s="17" t="n">
        <f aca="false">SQRT(($B49-BS$16)^2+($C49-BS$17)^2+($D49-BS$18)^2)</f>
        <v>1.93961112925935</v>
      </c>
      <c r="BT49" s="63" t="n">
        <f aca="false">MATCH(MIN(BQ49:BS49),BQ49:BS49,0)</f>
        <v>2</v>
      </c>
      <c r="BV49" s="17" t="n">
        <f aca="false">SQRT(($B49-BV$16)^2+($C49-BV$17)^2+($D49-BV$18)^2)</f>
        <v>4.97137984499415</v>
      </c>
      <c r="BW49" s="17" t="n">
        <f aca="false">SQRT(($B49-BW$16)^2+($C49-BW$17)^2+($D49-BW$18)^2)</f>
        <v>1.42701353656848</v>
      </c>
      <c r="BX49" s="17" t="n">
        <f aca="false">SQRT(($B49-BX$16)^2+($C49-BX$17)^2+($D49-BX$18)^2)</f>
        <v>1.93961112925935</v>
      </c>
      <c r="BY49" s="63" t="n">
        <f aca="false">MATCH(MIN(BV49:BX49),BV49:BX49,0)</f>
        <v>2</v>
      </c>
      <c r="CA49" s="17" t="n">
        <f aca="false">SQRT(($B49-CA$16)^2+($C49-CA$17)^2+($D49-CA$18)^2)</f>
        <v>4.97137984499415</v>
      </c>
      <c r="CB49" s="17" t="n">
        <f aca="false">SQRT(($B49-CB$16)^2+($C49-CB$17)^2+($D49-CB$18)^2)</f>
        <v>1.42701353656848</v>
      </c>
      <c r="CC49" s="17" t="n">
        <f aca="false">SQRT(($B49-CC$16)^2+($C49-CC$17)^2+($D49-CC$18)^2)</f>
        <v>1.93961112925935</v>
      </c>
      <c r="CD49" s="63" t="n">
        <f aca="false">MATCH(MIN(CA49:CC49),CA49:CC49,0)</f>
        <v>2</v>
      </c>
    </row>
    <row r="50" customFormat="false" ht="15" hidden="false" customHeight="false" outlineLevel="0" collapsed="false">
      <c r="A50" s="36" t="str">
        <f aca="false">KMeans_Data!A32</f>
        <v>Buner</v>
      </c>
      <c r="B50" s="17" t="n">
        <f aca="false">KMeans_Data!H32</f>
        <v>0.602395784980437</v>
      </c>
      <c r="C50" s="17" t="n">
        <f aca="false">KMeans_Data!I32</f>
        <v>0.686180001083741</v>
      </c>
      <c r="D50" s="17" t="n">
        <f aca="false">KMeans_Data!J32</f>
        <v>0.8732151368336</v>
      </c>
      <c r="E50" s="63" t="n">
        <f aca="false">CD50</f>
        <v>3</v>
      </c>
      <c r="F50" s="38" t="n">
        <f aca="false">($B50-INDEX($L$16:$N$16,E50))^2+($C50-INDEX($L$17:$N$17,E50))^2+($D50-INDEX($L$18:$N$18,E50))^2</f>
        <v>0.0986320347738243</v>
      </c>
      <c r="G50" s="12" t="str">
        <f aca="false">INDEX($M$5:$M$7,E50)</f>
        <v>Medium burden</v>
      </c>
      <c r="H50" s="17" t="n">
        <f aca="false">IF(COUNTIF(Distance_Matrix!$E$9:$DQ$9,$E50)&lt;=1,0,SUMIF(Distance_Matrix!$E$9:$DQ$9,$E50,Distance_Matrix!$E$41:$DQ$41)/(COUNTIF(Distance_Matrix!$E$9:$DQ$9,$E50)-1))</f>
        <v>0.919986734425173</v>
      </c>
      <c r="I50" s="17" t="n">
        <f aca="false">MIN(IF(1=$E50,1E+099,IF(COUNTIF(Distance_Matrix!$E$9:$DQ$9,1)=0,1E+099,SUMIF(Distance_Matrix!$E$9:$DQ$9,1,Distance_Matrix!$E$41:$DQ$41)/COUNTIF(Distance_Matrix!$E$9:$DQ$9,1))),IF(2=$E50,1E+099,IF(COUNTIF(Distance_Matrix!$E$9:$DQ$9,2)=0,1E+099,SUMIF(Distance_Matrix!$E$9:$DQ$9,2,Distance_Matrix!$E$41:$DQ$41)/COUNTIF(Distance_Matrix!$E$9:$DQ$9,2))),IF(3=$E50,1E+099,IF(COUNTIF(Distance_Matrix!$E$9:$DQ$9,3)=0,1E+099,SUMIF(Distance_Matrix!$E$9:$DQ$9,3,Distance_Matrix!$E$41:$DQ$41)/COUNTIF(Distance_Matrix!$E$9:$DQ$9,3))))</f>
        <v>2.50102145944007</v>
      </c>
      <c r="J50" s="17" t="n">
        <f aca="false">IF(COUNTIF(Distance_Matrix!$E$9:$DQ$9,$E50)&lt;=1,0,(I50-H50)/MAX(H50,I50))</f>
        <v>0.632155601483268</v>
      </c>
      <c r="X50" s="17" t="n">
        <f aca="false">SQRT(($B50-X$16)^2+($C50-X$17)^2+($D50-X$18)^2)</f>
        <v>4.90321696714872</v>
      </c>
      <c r="Y50" s="17" t="n">
        <f aca="false">SQRT(($B50-Y$16)^2+($C50-Y$17)^2+($D50-Y$18)^2)</f>
        <v>3.62160940481517</v>
      </c>
      <c r="Z50" s="17" t="n">
        <f aca="false">SQRT(($B50-Z$16)^2+($C50-Z$17)^2+($D50-Z$18)^2)</f>
        <v>0.800226637856308</v>
      </c>
      <c r="AA50" s="63" t="n">
        <f aca="false">MATCH(MIN(X50:Z50),X50:Z50,0)</f>
        <v>3</v>
      </c>
      <c r="AC50" s="17" t="n">
        <f aca="false">SQRT(($B50-AC$16)^2+($C50-AC$17)^2+($D50-AC$18)^2)</f>
        <v>3.93188936377797</v>
      </c>
      <c r="AD50" s="17" t="n">
        <f aca="false">SQRT(($B50-AD$16)^2+($C50-AD$17)^2+($D50-AD$18)^2)</f>
        <v>2.5543570049822</v>
      </c>
      <c r="AE50" s="17" t="n">
        <f aca="false">SQRT(($B50-AE$16)^2+($C50-AE$17)^2+($D50-AE$18)^2)</f>
        <v>0.45016777333637</v>
      </c>
      <c r="AF50" s="63" t="n">
        <f aca="false">MATCH(MIN(AC50:AE50),AC50:AE50,0)</f>
        <v>3</v>
      </c>
      <c r="AH50" s="17" t="n">
        <f aca="false">SQRT(($B50-AH$16)^2+($C50-AH$17)^2+($D50-AH$18)^2)</f>
        <v>3.29745012107546</v>
      </c>
      <c r="AI50" s="17" t="n">
        <f aca="false">SQRT(($B50-AI$16)^2+($C50-AI$17)^2+($D50-AI$18)^2)</f>
        <v>2.43596884610886</v>
      </c>
      <c r="AJ50" s="17" t="n">
        <f aca="false">SQRT(($B50-AJ$16)^2+($C50-AJ$17)^2+($D50-AJ$18)^2)</f>
        <v>0.334766731533431</v>
      </c>
      <c r="AK50" s="63" t="n">
        <f aca="false">MATCH(MIN(AH50:AJ50),AH50:AJ50,0)</f>
        <v>3</v>
      </c>
      <c r="AM50" s="17" t="n">
        <f aca="false">SQRT(($B50-AM$16)^2+($C50-AM$17)^2+($D50-AM$18)^2)</f>
        <v>3.29745012107546</v>
      </c>
      <c r="AN50" s="17" t="n">
        <f aca="false">SQRT(($B50-AN$16)^2+($C50-AN$17)^2+($D50-AN$18)^2)</f>
        <v>2.42040852707418</v>
      </c>
      <c r="AO50" s="17" t="n">
        <f aca="false">SQRT(($B50-AO$16)^2+($C50-AO$17)^2+($D50-AO$18)^2)</f>
        <v>0.314057374971237</v>
      </c>
      <c r="AP50" s="63" t="n">
        <f aca="false">MATCH(MIN(AM50:AO50),AM50:AO50,0)</f>
        <v>3</v>
      </c>
      <c r="AR50" s="17" t="n">
        <f aca="false">SQRT(($B50-AR$16)^2+($C50-AR$17)^2+($D50-AR$18)^2)</f>
        <v>3.29745012107546</v>
      </c>
      <c r="AS50" s="17" t="n">
        <f aca="false">SQRT(($B50-AS$16)^2+($C50-AS$17)^2+($D50-AS$18)^2)</f>
        <v>2.42040852707418</v>
      </c>
      <c r="AT50" s="17" t="n">
        <f aca="false">SQRT(($B50-AT$16)^2+($C50-AT$17)^2+($D50-AT$18)^2)</f>
        <v>0.314057374971237</v>
      </c>
      <c r="AU50" s="63" t="n">
        <f aca="false">MATCH(MIN(AR50:AT50),AR50:AT50,0)</f>
        <v>3</v>
      </c>
      <c r="AW50" s="17" t="n">
        <f aca="false">SQRT(($B50-AW$16)^2+($C50-AW$17)^2+($D50-AW$18)^2)</f>
        <v>3.29745012107546</v>
      </c>
      <c r="AX50" s="17" t="n">
        <f aca="false">SQRT(($B50-AX$16)^2+($C50-AX$17)^2+($D50-AX$18)^2)</f>
        <v>2.42040852707418</v>
      </c>
      <c r="AY50" s="17" t="n">
        <f aca="false">SQRT(($B50-AY$16)^2+($C50-AY$17)^2+($D50-AY$18)^2)</f>
        <v>0.314057374971237</v>
      </c>
      <c r="AZ50" s="63" t="n">
        <f aca="false">MATCH(MIN(AW50:AY50),AW50:AY50,0)</f>
        <v>3</v>
      </c>
      <c r="BB50" s="17" t="n">
        <f aca="false">SQRT(($B50-BB$16)^2+($C50-BB$17)^2+($D50-BB$18)^2)</f>
        <v>3.29745012107546</v>
      </c>
      <c r="BC50" s="17" t="n">
        <f aca="false">SQRT(($B50-BC$16)^2+($C50-BC$17)^2+($D50-BC$18)^2)</f>
        <v>2.42040852707418</v>
      </c>
      <c r="BD50" s="17" t="n">
        <f aca="false">SQRT(($B50-BD$16)^2+($C50-BD$17)^2+($D50-BD$18)^2)</f>
        <v>0.314057374971237</v>
      </c>
      <c r="BE50" s="63" t="n">
        <f aca="false">MATCH(MIN(BB50:BD50),BB50:BD50,0)</f>
        <v>3</v>
      </c>
      <c r="BG50" s="17" t="n">
        <f aca="false">SQRT(($B50-BG$16)^2+($C50-BG$17)^2+($D50-BG$18)^2)</f>
        <v>3.29745012107546</v>
      </c>
      <c r="BH50" s="17" t="n">
        <f aca="false">SQRT(($B50-BH$16)^2+($C50-BH$17)^2+($D50-BH$18)^2)</f>
        <v>2.42040852707418</v>
      </c>
      <c r="BI50" s="17" t="n">
        <f aca="false">SQRT(($B50-BI$16)^2+($C50-BI$17)^2+($D50-BI$18)^2)</f>
        <v>0.314057374971237</v>
      </c>
      <c r="BJ50" s="63" t="n">
        <f aca="false">MATCH(MIN(BG50:BI50),BG50:BI50,0)</f>
        <v>3</v>
      </c>
      <c r="BL50" s="17" t="n">
        <f aca="false">SQRT(($B50-BL$16)^2+($C50-BL$17)^2+($D50-BL$18)^2)</f>
        <v>3.29745012107546</v>
      </c>
      <c r="BM50" s="17" t="n">
        <f aca="false">SQRT(($B50-BM$16)^2+($C50-BM$17)^2+($D50-BM$18)^2)</f>
        <v>2.42040852707418</v>
      </c>
      <c r="BN50" s="17" t="n">
        <f aca="false">SQRT(($B50-BN$16)^2+($C50-BN$17)^2+($D50-BN$18)^2)</f>
        <v>0.314057374971237</v>
      </c>
      <c r="BO50" s="63" t="n">
        <f aca="false">MATCH(MIN(BL50:BN50),BL50:BN50,0)</f>
        <v>3</v>
      </c>
      <c r="BQ50" s="17" t="n">
        <f aca="false">SQRT(($B50-BQ$16)^2+($C50-BQ$17)^2+($D50-BQ$18)^2)</f>
        <v>3.29745012107546</v>
      </c>
      <c r="BR50" s="17" t="n">
        <f aca="false">SQRT(($B50-BR$16)^2+($C50-BR$17)^2+($D50-BR$18)^2)</f>
        <v>2.42040852707418</v>
      </c>
      <c r="BS50" s="17" t="n">
        <f aca="false">SQRT(($B50-BS$16)^2+($C50-BS$17)^2+($D50-BS$18)^2)</f>
        <v>0.314057374971237</v>
      </c>
      <c r="BT50" s="63" t="n">
        <f aca="false">MATCH(MIN(BQ50:BS50),BQ50:BS50,0)</f>
        <v>3</v>
      </c>
      <c r="BV50" s="17" t="n">
        <f aca="false">SQRT(($B50-BV$16)^2+($C50-BV$17)^2+($D50-BV$18)^2)</f>
        <v>3.29745012107546</v>
      </c>
      <c r="BW50" s="17" t="n">
        <f aca="false">SQRT(($B50-BW$16)^2+($C50-BW$17)^2+($D50-BW$18)^2)</f>
        <v>2.42040852707418</v>
      </c>
      <c r="BX50" s="17" t="n">
        <f aca="false">SQRT(($B50-BX$16)^2+($C50-BX$17)^2+($D50-BX$18)^2)</f>
        <v>0.314057374971237</v>
      </c>
      <c r="BY50" s="63" t="n">
        <f aca="false">MATCH(MIN(BV50:BX50),BV50:BX50,0)</f>
        <v>3</v>
      </c>
      <c r="CA50" s="17" t="n">
        <f aca="false">SQRT(($B50-CA$16)^2+($C50-CA$17)^2+($D50-CA$18)^2)</f>
        <v>3.29745012107546</v>
      </c>
      <c r="CB50" s="17" t="n">
        <f aca="false">SQRT(($B50-CB$16)^2+($C50-CB$17)^2+($D50-CB$18)^2)</f>
        <v>2.42040852707418</v>
      </c>
      <c r="CC50" s="17" t="n">
        <f aca="false">SQRT(($B50-CC$16)^2+($C50-CC$17)^2+($D50-CC$18)^2)</f>
        <v>0.314057374971237</v>
      </c>
      <c r="CD50" s="63" t="n">
        <f aca="false">MATCH(MIN(CA50:CC50),CA50:CC50,0)</f>
        <v>3</v>
      </c>
    </row>
    <row r="51" customFormat="false" ht="15" hidden="false" customHeight="false" outlineLevel="0" collapsed="false">
      <c r="A51" s="36" t="str">
        <f aca="false">KMeans_Data!A33</f>
        <v>Sargodha</v>
      </c>
      <c r="B51" s="17" t="n">
        <f aca="false">KMeans_Data!H33</f>
        <v>0.577753548760862</v>
      </c>
      <c r="C51" s="17" t="n">
        <f aca="false">KMeans_Data!I33</f>
        <v>-0.672650545388274</v>
      </c>
      <c r="D51" s="17" t="n">
        <f aca="false">KMeans_Data!J33</f>
        <v>-0.399845222909568</v>
      </c>
      <c r="E51" s="63" t="n">
        <f aca="false">CD51</f>
        <v>2</v>
      </c>
      <c r="F51" s="38" t="n">
        <f aca="false">($B51-INDEX($L$16:$N$16,E51))^2+($C51-INDEX($L$17:$N$17,E51))^2+($D51-INDEX($L$18:$N$18,E51))^2</f>
        <v>1.59656740059095</v>
      </c>
      <c r="G51" s="12" t="str">
        <f aca="false">INDEX($M$5:$M$7,E51)</f>
        <v>Low burden</v>
      </c>
      <c r="H51" s="17" t="n">
        <f aca="false">IF(COUNTIF(Distance_Matrix!$E$9:$DQ$9,$E51)&lt;=1,0,SUMIF(Distance_Matrix!$E$9:$DQ$9,$E51,Distance_Matrix!$E$42:$DQ$42)/(COUNTIF(Distance_Matrix!$E$9:$DQ$9,$E51)-1))</f>
        <v>1.39758777788426</v>
      </c>
      <c r="I51" s="17" t="n">
        <f aca="false">MIN(IF(1=$E51,1E+099,IF(COUNTIF(Distance_Matrix!$E$9:$DQ$9,1)=0,1E+099,SUMIF(Distance_Matrix!$E$9:$DQ$9,1,Distance_Matrix!$E$42:$DQ$42)/COUNTIF(Distance_Matrix!$E$9:$DQ$9,1))),IF(2=$E51,1E+099,IF(COUNTIF(Distance_Matrix!$E$9:$DQ$9,2)=0,1E+099,SUMIF(Distance_Matrix!$E$9:$DQ$9,2,Distance_Matrix!$E$42:$DQ$42)/COUNTIF(Distance_Matrix!$E$9:$DQ$9,2))),IF(3=$E51,1E+099,IF(COUNTIF(Distance_Matrix!$E$9:$DQ$9,3)=0,1E+099,SUMIF(Distance_Matrix!$E$9:$DQ$9,3,Distance_Matrix!$E$42:$DQ$42)/COUNTIF(Distance_Matrix!$E$9:$DQ$9,3))))</f>
        <v>1.74102564037073</v>
      </c>
      <c r="J51" s="17" t="n">
        <f aca="false">IF(COUNTIF(Distance_Matrix!$E$9:$DQ$9,$E51)&lt;=1,0,(I51-H51)/MAX(H51,I51))</f>
        <v>0.197261806215184</v>
      </c>
      <c r="X51" s="17" t="n">
        <f aca="false">SQRT(($B51-X$16)^2+($C51-X$17)^2+($D51-X$18)^2)</f>
        <v>6.54299969229988</v>
      </c>
      <c r="Y51" s="17" t="n">
        <f aca="false">SQRT(($B51-Y$16)^2+($C51-Y$17)^2+($D51-Y$18)^2)</f>
        <v>2.76015891289846</v>
      </c>
      <c r="Z51" s="17" t="n">
        <f aca="false">SQRT(($B51-Z$16)^2+($C51-Z$17)^2+($D51-Z$18)^2)</f>
        <v>2.19416414393801</v>
      </c>
      <c r="AA51" s="63" t="n">
        <f aca="false">MATCH(MIN(X51:Z51),X51:Z51,0)</f>
        <v>3</v>
      </c>
      <c r="AC51" s="17" t="n">
        <f aca="false">SQRT(($B51-AC$16)^2+($C51-AC$17)^2+($D51-AC$18)^2)</f>
        <v>5.55207627924579</v>
      </c>
      <c r="AD51" s="17" t="n">
        <f aca="false">SQRT(($B51-AD$16)^2+($C51-AD$17)^2+($D51-AD$18)^2)</f>
        <v>1.40859853798333</v>
      </c>
      <c r="AE51" s="17" t="n">
        <f aca="false">SQRT(($B51-AE$16)^2+($C51-AE$17)^2+($D51-AE$18)^2)</f>
        <v>1.4239123133616</v>
      </c>
      <c r="AF51" s="63" t="n">
        <f aca="false">MATCH(MIN(AC51:AE51),AC51:AE51,0)</f>
        <v>2</v>
      </c>
      <c r="AH51" s="17" t="n">
        <f aca="false">SQRT(($B51-AH$16)^2+($C51-AH$17)^2+($D51-AH$18)^2)</f>
        <v>4.92027007534534</v>
      </c>
      <c r="AI51" s="17" t="n">
        <f aca="false">SQRT(($B51-AI$16)^2+($C51-AI$17)^2+($D51-AI$18)^2)</f>
        <v>1.27079919351461</v>
      </c>
      <c r="AJ51" s="17" t="n">
        <f aca="false">SQRT(($B51-AJ$16)^2+($C51-AJ$17)^2+($D51-AJ$18)^2)</f>
        <v>1.5465162149845</v>
      </c>
      <c r="AK51" s="63" t="n">
        <f aca="false">MATCH(MIN(AH51:AJ51),AH51:AJ51,0)</f>
        <v>2</v>
      </c>
      <c r="AM51" s="17" t="n">
        <f aca="false">SQRT(($B51-AM$16)^2+($C51-AM$17)^2+($D51-AM$18)^2)</f>
        <v>4.92027007534534</v>
      </c>
      <c r="AN51" s="17" t="n">
        <f aca="false">SQRT(($B51-AN$16)^2+($C51-AN$17)^2+($D51-AN$18)^2)</f>
        <v>1.26355348149216</v>
      </c>
      <c r="AO51" s="17" t="n">
        <f aca="false">SQRT(($B51-AO$16)^2+($C51-AO$17)^2+($D51-AO$18)^2)</f>
        <v>1.5622637376042</v>
      </c>
      <c r="AP51" s="63" t="n">
        <f aca="false">MATCH(MIN(AM51:AO51),AM51:AO51,0)</f>
        <v>2</v>
      </c>
      <c r="AR51" s="17" t="n">
        <f aca="false">SQRT(($B51-AR$16)^2+($C51-AR$17)^2+($D51-AR$18)^2)</f>
        <v>4.92027007534534</v>
      </c>
      <c r="AS51" s="17" t="n">
        <f aca="false">SQRT(($B51-AS$16)^2+($C51-AS$17)^2+($D51-AS$18)^2)</f>
        <v>1.26355348149216</v>
      </c>
      <c r="AT51" s="17" t="n">
        <f aca="false">SQRT(($B51-AT$16)^2+($C51-AT$17)^2+($D51-AT$18)^2)</f>
        <v>1.5622637376042</v>
      </c>
      <c r="AU51" s="63" t="n">
        <f aca="false">MATCH(MIN(AR51:AT51),AR51:AT51,0)</f>
        <v>2</v>
      </c>
      <c r="AW51" s="17" t="n">
        <f aca="false">SQRT(($B51-AW$16)^2+($C51-AW$17)^2+($D51-AW$18)^2)</f>
        <v>4.92027007534534</v>
      </c>
      <c r="AX51" s="17" t="n">
        <f aca="false">SQRT(($B51-AX$16)^2+($C51-AX$17)^2+($D51-AX$18)^2)</f>
        <v>1.26355348149216</v>
      </c>
      <c r="AY51" s="17" t="n">
        <f aca="false">SQRT(($B51-AY$16)^2+($C51-AY$17)^2+($D51-AY$18)^2)</f>
        <v>1.5622637376042</v>
      </c>
      <c r="AZ51" s="63" t="n">
        <f aca="false">MATCH(MIN(AW51:AY51),AW51:AY51,0)</f>
        <v>2</v>
      </c>
      <c r="BB51" s="17" t="n">
        <f aca="false">SQRT(($B51-BB$16)^2+($C51-BB$17)^2+($D51-BB$18)^2)</f>
        <v>4.92027007534534</v>
      </c>
      <c r="BC51" s="17" t="n">
        <f aca="false">SQRT(($B51-BC$16)^2+($C51-BC$17)^2+($D51-BC$18)^2)</f>
        <v>1.26355348149216</v>
      </c>
      <c r="BD51" s="17" t="n">
        <f aca="false">SQRT(($B51-BD$16)^2+($C51-BD$17)^2+($D51-BD$18)^2)</f>
        <v>1.5622637376042</v>
      </c>
      <c r="BE51" s="63" t="n">
        <f aca="false">MATCH(MIN(BB51:BD51),BB51:BD51,0)</f>
        <v>2</v>
      </c>
      <c r="BG51" s="17" t="n">
        <f aca="false">SQRT(($B51-BG$16)^2+($C51-BG$17)^2+($D51-BG$18)^2)</f>
        <v>4.92027007534534</v>
      </c>
      <c r="BH51" s="17" t="n">
        <f aca="false">SQRT(($B51-BH$16)^2+($C51-BH$17)^2+($D51-BH$18)^2)</f>
        <v>1.26355348149216</v>
      </c>
      <c r="BI51" s="17" t="n">
        <f aca="false">SQRT(($B51-BI$16)^2+($C51-BI$17)^2+($D51-BI$18)^2)</f>
        <v>1.5622637376042</v>
      </c>
      <c r="BJ51" s="63" t="n">
        <f aca="false">MATCH(MIN(BG51:BI51),BG51:BI51,0)</f>
        <v>2</v>
      </c>
      <c r="BL51" s="17" t="n">
        <f aca="false">SQRT(($B51-BL$16)^2+($C51-BL$17)^2+($D51-BL$18)^2)</f>
        <v>4.92027007534534</v>
      </c>
      <c r="BM51" s="17" t="n">
        <f aca="false">SQRT(($B51-BM$16)^2+($C51-BM$17)^2+($D51-BM$18)^2)</f>
        <v>1.26355348149216</v>
      </c>
      <c r="BN51" s="17" t="n">
        <f aca="false">SQRT(($B51-BN$16)^2+($C51-BN$17)^2+($D51-BN$18)^2)</f>
        <v>1.5622637376042</v>
      </c>
      <c r="BO51" s="63" t="n">
        <f aca="false">MATCH(MIN(BL51:BN51),BL51:BN51,0)</f>
        <v>2</v>
      </c>
      <c r="BQ51" s="17" t="n">
        <f aca="false">SQRT(($B51-BQ$16)^2+($C51-BQ$17)^2+($D51-BQ$18)^2)</f>
        <v>4.92027007534534</v>
      </c>
      <c r="BR51" s="17" t="n">
        <f aca="false">SQRT(($B51-BR$16)^2+($C51-BR$17)^2+($D51-BR$18)^2)</f>
        <v>1.26355348149216</v>
      </c>
      <c r="BS51" s="17" t="n">
        <f aca="false">SQRT(($B51-BS$16)^2+($C51-BS$17)^2+($D51-BS$18)^2)</f>
        <v>1.5622637376042</v>
      </c>
      <c r="BT51" s="63" t="n">
        <f aca="false">MATCH(MIN(BQ51:BS51),BQ51:BS51,0)</f>
        <v>2</v>
      </c>
      <c r="BV51" s="17" t="n">
        <f aca="false">SQRT(($B51-BV$16)^2+($C51-BV$17)^2+($D51-BV$18)^2)</f>
        <v>4.92027007534534</v>
      </c>
      <c r="BW51" s="17" t="n">
        <f aca="false">SQRT(($B51-BW$16)^2+($C51-BW$17)^2+($D51-BW$18)^2)</f>
        <v>1.26355348149216</v>
      </c>
      <c r="BX51" s="17" t="n">
        <f aca="false">SQRT(($B51-BX$16)^2+($C51-BX$17)^2+($D51-BX$18)^2)</f>
        <v>1.5622637376042</v>
      </c>
      <c r="BY51" s="63" t="n">
        <f aca="false">MATCH(MIN(BV51:BX51),BV51:BX51,0)</f>
        <v>2</v>
      </c>
      <c r="CA51" s="17" t="n">
        <f aca="false">SQRT(($B51-CA$16)^2+($C51-CA$17)^2+($D51-CA$18)^2)</f>
        <v>4.92027007534534</v>
      </c>
      <c r="CB51" s="17" t="n">
        <f aca="false">SQRT(($B51-CB$16)^2+($C51-CB$17)^2+($D51-CB$18)^2)</f>
        <v>1.26355348149216</v>
      </c>
      <c r="CC51" s="17" t="n">
        <f aca="false">SQRT(($B51-CC$16)^2+($C51-CC$17)^2+($D51-CC$18)^2)</f>
        <v>1.5622637376042</v>
      </c>
      <c r="CD51" s="63" t="n">
        <f aca="false">MATCH(MIN(CA51:CC51),CA51:CC51,0)</f>
        <v>2</v>
      </c>
    </row>
    <row r="52" customFormat="false" ht="15" hidden="false" customHeight="false" outlineLevel="0" collapsed="false">
      <c r="A52" s="36" t="str">
        <f aca="false">KMeans_Data!A34</f>
        <v>Shaheed Benazirabad</v>
      </c>
      <c r="B52" s="17" t="n">
        <f aca="false">KMeans_Data!H34</f>
        <v>0.577753548760862</v>
      </c>
      <c r="C52" s="17" t="n">
        <f aca="false">KMeans_Data!I34</f>
        <v>0.160512589624996</v>
      </c>
      <c r="D52" s="17" t="n">
        <f aca="false">KMeans_Data!J34</f>
        <v>0.781544486275172</v>
      </c>
      <c r="E52" s="63" t="n">
        <f aca="false">CD52</f>
        <v>3</v>
      </c>
      <c r="F52" s="38" t="n">
        <f aca="false">($B52-INDEX($L$16:$N$16,E52))^2+($C52-INDEX($L$17:$N$17,E52))^2+($D52-INDEX($L$18:$N$18,E52))^2</f>
        <v>0.0844273622223061</v>
      </c>
      <c r="G52" s="12" t="str">
        <f aca="false">INDEX($M$5:$M$7,E52)</f>
        <v>Medium burden</v>
      </c>
      <c r="H52" s="17" t="n">
        <f aca="false">IF(COUNTIF(Distance_Matrix!$E$9:$DQ$9,$E52)&lt;=1,0,SUMIF(Distance_Matrix!$E$9:$DQ$9,$E52,Distance_Matrix!$E$43:$DQ$43)/(COUNTIF(Distance_Matrix!$E$9:$DQ$9,$E52)-1))</f>
        <v>0.927242134664285</v>
      </c>
      <c r="I52" s="17" t="n">
        <f aca="false">MIN(IF(1=$E52,1E+099,IF(COUNTIF(Distance_Matrix!$E$9:$DQ$9,1)=0,1E+099,SUMIF(Distance_Matrix!$E$9:$DQ$9,1,Distance_Matrix!$E$43:$DQ$43)/COUNTIF(Distance_Matrix!$E$9:$DQ$9,1))),IF(2=$E52,1E+099,IF(COUNTIF(Distance_Matrix!$E$9:$DQ$9,2)=0,1E+099,SUMIF(Distance_Matrix!$E$9:$DQ$9,2,Distance_Matrix!$E$43:$DQ$43)/COUNTIF(Distance_Matrix!$E$9:$DQ$9,2))),IF(3=$E52,1E+099,IF(COUNTIF(Distance_Matrix!$E$9:$DQ$9,3)=0,1E+099,SUMIF(Distance_Matrix!$E$9:$DQ$9,3,Distance_Matrix!$E$43:$DQ$43)/COUNTIF(Distance_Matrix!$E$9:$DQ$9,3))))</f>
        <v>2.18183592185705</v>
      </c>
      <c r="J52" s="17" t="n">
        <f aca="false">IF(COUNTIF(Distance_Matrix!$E$9:$DQ$9,$E52)&lt;=1,0,(I52-H52)/MAX(H52,I52))</f>
        <v>0.575017477081837</v>
      </c>
      <c r="X52" s="17" t="n">
        <f aca="false">SQRT(($B52-X$16)^2+($C52-X$17)^2+($D52-X$18)^2)</f>
        <v>5.33100349295761</v>
      </c>
      <c r="Y52" s="17" t="n">
        <f aca="false">SQRT(($B52-Y$16)^2+($C52-Y$17)^2+($D52-Y$18)^2)</f>
        <v>3.38680940629828</v>
      </c>
      <c r="Z52" s="17" t="n">
        <f aca="false">SQRT(($B52-Z$16)^2+($C52-Z$17)^2+($D52-Z$18)^2)</f>
        <v>0.85635508280799</v>
      </c>
      <c r="AA52" s="63" t="n">
        <f aca="false">MATCH(MIN(X52:Z52),X52:Z52,0)</f>
        <v>3</v>
      </c>
      <c r="AC52" s="17" t="n">
        <f aca="false">SQRT(($B52-AC$16)^2+($C52-AC$17)^2+($D52-AC$18)^2)</f>
        <v>4.3728027598107</v>
      </c>
      <c r="AD52" s="17" t="n">
        <f aca="false">SQRT(($B52-AD$16)^2+($C52-AD$17)^2+($D52-AD$18)^2)</f>
        <v>2.2434839480704</v>
      </c>
      <c r="AE52" s="17" t="n">
        <f aca="false">SQRT(($B52-AE$16)^2+($C52-AE$17)^2+($D52-AE$18)^2)</f>
        <v>0.280043833615706</v>
      </c>
      <c r="AF52" s="63" t="n">
        <f aca="false">MATCH(MIN(AC52:AE52),AC52:AE52,0)</f>
        <v>3</v>
      </c>
      <c r="AH52" s="17" t="n">
        <f aca="false">SQRT(($B52-AH$16)^2+($C52-AH$17)^2+($D52-AH$18)^2)</f>
        <v>3.73959729411281</v>
      </c>
      <c r="AI52" s="17" t="n">
        <f aca="false">SQRT(($B52-AI$16)^2+($C52-AI$17)^2+($D52-AI$18)^2)</f>
        <v>2.11548777680464</v>
      </c>
      <c r="AJ52" s="17" t="n">
        <f aca="false">SQRT(($B52-AJ$16)^2+($C52-AJ$17)^2+($D52-AJ$18)^2)</f>
        <v>0.286952463296104</v>
      </c>
      <c r="AK52" s="63" t="n">
        <f aca="false">MATCH(MIN(AH52:AJ52),AH52:AJ52,0)</f>
        <v>3</v>
      </c>
      <c r="AM52" s="17" t="n">
        <f aca="false">SQRT(($B52-AM$16)^2+($C52-AM$17)^2+($D52-AM$18)^2)</f>
        <v>3.73959729411281</v>
      </c>
      <c r="AN52" s="17" t="n">
        <f aca="false">SQRT(($B52-AN$16)^2+($C52-AN$17)^2+($D52-AN$18)^2)</f>
        <v>2.10013727823465</v>
      </c>
      <c r="AO52" s="17" t="n">
        <f aca="false">SQRT(($B52-AO$16)^2+($C52-AO$17)^2+($D52-AO$18)^2)</f>
        <v>0.290563869437179</v>
      </c>
      <c r="AP52" s="63" t="n">
        <f aca="false">MATCH(MIN(AM52:AO52),AM52:AO52,0)</f>
        <v>3</v>
      </c>
      <c r="AR52" s="17" t="n">
        <f aca="false">SQRT(($B52-AR$16)^2+($C52-AR$17)^2+($D52-AR$18)^2)</f>
        <v>3.73959729411281</v>
      </c>
      <c r="AS52" s="17" t="n">
        <f aca="false">SQRT(($B52-AS$16)^2+($C52-AS$17)^2+($D52-AS$18)^2)</f>
        <v>2.10013727823465</v>
      </c>
      <c r="AT52" s="17" t="n">
        <f aca="false">SQRT(($B52-AT$16)^2+($C52-AT$17)^2+($D52-AT$18)^2)</f>
        <v>0.290563869437179</v>
      </c>
      <c r="AU52" s="63" t="n">
        <f aca="false">MATCH(MIN(AR52:AT52),AR52:AT52,0)</f>
        <v>3</v>
      </c>
      <c r="AW52" s="17" t="n">
        <f aca="false">SQRT(($B52-AW$16)^2+($C52-AW$17)^2+($D52-AW$18)^2)</f>
        <v>3.73959729411281</v>
      </c>
      <c r="AX52" s="17" t="n">
        <f aca="false">SQRT(($B52-AX$16)^2+($C52-AX$17)^2+($D52-AX$18)^2)</f>
        <v>2.10013727823465</v>
      </c>
      <c r="AY52" s="17" t="n">
        <f aca="false">SQRT(($B52-AY$16)^2+($C52-AY$17)^2+($D52-AY$18)^2)</f>
        <v>0.290563869437179</v>
      </c>
      <c r="AZ52" s="63" t="n">
        <f aca="false">MATCH(MIN(AW52:AY52),AW52:AY52,0)</f>
        <v>3</v>
      </c>
      <c r="BB52" s="17" t="n">
        <f aca="false">SQRT(($B52-BB$16)^2+($C52-BB$17)^2+($D52-BB$18)^2)</f>
        <v>3.73959729411281</v>
      </c>
      <c r="BC52" s="17" t="n">
        <f aca="false">SQRT(($B52-BC$16)^2+($C52-BC$17)^2+($D52-BC$18)^2)</f>
        <v>2.10013727823465</v>
      </c>
      <c r="BD52" s="17" t="n">
        <f aca="false">SQRT(($B52-BD$16)^2+($C52-BD$17)^2+($D52-BD$18)^2)</f>
        <v>0.290563869437179</v>
      </c>
      <c r="BE52" s="63" t="n">
        <f aca="false">MATCH(MIN(BB52:BD52),BB52:BD52,0)</f>
        <v>3</v>
      </c>
      <c r="BG52" s="17" t="n">
        <f aca="false">SQRT(($B52-BG$16)^2+($C52-BG$17)^2+($D52-BG$18)^2)</f>
        <v>3.73959729411281</v>
      </c>
      <c r="BH52" s="17" t="n">
        <f aca="false">SQRT(($B52-BH$16)^2+($C52-BH$17)^2+($D52-BH$18)^2)</f>
        <v>2.10013727823465</v>
      </c>
      <c r="BI52" s="17" t="n">
        <f aca="false">SQRT(($B52-BI$16)^2+($C52-BI$17)^2+($D52-BI$18)^2)</f>
        <v>0.290563869437179</v>
      </c>
      <c r="BJ52" s="63" t="n">
        <f aca="false">MATCH(MIN(BG52:BI52),BG52:BI52,0)</f>
        <v>3</v>
      </c>
      <c r="BL52" s="17" t="n">
        <f aca="false">SQRT(($B52-BL$16)^2+($C52-BL$17)^2+($D52-BL$18)^2)</f>
        <v>3.73959729411281</v>
      </c>
      <c r="BM52" s="17" t="n">
        <f aca="false">SQRT(($B52-BM$16)^2+($C52-BM$17)^2+($D52-BM$18)^2)</f>
        <v>2.10013727823465</v>
      </c>
      <c r="BN52" s="17" t="n">
        <f aca="false">SQRT(($B52-BN$16)^2+($C52-BN$17)^2+($D52-BN$18)^2)</f>
        <v>0.290563869437179</v>
      </c>
      <c r="BO52" s="63" t="n">
        <f aca="false">MATCH(MIN(BL52:BN52),BL52:BN52,0)</f>
        <v>3</v>
      </c>
      <c r="BQ52" s="17" t="n">
        <f aca="false">SQRT(($B52-BQ$16)^2+($C52-BQ$17)^2+($D52-BQ$18)^2)</f>
        <v>3.73959729411281</v>
      </c>
      <c r="BR52" s="17" t="n">
        <f aca="false">SQRT(($B52-BR$16)^2+($C52-BR$17)^2+($D52-BR$18)^2)</f>
        <v>2.10013727823465</v>
      </c>
      <c r="BS52" s="17" t="n">
        <f aca="false">SQRT(($B52-BS$16)^2+($C52-BS$17)^2+($D52-BS$18)^2)</f>
        <v>0.290563869437179</v>
      </c>
      <c r="BT52" s="63" t="n">
        <f aca="false">MATCH(MIN(BQ52:BS52),BQ52:BS52,0)</f>
        <v>3</v>
      </c>
      <c r="BV52" s="17" t="n">
        <f aca="false">SQRT(($B52-BV$16)^2+($C52-BV$17)^2+($D52-BV$18)^2)</f>
        <v>3.73959729411281</v>
      </c>
      <c r="BW52" s="17" t="n">
        <f aca="false">SQRT(($B52-BW$16)^2+($C52-BW$17)^2+($D52-BW$18)^2)</f>
        <v>2.10013727823465</v>
      </c>
      <c r="BX52" s="17" t="n">
        <f aca="false">SQRT(($B52-BX$16)^2+($C52-BX$17)^2+($D52-BX$18)^2)</f>
        <v>0.290563869437179</v>
      </c>
      <c r="BY52" s="63" t="n">
        <f aca="false">MATCH(MIN(BV52:BX52),BV52:BX52,0)</f>
        <v>3</v>
      </c>
      <c r="CA52" s="17" t="n">
        <f aca="false">SQRT(($B52-CA$16)^2+($C52-CA$17)^2+($D52-CA$18)^2)</f>
        <v>3.73959729411281</v>
      </c>
      <c r="CB52" s="17" t="n">
        <f aca="false">SQRT(($B52-CB$16)^2+($C52-CB$17)^2+($D52-CB$18)^2)</f>
        <v>2.10013727823465</v>
      </c>
      <c r="CC52" s="17" t="n">
        <f aca="false">SQRT(($B52-CC$16)^2+($C52-CC$17)^2+($D52-CC$18)^2)</f>
        <v>0.290563869437179</v>
      </c>
      <c r="CD52" s="63" t="n">
        <f aca="false">MATCH(MIN(CA52:CC52),CA52:CC52,0)</f>
        <v>3</v>
      </c>
    </row>
    <row r="53" customFormat="false" ht="15" hidden="false" customHeight="false" outlineLevel="0" collapsed="false">
      <c r="A53" s="36" t="str">
        <f aca="false">KMeans_Data!A35</f>
        <v>Gujrat</v>
      </c>
      <c r="B53" s="17" t="n">
        <f aca="false">KMeans_Data!H35</f>
        <v>0.574589587542617</v>
      </c>
      <c r="C53" s="17" t="n">
        <f aca="false">KMeans_Data!I35</f>
        <v>-0.672650545388274</v>
      </c>
      <c r="D53" s="17" t="n">
        <f aca="false">KMeans_Data!J35</f>
        <v>-0.399845222909568</v>
      </c>
      <c r="E53" s="63" t="n">
        <f aca="false">CD53</f>
        <v>2</v>
      </c>
      <c r="F53" s="38" t="n">
        <f aca="false">($B53-INDEX($L$16:$N$16,E53))^2+($C53-INDEX($L$17:$N$17,E53))^2+($D53-INDEX($L$18:$N$18,E53))^2</f>
        <v>1.58888635211944</v>
      </c>
      <c r="G53" s="12" t="str">
        <f aca="false">INDEX($M$5:$M$7,E53)</f>
        <v>Low burden</v>
      </c>
      <c r="H53" s="17" t="n">
        <f aca="false">IF(COUNTIF(Distance_Matrix!$E$9:$DQ$9,$E53)&lt;=1,0,SUMIF(Distance_Matrix!$E$9:$DQ$9,$E53,Distance_Matrix!$E$44:$DQ$44)/(COUNTIF(Distance_Matrix!$E$9:$DQ$9,$E53)-1))</f>
        <v>1.39493628904539</v>
      </c>
      <c r="I53" s="17" t="n">
        <f aca="false">MIN(IF(1=$E53,1E+099,IF(COUNTIF(Distance_Matrix!$E$9:$DQ$9,1)=0,1E+099,SUMIF(Distance_Matrix!$E$9:$DQ$9,1,Distance_Matrix!$E$44:$DQ$44)/COUNTIF(Distance_Matrix!$E$9:$DQ$9,1))),IF(2=$E53,1E+099,IF(COUNTIF(Distance_Matrix!$E$9:$DQ$9,2)=0,1E+099,SUMIF(Distance_Matrix!$E$9:$DQ$9,2,Distance_Matrix!$E$44:$DQ$44)/COUNTIF(Distance_Matrix!$E$9:$DQ$9,2))),IF(3=$E53,1E+099,IF(COUNTIF(Distance_Matrix!$E$9:$DQ$9,3)=0,1E+099,SUMIF(Distance_Matrix!$E$9:$DQ$9,3,Distance_Matrix!$E$44:$DQ$44)/COUNTIF(Distance_Matrix!$E$9:$DQ$9,3))))</f>
        <v>1.7407867748536</v>
      </c>
      <c r="J53" s="17" t="n">
        <f aca="false">IF(COUNTIF(Distance_Matrix!$E$9:$DQ$9,$E53)&lt;=1,0,(I53-H53)/MAX(H53,I53))</f>
        <v>0.198674812334382</v>
      </c>
      <c r="X53" s="17" t="n">
        <f aca="false">SQRT(($B53-X$16)^2+($C53-X$17)^2+($D53-X$18)^2)</f>
        <v>6.54430428513413</v>
      </c>
      <c r="Y53" s="17" t="n">
        <f aca="false">SQRT(($B53-Y$16)^2+($C53-Y$17)^2+($D53-Y$18)^2)</f>
        <v>2.75711277150979</v>
      </c>
      <c r="Z53" s="17" t="n">
        <f aca="false">SQRT(($B53-Z$16)^2+($C53-Z$17)^2+($D53-Z$18)^2)</f>
        <v>2.19482903863084</v>
      </c>
      <c r="AA53" s="63" t="n">
        <f aca="false">MATCH(MIN(X53:Z53),X53:Z53,0)</f>
        <v>3</v>
      </c>
      <c r="AC53" s="17" t="n">
        <f aca="false">SQRT(($B53-AC$16)^2+($C53-AC$17)^2+($D53-AC$18)^2)</f>
        <v>5.55334830252147</v>
      </c>
      <c r="AD53" s="17" t="n">
        <f aca="false">SQRT(($B53-AD$16)^2+($C53-AD$17)^2+($D53-AD$18)^2)</f>
        <v>1.40558418649866</v>
      </c>
      <c r="AE53" s="17" t="n">
        <f aca="false">SQRT(($B53-AE$16)^2+($C53-AE$17)^2+($D53-AE$18)^2)</f>
        <v>1.42376348387634</v>
      </c>
      <c r="AF53" s="63" t="n">
        <f aca="false">MATCH(MIN(AC53:AE53),AC53:AE53,0)</f>
        <v>2</v>
      </c>
      <c r="AH53" s="17" t="n">
        <f aca="false">SQRT(($B53-AH$16)^2+($C53-AH$17)^2+($D53-AH$18)^2)</f>
        <v>4.92149621956809</v>
      </c>
      <c r="AI53" s="17" t="n">
        <f aca="false">SQRT(($B53-AI$16)^2+($C53-AI$17)^2+($D53-AI$18)^2)</f>
        <v>1.26776406922012</v>
      </c>
      <c r="AJ53" s="17" t="n">
        <f aca="false">SQRT(($B53-AJ$16)^2+($C53-AJ$17)^2+($D53-AJ$18)^2)</f>
        <v>1.54637578826273</v>
      </c>
      <c r="AK53" s="63" t="n">
        <f aca="false">MATCH(MIN(AH53:AJ53),AH53:AJ53,0)</f>
        <v>2</v>
      </c>
      <c r="AM53" s="17" t="n">
        <f aca="false">SQRT(($B53-AM$16)^2+($C53-AM$17)^2+($D53-AM$18)^2)</f>
        <v>4.92149621956809</v>
      </c>
      <c r="AN53" s="17" t="n">
        <f aca="false">SQRT(($B53-AN$16)^2+($C53-AN$17)^2+($D53-AN$18)^2)</f>
        <v>1.2605103538327</v>
      </c>
      <c r="AO53" s="17" t="n">
        <f aca="false">SQRT(($B53-AO$16)^2+($C53-AO$17)^2+($D53-AO$18)^2)</f>
        <v>1.56216320671691</v>
      </c>
      <c r="AP53" s="63" t="n">
        <f aca="false">MATCH(MIN(AM53:AO53),AM53:AO53,0)</f>
        <v>2</v>
      </c>
      <c r="AR53" s="17" t="n">
        <f aca="false">SQRT(($B53-AR$16)^2+($C53-AR$17)^2+($D53-AR$18)^2)</f>
        <v>4.92149621956809</v>
      </c>
      <c r="AS53" s="17" t="n">
        <f aca="false">SQRT(($B53-AS$16)^2+($C53-AS$17)^2+($D53-AS$18)^2)</f>
        <v>1.2605103538327</v>
      </c>
      <c r="AT53" s="17" t="n">
        <f aca="false">SQRT(($B53-AT$16)^2+($C53-AT$17)^2+($D53-AT$18)^2)</f>
        <v>1.56216320671691</v>
      </c>
      <c r="AU53" s="63" t="n">
        <f aca="false">MATCH(MIN(AR53:AT53),AR53:AT53,0)</f>
        <v>2</v>
      </c>
      <c r="AW53" s="17" t="n">
        <f aca="false">SQRT(($B53-AW$16)^2+($C53-AW$17)^2+($D53-AW$18)^2)</f>
        <v>4.92149621956809</v>
      </c>
      <c r="AX53" s="17" t="n">
        <f aca="false">SQRT(($B53-AX$16)^2+($C53-AX$17)^2+($D53-AX$18)^2)</f>
        <v>1.2605103538327</v>
      </c>
      <c r="AY53" s="17" t="n">
        <f aca="false">SQRT(($B53-AY$16)^2+($C53-AY$17)^2+($D53-AY$18)^2)</f>
        <v>1.56216320671691</v>
      </c>
      <c r="AZ53" s="63" t="n">
        <f aca="false">MATCH(MIN(AW53:AY53),AW53:AY53,0)</f>
        <v>2</v>
      </c>
      <c r="BB53" s="17" t="n">
        <f aca="false">SQRT(($B53-BB$16)^2+($C53-BB$17)^2+($D53-BB$18)^2)</f>
        <v>4.92149621956809</v>
      </c>
      <c r="BC53" s="17" t="n">
        <f aca="false">SQRT(($B53-BC$16)^2+($C53-BC$17)^2+($D53-BC$18)^2)</f>
        <v>1.2605103538327</v>
      </c>
      <c r="BD53" s="17" t="n">
        <f aca="false">SQRT(($B53-BD$16)^2+($C53-BD$17)^2+($D53-BD$18)^2)</f>
        <v>1.56216320671691</v>
      </c>
      <c r="BE53" s="63" t="n">
        <f aca="false">MATCH(MIN(BB53:BD53),BB53:BD53,0)</f>
        <v>2</v>
      </c>
      <c r="BG53" s="17" t="n">
        <f aca="false">SQRT(($B53-BG$16)^2+($C53-BG$17)^2+($D53-BG$18)^2)</f>
        <v>4.92149621956809</v>
      </c>
      <c r="BH53" s="17" t="n">
        <f aca="false">SQRT(($B53-BH$16)^2+($C53-BH$17)^2+($D53-BH$18)^2)</f>
        <v>1.2605103538327</v>
      </c>
      <c r="BI53" s="17" t="n">
        <f aca="false">SQRT(($B53-BI$16)^2+($C53-BI$17)^2+($D53-BI$18)^2)</f>
        <v>1.56216320671691</v>
      </c>
      <c r="BJ53" s="63" t="n">
        <f aca="false">MATCH(MIN(BG53:BI53),BG53:BI53,0)</f>
        <v>2</v>
      </c>
      <c r="BL53" s="17" t="n">
        <f aca="false">SQRT(($B53-BL$16)^2+($C53-BL$17)^2+($D53-BL$18)^2)</f>
        <v>4.92149621956809</v>
      </c>
      <c r="BM53" s="17" t="n">
        <f aca="false">SQRT(($B53-BM$16)^2+($C53-BM$17)^2+($D53-BM$18)^2)</f>
        <v>1.2605103538327</v>
      </c>
      <c r="BN53" s="17" t="n">
        <f aca="false">SQRT(($B53-BN$16)^2+($C53-BN$17)^2+($D53-BN$18)^2)</f>
        <v>1.56216320671691</v>
      </c>
      <c r="BO53" s="63" t="n">
        <f aca="false">MATCH(MIN(BL53:BN53),BL53:BN53,0)</f>
        <v>2</v>
      </c>
      <c r="BQ53" s="17" t="n">
        <f aca="false">SQRT(($B53-BQ$16)^2+($C53-BQ$17)^2+($D53-BQ$18)^2)</f>
        <v>4.92149621956809</v>
      </c>
      <c r="BR53" s="17" t="n">
        <f aca="false">SQRT(($B53-BR$16)^2+($C53-BR$17)^2+($D53-BR$18)^2)</f>
        <v>1.2605103538327</v>
      </c>
      <c r="BS53" s="17" t="n">
        <f aca="false">SQRT(($B53-BS$16)^2+($C53-BS$17)^2+($D53-BS$18)^2)</f>
        <v>1.56216320671691</v>
      </c>
      <c r="BT53" s="63" t="n">
        <f aca="false">MATCH(MIN(BQ53:BS53),BQ53:BS53,0)</f>
        <v>2</v>
      </c>
      <c r="BV53" s="17" t="n">
        <f aca="false">SQRT(($B53-BV$16)^2+($C53-BV$17)^2+($D53-BV$18)^2)</f>
        <v>4.92149621956809</v>
      </c>
      <c r="BW53" s="17" t="n">
        <f aca="false">SQRT(($B53-BW$16)^2+($C53-BW$17)^2+($D53-BW$18)^2)</f>
        <v>1.2605103538327</v>
      </c>
      <c r="BX53" s="17" t="n">
        <f aca="false">SQRT(($B53-BX$16)^2+($C53-BX$17)^2+($D53-BX$18)^2)</f>
        <v>1.56216320671691</v>
      </c>
      <c r="BY53" s="63" t="n">
        <f aca="false">MATCH(MIN(BV53:BX53),BV53:BX53,0)</f>
        <v>2</v>
      </c>
      <c r="CA53" s="17" t="n">
        <f aca="false">SQRT(($B53-CA$16)^2+($C53-CA$17)^2+($D53-CA$18)^2)</f>
        <v>4.92149621956809</v>
      </c>
      <c r="CB53" s="17" t="n">
        <f aca="false">SQRT(($B53-CB$16)^2+($C53-CB$17)^2+($D53-CB$18)^2)</f>
        <v>1.2605103538327</v>
      </c>
      <c r="CC53" s="17" t="n">
        <f aca="false">SQRT(($B53-CC$16)^2+($C53-CC$17)^2+($D53-CC$18)^2)</f>
        <v>1.56216320671691</v>
      </c>
      <c r="CD53" s="63" t="n">
        <f aca="false">MATCH(MIN(CA53:CC53),CA53:CC53,0)</f>
        <v>2</v>
      </c>
    </row>
    <row r="54" customFormat="false" ht="15" hidden="false" customHeight="false" outlineLevel="0" collapsed="false">
      <c r="A54" s="36" t="str">
        <f aca="false">KMeans_Data!A36</f>
        <v>Dera Ismail Khan</v>
      </c>
      <c r="B54" s="17" t="n">
        <f aca="false">KMeans_Data!H36</f>
        <v>0.568203372235645</v>
      </c>
      <c r="C54" s="17" t="n">
        <f aca="false">KMeans_Data!I36</f>
        <v>0.547911385844501</v>
      </c>
      <c r="D54" s="17" t="n">
        <f aca="false">KMeans_Data!J36</f>
        <v>1.11347799131462</v>
      </c>
      <c r="E54" s="63" t="n">
        <f aca="false">CD54</f>
        <v>3</v>
      </c>
      <c r="F54" s="38" t="n">
        <f aca="false">($B54-INDEX($L$16:$N$16,E54))^2+($C54-INDEX($L$17:$N$17,E54))^2+($D54-INDEX($L$18:$N$18,E54))^2</f>
        <v>0.184821077544419</v>
      </c>
      <c r="G54" s="12" t="str">
        <f aca="false">INDEX($M$5:$M$7,E54)</f>
        <v>Medium burden</v>
      </c>
      <c r="H54" s="17" t="n">
        <f aca="false">IF(COUNTIF(Distance_Matrix!$E$9:$DQ$9,$E54)&lt;=1,0,SUMIF(Distance_Matrix!$E$9:$DQ$9,$E54,Distance_Matrix!$E$45:$DQ$45)/(COUNTIF(Distance_Matrix!$E$9:$DQ$9,$E54)-1))</f>
        <v>0.967634181091543</v>
      </c>
      <c r="I54" s="17" t="n">
        <f aca="false">MIN(IF(1=$E54,1E+099,IF(COUNTIF(Distance_Matrix!$E$9:$DQ$9,1)=0,1E+099,SUMIF(Distance_Matrix!$E$9:$DQ$9,1,Distance_Matrix!$E$45:$DQ$45)/COUNTIF(Distance_Matrix!$E$9:$DQ$9,1))),IF(2=$E54,1E+099,IF(COUNTIF(Distance_Matrix!$E$9:$DQ$9,2)=0,1E+099,SUMIF(Distance_Matrix!$E$9:$DQ$9,2,Distance_Matrix!$E$45:$DQ$45)/COUNTIF(Distance_Matrix!$E$9:$DQ$9,2))),IF(3=$E54,1E+099,IF(COUNTIF(Distance_Matrix!$E$9:$DQ$9,3)=0,1E+099,SUMIF(Distance_Matrix!$E$9:$DQ$9,3,Distance_Matrix!$E$45:$DQ$45)/COUNTIF(Distance_Matrix!$E$9:$DQ$9,3))))</f>
        <v>2.57832424996027</v>
      </c>
      <c r="J54" s="17" t="n">
        <f aca="false">IF(COUNTIF(Distance_Matrix!$E$9:$DQ$9,$E54)&lt;=1,0,(I54-H54)/MAX(H54,I54))</f>
        <v>0.624704231398959</v>
      </c>
      <c r="X54" s="17" t="n">
        <f aca="false">SQRT(($B54-X$16)^2+($C54-X$17)^2+($D54-X$18)^2)</f>
        <v>4.90774869404622</v>
      </c>
      <c r="Y54" s="17" t="n">
        <f aca="false">SQRT(($B54-Y$16)^2+($C54-Y$17)^2+($D54-Y$18)^2)</f>
        <v>3.68849529478745</v>
      </c>
      <c r="Z54" s="17" t="n">
        <f aca="false">SQRT(($B54-Z$16)^2+($C54-Z$17)^2+($D54-Z$18)^2)</f>
        <v>0.613286790517401</v>
      </c>
      <c r="AA54" s="63" t="n">
        <f aca="false">MATCH(MIN(X54:Z54),X54:Z54,0)</f>
        <v>3</v>
      </c>
      <c r="AC54" s="17" t="n">
        <f aca="false">SQRT(($B54-AC$16)^2+($C54-AC$17)^2+($D54-AC$18)^2)</f>
        <v>3.96171204457017</v>
      </c>
      <c r="AD54" s="17" t="n">
        <f aca="false">SQRT(($B54-AD$16)^2+($C54-AD$17)^2+($D54-AD$18)^2)</f>
        <v>2.63786106975162</v>
      </c>
      <c r="AE54" s="17" t="n">
        <f aca="false">SQRT(($B54-AE$16)^2+($C54-AE$17)^2+($D54-AE$18)^2)</f>
        <v>0.564514894809197</v>
      </c>
      <c r="AF54" s="63" t="n">
        <f aca="false">MATCH(MIN(AC54:AE54),AC54:AE54,0)</f>
        <v>3</v>
      </c>
      <c r="AH54" s="17" t="n">
        <f aca="false">SQRT(($B54-AH$16)^2+($C54-AH$17)^2+($D54-AH$18)^2)</f>
        <v>3.33276714312346</v>
      </c>
      <c r="AI54" s="17" t="n">
        <f aca="false">SQRT(($B54-AI$16)^2+($C54-AI$17)^2+($D54-AI$18)^2)</f>
        <v>2.51905970210242</v>
      </c>
      <c r="AJ54" s="17" t="n">
        <f aca="false">SQRT(($B54-AJ$16)^2+($C54-AJ$17)^2+($D54-AJ$18)^2)</f>
        <v>0.446298706640359</v>
      </c>
      <c r="AK54" s="63" t="n">
        <f aca="false">MATCH(MIN(AH54:AJ54),AH54:AJ54,0)</f>
        <v>3</v>
      </c>
      <c r="AM54" s="17" t="n">
        <f aca="false">SQRT(($B54-AM$16)^2+($C54-AM$17)^2+($D54-AM$18)^2)</f>
        <v>3.33276714312346</v>
      </c>
      <c r="AN54" s="17" t="n">
        <f aca="false">SQRT(($B54-AN$16)^2+($C54-AN$17)^2+($D54-AN$18)^2)</f>
        <v>2.50312746682474</v>
      </c>
      <c r="AO54" s="17" t="n">
        <f aca="false">SQRT(($B54-AO$16)^2+($C54-AO$17)^2+($D54-AO$18)^2)</f>
        <v>0.429908219907946</v>
      </c>
      <c r="AP54" s="63" t="n">
        <f aca="false">MATCH(MIN(AM54:AO54),AM54:AO54,0)</f>
        <v>3</v>
      </c>
      <c r="AR54" s="17" t="n">
        <f aca="false">SQRT(($B54-AR$16)^2+($C54-AR$17)^2+($D54-AR$18)^2)</f>
        <v>3.33276714312346</v>
      </c>
      <c r="AS54" s="17" t="n">
        <f aca="false">SQRT(($B54-AS$16)^2+($C54-AS$17)^2+($D54-AS$18)^2)</f>
        <v>2.50312746682474</v>
      </c>
      <c r="AT54" s="17" t="n">
        <f aca="false">SQRT(($B54-AT$16)^2+($C54-AT$17)^2+($D54-AT$18)^2)</f>
        <v>0.429908219907946</v>
      </c>
      <c r="AU54" s="63" t="n">
        <f aca="false">MATCH(MIN(AR54:AT54),AR54:AT54,0)</f>
        <v>3</v>
      </c>
      <c r="AW54" s="17" t="n">
        <f aca="false">SQRT(($B54-AW$16)^2+($C54-AW$17)^2+($D54-AW$18)^2)</f>
        <v>3.33276714312346</v>
      </c>
      <c r="AX54" s="17" t="n">
        <f aca="false">SQRT(($B54-AX$16)^2+($C54-AX$17)^2+($D54-AX$18)^2)</f>
        <v>2.50312746682474</v>
      </c>
      <c r="AY54" s="17" t="n">
        <f aca="false">SQRT(($B54-AY$16)^2+($C54-AY$17)^2+($D54-AY$18)^2)</f>
        <v>0.429908219907946</v>
      </c>
      <c r="AZ54" s="63" t="n">
        <f aca="false">MATCH(MIN(AW54:AY54),AW54:AY54,0)</f>
        <v>3</v>
      </c>
      <c r="BB54" s="17" t="n">
        <f aca="false">SQRT(($B54-BB$16)^2+($C54-BB$17)^2+($D54-BB$18)^2)</f>
        <v>3.33276714312346</v>
      </c>
      <c r="BC54" s="17" t="n">
        <f aca="false">SQRT(($B54-BC$16)^2+($C54-BC$17)^2+($D54-BC$18)^2)</f>
        <v>2.50312746682474</v>
      </c>
      <c r="BD54" s="17" t="n">
        <f aca="false">SQRT(($B54-BD$16)^2+($C54-BD$17)^2+($D54-BD$18)^2)</f>
        <v>0.429908219907946</v>
      </c>
      <c r="BE54" s="63" t="n">
        <f aca="false">MATCH(MIN(BB54:BD54),BB54:BD54,0)</f>
        <v>3</v>
      </c>
      <c r="BG54" s="17" t="n">
        <f aca="false">SQRT(($B54-BG$16)^2+($C54-BG$17)^2+($D54-BG$18)^2)</f>
        <v>3.33276714312346</v>
      </c>
      <c r="BH54" s="17" t="n">
        <f aca="false">SQRT(($B54-BH$16)^2+($C54-BH$17)^2+($D54-BH$18)^2)</f>
        <v>2.50312746682474</v>
      </c>
      <c r="BI54" s="17" t="n">
        <f aca="false">SQRT(($B54-BI$16)^2+($C54-BI$17)^2+($D54-BI$18)^2)</f>
        <v>0.429908219907946</v>
      </c>
      <c r="BJ54" s="63" t="n">
        <f aca="false">MATCH(MIN(BG54:BI54),BG54:BI54,0)</f>
        <v>3</v>
      </c>
      <c r="BL54" s="17" t="n">
        <f aca="false">SQRT(($B54-BL$16)^2+($C54-BL$17)^2+($D54-BL$18)^2)</f>
        <v>3.33276714312346</v>
      </c>
      <c r="BM54" s="17" t="n">
        <f aca="false">SQRT(($B54-BM$16)^2+($C54-BM$17)^2+($D54-BM$18)^2)</f>
        <v>2.50312746682474</v>
      </c>
      <c r="BN54" s="17" t="n">
        <f aca="false">SQRT(($B54-BN$16)^2+($C54-BN$17)^2+($D54-BN$18)^2)</f>
        <v>0.429908219907946</v>
      </c>
      <c r="BO54" s="63" t="n">
        <f aca="false">MATCH(MIN(BL54:BN54),BL54:BN54,0)</f>
        <v>3</v>
      </c>
      <c r="BQ54" s="17" t="n">
        <f aca="false">SQRT(($B54-BQ$16)^2+($C54-BQ$17)^2+($D54-BQ$18)^2)</f>
        <v>3.33276714312346</v>
      </c>
      <c r="BR54" s="17" t="n">
        <f aca="false">SQRT(($B54-BR$16)^2+($C54-BR$17)^2+($D54-BR$18)^2)</f>
        <v>2.50312746682474</v>
      </c>
      <c r="BS54" s="17" t="n">
        <f aca="false">SQRT(($B54-BS$16)^2+($C54-BS$17)^2+($D54-BS$18)^2)</f>
        <v>0.429908219907946</v>
      </c>
      <c r="BT54" s="63" t="n">
        <f aca="false">MATCH(MIN(BQ54:BS54),BQ54:BS54,0)</f>
        <v>3</v>
      </c>
      <c r="BV54" s="17" t="n">
        <f aca="false">SQRT(($B54-BV$16)^2+($C54-BV$17)^2+($D54-BV$18)^2)</f>
        <v>3.33276714312346</v>
      </c>
      <c r="BW54" s="17" t="n">
        <f aca="false">SQRT(($B54-BW$16)^2+($C54-BW$17)^2+($D54-BW$18)^2)</f>
        <v>2.50312746682474</v>
      </c>
      <c r="BX54" s="17" t="n">
        <f aca="false">SQRT(($B54-BX$16)^2+($C54-BX$17)^2+($D54-BX$18)^2)</f>
        <v>0.429908219907946</v>
      </c>
      <c r="BY54" s="63" t="n">
        <f aca="false">MATCH(MIN(BV54:BX54),BV54:BX54,0)</f>
        <v>3</v>
      </c>
      <c r="CA54" s="17" t="n">
        <f aca="false">SQRT(($B54-CA$16)^2+($C54-CA$17)^2+($D54-CA$18)^2)</f>
        <v>3.33276714312346</v>
      </c>
      <c r="CB54" s="17" t="n">
        <f aca="false">SQRT(($B54-CB$16)^2+($C54-CB$17)^2+($D54-CB$18)^2)</f>
        <v>2.50312746682474</v>
      </c>
      <c r="CC54" s="17" t="n">
        <f aca="false">SQRT(($B54-CC$16)^2+($C54-CC$17)^2+($D54-CC$18)^2)</f>
        <v>0.429908219907946</v>
      </c>
      <c r="CD54" s="63" t="n">
        <f aca="false">MATCH(MIN(CA54:CC54),CA54:CC54,0)</f>
        <v>3</v>
      </c>
    </row>
    <row r="55" customFormat="false" ht="15" hidden="false" customHeight="false" outlineLevel="0" collapsed="false">
      <c r="A55" s="36" t="str">
        <f aca="false">KMeans_Data!A37</f>
        <v>Karak</v>
      </c>
      <c r="B55" s="17" t="n">
        <f aca="false">KMeans_Data!H37</f>
        <v>0.531605743068138</v>
      </c>
      <c r="C55" s="17" t="n">
        <f aca="false">KMeans_Data!I37</f>
        <v>0.378684277529216</v>
      </c>
      <c r="D55" s="17" t="n">
        <f aca="false">KMeans_Data!J37</f>
        <v>0.286716848591577</v>
      </c>
      <c r="E55" s="63" t="n">
        <f aca="false">CD55</f>
        <v>3</v>
      </c>
      <c r="F55" s="38" t="n">
        <f aca="false">($B55-INDEX($L$16:$N$16,E55))^2+($C55-INDEX($L$17:$N$17,E55))^2+($D55-INDEX($L$18:$N$18,E55))^2</f>
        <v>0.174641876814199</v>
      </c>
      <c r="G55" s="12" t="str">
        <f aca="false">INDEX($M$5:$M$7,E55)</f>
        <v>Medium burden</v>
      </c>
      <c r="H55" s="17" t="n">
        <f aca="false">IF(COUNTIF(Distance_Matrix!$E$9:$DQ$9,$E55)&lt;=1,0,SUMIF(Distance_Matrix!$E$9:$DQ$9,$E55,Distance_Matrix!$E$46:$DQ$46)/(COUNTIF(Distance_Matrix!$E$9:$DQ$9,$E55)-1))</f>
        <v>0.977323842958856</v>
      </c>
      <c r="I55" s="17" t="n">
        <f aca="false">MIN(IF(1=$E55,1E+099,IF(COUNTIF(Distance_Matrix!$E$9:$DQ$9,1)=0,1E+099,SUMIF(Distance_Matrix!$E$9:$DQ$9,1,Distance_Matrix!$E$46:$DQ$46)/COUNTIF(Distance_Matrix!$E$9:$DQ$9,1))),IF(2=$E55,1E+099,IF(COUNTIF(Distance_Matrix!$E$9:$DQ$9,2)=0,1E+099,SUMIF(Distance_Matrix!$E$9:$DQ$9,2,Distance_Matrix!$E$46:$DQ$46)/COUNTIF(Distance_Matrix!$E$9:$DQ$9,2))),IF(3=$E55,1E+099,IF(COUNTIF(Distance_Matrix!$E$9:$DQ$9,3)=0,1E+099,SUMIF(Distance_Matrix!$E$9:$DQ$9,3,Distance_Matrix!$E$46:$DQ$46)/COUNTIF(Distance_Matrix!$E$9:$DQ$9,3))))</f>
        <v>1.95434248541464</v>
      </c>
      <c r="J55" s="17" t="n">
        <f aca="false">IF(COUNTIF(Distance_Matrix!$E$9:$DQ$9,$E55)&lt;=1,0,(I55-H55)/MAX(H55,I55))</f>
        <v>0.499921917344235</v>
      </c>
      <c r="X55" s="17" t="n">
        <f aca="false">SQRT(($B55-X$16)^2+($C55-X$17)^2+($D55-X$18)^2)</f>
        <v>5.45127311245764</v>
      </c>
      <c r="Y55" s="17" t="n">
        <f aca="false">SQRT(($B55-Y$16)^2+($C55-Y$17)^2+($D55-Y$18)^2)</f>
        <v>3.1584931364728</v>
      </c>
      <c r="Z55" s="17" t="n">
        <f aca="false">SQRT(($B55-Z$16)^2+($C55-Z$17)^2+($D55-Z$18)^2)</f>
        <v>1.2871988045077</v>
      </c>
      <c r="AA55" s="63" t="n">
        <f aca="false">MATCH(MIN(X55:Z55),X55:Z55,0)</f>
        <v>3</v>
      </c>
      <c r="AC55" s="17" t="n">
        <f aca="false">SQRT(($B55-AC$16)^2+($C55-AC$17)^2+($D55-AC$18)^2)</f>
        <v>4.45491700309242</v>
      </c>
      <c r="AD55" s="17" t="n">
        <f aca="false">SQRT(($B55-AD$16)^2+($C55-AD$17)^2+($D55-AD$18)^2)</f>
        <v>1.99083052171084</v>
      </c>
      <c r="AE55" s="17" t="n">
        <f aca="false">SQRT(($B55-AE$16)^2+($C55-AE$17)^2+($D55-AE$18)^2)</f>
        <v>0.303217197663502</v>
      </c>
      <c r="AF55" s="63" t="n">
        <f aca="false">MATCH(MIN(AC55:AE55),AC55:AE55,0)</f>
        <v>3</v>
      </c>
      <c r="AH55" s="17" t="n">
        <f aca="false">SQRT(($B55-AH$16)^2+($C55-AH$17)^2+($D55-AH$18)^2)</f>
        <v>3.81780079715959</v>
      </c>
      <c r="AI55" s="17" t="n">
        <f aca="false">SQRT(($B55-AI$16)^2+($C55-AI$17)^2+($D55-AI$18)^2)</f>
        <v>1.86571859331142</v>
      </c>
      <c r="AJ55" s="17" t="n">
        <f aca="false">SQRT(($B55-AJ$16)^2+($C55-AJ$17)^2+($D55-AJ$18)^2)</f>
        <v>0.405759486230078</v>
      </c>
      <c r="AK55" s="63" t="n">
        <f aca="false">MATCH(MIN(AH55:AJ55),AH55:AJ55,0)</f>
        <v>3</v>
      </c>
      <c r="AM55" s="17" t="n">
        <f aca="false">SQRT(($B55-AM$16)^2+($C55-AM$17)^2+($D55-AM$18)^2)</f>
        <v>3.81780079715959</v>
      </c>
      <c r="AN55" s="17" t="n">
        <f aca="false">SQRT(($B55-AN$16)^2+($C55-AN$17)^2+($D55-AN$18)^2)</f>
        <v>1.85128422305389</v>
      </c>
      <c r="AO55" s="17" t="n">
        <f aca="false">SQRT(($B55-AO$16)^2+($C55-AO$17)^2+($D55-AO$18)^2)</f>
        <v>0.417901754978606</v>
      </c>
      <c r="AP55" s="63" t="n">
        <f aca="false">MATCH(MIN(AM55:AO55),AM55:AO55,0)</f>
        <v>3</v>
      </c>
      <c r="AR55" s="17" t="n">
        <f aca="false">SQRT(($B55-AR$16)^2+($C55-AR$17)^2+($D55-AR$18)^2)</f>
        <v>3.81780079715959</v>
      </c>
      <c r="AS55" s="17" t="n">
        <f aca="false">SQRT(($B55-AS$16)^2+($C55-AS$17)^2+($D55-AS$18)^2)</f>
        <v>1.85128422305389</v>
      </c>
      <c r="AT55" s="17" t="n">
        <f aca="false">SQRT(($B55-AT$16)^2+($C55-AT$17)^2+($D55-AT$18)^2)</f>
        <v>0.417901754978606</v>
      </c>
      <c r="AU55" s="63" t="n">
        <f aca="false">MATCH(MIN(AR55:AT55),AR55:AT55,0)</f>
        <v>3</v>
      </c>
      <c r="AW55" s="17" t="n">
        <f aca="false">SQRT(($B55-AW$16)^2+($C55-AW$17)^2+($D55-AW$18)^2)</f>
        <v>3.81780079715959</v>
      </c>
      <c r="AX55" s="17" t="n">
        <f aca="false">SQRT(($B55-AX$16)^2+($C55-AX$17)^2+($D55-AX$18)^2)</f>
        <v>1.85128422305389</v>
      </c>
      <c r="AY55" s="17" t="n">
        <f aca="false">SQRT(($B55-AY$16)^2+($C55-AY$17)^2+($D55-AY$18)^2)</f>
        <v>0.417901754978606</v>
      </c>
      <c r="AZ55" s="63" t="n">
        <f aca="false">MATCH(MIN(AW55:AY55),AW55:AY55,0)</f>
        <v>3</v>
      </c>
      <c r="BB55" s="17" t="n">
        <f aca="false">SQRT(($B55-BB$16)^2+($C55-BB$17)^2+($D55-BB$18)^2)</f>
        <v>3.81780079715959</v>
      </c>
      <c r="BC55" s="17" t="n">
        <f aca="false">SQRT(($B55-BC$16)^2+($C55-BC$17)^2+($D55-BC$18)^2)</f>
        <v>1.85128422305389</v>
      </c>
      <c r="BD55" s="17" t="n">
        <f aca="false">SQRT(($B55-BD$16)^2+($C55-BD$17)^2+($D55-BD$18)^2)</f>
        <v>0.417901754978606</v>
      </c>
      <c r="BE55" s="63" t="n">
        <f aca="false">MATCH(MIN(BB55:BD55),BB55:BD55,0)</f>
        <v>3</v>
      </c>
      <c r="BG55" s="17" t="n">
        <f aca="false">SQRT(($B55-BG$16)^2+($C55-BG$17)^2+($D55-BG$18)^2)</f>
        <v>3.81780079715959</v>
      </c>
      <c r="BH55" s="17" t="n">
        <f aca="false">SQRT(($B55-BH$16)^2+($C55-BH$17)^2+($D55-BH$18)^2)</f>
        <v>1.85128422305389</v>
      </c>
      <c r="BI55" s="17" t="n">
        <f aca="false">SQRT(($B55-BI$16)^2+($C55-BI$17)^2+($D55-BI$18)^2)</f>
        <v>0.417901754978606</v>
      </c>
      <c r="BJ55" s="63" t="n">
        <f aca="false">MATCH(MIN(BG55:BI55),BG55:BI55,0)</f>
        <v>3</v>
      </c>
      <c r="BL55" s="17" t="n">
        <f aca="false">SQRT(($B55-BL$16)^2+($C55-BL$17)^2+($D55-BL$18)^2)</f>
        <v>3.81780079715959</v>
      </c>
      <c r="BM55" s="17" t="n">
        <f aca="false">SQRT(($B55-BM$16)^2+($C55-BM$17)^2+($D55-BM$18)^2)</f>
        <v>1.85128422305389</v>
      </c>
      <c r="BN55" s="17" t="n">
        <f aca="false">SQRT(($B55-BN$16)^2+($C55-BN$17)^2+($D55-BN$18)^2)</f>
        <v>0.417901754978606</v>
      </c>
      <c r="BO55" s="63" t="n">
        <f aca="false">MATCH(MIN(BL55:BN55),BL55:BN55,0)</f>
        <v>3</v>
      </c>
      <c r="BQ55" s="17" t="n">
        <f aca="false">SQRT(($B55-BQ$16)^2+($C55-BQ$17)^2+($D55-BQ$18)^2)</f>
        <v>3.81780079715959</v>
      </c>
      <c r="BR55" s="17" t="n">
        <f aca="false">SQRT(($B55-BR$16)^2+($C55-BR$17)^2+($D55-BR$18)^2)</f>
        <v>1.85128422305389</v>
      </c>
      <c r="BS55" s="17" t="n">
        <f aca="false">SQRT(($B55-BS$16)^2+($C55-BS$17)^2+($D55-BS$18)^2)</f>
        <v>0.417901754978606</v>
      </c>
      <c r="BT55" s="63" t="n">
        <f aca="false">MATCH(MIN(BQ55:BS55),BQ55:BS55,0)</f>
        <v>3</v>
      </c>
      <c r="BV55" s="17" t="n">
        <f aca="false">SQRT(($B55-BV$16)^2+($C55-BV$17)^2+($D55-BV$18)^2)</f>
        <v>3.81780079715959</v>
      </c>
      <c r="BW55" s="17" t="n">
        <f aca="false">SQRT(($B55-BW$16)^2+($C55-BW$17)^2+($D55-BW$18)^2)</f>
        <v>1.85128422305389</v>
      </c>
      <c r="BX55" s="17" t="n">
        <f aca="false">SQRT(($B55-BX$16)^2+($C55-BX$17)^2+($D55-BX$18)^2)</f>
        <v>0.417901754978606</v>
      </c>
      <c r="BY55" s="63" t="n">
        <f aca="false">MATCH(MIN(BV55:BX55),BV55:BX55,0)</f>
        <v>3</v>
      </c>
      <c r="CA55" s="17" t="n">
        <f aca="false">SQRT(($B55-CA$16)^2+($C55-CA$17)^2+($D55-CA$18)^2)</f>
        <v>3.81780079715959</v>
      </c>
      <c r="CB55" s="17" t="n">
        <f aca="false">SQRT(($B55-CB$16)^2+($C55-CB$17)^2+($D55-CB$18)^2)</f>
        <v>1.85128422305389</v>
      </c>
      <c r="CC55" s="17" t="n">
        <f aca="false">SQRT(($B55-CC$16)^2+($C55-CC$17)^2+($D55-CC$18)^2)</f>
        <v>0.417901754978606</v>
      </c>
      <c r="CD55" s="63" t="n">
        <f aca="false">MATCH(MIN(CA55:CC55),CA55:CC55,0)</f>
        <v>3</v>
      </c>
    </row>
    <row r="56" customFormat="false" ht="15" hidden="false" customHeight="false" outlineLevel="0" collapsed="false">
      <c r="A56" s="36" t="str">
        <f aca="false">KMeans_Data!A38</f>
        <v>Shangla</v>
      </c>
      <c r="B56" s="17" t="n">
        <f aca="false">KMeans_Data!H38</f>
        <v>0.484749830332174</v>
      </c>
      <c r="C56" s="17" t="n">
        <f aca="false">KMeans_Data!I38</f>
        <v>-0.146983133929529</v>
      </c>
      <c r="D56" s="17" t="n">
        <f aca="false">KMeans_Data!J38</f>
        <v>0.552017036398812</v>
      </c>
      <c r="E56" s="63" t="n">
        <f aca="false">CD56</f>
        <v>3</v>
      </c>
      <c r="F56" s="38" t="n">
        <f aca="false">($B56-INDEX($L$16:$N$16,E56))^2+($C56-INDEX($L$17:$N$17,E56))^2+($D56-INDEX($L$18:$N$18,E56))^2</f>
        <v>0.362455432780358</v>
      </c>
      <c r="G56" s="12" t="str">
        <f aca="false">INDEX($M$5:$M$7,E56)</f>
        <v>Medium burden</v>
      </c>
      <c r="H56" s="17" t="n">
        <f aca="false">IF(COUNTIF(Distance_Matrix!$E$9:$DQ$9,$E56)&lt;=1,0,SUMIF(Distance_Matrix!$E$9:$DQ$9,$E56,Distance_Matrix!$E$47:$DQ$47)/(COUNTIF(Distance_Matrix!$E$9:$DQ$9,$E56)-1))</f>
        <v>1.03617587449366</v>
      </c>
      <c r="I56" s="17" t="n">
        <f aca="false">MIN(IF(1=$E56,1E+099,IF(COUNTIF(Distance_Matrix!$E$9:$DQ$9,1)=0,1E+099,SUMIF(Distance_Matrix!$E$9:$DQ$9,1,Distance_Matrix!$E$47:$DQ$47)/COUNTIF(Distance_Matrix!$E$9:$DQ$9,1))),IF(2=$E56,1E+099,IF(COUNTIF(Distance_Matrix!$E$9:$DQ$9,2)=0,1E+099,SUMIF(Distance_Matrix!$E$9:$DQ$9,2,Distance_Matrix!$E$47:$DQ$47)/COUNTIF(Distance_Matrix!$E$9:$DQ$9,2))),IF(3=$E56,1E+099,IF(COUNTIF(Distance_Matrix!$E$9:$DQ$9,3)=0,1E+099,SUMIF(Distance_Matrix!$E$9:$DQ$9,3,Distance_Matrix!$E$47:$DQ$47)/COUNTIF(Distance_Matrix!$E$9:$DQ$9,3))))</f>
        <v>1.86883051651406</v>
      </c>
      <c r="J56" s="17" t="n">
        <f aca="false">IF(COUNTIF(Distance_Matrix!$E$9:$DQ$9,$E56)&lt;=1,0,(I56-H56)/MAX(H56,I56))</f>
        <v>0.445548504619645</v>
      </c>
      <c r="X56" s="17" t="n">
        <f aca="false">SQRT(($B56-X$16)^2+($C56-X$17)^2+($D56-X$18)^2)</f>
        <v>5.70934419366739</v>
      </c>
      <c r="Y56" s="17" t="n">
        <f aca="false">SQRT(($B56-Y$16)^2+($C56-Y$17)^2+($D56-Y$18)^2)</f>
        <v>3.12009252355725</v>
      </c>
      <c r="Z56" s="17" t="n">
        <f aca="false">SQRT(($B56-Z$16)^2+($C56-Z$17)^2+($D56-Z$18)^2)</f>
        <v>1.19378157826286</v>
      </c>
      <c r="AA56" s="63" t="n">
        <f aca="false">MATCH(MIN(X56:Z56),X56:Z56,0)</f>
        <v>3</v>
      </c>
      <c r="AC56" s="17" t="n">
        <f aca="false">SQRT(($B56-AC$16)^2+($C56-AC$17)^2+($D56-AC$18)^2)</f>
        <v>4.74726597065761</v>
      </c>
      <c r="AD56" s="17" t="n">
        <f aca="false">SQRT(($B56-AD$16)^2+($C56-AD$17)^2+($D56-AD$18)^2)</f>
        <v>1.92532821888504</v>
      </c>
      <c r="AE56" s="17" t="n">
        <f aca="false">SQRT(($B56-AE$16)^2+($C56-AE$17)^2+($D56-AE$18)^2)</f>
        <v>0.499621997064358</v>
      </c>
      <c r="AF56" s="63" t="n">
        <f aca="false">MATCH(MIN(AC56:AE56),AC56:AE56,0)</f>
        <v>3</v>
      </c>
      <c r="AH56" s="17" t="n">
        <f aca="false">SQRT(($B56-AH$16)^2+($C56-AH$17)^2+($D56-AH$18)^2)</f>
        <v>4.11330062694631</v>
      </c>
      <c r="AI56" s="17" t="n">
        <f aca="false">SQRT(($B56-AI$16)^2+($C56-AI$17)^2+($D56-AI$18)^2)</f>
        <v>1.79229849694547</v>
      </c>
      <c r="AJ56" s="17" t="n">
        <f aca="false">SQRT(($B56-AJ$16)^2+($C56-AJ$17)^2+($D56-AJ$18)^2)</f>
        <v>0.586746227243004</v>
      </c>
      <c r="AK56" s="63" t="n">
        <f aca="false">MATCH(MIN(AH56:AJ56),AH56:AJ56,0)</f>
        <v>3</v>
      </c>
      <c r="AM56" s="17" t="n">
        <f aca="false">SQRT(($B56-AM$16)^2+($C56-AM$17)^2+($D56-AM$18)^2)</f>
        <v>4.11330062694631</v>
      </c>
      <c r="AN56" s="17" t="n">
        <f aca="false">SQRT(($B56-AN$16)^2+($C56-AN$17)^2+($D56-AN$18)^2)</f>
        <v>1.77751535161476</v>
      </c>
      <c r="AO56" s="17" t="n">
        <f aca="false">SQRT(($B56-AO$16)^2+($C56-AO$17)^2+($D56-AO$18)^2)</f>
        <v>0.602042716740564</v>
      </c>
      <c r="AP56" s="63" t="n">
        <f aca="false">MATCH(MIN(AM56:AO56),AM56:AO56,0)</f>
        <v>3</v>
      </c>
      <c r="AR56" s="17" t="n">
        <f aca="false">SQRT(($B56-AR$16)^2+($C56-AR$17)^2+($D56-AR$18)^2)</f>
        <v>4.11330062694631</v>
      </c>
      <c r="AS56" s="17" t="n">
        <f aca="false">SQRT(($B56-AS$16)^2+($C56-AS$17)^2+($D56-AS$18)^2)</f>
        <v>1.77751535161476</v>
      </c>
      <c r="AT56" s="17" t="n">
        <f aca="false">SQRT(($B56-AT$16)^2+($C56-AT$17)^2+($D56-AT$18)^2)</f>
        <v>0.602042716740564</v>
      </c>
      <c r="AU56" s="63" t="n">
        <f aca="false">MATCH(MIN(AR56:AT56),AR56:AT56,0)</f>
        <v>3</v>
      </c>
      <c r="AW56" s="17" t="n">
        <f aca="false">SQRT(($B56-AW$16)^2+($C56-AW$17)^2+($D56-AW$18)^2)</f>
        <v>4.11330062694631</v>
      </c>
      <c r="AX56" s="17" t="n">
        <f aca="false">SQRT(($B56-AX$16)^2+($C56-AX$17)^2+($D56-AX$18)^2)</f>
        <v>1.77751535161476</v>
      </c>
      <c r="AY56" s="17" t="n">
        <f aca="false">SQRT(($B56-AY$16)^2+($C56-AY$17)^2+($D56-AY$18)^2)</f>
        <v>0.602042716740564</v>
      </c>
      <c r="AZ56" s="63" t="n">
        <f aca="false">MATCH(MIN(AW56:AY56),AW56:AY56,0)</f>
        <v>3</v>
      </c>
      <c r="BB56" s="17" t="n">
        <f aca="false">SQRT(($B56-BB$16)^2+($C56-BB$17)^2+($D56-BB$18)^2)</f>
        <v>4.11330062694631</v>
      </c>
      <c r="BC56" s="17" t="n">
        <f aca="false">SQRT(($B56-BC$16)^2+($C56-BC$17)^2+($D56-BC$18)^2)</f>
        <v>1.77751535161476</v>
      </c>
      <c r="BD56" s="17" t="n">
        <f aca="false">SQRT(($B56-BD$16)^2+($C56-BD$17)^2+($D56-BD$18)^2)</f>
        <v>0.602042716740564</v>
      </c>
      <c r="BE56" s="63" t="n">
        <f aca="false">MATCH(MIN(BB56:BD56),BB56:BD56,0)</f>
        <v>3</v>
      </c>
      <c r="BG56" s="17" t="n">
        <f aca="false">SQRT(($B56-BG$16)^2+($C56-BG$17)^2+($D56-BG$18)^2)</f>
        <v>4.11330062694631</v>
      </c>
      <c r="BH56" s="17" t="n">
        <f aca="false">SQRT(($B56-BH$16)^2+($C56-BH$17)^2+($D56-BH$18)^2)</f>
        <v>1.77751535161476</v>
      </c>
      <c r="BI56" s="17" t="n">
        <f aca="false">SQRT(($B56-BI$16)^2+($C56-BI$17)^2+($D56-BI$18)^2)</f>
        <v>0.602042716740564</v>
      </c>
      <c r="BJ56" s="63" t="n">
        <f aca="false">MATCH(MIN(BG56:BI56),BG56:BI56,0)</f>
        <v>3</v>
      </c>
      <c r="BL56" s="17" t="n">
        <f aca="false">SQRT(($B56-BL$16)^2+($C56-BL$17)^2+($D56-BL$18)^2)</f>
        <v>4.11330062694631</v>
      </c>
      <c r="BM56" s="17" t="n">
        <f aca="false">SQRT(($B56-BM$16)^2+($C56-BM$17)^2+($D56-BM$18)^2)</f>
        <v>1.77751535161476</v>
      </c>
      <c r="BN56" s="17" t="n">
        <f aca="false">SQRT(($B56-BN$16)^2+($C56-BN$17)^2+($D56-BN$18)^2)</f>
        <v>0.602042716740564</v>
      </c>
      <c r="BO56" s="63" t="n">
        <f aca="false">MATCH(MIN(BL56:BN56),BL56:BN56,0)</f>
        <v>3</v>
      </c>
      <c r="BQ56" s="17" t="n">
        <f aca="false">SQRT(($B56-BQ$16)^2+($C56-BQ$17)^2+($D56-BQ$18)^2)</f>
        <v>4.11330062694631</v>
      </c>
      <c r="BR56" s="17" t="n">
        <f aca="false">SQRT(($B56-BR$16)^2+($C56-BR$17)^2+($D56-BR$18)^2)</f>
        <v>1.77751535161476</v>
      </c>
      <c r="BS56" s="17" t="n">
        <f aca="false">SQRT(($B56-BS$16)^2+($C56-BS$17)^2+($D56-BS$18)^2)</f>
        <v>0.602042716740564</v>
      </c>
      <c r="BT56" s="63" t="n">
        <f aca="false">MATCH(MIN(BQ56:BS56),BQ56:BS56,0)</f>
        <v>3</v>
      </c>
      <c r="BV56" s="17" t="n">
        <f aca="false">SQRT(($B56-BV$16)^2+($C56-BV$17)^2+($D56-BV$18)^2)</f>
        <v>4.11330062694631</v>
      </c>
      <c r="BW56" s="17" t="n">
        <f aca="false">SQRT(($B56-BW$16)^2+($C56-BW$17)^2+($D56-BW$18)^2)</f>
        <v>1.77751535161476</v>
      </c>
      <c r="BX56" s="17" t="n">
        <f aca="false">SQRT(($B56-BX$16)^2+($C56-BX$17)^2+($D56-BX$18)^2)</f>
        <v>0.602042716740564</v>
      </c>
      <c r="BY56" s="63" t="n">
        <f aca="false">MATCH(MIN(BV56:BX56),BV56:BX56,0)</f>
        <v>3</v>
      </c>
      <c r="CA56" s="17" t="n">
        <f aca="false">SQRT(($B56-CA$16)^2+($C56-CA$17)^2+($D56-CA$18)^2)</f>
        <v>4.11330062694631</v>
      </c>
      <c r="CB56" s="17" t="n">
        <f aca="false">SQRT(($B56-CB$16)^2+($C56-CB$17)^2+($D56-CB$18)^2)</f>
        <v>1.77751535161476</v>
      </c>
      <c r="CC56" s="17" t="n">
        <f aca="false">SQRT(($B56-CC$16)^2+($C56-CC$17)^2+($D56-CC$18)^2)</f>
        <v>0.602042716740564</v>
      </c>
      <c r="CD56" s="63" t="n">
        <f aca="false">MATCH(MIN(CA56:CC56),CA56:CC56,0)</f>
        <v>3</v>
      </c>
    </row>
    <row r="57" customFormat="false" ht="15" hidden="false" customHeight="false" outlineLevel="0" collapsed="false">
      <c r="A57" s="36" t="str">
        <f aca="false">KMeans_Data!A39</f>
        <v>Mansehra</v>
      </c>
      <c r="B57" s="17" t="n">
        <f aca="false">KMeans_Data!H39</f>
        <v>0.484749830332174</v>
      </c>
      <c r="C57" s="17" t="n">
        <f aca="false">KMeans_Data!I39</f>
        <v>1.38107452085777</v>
      </c>
      <c r="D57" s="17" t="n">
        <f aca="false">KMeans_Data!J39</f>
        <v>0.307315391151031</v>
      </c>
      <c r="E57" s="63" t="n">
        <f aca="false">CD57</f>
        <v>3</v>
      </c>
      <c r="F57" s="38" t="n">
        <f aca="false">($B57-INDEX($L$16:$N$16,E57))^2+($C57-INDEX($L$17:$N$17,E57))^2+($D57-INDEX($L$18:$N$18,E57))^2</f>
        <v>1.05183456726636</v>
      </c>
      <c r="G57" s="12" t="str">
        <f aca="false">INDEX($M$5:$M$7,E57)</f>
        <v>Medium burden</v>
      </c>
      <c r="H57" s="17" t="n">
        <f aca="false">IF(COUNTIF(Distance_Matrix!$E$9:$DQ$9,$E57)&lt;=1,0,SUMIF(Distance_Matrix!$E$9:$DQ$9,$E57,Distance_Matrix!$E$48:$DQ$48)/(COUNTIF(Distance_Matrix!$E$9:$DQ$9,$E57)-1))</f>
        <v>1.3202582924707</v>
      </c>
      <c r="I57" s="17" t="n">
        <f aca="false">MIN(IF(1=$E57,1E+099,IF(COUNTIF(Distance_Matrix!$E$9:$DQ$9,1)=0,1E+099,SUMIF(Distance_Matrix!$E$9:$DQ$9,1,Distance_Matrix!$E$48:$DQ$48)/COUNTIF(Distance_Matrix!$E$9:$DQ$9,1))),IF(2=$E57,1E+099,IF(COUNTIF(Distance_Matrix!$E$9:$DQ$9,2)=0,1E+099,SUMIF(Distance_Matrix!$E$9:$DQ$9,2,Distance_Matrix!$E$48:$DQ$48)/COUNTIF(Distance_Matrix!$E$9:$DQ$9,2))),IF(3=$E57,1E+099,IF(COUNTIF(Distance_Matrix!$E$9:$DQ$9,3)=0,1E+099,SUMIF(Distance_Matrix!$E$9:$DQ$9,3,Distance_Matrix!$E$48:$DQ$48)/COUNTIF(Distance_Matrix!$E$9:$DQ$9,3))))</f>
        <v>2.62175061600723</v>
      </c>
      <c r="J57" s="17" t="n">
        <f aca="false">IF(COUNTIF(Distance_Matrix!$E$9:$DQ$9,$E57)&lt;=1,0,(I57-H57)/MAX(H57,I57))</f>
        <v>0.496421099547074</v>
      </c>
      <c r="X57" s="17" t="n">
        <f aca="false">SQRT(($B57-X$16)^2+($C57-X$17)^2+($D57-X$18)^2)</f>
        <v>4.84982323598635</v>
      </c>
      <c r="Y57" s="17" t="n">
        <f aca="false">SQRT(($B57-Y$16)^2+($C57-Y$17)^2+($D57-Y$18)^2)</f>
        <v>3.59241920113851</v>
      </c>
      <c r="Z57" s="17" t="n">
        <f aca="false">SQRT(($B57-Z$16)^2+($C57-Z$17)^2+($D57-Z$18)^2)</f>
        <v>1.63184412226407</v>
      </c>
      <c r="AA57" s="63" t="n">
        <f aca="false">MATCH(MIN(X57:Z57),X57:Z57,0)</f>
        <v>3</v>
      </c>
      <c r="AC57" s="17" t="n">
        <f aca="false">SQRT(($B57-AC$16)^2+($C57-AC$17)^2+($D57-AC$18)^2)</f>
        <v>3.83315058479191</v>
      </c>
      <c r="AD57" s="17" t="n">
        <f aca="false">SQRT(($B57-AD$16)^2+($C57-AD$17)^2+($D57-AD$18)^2)</f>
        <v>2.63521702205066</v>
      </c>
      <c r="AE57" s="17" t="n">
        <f aca="false">SQRT(($B57-AE$16)^2+($C57-AE$17)^2+($D57-AE$18)^2)</f>
        <v>1.06809849153036</v>
      </c>
      <c r="AF57" s="63" t="n">
        <f aca="false">MATCH(MIN(AC57:AE57),AC57:AE57,0)</f>
        <v>3</v>
      </c>
      <c r="AH57" s="17" t="n">
        <f aca="false">SQRT(($B57-AH$16)^2+($C57-AH$17)^2+($D57-AH$18)^2)</f>
        <v>3.2119039419859</v>
      </c>
      <c r="AI57" s="17" t="n">
        <f aca="false">SQRT(($B57-AI$16)^2+($C57-AI$17)^2+($D57-AI$18)^2)</f>
        <v>2.5385120546755</v>
      </c>
      <c r="AJ57" s="17" t="n">
        <f aca="false">SQRT(($B57-AJ$16)^2+($C57-AJ$17)^2+($D57-AJ$18)^2)</f>
        <v>1.03166463311308</v>
      </c>
      <c r="AK57" s="63" t="n">
        <f aca="false">MATCH(MIN(AH57:AJ57),AH57:AJ57,0)</f>
        <v>3</v>
      </c>
      <c r="AM57" s="17" t="n">
        <f aca="false">SQRT(($B57-AM$16)^2+($C57-AM$17)^2+($D57-AM$18)^2)</f>
        <v>3.2119039419859</v>
      </c>
      <c r="AN57" s="17" t="n">
        <f aca="false">SQRT(($B57-AN$16)^2+($C57-AN$17)^2+($D57-AN$18)^2)</f>
        <v>2.52483255402501</v>
      </c>
      <c r="AO57" s="17" t="n">
        <f aca="false">SQRT(($B57-AO$16)^2+($C57-AO$17)^2+($D57-AO$18)^2)</f>
        <v>1.02558986308678</v>
      </c>
      <c r="AP57" s="63" t="n">
        <f aca="false">MATCH(MIN(AM57:AO57),AM57:AO57,0)</f>
        <v>3</v>
      </c>
      <c r="AR57" s="17" t="n">
        <f aca="false">SQRT(($B57-AR$16)^2+($C57-AR$17)^2+($D57-AR$18)^2)</f>
        <v>3.2119039419859</v>
      </c>
      <c r="AS57" s="17" t="n">
        <f aca="false">SQRT(($B57-AS$16)^2+($C57-AS$17)^2+($D57-AS$18)^2)</f>
        <v>2.52483255402501</v>
      </c>
      <c r="AT57" s="17" t="n">
        <f aca="false">SQRT(($B57-AT$16)^2+($C57-AT$17)^2+($D57-AT$18)^2)</f>
        <v>1.02558986308678</v>
      </c>
      <c r="AU57" s="63" t="n">
        <f aca="false">MATCH(MIN(AR57:AT57),AR57:AT57,0)</f>
        <v>3</v>
      </c>
      <c r="AW57" s="17" t="n">
        <f aca="false">SQRT(($B57-AW$16)^2+($C57-AW$17)^2+($D57-AW$18)^2)</f>
        <v>3.2119039419859</v>
      </c>
      <c r="AX57" s="17" t="n">
        <f aca="false">SQRT(($B57-AX$16)^2+($C57-AX$17)^2+($D57-AX$18)^2)</f>
        <v>2.52483255402501</v>
      </c>
      <c r="AY57" s="17" t="n">
        <f aca="false">SQRT(($B57-AY$16)^2+($C57-AY$17)^2+($D57-AY$18)^2)</f>
        <v>1.02558986308678</v>
      </c>
      <c r="AZ57" s="63" t="n">
        <f aca="false">MATCH(MIN(AW57:AY57),AW57:AY57,0)</f>
        <v>3</v>
      </c>
      <c r="BB57" s="17" t="n">
        <f aca="false">SQRT(($B57-BB$16)^2+($C57-BB$17)^2+($D57-BB$18)^2)</f>
        <v>3.2119039419859</v>
      </c>
      <c r="BC57" s="17" t="n">
        <f aca="false">SQRT(($B57-BC$16)^2+($C57-BC$17)^2+($D57-BC$18)^2)</f>
        <v>2.52483255402501</v>
      </c>
      <c r="BD57" s="17" t="n">
        <f aca="false">SQRT(($B57-BD$16)^2+($C57-BD$17)^2+($D57-BD$18)^2)</f>
        <v>1.02558986308678</v>
      </c>
      <c r="BE57" s="63" t="n">
        <f aca="false">MATCH(MIN(BB57:BD57),BB57:BD57,0)</f>
        <v>3</v>
      </c>
      <c r="BG57" s="17" t="n">
        <f aca="false">SQRT(($B57-BG$16)^2+($C57-BG$17)^2+($D57-BG$18)^2)</f>
        <v>3.2119039419859</v>
      </c>
      <c r="BH57" s="17" t="n">
        <f aca="false">SQRT(($B57-BH$16)^2+($C57-BH$17)^2+($D57-BH$18)^2)</f>
        <v>2.52483255402501</v>
      </c>
      <c r="BI57" s="17" t="n">
        <f aca="false">SQRT(($B57-BI$16)^2+($C57-BI$17)^2+($D57-BI$18)^2)</f>
        <v>1.02558986308678</v>
      </c>
      <c r="BJ57" s="63" t="n">
        <f aca="false">MATCH(MIN(BG57:BI57),BG57:BI57,0)</f>
        <v>3</v>
      </c>
      <c r="BL57" s="17" t="n">
        <f aca="false">SQRT(($B57-BL$16)^2+($C57-BL$17)^2+($D57-BL$18)^2)</f>
        <v>3.2119039419859</v>
      </c>
      <c r="BM57" s="17" t="n">
        <f aca="false">SQRT(($B57-BM$16)^2+($C57-BM$17)^2+($D57-BM$18)^2)</f>
        <v>2.52483255402501</v>
      </c>
      <c r="BN57" s="17" t="n">
        <f aca="false">SQRT(($B57-BN$16)^2+($C57-BN$17)^2+($D57-BN$18)^2)</f>
        <v>1.02558986308678</v>
      </c>
      <c r="BO57" s="63" t="n">
        <f aca="false">MATCH(MIN(BL57:BN57),BL57:BN57,0)</f>
        <v>3</v>
      </c>
      <c r="BQ57" s="17" t="n">
        <f aca="false">SQRT(($B57-BQ$16)^2+($C57-BQ$17)^2+($D57-BQ$18)^2)</f>
        <v>3.2119039419859</v>
      </c>
      <c r="BR57" s="17" t="n">
        <f aca="false">SQRT(($B57-BR$16)^2+($C57-BR$17)^2+($D57-BR$18)^2)</f>
        <v>2.52483255402501</v>
      </c>
      <c r="BS57" s="17" t="n">
        <f aca="false">SQRT(($B57-BS$16)^2+($C57-BS$17)^2+($D57-BS$18)^2)</f>
        <v>1.02558986308678</v>
      </c>
      <c r="BT57" s="63" t="n">
        <f aca="false">MATCH(MIN(BQ57:BS57),BQ57:BS57,0)</f>
        <v>3</v>
      </c>
      <c r="BV57" s="17" t="n">
        <f aca="false">SQRT(($B57-BV$16)^2+($C57-BV$17)^2+($D57-BV$18)^2)</f>
        <v>3.2119039419859</v>
      </c>
      <c r="BW57" s="17" t="n">
        <f aca="false">SQRT(($B57-BW$16)^2+($C57-BW$17)^2+($D57-BW$18)^2)</f>
        <v>2.52483255402501</v>
      </c>
      <c r="BX57" s="17" t="n">
        <f aca="false">SQRT(($B57-BX$16)^2+($C57-BX$17)^2+($D57-BX$18)^2)</f>
        <v>1.02558986308678</v>
      </c>
      <c r="BY57" s="63" t="n">
        <f aca="false">MATCH(MIN(BV57:BX57),BV57:BX57,0)</f>
        <v>3</v>
      </c>
      <c r="CA57" s="17" t="n">
        <f aca="false">SQRT(($B57-CA$16)^2+($C57-CA$17)^2+($D57-CA$18)^2)</f>
        <v>3.2119039419859</v>
      </c>
      <c r="CB57" s="17" t="n">
        <f aca="false">SQRT(($B57-CB$16)^2+($C57-CB$17)^2+($D57-CB$18)^2)</f>
        <v>2.52483255402501</v>
      </c>
      <c r="CC57" s="17" t="n">
        <f aca="false">SQRT(($B57-CC$16)^2+($C57-CC$17)^2+($D57-CC$18)^2)</f>
        <v>1.02558986308678</v>
      </c>
      <c r="CD57" s="63" t="n">
        <f aca="false">MATCH(MIN(CA57:CC57),CA57:CC57,0)</f>
        <v>3</v>
      </c>
    </row>
    <row r="58" customFormat="false" ht="15" hidden="false" customHeight="false" outlineLevel="0" collapsed="false">
      <c r="A58" s="36" t="str">
        <f aca="false">KMeans_Data!A40</f>
        <v>Swabi</v>
      </c>
      <c r="B58" s="17" t="n">
        <f aca="false">KMeans_Data!H40</f>
        <v>0.453667759197148</v>
      </c>
      <c r="C58" s="17" t="n">
        <f aca="false">KMeans_Data!I40</f>
        <v>1.14585991869933</v>
      </c>
      <c r="D58" s="17" t="n">
        <f aca="false">KMeans_Data!J40</f>
        <v>0.719667253181963</v>
      </c>
      <c r="E58" s="63" t="n">
        <f aca="false">CD58</f>
        <v>3</v>
      </c>
      <c r="F58" s="38" t="n">
        <f aca="false">($B58-INDEX($L$16:$N$16,E58))^2+($C58-INDEX($L$17:$N$17,E58))^2+($D58-INDEX($L$18:$N$18,E58))^2</f>
        <v>0.511144599385178</v>
      </c>
      <c r="G58" s="12" t="str">
        <f aca="false">INDEX($M$5:$M$7,E58)</f>
        <v>Medium burden</v>
      </c>
      <c r="H58" s="17" t="n">
        <f aca="false">IF(COUNTIF(Distance_Matrix!$E$9:$DQ$9,$E58)&lt;=1,0,SUMIF(Distance_Matrix!$E$9:$DQ$9,$E58,Distance_Matrix!$E$49:$DQ$49)/(COUNTIF(Distance_Matrix!$E$9:$DQ$9,$E58)-1))</f>
        <v>1.0914309534871</v>
      </c>
      <c r="I58" s="17" t="n">
        <f aca="false">MIN(IF(1=$E58,1E+099,IF(COUNTIF(Distance_Matrix!$E$9:$DQ$9,1)=0,1E+099,SUMIF(Distance_Matrix!$E$9:$DQ$9,1,Distance_Matrix!$E$49:$DQ$49)/COUNTIF(Distance_Matrix!$E$9:$DQ$9,1))),IF(2=$E58,1E+099,IF(COUNTIF(Distance_Matrix!$E$9:$DQ$9,2)=0,1E+099,SUMIF(Distance_Matrix!$E$9:$DQ$9,2,Distance_Matrix!$E$49:$DQ$49)/COUNTIF(Distance_Matrix!$E$9:$DQ$9,2))),IF(3=$E58,1E+099,IF(COUNTIF(Distance_Matrix!$E$9:$DQ$9,3)=0,1E+099,SUMIF(Distance_Matrix!$E$9:$DQ$9,3,Distance_Matrix!$E$49:$DQ$49)/COUNTIF(Distance_Matrix!$E$9:$DQ$9,3))))</f>
        <v>2.62960195961504</v>
      </c>
      <c r="J58" s="17" t="n">
        <f aca="false">IF(COUNTIF(Distance_Matrix!$E$9:$DQ$9,$E58)&lt;=1,0,(I58-H58)/MAX(H58,I58))</f>
        <v>0.584944424955146</v>
      </c>
      <c r="X58" s="17" t="n">
        <f aca="false">SQRT(($B58-X$16)^2+($C58-X$17)^2+($D58-X$18)^2)</f>
        <v>4.76882981559524</v>
      </c>
      <c r="Y58" s="17" t="n">
        <f aca="false">SQRT(($B58-Y$16)^2+($C58-Y$17)^2+($D58-Y$18)^2)</f>
        <v>3.6338012413689</v>
      </c>
      <c r="Z58" s="17" t="n">
        <f aca="false">SQRT(($B58-Z$16)^2+($C58-Z$17)^2+($D58-Z$18)^2)</f>
        <v>1.22181615707812</v>
      </c>
      <c r="AA58" s="63" t="n">
        <f aca="false">MATCH(MIN(X58:Z58),X58:Z58,0)</f>
        <v>3</v>
      </c>
      <c r="AC58" s="17" t="n">
        <f aca="false">SQRT(($B58-AC$16)^2+($C58-AC$17)^2+($D58-AC$18)^2)</f>
        <v>3.77751485375494</v>
      </c>
      <c r="AD58" s="17" t="n">
        <f aca="false">SQRT(($B58-AD$16)^2+($C58-AD$17)^2+($D58-AD$18)^2)</f>
        <v>2.66000777714717</v>
      </c>
      <c r="AE58" s="17" t="n">
        <f aca="false">SQRT(($B58-AE$16)^2+($C58-AE$17)^2+($D58-AE$18)^2)</f>
        <v>0.807874336957575</v>
      </c>
      <c r="AF58" s="63" t="n">
        <f aca="false">MATCH(MIN(AC58:AE58),AC58:AE58,0)</f>
        <v>3</v>
      </c>
      <c r="AH58" s="17" t="n">
        <f aca="false">SQRT(($B58-AH$16)^2+($C58-AH$17)^2+($D58-AH$18)^2)</f>
        <v>3.14811378972071</v>
      </c>
      <c r="AI58" s="17" t="n">
        <f aca="false">SQRT(($B58-AI$16)^2+($C58-AI$17)^2+($D58-AI$18)^2)</f>
        <v>2.55557563363273</v>
      </c>
      <c r="AJ58" s="17" t="n">
        <f aca="false">SQRT(($B58-AJ$16)^2+($C58-AJ$17)^2+($D58-AJ$18)^2)</f>
        <v>0.725484253566309</v>
      </c>
      <c r="AK58" s="63" t="n">
        <f aca="false">MATCH(MIN(AH58:AJ58),AH58:AJ58,0)</f>
        <v>3</v>
      </c>
      <c r="AM58" s="17" t="n">
        <f aca="false">SQRT(($B58-AM$16)^2+($C58-AM$17)^2+($D58-AM$18)^2)</f>
        <v>3.14811378972071</v>
      </c>
      <c r="AN58" s="17" t="n">
        <f aca="false">SQRT(($B58-AN$16)^2+($C58-AN$17)^2+($D58-AN$18)^2)</f>
        <v>2.54043881327821</v>
      </c>
      <c r="AO58" s="17" t="n">
        <f aca="false">SQRT(($B58-AO$16)^2+($C58-AO$17)^2+($D58-AO$18)^2)</f>
        <v>0.714943773583055</v>
      </c>
      <c r="AP58" s="63" t="n">
        <f aca="false">MATCH(MIN(AM58:AO58),AM58:AO58,0)</f>
        <v>3</v>
      </c>
      <c r="AR58" s="17" t="n">
        <f aca="false">SQRT(($B58-AR$16)^2+($C58-AR$17)^2+($D58-AR$18)^2)</f>
        <v>3.14811378972071</v>
      </c>
      <c r="AS58" s="17" t="n">
        <f aca="false">SQRT(($B58-AS$16)^2+($C58-AS$17)^2+($D58-AS$18)^2)</f>
        <v>2.54043881327821</v>
      </c>
      <c r="AT58" s="17" t="n">
        <f aca="false">SQRT(($B58-AT$16)^2+($C58-AT$17)^2+($D58-AT$18)^2)</f>
        <v>0.714943773583055</v>
      </c>
      <c r="AU58" s="63" t="n">
        <f aca="false">MATCH(MIN(AR58:AT58),AR58:AT58,0)</f>
        <v>3</v>
      </c>
      <c r="AW58" s="17" t="n">
        <f aca="false">SQRT(($B58-AW$16)^2+($C58-AW$17)^2+($D58-AW$18)^2)</f>
        <v>3.14811378972071</v>
      </c>
      <c r="AX58" s="17" t="n">
        <f aca="false">SQRT(($B58-AX$16)^2+($C58-AX$17)^2+($D58-AX$18)^2)</f>
        <v>2.54043881327821</v>
      </c>
      <c r="AY58" s="17" t="n">
        <f aca="false">SQRT(($B58-AY$16)^2+($C58-AY$17)^2+($D58-AY$18)^2)</f>
        <v>0.714943773583055</v>
      </c>
      <c r="AZ58" s="63" t="n">
        <f aca="false">MATCH(MIN(AW58:AY58),AW58:AY58,0)</f>
        <v>3</v>
      </c>
      <c r="BB58" s="17" t="n">
        <f aca="false">SQRT(($B58-BB$16)^2+($C58-BB$17)^2+($D58-BB$18)^2)</f>
        <v>3.14811378972071</v>
      </c>
      <c r="BC58" s="17" t="n">
        <f aca="false">SQRT(($B58-BC$16)^2+($C58-BC$17)^2+($D58-BC$18)^2)</f>
        <v>2.54043881327821</v>
      </c>
      <c r="BD58" s="17" t="n">
        <f aca="false">SQRT(($B58-BD$16)^2+($C58-BD$17)^2+($D58-BD$18)^2)</f>
        <v>0.714943773583055</v>
      </c>
      <c r="BE58" s="63" t="n">
        <f aca="false">MATCH(MIN(BB58:BD58),BB58:BD58,0)</f>
        <v>3</v>
      </c>
      <c r="BG58" s="17" t="n">
        <f aca="false">SQRT(($B58-BG$16)^2+($C58-BG$17)^2+($D58-BG$18)^2)</f>
        <v>3.14811378972071</v>
      </c>
      <c r="BH58" s="17" t="n">
        <f aca="false">SQRT(($B58-BH$16)^2+($C58-BH$17)^2+($D58-BH$18)^2)</f>
        <v>2.54043881327821</v>
      </c>
      <c r="BI58" s="17" t="n">
        <f aca="false">SQRT(($B58-BI$16)^2+($C58-BI$17)^2+($D58-BI$18)^2)</f>
        <v>0.714943773583055</v>
      </c>
      <c r="BJ58" s="63" t="n">
        <f aca="false">MATCH(MIN(BG58:BI58),BG58:BI58,0)</f>
        <v>3</v>
      </c>
      <c r="BL58" s="17" t="n">
        <f aca="false">SQRT(($B58-BL$16)^2+($C58-BL$17)^2+($D58-BL$18)^2)</f>
        <v>3.14811378972071</v>
      </c>
      <c r="BM58" s="17" t="n">
        <f aca="false">SQRT(($B58-BM$16)^2+($C58-BM$17)^2+($D58-BM$18)^2)</f>
        <v>2.54043881327821</v>
      </c>
      <c r="BN58" s="17" t="n">
        <f aca="false">SQRT(($B58-BN$16)^2+($C58-BN$17)^2+($D58-BN$18)^2)</f>
        <v>0.714943773583055</v>
      </c>
      <c r="BO58" s="63" t="n">
        <f aca="false">MATCH(MIN(BL58:BN58),BL58:BN58,0)</f>
        <v>3</v>
      </c>
      <c r="BQ58" s="17" t="n">
        <f aca="false">SQRT(($B58-BQ$16)^2+($C58-BQ$17)^2+($D58-BQ$18)^2)</f>
        <v>3.14811378972071</v>
      </c>
      <c r="BR58" s="17" t="n">
        <f aca="false">SQRT(($B58-BR$16)^2+($C58-BR$17)^2+($D58-BR$18)^2)</f>
        <v>2.54043881327821</v>
      </c>
      <c r="BS58" s="17" t="n">
        <f aca="false">SQRT(($B58-BS$16)^2+($C58-BS$17)^2+($D58-BS$18)^2)</f>
        <v>0.714943773583055</v>
      </c>
      <c r="BT58" s="63" t="n">
        <f aca="false">MATCH(MIN(BQ58:BS58),BQ58:BS58,0)</f>
        <v>3</v>
      </c>
      <c r="BV58" s="17" t="n">
        <f aca="false">SQRT(($B58-BV$16)^2+($C58-BV$17)^2+($D58-BV$18)^2)</f>
        <v>3.14811378972071</v>
      </c>
      <c r="BW58" s="17" t="n">
        <f aca="false">SQRT(($B58-BW$16)^2+($C58-BW$17)^2+($D58-BW$18)^2)</f>
        <v>2.54043881327821</v>
      </c>
      <c r="BX58" s="17" t="n">
        <f aca="false">SQRT(($B58-BX$16)^2+($C58-BX$17)^2+($D58-BX$18)^2)</f>
        <v>0.714943773583055</v>
      </c>
      <c r="BY58" s="63" t="n">
        <f aca="false">MATCH(MIN(BV58:BX58),BV58:BX58,0)</f>
        <v>3</v>
      </c>
      <c r="CA58" s="17" t="n">
        <f aca="false">SQRT(($B58-CA$16)^2+($C58-CA$17)^2+($D58-CA$18)^2)</f>
        <v>3.14811378972071</v>
      </c>
      <c r="CB58" s="17" t="n">
        <f aca="false">SQRT(($B58-CB$16)^2+($C58-CB$17)^2+($D58-CB$18)^2)</f>
        <v>2.54043881327821</v>
      </c>
      <c r="CC58" s="17" t="n">
        <f aca="false">SQRT(($B58-CC$16)^2+($C58-CC$17)^2+($D58-CC$18)^2)</f>
        <v>0.714943773583055</v>
      </c>
      <c r="CD58" s="63" t="n">
        <f aca="false">MATCH(MIN(CA58:CC58),CA58:CC58,0)</f>
        <v>3</v>
      </c>
    </row>
    <row r="59" customFormat="false" ht="15" hidden="false" customHeight="false" outlineLevel="0" collapsed="false">
      <c r="A59" s="36" t="str">
        <f aca="false">KMeans_Data!A41</f>
        <v>Haripur</v>
      </c>
      <c r="B59" s="17" t="n">
        <f aca="false">KMeans_Data!H41</f>
        <v>0.433254553932755</v>
      </c>
      <c r="C59" s="17" t="n">
        <f aca="false">KMeans_Data!I41</f>
        <v>0.378684277529216</v>
      </c>
      <c r="D59" s="17" t="n">
        <f aca="false">KMeans_Data!J41</f>
        <v>0.539980232203984</v>
      </c>
      <c r="E59" s="63" t="n">
        <f aca="false">CD59</f>
        <v>3</v>
      </c>
      <c r="F59" s="38" t="n">
        <f aca="false">($B59-INDEX($L$16:$N$16,E59))^2+($C59-INDEX($L$17:$N$17,E59))^2+($D59-INDEX($L$18:$N$18,E59))^2</f>
        <v>0.0377201250138201</v>
      </c>
      <c r="G59" s="12" t="str">
        <f aca="false">INDEX($M$5:$M$7,E59)</f>
        <v>Medium burden</v>
      </c>
      <c r="H59" s="17" t="n">
        <f aca="false">IF(COUNTIF(Distance_Matrix!$E$9:$DQ$9,$E59)&lt;=1,0,SUMIF(Distance_Matrix!$E$9:$DQ$9,$E59,Distance_Matrix!$E$50:$DQ$50)/(COUNTIF(Distance_Matrix!$E$9:$DQ$9,$E59)-1))</f>
        <v>0.899526366045228</v>
      </c>
      <c r="I59" s="17" t="n">
        <f aca="false">MIN(IF(1=$E59,1E+099,IF(COUNTIF(Distance_Matrix!$E$9:$DQ$9,1)=0,1E+099,SUMIF(Distance_Matrix!$E$9:$DQ$9,1,Distance_Matrix!$E$50:$DQ$50)/COUNTIF(Distance_Matrix!$E$9:$DQ$9,1))),IF(2=$E59,1E+099,IF(COUNTIF(Distance_Matrix!$E$9:$DQ$9,2)=0,1E+099,SUMIF(Distance_Matrix!$E$9:$DQ$9,2,Distance_Matrix!$E$50:$DQ$50)/COUNTIF(Distance_Matrix!$E$9:$DQ$9,2))),IF(3=$E59,1E+099,IF(COUNTIF(Distance_Matrix!$E$9:$DQ$9,3)=0,1E+099,SUMIF(Distance_Matrix!$E$9:$DQ$9,3,Distance_Matrix!$E$50:$DQ$50)/COUNTIF(Distance_Matrix!$E$9:$DQ$9,3))))</f>
        <v>2.04565425785252</v>
      </c>
      <c r="J59" s="17" t="n">
        <f aca="false">IF(COUNTIF(Distance_Matrix!$E$9:$DQ$9,$E59)&lt;=1,0,(I59-H59)/MAX(H59,I59))</f>
        <v>0.560274487933493</v>
      </c>
      <c r="X59" s="17" t="n">
        <f aca="false">SQRT(($B59-X$16)^2+($C59-X$17)^2+($D59-X$18)^2)</f>
        <v>5.36910920761941</v>
      </c>
      <c r="Y59" s="17" t="n">
        <f aca="false">SQRT(($B59-Y$16)^2+($C59-Y$17)^2+($D59-Y$18)^2)</f>
        <v>3.20339910703097</v>
      </c>
      <c r="Z59" s="17" t="n">
        <f aca="false">SQRT(($B59-Z$16)^2+($C59-Z$17)^2+($D59-Z$18)^2)</f>
        <v>1.10932638375685</v>
      </c>
      <c r="AA59" s="63" t="n">
        <f aca="false">MATCH(MIN(X59:Z59),X59:Z59,0)</f>
        <v>3</v>
      </c>
      <c r="AC59" s="17" t="n">
        <f aca="false">SQRT(($B59-AC$16)^2+($C59-AC$17)^2+($D59-AC$18)^2)</f>
        <v>4.38791479168147</v>
      </c>
      <c r="AD59" s="17" t="n">
        <f aca="false">SQRT(($B59-AD$16)^2+($C59-AD$17)^2+($D59-AD$18)^2)</f>
        <v>2.08473697987785</v>
      </c>
      <c r="AE59" s="17" t="n">
        <f aca="false">SQRT(($B59-AE$16)^2+($C59-AE$17)^2+($D59-AE$18)^2)</f>
        <v>0.0939946783013767</v>
      </c>
      <c r="AF59" s="63" t="n">
        <f aca="false">MATCH(MIN(AC59:AE59),AC59:AE59,0)</f>
        <v>3</v>
      </c>
      <c r="AH59" s="17" t="n">
        <f aca="false">SQRT(($B59-AH$16)^2+($C59-AH$17)^2+($D59-AH$18)^2)</f>
        <v>3.75151156237345</v>
      </c>
      <c r="AI59" s="17" t="n">
        <f aca="false">SQRT(($B59-AI$16)^2+($C59-AI$17)^2+($D59-AI$18)^2)</f>
        <v>1.96266913187018</v>
      </c>
      <c r="AJ59" s="17" t="n">
        <f aca="false">SQRT(($B59-AJ$16)^2+($C59-AJ$17)^2+($D59-AJ$18)^2)</f>
        <v>0.172591263193839</v>
      </c>
      <c r="AK59" s="63" t="n">
        <f aca="false">MATCH(MIN(AH59:AJ59),AH59:AJ59,0)</f>
        <v>3</v>
      </c>
      <c r="AM59" s="17" t="n">
        <f aca="false">SQRT(($B59-AM$16)^2+($C59-AM$17)^2+($D59-AM$18)^2)</f>
        <v>3.75151156237345</v>
      </c>
      <c r="AN59" s="17" t="n">
        <f aca="false">SQRT(($B59-AN$16)^2+($C59-AN$17)^2+($D59-AN$18)^2)</f>
        <v>1.94729599327233</v>
      </c>
      <c r="AO59" s="17" t="n">
        <f aca="false">SQRT(($B59-AO$16)^2+($C59-AO$17)^2+($D59-AO$18)^2)</f>
        <v>0.194216696022304</v>
      </c>
      <c r="AP59" s="63" t="n">
        <f aca="false">MATCH(MIN(AM59:AO59),AM59:AO59,0)</f>
        <v>3</v>
      </c>
      <c r="AR59" s="17" t="n">
        <f aca="false">SQRT(($B59-AR$16)^2+($C59-AR$17)^2+($D59-AR$18)^2)</f>
        <v>3.75151156237345</v>
      </c>
      <c r="AS59" s="17" t="n">
        <f aca="false">SQRT(($B59-AS$16)^2+($C59-AS$17)^2+($D59-AS$18)^2)</f>
        <v>1.94729599327233</v>
      </c>
      <c r="AT59" s="17" t="n">
        <f aca="false">SQRT(($B59-AT$16)^2+($C59-AT$17)^2+($D59-AT$18)^2)</f>
        <v>0.194216696022304</v>
      </c>
      <c r="AU59" s="63" t="n">
        <f aca="false">MATCH(MIN(AR59:AT59),AR59:AT59,0)</f>
        <v>3</v>
      </c>
      <c r="AW59" s="17" t="n">
        <f aca="false">SQRT(($B59-AW$16)^2+($C59-AW$17)^2+($D59-AW$18)^2)</f>
        <v>3.75151156237345</v>
      </c>
      <c r="AX59" s="17" t="n">
        <f aca="false">SQRT(($B59-AX$16)^2+($C59-AX$17)^2+($D59-AX$18)^2)</f>
        <v>1.94729599327233</v>
      </c>
      <c r="AY59" s="17" t="n">
        <f aca="false">SQRT(($B59-AY$16)^2+($C59-AY$17)^2+($D59-AY$18)^2)</f>
        <v>0.194216696022304</v>
      </c>
      <c r="AZ59" s="63" t="n">
        <f aca="false">MATCH(MIN(AW59:AY59),AW59:AY59,0)</f>
        <v>3</v>
      </c>
      <c r="BB59" s="17" t="n">
        <f aca="false">SQRT(($B59-BB$16)^2+($C59-BB$17)^2+($D59-BB$18)^2)</f>
        <v>3.75151156237345</v>
      </c>
      <c r="BC59" s="17" t="n">
        <f aca="false">SQRT(($B59-BC$16)^2+($C59-BC$17)^2+($D59-BC$18)^2)</f>
        <v>1.94729599327233</v>
      </c>
      <c r="BD59" s="17" t="n">
        <f aca="false">SQRT(($B59-BD$16)^2+($C59-BD$17)^2+($D59-BD$18)^2)</f>
        <v>0.194216696022304</v>
      </c>
      <c r="BE59" s="63" t="n">
        <f aca="false">MATCH(MIN(BB59:BD59),BB59:BD59,0)</f>
        <v>3</v>
      </c>
      <c r="BG59" s="17" t="n">
        <f aca="false">SQRT(($B59-BG$16)^2+($C59-BG$17)^2+($D59-BG$18)^2)</f>
        <v>3.75151156237345</v>
      </c>
      <c r="BH59" s="17" t="n">
        <f aca="false">SQRT(($B59-BH$16)^2+($C59-BH$17)^2+($D59-BH$18)^2)</f>
        <v>1.94729599327233</v>
      </c>
      <c r="BI59" s="17" t="n">
        <f aca="false">SQRT(($B59-BI$16)^2+($C59-BI$17)^2+($D59-BI$18)^2)</f>
        <v>0.194216696022304</v>
      </c>
      <c r="BJ59" s="63" t="n">
        <f aca="false">MATCH(MIN(BG59:BI59),BG59:BI59,0)</f>
        <v>3</v>
      </c>
      <c r="BL59" s="17" t="n">
        <f aca="false">SQRT(($B59-BL$16)^2+($C59-BL$17)^2+($D59-BL$18)^2)</f>
        <v>3.75151156237345</v>
      </c>
      <c r="BM59" s="17" t="n">
        <f aca="false">SQRT(($B59-BM$16)^2+($C59-BM$17)^2+($D59-BM$18)^2)</f>
        <v>1.94729599327233</v>
      </c>
      <c r="BN59" s="17" t="n">
        <f aca="false">SQRT(($B59-BN$16)^2+($C59-BN$17)^2+($D59-BN$18)^2)</f>
        <v>0.194216696022304</v>
      </c>
      <c r="BO59" s="63" t="n">
        <f aca="false">MATCH(MIN(BL59:BN59),BL59:BN59,0)</f>
        <v>3</v>
      </c>
      <c r="BQ59" s="17" t="n">
        <f aca="false">SQRT(($B59-BQ$16)^2+($C59-BQ$17)^2+($D59-BQ$18)^2)</f>
        <v>3.75151156237345</v>
      </c>
      <c r="BR59" s="17" t="n">
        <f aca="false">SQRT(($B59-BR$16)^2+($C59-BR$17)^2+($D59-BR$18)^2)</f>
        <v>1.94729599327233</v>
      </c>
      <c r="BS59" s="17" t="n">
        <f aca="false">SQRT(($B59-BS$16)^2+($C59-BS$17)^2+($D59-BS$18)^2)</f>
        <v>0.194216696022304</v>
      </c>
      <c r="BT59" s="63" t="n">
        <f aca="false">MATCH(MIN(BQ59:BS59),BQ59:BS59,0)</f>
        <v>3</v>
      </c>
      <c r="BV59" s="17" t="n">
        <f aca="false">SQRT(($B59-BV$16)^2+($C59-BV$17)^2+($D59-BV$18)^2)</f>
        <v>3.75151156237345</v>
      </c>
      <c r="BW59" s="17" t="n">
        <f aca="false">SQRT(($B59-BW$16)^2+($C59-BW$17)^2+($D59-BW$18)^2)</f>
        <v>1.94729599327233</v>
      </c>
      <c r="BX59" s="17" t="n">
        <f aca="false">SQRT(($B59-BX$16)^2+($C59-BX$17)^2+($D59-BX$18)^2)</f>
        <v>0.194216696022304</v>
      </c>
      <c r="BY59" s="63" t="n">
        <f aca="false">MATCH(MIN(BV59:BX59),BV59:BX59,0)</f>
        <v>3</v>
      </c>
      <c r="CA59" s="17" t="n">
        <f aca="false">SQRT(($B59-CA$16)^2+($C59-CA$17)^2+($D59-CA$18)^2)</f>
        <v>3.75151156237345</v>
      </c>
      <c r="CB59" s="17" t="n">
        <f aca="false">SQRT(($B59-CB$16)^2+($C59-CB$17)^2+($D59-CB$18)^2)</f>
        <v>1.94729599327233</v>
      </c>
      <c r="CC59" s="17" t="n">
        <f aca="false">SQRT(($B59-CC$16)^2+($C59-CC$17)^2+($D59-CC$18)^2)</f>
        <v>0.194216696022304</v>
      </c>
      <c r="CD59" s="63" t="n">
        <f aca="false">MATCH(MIN(CA59:CC59),CA59:CC59,0)</f>
        <v>3</v>
      </c>
    </row>
    <row r="60" customFormat="false" ht="15" hidden="false" customHeight="false" outlineLevel="0" collapsed="false">
      <c r="A60" s="36" t="str">
        <f aca="false">KMeans_Data!A42</f>
        <v>Battagram</v>
      </c>
      <c r="B60" s="17" t="n">
        <f aca="false">KMeans_Data!H42</f>
        <v>0.429074049388274</v>
      </c>
      <c r="C60" s="17" t="n">
        <f aca="false">KMeans_Data!I42</f>
        <v>0.378684277529216</v>
      </c>
      <c r="D60" s="17" t="n">
        <f aca="false">KMeans_Data!J42</f>
        <v>0.460346385840384</v>
      </c>
      <c r="E60" s="63" t="n">
        <f aca="false">CD60</f>
        <v>3</v>
      </c>
      <c r="F60" s="38" t="n">
        <f aca="false">($B60-INDEX($L$16:$N$16,E60))^2+($C60-INDEX($L$17:$N$17,E60))^2+($D60-INDEX($L$18:$N$18,E60))^2</f>
        <v>0.0704709676648483</v>
      </c>
      <c r="G60" s="12" t="str">
        <f aca="false">INDEX($M$5:$M$7,E60)</f>
        <v>Medium burden</v>
      </c>
      <c r="H60" s="17" t="n">
        <f aca="false">IF(COUNTIF(Distance_Matrix!$E$9:$DQ$9,$E60)&lt;=1,0,SUMIF(Distance_Matrix!$E$9:$DQ$9,$E60,Distance_Matrix!$E$51:$DQ$51)/(COUNTIF(Distance_Matrix!$E$9:$DQ$9,$E60)-1))</f>
        <v>0.915430985405139</v>
      </c>
      <c r="I60" s="17" t="n">
        <f aca="false">MIN(IF(1=$E60,1E+099,IF(COUNTIF(Distance_Matrix!$E$9:$DQ$9,1)=0,1E+099,SUMIF(Distance_Matrix!$E$9:$DQ$9,1,Distance_Matrix!$E$51:$DQ$51)/COUNTIF(Distance_Matrix!$E$9:$DQ$9,1))),IF(2=$E60,1E+099,IF(COUNTIF(Distance_Matrix!$E$9:$DQ$9,2)=0,1E+099,SUMIF(Distance_Matrix!$E$9:$DQ$9,2,Distance_Matrix!$E$51:$DQ$51)/COUNTIF(Distance_Matrix!$E$9:$DQ$9,2))),IF(3=$E60,1E+099,IF(COUNTIF(Distance_Matrix!$E$9:$DQ$9,3)=0,1E+099,SUMIF(Distance_Matrix!$E$9:$DQ$9,3,Distance_Matrix!$E$51:$DQ$51)/COUNTIF(Distance_Matrix!$E$9:$DQ$9,3))))</f>
        <v>1.99544753561156</v>
      </c>
      <c r="J60" s="17" t="n">
        <f aca="false">IF(COUNTIF(Distance_Matrix!$E$9:$DQ$9,$E60)&lt;=1,0,(I60-H60)/MAX(H60,I60))</f>
        <v>0.541240263616061</v>
      </c>
      <c r="X60" s="17" t="n">
        <f aca="false">SQRT(($B60-X$16)^2+($C60-X$17)^2+($D60-X$18)^2)</f>
        <v>5.41197722243839</v>
      </c>
      <c r="Y60" s="17" t="n">
        <f aca="false">SQRT(($B60-Y$16)^2+($C60-Y$17)^2+($D60-Y$18)^2)</f>
        <v>3.15889984184424</v>
      </c>
      <c r="Z60" s="17" t="n">
        <f aca="false">SQRT(($B60-Z$16)^2+($C60-Z$17)^2+($D60-Z$18)^2)</f>
        <v>1.179067995595</v>
      </c>
      <c r="AA60" s="63" t="n">
        <f aca="false">MATCH(MIN(X60:Z60),X60:Z60,0)</f>
        <v>3</v>
      </c>
      <c r="AC60" s="17" t="n">
        <f aca="false">SQRT(($B60-AC$16)^2+($C60-AC$17)^2+($D60-AC$18)^2)</f>
        <v>4.42606067733436</v>
      </c>
      <c r="AD60" s="17" t="n">
        <f aca="false">SQRT(($B60-AD$16)^2+($C60-AD$17)^2+($D60-AD$18)^2)</f>
        <v>2.03097296191852</v>
      </c>
      <c r="AE60" s="17" t="n">
        <f aca="false">SQRT(($B60-AE$16)^2+($C60-AE$17)^2+($D60-AE$18)^2)</f>
        <v>0.153124322894536</v>
      </c>
      <c r="AF60" s="63" t="n">
        <f aca="false">MATCH(MIN(AC60:AE60),AC60:AE60,0)</f>
        <v>3</v>
      </c>
      <c r="AH60" s="17" t="n">
        <f aca="false">SQRT(($B60-AH$16)^2+($C60-AH$17)^2+($D60-AH$18)^2)</f>
        <v>3.78928548850642</v>
      </c>
      <c r="AI60" s="17" t="n">
        <f aca="false">SQRT(($B60-AI$16)^2+($C60-AI$17)^2+($D60-AI$18)^2)</f>
        <v>1.90868023042377</v>
      </c>
      <c r="AJ60" s="17" t="n">
        <f aca="false">SQRT(($B60-AJ$16)^2+($C60-AJ$17)^2+($D60-AJ$18)^2)</f>
        <v>0.246077623335548</v>
      </c>
      <c r="AK60" s="63" t="n">
        <f aca="false">MATCH(MIN(AH60:AJ60),AH60:AJ60,0)</f>
        <v>3</v>
      </c>
      <c r="AM60" s="17" t="n">
        <f aca="false">SQRT(($B60-AM$16)^2+($C60-AM$17)^2+($D60-AM$18)^2)</f>
        <v>3.78928548850642</v>
      </c>
      <c r="AN60" s="17" t="n">
        <f aca="false">SQRT(($B60-AN$16)^2+($C60-AN$17)^2+($D60-AN$18)^2)</f>
        <v>1.8934745426909</v>
      </c>
      <c r="AO60" s="17" t="n">
        <f aca="false">SQRT(($B60-AO$16)^2+($C60-AO$17)^2+($D60-AO$18)^2)</f>
        <v>0.26546368426745</v>
      </c>
      <c r="AP60" s="63" t="n">
        <f aca="false">MATCH(MIN(AM60:AO60),AM60:AO60,0)</f>
        <v>3</v>
      </c>
      <c r="AR60" s="17" t="n">
        <f aca="false">SQRT(($B60-AR$16)^2+($C60-AR$17)^2+($D60-AR$18)^2)</f>
        <v>3.78928548850642</v>
      </c>
      <c r="AS60" s="17" t="n">
        <f aca="false">SQRT(($B60-AS$16)^2+($C60-AS$17)^2+($D60-AS$18)^2)</f>
        <v>1.8934745426909</v>
      </c>
      <c r="AT60" s="17" t="n">
        <f aca="false">SQRT(($B60-AT$16)^2+($C60-AT$17)^2+($D60-AT$18)^2)</f>
        <v>0.26546368426745</v>
      </c>
      <c r="AU60" s="63" t="n">
        <f aca="false">MATCH(MIN(AR60:AT60),AR60:AT60,0)</f>
        <v>3</v>
      </c>
      <c r="AW60" s="17" t="n">
        <f aca="false">SQRT(($B60-AW$16)^2+($C60-AW$17)^2+($D60-AW$18)^2)</f>
        <v>3.78928548850642</v>
      </c>
      <c r="AX60" s="17" t="n">
        <f aca="false">SQRT(($B60-AX$16)^2+($C60-AX$17)^2+($D60-AX$18)^2)</f>
        <v>1.8934745426909</v>
      </c>
      <c r="AY60" s="17" t="n">
        <f aca="false">SQRT(($B60-AY$16)^2+($C60-AY$17)^2+($D60-AY$18)^2)</f>
        <v>0.26546368426745</v>
      </c>
      <c r="AZ60" s="63" t="n">
        <f aca="false">MATCH(MIN(AW60:AY60),AW60:AY60,0)</f>
        <v>3</v>
      </c>
      <c r="BB60" s="17" t="n">
        <f aca="false">SQRT(($B60-BB$16)^2+($C60-BB$17)^2+($D60-BB$18)^2)</f>
        <v>3.78928548850642</v>
      </c>
      <c r="BC60" s="17" t="n">
        <f aca="false">SQRT(($B60-BC$16)^2+($C60-BC$17)^2+($D60-BC$18)^2)</f>
        <v>1.8934745426909</v>
      </c>
      <c r="BD60" s="17" t="n">
        <f aca="false">SQRT(($B60-BD$16)^2+($C60-BD$17)^2+($D60-BD$18)^2)</f>
        <v>0.26546368426745</v>
      </c>
      <c r="BE60" s="63" t="n">
        <f aca="false">MATCH(MIN(BB60:BD60),BB60:BD60,0)</f>
        <v>3</v>
      </c>
      <c r="BG60" s="17" t="n">
        <f aca="false">SQRT(($B60-BG$16)^2+($C60-BG$17)^2+($D60-BG$18)^2)</f>
        <v>3.78928548850642</v>
      </c>
      <c r="BH60" s="17" t="n">
        <f aca="false">SQRT(($B60-BH$16)^2+($C60-BH$17)^2+($D60-BH$18)^2)</f>
        <v>1.8934745426909</v>
      </c>
      <c r="BI60" s="17" t="n">
        <f aca="false">SQRT(($B60-BI$16)^2+($C60-BI$17)^2+($D60-BI$18)^2)</f>
        <v>0.26546368426745</v>
      </c>
      <c r="BJ60" s="63" t="n">
        <f aca="false">MATCH(MIN(BG60:BI60),BG60:BI60,0)</f>
        <v>3</v>
      </c>
      <c r="BL60" s="17" t="n">
        <f aca="false">SQRT(($B60-BL$16)^2+($C60-BL$17)^2+($D60-BL$18)^2)</f>
        <v>3.78928548850642</v>
      </c>
      <c r="BM60" s="17" t="n">
        <f aca="false">SQRT(($B60-BM$16)^2+($C60-BM$17)^2+($D60-BM$18)^2)</f>
        <v>1.8934745426909</v>
      </c>
      <c r="BN60" s="17" t="n">
        <f aca="false">SQRT(($B60-BN$16)^2+($C60-BN$17)^2+($D60-BN$18)^2)</f>
        <v>0.26546368426745</v>
      </c>
      <c r="BO60" s="63" t="n">
        <f aca="false">MATCH(MIN(BL60:BN60),BL60:BN60,0)</f>
        <v>3</v>
      </c>
      <c r="BQ60" s="17" t="n">
        <f aca="false">SQRT(($B60-BQ$16)^2+($C60-BQ$17)^2+($D60-BQ$18)^2)</f>
        <v>3.78928548850642</v>
      </c>
      <c r="BR60" s="17" t="n">
        <f aca="false">SQRT(($B60-BR$16)^2+($C60-BR$17)^2+($D60-BR$18)^2)</f>
        <v>1.8934745426909</v>
      </c>
      <c r="BS60" s="17" t="n">
        <f aca="false">SQRT(($B60-BS$16)^2+($C60-BS$17)^2+($D60-BS$18)^2)</f>
        <v>0.26546368426745</v>
      </c>
      <c r="BT60" s="63" t="n">
        <f aca="false">MATCH(MIN(BQ60:BS60),BQ60:BS60,0)</f>
        <v>3</v>
      </c>
      <c r="BV60" s="17" t="n">
        <f aca="false">SQRT(($B60-BV$16)^2+($C60-BV$17)^2+($D60-BV$18)^2)</f>
        <v>3.78928548850642</v>
      </c>
      <c r="BW60" s="17" t="n">
        <f aca="false">SQRT(($B60-BW$16)^2+($C60-BW$17)^2+($D60-BW$18)^2)</f>
        <v>1.8934745426909</v>
      </c>
      <c r="BX60" s="17" t="n">
        <f aca="false">SQRT(($B60-BX$16)^2+($C60-BX$17)^2+($D60-BX$18)^2)</f>
        <v>0.26546368426745</v>
      </c>
      <c r="BY60" s="63" t="n">
        <f aca="false">MATCH(MIN(BV60:BX60),BV60:BX60,0)</f>
        <v>3</v>
      </c>
      <c r="CA60" s="17" t="n">
        <f aca="false">SQRT(($B60-CA$16)^2+($C60-CA$17)^2+($D60-CA$18)^2)</f>
        <v>3.78928548850642</v>
      </c>
      <c r="CB60" s="17" t="n">
        <f aca="false">SQRT(($B60-CB$16)^2+($C60-CB$17)^2+($D60-CB$18)^2)</f>
        <v>1.8934745426909</v>
      </c>
      <c r="CC60" s="17" t="n">
        <f aca="false">SQRT(($B60-CC$16)^2+($C60-CC$17)^2+($D60-CC$18)^2)</f>
        <v>0.26546368426745</v>
      </c>
      <c r="CD60" s="63" t="n">
        <f aca="false">MATCH(MIN(CA60:CC60),CA60:CC60,0)</f>
        <v>3</v>
      </c>
    </row>
    <row r="61" customFormat="false" ht="15" hidden="false" customHeight="false" outlineLevel="0" collapsed="false">
      <c r="A61" s="36" t="str">
        <f aca="false">KMeans_Data!A43</f>
        <v>Kohat</v>
      </c>
      <c r="B61" s="17" t="n">
        <f aca="false">KMeans_Data!H43</f>
        <v>0.407652506674014</v>
      </c>
      <c r="C61" s="17" t="n">
        <f aca="false">KMeans_Data!I43</f>
        <v>1.27255002250608</v>
      </c>
      <c r="D61" s="17" t="n">
        <f aca="false">KMeans_Data!J43</f>
        <v>0.628513491585819</v>
      </c>
      <c r="E61" s="63" t="n">
        <f aca="false">CD61</f>
        <v>3</v>
      </c>
      <c r="F61" s="38" t="n">
        <f aca="false">($B61-INDEX($L$16:$N$16,E61))^2+($C61-INDEX($L$17:$N$17,E61))^2+($D61-INDEX($L$18:$N$18,E61))^2</f>
        <v>0.721031782546263</v>
      </c>
      <c r="G61" s="12" t="str">
        <f aca="false">INDEX($M$5:$M$7,E61)</f>
        <v>Medium burden</v>
      </c>
      <c r="H61" s="17" t="n">
        <f aca="false">IF(COUNTIF(Distance_Matrix!$E$9:$DQ$9,$E61)&lt;=1,0,SUMIF(Distance_Matrix!$E$9:$DQ$9,$E61,Distance_Matrix!$E$52:$DQ$52)/(COUNTIF(Distance_Matrix!$E$9:$DQ$9,$E61)-1))</f>
        <v>1.17781372889314</v>
      </c>
      <c r="I61" s="17" t="n">
        <f aca="false">MIN(IF(1=$E61,1E+099,IF(COUNTIF(Distance_Matrix!$E$9:$DQ$9,1)=0,1E+099,SUMIF(Distance_Matrix!$E$9:$DQ$9,1,Distance_Matrix!$E$52:$DQ$52)/COUNTIF(Distance_Matrix!$E$9:$DQ$9,1))),IF(2=$E61,1E+099,IF(COUNTIF(Distance_Matrix!$E$9:$DQ$9,2)=0,1E+099,SUMIF(Distance_Matrix!$E$9:$DQ$9,2,Distance_Matrix!$E$52:$DQ$52)/COUNTIF(Distance_Matrix!$E$9:$DQ$9,2))),IF(3=$E61,1E+099,IF(COUNTIF(Distance_Matrix!$E$9:$DQ$9,3)=0,1E+099,SUMIF(Distance_Matrix!$E$9:$DQ$9,3,Distance_Matrix!$E$52:$DQ$52)/COUNTIF(Distance_Matrix!$E$9:$DQ$9,3))))</f>
        <v>2.65379781898693</v>
      </c>
      <c r="J61" s="17" t="n">
        <f aca="false">IF(COUNTIF(Distance_Matrix!$E$9:$DQ$9,$E61)&lt;=1,0,(I61-H61)/MAX(H61,I61))</f>
        <v>0.556178047752423</v>
      </c>
      <c r="X61" s="17" t="n">
        <f aca="false">SQRT(($B61-X$16)^2+($C61-X$17)^2+($D61-X$18)^2)</f>
        <v>4.77038426226699</v>
      </c>
      <c r="Y61" s="17" t="n">
        <f aca="false">SQRT(($B61-Y$16)^2+($C61-Y$17)^2+($D61-Y$18)^2)</f>
        <v>3.62195415614862</v>
      </c>
      <c r="Z61" s="17" t="n">
        <f aca="false">SQRT(($B61-Z$16)^2+($C61-Z$17)^2+($D61-Z$18)^2)</f>
        <v>1.37995618620555</v>
      </c>
      <c r="AA61" s="63" t="n">
        <f aca="false">MATCH(MIN(X61:Z61),X61:Z61,0)</f>
        <v>3</v>
      </c>
      <c r="AC61" s="17" t="n">
        <f aca="false">SQRT(($B61-AC$16)^2+($C61-AC$17)^2+($D61-AC$18)^2)</f>
        <v>3.77294860149715</v>
      </c>
      <c r="AD61" s="17" t="n">
        <f aca="false">SQRT(($B61-AD$16)^2+($C61-AD$17)^2+($D61-AD$18)^2)</f>
        <v>2.67610400088716</v>
      </c>
      <c r="AE61" s="17" t="n">
        <f aca="false">SQRT(($B61-AE$16)^2+($C61-AE$17)^2+($D61-AE$18)^2)</f>
        <v>0.928263801878564</v>
      </c>
      <c r="AF61" s="63" t="n">
        <f aca="false">MATCH(MIN(AC61:AE61),AC61:AE61,0)</f>
        <v>3</v>
      </c>
      <c r="AH61" s="17" t="n">
        <f aca="false">SQRT(($B61-AH$16)^2+($C61-AH$17)^2+($D61-AH$18)^2)</f>
        <v>3.1473417143301</v>
      </c>
      <c r="AI61" s="17" t="n">
        <f aca="false">SQRT(($B61-AI$16)^2+($C61-AI$17)^2+($D61-AI$18)^2)</f>
        <v>2.57637290663836</v>
      </c>
      <c r="AJ61" s="17" t="n">
        <f aca="false">SQRT(($B61-AJ$16)^2+($C61-AJ$17)^2+($D61-AJ$18)^2)</f>
        <v>0.857546129695307</v>
      </c>
      <c r="AK61" s="63" t="n">
        <f aca="false">MATCH(MIN(AH61:AJ61),AH61:AJ61,0)</f>
        <v>3</v>
      </c>
      <c r="AM61" s="17" t="n">
        <f aca="false">SQRT(($B61-AM$16)^2+($C61-AM$17)^2+($D61-AM$18)^2)</f>
        <v>3.1473417143301</v>
      </c>
      <c r="AN61" s="17" t="n">
        <f aca="false">SQRT(($B61-AN$16)^2+($C61-AN$17)^2+($D61-AN$18)^2)</f>
        <v>2.56155272373518</v>
      </c>
      <c r="AO61" s="17" t="n">
        <f aca="false">SQRT(($B61-AO$16)^2+($C61-AO$17)^2+($D61-AO$18)^2)</f>
        <v>0.849135903460844</v>
      </c>
      <c r="AP61" s="63" t="n">
        <f aca="false">MATCH(MIN(AM61:AO61),AM61:AO61,0)</f>
        <v>3</v>
      </c>
      <c r="AR61" s="17" t="n">
        <f aca="false">SQRT(($B61-AR$16)^2+($C61-AR$17)^2+($D61-AR$18)^2)</f>
        <v>3.1473417143301</v>
      </c>
      <c r="AS61" s="17" t="n">
        <f aca="false">SQRT(($B61-AS$16)^2+($C61-AS$17)^2+($D61-AS$18)^2)</f>
        <v>2.56155272373518</v>
      </c>
      <c r="AT61" s="17" t="n">
        <f aca="false">SQRT(($B61-AT$16)^2+($C61-AT$17)^2+($D61-AT$18)^2)</f>
        <v>0.849135903460844</v>
      </c>
      <c r="AU61" s="63" t="n">
        <f aca="false">MATCH(MIN(AR61:AT61),AR61:AT61,0)</f>
        <v>3</v>
      </c>
      <c r="AW61" s="17" t="n">
        <f aca="false">SQRT(($B61-AW$16)^2+($C61-AW$17)^2+($D61-AW$18)^2)</f>
        <v>3.1473417143301</v>
      </c>
      <c r="AX61" s="17" t="n">
        <f aca="false">SQRT(($B61-AX$16)^2+($C61-AX$17)^2+($D61-AX$18)^2)</f>
        <v>2.56155272373518</v>
      </c>
      <c r="AY61" s="17" t="n">
        <f aca="false">SQRT(($B61-AY$16)^2+($C61-AY$17)^2+($D61-AY$18)^2)</f>
        <v>0.849135903460844</v>
      </c>
      <c r="AZ61" s="63" t="n">
        <f aca="false">MATCH(MIN(AW61:AY61),AW61:AY61,0)</f>
        <v>3</v>
      </c>
      <c r="BB61" s="17" t="n">
        <f aca="false">SQRT(($B61-BB$16)^2+($C61-BB$17)^2+($D61-BB$18)^2)</f>
        <v>3.1473417143301</v>
      </c>
      <c r="BC61" s="17" t="n">
        <f aca="false">SQRT(($B61-BC$16)^2+($C61-BC$17)^2+($D61-BC$18)^2)</f>
        <v>2.56155272373518</v>
      </c>
      <c r="BD61" s="17" t="n">
        <f aca="false">SQRT(($B61-BD$16)^2+($C61-BD$17)^2+($D61-BD$18)^2)</f>
        <v>0.849135903460844</v>
      </c>
      <c r="BE61" s="63" t="n">
        <f aca="false">MATCH(MIN(BB61:BD61),BB61:BD61,0)</f>
        <v>3</v>
      </c>
      <c r="BG61" s="17" t="n">
        <f aca="false">SQRT(($B61-BG$16)^2+($C61-BG$17)^2+($D61-BG$18)^2)</f>
        <v>3.1473417143301</v>
      </c>
      <c r="BH61" s="17" t="n">
        <f aca="false">SQRT(($B61-BH$16)^2+($C61-BH$17)^2+($D61-BH$18)^2)</f>
        <v>2.56155272373518</v>
      </c>
      <c r="BI61" s="17" t="n">
        <f aca="false">SQRT(($B61-BI$16)^2+($C61-BI$17)^2+($D61-BI$18)^2)</f>
        <v>0.849135903460844</v>
      </c>
      <c r="BJ61" s="63" t="n">
        <f aca="false">MATCH(MIN(BG61:BI61),BG61:BI61,0)</f>
        <v>3</v>
      </c>
      <c r="BL61" s="17" t="n">
        <f aca="false">SQRT(($B61-BL$16)^2+($C61-BL$17)^2+($D61-BL$18)^2)</f>
        <v>3.1473417143301</v>
      </c>
      <c r="BM61" s="17" t="n">
        <f aca="false">SQRT(($B61-BM$16)^2+($C61-BM$17)^2+($D61-BM$18)^2)</f>
        <v>2.56155272373518</v>
      </c>
      <c r="BN61" s="17" t="n">
        <f aca="false">SQRT(($B61-BN$16)^2+($C61-BN$17)^2+($D61-BN$18)^2)</f>
        <v>0.849135903460844</v>
      </c>
      <c r="BO61" s="63" t="n">
        <f aca="false">MATCH(MIN(BL61:BN61),BL61:BN61,0)</f>
        <v>3</v>
      </c>
      <c r="BQ61" s="17" t="n">
        <f aca="false">SQRT(($B61-BQ$16)^2+($C61-BQ$17)^2+($D61-BQ$18)^2)</f>
        <v>3.1473417143301</v>
      </c>
      <c r="BR61" s="17" t="n">
        <f aca="false">SQRT(($B61-BR$16)^2+($C61-BR$17)^2+($D61-BR$18)^2)</f>
        <v>2.56155272373518</v>
      </c>
      <c r="BS61" s="17" t="n">
        <f aca="false">SQRT(($B61-BS$16)^2+($C61-BS$17)^2+($D61-BS$18)^2)</f>
        <v>0.849135903460844</v>
      </c>
      <c r="BT61" s="63" t="n">
        <f aca="false">MATCH(MIN(BQ61:BS61),BQ61:BS61,0)</f>
        <v>3</v>
      </c>
      <c r="BV61" s="17" t="n">
        <f aca="false">SQRT(($B61-BV$16)^2+($C61-BV$17)^2+($D61-BV$18)^2)</f>
        <v>3.1473417143301</v>
      </c>
      <c r="BW61" s="17" t="n">
        <f aca="false">SQRT(($B61-BW$16)^2+($C61-BW$17)^2+($D61-BW$18)^2)</f>
        <v>2.56155272373518</v>
      </c>
      <c r="BX61" s="17" t="n">
        <f aca="false">SQRT(($B61-BX$16)^2+($C61-BX$17)^2+($D61-BX$18)^2)</f>
        <v>0.849135903460844</v>
      </c>
      <c r="BY61" s="63" t="n">
        <f aca="false">MATCH(MIN(BV61:BX61),BV61:BX61,0)</f>
        <v>3</v>
      </c>
      <c r="CA61" s="17" t="n">
        <f aca="false">SQRT(($B61-CA$16)^2+($C61-CA$17)^2+($D61-CA$18)^2)</f>
        <v>3.1473417143301</v>
      </c>
      <c r="CB61" s="17" t="n">
        <f aca="false">SQRT(($B61-CB$16)^2+($C61-CB$17)^2+($D61-CB$18)^2)</f>
        <v>2.56155272373518</v>
      </c>
      <c r="CC61" s="17" t="n">
        <f aca="false">SQRT(($B61-CC$16)^2+($C61-CC$17)^2+($D61-CC$18)^2)</f>
        <v>0.849135903460844</v>
      </c>
      <c r="CD61" s="63" t="n">
        <f aca="false">MATCH(MIN(CA61:CC61),CA61:CC61,0)</f>
        <v>3</v>
      </c>
    </row>
    <row r="62" customFormat="false" ht="15" hidden="false" customHeight="false" outlineLevel="0" collapsed="false">
      <c r="A62" s="36" t="str">
        <f aca="false">KMeans_Data!A44</f>
        <v>Kurram</v>
      </c>
      <c r="B62" s="17" t="n">
        <f aca="false">KMeans_Data!H44</f>
        <v>0.389856926462388</v>
      </c>
      <c r="C62" s="17" t="n">
        <f aca="false">KMeans_Data!I44</f>
        <v>0.160512589624996</v>
      </c>
      <c r="D62" s="17" t="n">
        <f aca="false">KMeans_Data!J44</f>
        <v>-0.0786471224747799</v>
      </c>
      <c r="E62" s="63" t="n">
        <f aca="false">CD62</f>
        <v>3</v>
      </c>
      <c r="F62" s="38" t="n">
        <f aca="false">($B62-INDEX($L$16:$N$16,E62))^2+($C62-INDEX($L$17:$N$17,E62))^2+($D62-INDEX($L$18:$N$18,E62))^2</f>
        <v>0.701486680823532</v>
      </c>
      <c r="G62" s="12" t="str">
        <f aca="false">INDEX($M$5:$M$7,E62)</f>
        <v>Medium burden</v>
      </c>
      <c r="H62" s="17" t="n">
        <f aca="false">IF(COUNTIF(Distance_Matrix!$E$9:$DQ$9,$E62)&lt;=1,0,SUMIF(Distance_Matrix!$E$9:$DQ$9,$E62,Distance_Matrix!$E$53:$DQ$53)/(COUNTIF(Distance_Matrix!$E$9:$DQ$9,$E62)-1))</f>
        <v>1.19750201612756</v>
      </c>
      <c r="I62" s="17" t="n">
        <f aca="false">MIN(IF(1=$E62,1E+099,IF(COUNTIF(Distance_Matrix!$E$9:$DQ$9,1)=0,1E+099,SUMIF(Distance_Matrix!$E$9:$DQ$9,1,Distance_Matrix!$E$53:$DQ$53)/COUNTIF(Distance_Matrix!$E$9:$DQ$9,1))),IF(2=$E62,1E+099,IF(COUNTIF(Distance_Matrix!$E$9:$DQ$9,2)=0,1E+099,SUMIF(Distance_Matrix!$E$9:$DQ$9,2,Distance_Matrix!$E$53:$DQ$53)/COUNTIF(Distance_Matrix!$E$9:$DQ$9,2))),IF(3=$E62,1E+099,IF(COUNTIF(Distance_Matrix!$E$9:$DQ$9,3)=0,1E+099,SUMIF(Distance_Matrix!$E$9:$DQ$9,3,Distance_Matrix!$E$53:$DQ$53)/COUNTIF(Distance_Matrix!$E$9:$DQ$9,3))))</f>
        <v>1.58560944464357</v>
      </c>
      <c r="J62" s="17" t="n">
        <f aca="false">IF(COUNTIF(Distance_Matrix!$E$9:$DQ$9,$E62)&lt;=1,0,(I62-H62)/MAX(H62,I62))</f>
        <v>0.244768615516951</v>
      </c>
      <c r="X62" s="17" t="n">
        <f aca="false">SQRT(($B62-X$16)^2+($C62-X$17)^2+($D62-X$18)^2)</f>
        <v>5.87022459726912</v>
      </c>
      <c r="Y62" s="17" t="n">
        <f aca="false">SQRT(($B62-Y$16)^2+($C62-Y$17)^2+($D62-Y$18)^2)</f>
        <v>2.81629941685552</v>
      </c>
      <c r="Z62" s="17" t="n">
        <f aca="false">SQRT(($B62-Z$16)^2+($C62-Z$17)^2+($D62-Z$18)^2)</f>
        <v>1.69304179751501</v>
      </c>
      <c r="AA62" s="63" t="n">
        <f aca="false">MATCH(MIN(X62:Z62),X62:Z62,0)</f>
        <v>3</v>
      </c>
      <c r="AC62" s="17" t="n">
        <f aca="false">SQRT(($B62-AC$16)^2+($C62-AC$17)^2+($D62-AC$18)^2)</f>
        <v>4.86496894242193</v>
      </c>
      <c r="AD62" s="17" t="n">
        <f aca="false">SQRT(($B62-AD$16)^2+($C62-AD$17)^2+($D62-AD$18)^2)</f>
        <v>1.59304159968064</v>
      </c>
      <c r="AE62" s="17" t="n">
        <f aca="false">SQRT(($B62-AE$16)^2+($C62-AE$17)^2+($D62-AE$18)^2)</f>
        <v>0.703279425832025</v>
      </c>
      <c r="AF62" s="63" t="n">
        <f aca="false">MATCH(MIN(AC62:AE62),AC62:AE62,0)</f>
        <v>3</v>
      </c>
      <c r="AH62" s="17" t="n">
        <f aca="false">SQRT(($B62-AH$16)^2+($C62-AH$17)^2+($D62-AH$18)^2)</f>
        <v>4.22886680140048</v>
      </c>
      <c r="AI62" s="17" t="n">
        <f aca="false">SQRT(($B62-AI$16)^2+($C62-AI$17)^2+($D62-AI$18)^2)</f>
        <v>1.4654216553884</v>
      </c>
      <c r="AJ62" s="17" t="n">
        <f aca="false">SQRT(($B62-AJ$16)^2+($C62-AJ$17)^2+($D62-AJ$18)^2)</f>
        <v>0.820086707736113</v>
      </c>
      <c r="AK62" s="63" t="n">
        <f aca="false">MATCH(MIN(AH62:AJ62),AH62:AJ62,0)</f>
        <v>3</v>
      </c>
      <c r="AM62" s="17" t="n">
        <f aca="false">SQRT(($B62-AM$16)^2+($C62-AM$17)^2+($D62-AM$18)^2)</f>
        <v>4.22886680140048</v>
      </c>
      <c r="AN62" s="17" t="n">
        <f aca="false">SQRT(($B62-AN$16)^2+($C62-AN$17)^2+($D62-AN$18)^2)</f>
        <v>1.45210286305805</v>
      </c>
      <c r="AO62" s="17" t="n">
        <f aca="false">SQRT(($B62-AO$16)^2+($C62-AO$17)^2+($D62-AO$18)^2)</f>
        <v>0.837548017025611</v>
      </c>
      <c r="AP62" s="63" t="n">
        <f aca="false">MATCH(MIN(AM62:AO62),AM62:AO62,0)</f>
        <v>3</v>
      </c>
      <c r="AR62" s="17" t="n">
        <f aca="false">SQRT(($B62-AR$16)^2+($C62-AR$17)^2+($D62-AR$18)^2)</f>
        <v>4.22886680140048</v>
      </c>
      <c r="AS62" s="17" t="n">
        <f aca="false">SQRT(($B62-AS$16)^2+($C62-AS$17)^2+($D62-AS$18)^2)</f>
        <v>1.45210286305805</v>
      </c>
      <c r="AT62" s="17" t="n">
        <f aca="false">SQRT(($B62-AT$16)^2+($C62-AT$17)^2+($D62-AT$18)^2)</f>
        <v>0.837548017025611</v>
      </c>
      <c r="AU62" s="63" t="n">
        <f aca="false">MATCH(MIN(AR62:AT62),AR62:AT62,0)</f>
        <v>3</v>
      </c>
      <c r="AW62" s="17" t="n">
        <f aca="false">SQRT(($B62-AW$16)^2+($C62-AW$17)^2+($D62-AW$18)^2)</f>
        <v>4.22886680140048</v>
      </c>
      <c r="AX62" s="17" t="n">
        <f aca="false">SQRT(($B62-AX$16)^2+($C62-AX$17)^2+($D62-AX$18)^2)</f>
        <v>1.45210286305805</v>
      </c>
      <c r="AY62" s="17" t="n">
        <f aca="false">SQRT(($B62-AY$16)^2+($C62-AY$17)^2+($D62-AY$18)^2)</f>
        <v>0.837548017025611</v>
      </c>
      <c r="AZ62" s="63" t="n">
        <f aca="false">MATCH(MIN(AW62:AY62),AW62:AY62,0)</f>
        <v>3</v>
      </c>
      <c r="BB62" s="17" t="n">
        <f aca="false">SQRT(($B62-BB$16)^2+($C62-BB$17)^2+($D62-BB$18)^2)</f>
        <v>4.22886680140048</v>
      </c>
      <c r="BC62" s="17" t="n">
        <f aca="false">SQRT(($B62-BC$16)^2+($C62-BC$17)^2+($D62-BC$18)^2)</f>
        <v>1.45210286305805</v>
      </c>
      <c r="BD62" s="17" t="n">
        <f aca="false">SQRT(($B62-BD$16)^2+($C62-BD$17)^2+($D62-BD$18)^2)</f>
        <v>0.837548017025611</v>
      </c>
      <c r="BE62" s="63" t="n">
        <f aca="false">MATCH(MIN(BB62:BD62),BB62:BD62,0)</f>
        <v>3</v>
      </c>
      <c r="BG62" s="17" t="n">
        <f aca="false">SQRT(($B62-BG$16)^2+($C62-BG$17)^2+($D62-BG$18)^2)</f>
        <v>4.22886680140048</v>
      </c>
      <c r="BH62" s="17" t="n">
        <f aca="false">SQRT(($B62-BH$16)^2+($C62-BH$17)^2+($D62-BH$18)^2)</f>
        <v>1.45210286305805</v>
      </c>
      <c r="BI62" s="17" t="n">
        <f aca="false">SQRT(($B62-BI$16)^2+($C62-BI$17)^2+($D62-BI$18)^2)</f>
        <v>0.837548017025611</v>
      </c>
      <c r="BJ62" s="63" t="n">
        <f aca="false">MATCH(MIN(BG62:BI62),BG62:BI62,0)</f>
        <v>3</v>
      </c>
      <c r="BL62" s="17" t="n">
        <f aca="false">SQRT(($B62-BL$16)^2+($C62-BL$17)^2+($D62-BL$18)^2)</f>
        <v>4.22886680140048</v>
      </c>
      <c r="BM62" s="17" t="n">
        <f aca="false">SQRT(($B62-BM$16)^2+($C62-BM$17)^2+($D62-BM$18)^2)</f>
        <v>1.45210286305805</v>
      </c>
      <c r="BN62" s="17" t="n">
        <f aca="false">SQRT(($B62-BN$16)^2+($C62-BN$17)^2+($D62-BN$18)^2)</f>
        <v>0.837548017025611</v>
      </c>
      <c r="BO62" s="63" t="n">
        <f aca="false">MATCH(MIN(BL62:BN62),BL62:BN62,0)</f>
        <v>3</v>
      </c>
      <c r="BQ62" s="17" t="n">
        <f aca="false">SQRT(($B62-BQ$16)^2+($C62-BQ$17)^2+($D62-BQ$18)^2)</f>
        <v>4.22886680140048</v>
      </c>
      <c r="BR62" s="17" t="n">
        <f aca="false">SQRT(($B62-BR$16)^2+($C62-BR$17)^2+($D62-BR$18)^2)</f>
        <v>1.45210286305805</v>
      </c>
      <c r="BS62" s="17" t="n">
        <f aca="false">SQRT(($B62-BS$16)^2+($C62-BS$17)^2+($D62-BS$18)^2)</f>
        <v>0.837548017025611</v>
      </c>
      <c r="BT62" s="63" t="n">
        <f aca="false">MATCH(MIN(BQ62:BS62),BQ62:BS62,0)</f>
        <v>3</v>
      </c>
      <c r="BV62" s="17" t="n">
        <f aca="false">SQRT(($B62-BV$16)^2+($C62-BV$17)^2+($D62-BV$18)^2)</f>
        <v>4.22886680140048</v>
      </c>
      <c r="BW62" s="17" t="n">
        <f aca="false">SQRT(($B62-BW$16)^2+($C62-BW$17)^2+($D62-BW$18)^2)</f>
        <v>1.45210286305805</v>
      </c>
      <c r="BX62" s="17" t="n">
        <f aca="false">SQRT(($B62-BX$16)^2+($C62-BX$17)^2+($D62-BX$18)^2)</f>
        <v>0.837548017025611</v>
      </c>
      <c r="BY62" s="63" t="n">
        <f aca="false">MATCH(MIN(BV62:BX62),BV62:BX62,0)</f>
        <v>3</v>
      </c>
      <c r="CA62" s="17" t="n">
        <f aca="false">SQRT(($B62-CA$16)^2+($C62-CA$17)^2+($D62-CA$18)^2)</f>
        <v>4.22886680140048</v>
      </c>
      <c r="CB62" s="17" t="n">
        <f aca="false">SQRT(($B62-CB$16)^2+($C62-CB$17)^2+($D62-CB$18)^2)</f>
        <v>1.45210286305805</v>
      </c>
      <c r="CC62" s="17" t="n">
        <f aca="false">SQRT(($B62-CC$16)^2+($C62-CC$17)^2+($D62-CC$18)^2)</f>
        <v>0.837548017025611</v>
      </c>
      <c r="CD62" s="63" t="n">
        <f aca="false">MATCH(MIN(CA62:CC62),CA62:CC62,0)</f>
        <v>3</v>
      </c>
    </row>
    <row r="63" customFormat="false" ht="15" hidden="false" customHeight="false" outlineLevel="0" collapsed="false">
      <c r="A63" s="36" t="str">
        <f aca="false">KMeans_Data!A45</f>
        <v>Kambar Shahdadkot</v>
      </c>
      <c r="B63" s="17" t="n">
        <f aca="false">KMeans_Data!H45</f>
        <v>0.317115025857358</v>
      </c>
      <c r="C63" s="17" t="n">
        <f aca="false">KMeans_Data!I45</f>
        <v>-0.672650545388274</v>
      </c>
      <c r="D63" s="17" t="n">
        <f aca="false">KMeans_Data!J45</f>
        <v>1.01095878979359</v>
      </c>
      <c r="E63" s="63" t="n">
        <f aca="false">CD63</f>
        <v>3</v>
      </c>
      <c r="F63" s="38" t="n">
        <f aca="false">($B63-INDEX($L$16:$N$16,E63))^2+($C63-INDEX($L$17:$N$17,E63))^2+($D63-INDEX($L$18:$N$18,E63))^2</f>
        <v>1.3667058985958</v>
      </c>
      <c r="G63" s="12" t="str">
        <f aca="false">INDEX($M$5:$M$7,E63)</f>
        <v>Medium burden</v>
      </c>
      <c r="H63" s="17" t="n">
        <f aca="false">IF(COUNTIF(Distance_Matrix!$E$9:$DQ$9,$E63)&lt;=1,0,SUMIF(Distance_Matrix!$E$9:$DQ$9,$E63,Distance_Matrix!$E$54:$DQ$54)/(COUNTIF(Distance_Matrix!$E$9:$DQ$9,$E63)-1))</f>
        <v>1.40925097845488</v>
      </c>
      <c r="I63" s="17" t="n">
        <f aca="false">MIN(IF(1=$E63,1E+099,IF(COUNTIF(Distance_Matrix!$E$9:$DQ$9,1)=0,1E+099,SUMIF(Distance_Matrix!$E$9:$DQ$9,1,Distance_Matrix!$E$54:$DQ$54)/COUNTIF(Distance_Matrix!$E$9:$DQ$9,1))),IF(2=$E63,1E+099,IF(COUNTIF(Distance_Matrix!$E$9:$DQ$9,2)=0,1E+099,SUMIF(Distance_Matrix!$E$9:$DQ$9,2,Distance_Matrix!$E$54:$DQ$54)/COUNTIF(Distance_Matrix!$E$9:$DQ$9,2))),IF(3=$E63,1E+099,IF(COUNTIF(Distance_Matrix!$E$9:$DQ$9,3)=0,1E+099,SUMIF(Distance_Matrix!$E$9:$DQ$9,3,Distance_Matrix!$E$54:$DQ$54)/COUNTIF(Distance_Matrix!$E$9:$DQ$9,3))))</f>
        <v>2.07903039175563</v>
      </c>
      <c r="J63" s="17" t="n">
        <f aca="false">IF(COUNTIF(Distance_Matrix!$E$9:$DQ$9,$E63)&lt;=1,0,(I63-H63)/MAX(H63,I63))</f>
        <v>0.322159510489482</v>
      </c>
      <c r="X63" s="17" t="n">
        <f aca="false">SQRT(($B63-X$16)^2+($C63-X$17)^2+($D63-X$18)^2)</f>
        <v>5.99739197654582</v>
      </c>
      <c r="Y63" s="17" t="n">
        <f aca="false">SQRT(($B63-Y$16)^2+($C63-Y$17)^2+($D63-Y$18)^2)</f>
        <v>3.22425812165343</v>
      </c>
      <c r="Z63" s="17" t="n">
        <f aca="false">SQRT(($B63-Z$16)^2+($C63-Z$17)^2+($D63-Z$18)^2)</f>
        <v>1.35466413068347</v>
      </c>
      <c r="AA63" s="63" t="n">
        <f aca="false">MATCH(MIN(X63:Z63),X63:Z63,0)</f>
        <v>3</v>
      </c>
      <c r="AC63" s="17" t="n">
        <f aca="false">SQRT(($B63-AC$16)^2+($C63-AC$17)^2+($D63-AC$18)^2)</f>
        <v>5.08949240888604</v>
      </c>
      <c r="AD63" s="17" t="n">
        <f aca="false">SQRT(($B63-AD$16)^2+($C63-AD$17)^2+($D63-AD$18)^2)</f>
        <v>2.13223775197689</v>
      </c>
      <c r="AE63" s="17" t="n">
        <f aca="false">SQRT(($B63-AE$16)^2+($C63-AE$17)^2+($D63-AE$18)^2)</f>
        <v>1.12396926860067</v>
      </c>
      <c r="AF63" s="63" t="n">
        <f aca="false">MATCH(MIN(AC63:AE63),AC63:AE63,0)</f>
        <v>3</v>
      </c>
      <c r="AH63" s="17" t="n">
        <f aca="false">SQRT(($B63-AH$16)^2+($C63-AH$17)^2+($D63-AH$18)^2)</f>
        <v>4.46975804244695</v>
      </c>
      <c r="AI63" s="17" t="n">
        <f aca="false">SQRT(($B63-AI$16)^2+($C63-AI$17)^2+($D63-AI$18)^2)</f>
        <v>2.01052250055688</v>
      </c>
      <c r="AJ63" s="17" t="n">
        <f aca="false">SQRT(($B63-AJ$16)^2+($C63-AJ$17)^2+($D63-AJ$18)^2)</f>
        <v>1.15766496550515</v>
      </c>
      <c r="AK63" s="63" t="n">
        <f aca="false">MATCH(MIN(AH63:AJ63),AH63:AJ63,0)</f>
        <v>3</v>
      </c>
      <c r="AM63" s="17" t="n">
        <f aca="false">SQRT(($B63-AM$16)^2+($C63-AM$17)^2+($D63-AM$18)^2)</f>
        <v>4.46975804244695</v>
      </c>
      <c r="AN63" s="17" t="n">
        <f aca="false">SQRT(($B63-AN$16)^2+($C63-AN$17)^2+($D63-AN$18)^2)</f>
        <v>1.996425327188</v>
      </c>
      <c r="AO63" s="17" t="n">
        <f aca="false">SQRT(($B63-AO$16)^2+($C63-AO$17)^2+($D63-AO$18)^2)</f>
        <v>1.16906197380456</v>
      </c>
      <c r="AP63" s="63" t="n">
        <f aca="false">MATCH(MIN(AM63:AO63),AM63:AO63,0)</f>
        <v>3</v>
      </c>
      <c r="AR63" s="17" t="n">
        <f aca="false">SQRT(($B63-AR$16)^2+($C63-AR$17)^2+($D63-AR$18)^2)</f>
        <v>4.46975804244695</v>
      </c>
      <c r="AS63" s="17" t="n">
        <f aca="false">SQRT(($B63-AS$16)^2+($C63-AS$17)^2+($D63-AS$18)^2)</f>
        <v>1.996425327188</v>
      </c>
      <c r="AT63" s="17" t="n">
        <f aca="false">SQRT(($B63-AT$16)^2+($C63-AT$17)^2+($D63-AT$18)^2)</f>
        <v>1.16906197380456</v>
      </c>
      <c r="AU63" s="63" t="n">
        <f aca="false">MATCH(MIN(AR63:AT63),AR63:AT63,0)</f>
        <v>3</v>
      </c>
      <c r="AW63" s="17" t="n">
        <f aca="false">SQRT(($B63-AW$16)^2+($C63-AW$17)^2+($D63-AW$18)^2)</f>
        <v>4.46975804244695</v>
      </c>
      <c r="AX63" s="17" t="n">
        <f aca="false">SQRT(($B63-AX$16)^2+($C63-AX$17)^2+($D63-AX$18)^2)</f>
        <v>1.996425327188</v>
      </c>
      <c r="AY63" s="17" t="n">
        <f aca="false">SQRT(($B63-AY$16)^2+($C63-AY$17)^2+($D63-AY$18)^2)</f>
        <v>1.16906197380456</v>
      </c>
      <c r="AZ63" s="63" t="n">
        <f aca="false">MATCH(MIN(AW63:AY63),AW63:AY63,0)</f>
        <v>3</v>
      </c>
      <c r="BB63" s="17" t="n">
        <f aca="false">SQRT(($B63-BB$16)^2+($C63-BB$17)^2+($D63-BB$18)^2)</f>
        <v>4.46975804244695</v>
      </c>
      <c r="BC63" s="17" t="n">
        <f aca="false">SQRT(($B63-BC$16)^2+($C63-BC$17)^2+($D63-BC$18)^2)</f>
        <v>1.996425327188</v>
      </c>
      <c r="BD63" s="17" t="n">
        <f aca="false">SQRT(($B63-BD$16)^2+($C63-BD$17)^2+($D63-BD$18)^2)</f>
        <v>1.16906197380456</v>
      </c>
      <c r="BE63" s="63" t="n">
        <f aca="false">MATCH(MIN(BB63:BD63),BB63:BD63,0)</f>
        <v>3</v>
      </c>
      <c r="BG63" s="17" t="n">
        <f aca="false">SQRT(($B63-BG$16)^2+($C63-BG$17)^2+($D63-BG$18)^2)</f>
        <v>4.46975804244695</v>
      </c>
      <c r="BH63" s="17" t="n">
        <f aca="false">SQRT(($B63-BH$16)^2+($C63-BH$17)^2+($D63-BH$18)^2)</f>
        <v>1.996425327188</v>
      </c>
      <c r="BI63" s="17" t="n">
        <f aca="false">SQRT(($B63-BI$16)^2+($C63-BI$17)^2+($D63-BI$18)^2)</f>
        <v>1.16906197380456</v>
      </c>
      <c r="BJ63" s="63" t="n">
        <f aca="false">MATCH(MIN(BG63:BI63),BG63:BI63,0)</f>
        <v>3</v>
      </c>
      <c r="BL63" s="17" t="n">
        <f aca="false">SQRT(($B63-BL$16)^2+($C63-BL$17)^2+($D63-BL$18)^2)</f>
        <v>4.46975804244695</v>
      </c>
      <c r="BM63" s="17" t="n">
        <f aca="false">SQRT(($B63-BM$16)^2+($C63-BM$17)^2+($D63-BM$18)^2)</f>
        <v>1.996425327188</v>
      </c>
      <c r="BN63" s="17" t="n">
        <f aca="false">SQRT(($B63-BN$16)^2+($C63-BN$17)^2+($D63-BN$18)^2)</f>
        <v>1.16906197380456</v>
      </c>
      <c r="BO63" s="63" t="n">
        <f aca="false">MATCH(MIN(BL63:BN63),BL63:BN63,0)</f>
        <v>3</v>
      </c>
      <c r="BQ63" s="17" t="n">
        <f aca="false">SQRT(($B63-BQ$16)^2+($C63-BQ$17)^2+($D63-BQ$18)^2)</f>
        <v>4.46975804244695</v>
      </c>
      <c r="BR63" s="17" t="n">
        <f aca="false">SQRT(($B63-BR$16)^2+($C63-BR$17)^2+($D63-BR$18)^2)</f>
        <v>1.996425327188</v>
      </c>
      <c r="BS63" s="17" t="n">
        <f aca="false">SQRT(($B63-BS$16)^2+($C63-BS$17)^2+($D63-BS$18)^2)</f>
        <v>1.16906197380456</v>
      </c>
      <c r="BT63" s="63" t="n">
        <f aca="false">MATCH(MIN(BQ63:BS63),BQ63:BS63,0)</f>
        <v>3</v>
      </c>
      <c r="BV63" s="17" t="n">
        <f aca="false">SQRT(($B63-BV$16)^2+($C63-BV$17)^2+($D63-BV$18)^2)</f>
        <v>4.46975804244695</v>
      </c>
      <c r="BW63" s="17" t="n">
        <f aca="false">SQRT(($B63-BW$16)^2+($C63-BW$17)^2+($D63-BW$18)^2)</f>
        <v>1.996425327188</v>
      </c>
      <c r="BX63" s="17" t="n">
        <f aca="false">SQRT(($B63-BX$16)^2+($C63-BX$17)^2+($D63-BX$18)^2)</f>
        <v>1.16906197380456</v>
      </c>
      <c r="BY63" s="63" t="n">
        <f aca="false">MATCH(MIN(BV63:BX63),BV63:BX63,0)</f>
        <v>3</v>
      </c>
      <c r="CA63" s="17" t="n">
        <f aca="false">SQRT(($B63-CA$16)^2+($C63-CA$17)^2+($D63-CA$18)^2)</f>
        <v>4.46975804244695</v>
      </c>
      <c r="CB63" s="17" t="n">
        <f aca="false">SQRT(($B63-CB$16)^2+($C63-CB$17)^2+($D63-CB$18)^2)</f>
        <v>1.996425327188</v>
      </c>
      <c r="CC63" s="17" t="n">
        <f aca="false">SQRT(($B63-CC$16)^2+($C63-CC$17)^2+($D63-CC$18)^2)</f>
        <v>1.16906197380456</v>
      </c>
      <c r="CD63" s="63" t="n">
        <f aca="false">MATCH(MIN(CA63:CC63),CA63:CC63,0)</f>
        <v>3</v>
      </c>
    </row>
    <row r="64" customFormat="false" ht="15" hidden="false" customHeight="false" outlineLevel="0" collapsed="false">
      <c r="A64" s="36" t="str">
        <f aca="false">KMeans_Data!A46</f>
        <v>Nagar</v>
      </c>
      <c r="B64" s="17" t="n">
        <f aca="false">KMeans_Data!H46</f>
        <v>0.273717398386991</v>
      </c>
      <c r="C64" s="17" t="n">
        <f aca="false">KMeans_Data!I46</f>
        <v>-0.146983133929529</v>
      </c>
      <c r="D64" s="17" t="n">
        <f aca="false">KMeans_Data!J46</f>
        <v>0.774246840861612</v>
      </c>
      <c r="E64" s="63" t="n">
        <f aca="false">CD64</f>
        <v>3</v>
      </c>
      <c r="F64" s="38" t="n">
        <f aca="false">($B64-INDEX($L$16:$N$16,E64))^2+($C64-INDEX($L$17:$N$17,E64))^2+($D64-INDEX($L$18:$N$18,E64))^2</f>
        <v>0.407888057436023</v>
      </c>
      <c r="G64" s="12" t="str">
        <f aca="false">INDEX($M$5:$M$7,E64)</f>
        <v>Medium burden</v>
      </c>
      <c r="H64" s="17" t="n">
        <f aca="false">IF(COUNTIF(Distance_Matrix!$E$9:$DQ$9,$E64)&lt;=1,0,SUMIF(Distance_Matrix!$E$9:$DQ$9,$E64,Distance_Matrix!$E$55:$DQ$55)/(COUNTIF(Distance_Matrix!$E$9:$DQ$9,$E64)-1))</f>
        <v>1.0414926797996</v>
      </c>
      <c r="I64" s="17" t="n">
        <f aca="false">MIN(IF(1=$E64,1E+099,IF(COUNTIF(Distance_Matrix!$E$9:$DQ$9,1)=0,1E+099,SUMIF(Distance_Matrix!$E$9:$DQ$9,1,Distance_Matrix!$E$55:$DQ$55)/COUNTIF(Distance_Matrix!$E$9:$DQ$9,1))),IF(2=$E64,1E+099,IF(COUNTIF(Distance_Matrix!$E$9:$DQ$9,2)=0,1E+099,SUMIF(Distance_Matrix!$E$9:$DQ$9,2,Distance_Matrix!$E$55:$DQ$55)/COUNTIF(Distance_Matrix!$E$9:$DQ$9,2))),IF(3=$E64,1E+099,IF(COUNTIF(Distance_Matrix!$E$9:$DQ$9,3)=0,1E+099,SUMIF(Distance_Matrix!$E$9:$DQ$9,3,Distance_Matrix!$E$55:$DQ$55)/COUNTIF(Distance_Matrix!$E$9:$DQ$9,3))))</f>
        <v>1.92498167005501</v>
      </c>
      <c r="J64" s="17" t="n">
        <f aca="false">IF(COUNTIF(Distance_Matrix!$E$9:$DQ$9,$E64)&lt;=1,0,(I64-H64)/MAX(H64,I64))</f>
        <v>0.458959689850012</v>
      </c>
      <c r="X64" s="17" t="n">
        <f aca="false">SQRT(($B64-X$16)^2+($C64-X$17)^2+($D64-X$18)^2)</f>
        <v>5.71555391045852</v>
      </c>
      <c r="Y64" s="17" t="n">
        <f aca="false">SQRT(($B64-Y$16)^2+($C64-Y$17)^2+($D64-Y$18)^2)</f>
        <v>3.0823789094685</v>
      </c>
      <c r="Z64" s="17" t="n">
        <f aca="false">SQRT(($B64-Z$16)^2+($C64-Z$17)^2+($D64-Z$18)^2)</f>
        <v>1.15934318016295</v>
      </c>
      <c r="AA64" s="63" t="n">
        <f aca="false">MATCH(MIN(X64:Z64),X64:Z64,0)</f>
        <v>3</v>
      </c>
      <c r="AC64" s="17" t="n">
        <f aca="false">SQRT(($B64-AC$16)^2+($C64-AC$17)^2+($D64-AC$18)^2)</f>
        <v>4.76985405483792</v>
      </c>
      <c r="AD64" s="17" t="n">
        <f aca="false">SQRT(($B64-AD$16)^2+($C64-AD$17)^2+($D64-AD$18)^2)</f>
        <v>1.97135770993215</v>
      </c>
      <c r="AE64" s="17" t="n">
        <f aca="false">SQRT(($B64-AE$16)^2+($C64-AE$17)^2+($D64-AE$18)^2)</f>
        <v>0.58133565815294</v>
      </c>
      <c r="AF64" s="63" t="n">
        <f aca="false">MATCH(MIN(AC64:AE64),AC64:AE64,0)</f>
        <v>3</v>
      </c>
      <c r="AH64" s="17" t="n">
        <f aca="false">SQRT(($B64-AH$16)^2+($C64-AH$17)^2+($D64-AH$18)^2)</f>
        <v>4.13916110613897</v>
      </c>
      <c r="AI64" s="17" t="n">
        <f aca="false">SQRT(($B64-AI$16)^2+($C64-AI$17)^2+($D64-AI$18)^2)</f>
        <v>1.84722196749798</v>
      </c>
      <c r="AJ64" s="17" t="n">
        <f aca="false">SQRT(($B64-AJ$16)^2+($C64-AJ$17)^2+($D64-AJ$18)^2)</f>
        <v>0.621915948452993</v>
      </c>
      <c r="AK64" s="63" t="n">
        <f aca="false">MATCH(MIN(AH64:AJ64),AH64:AJ64,0)</f>
        <v>3</v>
      </c>
      <c r="AM64" s="17" t="n">
        <f aca="false">SQRT(($B64-AM$16)^2+($C64-AM$17)^2+($D64-AM$18)^2)</f>
        <v>4.13916110613897</v>
      </c>
      <c r="AN64" s="17" t="n">
        <f aca="false">SQRT(($B64-AN$16)^2+($C64-AN$17)^2+($D64-AN$18)^2)</f>
        <v>1.8315921132849</v>
      </c>
      <c r="AO64" s="17" t="n">
        <f aca="false">SQRT(($B64-AO$16)^2+($C64-AO$17)^2+($D64-AO$18)^2)</f>
        <v>0.638661144454571</v>
      </c>
      <c r="AP64" s="63" t="n">
        <f aca="false">MATCH(MIN(AM64:AO64),AM64:AO64,0)</f>
        <v>3</v>
      </c>
      <c r="AR64" s="17" t="n">
        <f aca="false">SQRT(($B64-AR$16)^2+($C64-AR$17)^2+($D64-AR$18)^2)</f>
        <v>4.13916110613897</v>
      </c>
      <c r="AS64" s="17" t="n">
        <f aca="false">SQRT(($B64-AS$16)^2+($C64-AS$17)^2+($D64-AS$18)^2)</f>
        <v>1.8315921132849</v>
      </c>
      <c r="AT64" s="17" t="n">
        <f aca="false">SQRT(($B64-AT$16)^2+($C64-AT$17)^2+($D64-AT$18)^2)</f>
        <v>0.638661144454571</v>
      </c>
      <c r="AU64" s="63" t="n">
        <f aca="false">MATCH(MIN(AR64:AT64),AR64:AT64,0)</f>
        <v>3</v>
      </c>
      <c r="AW64" s="17" t="n">
        <f aca="false">SQRT(($B64-AW$16)^2+($C64-AW$17)^2+($D64-AW$18)^2)</f>
        <v>4.13916110613897</v>
      </c>
      <c r="AX64" s="17" t="n">
        <f aca="false">SQRT(($B64-AX$16)^2+($C64-AX$17)^2+($D64-AX$18)^2)</f>
        <v>1.8315921132849</v>
      </c>
      <c r="AY64" s="17" t="n">
        <f aca="false">SQRT(($B64-AY$16)^2+($C64-AY$17)^2+($D64-AY$18)^2)</f>
        <v>0.638661144454571</v>
      </c>
      <c r="AZ64" s="63" t="n">
        <f aca="false">MATCH(MIN(AW64:AY64),AW64:AY64,0)</f>
        <v>3</v>
      </c>
      <c r="BB64" s="17" t="n">
        <f aca="false">SQRT(($B64-BB$16)^2+($C64-BB$17)^2+($D64-BB$18)^2)</f>
        <v>4.13916110613897</v>
      </c>
      <c r="BC64" s="17" t="n">
        <f aca="false">SQRT(($B64-BC$16)^2+($C64-BC$17)^2+($D64-BC$18)^2)</f>
        <v>1.8315921132849</v>
      </c>
      <c r="BD64" s="17" t="n">
        <f aca="false">SQRT(($B64-BD$16)^2+($C64-BD$17)^2+($D64-BD$18)^2)</f>
        <v>0.638661144454571</v>
      </c>
      <c r="BE64" s="63" t="n">
        <f aca="false">MATCH(MIN(BB64:BD64),BB64:BD64,0)</f>
        <v>3</v>
      </c>
      <c r="BG64" s="17" t="n">
        <f aca="false">SQRT(($B64-BG$16)^2+($C64-BG$17)^2+($D64-BG$18)^2)</f>
        <v>4.13916110613897</v>
      </c>
      <c r="BH64" s="17" t="n">
        <f aca="false">SQRT(($B64-BH$16)^2+($C64-BH$17)^2+($D64-BH$18)^2)</f>
        <v>1.8315921132849</v>
      </c>
      <c r="BI64" s="17" t="n">
        <f aca="false">SQRT(($B64-BI$16)^2+($C64-BI$17)^2+($D64-BI$18)^2)</f>
        <v>0.638661144454571</v>
      </c>
      <c r="BJ64" s="63" t="n">
        <f aca="false">MATCH(MIN(BG64:BI64),BG64:BI64,0)</f>
        <v>3</v>
      </c>
      <c r="BL64" s="17" t="n">
        <f aca="false">SQRT(($B64-BL$16)^2+($C64-BL$17)^2+($D64-BL$18)^2)</f>
        <v>4.13916110613897</v>
      </c>
      <c r="BM64" s="17" t="n">
        <f aca="false">SQRT(($B64-BM$16)^2+($C64-BM$17)^2+($D64-BM$18)^2)</f>
        <v>1.8315921132849</v>
      </c>
      <c r="BN64" s="17" t="n">
        <f aca="false">SQRT(($B64-BN$16)^2+($C64-BN$17)^2+($D64-BN$18)^2)</f>
        <v>0.638661144454571</v>
      </c>
      <c r="BO64" s="63" t="n">
        <f aca="false">MATCH(MIN(BL64:BN64),BL64:BN64,0)</f>
        <v>3</v>
      </c>
      <c r="BQ64" s="17" t="n">
        <f aca="false">SQRT(($B64-BQ$16)^2+($C64-BQ$17)^2+($D64-BQ$18)^2)</f>
        <v>4.13916110613897</v>
      </c>
      <c r="BR64" s="17" t="n">
        <f aca="false">SQRT(($B64-BR$16)^2+($C64-BR$17)^2+($D64-BR$18)^2)</f>
        <v>1.8315921132849</v>
      </c>
      <c r="BS64" s="17" t="n">
        <f aca="false">SQRT(($B64-BS$16)^2+($C64-BS$17)^2+($D64-BS$18)^2)</f>
        <v>0.638661144454571</v>
      </c>
      <c r="BT64" s="63" t="n">
        <f aca="false">MATCH(MIN(BQ64:BS64),BQ64:BS64,0)</f>
        <v>3</v>
      </c>
      <c r="BV64" s="17" t="n">
        <f aca="false">SQRT(($B64-BV$16)^2+($C64-BV$17)^2+($D64-BV$18)^2)</f>
        <v>4.13916110613897</v>
      </c>
      <c r="BW64" s="17" t="n">
        <f aca="false">SQRT(($B64-BW$16)^2+($C64-BW$17)^2+($D64-BW$18)^2)</f>
        <v>1.8315921132849</v>
      </c>
      <c r="BX64" s="17" t="n">
        <f aca="false">SQRT(($B64-BX$16)^2+($C64-BX$17)^2+($D64-BX$18)^2)</f>
        <v>0.638661144454571</v>
      </c>
      <c r="BY64" s="63" t="n">
        <f aca="false">MATCH(MIN(BV64:BX64),BV64:BX64,0)</f>
        <v>3</v>
      </c>
      <c r="CA64" s="17" t="n">
        <f aca="false">SQRT(($B64-CA$16)^2+($C64-CA$17)^2+($D64-CA$18)^2)</f>
        <v>4.13916110613897</v>
      </c>
      <c r="CB64" s="17" t="n">
        <f aca="false">SQRT(($B64-CB$16)^2+($C64-CB$17)^2+($D64-CB$18)^2)</f>
        <v>1.8315921132849</v>
      </c>
      <c r="CC64" s="17" t="n">
        <f aca="false">SQRT(($B64-CC$16)^2+($C64-CC$17)^2+($D64-CC$18)^2)</f>
        <v>0.638661144454571</v>
      </c>
      <c r="CD64" s="63" t="n">
        <f aca="false">MATCH(MIN(CA64:CC64),CA64:CC64,0)</f>
        <v>3</v>
      </c>
    </row>
    <row r="65" customFormat="false" ht="15" hidden="false" customHeight="false" outlineLevel="0" collapsed="false">
      <c r="A65" s="36" t="str">
        <f aca="false">KMeans_Data!A47</f>
        <v>Rahim Yar Khan</v>
      </c>
      <c r="B65" s="17" t="n">
        <f aca="false">KMeans_Data!H47</f>
        <v>0.262278036420678</v>
      </c>
      <c r="C65" s="17" t="n">
        <f aca="false">KMeans_Data!I47</f>
        <v>-0.146983133929529</v>
      </c>
      <c r="D65" s="17" t="n">
        <f aca="false">KMeans_Data!J47</f>
        <v>-0.636557171841548</v>
      </c>
      <c r="E65" s="63" t="n">
        <f aca="false">CD65</f>
        <v>2</v>
      </c>
      <c r="F65" s="38" t="n">
        <f aca="false">($B65-INDEX($L$16:$N$16,E65))^2+($C65-INDEX($L$17:$N$17,E65))^2+($D65-INDEX($L$18:$N$18,E65))^2</f>
        <v>1.04713486520464</v>
      </c>
      <c r="G65" s="12" t="str">
        <f aca="false">INDEX($M$5:$M$7,E65)</f>
        <v>Low burden</v>
      </c>
      <c r="H65" s="17" t="n">
        <f aca="false">IF(COUNTIF(Distance_Matrix!$E$9:$DQ$9,$E65)&lt;=1,0,SUMIF(Distance_Matrix!$E$9:$DQ$9,$E65,Distance_Matrix!$E$56:$DQ$56)/(COUNTIF(Distance_Matrix!$E$9:$DQ$9,$E65)-1))</f>
        <v>1.2317089671885</v>
      </c>
      <c r="I65" s="17" t="n">
        <f aca="false">MIN(IF(1=$E65,1E+099,IF(COUNTIF(Distance_Matrix!$E$9:$DQ$9,1)=0,1E+099,SUMIF(Distance_Matrix!$E$9:$DQ$9,1,Distance_Matrix!$E$56:$DQ$56)/COUNTIF(Distance_Matrix!$E$9:$DQ$9,1))),IF(2=$E65,1E+099,IF(COUNTIF(Distance_Matrix!$E$9:$DQ$9,2)=0,1E+099,SUMIF(Distance_Matrix!$E$9:$DQ$9,2,Distance_Matrix!$E$56:$DQ$56)/COUNTIF(Distance_Matrix!$E$9:$DQ$9,2))),IF(3=$E65,1E+099,IF(COUNTIF(Distance_Matrix!$E$9:$DQ$9,3)=0,1E+099,SUMIF(Distance_Matrix!$E$9:$DQ$9,3,Distance_Matrix!$E$56:$DQ$56)/COUNTIF(Distance_Matrix!$E$9:$DQ$9,3))))</f>
        <v>1.67514072576773</v>
      </c>
      <c r="J65" s="17" t="n">
        <f aca="false">IF(COUNTIF(Distance_Matrix!$E$9:$DQ$9,$E65)&lt;=1,0,(I65-H65)/MAX(H65,I65))</f>
        <v>0.264713138280368</v>
      </c>
      <c r="X65" s="17" t="n">
        <f aca="false">SQRT(($B65-X$16)^2+($C65-X$17)^2+($D65-X$18)^2)</f>
        <v>6.45909936721902</v>
      </c>
      <c r="Y65" s="17" t="n">
        <f aca="false">SQRT(($B65-Y$16)^2+($C65-Y$17)^2+($D65-Y$18)^2)</f>
        <v>2.45367780569083</v>
      </c>
      <c r="Z65" s="17" t="n">
        <f aca="false">SQRT(($B65-Z$16)^2+($C65-Z$17)^2+($D65-Z$18)^2)</f>
        <v>2.30571691728434</v>
      </c>
      <c r="AA65" s="63" t="n">
        <f aca="false">MATCH(MIN(X65:Z65),X65:Z65,0)</f>
        <v>3</v>
      </c>
      <c r="AC65" s="17" t="n">
        <f aca="false">SQRT(($B65-AC$16)^2+($C65-AC$17)^2+($D65-AC$18)^2)</f>
        <v>5.44343252114765</v>
      </c>
      <c r="AD65" s="17" t="n">
        <f aca="false">SQRT(($B65-AD$16)^2+($C65-AD$17)^2+($D65-AD$18)^2)</f>
        <v>1.15609626321113</v>
      </c>
      <c r="AE65" s="17" t="n">
        <f aca="false">SQRT(($B65-AE$16)^2+($C65-AE$17)^2+($D65-AE$18)^2)</f>
        <v>1.34454153835342</v>
      </c>
      <c r="AF65" s="63" t="n">
        <f aca="false">MATCH(MIN(AC65:AE65),AC65:AE65,0)</f>
        <v>2</v>
      </c>
      <c r="AH65" s="17" t="n">
        <f aca="false">SQRT(($B65-AH$16)^2+($C65-AH$17)^2+($D65-AH$18)^2)</f>
        <v>4.81069160563755</v>
      </c>
      <c r="AI65" s="17" t="n">
        <f aca="false">SQRT(($B65-AI$16)^2+($C65-AI$17)^2+($D65-AI$18)^2)</f>
        <v>1.03172842919862</v>
      </c>
      <c r="AJ65" s="17" t="n">
        <f aca="false">SQRT(($B65-AJ$16)^2+($C65-AJ$17)^2+($D65-AJ$18)^2)</f>
        <v>1.46390629162697</v>
      </c>
      <c r="AK65" s="63" t="n">
        <f aca="false">MATCH(MIN(AH65:AJ65),AH65:AJ65,0)</f>
        <v>2</v>
      </c>
      <c r="AM65" s="17" t="n">
        <f aca="false">SQRT(($B65-AM$16)^2+($C65-AM$17)^2+($D65-AM$18)^2)</f>
        <v>4.81069160563755</v>
      </c>
      <c r="AN65" s="17" t="n">
        <f aca="false">SQRT(($B65-AN$16)^2+($C65-AN$17)^2+($D65-AN$18)^2)</f>
        <v>1.02329607895498</v>
      </c>
      <c r="AO65" s="17" t="n">
        <f aca="false">SQRT(($B65-AO$16)^2+($C65-AO$17)^2+($D65-AO$18)^2)</f>
        <v>1.4821964894494</v>
      </c>
      <c r="AP65" s="63" t="n">
        <f aca="false">MATCH(MIN(AM65:AO65),AM65:AO65,0)</f>
        <v>2</v>
      </c>
      <c r="AR65" s="17" t="n">
        <f aca="false">SQRT(($B65-AR$16)^2+($C65-AR$17)^2+($D65-AR$18)^2)</f>
        <v>4.81069160563755</v>
      </c>
      <c r="AS65" s="17" t="n">
        <f aca="false">SQRT(($B65-AS$16)^2+($C65-AS$17)^2+($D65-AS$18)^2)</f>
        <v>1.02329607895498</v>
      </c>
      <c r="AT65" s="17" t="n">
        <f aca="false">SQRT(($B65-AT$16)^2+($C65-AT$17)^2+($D65-AT$18)^2)</f>
        <v>1.4821964894494</v>
      </c>
      <c r="AU65" s="63" t="n">
        <f aca="false">MATCH(MIN(AR65:AT65),AR65:AT65,0)</f>
        <v>2</v>
      </c>
      <c r="AW65" s="17" t="n">
        <f aca="false">SQRT(($B65-AW$16)^2+($C65-AW$17)^2+($D65-AW$18)^2)</f>
        <v>4.81069160563755</v>
      </c>
      <c r="AX65" s="17" t="n">
        <f aca="false">SQRT(($B65-AX$16)^2+($C65-AX$17)^2+($D65-AX$18)^2)</f>
        <v>1.02329607895498</v>
      </c>
      <c r="AY65" s="17" t="n">
        <f aca="false">SQRT(($B65-AY$16)^2+($C65-AY$17)^2+($D65-AY$18)^2)</f>
        <v>1.4821964894494</v>
      </c>
      <c r="AZ65" s="63" t="n">
        <f aca="false">MATCH(MIN(AW65:AY65),AW65:AY65,0)</f>
        <v>2</v>
      </c>
      <c r="BB65" s="17" t="n">
        <f aca="false">SQRT(($B65-BB$16)^2+($C65-BB$17)^2+($D65-BB$18)^2)</f>
        <v>4.81069160563755</v>
      </c>
      <c r="BC65" s="17" t="n">
        <f aca="false">SQRT(($B65-BC$16)^2+($C65-BC$17)^2+($D65-BC$18)^2)</f>
        <v>1.02329607895498</v>
      </c>
      <c r="BD65" s="17" t="n">
        <f aca="false">SQRT(($B65-BD$16)^2+($C65-BD$17)^2+($D65-BD$18)^2)</f>
        <v>1.4821964894494</v>
      </c>
      <c r="BE65" s="63" t="n">
        <f aca="false">MATCH(MIN(BB65:BD65),BB65:BD65,0)</f>
        <v>2</v>
      </c>
      <c r="BG65" s="17" t="n">
        <f aca="false">SQRT(($B65-BG$16)^2+($C65-BG$17)^2+($D65-BG$18)^2)</f>
        <v>4.81069160563755</v>
      </c>
      <c r="BH65" s="17" t="n">
        <f aca="false">SQRT(($B65-BH$16)^2+($C65-BH$17)^2+($D65-BH$18)^2)</f>
        <v>1.02329607895498</v>
      </c>
      <c r="BI65" s="17" t="n">
        <f aca="false">SQRT(($B65-BI$16)^2+($C65-BI$17)^2+($D65-BI$18)^2)</f>
        <v>1.4821964894494</v>
      </c>
      <c r="BJ65" s="63" t="n">
        <f aca="false">MATCH(MIN(BG65:BI65),BG65:BI65,0)</f>
        <v>2</v>
      </c>
      <c r="BL65" s="17" t="n">
        <f aca="false">SQRT(($B65-BL$16)^2+($C65-BL$17)^2+($D65-BL$18)^2)</f>
        <v>4.81069160563755</v>
      </c>
      <c r="BM65" s="17" t="n">
        <f aca="false">SQRT(($B65-BM$16)^2+($C65-BM$17)^2+($D65-BM$18)^2)</f>
        <v>1.02329607895498</v>
      </c>
      <c r="BN65" s="17" t="n">
        <f aca="false">SQRT(($B65-BN$16)^2+($C65-BN$17)^2+($D65-BN$18)^2)</f>
        <v>1.4821964894494</v>
      </c>
      <c r="BO65" s="63" t="n">
        <f aca="false">MATCH(MIN(BL65:BN65),BL65:BN65,0)</f>
        <v>2</v>
      </c>
      <c r="BQ65" s="17" t="n">
        <f aca="false">SQRT(($B65-BQ$16)^2+($C65-BQ$17)^2+($D65-BQ$18)^2)</f>
        <v>4.81069160563755</v>
      </c>
      <c r="BR65" s="17" t="n">
        <f aca="false">SQRT(($B65-BR$16)^2+($C65-BR$17)^2+($D65-BR$18)^2)</f>
        <v>1.02329607895498</v>
      </c>
      <c r="BS65" s="17" t="n">
        <f aca="false">SQRT(($B65-BS$16)^2+($C65-BS$17)^2+($D65-BS$18)^2)</f>
        <v>1.4821964894494</v>
      </c>
      <c r="BT65" s="63" t="n">
        <f aca="false">MATCH(MIN(BQ65:BS65),BQ65:BS65,0)</f>
        <v>2</v>
      </c>
      <c r="BV65" s="17" t="n">
        <f aca="false">SQRT(($B65-BV$16)^2+($C65-BV$17)^2+($D65-BV$18)^2)</f>
        <v>4.81069160563755</v>
      </c>
      <c r="BW65" s="17" t="n">
        <f aca="false">SQRT(($B65-BW$16)^2+($C65-BW$17)^2+($D65-BW$18)^2)</f>
        <v>1.02329607895498</v>
      </c>
      <c r="BX65" s="17" t="n">
        <f aca="false">SQRT(($B65-BX$16)^2+($C65-BX$17)^2+($D65-BX$18)^2)</f>
        <v>1.4821964894494</v>
      </c>
      <c r="BY65" s="63" t="n">
        <f aca="false">MATCH(MIN(BV65:BX65),BV65:BX65,0)</f>
        <v>2</v>
      </c>
      <c r="CA65" s="17" t="n">
        <f aca="false">SQRT(($B65-CA$16)^2+($C65-CA$17)^2+($D65-CA$18)^2)</f>
        <v>4.81069160563755</v>
      </c>
      <c r="CB65" s="17" t="n">
        <f aca="false">SQRT(($B65-CB$16)^2+($C65-CB$17)^2+($D65-CB$18)^2)</f>
        <v>1.02329607895498</v>
      </c>
      <c r="CC65" s="17" t="n">
        <f aca="false">SQRT(($B65-CC$16)^2+($C65-CC$17)^2+($D65-CC$18)^2)</f>
        <v>1.4821964894494</v>
      </c>
      <c r="CD65" s="63" t="n">
        <f aca="false">MATCH(MIN(CA65:CC65),CA65:CC65,0)</f>
        <v>2</v>
      </c>
    </row>
    <row r="66" customFormat="false" ht="15" hidden="false" customHeight="false" outlineLevel="0" collapsed="false">
      <c r="A66" s="36" t="str">
        <f aca="false">KMeans_Data!A48</f>
        <v>Jamshoro</v>
      </c>
      <c r="B66" s="17" t="n">
        <f aca="false">KMeans_Data!H48</f>
        <v>0.256462668461943</v>
      </c>
      <c r="C66" s="17" t="n">
        <f aca="false">KMeans_Data!I48</f>
        <v>-0.672650545388274</v>
      </c>
      <c r="D66" s="17" t="n">
        <f aca="false">KMeans_Data!J48</f>
        <v>0.514925973520034</v>
      </c>
      <c r="E66" s="63" t="n">
        <f aca="false">CD66</f>
        <v>3</v>
      </c>
      <c r="F66" s="38" t="n">
        <f aca="false">($B66-INDEX($L$16:$N$16,E66))^2+($C66-INDEX($L$17:$N$17,E66))^2+($D66-INDEX($L$18:$N$18,E66))^2</f>
        <v>1.3341295455894</v>
      </c>
      <c r="G66" s="12" t="str">
        <f aca="false">INDEX($M$5:$M$7,E66)</f>
        <v>Medium burden</v>
      </c>
      <c r="H66" s="17" t="n">
        <f aca="false">IF(COUNTIF(Distance_Matrix!$E$9:$DQ$9,$E66)&lt;=1,0,SUMIF(Distance_Matrix!$E$9:$DQ$9,$E66,Distance_Matrix!$E$57:$DQ$57)/(COUNTIF(Distance_Matrix!$E$9:$DQ$9,$E66)-1))</f>
        <v>1.37954962689468</v>
      </c>
      <c r="I66" s="17" t="n">
        <f aca="false">MIN(IF(1=$E66,1E+099,IF(COUNTIF(Distance_Matrix!$E$9:$DQ$9,1)=0,1E+099,SUMIF(Distance_Matrix!$E$9:$DQ$9,1,Distance_Matrix!$E$57:$DQ$57)/COUNTIF(Distance_Matrix!$E$9:$DQ$9,1))),IF(2=$E66,1E+099,IF(COUNTIF(Distance_Matrix!$E$9:$DQ$9,2)=0,1E+099,SUMIF(Distance_Matrix!$E$9:$DQ$9,2,Distance_Matrix!$E$57:$DQ$57)/COUNTIF(Distance_Matrix!$E$9:$DQ$9,2))),IF(3=$E66,1E+099,IF(COUNTIF(Distance_Matrix!$E$9:$DQ$9,3)=0,1E+099,SUMIF(Distance_Matrix!$E$9:$DQ$9,3,Distance_Matrix!$E$57:$DQ$57)/COUNTIF(Distance_Matrix!$E$9:$DQ$9,3))))</f>
        <v>1.64697991452587</v>
      </c>
      <c r="J66" s="17" t="n">
        <f aca="false">IF(COUNTIF(Distance_Matrix!$E$9:$DQ$9,$E66)&lt;=1,0,(I66-H66)/MAX(H66,I66))</f>
        <v>0.162376168204929</v>
      </c>
      <c r="X66" s="17" t="n">
        <f aca="false">SQRT(($B66-X$16)^2+($C66-X$17)^2+($D66-X$18)^2)</f>
        <v>6.22905502444889</v>
      </c>
      <c r="Y66" s="17" t="n">
        <f aca="false">SQRT(($B66-Y$16)^2+($C66-Y$17)^2+($D66-Y$18)^2)</f>
        <v>2.86623908661092</v>
      </c>
      <c r="Z66" s="17" t="n">
        <f aca="false">SQRT(($B66-Z$16)^2+($C66-Z$17)^2+($D66-Z$18)^2)</f>
        <v>1.62111347963302</v>
      </c>
      <c r="AA66" s="63" t="n">
        <f aca="false">MATCH(MIN(X66:Z66),X66:Z66,0)</f>
        <v>3</v>
      </c>
      <c r="AC66" s="17" t="n">
        <f aca="false">SQRT(($B66-AC$16)^2+($C66-AC$17)^2+($D66-AC$18)^2)</f>
        <v>5.28380492497744</v>
      </c>
      <c r="AD66" s="17" t="n">
        <f aca="false">SQRT(($B66-AD$16)^2+($C66-AD$17)^2+($D66-AD$18)^2)</f>
        <v>1.68587616286747</v>
      </c>
      <c r="AE66" s="17" t="n">
        <f aca="false">SQRT(($B66-AE$16)^2+($C66-AE$17)^2+($D66-AE$18)^2)</f>
        <v>1.05666706543286</v>
      </c>
      <c r="AF66" s="63" t="n">
        <f aca="false">MATCH(MIN(AC66:AE66),AC66:AE66,0)</f>
        <v>3</v>
      </c>
      <c r="AH66" s="17" t="n">
        <f aca="false">SQRT(($B66-AH$16)^2+($C66-AH$17)^2+($D66-AH$18)^2)</f>
        <v>4.65315875440659</v>
      </c>
      <c r="AI66" s="17" t="n">
        <f aca="false">SQRT(($B66-AI$16)^2+($C66-AI$17)^2+($D66-AI$18)^2)</f>
        <v>1.55655536873949</v>
      </c>
      <c r="AJ66" s="17" t="n">
        <f aca="false">SQRT(($B66-AJ$16)^2+($C66-AJ$17)^2+($D66-AJ$18)^2)</f>
        <v>1.13751308746069</v>
      </c>
      <c r="AK66" s="63" t="n">
        <f aca="false">MATCH(MIN(AH66:AJ66),AH66:AJ66,0)</f>
        <v>3</v>
      </c>
      <c r="AM66" s="17" t="n">
        <f aca="false">SQRT(($B66-AM$16)^2+($C66-AM$17)^2+($D66-AM$18)^2)</f>
        <v>4.65315875440659</v>
      </c>
      <c r="AN66" s="17" t="n">
        <f aca="false">SQRT(($B66-AN$16)^2+($C66-AN$17)^2+($D66-AN$18)^2)</f>
        <v>1.54302557040915</v>
      </c>
      <c r="AO66" s="17" t="n">
        <f aca="false">SQRT(($B66-AO$16)^2+($C66-AO$17)^2+($D66-AO$18)^2)</f>
        <v>1.15504525694425</v>
      </c>
      <c r="AP66" s="63" t="n">
        <f aca="false">MATCH(MIN(AM66:AO66),AM66:AO66,0)</f>
        <v>3</v>
      </c>
      <c r="AR66" s="17" t="n">
        <f aca="false">SQRT(($B66-AR$16)^2+($C66-AR$17)^2+($D66-AR$18)^2)</f>
        <v>4.65315875440659</v>
      </c>
      <c r="AS66" s="17" t="n">
        <f aca="false">SQRT(($B66-AS$16)^2+($C66-AS$17)^2+($D66-AS$18)^2)</f>
        <v>1.54302557040915</v>
      </c>
      <c r="AT66" s="17" t="n">
        <f aca="false">SQRT(($B66-AT$16)^2+($C66-AT$17)^2+($D66-AT$18)^2)</f>
        <v>1.15504525694425</v>
      </c>
      <c r="AU66" s="63" t="n">
        <f aca="false">MATCH(MIN(AR66:AT66),AR66:AT66,0)</f>
        <v>3</v>
      </c>
      <c r="AW66" s="17" t="n">
        <f aca="false">SQRT(($B66-AW$16)^2+($C66-AW$17)^2+($D66-AW$18)^2)</f>
        <v>4.65315875440659</v>
      </c>
      <c r="AX66" s="17" t="n">
        <f aca="false">SQRT(($B66-AX$16)^2+($C66-AX$17)^2+($D66-AX$18)^2)</f>
        <v>1.54302557040915</v>
      </c>
      <c r="AY66" s="17" t="n">
        <f aca="false">SQRT(($B66-AY$16)^2+($C66-AY$17)^2+($D66-AY$18)^2)</f>
        <v>1.15504525694425</v>
      </c>
      <c r="AZ66" s="63" t="n">
        <f aca="false">MATCH(MIN(AW66:AY66),AW66:AY66,0)</f>
        <v>3</v>
      </c>
      <c r="BB66" s="17" t="n">
        <f aca="false">SQRT(($B66-BB$16)^2+($C66-BB$17)^2+($D66-BB$18)^2)</f>
        <v>4.65315875440659</v>
      </c>
      <c r="BC66" s="17" t="n">
        <f aca="false">SQRT(($B66-BC$16)^2+($C66-BC$17)^2+($D66-BC$18)^2)</f>
        <v>1.54302557040915</v>
      </c>
      <c r="BD66" s="17" t="n">
        <f aca="false">SQRT(($B66-BD$16)^2+($C66-BD$17)^2+($D66-BD$18)^2)</f>
        <v>1.15504525694425</v>
      </c>
      <c r="BE66" s="63" t="n">
        <f aca="false">MATCH(MIN(BB66:BD66),BB66:BD66,0)</f>
        <v>3</v>
      </c>
      <c r="BG66" s="17" t="n">
        <f aca="false">SQRT(($B66-BG$16)^2+($C66-BG$17)^2+($D66-BG$18)^2)</f>
        <v>4.65315875440659</v>
      </c>
      <c r="BH66" s="17" t="n">
        <f aca="false">SQRT(($B66-BH$16)^2+($C66-BH$17)^2+($D66-BH$18)^2)</f>
        <v>1.54302557040915</v>
      </c>
      <c r="BI66" s="17" t="n">
        <f aca="false">SQRT(($B66-BI$16)^2+($C66-BI$17)^2+($D66-BI$18)^2)</f>
        <v>1.15504525694425</v>
      </c>
      <c r="BJ66" s="63" t="n">
        <f aca="false">MATCH(MIN(BG66:BI66),BG66:BI66,0)</f>
        <v>3</v>
      </c>
      <c r="BL66" s="17" t="n">
        <f aca="false">SQRT(($B66-BL$16)^2+($C66-BL$17)^2+($D66-BL$18)^2)</f>
        <v>4.65315875440659</v>
      </c>
      <c r="BM66" s="17" t="n">
        <f aca="false">SQRT(($B66-BM$16)^2+($C66-BM$17)^2+($D66-BM$18)^2)</f>
        <v>1.54302557040915</v>
      </c>
      <c r="BN66" s="17" t="n">
        <f aca="false">SQRT(($B66-BN$16)^2+($C66-BN$17)^2+($D66-BN$18)^2)</f>
        <v>1.15504525694425</v>
      </c>
      <c r="BO66" s="63" t="n">
        <f aca="false">MATCH(MIN(BL66:BN66),BL66:BN66,0)</f>
        <v>3</v>
      </c>
      <c r="BQ66" s="17" t="n">
        <f aca="false">SQRT(($B66-BQ$16)^2+($C66-BQ$17)^2+($D66-BQ$18)^2)</f>
        <v>4.65315875440659</v>
      </c>
      <c r="BR66" s="17" t="n">
        <f aca="false">SQRT(($B66-BR$16)^2+($C66-BR$17)^2+($D66-BR$18)^2)</f>
        <v>1.54302557040915</v>
      </c>
      <c r="BS66" s="17" t="n">
        <f aca="false">SQRT(($B66-BS$16)^2+($C66-BS$17)^2+($D66-BS$18)^2)</f>
        <v>1.15504525694425</v>
      </c>
      <c r="BT66" s="63" t="n">
        <f aca="false">MATCH(MIN(BQ66:BS66),BQ66:BS66,0)</f>
        <v>3</v>
      </c>
      <c r="BV66" s="17" t="n">
        <f aca="false">SQRT(($B66-BV$16)^2+($C66-BV$17)^2+($D66-BV$18)^2)</f>
        <v>4.65315875440659</v>
      </c>
      <c r="BW66" s="17" t="n">
        <f aca="false">SQRT(($B66-BW$16)^2+($C66-BW$17)^2+($D66-BW$18)^2)</f>
        <v>1.54302557040915</v>
      </c>
      <c r="BX66" s="17" t="n">
        <f aca="false">SQRT(($B66-BX$16)^2+($C66-BX$17)^2+($D66-BX$18)^2)</f>
        <v>1.15504525694425</v>
      </c>
      <c r="BY66" s="63" t="n">
        <f aca="false">MATCH(MIN(BV66:BX66),BV66:BX66,0)</f>
        <v>3</v>
      </c>
      <c r="CA66" s="17" t="n">
        <f aca="false">SQRT(($B66-CA$16)^2+($C66-CA$17)^2+($D66-CA$18)^2)</f>
        <v>4.65315875440659</v>
      </c>
      <c r="CB66" s="17" t="n">
        <f aca="false">SQRT(($B66-CB$16)^2+($C66-CB$17)^2+($D66-CB$18)^2)</f>
        <v>1.54302557040915</v>
      </c>
      <c r="CC66" s="17" t="n">
        <f aca="false">SQRT(($B66-CC$16)^2+($C66-CC$17)^2+($D66-CC$18)^2)</f>
        <v>1.15504525694425</v>
      </c>
      <c r="CD66" s="63" t="n">
        <f aca="false">MATCH(MIN(CA66:CC66),CA66:CC66,0)</f>
        <v>3</v>
      </c>
    </row>
    <row r="67" customFormat="false" ht="15" hidden="false" customHeight="false" outlineLevel="0" collapsed="false">
      <c r="A67" s="36" t="str">
        <f aca="false">KMeans_Data!A49</f>
        <v>Gujranwala</v>
      </c>
      <c r="B67" s="17" t="n">
        <f aca="false">KMeans_Data!H49</f>
        <v>0.238616233785713</v>
      </c>
      <c r="C67" s="17" t="n">
        <f aca="false">KMeans_Data!I49</f>
        <v>-0.672650545388274</v>
      </c>
      <c r="D67" s="17" t="n">
        <f aca="false">KMeans_Data!J49</f>
        <v>-0.824446015898766</v>
      </c>
      <c r="E67" s="63" t="n">
        <f aca="false">CD67</f>
        <v>2</v>
      </c>
      <c r="F67" s="38" t="n">
        <f aca="false">($B67-INDEX($L$16:$N$16,E67))^2+($C67-INDEX($L$17:$N$17,E67))^2+($D67-INDEX($L$18:$N$18,E67))^2</f>
        <v>0.777227561291568</v>
      </c>
      <c r="G67" s="12" t="str">
        <f aca="false">INDEX($M$5:$M$7,E67)</f>
        <v>Low burden</v>
      </c>
      <c r="H67" s="17" t="n">
        <f aca="false">IF(COUNTIF(Distance_Matrix!$E$9:$DQ$9,$E67)&lt;=1,0,SUMIF(Distance_Matrix!$E$9:$DQ$9,$E67,Distance_Matrix!$E$58:$DQ$58)/(COUNTIF(Distance_Matrix!$E$9:$DQ$9,$E67)-1))</f>
        <v>1.09960167960909</v>
      </c>
      <c r="I67" s="17" t="n">
        <f aca="false">MIN(IF(1=$E67,1E+099,IF(COUNTIF(Distance_Matrix!$E$9:$DQ$9,1)=0,1E+099,SUMIF(Distance_Matrix!$E$9:$DQ$9,1,Distance_Matrix!$E$58:$DQ$58)/COUNTIF(Distance_Matrix!$E$9:$DQ$9,1))),IF(2=$E67,1E+099,IF(COUNTIF(Distance_Matrix!$E$9:$DQ$9,2)=0,1E+099,SUMIF(Distance_Matrix!$E$9:$DQ$9,2,Distance_Matrix!$E$58:$DQ$58)/COUNTIF(Distance_Matrix!$E$9:$DQ$9,2))),IF(3=$E67,1E+099,IF(COUNTIF(Distance_Matrix!$E$9:$DQ$9,3)=0,1E+099,SUMIF(Distance_Matrix!$E$9:$DQ$9,3,Distance_Matrix!$E$58:$DQ$58)/COUNTIF(Distance_Matrix!$E$9:$DQ$9,3))))</f>
        <v>2.0442402066093</v>
      </c>
      <c r="J67" s="17" t="n">
        <f aca="false">IF(COUNTIF(Distance_Matrix!$E$9:$DQ$9,$E67)&lt;=1,0,(I67-H67)/MAX(H67,I67))</f>
        <v>0.462097616486591</v>
      </c>
      <c r="X67" s="17" t="n">
        <f aca="false">SQRT(($B67-X$16)^2+($C67-X$17)^2+($D67-X$18)^2)</f>
        <v>6.93086632696364</v>
      </c>
      <c r="Y67" s="17" t="n">
        <f aca="false">SQRT(($B67-Y$16)^2+($C67-Y$17)^2+($D67-Y$18)^2)</f>
        <v>2.34049876920762</v>
      </c>
      <c r="Z67" s="17" t="n">
        <f aca="false">SQRT(($B67-Z$16)^2+($C67-Z$17)^2+($D67-Z$18)^2)</f>
        <v>2.64756474909866</v>
      </c>
      <c r="AA67" s="63" t="n">
        <f aca="false">MATCH(MIN(X67:Z67),X67:Z67,0)</f>
        <v>2</v>
      </c>
      <c r="AC67" s="17" t="n">
        <f aca="false">SQRT(($B67-AC$16)^2+($C67-AC$17)^2+($D67-AC$18)^2)</f>
        <v>5.9232534625207</v>
      </c>
      <c r="AD67" s="17" t="n">
        <f aca="false">SQRT(($B67-AD$16)^2+($C67-AD$17)^2+($D67-AD$18)^2)</f>
        <v>1.00342789592072</v>
      </c>
      <c r="AE67" s="17" t="n">
        <f aca="false">SQRT(($B67-AE$16)^2+($C67-AE$17)^2+($D67-AE$18)^2)</f>
        <v>1.76494912971259</v>
      </c>
      <c r="AF67" s="63" t="n">
        <f aca="false">MATCH(MIN(AC67:AE67),AC67:AE67,0)</f>
        <v>2</v>
      </c>
      <c r="AH67" s="17" t="n">
        <f aca="false">SQRT(($B67-AH$16)^2+($C67-AH$17)^2+($D67-AH$18)^2)</f>
        <v>5.29040106706132</v>
      </c>
      <c r="AI67" s="17" t="n">
        <f aca="false">SQRT(($B67-AI$16)^2+($C67-AI$17)^2+($D67-AI$18)^2)</f>
        <v>0.883727890063723</v>
      </c>
      <c r="AJ67" s="17" t="n">
        <f aca="false">SQRT(($B67-AJ$16)^2+($C67-AJ$17)^2+($D67-AJ$18)^2)</f>
        <v>1.88793888583518</v>
      </c>
      <c r="AK67" s="63" t="n">
        <f aca="false">MATCH(MIN(AH67:AJ67),AH67:AJ67,0)</f>
        <v>2</v>
      </c>
      <c r="AM67" s="17" t="n">
        <f aca="false">SQRT(($B67-AM$16)^2+($C67-AM$17)^2+($D67-AM$18)^2)</f>
        <v>5.29040106706132</v>
      </c>
      <c r="AN67" s="17" t="n">
        <f aca="false">SQRT(($B67-AN$16)^2+($C67-AN$17)^2+($D67-AN$18)^2)</f>
        <v>0.88160510507345</v>
      </c>
      <c r="AO67" s="17" t="n">
        <f aca="false">SQRT(($B67-AO$16)^2+($C67-AO$17)^2+($D67-AO$18)^2)</f>
        <v>1.90680069328379</v>
      </c>
      <c r="AP67" s="63" t="n">
        <f aca="false">MATCH(MIN(AM67:AO67),AM67:AO67,0)</f>
        <v>2</v>
      </c>
      <c r="AR67" s="17" t="n">
        <f aca="false">SQRT(($B67-AR$16)^2+($C67-AR$17)^2+($D67-AR$18)^2)</f>
        <v>5.29040106706132</v>
      </c>
      <c r="AS67" s="17" t="n">
        <f aca="false">SQRT(($B67-AS$16)^2+($C67-AS$17)^2+($D67-AS$18)^2)</f>
        <v>0.88160510507345</v>
      </c>
      <c r="AT67" s="17" t="n">
        <f aca="false">SQRT(($B67-AT$16)^2+($C67-AT$17)^2+($D67-AT$18)^2)</f>
        <v>1.90680069328379</v>
      </c>
      <c r="AU67" s="63" t="n">
        <f aca="false">MATCH(MIN(AR67:AT67),AR67:AT67,0)</f>
        <v>2</v>
      </c>
      <c r="AW67" s="17" t="n">
        <f aca="false">SQRT(($B67-AW$16)^2+($C67-AW$17)^2+($D67-AW$18)^2)</f>
        <v>5.29040106706132</v>
      </c>
      <c r="AX67" s="17" t="n">
        <f aca="false">SQRT(($B67-AX$16)^2+($C67-AX$17)^2+($D67-AX$18)^2)</f>
        <v>0.88160510507345</v>
      </c>
      <c r="AY67" s="17" t="n">
        <f aca="false">SQRT(($B67-AY$16)^2+($C67-AY$17)^2+($D67-AY$18)^2)</f>
        <v>1.90680069328379</v>
      </c>
      <c r="AZ67" s="63" t="n">
        <f aca="false">MATCH(MIN(AW67:AY67),AW67:AY67,0)</f>
        <v>2</v>
      </c>
      <c r="BB67" s="17" t="n">
        <f aca="false">SQRT(($B67-BB$16)^2+($C67-BB$17)^2+($D67-BB$18)^2)</f>
        <v>5.29040106706132</v>
      </c>
      <c r="BC67" s="17" t="n">
        <f aca="false">SQRT(($B67-BC$16)^2+($C67-BC$17)^2+($D67-BC$18)^2)</f>
        <v>0.88160510507345</v>
      </c>
      <c r="BD67" s="17" t="n">
        <f aca="false">SQRT(($B67-BD$16)^2+($C67-BD$17)^2+($D67-BD$18)^2)</f>
        <v>1.90680069328379</v>
      </c>
      <c r="BE67" s="63" t="n">
        <f aca="false">MATCH(MIN(BB67:BD67),BB67:BD67,0)</f>
        <v>2</v>
      </c>
      <c r="BG67" s="17" t="n">
        <f aca="false">SQRT(($B67-BG$16)^2+($C67-BG$17)^2+($D67-BG$18)^2)</f>
        <v>5.29040106706132</v>
      </c>
      <c r="BH67" s="17" t="n">
        <f aca="false">SQRT(($B67-BH$16)^2+($C67-BH$17)^2+($D67-BH$18)^2)</f>
        <v>0.88160510507345</v>
      </c>
      <c r="BI67" s="17" t="n">
        <f aca="false">SQRT(($B67-BI$16)^2+($C67-BI$17)^2+($D67-BI$18)^2)</f>
        <v>1.90680069328379</v>
      </c>
      <c r="BJ67" s="63" t="n">
        <f aca="false">MATCH(MIN(BG67:BI67),BG67:BI67,0)</f>
        <v>2</v>
      </c>
      <c r="BL67" s="17" t="n">
        <f aca="false">SQRT(($B67-BL$16)^2+($C67-BL$17)^2+($D67-BL$18)^2)</f>
        <v>5.29040106706132</v>
      </c>
      <c r="BM67" s="17" t="n">
        <f aca="false">SQRT(($B67-BM$16)^2+($C67-BM$17)^2+($D67-BM$18)^2)</f>
        <v>0.88160510507345</v>
      </c>
      <c r="BN67" s="17" t="n">
        <f aca="false">SQRT(($B67-BN$16)^2+($C67-BN$17)^2+($D67-BN$18)^2)</f>
        <v>1.90680069328379</v>
      </c>
      <c r="BO67" s="63" t="n">
        <f aca="false">MATCH(MIN(BL67:BN67),BL67:BN67,0)</f>
        <v>2</v>
      </c>
      <c r="BQ67" s="17" t="n">
        <f aca="false">SQRT(($B67-BQ$16)^2+($C67-BQ$17)^2+($D67-BQ$18)^2)</f>
        <v>5.29040106706132</v>
      </c>
      <c r="BR67" s="17" t="n">
        <f aca="false">SQRT(($B67-BR$16)^2+($C67-BR$17)^2+($D67-BR$18)^2)</f>
        <v>0.88160510507345</v>
      </c>
      <c r="BS67" s="17" t="n">
        <f aca="false">SQRT(($B67-BS$16)^2+($C67-BS$17)^2+($D67-BS$18)^2)</f>
        <v>1.90680069328379</v>
      </c>
      <c r="BT67" s="63" t="n">
        <f aca="false">MATCH(MIN(BQ67:BS67),BQ67:BS67,0)</f>
        <v>2</v>
      </c>
      <c r="BV67" s="17" t="n">
        <f aca="false">SQRT(($B67-BV$16)^2+($C67-BV$17)^2+($D67-BV$18)^2)</f>
        <v>5.29040106706132</v>
      </c>
      <c r="BW67" s="17" t="n">
        <f aca="false">SQRT(($B67-BW$16)^2+($C67-BW$17)^2+($D67-BW$18)^2)</f>
        <v>0.88160510507345</v>
      </c>
      <c r="BX67" s="17" t="n">
        <f aca="false">SQRT(($B67-BX$16)^2+($C67-BX$17)^2+($D67-BX$18)^2)</f>
        <v>1.90680069328379</v>
      </c>
      <c r="BY67" s="63" t="n">
        <f aca="false">MATCH(MIN(BV67:BX67),BV67:BX67,0)</f>
        <v>2</v>
      </c>
      <c r="CA67" s="17" t="n">
        <f aca="false">SQRT(($B67-CA$16)^2+($C67-CA$17)^2+($D67-CA$18)^2)</f>
        <v>5.29040106706132</v>
      </c>
      <c r="CB67" s="17" t="n">
        <f aca="false">SQRT(($B67-CB$16)^2+($C67-CB$17)^2+($D67-CB$18)^2)</f>
        <v>0.88160510507345</v>
      </c>
      <c r="CC67" s="17" t="n">
        <f aca="false">SQRT(($B67-CC$16)^2+($C67-CC$17)^2+($D67-CC$18)^2)</f>
        <v>1.90680069328379</v>
      </c>
      <c r="CD67" s="63" t="n">
        <f aca="false">MATCH(MIN(CA67:CC67),CA67:CC67,0)</f>
        <v>2</v>
      </c>
    </row>
    <row r="68" customFormat="false" ht="15" hidden="false" customHeight="false" outlineLevel="0" collapsed="false">
      <c r="A68" s="36" t="str">
        <f aca="false">KMeans_Data!A50</f>
        <v>Bannu</v>
      </c>
      <c r="B68" s="17" t="n">
        <f aca="false">KMeans_Data!H50</f>
        <v>0.232528795764548</v>
      </c>
      <c r="C68" s="17" t="n">
        <f aca="false">KMeans_Data!I50</f>
        <v>0.160512589624996</v>
      </c>
      <c r="D68" s="17" t="n">
        <f aca="false">KMeans_Data!J50</f>
        <v>0.381616717142464</v>
      </c>
      <c r="E68" s="63" t="n">
        <f aca="false">CD68</f>
        <v>3</v>
      </c>
      <c r="F68" s="38" t="n">
        <f aca="false">($B68-INDEX($L$16:$N$16,E68))^2+($C68-INDEX($L$17:$N$17,E68))^2+($D68-INDEX($L$18:$N$18,E68))^2</f>
        <v>0.26359393771534</v>
      </c>
      <c r="G68" s="12" t="str">
        <f aca="false">INDEX($M$5:$M$7,E68)</f>
        <v>Medium burden</v>
      </c>
      <c r="H68" s="17" t="n">
        <f aca="false">IF(COUNTIF(Distance_Matrix!$E$9:$DQ$9,$E68)&lt;=1,0,SUMIF(Distance_Matrix!$E$9:$DQ$9,$E68,Distance_Matrix!$E$59:$DQ$59)/(COUNTIF(Distance_Matrix!$E$9:$DQ$9,$E68)-1))</f>
        <v>0.98593855087316</v>
      </c>
      <c r="I68" s="17" t="n">
        <f aca="false">MIN(IF(1=$E68,1E+099,IF(COUNTIF(Distance_Matrix!$E$9:$DQ$9,1)=0,1E+099,SUMIF(Distance_Matrix!$E$9:$DQ$9,1,Distance_Matrix!$E$59:$DQ$59)/COUNTIF(Distance_Matrix!$E$9:$DQ$9,1))),IF(2=$E68,1E+099,IF(COUNTIF(Distance_Matrix!$E$9:$DQ$9,2)=0,1E+099,SUMIF(Distance_Matrix!$E$9:$DQ$9,2,Distance_Matrix!$E$59:$DQ$59)/COUNTIF(Distance_Matrix!$E$9:$DQ$9,2))),IF(3=$E68,1E+099,IF(COUNTIF(Distance_Matrix!$E$9:$DQ$9,3)=0,1E+099,SUMIF(Distance_Matrix!$E$9:$DQ$9,3,Distance_Matrix!$E$59:$DQ$59)/COUNTIF(Distance_Matrix!$E$9:$DQ$9,3))))</f>
        <v>1.74067613278635</v>
      </c>
      <c r="J68" s="17" t="n">
        <f aca="false">IF(COUNTIF(Distance_Matrix!$E$9:$DQ$9,$E68)&lt;=1,0,(I68-H68)/MAX(H68,I68))</f>
        <v>0.433588746175922</v>
      </c>
      <c r="X68" s="17" t="n">
        <f aca="false">SQRT(($B68-X$16)^2+($C68-X$17)^2+($D68-X$18)^2)</f>
        <v>5.70413302159258</v>
      </c>
      <c r="Y68" s="17" t="n">
        <f aca="false">SQRT(($B68-Y$16)^2+($C68-Y$17)^2+($D68-Y$18)^2)</f>
        <v>2.89365929467502</v>
      </c>
      <c r="Z68" s="17" t="n">
        <f aca="false">SQRT(($B68-Z$16)^2+($C68-Z$17)^2+($D68-Z$18)^2)</f>
        <v>1.37141316387543</v>
      </c>
      <c r="AA68" s="63" t="n">
        <f aca="false">MATCH(MIN(X68:Z68),X68:Z68,0)</f>
        <v>3</v>
      </c>
      <c r="AC68" s="17" t="n">
        <f aca="false">SQRT(($B68-AC$16)^2+($C68-AC$17)^2+($D68-AC$18)^2)</f>
        <v>4.72275364442555</v>
      </c>
      <c r="AD68" s="17" t="n">
        <f aca="false">SQRT(($B68-AD$16)^2+($C68-AD$17)^2+($D68-AD$18)^2)</f>
        <v>1.76054775631257</v>
      </c>
      <c r="AE68" s="17" t="n">
        <f aca="false">SQRT(($B68-AE$16)^2+($C68-AE$17)^2+($D68-AE$18)^2)</f>
        <v>0.394021986925099</v>
      </c>
      <c r="AF68" s="63" t="n">
        <f aca="false">MATCH(MIN(AC68:AE68),AC68:AE68,0)</f>
        <v>3</v>
      </c>
      <c r="AH68" s="17" t="n">
        <f aca="false">SQRT(($B68-AH$16)^2+($C68-AH$17)^2+($D68-AH$18)^2)</f>
        <v>4.08639246629164</v>
      </c>
      <c r="AI68" s="17" t="n">
        <f aca="false">SQRT(($B68-AI$16)^2+($C68-AI$17)^2+($D68-AI$18)^2)</f>
        <v>1.637967702359</v>
      </c>
      <c r="AJ68" s="17" t="n">
        <f aca="false">SQRT(($B68-AJ$16)^2+($C68-AJ$17)^2+($D68-AJ$18)^2)</f>
        <v>0.48910379998346</v>
      </c>
      <c r="AK68" s="63" t="n">
        <f aca="false">MATCH(MIN(AH68:AJ68),AH68:AJ68,0)</f>
        <v>3</v>
      </c>
      <c r="AM68" s="17" t="n">
        <f aca="false">SQRT(($B68-AM$16)^2+($C68-AM$17)^2+($D68-AM$18)^2)</f>
        <v>4.08639246629164</v>
      </c>
      <c r="AN68" s="17" t="n">
        <f aca="false">SQRT(($B68-AN$16)^2+($C68-AN$17)^2+($D68-AN$18)^2)</f>
        <v>1.62240155155057</v>
      </c>
      <c r="AO68" s="17" t="n">
        <f aca="false">SQRT(($B68-AO$16)^2+($C68-AO$17)^2+($D68-AO$18)^2)</f>
        <v>0.513414002258742</v>
      </c>
      <c r="AP68" s="63" t="n">
        <f aca="false">MATCH(MIN(AM68:AO68),AM68:AO68,0)</f>
        <v>3</v>
      </c>
      <c r="AR68" s="17" t="n">
        <f aca="false">SQRT(($B68-AR$16)^2+($C68-AR$17)^2+($D68-AR$18)^2)</f>
        <v>4.08639246629164</v>
      </c>
      <c r="AS68" s="17" t="n">
        <f aca="false">SQRT(($B68-AS$16)^2+($C68-AS$17)^2+($D68-AS$18)^2)</f>
        <v>1.62240155155057</v>
      </c>
      <c r="AT68" s="17" t="n">
        <f aca="false">SQRT(($B68-AT$16)^2+($C68-AT$17)^2+($D68-AT$18)^2)</f>
        <v>0.513414002258742</v>
      </c>
      <c r="AU68" s="63" t="n">
        <f aca="false">MATCH(MIN(AR68:AT68),AR68:AT68,0)</f>
        <v>3</v>
      </c>
      <c r="AW68" s="17" t="n">
        <f aca="false">SQRT(($B68-AW$16)^2+($C68-AW$17)^2+($D68-AW$18)^2)</f>
        <v>4.08639246629164</v>
      </c>
      <c r="AX68" s="17" t="n">
        <f aca="false">SQRT(($B68-AX$16)^2+($C68-AX$17)^2+($D68-AX$18)^2)</f>
        <v>1.62240155155057</v>
      </c>
      <c r="AY68" s="17" t="n">
        <f aca="false">SQRT(($B68-AY$16)^2+($C68-AY$17)^2+($D68-AY$18)^2)</f>
        <v>0.513414002258742</v>
      </c>
      <c r="AZ68" s="63" t="n">
        <f aca="false">MATCH(MIN(AW68:AY68),AW68:AY68,0)</f>
        <v>3</v>
      </c>
      <c r="BB68" s="17" t="n">
        <f aca="false">SQRT(($B68-BB$16)^2+($C68-BB$17)^2+($D68-BB$18)^2)</f>
        <v>4.08639246629164</v>
      </c>
      <c r="BC68" s="17" t="n">
        <f aca="false">SQRT(($B68-BC$16)^2+($C68-BC$17)^2+($D68-BC$18)^2)</f>
        <v>1.62240155155057</v>
      </c>
      <c r="BD68" s="17" t="n">
        <f aca="false">SQRT(($B68-BD$16)^2+($C68-BD$17)^2+($D68-BD$18)^2)</f>
        <v>0.513414002258742</v>
      </c>
      <c r="BE68" s="63" t="n">
        <f aca="false">MATCH(MIN(BB68:BD68),BB68:BD68,0)</f>
        <v>3</v>
      </c>
      <c r="BG68" s="17" t="n">
        <f aca="false">SQRT(($B68-BG$16)^2+($C68-BG$17)^2+($D68-BG$18)^2)</f>
        <v>4.08639246629164</v>
      </c>
      <c r="BH68" s="17" t="n">
        <f aca="false">SQRT(($B68-BH$16)^2+($C68-BH$17)^2+($D68-BH$18)^2)</f>
        <v>1.62240155155057</v>
      </c>
      <c r="BI68" s="17" t="n">
        <f aca="false">SQRT(($B68-BI$16)^2+($C68-BI$17)^2+($D68-BI$18)^2)</f>
        <v>0.513414002258742</v>
      </c>
      <c r="BJ68" s="63" t="n">
        <f aca="false">MATCH(MIN(BG68:BI68),BG68:BI68,0)</f>
        <v>3</v>
      </c>
      <c r="BL68" s="17" t="n">
        <f aca="false">SQRT(($B68-BL$16)^2+($C68-BL$17)^2+($D68-BL$18)^2)</f>
        <v>4.08639246629164</v>
      </c>
      <c r="BM68" s="17" t="n">
        <f aca="false">SQRT(($B68-BM$16)^2+($C68-BM$17)^2+($D68-BM$18)^2)</f>
        <v>1.62240155155057</v>
      </c>
      <c r="BN68" s="17" t="n">
        <f aca="false">SQRT(($B68-BN$16)^2+($C68-BN$17)^2+($D68-BN$18)^2)</f>
        <v>0.513414002258742</v>
      </c>
      <c r="BO68" s="63" t="n">
        <f aca="false">MATCH(MIN(BL68:BN68),BL68:BN68,0)</f>
        <v>3</v>
      </c>
      <c r="BQ68" s="17" t="n">
        <f aca="false">SQRT(($B68-BQ$16)^2+($C68-BQ$17)^2+($D68-BQ$18)^2)</f>
        <v>4.08639246629164</v>
      </c>
      <c r="BR68" s="17" t="n">
        <f aca="false">SQRT(($B68-BR$16)^2+($C68-BR$17)^2+($D68-BR$18)^2)</f>
        <v>1.62240155155057</v>
      </c>
      <c r="BS68" s="17" t="n">
        <f aca="false">SQRT(($B68-BS$16)^2+($C68-BS$17)^2+($D68-BS$18)^2)</f>
        <v>0.513414002258742</v>
      </c>
      <c r="BT68" s="63" t="n">
        <f aca="false">MATCH(MIN(BQ68:BS68),BQ68:BS68,0)</f>
        <v>3</v>
      </c>
      <c r="BV68" s="17" t="n">
        <f aca="false">SQRT(($B68-BV$16)^2+($C68-BV$17)^2+($D68-BV$18)^2)</f>
        <v>4.08639246629164</v>
      </c>
      <c r="BW68" s="17" t="n">
        <f aca="false">SQRT(($B68-BW$16)^2+($C68-BW$17)^2+($D68-BW$18)^2)</f>
        <v>1.62240155155057</v>
      </c>
      <c r="BX68" s="17" t="n">
        <f aca="false">SQRT(($B68-BX$16)^2+($C68-BX$17)^2+($D68-BX$18)^2)</f>
        <v>0.513414002258742</v>
      </c>
      <c r="BY68" s="63" t="n">
        <f aca="false">MATCH(MIN(BV68:BX68),BV68:BX68,0)</f>
        <v>3</v>
      </c>
      <c r="CA68" s="17" t="n">
        <f aca="false">SQRT(($B68-CA$16)^2+($C68-CA$17)^2+($D68-CA$18)^2)</f>
        <v>4.08639246629164</v>
      </c>
      <c r="CB68" s="17" t="n">
        <f aca="false">SQRT(($B68-CB$16)^2+($C68-CB$17)^2+($D68-CB$18)^2)</f>
        <v>1.62240155155057</v>
      </c>
      <c r="CC68" s="17" t="n">
        <f aca="false">SQRT(($B68-CC$16)^2+($C68-CC$17)^2+($D68-CC$18)^2)</f>
        <v>0.513414002258742</v>
      </c>
      <c r="CD68" s="63" t="n">
        <f aca="false">MATCH(MIN(CA68:CC68),CA68:CC68,0)</f>
        <v>3</v>
      </c>
    </row>
    <row r="69" customFormat="false" ht="15" hidden="false" customHeight="false" outlineLevel="0" collapsed="false">
      <c r="A69" s="36" t="str">
        <f aca="false">KMeans_Data!A51</f>
        <v>Lodhran</v>
      </c>
      <c r="B69" s="17" t="n">
        <f aca="false">KMeans_Data!H51</f>
        <v>0.200975497781959</v>
      </c>
      <c r="C69" s="17" t="n">
        <f aca="false">KMeans_Data!I51</f>
        <v>-0.672650545388274</v>
      </c>
      <c r="D69" s="17" t="n">
        <f aca="false">KMeans_Data!J51</f>
        <v>-1.14564411633355</v>
      </c>
      <c r="E69" s="63" t="n">
        <f aca="false">CD69</f>
        <v>2</v>
      </c>
      <c r="F69" s="38" t="n">
        <f aca="false">($B69-INDEX($L$16:$N$16,E69))^2+($C69-INDEX($L$17:$N$17,E69))^2+($D69-INDEX($L$18:$N$18,E69))^2</f>
        <v>0.86903841885267</v>
      </c>
      <c r="G69" s="12" t="str">
        <f aca="false">INDEX($M$5:$M$7,E69)</f>
        <v>Low burden</v>
      </c>
      <c r="H69" s="17" t="n">
        <f aca="false">IF(COUNTIF(Distance_Matrix!$E$9:$DQ$9,$E69)&lt;=1,0,SUMIF(Distance_Matrix!$E$9:$DQ$9,$E69,Distance_Matrix!$E$60:$DQ$60)/(COUNTIF(Distance_Matrix!$E$9:$DQ$9,$E69)-1))</f>
        <v>1.13845054753194</v>
      </c>
      <c r="I69" s="17" t="n">
        <f aca="false">MIN(IF(1=$E69,1E+099,IF(COUNTIF(Distance_Matrix!$E$9:$DQ$9,1)=0,1E+099,SUMIF(Distance_Matrix!$E$9:$DQ$9,1,Distance_Matrix!$E$60:$DQ$60)/COUNTIF(Distance_Matrix!$E$9:$DQ$9,1))),IF(2=$E69,1E+099,IF(COUNTIF(Distance_Matrix!$E$9:$DQ$9,2)=0,1E+099,SUMIF(Distance_Matrix!$E$9:$DQ$9,2,Distance_Matrix!$E$60:$DQ$60)/COUNTIF(Distance_Matrix!$E$9:$DQ$9,2))),IF(3=$E69,1E+099,IF(COUNTIF(Distance_Matrix!$E$9:$DQ$9,3)=0,1E+099,SUMIF(Distance_Matrix!$E$9:$DQ$9,3,Distance_Matrix!$E$60:$DQ$60)/COUNTIF(Distance_Matrix!$E$9:$DQ$9,3))))</f>
        <v>2.29887982526625</v>
      </c>
      <c r="J69" s="17" t="n">
        <f aca="false">IF(COUNTIF(Distance_Matrix!$E$9:$DQ$9,$E69)&lt;=1,0,(I69-H69)/MAX(H69,I69))</f>
        <v>0.504780312994356</v>
      </c>
      <c r="X69" s="17" t="n">
        <f aca="false">SQRT(($B69-X$16)^2+($C69-X$17)^2+($D69-X$18)^2)</f>
        <v>7.14067054710151</v>
      </c>
      <c r="Y69" s="17" t="n">
        <f aca="false">SQRT(($B69-Y$16)^2+($C69-Y$17)^2+($D69-Y$18)^2)</f>
        <v>2.28071347958528</v>
      </c>
      <c r="Z69" s="17" t="n">
        <f aca="false">SQRT(($B69-Z$16)^2+($C69-Z$17)^2+($D69-Z$18)^2)</f>
        <v>2.94083599570945</v>
      </c>
      <c r="AA69" s="63" t="n">
        <f aca="false">MATCH(MIN(X69:Z69),X69:Z69,0)</f>
        <v>2</v>
      </c>
      <c r="AC69" s="17" t="n">
        <f aca="false">SQRT(($B69-AC$16)^2+($C69-AC$17)^2+($D69-AC$18)^2)</f>
        <v>6.12452814149088</v>
      </c>
      <c r="AD69" s="17" t="n">
        <f aca="false">SQRT(($B69-AD$16)^2+($C69-AD$17)^2+($D69-AD$18)^2)</f>
        <v>1.01719229736859</v>
      </c>
      <c r="AE69" s="17" t="n">
        <f aca="false">SQRT(($B69-AE$16)^2+($C69-AE$17)^2+($D69-AE$18)^2)</f>
        <v>2.03647475101157</v>
      </c>
      <c r="AF69" s="63" t="n">
        <f aca="false">MATCH(MIN(AC69:AE69),AC69:AE69,0)</f>
        <v>2</v>
      </c>
      <c r="AH69" s="17" t="n">
        <f aca="false">SQRT(($B69-AH$16)^2+($C69-AH$17)^2+($D69-AH$18)^2)</f>
        <v>5.49477313122977</v>
      </c>
      <c r="AI69" s="17" t="n">
        <f aca="false">SQRT(($B69-AI$16)^2+($C69-AI$17)^2+($D69-AI$18)^2)</f>
        <v>0.929180584070002</v>
      </c>
      <c r="AJ69" s="17" t="n">
        <f aca="false">SQRT(($B69-AJ$16)^2+($C69-AJ$17)^2+($D69-AJ$18)^2)</f>
        <v>2.15907062103782</v>
      </c>
      <c r="AK69" s="63" t="n">
        <f aca="false">MATCH(MIN(AH69:AJ69),AH69:AJ69,0)</f>
        <v>2</v>
      </c>
      <c r="AM69" s="17" t="n">
        <f aca="false">SQRT(($B69-AM$16)^2+($C69-AM$17)^2+($D69-AM$18)^2)</f>
        <v>5.49477313122977</v>
      </c>
      <c r="AN69" s="17" t="n">
        <f aca="false">SQRT(($B69-AN$16)^2+($C69-AN$17)^2+($D69-AN$18)^2)</f>
        <v>0.932222301198952</v>
      </c>
      <c r="AO69" s="17" t="n">
        <f aca="false">SQRT(($B69-AO$16)^2+($C69-AO$17)^2+($D69-AO$18)^2)</f>
        <v>2.17760305337218</v>
      </c>
      <c r="AP69" s="63" t="n">
        <f aca="false">MATCH(MIN(AM69:AO69),AM69:AO69,0)</f>
        <v>2</v>
      </c>
      <c r="AR69" s="17" t="n">
        <f aca="false">SQRT(($B69-AR$16)^2+($C69-AR$17)^2+($D69-AR$18)^2)</f>
        <v>5.49477313122977</v>
      </c>
      <c r="AS69" s="17" t="n">
        <f aca="false">SQRT(($B69-AS$16)^2+($C69-AS$17)^2+($D69-AS$18)^2)</f>
        <v>0.932222301198952</v>
      </c>
      <c r="AT69" s="17" t="n">
        <f aca="false">SQRT(($B69-AT$16)^2+($C69-AT$17)^2+($D69-AT$18)^2)</f>
        <v>2.17760305337218</v>
      </c>
      <c r="AU69" s="63" t="n">
        <f aca="false">MATCH(MIN(AR69:AT69),AR69:AT69,0)</f>
        <v>2</v>
      </c>
      <c r="AW69" s="17" t="n">
        <f aca="false">SQRT(($B69-AW$16)^2+($C69-AW$17)^2+($D69-AW$18)^2)</f>
        <v>5.49477313122977</v>
      </c>
      <c r="AX69" s="17" t="n">
        <f aca="false">SQRT(($B69-AX$16)^2+($C69-AX$17)^2+($D69-AX$18)^2)</f>
        <v>0.932222301198952</v>
      </c>
      <c r="AY69" s="17" t="n">
        <f aca="false">SQRT(($B69-AY$16)^2+($C69-AY$17)^2+($D69-AY$18)^2)</f>
        <v>2.17760305337218</v>
      </c>
      <c r="AZ69" s="63" t="n">
        <f aca="false">MATCH(MIN(AW69:AY69),AW69:AY69,0)</f>
        <v>2</v>
      </c>
      <c r="BB69" s="17" t="n">
        <f aca="false">SQRT(($B69-BB$16)^2+($C69-BB$17)^2+($D69-BB$18)^2)</f>
        <v>5.49477313122977</v>
      </c>
      <c r="BC69" s="17" t="n">
        <f aca="false">SQRT(($B69-BC$16)^2+($C69-BC$17)^2+($D69-BC$18)^2)</f>
        <v>0.932222301198952</v>
      </c>
      <c r="BD69" s="17" t="n">
        <f aca="false">SQRT(($B69-BD$16)^2+($C69-BD$17)^2+($D69-BD$18)^2)</f>
        <v>2.17760305337218</v>
      </c>
      <c r="BE69" s="63" t="n">
        <f aca="false">MATCH(MIN(BB69:BD69),BB69:BD69,0)</f>
        <v>2</v>
      </c>
      <c r="BG69" s="17" t="n">
        <f aca="false">SQRT(($B69-BG$16)^2+($C69-BG$17)^2+($D69-BG$18)^2)</f>
        <v>5.49477313122977</v>
      </c>
      <c r="BH69" s="17" t="n">
        <f aca="false">SQRT(($B69-BH$16)^2+($C69-BH$17)^2+($D69-BH$18)^2)</f>
        <v>0.932222301198952</v>
      </c>
      <c r="BI69" s="17" t="n">
        <f aca="false">SQRT(($B69-BI$16)^2+($C69-BI$17)^2+($D69-BI$18)^2)</f>
        <v>2.17760305337218</v>
      </c>
      <c r="BJ69" s="63" t="n">
        <f aca="false">MATCH(MIN(BG69:BI69),BG69:BI69,0)</f>
        <v>2</v>
      </c>
      <c r="BL69" s="17" t="n">
        <f aca="false">SQRT(($B69-BL$16)^2+($C69-BL$17)^2+($D69-BL$18)^2)</f>
        <v>5.49477313122977</v>
      </c>
      <c r="BM69" s="17" t="n">
        <f aca="false">SQRT(($B69-BM$16)^2+($C69-BM$17)^2+($D69-BM$18)^2)</f>
        <v>0.932222301198952</v>
      </c>
      <c r="BN69" s="17" t="n">
        <f aca="false">SQRT(($B69-BN$16)^2+($C69-BN$17)^2+($D69-BN$18)^2)</f>
        <v>2.17760305337218</v>
      </c>
      <c r="BO69" s="63" t="n">
        <f aca="false">MATCH(MIN(BL69:BN69),BL69:BN69,0)</f>
        <v>2</v>
      </c>
      <c r="BQ69" s="17" t="n">
        <f aca="false">SQRT(($B69-BQ$16)^2+($C69-BQ$17)^2+($D69-BQ$18)^2)</f>
        <v>5.49477313122977</v>
      </c>
      <c r="BR69" s="17" t="n">
        <f aca="false">SQRT(($B69-BR$16)^2+($C69-BR$17)^2+($D69-BR$18)^2)</f>
        <v>0.932222301198952</v>
      </c>
      <c r="BS69" s="17" t="n">
        <f aca="false">SQRT(($B69-BS$16)^2+($C69-BS$17)^2+($D69-BS$18)^2)</f>
        <v>2.17760305337218</v>
      </c>
      <c r="BT69" s="63" t="n">
        <f aca="false">MATCH(MIN(BQ69:BS69),BQ69:BS69,0)</f>
        <v>2</v>
      </c>
      <c r="BV69" s="17" t="n">
        <f aca="false">SQRT(($B69-BV$16)^2+($C69-BV$17)^2+($D69-BV$18)^2)</f>
        <v>5.49477313122977</v>
      </c>
      <c r="BW69" s="17" t="n">
        <f aca="false">SQRT(($B69-BW$16)^2+($C69-BW$17)^2+($D69-BW$18)^2)</f>
        <v>0.932222301198952</v>
      </c>
      <c r="BX69" s="17" t="n">
        <f aca="false">SQRT(($B69-BX$16)^2+($C69-BX$17)^2+($D69-BX$18)^2)</f>
        <v>2.17760305337218</v>
      </c>
      <c r="BY69" s="63" t="n">
        <f aca="false">MATCH(MIN(BV69:BX69),BV69:BX69,0)</f>
        <v>2</v>
      </c>
      <c r="CA69" s="17" t="n">
        <f aca="false">SQRT(($B69-CA$16)^2+($C69-CA$17)^2+($D69-CA$18)^2)</f>
        <v>5.49477313122977</v>
      </c>
      <c r="CB69" s="17" t="n">
        <f aca="false">SQRT(($B69-CB$16)^2+($C69-CB$17)^2+($D69-CB$18)^2)</f>
        <v>0.932222301198952</v>
      </c>
      <c r="CC69" s="17" t="n">
        <f aca="false">SQRT(($B69-CC$16)^2+($C69-CC$17)^2+($D69-CC$18)^2)</f>
        <v>2.17760305337218</v>
      </c>
      <c r="CD69" s="63" t="n">
        <f aca="false">MATCH(MIN(CA69:CC69),CA69:CC69,0)</f>
        <v>2</v>
      </c>
    </row>
    <row r="70" customFormat="false" ht="15" hidden="false" customHeight="false" outlineLevel="0" collapsed="false">
      <c r="A70" s="36" t="str">
        <f aca="false">KMeans_Data!A52</f>
        <v>Jacobabad</v>
      </c>
      <c r="B70" s="17" t="n">
        <f aca="false">KMeans_Data!H52</f>
        <v>0.200975497781959</v>
      </c>
      <c r="C70" s="17" t="n">
        <f aca="false">KMeans_Data!I52</f>
        <v>-0.672650545388274</v>
      </c>
      <c r="D70" s="17" t="n">
        <f aca="false">KMeans_Data!J52</f>
        <v>1.03251574201556</v>
      </c>
      <c r="E70" s="63" t="n">
        <f aca="false">CD70</f>
        <v>3</v>
      </c>
      <c r="F70" s="38" t="n">
        <f aca="false">($B70-INDEX($L$16:$N$16,E70))^2+($C70-INDEX($L$17:$N$17,E70))^2+($D70-INDEX($L$18:$N$18,E70))^2</f>
        <v>1.44267523841353</v>
      </c>
      <c r="G70" s="12" t="str">
        <f aca="false">INDEX($M$5:$M$7,E70)</f>
        <v>Medium burden</v>
      </c>
      <c r="H70" s="17" t="n">
        <f aca="false">IF(COUNTIF(Distance_Matrix!$E$9:$DQ$9,$E70)&lt;=1,0,SUMIF(Distance_Matrix!$E$9:$DQ$9,$E70,Distance_Matrix!$E$61:$DQ$61)/(COUNTIF(Distance_Matrix!$E$9:$DQ$9,$E70)-1))</f>
        <v>1.43081376244021</v>
      </c>
      <c r="I70" s="17" t="n">
        <f aca="false">MIN(IF(1=$E70,1E+099,IF(COUNTIF(Distance_Matrix!$E$9:$DQ$9,1)=0,1E+099,SUMIF(Distance_Matrix!$E$9:$DQ$9,1,Distance_Matrix!$E$61:$DQ$61)/COUNTIF(Distance_Matrix!$E$9:$DQ$9,1))),IF(2=$E70,1E+099,IF(COUNTIF(Distance_Matrix!$E$9:$DQ$9,2)=0,1E+099,SUMIF(Distance_Matrix!$E$9:$DQ$9,2,Distance_Matrix!$E$61:$DQ$61)/COUNTIF(Distance_Matrix!$E$9:$DQ$9,2))),IF(3=$E70,1E+099,IF(COUNTIF(Distance_Matrix!$E$9:$DQ$9,3)=0,1E+099,SUMIF(Distance_Matrix!$E$9:$DQ$9,3,Distance_Matrix!$E$61:$DQ$61)/COUNTIF(Distance_Matrix!$E$9:$DQ$9,3))))</f>
        <v>2.04937610010481</v>
      </c>
      <c r="J70" s="17" t="n">
        <f aca="false">IF(COUNTIF(Distance_Matrix!$E$9:$DQ$9,$E70)&lt;=1,0,(I70-H70)/MAX(H70,I70))</f>
        <v>0.301829584932197</v>
      </c>
      <c r="X70" s="17" t="n">
        <f aca="false">SQRT(($B70-X$16)^2+($C70-X$17)^2+($D70-X$18)^2)</f>
        <v>6.04755380426011</v>
      </c>
      <c r="Y70" s="17" t="n">
        <f aca="false">SQRT(($B70-Y$16)^2+($C70-Y$17)^2+($D70-Y$18)^2)</f>
        <v>3.15373339781369</v>
      </c>
      <c r="Z70" s="17" t="n">
        <f aca="false">SQRT(($B70-Z$16)^2+($C70-Z$17)^2+($D70-Z$18)^2)</f>
        <v>1.41299396506918</v>
      </c>
      <c r="AA70" s="63" t="n">
        <f aca="false">MATCH(MIN(X70:Z70),X70:Z70,0)</f>
        <v>3</v>
      </c>
      <c r="AC70" s="17" t="n">
        <f aca="false">SQRT(($B70-AC$16)^2+($C70-AC$17)^2+($D70-AC$18)^2)</f>
        <v>5.14120460078495</v>
      </c>
      <c r="AD70" s="17" t="n">
        <f aca="false">SQRT(($B70-AD$16)^2+($C70-AD$17)^2+($D70-AD$18)^2)</f>
        <v>2.09485024869934</v>
      </c>
      <c r="AE70" s="17" t="n">
        <f aca="false">SQRT(($B70-AE$16)^2+($C70-AE$17)^2+($D70-AE$18)^2)</f>
        <v>1.15763544655975</v>
      </c>
      <c r="AF70" s="63" t="n">
        <f aca="false">MATCH(MIN(AC70:AE70),AC70:AE70,0)</f>
        <v>3</v>
      </c>
      <c r="AH70" s="17" t="n">
        <f aca="false">SQRT(($B70-AH$16)^2+($C70-AH$17)^2+($D70-AH$18)^2)</f>
        <v>4.52165691953714</v>
      </c>
      <c r="AI70" s="17" t="n">
        <f aca="false">SQRT(($B70-AI$16)^2+($C70-AI$17)^2+($D70-AI$18)^2)</f>
        <v>1.9772908307554</v>
      </c>
      <c r="AJ70" s="17" t="n">
        <f aca="false">SQRT(($B70-AJ$16)^2+($C70-AJ$17)^2+($D70-AJ$18)^2)</f>
        <v>1.18837647730634</v>
      </c>
      <c r="AK70" s="63" t="n">
        <f aca="false">MATCH(MIN(AH70:AJ70),AH70:AJ70,0)</f>
        <v>3</v>
      </c>
      <c r="AM70" s="17" t="n">
        <f aca="false">SQRT(($B70-AM$16)^2+($C70-AM$17)^2+($D70-AM$18)^2)</f>
        <v>4.52165691953714</v>
      </c>
      <c r="AN70" s="17" t="n">
        <f aca="false">SQRT(($B70-AN$16)^2+($C70-AN$17)^2+($D70-AN$18)^2)</f>
        <v>1.96302159188263</v>
      </c>
      <c r="AO70" s="17" t="n">
        <f aca="false">SQRT(($B70-AO$16)^2+($C70-AO$17)^2+($D70-AO$18)^2)</f>
        <v>1.20111416543704</v>
      </c>
      <c r="AP70" s="63" t="n">
        <f aca="false">MATCH(MIN(AM70:AO70),AM70:AO70,0)</f>
        <v>3</v>
      </c>
      <c r="AR70" s="17" t="n">
        <f aca="false">SQRT(($B70-AR$16)^2+($C70-AR$17)^2+($D70-AR$18)^2)</f>
        <v>4.52165691953714</v>
      </c>
      <c r="AS70" s="17" t="n">
        <f aca="false">SQRT(($B70-AS$16)^2+($C70-AS$17)^2+($D70-AS$18)^2)</f>
        <v>1.96302159188263</v>
      </c>
      <c r="AT70" s="17" t="n">
        <f aca="false">SQRT(($B70-AT$16)^2+($C70-AT$17)^2+($D70-AT$18)^2)</f>
        <v>1.20111416543704</v>
      </c>
      <c r="AU70" s="63" t="n">
        <f aca="false">MATCH(MIN(AR70:AT70),AR70:AT70,0)</f>
        <v>3</v>
      </c>
      <c r="AW70" s="17" t="n">
        <f aca="false">SQRT(($B70-AW$16)^2+($C70-AW$17)^2+($D70-AW$18)^2)</f>
        <v>4.52165691953714</v>
      </c>
      <c r="AX70" s="17" t="n">
        <f aca="false">SQRT(($B70-AX$16)^2+($C70-AX$17)^2+($D70-AX$18)^2)</f>
        <v>1.96302159188263</v>
      </c>
      <c r="AY70" s="17" t="n">
        <f aca="false">SQRT(($B70-AY$16)^2+($C70-AY$17)^2+($D70-AY$18)^2)</f>
        <v>1.20111416543704</v>
      </c>
      <c r="AZ70" s="63" t="n">
        <f aca="false">MATCH(MIN(AW70:AY70),AW70:AY70,0)</f>
        <v>3</v>
      </c>
      <c r="BB70" s="17" t="n">
        <f aca="false">SQRT(($B70-BB$16)^2+($C70-BB$17)^2+($D70-BB$18)^2)</f>
        <v>4.52165691953714</v>
      </c>
      <c r="BC70" s="17" t="n">
        <f aca="false">SQRT(($B70-BC$16)^2+($C70-BC$17)^2+($D70-BC$18)^2)</f>
        <v>1.96302159188263</v>
      </c>
      <c r="BD70" s="17" t="n">
        <f aca="false">SQRT(($B70-BD$16)^2+($C70-BD$17)^2+($D70-BD$18)^2)</f>
        <v>1.20111416543704</v>
      </c>
      <c r="BE70" s="63" t="n">
        <f aca="false">MATCH(MIN(BB70:BD70),BB70:BD70,0)</f>
        <v>3</v>
      </c>
      <c r="BG70" s="17" t="n">
        <f aca="false">SQRT(($B70-BG$16)^2+($C70-BG$17)^2+($D70-BG$18)^2)</f>
        <v>4.52165691953714</v>
      </c>
      <c r="BH70" s="17" t="n">
        <f aca="false">SQRT(($B70-BH$16)^2+($C70-BH$17)^2+($D70-BH$18)^2)</f>
        <v>1.96302159188263</v>
      </c>
      <c r="BI70" s="17" t="n">
        <f aca="false">SQRT(($B70-BI$16)^2+($C70-BI$17)^2+($D70-BI$18)^2)</f>
        <v>1.20111416543704</v>
      </c>
      <c r="BJ70" s="63" t="n">
        <f aca="false">MATCH(MIN(BG70:BI70),BG70:BI70,0)</f>
        <v>3</v>
      </c>
      <c r="BL70" s="17" t="n">
        <f aca="false">SQRT(($B70-BL$16)^2+($C70-BL$17)^2+($D70-BL$18)^2)</f>
        <v>4.52165691953714</v>
      </c>
      <c r="BM70" s="17" t="n">
        <f aca="false">SQRT(($B70-BM$16)^2+($C70-BM$17)^2+($D70-BM$18)^2)</f>
        <v>1.96302159188263</v>
      </c>
      <c r="BN70" s="17" t="n">
        <f aca="false">SQRT(($B70-BN$16)^2+($C70-BN$17)^2+($D70-BN$18)^2)</f>
        <v>1.20111416543704</v>
      </c>
      <c r="BO70" s="63" t="n">
        <f aca="false">MATCH(MIN(BL70:BN70),BL70:BN70,0)</f>
        <v>3</v>
      </c>
      <c r="BQ70" s="17" t="n">
        <f aca="false">SQRT(($B70-BQ$16)^2+($C70-BQ$17)^2+($D70-BQ$18)^2)</f>
        <v>4.52165691953714</v>
      </c>
      <c r="BR70" s="17" t="n">
        <f aca="false">SQRT(($B70-BR$16)^2+($C70-BR$17)^2+($D70-BR$18)^2)</f>
        <v>1.96302159188263</v>
      </c>
      <c r="BS70" s="17" t="n">
        <f aca="false">SQRT(($B70-BS$16)^2+($C70-BS$17)^2+($D70-BS$18)^2)</f>
        <v>1.20111416543704</v>
      </c>
      <c r="BT70" s="63" t="n">
        <f aca="false">MATCH(MIN(BQ70:BS70),BQ70:BS70,0)</f>
        <v>3</v>
      </c>
      <c r="BV70" s="17" t="n">
        <f aca="false">SQRT(($B70-BV$16)^2+($C70-BV$17)^2+($D70-BV$18)^2)</f>
        <v>4.52165691953714</v>
      </c>
      <c r="BW70" s="17" t="n">
        <f aca="false">SQRT(($B70-BW$16)^2+($C70-BW$17)^2+($D70-BW$18)^2)</f>
        <v>1.96302159188263</v>
      </c>
      <c r="BX70" s="17" t="n">
        <f aca="false">SQRT(($B70-BX$16)^2+($C70-BX$17)^2+($D70-BX$18)^2)</f>
        <v>1.20111416543704</v>
      </c>
      <c r="BY70" s="63" t="n">
        <f aca="false">MATCH(MIN(BV70:BX70),BV70:BX70,0)</f>
        <v>3</v>
      </c>
      <c r="CA70" s="17" t="n">
        <f aca="false">SQRT(($B70-CA$16)^2+($C70-CA$17)^2+($D70-CA$18)^2)</f>
        <v>4.52165691953714</v>
      </c>
      <c r="CB70" s="17" t="n">
        <f aca="false">SQRT(($B70-CB$16)^2+($C70-CB$17)^2+($D70-CB$18)^2)</f>
        <v>1.96302159188263</v>
      </c>
      <c r="CC70" s="17" t="n">
        <f aca="false">SQRT(($B70-CC$16)^2+($C70-CC$17)^2+($D70-CC$18)^2)</f>
        <v>1.20111416543704</v>
      </c>
      <c r="CD70" s="63" t="n">
        <f aca="false">MATCH(MIN(CA70:CC70),CA70:CC70,0)</f>
        <v>3</v>
      </c>
    </row>
    <row r="71" customFormat="false" ht="15" hidden="false" customHeight="false" outlineLevel="0" collapsed="false">
      <c r="A71" s="36" t="str">
        <f aca="false">KMeans_Data!A53</f>
        <v>Skardu</v>
      </c>
      <c r="B71" s="17" t="n">
        <f aca="false">KMeans_Data!H53</f>
        <v>0.194428618785618</v>
      </c>
      <c r="C71" s="17" t="n">
        <f aca="false">KMeans_Data!I53</f>
        <v>-0.146983133929529</v>
      </c>
      <c r="D71" s="17" t="n">
        <f aca="false">KMeans_Data!J53</f>
        <v>0.795803793083582</v>
      </c>
      <c r="E71" s="63" t="n">
        <f aca="false">CD71</f>
        <v>3</v>
      </c>
      <c r="F71" s="38" t="n">
        <f aca="false">($B71-INDEX($L$16:$N$16,E71))^2+($C71-INDEX($L$17:$N$17,E71))^2+($D71-INDEX($L$18:$N$18,E71))^2</f>
        <v>0.457897524681033</v>
      </c>
      <c r="G71" s="12" t="str">
        <f aca="false">INDEX($M$5:$M$7,E71)</f>
        <v>Medium burden</v>
      </c>
      <c r="H71" s="17" t="n">
        <f aca="false">IF(COUNTIF(Distance_Matrix!$E$9:$DQ$9,$E71)&lt;=1,0,SUMIF(Distance_Matrix!$E$9:$DQ$9,$E71,Distance_Matrix!$E$62:$DQ$62)/(COUNTIF(Distance_Matrix!$E$9:$DQ$9,$E71)-1))</f>
        <v>1.06068666761865</v>
      </c>
      <c r="I71" s="17" t="n">
        <f aca="false">MIN(IF(1=$E71,1E+099,IF(COUNTIF(Distance_Matrix!$E$9:$DQ$9,1)=0,1E+099,SUMIF(Distance_Matrix!$E$9:$DQ$9,1,Distance_Matrix!$E$62:$DQ$62)/COUNTIF(Distance_Matrix!$E$9:$DQ$9,1))),IF(2=$E71,1E+099,IF(COUNTIF(Distance_Matrix!$E$9:$DQ$9,2)=0,1E+099,SUMIF(Distance_Matrix!$E$9:$DQ$9,2,Distance_Matrix!$E$62:$DQ$62)/COUNTIF(Distance_Matrix!$E$9:$DQ$9,2))),IF(3=$E71,1E+099,IF(COUNTIF(Distance_Matrix!$E$9:$DQ$9,3)=0,1E+099,SUMIF(Distance_Matrix!$E$9:$DQ$9,3,Distance_Matrix!$E$62:$DQ$62)/COUNTIF(Distance_Matrix!$E$9:$DQ$9,3))))</f>
        <v>1.90794491292972</v>
      </c>
      <c r="J71" s="17" t="n">
        <f aca="false">IF(COUNTIF(Distance_Matrix!$E$9:$DQ$9,$E71)&lt;=1,0,(I71-H71)/MAX(H71,I71))</f>
        <v>0.44406850510693</v>
      </c>
      <c r="X71" s="17" t="n">
        <f aca="false">SQRT(($B71-X$16)^2+($C71-X$17)^2+($D71-X$18)^2)</f>
        <v>5.7483282810053</v>
      </c>
      <c r="Y71" s="17" t="n">
        <f aca="false">SQRT(($B71-Y$16)^2+($C71-Y$17)^2+($D71-Y$18)^2)</f>
        <v>3.03601382402719</v>
      </c>
      <c r="Z71" s="17" t="n">
        <f aca="false">SQRT(($B71-Z$16)^2+($C71-Z$17)^2+($D71-Z$18)^2)</f>
        <v>1.20079425949173</v>
      </c>
      <c r="AA71" s="63" t="n">
        <f aca="false">MATCH(MIN(X71:Z71),X71:Z71,0)</f>
        <v>3</v>
      </c>
      <c r="AC71" s="17" t="n">
        <f aca="false">SQRT(($B71-AC$16)^2+($C71-AC$17)^2+($D71-AC$18)^2)</f>
        <v>4.80483206168743</v>
      </c>
      <c r="AD71" s="17" t="n">
        <f aca="false">SQRT(($B71-AD$16)^2+($C71-AD$17)^2+($D71-AD$18)^2)</f>
        <v>1.94869026127173</v>
      </c>
      <c r="AE71" s="17" t="n">
        <f aca="false">SQRT(($B71-AE$16)^2+($C71-AE$17)^2+($D71-AE$18)^2)</f>
        <v>0.624565496132094</v>
      </c>
      <c r="AF71" s="63" t="n">
        <f aca="false">MATCH(MIN(AC71:AE71),AC71:AE71,0)</f>
        <v>3</v>
      </c>
      <c r="AH71" s="17" t="n">
        <f aca="false">SQRT(($B71-AH$16)^2+($C71-AH$17)^2+($D71-AH$18)^2)</f>
        <v>4.17482108988247</v>
      </c>
      <c r="AI71" s="17" t="n">
        <f aca="false">SQRT(($B71-AI$16)^2+($C71-AI$17)^2+($D71-AI$18)^2)</f>
        <v>1.82751956254015</v>
      </c>
      <c r="AJ71" s="17" t="n">
        <f aca="false">SQRT(($B71-AJ$16)^2+($C71-AJ$17)^2+($D71-AJ$18)^2)</f>
        <v>0.658991879899181</v>
      </c>
      <c r="AK71" s="63" t="n">
        <f aca="false">MATCH(MIN(AH71:AJ71),AH71:AJ71,0)</f>
        <v>3</v>
      </c>
      <c r="AM71" s="17" t="n">
        <f aca="false">SQRT(($B71-AM$16)^2+($C71-AM$17)^2+($D71-AM$18)^2)</f>
        <v>4.17482108988247</v>
      </c>
      <c r="AN71" s="17" t="n">
        <f aca="false">SQRT(($B71-AN$16)^2+($C71-AN$17)^2+($D71-AN$18)^2)</f>
        <v>1.81171535485612</v>
      </c>
      <c r="AO71" s="17" t="n">
        <f aca="false">SQRT(($B71-AO$16)^2+($C71-AO$17)^2+($D71-AO$18)^2)</f>
        <v>0.676681257817174</v>
      </c>
      <c r="AP71" s="63" t="n">
        <f aca="false">MATCH(MIN(AM71:AO71),AM71:AO71,0)</f>
        <v>3</v>
      </c>
      <c r="AR71" s="17" t="n">
        <f aca="false">SQRT(($B71-AR$16)^2+($C71-AR$17)^2+($D71-AR$18)^2)</f>
        <v>4.17482108988247</v>
      </c>
      <c r="AS71" s="17" t="n">
        <f aca="false">SQRT(($B71-AS$16)^2+($C71-AS$17)^2+($D71-AS$18)^2)</f>
        <v>1.81171535485612</v>
      </c>
      <c r="AT71" s="17" t="n">
        <f aca="false">SQRT(($B71-AT$16)^2+($C71-AT$17)^2+($D71-AT$18)^2)</f>
        <v>0.676681257817174</v>
      </c>
      <c r="AU71" s="63" t="n">
        <f aca="false">MATCH(MIN(AR71:AT71),AR71:AT71,0)</f>
        <v>3</v>
      </c>
      <c r="AW71" s="17" t="n">
        <f aca="false">SQRT(($B71-AW$16)^2+($C71-AW$17)^2+($D71-AW$18)^2)</f>
        <v>4.17482108988247</v>
      </c>
      <c r="AX71" s="17" t="n">
        <f aca="false">SQRT(($B71-AX$16)^2+($C71-AX$17)^2+($D71-AX$18)^2)</f>
        <v>1.81171535485612</v>
      </c>
      <c r="AY71" s="17" t="n">
        <f aca="false">SQRT(($B71-AY$16)^2+($C71-AY$17)^2+($D71-AY$18)^2)</f>
        <v>0.676681257817174</v>
      </c>
      <c r="AZ71" s="63" t="n">
        <f aca="false">MATCH(MIN(AW71:AY71),AW71:AY71,0)</f>
        <v>3</v>
      </c>
      <c r="BB71" s="17" t="n">
        <f aca="false">SQRT(($B71-BB$16)^2+($C71-BB$17)^2+($D71-BB$18)^2)</f>
        <v>4.17482108988247</v>
      </c>
      <c r="BC71" s="17" t="n">
        <f aca="false">SQRT(($B71-BC$16)^2+($C71-BC$17)^2+($D71-BC$18)^2)</f>
        <v>1.81171535485612</v>
      </c>
      <c r="BD71" s="17" t="n">
        <f aca="false">SQRT(($B71-BD$16)^2+($C71-BD$17)^2+($D71-BD$18)^2)</f>
        <v>0.676681257817174</v>
      </c>
      <c r="BE71" s="63" t="n">
        <f aca="false">MATCH(MIN(BB71:BD71),BB71:BD71,0)</f>
        <v>3</v>
      </c>
      <c r="BG71" s="17" t="n">
        <f aca="false">SQRT(($B71-BG$16)^2+($C71-BG$17)^2+($D71-BG$18)^2)</f>
        <v>4.17482108988247</v>
      </c>
      <c r="BH71" s="17" t="n">
        <f aca="false">SQRT(($B71-BH$16)^2+($C71-BH$17)^2+($D71-BH$18)^2)</f>
        <v>1.81171535485612</v>
      </c>
      <c r="BI71" s="17" t="n">
        <f aca="false">SQRT(($B71-BI$16)^2+($C71-BI$17)^2+($D71-BI$18)^2)</f>
        <v>0.676681257817174</v>
      </c>
      <c r="BJ71" s="63" t="n">
        <f aca="false">MATCH(MIN(BG71:BI71),BG71:BI71,0)</f>
        <v>3</v>
      </c>
      <c r="BL71" s="17" t="n">
        <f aca="false">SQRT(($B71-BL$16)^2+($C71-BL$17)^2+($D71-BL$18)^2)</f>
        <v>4.17482108988247</v>
      </c>
      <c r="BM71" s="17" t="n">
        <f aca="false">SQRT(($B71-BM$16)^2+($C71-BM$17)^2+($D71-BM$18)^2)</f>
        <v>1.81171535485612</v>
      </c>
      <c r="BN71" s="17" t="n">
        <f aca="false">SQRT(($B71-BN$16)^2+($C71-BN$17)^2+($D71-BN$18)^2)</f>
        <v>0.676681257817174</v>
      </c>
      <c r="BO71" s="63" t="n">
        <f aca="false">MATCH(MIN(BL71:BN71),BL71:BN71,0)</f>
        <v>3</v>
      </c>
      <c r="BQ71" s="17" t="n">
        <f aca="false">SQRT(($B71-BQ$16)^2+($C71-BQ$17)^2+($D71-BQ$18)^2)</f>
        <v>4.17482108988247</v>
      </c>
      <c r="BR71" s="17" t="n">
        <f aca="false">SQRT(($B71-BR$16)^2+($C71-BR$17)^2+($D71-BR$18)^2)</f>
        <v>1.81171535485612</v>
      </c>
      <c r="BS71" s="17" t="n">
        <f aca="false">SQRT(($B71-BS$16)^2+($C71-BS$17)^2+($D71-BS$18)^2)</f>
        <v>0.676681257817174</v>
      </c>
      <c r="BT71" s="63" t="n">
        <f aca="false">MATCH(MIN(BQ71:BS71),BQ71:BS71,0)</f>
        <v>3</v>
      </c>
      <c r="BV71" s="17" t="n">
        <f aca="false">SQRT(($B71-BV$16)^2+($C71-BV$17)^2+($D71-BV$18)^2)</f>
        <v>4.17482108988247</v>
      </c>
      <c r="BW71" s="17" t="n">
        <f aca="false">SQRT(($B71-BW$16)^2+($C71-BW$17)^2+($D71-BW$18)^2)</f>
        <v>1.81171535485612</v>
      </c>
      <c r="BX71" s="17" t="n">
        <f aca="false">SQRT(($B71-BX$16)^2+($C71-BX$17)^2+($D71-BX$18)^2)</f>
        <v>0.676681257817174</v>
      </c>
      <c r="BY71" s="63" t="n">
        <f aca="false">MATCH(MIN(BV71:BX71),BV71:BX71,0)</f>
        <v>3</v>
      </c>
      <c r="CA71" s="17" t="n">
        <f aca="false">SQRT(($B71-CA$16)^2+($C71-CA$17)^2+($D71-CA$18)^2)</f>
        <v>4.17482108988247</v>
      </c>
      <c r="CB71" s="17" t="n">
        <f aca="false">SQRT(($B71-CB$16)^2+($C71-CB$17)^2+($D71-CB$18)^2)</f>
        <v>1.81171535485612</v>
      </c>
      <c r="CC71" s="17" t="n">
        <f aca="false">SQRT(($B71-CC$16)^2+($C71-CC$17)^2+($D71-CC$18)^2)</f>
        <v>0.676681257817174</v>
      </c>
      <c r="CD71" s="63" t="n">
        <f aca="false">MATCH(MIN(CA71:CC71),CA71:CC71,0)</f>
        <v>3</v>
      </c>
    </row>
    <row r="72" customFormat="false" ht="15" hidden="false" customHeight="false" outlineLevel="0" collapsed="false">
      <c r="A72" s="36" t="str">
        <f aca="false">KMeans_Data!A54</f>
        <v>Sialkot</v>
      </c>
      <c r="B72" s="17" t="n">
        <f aca="false">KMeans_Data!H54</f>
        <v>0.194428618785618</v>
      </c>
      <c r="C72" s="17" t="n">
        <f aca="false">KMeans_Data!I54</f>
        <v>-0.672650545388274</v>
      </c>
      <c r="D72" s="17" t="n">
        <f aca="false">KMeans_Data!J54</f>
        <v>-1.14564411633355</v>
      </c>
      <c r="E72" s="63" t="n">
        <f aca="false">CD72</f>
        <v>2</v>
      </c>
      <c r="F72" s="38" t="n">
        <f aca="false">($B72-INDEX($L$16:$N$16,E72))^2+($C72-INDEX($L$17:$N$17,E72))^2+($D72-INDEX($L$18:$N$18,E72))^2</f>
        <v>0.858100356171775</v>
      </c>
      <c r="G72" s="12" t="str">
        <f aca="false">INDEX($M$5:$M$7,E72)</f>
        <v>Low burden</v>
      </c>
      <c r="H72" s="17" t="n">
        <f aca="false">IF(COUNTIF(Distance_Matrix!$E$9:$DQ$9,$E72)&lt;=1,0,SUMIF(Distance_Matrix!$E$9:$DQ$9,$E72,Distance_Matrix!$E$63:$DQ$63)/(COUNTIF(Distance_Matrix!$E$9:$DQ$9,$E72)-1))</f>
        <v>1.13392457348057</v>
      </c>
      <c r="I72" s="17" t="n">
        <f aca="false">MIN(IF(1=$E72,1E+099,IF(COUNTIF(Distance_Matrix!$E$9:$DQ$9,1)=0,1E+099,SUMIF(Distance_Matrix!$E$9:$DQ$9,1,Distance_Matrix!$E$63:$DQ$63)/COUNTIF(Distance_Matrix!$E$9:$DQ$9,1))),IF(2=$E72,1E+099,IF(COUNTIF(Distance_Matrix!$E$9:$DQ$9,2)=0,1E+099,SUMIF(Distance_Matrix!$E$9:$DQ$9,2,Distance_Matrix!$E$63:$DQ$63)/COUNTIF(Distance_Matrix!$E$9:$DQ$9,2))),IF(3=$E72,1E+099,IF(COUNTIF(Distance_Matrix!$E$9:$DQ$9,3)=0,1E+099,SUMIF(Distance_Matrix!$E$9:$DQ$9,3,Distance_Matrix!$E$63:$DQ$63)/COUNTIF(Distance_Matrix!$E$9:$DQ$9,3))))</f>
        <v>2.29971373355104</v>
      </c>
      <c r="J72" s="17" t="n">
        <f aca="false">IF(COUNTIF(Distance_Matrix!$E$9:$DQ$9,$E72)&lt;=1,0,(I72-H72)/MAX(H72,I72))</f>
        <v>0.506927946318934</v>
      </c>
      <c r="X72" s="17" t="n">
        <f aca="false">SQRT(($B72-X$16)^2+($C72-X$17)^2+($D72-X$18)^2)</f>
        <v>7.14349075775095</v>
      </c>
      <c r="Y72" s="17" t="n">
        <f aca="false">SQRT(($B72-Y$16)^2+($C72-Y$17)^2+($D72-Y$18)^2)</f>
        <v>2.27416660058894</v>
      </c>
      <c r="Z72" s="17" t="n">
        <f aca="false">SQRT(($B72-Z$16)^2+($C72-Z$17)^2+($D72-Z$18)^2)</f>
        <v>2.94270459419819</v>
      </c>
      <c r="AA72" s="63" t="n">
        <f aca="false">MATCH(MIN(X72:Z72),X72:Z72,0)</f>
        <v>2</v>
      </c>
      <c r="AC72" s="17" t="n">
        <f aca="false">SQRT(($B72-AC$16)^2+($C72-AC$17)^2+($D72-AC$18)^2)</f>
        <v>6.12731840627139</v>
      </c>
      <c r="AD72" s="17" t="n">
        <f aca="false">SQRT(($B72-AD$16)^2+($C72-AD$17)^2+($D72-AD$18)^2)</f>
        <v>1.01098112696808</v>
      </c>
      <c r="AE72" s="17" t="n">
        <f aca="false">SQRT(($B72-AE$16)^2+($C72-AE$17)^2+($D72-AE$18)^2)</f>
        <v>2.03747589772694</v>
      </c>
      <c r="AF72" s="63" t="n">
        <f aca="false">MATCH(MIN(AC72:AE72),AC72:AE72,0)</f>
        <v>2</v>
      </c>
      <c r="AH72" s="17" t="n">
        <f aca="false">SQRT(($B72-AH$16)^2+($C72-AH$17)^2+($D72-AH$18)^2)</f>
        <v>5.49749554863454</v>
      </c>
      <c r="AI72" s="17" t="n">
        <f aca="false">SQRT(($B72-AI$16)^2+($C72-AI$17)^2+($D72-AI$18)^2)</f>
        <v>0.923249280811281</v>
      </c>
      <c r="AJ72" s="17" t="n">
        <f aca="false">SQRT(($B72-AJ$16)^2+($C72-AJ$17)^2+($D72-AJ$18)^2)</f>
        <v>2.16000991403444</v>
      </c>
      <c r="AK72" s="63" t="n">
        <f aca="false">MATCH(MIN(AH72:AJ72),AH72:AJ72,0)</f>
        <v>2</v>
      </c>
      <c r="AM72" s="17" t="n">
        <f aca="false">SQRT(($B72-AM$16)^2+($C72-AM$17)^2+($D72-AM$18)^2)</f>
        <v>5.49749554863454</v>
      </c>
      <c r="AN72" s="17" t="n">
        <f aca="false">SQRT(($B72-AN$16)^2+($C72-AN$17)^2+($D72-AN$18)^2)</f>
        <v>0.926337064017076</v>
      </c>
      <c r="AO72" s="17" t="n">
        <f aca="false">SQRT(($B72-AO$16)^2+($C72-AO$17)^2+($D72-AO$18)^2)</f>
        <v>2.17859145012209</v>
      </c>
      <c r="AP72" s="63" t="n">
        <f aca="false">MATCH(MIN(AM72:AO72),AM72:AO72,0)</f>
        <v>2</v>
      </c>
      <c r="AR72" s="17" t="n">
        <f aca="false">SQRT(($B72-AR$16)^2+($C72-AR$17)^2+($D72-AR$18)^2)</f>
        <v>5.49749554863454</v>
      </c>
      <c r="AS72" s="17" t="n">
        <f aca="false">SQRT(($B72-AS$16)^2+($C72-AS$17)^2+($D72-AS$18)^2)</f>
        <v>0.926337064017076</v>
      </c>
      <c r="AT72" s="17" t="n">
        <f aca="false">SQRT(($B72-AT$16)^2+($C72-AT$17)^2+($D72-AT$18)^2)</f>
        <v>2.17859145012209</v>
      </c>
      <c r="AU72" s="63" t="n">
        <f aca="false">MATCH(MIN(AR72:AT72),AR72:AT72,0)</f>
        <v>2</v>
      </c>
      <c r="AW72" s="17" t="n">
        <f aca="false">SQRT(($B72-AW$16)^2+($C72-AW$17)^2+($D72-AW$18)^2)</f>
        <v>5.49749554863454</v>
      </c>
      <c r="AX72" s="17" t="n">
        <f aca="false">SQRT(($B72-AX$16)^2+($C72-AX$17)^2+($D72-AX$18)^2)</f>
        <v>0.926337064017076</v>
      </c>
      <c r="AY72" s="17" t="n">
        <f aca="false">SQRT(($B72-AY$16)^2+($C72-AY$17)^2+($D72-AY$18)^2)</f>
        <v>2.17859145012209</v>
      </c>
      <c r="AZ72" s="63" t="n">
        <f aca="false">MATCH(MIN(AW72:AY72),AW72:AY72,0)</f>
        <v>2</v>
      </c>
      <c r="BB72" s="17" t="n">
        <f aca="false">SQRT(($B72-BB$16)^2+($C72-BB$17)^2+($D72-BB$18)^2)</f>
        <v>5.49749554863454</v>
      </c>
      <c r="BC72" s="17" t="n">
        <f aca="false">SQRT(($B72-BC$16)^2+($C72-BC$17)^2+($D72-BC$18)^2)</f>
        <v>0.926337064017076</v>
      </c>
      <c r="BD72" s="17" t="n">
        <f aca="false">SQRT(($B72-BD$16)^2+($C72-BD$17)^2+($D72-BD$18)^2)</f>
        <v>2.17859145012209</v>
      </c>
      <c r="BE72" s="63" t="n">
        <f aca="false">MATCH(MIN(BB72:BD72),BB72:BD72,0)</f>
        <v>2</v>
      </c>
      <c r="BG72" s="17" t="n">
        <f aca="false">SQRT(($B72-BG$16)^2+($C72-BG$17)^2+($D72-BG$18)^2)</f>
        <v>5.49749554863454</v>
      </c>
      <c r="BH72" s="17" t="n">
        <f aca="false">SQRT(($B72-BH$16)^2+($C72-BH$17)^2+($D72-BH$18)^2)</f>
        <v>0.926337064017076</v>
      </c>
      <c r="BI72" s="17" t="n">
        <f aca="false">SQRT(($B72-BI$16)^2+($C72-BI$17)^2+($D72-BI$18)^2)</f>
        <v>2.17859145012209</v>
      </c>
      <c r="BJ72" s="63" t="n">
        <f aca="false">MATCH(MIN(BG72:BI72),BG72:BI72,0)</f>
        <v>2</v>
      </c>
      <c r="BL72" s="17" t="n">
        <f aca="false">SQRT(($B72-BL$16)^2+($C72-BL$17)^2+($D72-BL$18)^2)</f>
        <v>5.49749554863454</v>
      </c>
      <c r="BM72" s="17" t="n">
        <f aca="false">SQRT(($B72-BM$16)^2+($C72-BM$17)^2+($D72-BM$18)^2)</f>
        <v>0.926337064017076</v>
      </c>
      <c r="BN72" s="17" t="n">
        <f aca="false">SQRT(($B72-BN$16)^2+($C72-BN$17)^2+($D72-BN$18)^2)</f>
        <v>2.17859145012209</v>
      </c>
      <c r="BO72" s="63" t="n">
        <f aca="false">MATCH(MIN(BL72:BN72),BL72:BN72,0)</f>
        <v>2</v>
      </c>
      <c r="BQ72" s="17" t="n">
        <f aca="false">SQRT(($B72-BQ$16)^2+($C72-BQ$17)^2+($D72-BQ$18)^2)</f>
        <v>5.49749554863454</v>
      </c>
      <c r="BR72" s="17" t="n">
        <f aca="false">SQRT(($B72-BR$16)^2+($C72-BR$17)^2+($D72-BR$18)^2)</f>
        <v>0.926337064017076</v>
      </c>
      <c r="BS72" s="17" t="n">
        <f aca="false">SQRT(($B72-BS$16)^2+($C72-BS$17)^2+($D72-BS$18)^2)</f>
        <v>2.17859145012209</v>
      </c>
      <c r="BT72" s="63" t="n">
        <f aca="false">MATCH(MIN(BQ72:BS72),BQ72:BS72,0)</f>
        <v>2</v>
      </c>
      <c r="BV72" s="17" t="n">
        <f aca="false">SQRT(($B72-BV$16)^2+($C72-BV$17)^2+($D72-BV$18)^2)</f>
        <v>5.49749554863454</v>
      </c>
      <c r="BW72" s="17" t="n">
        <f aca="false">SQRT(($B72-BW$16)^2+($C72-BW$17)^2+($D72-BW$18)^2)</f>
        <v>0.926337064017076</v>
      </c>
      <c r="BX72" s="17" t="n">
        <f aca="false">SQRT(($B72-BX$16)^2+($C72-BX$17)^2+($D72-BX$18)^2)</f>
        <v>2.17859145012209</v>
      </c>
      <c r="BY72" s="63" t="n">
        <f aca="false">MATCH(MIN(BV72:BX72),BV72:BX72,0)</f>
        <v>2</v>
      </c>
      <c r="CA72" s="17" t="n">
        <f aca="false">SQRT(($B72-CA$16)^2+($C72-CA$17)^2+($D72-CA$18)^2)</f>
        <v>5.49749554863454</v>
      </c>
      <c r="CB72" s="17" t="n">
        <f aca="false">SQRT(($B72-CB$16)^2+($C72-CB$17)^2+($D72-CB$18)^2)</f>
        <v>0.926337064017076</v>
      </c>
      <c r="CC72" s="17" t="n">
        <f aca="false">SQRT(($B72-CC$16)^2+($C72-CC$17)^2+($D72-CC$18)^2)</f>
        <v>2.17859145012209</v>
      </c>
      <c r="CD72" s="63" t="n">
        <f aca="false">MATCH(MIN(CA72:CC72),CA72:CC72,0)</f>
        <v>2</v>
      </c>
    </row>
    <row r="73" customFormat="false" ht="15" hidden="false" customHeight="false" outlineLevel="0" collapsed="false">
      <c r="A73" s="36" t="str">
        <f aca="false">KMeans_Data!A55</f>
        <v>Faisalabad</v>
      </c>
      <c r="B73" s="17" t="n">
        <f aca="false">KMeans_Data!H55</f>
        <v>0.187798337815286</v>
      </c>
      <c r="C73" s="17" t="n">
        <f aca="false">KMeans_Data!I55</f>
        <v>-0.672650545388274</v>
      </c>
      <c r="D73" s="17" t="n">
        <f aca="false">KMeans_Data!J55</f>
        <v>-1.14564411633355</v>
      </c>
      <c r="E73" s="63" t="n">
        <f aca="false">CD73</f>
        <v>2</v>
      </c>
      <c r="F73" s="38" t="n">
        <f aca="false">($B73-INDEX($L$16:$N$16,E73))^2+($C73-INDEX($L$17:$N$17,E73))^2+($D73-INDEX($L$18:$N$18,E73))^2</f>
        <v>0.84711031964072</v>
      </c>
      <c r="G73" s="12" t="str">
        <f aca="false">INDEX($M$5:$M$7,E73)</f>
        <v>Low burden</v>
      </c>
      <c r="H73" s="17" t="n">
        <f aca="false">IF(COUNTIF(Distance_Matrix!$E$9:$DQ$9,$E73)&lt;=1,0,SUMIF(Distance_Matrix!$E$9:$DQ$9,$E73,Distance_Matrix!$E$64:$DQ$64)/(COUNTIF(Distance_Matrix!$E$9:$DQ$9,$E73)-1))</f>
        <v>1.1295707394521</v>
      </c>
      <c r="I73" s="17" t="n">
        <f aca="false">MIN(IF(1=$E73,1E+099,IF(COUNTIF(Distance_Matrix!$E$9:$DQ$9,1)=0,1E+099,SUMIF(Distance_Matrix!$E$9:$DQ$9,1,Distance_Matrix!$E$64:$DQ$64)/COUNTIF(Distance_Matrix!$E$9:$DQ$9,1))),IF(2=$E73,1E+099,IF(COUNTIF(Distance_Matrix!$E$9:$DQ$9,2)=0,1E+099,SUMIF(Distance_Matrix!$E$9:$DQ$9,2,Distance_Matrix!$E$64:$DQ$64)/COUNTIF(Distance_Matrix!$E$9:$DQ$9,2))),IF(3=$E73,1E+099,IF(COUNTIF(Distance_Matrix!$E$9:$DQ$9,3)=0,1E+099,SUMIF(Distance_Matrix!$E$9:$DQ$9,3,Distance_Matrix!$E$64:$DQ$64)/COUNTIF(Distance_Matrix!$E$9:$DQ$9,3))))</f>
        <v>2.30057701391392</v>
      </c>
      <c r="J73" s="17" t="n">
        <f aca="false">IF(COUNTIF(Distance_Matrix!$E$9:$DQ$9,$E73)&lt;=1,0,(I73-H73)/MAX(H73,I73))</f>
        <v>0.509005465750358</v>
      </c>
      <c r="X73" s="17" t="n">
        <f aca="false">SQRT(($B73-X$16)^2+($C73-X$17)^2+($D73-X$18)^2)</f>
        <v>7.14635187409098</v>
      </c>
      <c r="Y73" s="17" t="n">
        <f aca="false">SQRT(($B73-Y$16)^2+($C73-Y$17)^2+($D73-Y$18)^2)</f>
        <v>2.26753631961861</v>
      </c>
      <c r="Z73" s="17" t="n">
        <f aca="false">SQRT(($B73-Z$16)^2+($C73-Z$17)^2+($D73-Z$18)^2)</f>
        <v>2.94461062391018</v>
      </c>
      <c r="AA73" s="63" t="n">
        <f aca="false">MATCH(MIN(X73:Z73),X73:Z73,0)</f>
        <v>2</v>
      </c>
      <c r="AC73" s="17" t="n">
        <f aca="false">SQRT(($B73-AC$16)^2+($C73-AC$17)^2+($D73-AC$18)^2)</f>
        <v>6.13015004847747</v>
      </c>
      <c r="AD73" s="17" t="n">
        <f aca="false">SQRT(($B73-AD$16)^2+($C73-AD$17)^2+($D73-AD$18)^2)</f>
        <v>1.00469517603814</v>
      </c>
      <c r="AE73" s="17" t="n">
        <f aca="false">SQRT(($B73-AE$16)^2+($C73-AE$17)^2+($D73-AE$18)^2)</f>
        <v>2.03851072667531</v>
      </c>
      <c r="AF73" s="63" t="n">
        <f aca="false">MATCH(MIN(AC73:AE73),AC73:AE73,0)</f>
        <v>2</v>
      </c>
      <c r="AH73" s="17" t="n">
        <f aca="false">SQRT(($B73-AH$16)^2+($C73-AH$17)^2+($D73-AH$18)^2)</f>
        <v>5.50025921629727</v>
      </c>
      <c r="AI73" s="17" t="n">
        <f aca="false">SQRT(($B73-AI$16)^2+($C73-AI$17)^2+($D73-AI$18)^2)</f>
        <v>0.917250952484469</v>
      </c>
      <c r="AJ73" s="17" t="n">
        <f aca="false">SQRT(($B73-AJ$16)^2+($C73-AJ$17)^2+($D73-AJ$18)^2)</f>
        <v>2.16098097180752</v>
      </c>
      <c r="AK73" s="63" t="n">
        <f aca="false">MATCH(MIN(AH73:AJ73),AH73:AJ73,0)</f>
        <v>2</v>
      </c>
      <c r="AM73" s="17" t="n">
        <f aca="false">SQRT(($B73-AM$16)^2+($C73-AM$17)^2+($D73-AM$18)^2)</f>
        <v>5.50025921629727</v>
      </c>
      <c r="AN73" s="17" t="n">
        <f aca="false">SQRT(($B73-AN$16)^2+($C73-AN$17)^2+($D73-AN$18)^2)</f>
        <v>0.92038596232272</v>
      </c>
      <c r="AO73" s="17" t="n">
        <f aca="false">SQRT(($B73-AO$16)^2+($C73-AO$17)^2+($D73-AO$18)^2)</f>
        <v>2.17961202368834</v>
      </c>
      <c r="AP73" s="63" t="n">
        <f aca="false">MATCH(MIN(AM73:AO73),AM73:AO73,0)</f>
        <v>2</v>
      </c>
      <c r="AR73" s="17" t="n">
        <f aca="false">SQRT(($B73-AR$16)^2+($C73-AR$17)^2+($D73-AR$18)^2)</f>
        <v>5.50025921629727</v>
      </c>
      <c r="AS73" s="17" t="n">
        <f aca="false">SQRT(($B73-AS$16)^2+($C73-AS$17)^2+($D73-AS$18)^2)</f>
        <v>0.92038596232272</v>
      </c>
      <c r="AT73" s="17" t="n">
        <f aca="false">SQRT(($B73-AT$16)^2+($C73-AT$17)^2+($D73-AT$18)^2)</f>
        <v>2.17961202368834</v>
      </c>
      <c r="AU73" s="63" t="n">
        <f aca="false">MATCH(MIN(AR73:AT73),AR73:AT73,0)</f>
        <v>2</v>
      </c>
      <c r="AW73" s="17" t="n">
        <f aca="false">SQRT(($B73-AW$16)^2+($C73-AW$17)^2+($D73-AW$18)^2)</f>
        <v>5.50025921629727</v>
      </c>
      <c r="AX73" s="17" t="n">
        <f aca="false">SQRT(($B73-AX$16)^2+($C73-AX$17)^2+($D73-AX$18)^2)</f>
        <v>0.92038596232272</v>
      </c>
      <c r="AY73" s="17" t="n">
        <f aca="false">SQRT(($B73-AY$16)^2+($C73-AY$17)^2+($D73-AY$18)^2)</f>
        <v>2.17961202368834</v>
      </c>
      <c r="AZ73" s="63" t="n">
        <f aca="false">MATCH(MIN(AW73:AY73),AW73:AY73,0)</f>
        <v>2</v>
      </c>
      <c r="BB73" s="17" t="n">
        <f aca="false">SQRT(($B73-BB$16)^2+($C73-BB$17)^2+($D73-BB$18)^2)</f>
        <v>5.50025921629727</v>
      </c>
      <c r="BC73" s="17" t="n">
        <f aca="false">SQRT(($B73-BC$16)^2+($C73-BC$17)^2+($D73-BC$18)^2)</f>
        <v>0.92038596232272</v>
      </c>
      <c r="BD73" s="17" t="n">
        <f aca="false">SQRT(($B73-BD$16)^2+($C73-BD$17)^2+($D73-BD$18)^2)</f>
        <v>2.17961202368834</v>
      </c>
      <c r="BE73" s="63" t="n">
        <f aca="false">MATCH(MIN(BB73:BD73),BB73:BD73,0)</f>
        <v>2</v>
      </c>
      <c r="BG73" s="17" t="n">
        <f aca="false">SQRT(($B73-BG$16)^2+($C73-BG$17)^2+($D73-BG$18)^2)</f>
        <v>5.50025921629727</v>
      </c>
      <c r="BH73" s="17" t="n">
        <f aca="false">SQRT(($B73-BH$16)^2+($C73-BH$17)^2+($D73-BH$18)^2)</f>
        <v>0.92038596232272</v>
      </c>
      <c r="BI73" s="17" t="n">
        <f aca="false">SQRT(($B73-BI$16)^2+($C73-BI$17)^2+($D73-BI$18)^2)</f>
        <v>2.17961202368834</v>
      </c>
      <c r="BJ73" s="63" t="n">
        <f aca="false">MATCH(MIN(BG73:BI73),BG73:BI73,0)</f>
        <v>2</v>
      </c>
      <c r="BL73" s="17" t="n">
        <f aca="false">SQRT(($B73-BL$16)^2+($C73-BL$17)^2+($D73-BL$18)^2)</f>
        <v>5.50025921629727</v>
      </c>
      <c r="BM73" s="17" t="n">
        <f aca="false">SQRT(($B73-BM$16)^2+($C73-BM$17)^2+($D73-BM$18)^2)</f>
        <v>0.92038596232272</v>
      </c>
      <c r="BN73" s="17" t="n">
        <f aca="false">SQRT(($B73-BN$16)^2+($C73-BN$17)^2+($D73-BN$18)^2)</f>
        <v>2.17961202368834</v>
      </c>
      <c r="BO73" s="63" t="n">
        <f aca="false">MATCH(MIN(BL73:BN73),BL73:BN73,0)</f>
        <v>2</v>
      </c>
      <c r="BQ73" s="17" t="n">
        <f aca="false">SQRT(($B73-BQ$16)^2+($C73-BQ$17)^2+($D73-BQ$18)^2)</f>
        <v>5.50025921629727</v>
      </c>
      <c r="BR73" s="17" t="n">
        <f aca="false">SQRT(($B73-BR$16)^2+($C73-BR$17)^2+($D73-BR$18)^2)</f>
        <v>0.92038596232272</v>
      </c>
      <c r="BS73" s="17" t="n">
        <f aca="false">SQRT(($B73-BS$16)^2+($C73-BS$17)^2+($D73-BS$18)^2)</f>
        <v>2.17961202368834</v>
      </c>
      <c r="BT73" s="63" t="n">
        <f aca="false">MATCH(MIN(BQ73:BS73),BQ73:BS73,0)</f>
        <v>2</v>
      </c>
      <c r="BV73" s="17" t="n">
        <f aca="false">SQRT(($B73-BV$16)^2+($C73-BV$17)^2+($D73-BV$18)^2)</f>
        <v>5.50025921629727</v>
      </c>
      <c r="BW73" s="17" t="n">
        <f aca="false">SQRT(($B73-BW$16)^2+($C73-BW$17)^2+($D73-BW$18)^2)</f>
        <v>0.92038596232272</v>
      </c>
      <c r="BX73" s="17" t="n">
        <f aca="false">SQRT(($B73-BX$16)^2+($C73-BX$17)^2+($D73-BX$18)^2)</f>
        <v>2.17961202368834</v>
      </c>
      <c r="BY73" s="63" t="n">
        <f aca="false">MATCH(MIN(BV73:BX73),BV73:BX73,0)</f>
        <v>2</v>
      </c>
      <c r="CA73" s="17" t="n">
        <f aca="false">SQRT(($B73-CA$16)^2+($C73-CA$17)^2+($D73-CA$18)^2)</f>
        <v>5.50025921629727</v>
      </c>
      <c r="CB73" s="17" t="n">
        <f aca="false">SQRT(($B73-CB$16)^2+($C73-CB$17)^2+($D73-CB$18)^2)</f>
        <v>0.92038596232272</v>
      </c>
      <c r="CC73" s="17" t="n">
        <f aca="false">SQRT(($B73-CC$16)^2+($C73-CC$17)^2+($D73-CC$18)^2)</f>
        <v>2.17961202368834</v>
      </c>
      <c r="CD73" s="63" t="n">
        <f aca="false">MATCH(MIN(CA73:CC73),CA73:CC73,0)</f>
        <v>2</v>
      </c>
    </row>
    <row r="74" customFormat="false" ht="15" hidden="false" customHeight="false" outlineLevel="0" collapsed="false">
      <c r="A74" s="36" t="str">
        <f aca="false">KMeans_Data!A56</f>
        <v>Jhelum</v>
      </c>
      <c r="B74" s="17" t="n">
        <f aca="false">KMeans_Data!H56</f>
        <v>0.167385132550892</v>
      </c>
      <c r="C74" s="17" t="n">
        <f aca="false">KMeans_Data!I56</f>
        <v>-0.672650545388274</v>
      </c>
      <c r="D74" s="17" t="n">
        <f aca="false">KMeans_Data!J56</f>
        <v>-0.503247915463979</v>
      </c>
      <c r="E74" s="63" t="n">
        <f aca="false">CD74</f>
        <v>2</v>
      </c>
      <c r="F74" s="38" t="n">
        <f aca="false">($B74-INDEX($L$16:$N$16,E74))^2+($C74-INDEX($L$17:$N$17,E74))^2+($D74-INDEX($L$18:$N$18,E74))^2</f>
        <v>0.707439664670174</v>
      </c>
      <c r="G74" s="12" t="str">
        <f aca="false">INDEX($M$5:$M$7,E74)</f>
        <v>Low burden</v>
      </c>
      <c r="H74" s="17" t="n">
        <f aca="false">IF(COUNTIF(Distance_Matrix!$E$9:$DQ$9,$E74)&lt;=1,0,SUMIF(Distance_Matrix!$E$9:$DQ$9,$E74,Distance_Matrix!$E$65:$DQ$65)/(COUNTIF(Distance_Matrix!$E$9:$DQ$9,$E74)-1))</f>
        <v>1.06926952266702</v>
      </c>
      <c r="I74" s="17" t="n">
        <f aca="false">MIN(IF(1=$E74,1E+099,IF(COUNTIF(Distance_Matrix!$E$9:$DQ$9,1)=0,1E+099,SUMIF(Distance_Matrix!$E$9:$DQ$9,1,Distance_Matrix!$E$65:$DQ$65)/COUNTIF(Distance_Matrix!$E$9:$DQ$9,1))),IF(2=$E74,1E+099,IF(COUNTIF(Distance_Matrix!$E$9:$DQ$9,2)=0,1E+099,SUMIF(Distance_Matrix!$E$9:$DQ$9,2,Distance_Matrix!$E$65:$DQ$65)/COUNTIF(Distance_Matrix!$E$9:$DQ$9,2))),IF(3=$E74,1E+099,IF(COUNTIF(Distance_Matrix!$E$9:$DQ$9,3)=0,1E+099,SUMIF(Distance_Matrix!$E$9:$DQ$9,3,Distance_Matrix!$E$65:$DQ$65)/COUNTIF(Distance_Matrix!$E$9:$DQ$9,3))))</f>
        <v>1.82557197497542</v>
      </c>
      <c r="J74" s="17" t="n">
        <f aca="false">IF(COUNTIF(Distance_Matrix!$E$9:$DQ$9,$E74)&lt;=1,0,(I74-H74)/MAX(H74,I74))</f>
        <v>0.414282461976655</v>
      </c>
      <c r="X74" s="17" t="n">
        <f aca="false">SQRT(($B74-X$16)^2+($C74-X$17)^2+($D74-X$18)^2)</f>
        <v>6.77926767473373</v>
      </c>
      <c r="Y74" s="17" t="n">
        <f aca="false">SQRT(($B74-Y$16)^2+($C74-Y$17)^2+($D74-Y$18)^2)</f>
        <v>2.33714252238854</v>
      </c>
      <c r="Z74" s="17" t="n">
        <f aca="false">SQRT(($B74-Z$16)^2+($C74-Z$17)^2+($D74-Z$18)^2)</f>
        <v>2.39946355433655</v>
      </c>
      <c r="AA74" s="63" t="n">
        <f aca="false">MATCH(MIN(X74:Z74),X74:Z74,0)</f>
        <v>2</v>
      </c>
      <c r="AC74" s="17" t="n">
        <f aca="false">SQRT(($B74-AC$16)^2+($C74-AC$17)^2+($D74-AC$18)^2)</f>
        <v>5.782078655007</v>
      </c>
      <c r="AD74" s="17" t="n">
        <f aca="false">SQRT(($B74-AD$16)^2+($C74-AD$17)^2+($D74-AD$18)^2)</f>
        <v>0.986653408008123</v>
      </c>
      <c r="AE74" s="17" t="n">
        <f aca="false">SQRT(($B74-AE$16)^2+($C74-AE$17)^2+($D74-AE$18)^2)</f>
        <v>1.53447240120155</v>
      </c>
      <c r="AF74" s="63" t="n">
        <f aca="false">MATCH(MIN(AC74:AE74),AC74:AE74,0)</f>
        <v>2</v>
      </c>
      <c r="AH74" s="17" t="n">
        <f aca="false">SQRT(($B74-AH$16)^2+($C74-AH$17)^2+($D74-AH$18)^2)</f>
        <v>5.1464281438643</v>
      </c>
      <c r="AI74" s="17" t="n">
        <f aca="false">SQRT(($B74-AI$16)^2+($C74-AI$17)^2+($D74-AI$18)^2)</f>
        <v>0.848396833594174</v>
      </c>
      <c r="AJ74" s="17" t="n">
        <f aca="false">SQRT(($B74-AJ$16)^2+($C74-AJ$17)^2+($D74-AJ$18)^2)</f>
        <v>1.65481814611688</v>
      </c>
      <c r="AK74" s="63" t="n">
        <f aca="false">MATCH(MIN(AH74:AJ74),AH74:AJ74,0)</f>
        <v>2</v>
      </c>
      <c r="AM74" s="17" t="n">
        <f aca="false">SQRT(($B74-AM$16)^2+($C74-AM$17)^2+($D74-AM$18)^2)</f>
        <v>5.1464281438643</v>
      </c>
      <c r="AN74" s="17" t="n">
        <f aca="false">SQRT(($B74-AN$16)^2+($C74-AN$17)^2+($D74-AN$18)^2)</f>
        <v>0.841094325667564</v>
      </c>
      <c r="AO74" s="17" t="n">
        <f aca="false">SQRT(($B74-AO$16)^2+($C74-AO$17)^2+($D74-AO$18)^2)</f>
        <v>1.67491556802013</v>
      </c>
      <c r="AP74" s="63" t="n">
        <f aca="false">MATCH(MIN(AM74:AO74),AM74:AO74,0)</f>
        <v>2</v>
      </c>
      <c r="AR74" s="17" t="n">
        <f aca="false">SQRT(($B74-AR$16)^2+($C74-AR$17)^2+($D74-AR$18)^2)</f>
        <v>5.1464281438643</v>
      </c>
      <c r="AS74" s="17" t="n">
        <f aca="false">SQRT(($B74-AS$16)^2+($C74-AS$17)^2+($D74-AS$18)^2)</f>
        <v>0.841094325667564</v>
      </c>
      <c r="AT74" s="17" t="n">
        <f aca="false">SQRT(($B74-AT$16)^2+($C74-AT$17)^2+($D74-AT$18)^2)</f>
        <v>1.67491556802013</v>
      </c>
      <c r="AU74" s="63" t="n">
        <f aca="false">MATCH(MIN(AR74:AT74),AR74:AT74,0)</f>
        <v>2</v>
      </c>
      <c r="AW74" s="17" t="n">
        <f aca="false">SQRT(($B74-AW$16)^2+($C74-AW$17)^2+($D74-AW$18)^2)</f>
        <v>5.1464281438643</v>
      </c>
      <c r="AX74" s="17" t="n">
        <f aca="false">SQRT(($B74-AX$16)^2+($C74-AX$17)^2+($D74-AX$18)^2)</f>
        <v>0.841094325667564</v>
      </c>
      <c r="AY74" s="17" t="n">
        <f aca="false">SQRT(($B74-AY$16)^2+($C74-AY$17)^2+($D74-AY$18)^2)</f>
        <v>1.67491556802013</v>
      </c>
      <c r="AZ74" s="63" t="n">
        <f aca="false">MATCH(MIN(AW74:AY74),AW74:AY74,0)</f>
        <v>2</v>
      </c>
      <c r="BB74" s="17" t="n">
        <f aca="false">SQRT(($B74-BB$16)^2+($C74-BB$17)^2+($D74-BB$18)^2)</f>
        <v>5.1464281438643</v>
      </c>
      <c r="BC74" s="17" t="n">
        <f aca="false">SQRT(($B74-BC$16)^2+($C74-BC$17)^2+($D74-BC$18)^2)</f>
        <v>0.841094325667564</v>
      </c>
      <c r="BD74" s="17" t="n">
        <f aca="false">SQRT(($B74-BD$16)^2+($C74-BD$17)^2+($D74-BD$18)^2)</f>
        <v>1.67491556802013</v>
      </c>
      <c r="BE74" s="63" t="n">
        <f aca="false">MATCH(MIN(BB74:BD74),BB74:BD74,0)</f>
        <v>2</v>
      </c>
      <c r="BG74" s="17" t="n">
        <f aca="false">SQRT(($B74-BG$16)^2+($C74-BG$17)^2+($D74-BG$18)^2)</f>
        <v>5.1464281438643</v>
      </c>
      <c r="BH74" s="17" t="n">
        <f aca="false">SQRT(($B74-BH$16)^2+($C74-BH$17)^2+($D74-BH$18)^2)</f>
        <v>0.841094325667564</v>
      </c>
      <c r="BI74" s="17" t="n">
        <f aca="false">SQRT(($B74-BI$16)^2+($C74-BI$17)^2+($D74-BI$18)^2)</f>
        <v>1.67491556802013</v>
      </c>
      <c r="BJ74" s="63" t="n">
        <f aca="false">MATCH(MIN(BG74:BI74),BG74:BI74,0)</f>
        <v>2</v>
      </c>
      <c r="BL74" s="17" t="n">
        <f aca="false">SQRT(($B74-BL$16)^2+($C74-BL$17)^2+($D74-BL$18)^2)</f>
        <v>5.1464281438643</v>
      </c>
      <c r="BM74" s="17" t="n">
        <f aca="false">SQRT(($B74-BM$16)^2+($C74-BM$17)^2+($D74-BM$18)^2)</f>
        <v>0.841094325667564</v>
      </c>
      <c r="BN74" s="17" t="n">
        <f aca="false">SQRT(($B74-BN$16)^2+($C74-BN$17)^2+($D74-BN$18)^2)</f>
        <v>1.67491556802013</v>
      </c>
      <c r="BO74" s="63" t="n">
        <f aca="false">MATCH(MIN(BL74:BN74),BL74:BN74,0)</f>
        <v>2</v>
      </c>
      <c r="BQ74" s="17" t="n">
        <f aca="false">SQRT(($B74-BQ$16)^2+($C74-BQ$17)^2+($D74-BQ$18)^2)</f>
        <v>5.1464281438643</v>
      </c>
      <c r="BR74" s="17" t="n">
        <f aca="false">SQRT(($B74-BR$16)^2+($C74-BR$17)^2+($D74-BR$18)^2)</f>
        <v>0.841094325667564</v>
      </c>
      <c r="BS74" s="17" t="n">
        <f aca="false">SQRT(($B74-BS$16)^2+($C74-BS$17)^2+($D74-BS$18)^2)</f>
        <v>1.67491556802013</v>
      </c>
      <c r="BT74" s="63" t="n">
        <f aca="false">MATCH(MIN(BQ74:BS74),BQ74:BS74,0)</f>
        <v>2</v>
      </c>
      <c r="BV74" s="17" t="n">
        <f aca="false">SQRT(($B74-BV$16)^2+($C74-BV$17)^2+($D74-BV$18)^2)</f>
        <v>5.1464281438643</v>
      </c>
      <c r="BW74" s="17" t="n">
        <f aca="false">SQRT(($B74-BW$16)^2+($C74-BW$17)^2+($D74-BW$18)^2)</f>
        <v>0.841094325667564</v>
      </c>
      <c r="BX74" s="17" t="n">
        <f aca="false">SQRT(($B74-BX$16)^2+($C74-BX$17)^2+($D74-BX$18)^2)</f>
        <v>1.67491556802013</v>
      </c>
      <c r="BY74" s="63" t="n">
        <f aca="false">MATCH(MIN(BV74:BX74),BV74:BX74,0)</f>
        <v>2</v>
      </c>
      <c r="CA74" s="17" t="n">
        <f aca="false">SQRT(($B74-CA$16)^2+($C74-CA$17)^2+($D74-CA$18)^2)</f>
        <v>5.1464281438643</v>
      </c>
      <c r="CB74" s="17" t="n">
        <f aca="false">SQRT(($B74-CB$16)^2+($C74-CB$17)^2+($D74-CB$18)^2)</f>
        <v>0.841094325667564</v>
      </c>
      <c r="CC74" s="17" t="n">
        <f aca="false">SQRT(($B74-CC$16)^2+($C74-CC$17)^2+($D74-CC$18)^2)</f>
        <v>1.67491556802013</v>
      </c>
      <c r="CD74" s="63" t="n">
        <f aca="false">MATCH(MIN(CA74:CC74),CA74:CC74,0)</f>
        <v>2</v>
      </c>
    </row>
    <row r="75" customFormat="false" ht="15" hidden="false" customHeight="false" outlineLevel="0" collapsed="false">
      <c r="A75" s="36" t="str">
        <f aca="false">KMeans_Data!A57</f>
        <v>Vehari</v>
      </c>
      <c r="B75" s="17" t="n">
        <f aca="false">KMeans_Data!H57</f>
        <v>0.153317518957985</v>
      </c>
      <c r="C75" s="17" t="n">
        <f aca="false">KMeans_Data!I57</f>
        <v>-0.672650545388274</v>
      </c>
      <c r="D75" s="17" t="n">
        <f aca="false">KMeans_Data!J57</f>
        <v>-0.2439270481224</v>
      </c>
      <c r="E75" s="63" t="n">
        <f aca="false">CD75</f>
        <v>2</v>
      </c>
      <c r="F75" s="38" t="n">
        <f aca="false">($B75-INDEX($L$16:$N$16,E75))^2+($C75-INDEX($L$17:$N$17,E75))^2+($D75-INDEX($L$18:$N$18,E75))^2</f>
        <v>0.875875481954105</v>
      </c>
      <c r="G75" s="12" t="str">
        <f aca="false">INDEX($M$5:$M$7,E75)</f>
        <v>Low burden</v>
      </c>
      <c r="H75" s="17" t="n">
        <f aca="false">IF(COUNTIF(Distance_Matrix!$E$9:$DQ$9,$E75)&lt;=1,0,SUMIF(Distance_Matrix!$E$9:$DQ$9,$E75,Distance_Matrix!$E$66:$DQ$66)/(COUNTIF(Distance_Matrix!$E$9:$DQ$9,$E75)-1))</f>
        <v>1.13754384119472</v>
      </c>
      <c r="I75" s="17" t="n">
        <f aca="false">MIN(IF(1=$E75,1E+099,IF(COUNTIF(Distance_Matrix!$E$9:$DQ$9,1)=0,1E+099,SUMIF(Distance_Matrix!$E$9:$DQ$9,1,Distance_Matrix!$E$66:$DQ$66)/COUNTIF(Distance_Matrix!$E$9:$DQ$9,1))),IF(2=$E75,1E+099,IF(COUNTIF(Distance_Matrix!$E$9:$DQ$9,2)=0,1E+099,SUMIF(Distance_Matrix!$E$9:$DQ$9,2,Distance_Matrix!$E$66:$DQ$66)/COUNTIF(Distance_Matrix!$E$9:$DQ$9,2))),IF(3=$E75,1E+099,IF(COUNTIF(Distance_Matrix!$E$9:$DQ$9,3)=0,1E+099,SUMIF(Distance_Matrix!$E$9:$DQ$9,3,Distance_Matrix!$E$66:$DQ$66)/COUNTIF(Distance_Matrix!$E$9:$DQ$9,3))))</f>
        <v>1.66481412450064</v>
      </c>
      <c r="J75" s="17" t="n">
        <f aca="false">IF(COUNTIF(Distance_Matrix!$E$9:$DQ$9,$E75)&lt;=1,0,(I75-H75)/MAX(H75,I75))</f>
        <v>0.316714205836084</v>
      </c>
      <c r="X75" s="17" t="n">
        <f aca="false">SQRT(($B75-X$16)^2+($C75-X$17)^2+($D75-X$18)^2)</f>
        <v>6.6457002194291</v>
      </c>
      <c r="Y75" s="17" t="n">
        <f aca="false">SQRT(($B75-Y$16)^2+($C75-Y$17)^2+($D75-Y$18)^2)</f>
        <v>2.40824220970061</v>
      </c>
      <c r="Z75" s="17" t="n">
        <f aca="false">SQRT(($B75-Z$16)^2+($C75-Z$17)^2+($D75-Z$18)^2)</f>
        <v>2.19675402888218</v>
      </c>
      <c r="AA75" s="63" t="n">
        <f aca="false">MATCH(MIN(X75:Z75),X75:Z75,0)</f>
        <v>3</v>
      </c>
      <c r="AC75" s="17" t="n">
        <f aca="false">SQRT(($B75-AC$16)^2+($C75-AC$17)^2+($D75-AC$18)^2)</f>
        <v>5.65894380929124</v>
      </c>
      <c r="AD75" s="17" t="n">
        <f aca="false">SQRT(($B75-AD$16)^2+($C75-AD$17)^2+($D75-AD$18)^2)</f>
        <v>1.08734662052939</v>
      </c>
      <c r="AE75" s="17" t="n">
        <f aca="false">SQRT(($B75-AE$16)^2+($C75-AE$17)^2+($D75-AE$18)^2)</f>
        <v>1.36594229896953</v>
      </c>
      <c r="AF75" s="63" t="n">
        <f aca="false">MATCH(MIN(AC75:AE75),AC75:AE75,0)</f>
        <v>2</v>
      </c>
      <c r="AH75" s="17" t="n">
        <f aca="false">SQRT(($B75-AH$16)^2+($C75-AH$17)^2+($D75-AH$18)^2)</f>
        <v>5.02256979476676</v>
      </c>
      <c r="AI75" s="17" t="n">
        <f aca="false">SQRT(($B75-AI$16)^2+($C75-AI$17)^2+($D75-AI$18)^2)</f>
        <v>0.946295476121436</v>
      </c>
      <c r="AJ75" s="17" t="n">
        <f aca="false">SQRT(($B75-AJ$16)^2+($C75-AJ$17)^2+($D75-AJ$18)^2)</f>
        <v>1.48220058583255</v>
      </c>
      <c r="AK75" s="63" t="n">
        <f aca="false">MATCH(MIN(AH75:AJ75),AH75:AJ75,0)</f>
        <v>2</v>
      </c>
      <c r="AM75" s="17" t="n">
        <f aca="false">SQRT(($B75-AM$16)^2+($C75-AM$17)^2+($D75-AM$18)^2)</f>
        <v>5.02256979476676</v>
      </c>
      <c r="AN75" s="17" t="n">
        <f aca="false">SQRT(($B75-AN$16)^2+($C75-AN$17)^2+($D75-AN$18)^2)</f>
        <v>0.935882194485025</v>
      </c>
      <c r="AO75" s="17" t="n">
        <f aca="false">SQRT(($B75-AO$16)^2+($C75-AO$17)^2+($D75-AO$18)^2)</f>
        <v>1.50280652753374</v>
      </c>
      <c r="AP75" s="63" t="n">
        <f aca="false">MATCH(MIN(AM75:AO75),AM75:AO75,0)</f>
        <v>2</v>
      </c>
      <c r="AR75" s="17" t="n">
        <f aca="false">SQRT(($B75-AR$16)^2+($C75-AR$17)^2+($D75-AR$18)^2)</f>
        <v>5.02256979476676</v>
      </c>
      <c r="AS75" s="17" t="n">
        <f aca="false">SQRT(($B75-AS$16)^2+($C75-AS$17)^2+($D75-AS$18)^2)</f>
        <v>0.935882194485025</v>
      </c>
      <c r="AT75" s="17" t="n">
        <f aca="false">SQRT(($B75-AT$16)^2+($C75-AT$17)^2+($D75-AT$18)^2)</f>
        <v>1.50280652753374</v>
      </c>
      <c r="AU75" s="63" t="n">
        <f aca="false">MATCH(MIN(AR75:AT75),AR75:AT75,0)</f>
        <v>2</v>
      </c>
      <c r="AW75" s="17" t="n">
        <f aca="false">SQRT(($B75-AW$16)^2+($C75-AW$17)^2+($D75-AW$18)^2)</f>
        <v>5.02256979476676</v>
      </c>
      <c r="AX75" s="17" t="n">
        <f aca="false">SQRT(($B75-AX$16)^2+($C75-AX$17)^2+($D75-AX$18)^2)</f>
        <v>0.935882194485025</v>
      </c>
      <c r="AY75" s="17" t="n">
        <f aca="false">SQRT(($B75-AY$16)^2+($C75-AY$17)^2+($D75-AY$18)^2)</f>
        <v>1.50280652753374</v>
      </c>
      <c r="AZ75" s="63" t="n">
        <f aca="false">MATCH(MIN(AW75:AY75),AW75:AY75,0)</f>
        <v>2</v>
      </c>
      <c r="BB75" s="17" t="n">
        <f aca="false">SQRT(($B75-BB$16)^2+($C75-BB$17)^2+($D75-BB$18)^2)</f>
        <v>5.02256979476676</v>
      </c>
      <c r="BC75" s="17" t="n">
        <f aca="false">SQRT(($B75-BC$16)^2+($C75-BC$17)^2+($D75-BC$18)^2)</f>
        <v>0.935882194485025</v>
      </c>
      <c r="BD75" s="17" t="n">
        <f aca="false">SQRT(($B75-BD$16)^2+($C75-BD$17)^2+($D75-BD$18)^2)</f>
        <v>1.50280652753374</v>
      </c>
      <c r="BE75" s="63" t="n">
        <f aca="false">MATCH(MIN(BB75:BD75),BB75:BD75,0)</f>
        <v>2</v>
      </c>
      <c r="BG75" s="17" t="n">
        <f aca="false">SQRT(($B75-BG$16)^2+($C75-BG$17)^2+($D75-BG$18)^2)</f>
        <v>5.02256979476676</v>
      </c>
      <c r="BH75" s="17" t="n">
        <f aca="false">SQRT(($B75-BH$16)^2+($C75-BH$17)^2+($D75-BH$18)^2)</f>
        <v>0.935882194485025</v>
      </c>
      <c r="BI75" s="17" t="n">
        <f aca="false">SQRT(($B75-BI$16)^2+($C75-BI$17)^2+($D75-BI$18)^2)</f>
        <v>1.50280652753374</v>
      </c>
      <c r="BJ75" s="63" t="n">
        <f aca="false">MATCH(MIN(BG75:BI75),BG75:BI75,0)</f>
        <v>2</v>
      </c>
      <c r="BL75" s="17" t="n">
        <f aca="false">SQRT(($B75-BL$16)^2+($C75-BL$17)^2+($D75-BL$18)^2)</f>
        <v>5.02256979476676</v>
      </c>
      <c r="BM75" s="17" t="n">
        <f aca="false">SQRT(($B75-BM$16)^2+($C75-BM$17)^2+($D75-BM$18)^2)</f>
        <v>0.935882194485025</v>
      </c>
      <c r="BN75" s="17" t="n">
        <f aca="false">SQRT(($B75-BN$16)^2+($C75-BN$17)^2+($D75-BN$18)^2)</f>
        <v>1.50280652753374</v>
      </c>
      <c r="BO75" s="63" t="n">
        <f aca="false">MATCH(MIN(BL75:BN75),BL75:BN75,0)</f>
        <v>2</v>
      </c>
      <c r="BQ75" s="17" t="n">
        <f aca="false">SQRT(($B75-BQ$16)^2+($C75-BQ$17)^2+($D75-BQ$18)^2)</f>
        <v>5.02256979476676</v>
      </c>
      <c r="BR75" s="17" t="n">
        <f aca="false">SQRT(($B75-BR$16)^2+($C75-BR$17)^2+($D75-BR$18)^2)</f>
        <v>0.935882194485025</v>
      </c>
      <c r="BS75" s="17" t="n">
        <f aca="false">SQRT(($B75-BS$16)^2+($C75-BS$17)^2+($D75-BS$18)^2)</f>
        <v>1.50280652753374</v>
      </c>
      <c r="BT75" s="63" t="n">
        <f aca="false">MATCH(MIN(BQ75:BS75),BQ75:BS75,0)</f>
        <v>2</v>
      </c>
      <c r="BV75" s="17" t="n">
        <f aca="false">SQRT(($B75-BV$16)^2+($C75-BV$17)^2+($D75-BV$18)^2)</f>
        <v>5.02256979476676</v>
      </c>
      <c r="BW75" s="17" t="n">
        <f aca="false">SQRT(($B75-BW$16)^2+($C75-BW$17)^2+($D75-BW$18)^2)</f>
        <v>0.935882194485025</v>
      </c>
      <c r="BX75" s="17" t="n">
        <f aca="false">SQRT(($B75-BX$16)^2+($C75-BX$17)^2+($D75-BX$18)^2)</f>
        <v>1.50280652753374</v>
      </c>
      <c r="BY75" s="63" t="n">
        <f aca="false">MATCH(MIN(BV75:BX75),BV75:BX75,0)</f>
        <v>2</v>
      </c>
      <c r="CA75" s="17" t="n">
        <f aca="false">SQRT(($B75-CA$16)^2+($C75-CA$17)^2+($D75-CA$18)^2)</f>
        <v>5.02256979476676</v>
      </c>
      <c r="CB75" s="17" t="n">
        <f aca="false">SQRT(($B75-CB$16)^2+($C75-CB$17)^2+($D75-CB$18)^2)</f>
        <v>0.935882194485025</v>
      </c>
      <c r="CC75" s="17" t="n">
        <f aca="false">SQRT(($B75-CC$16)^2+($C75-CC$17)^2+($D75-CC$18)^2)</f>
        <v>1.50280652753374</v>
      </c>
      <c r="CD75" s="63" t="n">
        <f aca="false">MATCH(MIN(CA75:CC75),CA75:CC75,0)</f>
        <v>2</v>
      </c>
    </row>
    <row r="76" customFormat="false" ht="15" hidden="false" customHeight="false" outlineLevel="0" collapsed="false">
      <c r="A76" s="36" t="str">
        <f aca="false">KMeans_Data!A58</f>
        <v>Astore</v>
      </c>
      <c r="B76" s="17" t="n">
        <f aca="false">KMeans_Data!H58</f>
        <v>0.131476411515176</v>
      </c>
      <c r="C76" s="17" t="n">
        <f aca="false">KMeans_Data!I58</f>
        <v>1.38107452085777</v>
      </c>
      <c r="D76" s="17" t="n">
        <f aca="false">KMeans_Data!J58</f>
        <v>0.774246840861612</v>
      </c>
      <c r="E76" s="63" t="n">
        <f aca="false">CD76</f>
        <v>3</v>
      </c>
      <c r="F76" s="38" t="n">
        <f aca="false">($B76-INDEX($L$16:$N$16,E76))^2+($C76-INDEX($L$17:$N$17,E76))^2+($D76-INDEX($L$18:$N$18,E76))^2</f>
        <v>1.05673232075916</v>
      </c>
      <c r="G76" s="12" t="str">
        <f aca="false">INDEX($M$5:$M$7,E76)</f>
        <v>Medium burden</v>
      </c>
      <c r="H76" s="17" t="n">
        <f aca="false">IF(COUNTIF(Distance_Matrix!$E$9:$DQ$9,$E76)&lt;=1,0,SUMIF(Distance_Matrix!$E$9:$DQ$9,$E76,Distance_Matrix!$E$67:$DQ$67)/(COUNTIF(Distance_Matrix!$E$9:$DQ$9,$E76)-1))</f>
        <v>1.32390535513018</v>
      </c>
      <c r="I76" s="17" t="n">
        <f aca="false">MIN(IF(1=$E76,1E+099,IF(COUNTIF(Distance_Matrix!$E$9:$DQ$9,1)=0,1E+099,SUMIF(Distance_Matrix!$E$9:$DQ$9,1,Distance_Matrix!$E$67:$DQ$67)/COUNTIF(Distance_Matrix!$E$9:$DQ$9,1))),IF(2=$E76,1E+099,IF(COUNTIF(Distance_Matrix!$E$9:$DQ$9,2)=0,1E+099,SUMIF(Distance_Matrix!$E$9:$DQ$9,2,Distance_Matrix!$E$67:$DQ$67)/COUNTIF(Distance_Matrix!$E$9:$DQ$9,2))),IF(3=$E76,1E+099,IF(COUNTIF(Distance_Matrix!$E$9:$DQ$9,3)=0,1E+099,SUMIF(Distance_Matrix!$E$9:$DQ$9,3,Distance_Matrix!$E$67:$DQ$67)/COUNTIF(Distance_Matrix!$E$9:$DQ$9,3))))</f>
        <v>2.72265322668558</v>
      </c>
      <c r="J76" s="17" t="n">
        <f aca="false">IF(COUNTIF(Distance_Matrix!$E$9:$DQ$9,$E76)&lt;=1,0,(I76-H76)/MAX(H76,I76))</f>
        <v>0.513744408522478</v>
      </c>
      <c r="X76" s="17" t="n">
        <f aca="false">SQRT(($B76-X$16)^2+($C76-X$17)^2+($D76-X$18)^2)</f>
        <v>4.80457793575169</v>
      </c>
      <c r="Y76" s="17" t="n">
        <f aca="false">SQRT(($B76-Y$16)^2+($C76-Y$17)^2+($D76-Y$18)^2)</f>
        <v>3.57676348511696</v>
      </c>
      <c r="Z76" s="17" t="n">
        <f aca="false">SQRT(($B76-Z$16)^2+($C76-Z$17)^2+($D76-Z$18)^2)</f>
        <v>1.51987007841697</v>
      </c>
      <c r="AA76" s="63" t="n">
        <f aca="false">MATCH(MIN(X76:Z76),X76:Z76,0)</f>
        <v>3</v>
      </c>
      <c r="AC76" s="17" t="n">
        <f aca="false">SQRT(($B76-AC$16)^2+($C76-AC$17)^2+($D76-AC$18)^2)</f>
        <v>3.82659181644329</v>
      </c>
      <c r="AD76" s="17" t="n">
        <f aca="false">SQRT(($B76-AD$16)^2+($C76-AD$17)^2+($D76-AD$18)^2)</f>
        <v>2.73191742231528</v>
      </c>
      <c r="AE76" s="17" t="n">
        <f aca="false">SQRT(($B76-AE$16)^2+($C76-AE$17)^2+($D76-AE$18)^2)</f>
        <v>1.11309840339144</v>
      </c>
      <c r="AF76" s="63" t="n">
        <f aca="false">MATCH(MIN(AC76:AE76),AC76:AE76,0)</f>
        <v>3</v>
      </c>
      <c r="AH76" s="17" t="n">
        <f aca="false">SQRT(($B76-AH$16)^2+($C76-AH$17)^2+($D76-AH$18)^2)</f>
        <v>3.21270309637666</v>
      </c>
      <c r="AI76" s="17" t="n">
        <f aca="false">SQRT(($B76-AI$16)^2+($C76-AI$17)^2+($D76-AI$18)^2)</f>
        <v>2.64273040675509</v>
      </c>
      <c r="AJ76" s="17" t="n">
        <f aca="false">SQRT(($B76-AJ$16)^2+($C76-AJ$17)^2+($D76-AJ$18)^2)</f>
        <v>1.03271976284854</v>
      </c>
      <c r="AK76" s="63" t="n">
        <f aca="false">MATCH(MIN(AH76:AJ76),AH76:AJ76,0)</f>
        <v>3</v>
      </c>
      <c r="AM76" s="17" t="n">
        <f aca="false">SQRT(($B76-AM$16)^2+($C76-AM$17)^2+($D76-AM$18)^2)</f>
        <v>3.21270309637666</v>
      </c>
      <c r="AN76" s="17" t="n">
        <f aca="false">SQRT(($B76-AN$16)^2+($C76-AN$17)^2+($D76-AN$18)^2)</f>
        <v>2.62757519126382</v>
      </c>
      <c r="AO76" s="17" t="n">
        <f aca="false">SQRT(($B76-AO$16)^2+($C76-AO$17)^2+($D76-AO$18)^2)</f>
        <v>1.02797486387516</v>
      </c>
      <c r="AP76" s="63" t="n">
        <f aca="false">MATCH(MIN(AM76:AO76),AM76:AO76,0)</f>
        <v>3</v>
      </c>
      <c r="AR76" s="17" t="n">
        <f aca="false">SQRT(($B76-AR$16)^2+($C76-AR$17)^2+($D76-AR$18)^2)</f>
        <v>3.21270309637666</v>
      </c>
      <c r="AS76" s="17" t="n">
        <f aca="false">SQRT(($B76-AS$16)^2+($C76-AS$17)^2+($D76-AS$18)^2)</f>
        <v>2.62757519126382</v>
      </c>
      <c r="AT76" s="17" t="n">
        <f aca="false">SQRT(($B76-AT$16)^2+($C76-AT$17)^2+($D76-AT$18)^2)</f>
        <v>1.02797486387516</v>
      </c>
      <c r="AU76" s="63" t="n">
        <f aca="false">MATCH(MIN(AR76:AT76),AR76:AT76,0)</f>
        <v>3</v>
      </c>
      <c r="AW76" s="17" t="n">
        <f aca="false">SQRT(($B76-AW$16)^2+($C76-AW$17)^2+($D76-AW$18)^2)</f>
        <v>3.21270309637666</v>
      </c>
      <c r="AX76" s="17" t="n">
        <f aca="false">SQRT(($B76-AX$16)^2+($C76-AX$17)^2+($D76-AX$18)^2)</f>
        <v>2.62757519126382</v>
      </c>
      <c r="AY76" s="17" t="n">
        <f aca="false">SQRT(($B76-AY$16)^2+($C76-AY$17)^2+($D76-AY$18)^2)</f>
        <v>1.02797486387516</v>
      </c>
      <c r="AZ76" s="63" t="n">
        <f aca="false">MATCH(MIN(AW76:AY76),AW76:AY76,0)</f>
        <v>3</v>
      </c>
      <c r="BB76" s="17" t="n">
        <f aca="false">SQRT(($B76-BB$16)^2+($C76-BB$17)^2+($D76-BB$18)^2)</f>
        <v>3.21270309637666</v>
      </c>
      <c r="BC76" s="17" t="n">
        <f aca="false">SQRT(($B76-BC$16)^2+($C76-BC$17)^2+($D76-BC$18)^2)</f>
        <v>2.62757519126382</v>
      </c>
      <c r="BD76" s="17" t="n">
        <f aca="false">SQRT(($B76-BD$16)^2+($C76-BD$17)^2+($D76-BD$18)^2)</f>
        <v>1.02797486387516</v>
      </c>
      <c r="BE76" s="63" t="n">
        <f aca="false">MATCH(MIN(BB76:BD76),BB76:BD76,0)</f>
        <v>3</v>
      </c>
      <c r="BG76" s="17" t="n">
        <f aca="false">SQRT(($B76-BG$16)^2+($C76-BG$17)^2+($D76-BG$18)^2)</f>
        <v>3.21270309637666</v>
      </c>
      <c r="BH76" s="17" t="n">
        <f aca="false">SQRT(($B76-BH$16)^2+($C76-BH$17)^2+($D76-BH$18)^2)</f>
        <v>2.62757519126382</v>
      </c>
      <c r="BI76" s="17" t="n">
        <f aca="false">SQRT(($B76-BI$16)^2+($C76-BI$17)^2+($D76-BI$18)^2)</f>
        <v>1.02797486387516</v>
      </c>
      <c r="BJ76" s="63" t="n">
        <f aca="false">MATCH(MIN(BG76:BI76),BG76:BI76,0)</f>
        <v>3</v>
      </c>
      <c r="BL76" s="17" t="n">
        <f aca="false">SQRT(($B76-BL$16)^2+($C76-BL$17)^2+($D76-BL$18)^2)</f>
        <v>3.21270309637666</v>
      </c>
      <c r="BM76" s="17" t="n">
        <f aca="false">SQRT(($B76-BM$16)^2+($C76-BM$17)^2+($D76-BM$18)^2)</f>
        <v>2.62757519126382</v>
      </c>
      <c r="BN76" s="17" t="n">
        <f aca="false">SQRT(($B76-BN$16)^2+($C76-BN$17)^2+($D76-BN$18)^2)</f>
        <v>1.02797486387516</v>
      </c>
      <c r="BO76" s="63" t="n">
        <f aca="false">MATCH(MIN(BL76:BN76),BL76:BN76,0)</f>
        <v>3</v>
      </c>
      <c r="BQ76" s="17" t="n">
        <f aca="false">SQRT(($B76-BQ$16)^2+($C76-BQ$17)^2+($D76-BQ$18)^2)</f>
        <v>3.21270309637666</v>
      </c>
      <c r="BR76" s="17" t="n">
        <f aca="false">SQRT(($B76-BR$16)^2+($C76-BR$17)^2+($D76-BR$18)^2)</f>
        <v>2.62757519126382</v>
      </c>
      <c r="BS76" s="17" t="n">
        <f aca="false">SQRT(($B76-BS$16)^2+($C76-BS$17)^2+($D76-BS$18)^2)</f>
        <v>1.02797486387516</v>
      </c>
      <c r="BT76" s="63" t="n">
        <f aca="false">MATCH(MIN(BQ76:BS76),BQ76:BS76,0)</f>
        <v>3</v>
      </c>
      <c r="BV76" s="17" t="n">
        <f aca="false">SQRT(($B76-BV$16)^2+($C76-BV$17)^2+($D76-BV$18)^2)</f>
        <v>3.21270309637666</v>
      </c>
      <c r="BW76" s="17" t="n">
        <f aca="false">SQRT(($B76-BW$16)^2+($C76-BW$17)^2+($D76-BW$18)^2)</f>
        <v>2.62757519126382</v>
      </c>
      <c r="BX76" s="17" t="n">
        <f aca="false">SQRT(($B76-BX$16)^2+($C76-BX$17)^2+($D76-BX$18)^2)</f>
        <v>1.02797486387516</v>
      </c>
      <c r="BY76" s="63" t="n">
        <f aca="false">MATCH(MIN(BV76:BX76),BV76:BX76,0)</f>
        <v>3</v>
      </c>
      <c r="CA76" s="17" t="n">
        <f aca="false">SQRT(($B76-CA$16)^2+($C76-CA$17)^2+($D76-CA$18)^2)</f>
        <v>3.21270309637666</v>
      </c>
      <c r="CB76" s="17" t="n">
        <f aca="false">SQRT(($B76-CB$16)^2+($C76-CB$17)^2+($D76-CB$18)^2)</f>
        <v>2.62757519126382</v>
      </c>
      <c r="CC76" s="17" t="n">
        <f aca="false">SQRT(($B76-CC$16)^2+($C76-CC$17)^2+($D76-CC$18)^2)</f>
        <v>1.02797486387516</v>
      </c>
      <c r="CD76" s="63" t="n">
        <f aca="false">MATCH(MIN(CA76:CC76),CA76:CC76,0)</f>
        <v>3</v>
      </c>
    </row>
    <row r="77" customFormat="false" ht="15" hidden="false" customHeight="false" outlineLevel="0" collapsed="false">
      <c r="A77" s="36" t="str">
        <f aca="false">KMeans_Data!A59</f>
        <v>Sanghar</v>
      </c>
      <c r="B77" s="17" t="n">
        <f aca="false">KMeans_Data!H59</f>
        <v>0.100851695433816</v>
      </c>
      <c r="C77" s="17" t="n">
        <f aca="false">KMeans_Data!I59</f>
        <v>-0.146983133929529</v>
      </c>
      <c r="D77" s="17" t="n">
        <f aca="false">KMeans_Data!J59</f>
        <v>0.618328666074444</v>
      </c>
      <c r="E77" s="63" t="n">
        <f aca="false">CD77</f>
        <v>3</v>
      </c>
      <c r="F77" s="38" t="n">
        <f aca="false">($B77-INDEX($L$16:$N$16,E77))^2+($C77-INDEX($L$17:$N$17,E77))^2+($D77-INDEX($L$18:$N$18,E77))^2</f>
        <v>0.52658148462631</v>
      </c>
      <c r="G77" s="12" t="str">
        <f aca="false">INDEX($M$5:$M$7,E77)</f>
        <v>Medium burden</v>
      </c>
      <c r="H77" s="17" t="n">
        <f aca="false">IF(COUNTIF(Distance_Matrix!$E$9:$DQ$9,$E77)&lt;=1,0,SUMIF(Distance_Matrix!$E$9:$DQ$9,$E77,Distance_Matrix!$E$68:$DQ$68)/(COUNTIF(Distance_Matrix!$E$9:$DQ$9,$E77)-1))</f>
        <v>1.07697529105738</v>
      </c>
      <c r="I77" s="17" t="n">
        <f aca="false">MIN(IF(1=$E77,1E+099,IF(COUNTIF(Distance_Matrix!$E$9:$DQ$9,1)=0,1E+099,SUMIF(Distance_Matrix!$E$9:$DQ$9,1,Distance_Matrix!$E$68:$DQ$68)/COUNTIF(Distance_Matrix!$E$9:$DQ$9,1))),IF(2=$E77,1E+099,IF(COUNTIF(Distance_Matrix!$E$9:$DQ$9,2)=0,1E+099,SUMIF(Distance_Matrix!$E$9:$DQ$9,2,Distance_Matrix!$E$68:$DQ$68)/COUNTIF(Distance_Matrix!$E$9:$DQ$9,2))),IF(3=$E77,1E+099,IF(COUNTIF(Distance_Matrix!$E$9:$DQ$9,3)=0,1E+099,SUMIF(Distance_Matrix!$E$9:$DQ$9,3,Distance_Matrix!$E$68:$DQ$68)/COUNTIF(Distance_Matrix!$E$9:$DQ$9,3))))</f>
        <v>1.728954205818</v>
      </c>
      <c r="J77" s="17" t="n">
        <f aca="false">IF(COUNTIF(Distance_Matrix!$E$9:$DQ$9,$E77)&lt;=1,0,(I77-H77)/MAX(H77,I77))</f>
        <v>0.377094380271431</v>
      </c>
      <c r="X77" s="17" t="n">
        <f aca="false">SQRT(($B77-X$16)^2+($C77-X$17)^2+($D77-X$18)^2)</f>
        <v>5.87639549417765</v>
      </c>
      <c r="Y77" s="17" t="n">
        <f aca="false">SQRT(($B77-Y$16)^2+($C77-Y$17)^2+($D77-Y$18)^2)</f>
        <v>2.85357627285817</v>
      </c>
      <c r="Z77" s="17" t="n">
        <f aca="false">SQRT(($B77-Z$16)^2+($C77-Z$17)^2+($D77-Z$18)^2)</f>
        <v>1.37089904037788</v>
      </c>
      <c r="AA77" s="63" t="n">
        <f aca="false">MATCH(MIN(X77:Z77),X77:Z77,0)</f>
        <v>3</v>
      </c>
      <c r="AC77" s="17" t="n">
        <f aca="false">SQRT(($B77-AC$16)^2+($C77-AC$17)^2+($D77-AC$18)^2)</f>
        <v>4.92097330813365</v>
      </c>
      <c r="AD77" s="17" t="n">
        <f aca="false">SQRT(($B77-AD$16)^2+($C77-AD$17)^2+($D77-AD$18)^2)</f>
        <v>1.75567512289925</v>
      </c>
      <c r="AE77" s="17" t="n">
        <f aca="false">SQRT(($B77-AE$16)^2+($C77-AE$17)^2+($D77-AE$18)^2)</f>
        <v>0.644530311741533</v>
      </c>
      <c r="AF77" s="63" t="n">
        <f aca="false">MATCH(MIN(AC77:AE77),AC77:AE77,0)</f>
        <v>3</v>
      </c>
      <c r="AH77" s="17" t="n">
        <f aca="false">SQRT(($B77-AH$16)^2+($C77-AH$17)^2+($D77-AH$18)^2)</f>
        <v>4.28828381902523</v>
      </c>
      <c r="AI77" s="17" t="n">
        <f aca="false">SQRT(($B77-AI$16)^2+($C77-AI$17)^2+($D77-AI$18)^2)</f>
        <v>1.63489741436324</v>
      </c>
      <c r="AJ77" s="17" t="n">
        <f aca="false">SQRT(($B77-AJ$16)^2+($C77-AJ$17)^2+($D77-AJ$18)^2)</f>
        <v>0.703796900919921</v>
      </c>
      <c r="AK77" s="63" t="n">
        <f aca="false">MATCH(MIN(AH77:AJ77),AH77:AJ77,0)</f>
        <v>3</v>
      </c>
      <c r="AM77" s="17" t="n">
        <f aca="false">SQRT(($B77-AM$16)^2+($C77-AM$17)^2+($D77-AM$18)^2)</f>
        <v>4.28828381902523</v>
      </c>
      <c r="AN77" s="17" t="n">
        <f aca="false">SQRT(($B77-AN$16)^2+($C77-AN$17)^2+($D77-AN$18)^2)</f>
        <v>1.61898763288856</v>
      </c>
      <c r="AO77" s="17" t="n">
        <f aca="false">SQRT(($B77-AO$16)^2+($C77-AO$17)^2+($D77-AO$18)^2)</f>
        <v>0.725659344752281</v>
      </c>
      <c r="AP77" s="63" t="n">
        <f aca="false">MATCH(MIN(AM77:AO77),AM77:AO77,0)</f>
        <v>3</v>
      </c>
      <c r="AR77" s="17" t="n">
        <f aca="false">SQRT(($B77-AR$16)^2+($C77-AR$17)^2+($D77-AR$18)^2)</f>
        <v>4.28828381902523</v>
      </c>
      <c r="AS77" s="17" t="n">
        <f aca="false">SQRT(($B77-AS$16)^2+($C77-AS$17)^2+($D77-AS$18)^2)</f>
        <v>1.61898763288856</v>
      </c>
      <c r="AT77" s="17" t="n">
        <f aca="false">SQRT(($B77-AT$16)^2+($C77-AT$17)^2+($D77-AT$18)^2)</f>
        <v>0.725659344752281</v>
      </c>
      <c r="AU77" s="63" t="n">
        <f aca="false">MATCH(MIN(AR77:AT77),AR77:AT77,0)</f>
        <v>3</v>
      </c>
      <c r="AW77" s="17" t="n">
        <f aca="false">SQRT(($B77-AW$16)^2+($C77-AW$17)^2+($D77-AW$18)^2)</f>
        <v>4.28828381902523</v>
      </c>
      <c r="AX77" s="17" t="n">
        <f aca="false">SQRT(($B77-AX$16)^2+($C77-AX$17)^2+($D77-AX$18)^2)</f>
        <v>1.61898763288856</v>
      </c>
      <c r="AY77" s="17" t="n">
        <f aca="false">SQRT(($B77-AY$16)^2+($C77-AY$17)^2+($D77-AY$18)^2)</f>
        <v>0.725659344752281</v>
      </c>
      <c r="AZ77" s="63" t="n">
        <f aca="false">MATCH(MIN(AW77:AY77),AW77:AY77,0)</f>
        <v>3</v>
      </c>
      <c r="BB77" s="17" t="n">
        <f aca="false">SQRT(($B77-BB$16)^2+($C77-BB$17)^2+($D77-BB$18)^2)</f>
        <v>4.28828381902523</v>
      </c>
      <c r="BC77" s="17" t="n">
        <f aca="false">SQRT(($B77-BC$16)^2+($C77-BC$17)^2+($D77-BC$18)^2)</f>
        <v>1.61898763288856</v>
      </c>
      <c r="BD77" s="17" t="n">
        <f aca="false">SQRT(($B77-BD$16)^2+($C77-BD$17)^2+($D77-BD$18)^2)</f>
        <v>0.725659344752281</v>
      </c>
      <c r="BE77" s="63" t="n">
        <f aca="false">MATCH(MIN(BB77:BD77),BB77:BD77,0)</f>
        <v>3</v>
      </c>
      <c r="BG77" s="17" t="n">
        <f aca="false">SQRT(($B77-BG$16)^2+($C77-BG$17)^2+($D77-BG$18)^2)</f>
        <v>4.28828381902523</v>
      </c>
      <c r="BH77" s="17" t="n">
        <f aca="false">SQRT(($B77-BH$16)^2+($C77-BH$17)^2+($D77-BH$18)^2)</f>
        <v>1.61898763288856</v>
      </c>
      <c r="BI77" s="17" t="n">
        <f aca="false">SQRT(($B77-BI$16)^2+($C77-BI$17)^2+($D77-BI$18)^2)</f>
        <v>0.725659344752281</v>
      </c>
      <c r="BJ77" s="63" t="n">
        <f aca="false">MATCH(MIN(BG77:BI77),BG77:BI77,0)</f>
        <v>3</v>
      </c>
      <c r="BL77" s="17" t="n">
        <f aca="false">SQRT(($B77-BL$16)^2+($C77-BL$17)^2+($D77-BL$18)^2)</f>
        <v>4.28828381902523</v>
      </c>
      <c r="BM77" s="17" t="n">
        <f aca="false">SQRT(($B77-BM$16)^2+($C77-BM$17)^2+($D77-BM$18)^2)</f>
        <v>1.61898763288856</v>
      </c>
      <c r="BN77" s="17" t="n">
        <f aca="false">SQRT(($B77-BN$16)^2+($C77-BN$17)^2+($D77-BN$18)^2)</f>
        <v>0.725659344752281</v>
      </c>
      <c r="BO77" s="63" t="n">
        <f aca="false">MATCH(MIN(BL77:BN77),BL77:BN77,0)</f>
        <v>3</v>
      </c>
      <c r="BQ77" s="17" t="n">
        <f aca="false">SQRT(($B77-BQ$16)^2+($C77-BQ$17)^2+($D77-BQ$18)^2)</f>
        <v>4.28828381902523</v>
      </c>
      <c r="BR77" s="17" t="n">
        <f aca="false">SQRT(($B77-BR$16)^2+($C77-BR$17)^2+($D77-BR$18)^2)</f>
        <v>1.61898763288856</v>
      </c>
      <c r="BS77" s="17" t="n">
        <f aca="false">SQRT(($B77-BS$16)^2+($C77-BS$17)^2+($D77-BS$18)^2)</f>
        <v>0.725659344752281</v>
      </c>
      <c r="BT77" s="63" t="n">
        <f aca="false">MATCH(MIN(BQ77:BS77),BQ77:BS77,0)</f>
        <v>3</v>
      </c>
      <c r="BV77" s="17" t="n">
        <f aca="false">SQRT(($B77-BV$16)^2+($C77-BV$17)^2+($D77-BV$18)^2)</f>
        <v>4.28828381902523</v>
      </c>
      <c r="BW77" s="17" t="n">
        <f aca="false">SQRT(($B77-BW$16)^2+($C77-BW$17)^2+($D77-BW$18)^2)</f>
        <v>1.61898763288856</v>
      </c>
      <c r="BX77" s="17" t="n">
        <f aca="false">SQRT(($B77-BX$16)^2+($C77-BX$17)^2+($D77-BX$18)^2)</f>
        <v>0.725659344752281</v>
      </c>
      <c r="BY77" s="63" t="n">
        <f aca="false">MATCH(MIN(BV77:BX77),BV77:BX77,0)</f>
        <v>3</v>
      </c>
      <c r="CA77" s="17" t="n">
        <f aca="false">SQRT(($B77-CA$16)^2+($C77-CA$17)^2+($D77-CA$18)^2)</f>
        <v>4.28828381902523</v>
      </c>
      <c r="CB77" s="17" t="n">
        <f aca="false">SQRT(($B77-CB$16)^2+($C77-CB$17)^2+($D77-CB$18)^2)</f>
        <v>1.61898763288856</v>
      </c>
      <c r="CC77" s="17" t="n">
        <f aca="false">SQRT(($B77-CC$16)^2+($C77-CC$17)^2+($D77-CC$18)^2)</f>
        <v>0.725659344752281</v>
      </c>
      <c r="CD77" s="63" t="n">
        <f aca="false">MATCH(MIN(CA77:CC77),CA77:CC77,0)</f>
        <v>3</v>
      </c>
    </row>
    <row r="78" customFormat="false" ht="15" hidden="false" customHeight="false" outlineLevel="0" collapsed="false">
      <c r="A78" s="36" t="str">
        <f aca="false">KMeans_Data!A60</f>
        <v>Bhakkar</v>
      </c>
      <c r="B78" s="17" t="n">
        <f aca="false">KMeans_Data!H60</f>
        <v>0.0848359697065613</v>
      </c>
      <c r="C78" s="17" t="n">
        <f aca="false">KMeans_Data!I60</f>
        <v>-0.672650545388274</v>
      </c>
      <c r="D78" s="17" t="n">
        <f aca="false">KMeans_Data!J60</f>
        <v>-1.14564411633355</v>
      </c>
      <c r="E78" s="63" t="n">
        <f aca="false">CD78</f>
        <v>2</v>
      </c>
      <c r="F78" s="38" t="n">
        <f aca="false">($B78-INDEX($L$16:$N$16,E78))^2+($C78-INDEX($L$17:$N$17,E78))^2+($D78-INDEX($L$18:$N$18,E78))^2</f>
        <v>0.6877287428575</v>
      </c>
      <c r="G78" s="12" t="str">
        <f aca="false">INDEX($M$5:$M$7,E78)</f>
        <v>Low burden</v>
      </c>
      <c r="H78" s="17" t="n">
        <f aca="false">IF(COUNTIF(Distance_Matrix!$E$9:$DQ$9,$E78)&lt;=1,0,SUMIF(Distance_Matrix!$E$9:$DQ$9,$E78,Distance_Matrix!$E$69:$DQ$69)/(COUNTIF(Distance_Matrix!$E$9:$DQ$9,$E78)-1))</f>
        <v>1.06737667762516</v>
      </c>
      <c r="I78" s="17" t="n">
        <f aca="false">MIN(IF(1=$E78,1E+099,IF(COUNTIF(Distance_Matrix!$E$9:$DQ$9,1)=0,1E+099,SUMIF(Distance_Matrix!$E$9:$DQ$9,1,Distance_Matrix!$E$69:$DQ$69)/COUNTIF(Distance_Matrix!$E$9:$DQ$9,1))),IF(2=$E78,1E+099,IF(COUNTIF(Distance_Matrix!$E$9:$DQ$9,2)=0,1E+099,SUMIF(Distance_Matrix!$E$9:$DQ$9,2,Distance_Matrix!$E$69:$DQ$69)/COUNTIF(Distance_Matrix!$E$9:$DQ$9,2))),IF(3=$E78,1E+099,IF(COUNTIF(Distance_Matrix!$E$9:$DQ$9,3)=0,1E+099,SUMIF(Distance_Matrix!$E$9:$DQ$9,3,Distance_Matrix!$E$69:$DQ$69)/COUNTIF(Distance_Matrix!$E$9:$DQ$9,3))))</f>
        <v>2.31639333501496</v>
      </c>
      <c r="J78" s="17" t="n">
        <f aca="false">IF(COUNTIF(Distance_Matrix!$E$9:$DQ$9,$E78)&lt;=1,0,(I78-H78)/MAX(H78,I78))</f>
        <v>0.539207499222809</v>
      </c>
      <c r="X78" s="17" t="n">
        <f aca="false">SQRT(($B78-X$16)^2+($C78-X$17)^2+($D78-X$18)^2)</f>
        <v>7.19142094483798</v>
      </c>
      <c r="Y78" s="17" t="n">
        <f aca="false">SQRT(($B78-Y$16)^2+($C78-Y$17)^2+($D78-Y$18)^2)</f>
        <v>2.16457395150989</v>
      </c>
      <c r="Z78" s="17" t="n">
        <f aca="false">SQRT(($B78-Z$16)^2+($C78-Z$17)^2+($D78-Z$18)^2)</f>
        <v>2.97594925599832</v>
      </c>
      <c r="AA78" s="63" t="n">
        <f aca="false">MATCH(MIN(X78:Z78),X78:Z78,0)</f>
        <v>2</v>
      </c>
      <c r="AC78" s="17" t="n">
        <f aca="false">SQRT(($B78-AC$16)^2+($C78-AC$17)^2+($D78-AC$18)^2)</f>
        <v>6.17487002249323</v>
      </c>
      <c r="AD78" s="17" t="n">
        <f aca="false">SQRT(($B78-AD$16)^2+($C78-AD$17)^2+($D78-AD$18)^2)</f>
        <v>0.907708990832005</v>
      </c>
      <c r="AE78" s="17" t="n">
        <f aca="false">SQRT(($B78-AE$16)^2+($C78-AE$17)^2+($D78-AE$18)^2)</f>
        <v>2.05725810200231</v>
      </c>
      <c r="AF78" s="63" t="n">
        <f aca="false">MATCH(MIN(AC78:AE78),AC78:AE78,0)</f>
        <v>2</v>
      </c>
      <c r="AH78" s="17" t="n">
        <f aca="false">SQRT(($B78-AH$16)^2+($C78-AH$17)^2+($D78-AH$18)^2)</f>
        <v>5.54401743520499</v>
      </c>
      <c r="AI78" s="17" t="n">
        <f aca="false">SQRT(($B78-AI$16)^2+($C78-AI$17)^2+($D78-AI$18)^2)</f>
        <v>0.825344179345742</v>
      </c>
      <c r="AJ78" s="17" t="n">
        <f aca="false">SQRT(($B78-AJ$16)^2+($C78-AJ$17)^2+($D78-AJ$18)^2)</f>
        <v>2.17859628407901</v>
      </c>
      <c r="AK78" s="63" t="n">
        <f aca="false">MATCH(MIN(AH78:AJ78),AH78:AJ78,0)</f>
        <v>2</v>
      </c>
      <c r="AM78" s="17" t="n">
        <f aca="false">SQRT(($B78-AM$16)^2+($C78-AM$17)^2+($D78-AM$18)^2)</f>
        <v>5.54401743520499</v>
      </c>
      <c r="AN78" s="17" t="n">
        <f aca="false">SQRT(($B78-AN$16)^2+($C78-AN$17)^2+($D78-AN$18)^2)</f>
        <v>0.82929412325031</v>
      </c>
      <c r="AO78" s="17" t="n">
        <f aca="false">SQRT(($B78-AO$16)^2+($C78-AO$17)^2+($D78-AO$18)^2)</f>
        <v>2.19796813357379</v>
      </c>
      <c r="AP78" s="63" t="n">
        <f aca="false">MATCH(MIN(AM78:AO78),AM78:AO78,0)</f>
        <v>2</v>
      </c>
      <c r="AR78" s="17" t="n">
        <f aca="false">SQRT(($B78-AR$16)^2+($C78-AR$17)^2+($D78-AR$18)^2)</f>
        <v>5.54401743520499</v>
      </c>
      <c r="AS78" s="17" t="n">
        <f aca="false">SQRT(($B78-AS$16)^2+($C78-AS$17)^2+($D78-AS$18)^2)</f>
        <v>0.82929412325031</v>
      </c>
      <c r="AT78" s="17" t="n">
        <f aca="false">SQRT(($B78-AT$16)^2+($C78-AT$17)^2+($D78-AT$18)^2)</f>
        <v>2.19796813357379</v>
      </c>
      <c r="AU78" s="63" t="n">
        <f aca="false">MATCH(MIN(AR78:AT78),AR78:AT78,0)</f>
        <v>2</v>
      </c>
      <c r="AW78" s="17" t="n">
        <f aca="false">SQRT(($B78-AW$16)^2+($C78-AW$17)^2+($D78-AW$18)^2)</f>
        <v>5.54401743520499</v>
      </c>
      <c r="AX78" s="17" t="n">
        <f aca="false">SQRT(($B78-AX$16)^2+($C78-AX$17)^2+($D78-AX$18)^2)</f>
        <v>0.82929412325031</v>
      </c>
      <c r="AY78" s="17" t="n">
        <f aca="false">SQRT(($B78-AY$16)^2+($C78-AY$17)^2+($D78-AY$18)^2)</f>
        <v>2.19796813357379</v>
      </c>
      <c r="AZ78" s="63" t="n">
        <f aca="false">MATCH(MIN(AW78:AY78),AW78:AY78,0)</f>
        <v>2</v>
      </c>
      <c r="BB78" s="17" t="n">
        <f aca="false">SQRT(($B78-BB$16)^2+($C78-BB$17)^2+($D78-BB$18)^2)</f>
        <v>5.54401743520499</v>
      </c>
      <c r="BC78" s="17" t="n">
        <f aca="false">SQRT(($B78-BC$16)^2+($C78-BC$17)^2+($D78-BC$18)^2)</f>
        <v>0.82929412325031</v>
      </c>
      <c r="BD78" s="17" t="n">
        <f aca="false">SQRT(($B78-BD$16)^2+($C78-BD$17)^2+($D78-BD$18)^2)</f>
        <v>2.19796813357379</v>
      </c>
      <c r="BE78" s="63" t="n">
        <f aca="false">MATCH(MIN(BB78:BD78),BB78:BD78,0)</f>
        <v>2</v>
      </c>
      <c r="BG78" s="17" t="n">
        <f aca="false">SQRT(($B78-BG$16)^2+($C78-BG$17)^2+($D78-BG$18)^2)</f>
        <v>5.54401743520499</v>
      </c>
      <c r="BH78" s="17" t="n">
        <f aca="false">SQRT(($B78-BH$16)^2+($C78-BH$17)^2+($D78-BH$18)^2)</f>
        <v>0.82929412325031</v>
      </c>
      <c r="BI78" s="17" t="n">
        <f aca="false">SQRT(($B78-BI$16)^2+($C78-BI$17)^2+($D78-BI$18)^2)</f>
        <v>2.19796813357379</v>
      </c>
      <c r="BJ78" s="63" t="n">
        <f aca="false">MATCH(MIN(BG78:BI78),BG78:BI78,0)</f>
        <v>2</v>
      </c>
      <c r="BL78" s="17" t="n">
        <f aca="false">SQRT(($B78-BL$16)^2+($C78-BL$17)^2+($D78-BL$18)^2)</f>
        <v>5.54401743520499</v>
      </c>
      <c r="BM78" s="17" t="n">
        <f aca="false">SQRT(($B78-BM$16)^2+($C78-BM$17)^2+($D78-BM$18)^2)</f>
        <v>0.82929412325031</v>
      </c>
      <c r="BN78" s="17" t="n">
        <f aca="false">SQRT(($B78-BN$16)^2+($C78-BN$17)^2+($D78-BN$18)^2)</f>
        <v>2.19796813357379</v>
      </c>
      <c r="BO78" s="63" t="n">
        <f aca="false">MATCH(MIN(BL78:BN78),BL78:BN78,0)</f>
        <v>2</v>
      </c>
      <c r="BQ78" s="17" t="n">
        <f aca="false">SQRT(($B78-BQ$16)^2+($C78-BQ$17)^2+($D78-BQ$18)^2)</f>
        <v>5.54401743520499</v>
      </c>
      <c r="BR78" s="17" t="n">
        <f aca="false">SQRT(($B78-BR$16)^2+($C78-BR$17)^2+($D78-BR$18)^2)</f>
        <v>0.82929412325031</v>
      </c>
      <c r="BS78" s="17" t="n">
        <f aca="false">SQRT(($B78-BS$16)^2+($C78-BS$17)^2+($D78-BS$18)^2)</f>
        <v>2.19796813357379</v>
      </c>
      <c r="BT78" s="63" t="n">
        <f aca="false">MATCH(MIN(BQ78:BS78),BQ78:BS78,0)</f>
        <v>2</v>
      </c>
      <c r="BV78" s="17" t="n">
        <f aca="false">SQRT(($B78-BV$16)^2+($C78-BV$17)^2+($D78-BV$18)^2)</f>
        <v>5.54401743520499</v>
      </c>
      <c r="BW78" s="17" t="n">
        <f aca="false">SQRT(($B78-BW$16)^2+($C78-BW$17)^2+($D78-BW$18)^2)</f>
        <v>0.82929412325031</v>
      </c>
      <c r="BX78" s="17" t="n">
        <f aca="false">SQRT(($B78-BX$16)^2+($C78-BX$17)^2+($D78-BX$18)^2)</f>
        <v>2.19796813357379</v>
      </c>
      <c r="BY78" s="63" t="n">
        <f aca="false">MATCH(MIN(BV78:BX78),BV78:BX78,0)</f>
        <v>2</v>
      </c>
      <c r="CA78" s="17" t="n">
        <f aca="false">SQRT(($B78-CA$16)^2+($C78-CA$17)^2+($D78-CA$18)^2)</f>
        <v>5.54401743520499</v>
      </c>
      <c r="CB78" s="17" t="n">
        <f aca="false">SQRT(($B78-CB$16)^2+($C78-CB$17)^2+($D78-CB$18)^2)</f>
        <v>0.82929412325031</v>
      </c>
      <c r="CC78" s="17" t="n">
        <f aca="false">SQRT(($B78-CC$16)^2+($C78-CC$17)^2+($D78-CC$18)^2)</f>
        <v>2.19796813357379</v>
      </c>
      <c r="CD78" s="63" t="n">
        <f aca="false">MATCH(MIN(CA78:CC78),CA78:CC78,0)</f>
        <v>2</v>
      </c>
    </row>
    <row r="79" customFormat="false" ht="15" hidden="false" customHeight="false" outlineLevel="0" collapsed="false">
      <c r="A79" s="36" t="str">
        <f aca="false">KMeans_Data!A61</f>
        <v>Muzaffargar</v>
      </c>
      <c r="B79" s="17" t="n">
        <f aca="false">KMeans_Data!H61</f>
        <v>0.0683117241366259</v>
      </c>
      <c r="C79" s="17" t="n">
        <f aca="false">KMeans_Data!I61</f>
        <v>-0.672650545388274</v>
      </c>
      <c r="D79" s="17" t="n">
        <f aca="false">KMeans_Data!J61</f>
        <v>-1.14564411633355</v>
      </c>
      <c r="E79" s="63" t="n">
        <f aca="false">CD79</f>
        <v>2</v>
      </c>
      <c r="F79" s="38" t="n">
        <f aca="false">($B79-INDEX($L$16:$N$16,E79))^2+($C79-INDEX($L$17:$N$17,E79))^2+($D79-INDEX($L$18:$N$18,E79))^2</f>
        <v>0.664124305945188</v>
      </c>
      <c r="G79" s="12" t="str">
        <f aca="false">INDEX($M$5:$M$7,E79)</f>
        <v>Low burden</v>
      </c>
      <c r="H79" s="17" t="n">
        <f aca="false">IF(COUNTIF(Distance_Matrix!$E$9:$DQ$9,$E79)&lt;=1,0,SUMIF(Distance_Matrix!$E$9:$DQ$9,$E79,Distance_Matrix!$E$70:$DQ$70)/(COUNTIF(Distance_Matrix!$E$9:$DQ$9,$E79)-1))</f>
        <v>1.05830190246956</v>
      </c>
      <c r="I79" s="17" t="n">
        <f aca="false">MIN(IF(1=$E79,1E+099,IF(COUNTIF(Distance_Matrix!$E$9:$DQ$9,1)=0,1E+099,SUMIF(Distance_Matrix!$E$9:$DQ$9,1,Distance_Matrix!$E$70:$DQ$70)/COUNTIF(Distance_Matrix!$E$9:$DQ$9,1))),IF(2=$E79,1E+099,IF(COUNTIF(Distance_Matrix!$E$9:$DQ$9,2)=0,1E+099,SUMIF(Distance_Matrix!$E$9:$DQ$9,2,Distance_Matrix!$E$70:$DQ$70)/COUNTIF(Distance_Matrix!$E$9:$DQ$9,2))),IF(3=$E79,1E+099,IF(COUNTIF(Distance_Matrix!$E$9:$DQ$9,3)=0,1E+099,SUMIF(Distance_Matrix!$E$9:$DQ$9,3,Distance_Matrix!$E$70:$DQ$70)/COUNTIF(Distance_Matrix!$E$9:$DQ$9,3))))</f>
        <v>2.31935099890481</v>
      </c>
      <c r="J79" s="17" t="n">
        <f aca="false">IF(COUNTIF(Distance_Matrix!$E$9:$DQ$9,$E79)&lt;=1,0,(I79-H79)/MAX(H79,I79))</f>
        <v>0.543707742825778</v>
      </c>
      <c r="X79" s="17" t="n">
        <f aca="false">SQRT(($B79-X$16)^2+($C79-X$17)^2+($D79-X$18)^2)</f>
        <v>7.19876486075222</v>
      </c>
      <c r="Y79" s="17" t="n">
        <f aca="false">SQRT(($B79-Y$16)^2+($C79-Y$17)^2+($D79-Y$18)^2)</f>
        <v>2.14804970593995</v>
      </c>
      <c r="Z79" s="17" t="n">
        <f aca="false">SQRT(($B79-Z$16)^2+($C79-Z$17)^2+($D79-Z$18)^2)</f>
        <v>2.98127921245279</v>
      </c>
      <c r="AA79" s="63" t="n">
        <f aca="false">MATCH(MIN(X79:Z79),X79:Z79,0)</f>
        <v>2</v>
      </c>
      <c r="AC79" s="17" t="n">
        <f aca="false">SQRT(($B79-AC$16)^2+($C79-AC$17)^2+($D79-AC$18)^2)</f>
        <v>6.18217661495079</v>
      </c>
      <c r="AD79" s="17" t="n">
        <f aca="false">SQRT(($B79-AD$16)^2+($C79-AD$17)^2+($D79-AD$18)^2)</f>
        <v>0.892268570589808</v>
      </c>
      <c r="AE79" s="17" t="n">
        <f aca="false">SQRT(($B79-AE$16)^2+($C79-AE$17)^2+($D79-AE$18)^2)</f>
        <v>2.06073006422614</v>
      </c>
      <c r="AF79" s="63" t="n">
        <f aca="false">MATCH(MIN(AC79:AE79),AC79:AE79,0)</f>
        <v>2</v>
      </c>
      <c r="AH79" s="17" t="n">
        <f aca="false">SQRT(($B79-AH$16)^2+($C79-AH$17)^2+($D79-AH$18)^2)</f>
        <v>5.55118583245161</v>
      </c>
      <c r="AI79" s="17" t="n">
        <f aca="false">SQRT(($B79-AI$16)^2+($C79-AI$17)^2+($D79-AI$18)^2)</f>
        <v>0.810841688777345</v>
      </c>
      <c r="AJ79" s="17" t="n">
        <f aca="false">SQRT(($B79-AJ$16)^2+($C79-AJ$17)^2+($D79-AJ$18)^2)</f>
        <v>2.18186259794574</v>
      </c>
      <c r="AK79" s="63" t="n">
        <f aca="false">MATCH(MIN(AH79:AJ79),AH79:AJ79,0)</f>
        <v>2</v>
      </c>
      <c r="AM79" s="17" t="n">
        <f aca="false">SQRT(($B79-AM$16)^2+($C79-AM$17)^2+($D79-AM$18)^2)</f>
        <v>5.55118583245161</v>
      </c>
      <c r="AN79" s="17" t="n">
        <f aca="false">SQRT(($B79-AN$16)^2+($C79-AN$17)^2+($D79-AN$18)^2)</f>
        <v>0.814938222164839</v>
      </c>
      <c r="AO79" s="17" t="n">
        <f aca="false">SQRT(($B79-AO$16)^2+($C79-AO$17)^2+($D79-AO$18)^2)</f>
        <v>2.20134832022592</v>
      </c>
      <c r="AP79" s="63" t="n">
        <f aca="false">MATCH(MIN(AM79:AO79),AM79:AO79,0)</f>
        <v>2</v>
      </c>
      <c r="AR79" s="17" t="n">
        <f aca="false">SQRT(($B79-AR$16)^2+($C79-AR$17)^2+($D79-AR$18)^2)</f>
        <v>5.55118583245161</v>
      </c>
      <c r="AS79" s="17" t="n">
        <f aca="false">SQRT(($B79-AS$16)^2+($C79-AS$17)^2+($D79-AS$18)^2)</f>
        <v>0.814938222164839</v>
      </c>
      <c r="AT79" s="17" t="n">
        <f aca="false">SQRT(($B79-AT$16)^2+($C79-AT$17)^2+($D79-AT$18)^2)</f>
        <v>2.20134832022592</v>
      </c>
      <c r="AU79" s="63" t="n">
        <f aca="false">MATCH(MIN(AR79:AT79),AR79:AT79,0)</f>
        <v>2</v>
      </c>
      <c r="AW79" s="17" t="n">
        <f aca="false">SQRT(($B79-AW$16)^2+($C79-AW$17)^2+($D79-AW$18)^2)</f>
        <v>5.55118583245161</v>
      </c>
      <c r="AX79" s="17" t="n">
        <f aca="false">SQRT(($B79-AX$16)^2+($C79-AX$17)^2+($D79-AX$18)^2)</f>
        <v>0.814938222164839</v>
      </c>
      <c r="AY79" s="17" t="n">
        <f aca="false">SQRT(($B79-AY$16)^2+($C79-AY$17)^2+($D79-AY$18)^2)</f>
        <v>2.20134832022592</v>
      </c>
      <c r="AZ79" s="63" t="n">
        <f aca="false">MATCH(MIN(AW79:AY79),AW79:AY79,0)</f>
        <v>2</v>
      </c>
      <c r="BB79" s="17" t="n">
        <f aca="false">SQRT(($B79-BB$16)^2+($C79-BB$17)^2+($D79-BB$18)^2)</f>
        <v>5.55118583245161</v>
      </c>
      <c r="BC79" s="17" t="n">
        <f aca="false">SQRT(($B79-BC$16)^2+($C79-BC$17)^2+($D79-BC$18)^2)</f>
        <v>0.814938222164839</v>
      </c>
      <c r="BD79" s="17" t="n">
        <f aca="false">SQRT(($B79-BD$16)^2+($C79-BD$17)^2+($D79-BD$18)^2)</f>
        <v>2.20134832022592</v>
      </c>
      <c r="BE79" s="63" t="n">
        <f aca="false">MATCH(MIN(BB79:BD79),BB79:BD79,0)</f>
        <v>2</v>
      </c>
      <c r="BG79" s="17" t="n">
        <f aca="false">SQRT(($B79-BG$16)^2+($C79-BG$17)^2+($D79-BG$18)^2)</f>
        <v>5.55118583245161</v>
      </c>
      <c r="BH79" s="17" t="n">
        <f aca="false">SQRT(($B79-BH$16)^2+($C79-BH$17)^2+($D79-BH$18)^2)</f>
        <v>0.814938222164839</v>
      </c>
      <c r="BI79" s="17" t="n">
        <f aca="false">SQRT(($B79-BI$16)^2+($C79-BI$17)^2+($D79-BI$18)^2)</f>
        <v>2.20134832022592</v>
      </c>
      <c r="BJ79" s="63" t="n">
        <f aca="false">MATCH(MIN(BG79:BI79),BG79:BI79,0)</f>
        <v>2</v>
      </c>
      <c r="BL79" s="17" t="n">
        <f aca="false">SQRT(($B79-BL$16)^2+($C79-BL$17)^2+($D79-BL$18)^2)</f>
        <v>5.55118583245161</v>
      </c>
      <c r="BM79" s="17" t="n">
        <f aca="false">SQRT(($B79-BM$16)^2+($C79-BM$17)^2+($D79-BM$18)^2)</f>
        <v>0.814938222164839</v>
      </c>
      <c r="BN79" s="17" t="n">
        <f aca="false">SQRT(($B79-BN$16)^2+($C79-BN$17)^2+($D79-BN$18)^2)</f>
        <v>2.20134832022592</v>
      </c>
      <c r="BO79" s="63" t="n">
        <f aca="false">MATCH(MIN(BL79:BN79),BL79:BN79,0)</f>
        <v>2</v>
      </c>
      <c r="BQ79" s="17" t="n">
        <f aca="false">SQRT(($B79-BQ$16)^2+($C79-BQ$17)^2+($D79-BQ$18)^2)</f>
        <v>5.55118583245161</v>
      </c>
      <c r="BR79" s="17" t="n">
        <f aca="false">SQRT(($B79-BR$16)^2+($C79-BR$17)^2+($D79-BR$18)^2)</f>
        <v>0.814938222164839</v>
      </c>
      <c r="BS79" s="17" t="n">
        <f aca="false">SQRT(($B79-BS$16)^2+($C79-BS$17)^2+($D79-BS$18)^2)</f>
        <v>2.20134832022592</v>
      </c>
      <c r="BT79" s="63" t="n">
        <f aca="false">MATCH(MIN(BQ79:BS79),BQ79:BS79,0)</f>
        <v>2</v>
      </c>
      <c r="BV79" s="17" t="n">
        <f aca="false">SQRT(($B79-BV$16)^2+($C79-BV$17)^2+($D79-BV$18)^2)</f>
        <v>5.55118583245161</v>
      </c>
      <c r="BW79" s="17" t="n">
        <f aca="false">SQRT(($B79-BW$16)^2+($C79-BW$17)^2+($D79-BW$18)^2)</f>
        <v>0.814938222164839</v>
      </c>
      <c r="BX79" s="17" t="n">
        <f aca="false">SQRT(($B79-BX$16)^2+($C79-BX$17)^2+($D79-BX$18)^2)</f>
        <v>2.20134832022592</v>
      </c>
      <c r="BY79" s="63" t="n">
        <f aca="false">MATCH(MIN(BV79:BX79),BV79:BX79,0)</f>
        <v>2</v>
      </c>
      <c r="CA79" s="17" t="n">
        <f aca="false">SQRT(($B79-CA$16)^2+($C79-CA$17)^2+($D79-CA$18)^2)</f>
        <v>5.55118583245161</v>
      </c>
      <c r="CB79" s="17" t="n">
        <f aca="false">SQRT(($B79-CB$16)^2+($C79-CB$17)^2+($D79-CB$18)^2)</f>
        <v>0.814938222164839</v>
      </c>
      <c r="CC79" s="17" t="n">
        <f aca="false">SQRT(($B79-CC$16)^2+($C79-CC$17)^2+($D79-CC$18)^2)</f>
        <v>2.20134832022592</v>
      </c>
      <c r="CD79" s="63" t="n">
        <f aca="false">MATCH(MIN(CA79:CC79),CA79:CC79,0)</f>
        <v>2</v>
      </c>
    </row>
    <row r="80" customFormat="false" ht="15" hidden="false" customHeight="false" outlineLevel="0" collapsed="false">
      <c r="A80" s="36" t="str">
        <f aca="false">KMeans_Data!A62</f>
        <v>Badin</v>
      </c>
      <c r="B80" s="17" t="n">
        <f aca="false">KMeans_Data!H62</f>
        <v>0.0245489826438638</v>
      </c>
      <c r="C80" s="17" t="n">
        <f aca="false">KMeans_Data!I62</f>
        <v>0.547911385844501</v>
      </c>
      <c r="D80" s="17" t="n">
        <f aca="false">KMeans_Data!J62</f>
        <v>0.00583902902802759</v>
      </c>
      <c r="E80" s="63" t="n">
        <f aca="false">CD80</f>
        <v>3</v>
      </c>
      <c r="F80" s="38" t="n">
        <f aca="false">($B80-INDEX($L$16:$N$16,E80))^2+($C80-INDEX($L$17:$N$17,E80))^2+($D80-INDEX($L$18:$N$18,E80))^2</f>
        <v>0.747720835411314</v>
      </c>
      <c r="G80" s="12" t="str">
        <f aca="false">INDEX($M$5:$M$7,E80)</f>
        <v>Medium burden</v>
      </c>
      <c r="H80" s="17" t="n">
        <f aca="false">IF(COUNTIF(Distance_Matrix!$E$9:$DQ$9,$E80)&lt;=1,0,SUMIF(Distance_Matrix!$E$9:$DQ$9,$E80,Distance_Matrix!$E$71:$DQ$71)/(COUNTIF(Distance_Matrix!$E$9:$DQ$9,$E80)-1))</f>
        <v>1.21951060509855</v>
      </c>
      <c r="I80" s="17" t="n">
        <f aca="false">MIN(IF(1=$E80,1E+099,IF(COUNTIF(Distance_Matrix!$E$9:$DQ$9,1)=0,1E+099,SUMIF(Distance_Matrix!$E$9:$DQ$9,1,Distance_Matrix!$E$71:$DQ$71)/COUNTIF(Distance_Matrix!$E$9:$DQ$9,1))),IF(2=$E80,1E+099,IF(COUNTIF(Distance_Matrix!$E$9:$DQ$9,2)=0,1E+099,SUMIF(Distance_Matrix!$E$9:$DQ$9,2,Distance_Matrix!$E$71:$DQ$71)/COUNTIF(Distance_Matrix!$E$9:$DQ$9,2))),IF(3=$E80,1E+099,IF(COUNTIF(Distance_Matrix!$E$9:$DQ$9,3)=0,1E+099,SUMIF(Distance_Matrix!$E$9:$DQ$9,3,Distance_Matrix!$E$71:$DQ$71)/COUNTIF(Distance_Matrix!$E$9:$DQ$9,3))))</f>
        <v>1.69423845085497</v>
      </c>
      <c r="J80" s="17" t="n">
        <f aca="false">IF(COUNTIF(Distance_Matrix!$E$9:$DQ$9,$E80)&lt;=1,0,(I80-H80)/MAX(H80,I80))</f>
        <v>0.280201317303866</v>
      </c>
      <c r="X80" s="17" t="n">
        <f aca="false">SQRT(($B80-X$16)^2+($C80-X$17)^2+($D80-X$18)^2)</f>
        <v>5.76973078701142</v>
      </c>
      <c r="Y80" s="17" t="n">
        <f aca="false">SQRT(($B80-Y$16)^2+($C80-Y$17)^2+($D80-Y$18)^2)</f>
        <v>2.691413846061</v>
      </c>
      <c r="Z80" s="17" t="n">
        <f aca="false">SQRT(($B80-Z$16)^2+($C80-Z$17)^2+($D80-Z$18)^2)</f>
        <v>1.78866697626789</v>
      </c>
      <c r="AA80" s="63" t="n">
        <f aca="false">MATCH(MIN(X80:Z80),X80:Z80,0)</f>
        <v>3</v>
      </c>
      <c r="AC80" s="17" t="n">
        <f aca="false">SQRT(($B80-AC$16)^2+($C80-AC$17)^2+($D80-AC$18)^2)</f>
        <v>4.76391567993581</v>
      </c>
      <c r="AD80" s="17" t="n">
        <f aca="false">SQRT(($B80-AD$16)^2+($C80-AD$17)^2+($D80-AD$18)^2)</f>
        <v>1.653601471609</v>
      </c>
      <c r="AE80" s="17" t="n">
        <f aca="false">SQRT(($B80-AE$16)^2+($C80-AE$17)^2+($D80-AE$18)^2)</f>
        <v>0.782589200878022</v>
      </c>
      <c r="AF80" s="63" t="n">
        <f aca="false">MATCH(MIN(AC80:AE80),AC80:AE80,0)</f>
        <v>3</v>
      </c>
      <c r="AH80" s="17" t="n">
        <f aca="false">SQRT(($B80-AH$16)^2+($C80-AH$17)^2+($D80-AH$18)^2)</f>
        <v>4.13238348193971</v>
      </c>
      <c r="AI80" s="17" t="n">
        <f aca="false">SQRT(($B80-AI$16)^2+($C80-AI$17)^2+($D80-AI$18)^2)</f>
        <v>1.55298769514228</v>
      </c>
      <c r="AJ80" s="17" t="n">
        <f aca="false">SQRT(($B80-AJ$16)^2+($C80-AJ$17)^2+($D80-AJ$18)^2)</f>
        <v>0.846187307949294</v>
      </c>
      <c r="AK80" s="63" t="n">
        <f aca="false">MATCH(MIN(AH80:AJ80),AH80:AJ80,0)</f>
        <v>3</v>
      </c>
      <c r="AM80" s="17" t="n">
        <f aca="false">SQRT(($B80-AM$16)^2+($C80-AM$17)^2+($D80-AM$18)^2)</f>
        <v>4.13238348193971</v>
      </c>
      <c r="AN80" s="17" t="n">
        <f aca="false">SQRT(($B80-AN$16)^2+($C80-AN$17)^2+($D80-AN$18)^2)</f>
        <v>1.53860898108413</v>
      </c>
      <c r="AO80" s="17" t="n">
        <f aca="false">SQRT(($B80-AO$16)^2+($C80-AO$17)^2+($D80-AO$18)^2)</f>
        <v>0.864708526274209</v>
      </c>
      <c r="AP80" s="63" t="n">
        <f aca="false">MATCH(MIN(AM80:AO80),AM80:AO80,0)</f>
        <v>3</v>
      </c>
      <c r="AR80" s="17" t="n">
        <f aca="false">SQRT(($B80-AR$16)^2+($C80-AR$17)^2+($D80-AR$18)^2)</f>
        <v>4.13238348193971</v>
      </c>
      <c r="AS80" s="17" t="n">
        <f aca="false">SQRT(($B80-AS$16)^2+($C80-AS$17)^2+($D80-AS$18)^2)</f>
        <v>1.53860898108413</v>
      </c>
      <c r="AT80" s="17" t="n">
        <f aca="false">SQRT(($B80-AT$16)^2+($C80-AT$17)^2+($D80-AT$18)^2)</f>
        <v>0.864708526274209</v>
      </c>
      <c r="AU80" s="63" t="n">
        <f aca="false">MATCH(MIN(AR80:AT80),AR80:AT80,0)</f>
        <v>3</v>
      </c>
      <c r="AW80" s="17" t="n">
        <f aca="false">SQRT(($B80-AW$16)^2+($C80-AW$17)^2+($D80-AW$18)^2)</f>
        <v>4.13238348193971</v>
      </c>
      <c r="AX80" s="17" t="n">
        <f aca="false">SQRT(($B80-AX$16)^2+($C80-AX$17)^2+($D80-AX$18)^2)</f>
        <v>1.53860898108413</v>
      </c>
      <c r="AY80" s="17" t="n">
        <f aca="false">SQRT(($B80-AY$16)^2+($C80-AY$17)^2+($D80-AY$18)^2)</f>
        <v>0.864708526274209</v>
      </c>
      <c r="AZ80" s="63" t="n">
        <f aca="false">MATCH(MIN(AW80:AY80),AW80:AY80,0)</f>
        <v>3</v>
      </c>
      <c r="BB80" s="17" t="n">
        <f aca="false">SQRT(($B80-BB$16)^2+($C80-BB$17)^2+($D80-BB$18)^2)</f>
        <v>4.13238348193971</v>
      </c>
      <c r="BC80" s="17" t="n">
        <f aca="false">SQRT(($B80-BC$16)^2+($C80-BC$17)^2+($D80-BC$18)^2)</f>
        <v>1.53860898108413</v>
      </c>
      <c r="BD80" s="17" t="n">
        <f aca="false">SQRT(($B80-BD$16)^2+($C80-BD$17)^2+($D80-BD$18)^2)</f>
        <v>0.864708526274209</v>
      </c>
      <c r="BE80" s="63" t="n">
        <f aca="false">MATCH(MIN(BB80:BD80),BB80:BD80,0)</f>
        <v>3</v>
      </c>
      <c r="BG80" s="17" t="n">
        <f aca="false">SQRT(($B80-BG$16)^2+($C80-BG$17)^2+($D80-BG$18)^2)</f>
        <v>4.13238348193971</v>
      </c>
      <c r="BH80" s="17" t="n">
        <f aca="false">SQRT(($B80-BH$16)^2+($C80-BH$17)^2+($D80-BH$18)^2)</f>
        <v>1.53860898108413</v>
      </c>
      <c r="BI80" s="17" t="n">
        <f aca="false">SQRT(($B80-BI$16)^2+($C80-BI$17)^2+($D80-BI$18)^2)</f>
        <v>0.864708526274209</v>
      </c>
      <c r="BJ80" s="63" t="n">
        <f aca="false">MATCH(MIN(BG80:BI80),BG80:BI80,0)</f>
        <v>3</v>
      </c>
      <c r="BL80" s="17" t="n">
        <f aca="false">SQRT(($B80-BL$16)^2+($C80-BL$17)^2+($D80-BL$18)^2)</f>
        <v>4.13238348193971</v>
      </c>
      <c r="BM80" s="17" t="n">
        <f aca="false">SQRT(($B80-BM$16)^2+($C80-BM$17)^2+($D80-BM$18)^2)</f>
        <v>1.53860898108413</v>
      </c>
      <c r="BN80" s="17" t="n">
        <f aca="false">SQRT(($B80-BN$16)^2+($C80-BN$17)^2+($D80-BN$18)^2)</f>
        <v>0.864708526274209</v>
      </c>
      <c r="BO80" s="63" t="n">
        <f aca="false">MATCH(MIN(BL80:BN80),BL80:BN80,0)</f>
        <v>3</v>
      </c>
      <c r="BQ80" s="17" t="n">
        <f aca="false">SQRT(($B80-BQ$16)^2+($C80-BQ$17)^2+($D80-BQ$18)^2)</f>
        <v>4.13238348193971</v>
      </c>
      <c r="BR80" s="17" t="n">
        <f aca="false">SQRT(($B80-BR$16)^2+($C80-BR$17)^2+($D80-BR$18)^2)</f>
        <v>1.53860898108413</v>
      </c>
      <c r="BS80" s="17" t="n">
        <f aca="false">SQRT(($B80-BS$16)^2+($C80-BS$17)^2+($D80-BS$18)^2)</f>
        <v>0.864708526274209</v>
      </c>
      <c r="BT80" s="63" t="n">
        <f aca="false">MATCH(MIN(BQ80:BS80),BQ80:BS80,0)</f>
        <v>3</v>
      </c>
      <c r="BV80" s="17" t="n">
        <f aca="false">SQRT(($B80-BV$16)^2+($C80-BV$17)^2+($D80-BV$18)^2)</f>
        <v>4.13238348193971</v>
      </c>
      <c r="BW80" s="17" t="n">
        <f aca="false">SQRT(($B80-BW$16)^2+($C80-BW$17)^2+($D80-BW$18)^2)</f>
        <v>1.53860898108413</v>
      </c>
      <c r="BX80" s="17" t="n">
        <f aca="false">SQRT(($B80-BX$16)^2+($C80-BX$17)^2+($D80-BX$18)^2)</f>
        <v>0.864708526274209</v>
      </c>
      <c r="BY80" s="63" t="n">
        <f aca="false">MATCH(MIN(BV80:BX80),BV80:BX80,0)</f>
        <v>3</v>
      </c>
      <c r="CA80" s="17" t="n">
        <f aca="false">SQRT(($B80-CA$16)^2+($C80-CA$17)^2+($D80-CA$18)^2)</f>
        <v>4.13238348193971</v>
      </c>
      <c r="CB80" s="17" t="n">
        <f aca="false">SQRT(($B80-CB$16)^2+($C80-CB$17)^2+($D80-CB$18)^2)</f>
        <v>1.53860898108413</v>
      </c>
      <c r="CC80" s="17" t="n">
        <f aca="false">SQRT(($B80-CC$16)^2+($C80-CC$17)^2+($D80-CC$18)^2)</f>
        <v>0.864708526274209</v>
      </c>
      <c r="CD80" s="63" t="n">
        <f aca="false">MATCH(MIN(CA80:CC80),CA80:CC80,0)</f>
        <v>3</v>
      </c>
    </row>
    <row r="81" customFormat="false" ht="15" hidden="false" customHeight="false" outlineLevel="0" collapsed="false">
      <c r="A81" s="36" t="str">
        <f aca="false">KMeans_Data!A63</f>
        <v>Bahawalpur</v>
      </c>
      <c r="B81" s="17" t="n">
        <f aca="false">KMeans_Data!H63</f>
        <v>0.00595879156403144</v>
      </c>
      <c r="C81" s="17" t="n">
        <f aca="false">KMeans_Data!I63</f>
        <v>-0.672650545388274</v>
      </c>
      <c r="D81" s="17" t="n">
        <f aca="false">KMeans_Data!J63</f>
        <v>-0.399845222909568</v>
      </c>
      <c r="E81" s="63" t="n">
        <f aca="false">CD81</f>
        <v>2</v>
      </c>
      <c r="F81" s="38" t="n">
        <f aca="false">($B81-INDEX($L$16:$N$16,E81))^2+($C81-INDEX($L$17:$N$17,E81))^2+($D81-INDEX($L$18:$N$18,E81))^2</f>
        <v>0.533579480754989</v>
      </c>
      <c r="G81" s="12" t="str">
        <f aca="false">INDEX($M$5:$M$7,E81)</f>
        <v>Low burden</v>
      </c>
      <c r="H81" s="17" t="n">
        <f aca="false">IF(COUNTIF(Distance_Matrix!$E$9:$DQ$9,$E81)&lt;=1,0,SUMIF(Distance_Matrix!$E$9:$DQ$9,$E81,Distance_Matrix!$E$72:$DQ$72)/(COUNTIF(Distance_Matrix!$E$9:$DQ$9,$E81)-1))</f>
        <v>0.998844394370623</v>
      </c>
      <c r="I81" s="17" t="n">
        <f aca="false">MIN(IF(1=$E81,1E+099,IF(COUNTIF(Distance_Matrix!$E$9:$DQ$9,1)=0,1E+099,SUMIF(Distance_Matrix!$E$9:$DQ$9,1,Distance_Matrix!$E$72:$DQ$72)/COUNTIF(Distance_Matrix!$E$9:$DQ$9,1))),IF(2=$E81,1E+099,IF(COUNTIF(Distance_Matrix!$E$9:$DQ$9,2)=0,1E+099,SUMIF(Distance_Matrix!$E$9:$DQ$9,2,Distance_Matrix!$E$72:$DQ$72)/COUNTIF(Distance_Matrix!$E$9:$DQ$9,2))),IF(3=$E81,1E+099,IF(COUNTIF(Distance_Matrix!$E$9:$DQ$9,3)=0,1E+099,SUMIF(Distance_Matrix!$E$9:$DQ$9,3,Distance_Matrix!$E$72:$DQ$72)/COUNTIF(Distance_Matrix!$E$9:$DQ$9,3))))</f>
        <v>1.79146515801213</v>
      </c>
      <c r="J81" s="17" t="n">
        <f aca="false">IF(COUNTIF(Distance_Matrix!$E$9:$DQ$9,$E81)&lt;=1,0,(I81-H81)/MAX(H81,I81))</f>
        <v>0.442442745870103</v>
      </c>
      <c r="X81" s="17" t="n">
        <f aca="false">SQRT(($B81-X$16)^2+($C81-X$17)^2+($D81-X$18)^2)</f>
        <v>6.79864298983629</v>
      </c>
      <c r="Y81" s="17" t="n">
        <f aca="false">SQRT(($B81-Y$16)^2+($C81-Y$17)^2+($D81-Y$18)^2)</f>
        <v>2.21502754381688</v>
      </c>
      <c r="Z81" s="17" t="n">
        <f aca="false">SQRT(($B81-Z$16)^2+($C81-Z$17)^2+($D81-Z$18)^2)</f>
        <v>2.38052099434104</v>
      </c>
      <c r="AA81" s="63" t="n">
        <f aca="false">MATCH(MIN(X81:Z81),X81:Z81,0)</f>
        <v>2</v>
      </c>
      <c r="AC81" s="17" t="n">
        <f aca="false">SQRT(($B81-AC$16)^2+($C81-AC$17)^2+($D81-AC$18)^2)</f>
        <v>5.80548215851453</v>
      </c>
      <c r="AD81" s="17" t="n">
        <f aca="false">SQRT(($B81-AD$16)^2+($C81-AD$17)^2+($D81-AD$18)^2)</f>
        <v>0.881047045224011</v>
      </c>
      <c r="AE81" s="17" t="n">
        <f aca="false">SQRT(($B81-AE$16)^2+($C81-AE$17)^2+($D81-AE$18)^2)</f>
        <v>1.50866612579864</v>
      </c>
      <c r="AF81" s="63" t="n">
        <f aca="false">MATCH(MIN(AC81:AE81),AC81:AE81,0)</f>
        <v>2</v>
      </c>
      <c r="AH81" s="17" t="n">
        <f aca="false">SQRT(($B81-AH$16)^2+($C81-AH$17)^2+($D81-AH$18)^2)</f>
        <v>5.16865909160037</v>
      </c>
      <c r="AI81" s="17" t="n">
        <f aca="false">SQRT(($B81-AI$16)^2+($C81-AI$17)^2+($D81-AI$18)^2)</f>
        <v>0.740027243474389</v>
      </c>
      <c r="AJ81" s="17" t="n">
        <f aca="false">SQRT(($B81-AJ$16)^2+($C81-AJ$17)^2+($D81-AJ$18)^2)</f>
        <v>1.62430318848734</v>
      </c>
      <c r="AK81" s="63" t="n">
        <f aca="false">MATCH(MIN(AH81:AJ81),AH81:AJ81,0)</f>
        <v>2</v>
      </c>
      <c r="AM81" s="17" t="n">
        <f aca="false">SQRT(($B81-AM$16)^2+($C81-AM$17)^2+($D81-AM$18)^2)</f>
        <v>5.16865909160037</v>
      </c>
      <c r="AN81" s="17" t="n">
        <f aca="false">SQRT(($B81-AN$16)^2+($C81-AN$17)^2+($D81-AN$18)^2)</f>
        <v>0.730465249519092</v>
      </c>
      <c r="AO81" s="17" t="n">
        <f aca="false">SQRT(($B81-AO$16)^2+($C81-AO$17)^2+($D81-AO$18)^2)</f>
        <v>1.64591716695718</v>
      </c>
      <c r="AP81" s="63" t="n">
        <f aca="false">MATCH(MIN(AM81:AO81),AM81:AO81,0)</f>
        <v>2</v>
      </c>
      <c r="AR81" s="17" t="n">
        <f aca="false">SQRT(($B81-AR$16)^2+($C81-AR$17)^2+($D81-AR$18)^2)</f>
        <v>5.16865909160037</v>
      </c>
      <c r="AS81" s="17" t="n">
        <f aca="false">SQRT(($B81-AS$16)^2+($C81-AS$17)^2+($D81-AS$18)^2)</f>
        <v>0.730465249519092</v>
      </c>
      <c r="AT81" s="17" t="n">
        <f aca="false">SQRT(($B81-AT$16)^2+($C81-AT$17)^2+($D81-AT$18)^2)</f>
        <v>1.64591716695718</v>
      </c>
      <c r="AU81" s="63" t="n">
        <f aca="false">MATCH(MIN(AR81:AT81),AR81:AT81,0)</f>
        <v>2</v>
      </c>
      <c r="AW81" s="17" t="n">
        <f aca="false">SQRT(($B81-AW$16)^2+($C81-AW$17)^2+($D81-AW$18)^2)</f>
        <v>5.16865909160037</v>
      </c>
      <c r="AX81" s="17" t="n">
        <f aca="false">SQRT(($B81-AX$16)^2+($C81-AX$17)^2+($D81-AX$18)^2)</f>
        <v>0.730465249519092</v>
      </c>
      <c r="AY81" s="17" t="n">
        <f aca="false">SQRT(($B81-AY$16)^2+($C81-AY$17)^2+($D81-AY$18)^2)</f>
        <v>1.64591716695718</v>
      </c>
      <c r="AZ81" s="63" t="n">
        <f aca="false">MATCH(MIN(AW81:AY81),AW81:AY81,0)</f>
        <v>2</v>
      </c>
      <c r="BB81" s="17" t="n">
        <f aca="false">SQRT(($B81-BB$16)^2+($C81-BB$17)^2+($D81-BB$18)^2)</f>
        <v>5.16865909160037</v>
      </c>
      <c r="BC81" s="17" t="n">
        <f aca="false">SQRT(($B81-BC$16)^2+($C81-BC$17)^2+($D81-BC$18)^2)</f>
        <v>0.730465249519092</v>
      </c>
      <c r="BD81" s="17" t="n">
        <f aca="false">SQRT(($B81-BD$16)^2+($C81-BD$17)^2+($D81-BD$18)^2)</f>
        <v>1.64591716695718</v>
      </c>
      <c r="BE81" s="63" t="n">
        <f aca="false">MATCH(MIN(BB81:BD81),BB81:BD81,0)</f>
        <v>2</v>
      </c>
      <c r="BG81" s="17" t="n">
        <f aca="false">SQRT(($B81-BG$16)^2+($C81-BG$17)^2+($D81-BG$18)^2)</f>
        <v>5.16865909160037</v>
      </c>
      <c r="BH81" s="17" t="n">
        <f aca="false">SQRT(($B81-BH$16)^2+($C81-BH$17)^2+($D81-BH$18)^2)</f>
        <v>0.730465249519092</v>
      </c>
      <c r="BI81" s="17" t="n">
        <f aca="false">SQRT(($B81-BI$16)^2+($C81-BI$17)^2+($D81-BI$18)^2)</f>
        <v>1.64591716695718</v>
      </c>
      <c r="BJ81" s="63" t="n">
        <f aca="false">MATCH(MIN(BG81:BI81),BG81:BI81,0)</f>
        <v>2</v>
      </c>
      <c r="BL81" s="17" t="n">
        <f aca="false">SQRT(($B81-BL$16)^2+($C81-BL$17)^2+($D81-BL$18)^2)</f>
        <v>5.16865909160037</v>
      </c>
      <c r="BM81" s="17" t="n">
        <f aca="false">SQRT(($B81-BM$16)^2+($C81-BM$17)^2+($D81-BM$18)^2)</f>
        <v>0.730465249519092</v>
      </c>
      <c r="BN81" s="17" t="n">
        <f aca="false">SQRT(($B81-BN$16)^2+($C81-BN$17)^2+($D81-BN$18)^2)</f>
        <v>1.64591716695718</v>
      </c>
      <c r="BO81" s="63" t="n">
        <f aca="false">MATCH(MIN(BL81:BN81),BL81:BN81,0)</f>
        <v>2</v>
      </c>
      <c r="BQ81" s="17" t="n">
        <f aca="false">SQRT(($B81-BQ$16)^2+($C81-BQ$17)^2+($D81-BQ$18)^2)</f>
        <v>5.16865909160037</v>
      </c>
      <c r="BR81" s="17" t="n">
        <f aca="false">SQRT(($B81-BR$16)^2+($C81-BR$17)^2+($D81-BR$18)^2)</f>
        <v>0.730465249519092</v>
      </c>
      <c r="BS81" s="17" t="n">
        <f aca="false">SQRT(($B81-BS$16)^2+($C81-BS$17)^2+($D81-BS$18)^2)</f>
        <v>1.64591716695718</v>
      </c>
      <c r="BT81" s="63" t="n">
        <f aca="false">MATCH(MIN(BQ81:BS81),BQ81:BS81,0)</f>
        <v>2</v>
      </c>
      <c r="BV81" s="17" t="n">
        <f aca="false">SQRT(($B81-BV$16)^2+($C81-BV$17)^2+($D81-BV$18)^2)</f>
        <v>5.16865909160037</v>
      </c>
      <c r="BW81" s="17" t="n">
        <f aca="false">SQRT(($B81-BW$16)^2+($C81-BW$17)^2+($D81-BW$18)^2)</f>
        <v>0.730465249519092</v>
      </c>
      <c r="BX81" s="17" t="n">
        <f aca="false">SQRT(($B81-BX$16)^2+($C81-BX$17)^2+($D81-BX$18)^2)</f>
        <v>1.64591716695718</v>
      </c>
      <c r="BY81" s="63" t="n">
        <f aca="false">MATCH(MIN(BV81:BX81),BV81:BX81,0)</f>
        <v>2</v>
      </c>
      <c r="CA81" s="17" t="n">
        <f aca="false">SQRT(($B81-CA$16)^2+($C81-CA$17)^2+($D81-CA$18)^2)</f>
        <v>5.16865909160037</v>
      </c>
      <c r="CB81" s="17" t="n">
        <f aca="false">SQRT(($B81-CB$16)^2+($C81-CB$17)^2+($D81-CB$18)^2)</f>
        <v>0.730465249519092</v>
      </c>
      <c r="CC81" s="17" t="n">
        <f aca="false">SQRT(($B81-CC$16)^2+($C81-CC$17)^2+($D81-CC$18)^2)</f>
        <v>1.64591716695718</v>
      </c>
      <c r="CD81" s="63" t="n">
        <f aca="false">MATCH(MIN(CA81:CC81),CA81:CC81,0)</f>
        <v>2</v>
      </c>
    </row>
    <row r="82" customFormat="false" ht="15" hidden="false" customHeight="false" outlineLevel="0" collapsed="false">
      <c r="A82" s="36" t="str">
        <f aca="false">KMeans_Data!A64</f>
        <v>Dadu</v>
      </c>
      <c r="B82" s="17" t="n">
        <f aca="false">KMeans_Data!H64</f>
        <v>-0.00359138496118499</v>
      </c>
      <c r="C82" s="17" t="n">
        <f aca="false">KMeans_Data!I64</f>
        <v>-0.672650545388274</v>
      </c>
      <c r="D82" s="17" t="n">
        <f aca="false">KMeans_Data!J64</f>
        <v>0.364128192341594</v>
      </c>
      <c r="E82" s="63" t="n">
        <f aca="false">CD82</f>
        <v>3</v>
      </c>
      <c r="F82" s="38" t="n">
        <f aca="false">($B82-INDEX($L$16:$N$16,E82))^2+($C82-INDEX($L$17:$N$17,E82))^2+($D82-INDEX($L$18:$N$18,E82))^2</f>
        <v>1.62101998261172</v>
      </c>
      <c r="G82" s="12" t="str">
        <f aca="false">INDEX($M$5:$M$7,E82)</f>
        <v>Medium burden</v>
      </c>
      <c r="H82" s="17" t="n">
        <f aca="false">IF(COUNTIF(Distance_Matrix!$E$9:$DQ$9,$E82)&lt;=1,0,SUMIF(Distance_Matrix!$E$9:$DQ$9,$E82,Distance_Matrix!$E$73:$DQ$73)/(COUNTIF(Distance_Matrix!$E$9:$DQ$9,$E82)-1))</f>
        <v>1.46351689109726</v>
      </c>
      <c r="I82" s="17" t="n">
        <f aca="false">MIN(IF(1=$E82,1E+099,IF(COUNTIF(Distance_Matrix!$E$9:$DQ$9,1)=0,1E+099,SUMIF(Distance_Matrix!$E$9:$DQ$9,1,Distance_Matrix!$E$73:$DQ$73)/COUNTIF(Distance_Matrix!$E$9:$DQ$9,1))),IF(2=$E82,1E+099,IF(COUNTIF(Distance_Matrix!$E$9:$DQ$9,2)=0,1E+099,SUMIF(Distance_Matrix!$E$9:$DQ$9,2,Distance_Matrix!$E$73:$DQ$73)/COUNTIF(Distance_Matrix!$E$9:$DQ$9,2))),IF(3=$E82,1E+099,IF(COUNTIF(Distance_Matrix!$E$9:$DQ$9,3)=0,1E+099,SUMIF(Distance_Matrix!$E$9:$DQ$9,3,Distance_Matrix!$E$73:$DQ$73)/COUNTIF(Distance_Matrix!$E$9:$DQ$9,3))))</f>
        <v>1.40693570084584</v>
      </c>
      <c r="J82" s="17" t="n">
        <f aca="false">IF(COUNTIF(Distance_Matrix!$E$9:$DQ$9,$E82)&lt;=1,0,(I82-H82)/MAX(H82,I82))</f>
        <v>-0.0386611118707326</v>
      </c>
      <c r="X82" s="17" t="n">
        <f aca="false">SQRT(($B82-X$16)^2+($C82-X$17)^2+($D82-X$18)^2)</f>
        <v>6.42548092998272</v>
      </c>
      <c r="Y82" s="17" t="n">
        <f aca="false">SQRT(($B82-Y$16)^2+($C82-Y$17)^2+($D82-Y$18)^2)</f>
        <v>2.56706001402801</v>
      </c>
      <c r="Z82" s="17" t="n">
        <f aca="false">SQRT(($B82-Z$16)^2+($C82-Z$17)^2+($D82-Z$18)^2)</f>
        <v>1.84734515584859</v>
      </c>
      <c r="AA82" s="63" t="n">
        <f aca="false">MATCH(MIN(X82:Z82),X82:Z82,0)</f>
        <v>3</v>
      </c>
      <c r="AC82" s="17" t="n">
        <f aca="false">SQRT(($B82-AC$16)^2+($C82-AC$17)^2+($D82-AC$18)^2)</f>
        <v>5.47091471393216</v>
      </c>
      <c r="AD82" s="17" t="n">
        <f aca="false">SQRT(($B82-AD$16)^2+($C82-AD$17)^2+($D82-AD$18)^2)</f>
        <v>1.41317124956701</v>
      </c>
      <c r="AE82" s="17" t="n">
        <f aca="false">SQRT(($B82-AE$16)^2+($C82-AE$17)^2+($D82-AE$18)^2)</f>
        <v>1.16633787102125</v>
      </c>
      <c r="AF82" s="63" t="n">
        <f aca="false">MATCH(MIN(AC82:AE82),AC82:AE82,0)</f>
        <v>3</v>
      </c>
      <c r="AH82" s="17" t="n">
        <f aca="false">SQRT(($B82-AH$16)^2+($C82-AH$17)^2+($D82-AH$18)^2)</f>
        <v>4.83764853594842</v>
      </c>
      <c r="AI82" s="17" t="n">
        <f aca="false">SQRT(($B82-AI$16)^2+($C82-AI$17)^2+($D82-AI$18)^2)</f>
        <v>1.2895636779422</v>
      </c>
      <c r="AJ82" s="17" t="n">
        <f aca="false">SQRT(($B82-AJ$16)^2+($C82-AJ$17)^2+($D82-AJ$18)^2)</f>
        <v>1.25199364542669</v>
      </c>
      <c r="AK82" s="63" t="n">
        <f aca="false">MATCH(MIN(AH82:AJ82),AH82:AJ82,0)</f>
        <v>3</v>
      </c>
      <c r="AM82" s="17" t="n">
        <f aca="false">SQRT(($B82-AM$16)^2+($C82-AM$17)^2+($D82-AM$18)^2)</f>
        <v>4.83764853594842</v>
      </c>
      <c r="AN82" s="17" t="n">
        <f aca="false">SQRT(($B82-AN$16)^2+($C82-AN$17)^2+($D82-AN$18)^2)</f>
        <v>1.27564848176036</v>
      </c>
      <c r="AO82" s="17" t="n">
        <f aca="false">SQRT(($B82-AO$16)^2+($C82-AO$17)^2+($D82-AO$18)^2)</f>
        <v>1.27319283009752</v>
      </c>
      <c r="AP82" s="63" t="n">
        <f aca="false">MATCH(MIN(AM82:AO82),AM82:AO82,0)</f>
        <v>3</v>
      </c>
      <c r="AR82" s="17" t="n">
        <f aca="false">SQRT(($B82-AR$16)^2+($C82-AR$17)^2+($D82-AR$18)^2)</f>
        <v>4.83764853594842</v>
      </c>
      <c r="AS82" s="17" t="n">
        <f aca="false">SQRT(($B82-AS$16)^2+($C82-AS$17)^2+($D82-AS$18)^2)</f>
        <v>1.27564848176036</v>
      </c>
      <c r="AT82" s="17" t="n">
        <f aca="false">SQRT(($B82-AT$16)^2+($C82-AT$17)^2+($D82-AT$18)^2)</f>
        <v>1.27319283009752</v>
      </c>
      <c r="AU82" s="63" t="n">
        <f aca="false">MATCH(MIN(AR82:AT82),AR82:AT82,0)</f>
        <v>3</v>
      </c>
      <c r="AW82" s="17" t="n">
        <f aca="false">SQRT(($B82-AW$16)^2+($C82-AW$17)^2+($D82-AW$18)^2)</f>
        <v>4.83764853594842</v>
      </c>
      <c r="AX82" s="17" t="n">
        <f aca="false">SQRT(($B82-AX$16)^2+($C82-AX$17)^2+($D82-AX$18)^2)</f>
        <v>1.27564848176036</v>
      </c>
      <c r="AY82" s="17" t="n">
        <f aca="false">SQRT(($B82-AY$16)^2+($C82-AY$17)^2+($D82-AY$18)^2)</f>
        <v>1.27319283009752</v>
      </c>
      <c r="AZ82" s="63" t="n">
        <f aca="false">MATCH(MIN(AW82:AY82),AW82:AY82,0)</f>
        <v>3</v>
      </c>
      <c r="BB82" s="17" t="n">
        <f aca="false">SQRT(($B82-BB$16)^2+($C82-BB$17)^2+($D82-BB$18)^2)</f>
        <v>4.83764853594842</v>
      </c>
      <c r="BC82" s="17" t="n">
        <f aca="false">SQRT(($B82-BC$16)^2+($C82-BC$17)^2+($D82-BC$18)^2)</f>
        <v>1.27564848176036</v>
      </c>
      <c r="BD82" s="17" t="n">
        <f aca="false">SQRT(($B82-BD$16)^2+($C82-BD$17)^2+($D82-BD$18)^2)</f>
        <v>1.27319283009752</v>
      </c>
      <c r="BE82" s="63" t="n">
        <f aca="false">MATCH(MIN(BB82:BD82),BB82:BD82,0)</f>
        <v>3</v>
      </c>
      <c r="BG82" s="17" t="n">
        <f aca="false">SQRT(($B82-BG$16)^2+($C82-BG$17)^2+($D82-BG$18)^2)</f>
        <v>4.83764853594842</v>
      </c>
      <c r="BH82" s="17" t="n">
        <f aca="false">SQRT(($B82-BH$16)^2+($C82-BH$17)^2+($D82-BH$18)^2)</f>
        <v>1.27564848176036</v>
      </c>
      <c r="BI82" s="17" t="n">
        <f aca="false">SQRT(($B82-BI$16)^2+($C82-BI$17)^2+($D82-BI$18)^2)</f>
        <v>1.27319283009752</v>
      </c>
      <c r="BJ82" s="63" t="n">
        <f aca="false">MATCH(MIN(BG82:BI82),BG82:BI82,0)</f>
        <v>3</v>
      </c>
      <c r="BL82" s="17" t="n">
        <f aca="false">SQRT(($B82-BL$16)^2+($C82-BL$17)^2+($D82-BL$18)^2)</f>
        <v>4.83764853594842</v>
      </c>
      <c r="BM82" s="17" t="n">
        <f aca="false">SQRT(($B82-BM$16)^2+($C82-BM$17)^2+($D82-BM$18)^2)</f>
        <v>1.27564848176036</v>
      </c>
      <c r="BN82" s="17" t="n">
        <f aca="false">SQRT(($B82-BN$16)^2+($C82-BN$17)^2+($D82-BN$18)^2)</f>
        <v>1.27319283009752</v>
      </c>
      <c r="BO82" s="63" t="n">
        <f aca="false">MATCH(MIN(BL82:BN82),BL82:BN82,0)</f>
        <v>3</v>
      </c>
      <c r="BQ82" s="17" t="n">
        <f aca="false">SQRT(($B82-BQ$16)^2+($C82-BQ$17)^2+($D82-BQ$18)^2)</f>
        <v>4.83764853594842</v>
      </c>
      <c r="BR82" s="17" t="n">
        <f aca="false">SQRT(($B82-BR$16)^2+($C82-BR$17)^2+($D82-BR$18)^2)</f>
        <v>1.27564848176036</v>
      </c>
      <c r="BS82" s="17" t="n">
        <f aca="false">SQRT(($B82-BS$16)^2+($C82-BS$17)^2+($D82-BS$18)^2)</f>
        <v>1.27319283009752</v>
      </c>
      <c r="BT82" s="63" t="n">
        <f aca="false">MATCH(MIN(BQ82:BS82),BQ82:BS82,0)</f>
        <v>3</v>
      </c>
      <c r="BV82" s="17" t="n">
        <f aca="false">SQRT(($B82-BV$16)^2+($C82-BV$17)^2+($D82-BV$18)^2)</f>
        <v>4.83764853594842</v>
      </c>
      <c r="BW82" s="17" t="n">
        <f aca="false">SQRT(($B82-BW$16)^2+($C82-BW$17)^2+($D82-BW$18)^2)</f>
        <v>1.27564848176036</v>
      </c>
      <c r="BX82" s="17" t="n">
        <f aca="false">SQRT(($B82-BX$16)^2+($C82-BX$17)^2+($D82-BX$18)^2)</f>
        <v>1.27319283009752</v>
      </c>
      <c r="BY82" s="63" t="n">
        <f aca="false">MATCH(MIN(BV82:BX82),BV82:BX82,0)</f>
        <v>3</v>
      </c>
      <c r="CA82" s="17" t="n">
        <f aca="false">SQRT(($B82-CA$16)^2+($C82-CA$17)^2+($D82-CA$18)^2)</f>
        <v>4.83764853594842</v>
      </c>
      <c r="CB82" s="17" t="n">
        <f aca="false">SQRT(($B82-CB$16)^2+($C82-CB$17)^2+($D82-CB$18)^2)</f>
        <v>1.27564848176036</v>
      </c>
      <c r="CC82" s="17" t="n">
        <f aca="false">SQRT(($B82-CC$16)^2+($C82-CC$17)^2+($D82-CC$18)^2)</f>
        <v>1.27319283009752</v>
      </c>
      <c r="CD82" s="63" t="n">
        <f aca="false">MATCH(MIN(CA82:CC82),CA82:CC82,0)</f>
        <v>3</v>
      </c>
    </row>
    <row r="83" customFormat="false" ht="15" hidden="false" customHeight="false" outlineLevel="0" collapsed="false">
      <c r="A83" s="36" t="str">
        <f aca="false">KMeans_Data!A65</f>
        <v>Other</v>
      </c>
      <c r="B83" s="17" t="n">
        <f aca="false">KMeans_Data!H65</f>
        <v>-0.0333406256173151</v>
      </c>
      <c r="C83" s="17" t="n">
        <f aca="false">KMeans_Data!I65</f>
        <v>0.547911385844501</v>
      </c>
      <c r="D83" s="17" t="n">
        <f aca="false">KMeans_Data!J65</f>
        <v>0.501871845301586</v>
      </c>
      <c r="E83" s="63" t="n">
        <f aca="false">CD83</f>
        <v>3</v>
      </c>
      <c r="F83" s="38" t="n">
        <f aca="false">($B83-INDEX($L$16:$N$16,E83))^2+($C83-INDEX($L$17:$N$17,E83))^2+($D83-INDEX($L$18:$N$18,E83))^2</f>
        <v>0.365802430470977</v>
      </c>
      <c r="G83" s="12" t="str">
        <f aca="false">INDEX($M$5:$M$7,E83)</f>
        <v>Medium burden</v>
      </c>
      <c r="H83" s="17" t="n">
        <f aca="false">IF(COUNTIF(Distance_Matrix!$E$9:$DQ$9,$E83)&lt;=1,0,SUMIF(Distance_Matrix!$E$9:$DQ$9,$E83,Distance_Matrix!$E$74:$DQ$74)/(COUNTIF(Distance_Matrix!$E$9:$DQ$9,$E83)-1))</f>
        <v>1.0619856552485</v>
      </c>
      <c r="I83" s="17" t="n">
        <f aca="false">MIN(IF(1=$E83,1E+099,IF(COUNTIF(Distance_Matrix!$E$9:$DQ$9,1)=0,1E+099,SUMIF(Distance_Matrix!$E$9:$DQ$9,1,Distance_Matrix!$E$74:$DQ$74)/COUNTIF(Distance_Matrix!$E$9:$DQ$9,1))),IF(2=$E83,1E+099,IF(COUNTIF(Distance_Matrix!$E$9:$DQ$9,2)=0,1E+099,SUMIF(Distance_Matrix!$E$9:$DQ$9,2,Distance_Matrix!$E$74:$DQ$74)/COUNTIF(Distance_Matrix!$E$9:$DQ$9,2))),IF(3=$E83,1E+099,IF(COUNTIF(Distance_Matrix!$E$9:$DQ$9,3)=0,1E+099,SUMIF(Distance_Matrix!$E$9:$DQ$9,3,Distance_Matrix!$E$74:$DQ$74)/COUNTIF(Distance_Matrix!$E$9:$DQ$9,3))))</f>
        <v>1.93635081566751</v>
      </c>
      <c r="J83" s="17" t="n">
        <f aca="false">IF(COUNTIF(Distance_Matrix!$E$9:$DQ$9,$E83)&lt;=1,0,(I83-H83)/MAX(H83,I83))</f>
        <v>0.451553072585969</v>
      </c>
      <c r="X83" s="17" t="n">
        <f aca="false">SQRT(($B83-X$16)^2+($C83-X$17)^2+($D83-X$18)^2)</f>
        <v>5.54024690953817</v>
      </c>
      <c r="Y83" s="17" t="n">
        <f aca="false">SQRT(($B83-Y$16)^2+($C83-Y$17)^2+($D83-Y$18)^2)</f>
        <v>2.89686423762356</v>
      </c>
      <c r="Z83" s="17" t="n">
        <f aca="false">SQRT(($B83-Z$16)^2+($C83-Z$17)^2+($D83-Z$18)^2)</f>
        <v>1.45363127810799</v>
      </c>
      <c r="AA83" s="63" t="n">
        <f aca="false">MATCH(MIN(X83:Z83),X83:Z83,0)</f>
        <v>3</v>
      </c>
      <c r="AC83" s="17" t="n">
        <f aca="false">SQRT(($B83-AC$16)^2+($C83-AC$17)^2+($D83-AC$18)^2)</f>
        <v>4.5613339227977</v>
      </c>
      <c r="AD83" s="17" t="n">
        <f aca="false">SQRT(($B83-AD$16)^2+($C83-AD$17)^2+($D83-AD$18)^2)</f>
        <v>1.92823918211749</v>
      </c>
      <c r="AE83" s="17" t="n">
        <f aca="false">SQRT(($B83-AE$16)^2+($C83-AE$17)^2+($D83-AE$18)^2)</f>
        <v>0.58361121324081</v>
      </c>
      <c r="AF83" s="63" t="n">
        <f aca="false">MATCH(MIN(AC83:AE83),AC83:AE83,0)</f>
        <v>3</v>
      </c>
      <c r="AH83" s="17" t="n">
        <f aca="false">SQRT(($B83-AH$16)^2+($C83-AH$17)^2+($D83-AH$18)^2)</f>
        <v>3.9310099471759</v>
      </c>
      <c r="AI83" s="17" t="n">
        <f aca="false">SQRT(($B83-AI$16)^2+($C83-AI$17)^2+($D83-AI$18)^2)</f>
        <v>1.82748675346707</v>
      </c>
      <c r="AJ83" s="17" t="n">
        <f aca="false">SQRT(($B83-AJ$16)^2+($C83-AJ$17)^2+($D83-AJ$18)^2)</f>
        <v>0.585906159300254</v>
      </c>
      <c r="AK83" s="63" t="n">
        <f aca="false">MATCH(MIN(AH83:AJ83),AH83:AJ83,0)</f>
        <v>3</v>
      </c>
      <c r="AM83" s="17" t="n">
        <f aca="false">SQRT(($B83-AM$16)^2+($C83-AM$17)^2+($D83-AM$18)^2)</f>
        <v>3.9310099471759</v>
      </c>
      <c r="AN83" s="17" t="n">
        <f aca="false">SQRT(($B83-AN$16)^2+($C83-AN$17)^2+($D83-AN$18)^2)</f>
        <v>1.81151777810433</v>
      </c>
      <c r="AO83" s="17" t="n">
        <f aca="false">SQRT(($B83-AO$16)^2+($C83-AO$17)^2+($D83-AO$18)^2)</f>
        <v>0.604816030269517</v>
      </c>
      <c r="AP83" s="63" t="n">
        <f aca="false">MATCH(MIN(AM83:AO83),AM83:AO83,0)</f>
        <v>3</v>
      </c>
      <c r="AR83" s="17" t="n">
        <f aca="false">SQRT(($B83-AR$16)^2+($C83-AR$17)^2+($D83-AR$18)^2)</f>
        <v>3.9310099471759</v>
      </c>
      <c r="AS83" s="17" t="n">
        <f aca="false">SQRT(($B83-AS$16)^2+($C83-AS$17)^2+($D83-AS$18)^2)</f>
        <v>1.81151777810433</v>
      </c>
      <c r="AT83" s="17" t="n">
        <f aca="false">SQRT(($B83-AT$16)^2+($C83-AT$17)^2+($D83-AT$18)^2)</f>
        <v>0.604816030269517</v>
      </c>
      <c r="AU83" s="63" t="n">
        <f aca="false">MATCH(MIN(AR83:AT83),AR83:AT83,0)</f>
        <v>3</v>
      </c>
      <c r="AW83" s="17" t="n">
        <f aca="false">SQRT(($B83-AW$16)^2+($C83-AW$17)^2+($D83-AW$18)^2)</f>
        <v>3.9310099471759</v>
      </c>
      <c r="AX83" s="17" t="n">
        <f aca="false">SQRT(($B83-AX$16)^2+($C83-AX$17)^2+($D83-AX$18)^2)</f>
        <v>1.81151777810433</v>
      </c>
      <c r="AY83" s="17" t="n">
        <f aca="false">SQRT(($B83-AY$16)^2+($C83-AY$17)^2+($D83-AY$18)^2)</f>
        <v>0.604816030269517</v>
      </c>
      <c r="AZ83" s="63" t="n">
        <f aca="false">MATCH(MIN(AW83:AY83),AW83:AY83,0)</f>
        <v>3</v>
      </c>
      <c r="BB83" s="17" t="n">
        <f aca="false">SQRT(($B83-BB$16)^2+($C83-BB$17)^2+($D83-BB$18)^2)</f>
        <v>3.9310099471759</v>
      </c>
      <c r="BC83" s="17" t="n">
        <f aca="false">SQRT(($B83-BC$16)^2+($C83-BC$17)^2+($D83-BC$18)^2)</f>
        <v>1.81151777810433</v>
      </c>
      <c r="BD83" s="17" t="n">
        <f aca="false">SQRT(($B83-BD$16)^2+($C83-BD$17)^2+($D83-BD$18)^2)</f>
        <v>0.604816030269517</v>
      </c>
      <c r="BE83" s="63" t="n">
        <f aca="false">MATCH(MIN(BB83:BD83),BB83:BD83,0)</f>
        <v>3</v>
      </c>
      <c r="BG83" s="17" t="n">
        <f aca="false">SQRT(($B83-BG$16)^2+($C83-BG$17)^2+($D83-BG$18)^2)</f>
        <v>3.9310099471759</v>
      </c>
      <c r="BH83" s="17" t="n">
        <f aca="false">SQRT(($B83-BH$16)^2+($C83-BH$17)^2+($D83-BH$18)^2)</f>
        <v>1.81151777810433</v>
      </c>
      <c r="BI83" s="17" t="n">
        <f aca="false">SQRT(($B83-BI$16)^2+($C83-BI$17)^2+($D83-BI$18)^2)</f>
        <v>0.604816030269517</v>
      </c>
      <c r="BJ83" s="63" t="n">
        <f aca="false">MATCH(MIN(BG83:BI83),BG83:BI83,0)</f>
        <v>3</v>
      </c>
      <c r="BL83" s="17" t="n">
        <f aca="false">SQRT(($B83-BL$16)^2+($C83-BL$17)^2+($D83-BL$18)^2)</f>
        <v>3.9310099471759</v>
      </c>
      <c r="BM83" s="17" t="n">
        <f aca="false">SQRT(($B83-BM$16)^2+($C83-BM$17)^2+($D83-BM$18)^2)</f>
        <v>1.81151777810433</v>
      </c>
      <c r="BN83" s="17" t="n">
        <f aca="false">SQRT(($B83-BN$16)^2+($C83-BN$17)^2+($D83-BN$18)^2)</f>
        <v>0.604816030269517</v>
      </c>
      <c r="BO83" s="63" t="n">
        <f aca="false">MATCH(MIN(BL83:BN83),BL83:BN83,0)</f>
        <v>3</v>
      </c>
      <c r="BQ83" s="17" t="n">
        <f aca="false">SQRT(($B83-BQ$16)^2+($C83-BQ$17)^2+($D83-BQ$18)^2)</f>
        <v>3.9310099471759</v>
      </c>
      <c r="BR83" s="17" t="n">
        <f aca="false">SQRT(($B83-BR$16)^2+($C83-BR$17)^2+($D83-BR$18)^2)</f>
        <v>1.81151777810433</v>
      </c>
      <c r="BS83" s="17" t="n">
        <f aca="false">SQRT(($B83-BS$16)^2+($C83-BS$17)^2+($D83-BS$18)^2)</f>
        <v>0.604816030269517</v>
      </c>
      <c r="BT83" s="63" t="n">
        <f aca="false">MATCH(MIN(BQ83:BS83),BQ83:BS83,0)</f>
        <v>3</v>
      </c>
      <c r="BV83" s="17" t="n">
        <f aca="false">SQRT(($B83-BV$16)^2+($C83-BV$17)^2+($D83-BV$18)^2)</f>
        <v>3.9310099471759</v>
      </c>
      <c r="BW83" s="17" t="n">
        <f aca="false">SQRT(($B83-BW$16)^2+($C83-BW$17)^2+($D83-BW$18)^2)</f>
        <v>1.81151777810433</v>
      </c>
      <c r="BX83" s="17" t="n">
        <f aca="false">SQRT(($B83-BX$16)^2+($C83-BX$17)^2+($D83-BX$18)^2)</f>
        <v>0.604816030269517</v>
      </c>
      <c r="BY83" s="63" t="n">
        <f aca="false">MATCH(MIN(BV83:BX83),BV83:BX83,0)</f>
        <v>3</v>
      </c>
      <c r="CA83" s="17" t="n">
        <f aca="false">SQRT(($B83-CA$16)^2+($C83-CA$17)^2+($D83-CA$18)^2)</f>
        <v>3.9310099471759</v>
      </c>
      <c r="CB83" s="17" t="n">
        <f aca="false">SQRT(($B83-CB$16)^2+($C83-CB$17)^2+($D83-CB$18)^2)</f>
        <v>1.81151777810433</v>
      </c>
      <c r="CC83" s="17" t="n">
        <f aca="false">SQRT(($B83-CC$16)^2+($C83-CC$17)^2+($D83-CC$18)^2)</f>
        <v>0.604816030269517</v>
      </c>
      <c r="CD83" s="63" t="n">
        <f aca="false">MATCH(MIN(CA83:CC83),CA83:CC83,0)</f>
        <v>3</v>
      </c>
    </row>
    <row r="84" customFormat="false" ht="15" hidden="false" customHeight="false" outlineLevel="0" collapsed="false">
      <c r="A84" s="36" t="str">
        <f aca="false">KMeans_Data!A66</f>
        <v>Thatta</v>
      </c>
      <c r="B84" s="17" t="n">
        <f aca="false">KMeans_Data!H66</f>
        <v>-0.0436472993942904</v>
      </c>
      <c r="C84" s="17" t="n">
        <f aca="false">KMeans_Data!I66</f>
        <v>0.160512589624996</v>
      </c>
      <c r="D84" s="17" t="n">
        <f aca="false">KMeans_Data!J66</f>
        <v>0.042930091906806</v>
      </c>
      <c r="E84" s="63" t="n">
        <f aca="false">CD84</f>
        <v>3</v>
      </c>
      <c r="F84" s="38" t="n">
        <f aca="false">($B84-INDEX($L$16:$N$16,E84))^2+($C84-INDEX($L$17:$N$17,E84))^2+($D84-INDEX($L$18:$N$18,E84))^2</f>
        <v>0.83317021850674</v>
      </c>
      <c r="G84" s="12" t="str">
        <f aca="false">INDEX($M$5:$M$7,E84)</f>
        <v>Medium burden</v>
      </c>
      <c r="H84" s="17" t="n">
        <f aca="false">IF(COUNTIF(Distance_Matrix!$E$9:$DQ$9,$E84)&lt;=1,0,SUMIF(Distance_Matrix!$E$9:$DQ$9,$E84,Distance_Matrix!$E$75:$DQ$75)/(COUNTIF(Distance_Matrix!$E$9:$DQ$9,$E84)-1))</f>
        <v>1.22153836326058</v>
      </c>
      <c r="I84" s="17" t="n">
        <f aca="false">MIN(IF(1=$E84,1E+099,IF(COUNTIF(Distance_Matrix!$E$9:$DQ$9,1)=0,1E+099,SUMIF(Distance_Matrix!$E$9:$DQ$9,1,Distance_Matrix!$E$75:$DQ$75)/COUNTIF(Distance_Matrix!$E$9:$DQ$9,1))),IF(2=$E84,1E+099,IF(COUNTIF(Distance_Matrix!$E$9:$DQ$9,2)=0,1E+099,SUMIF(Distance_Matrix!$E$9:$DQ$9,2,Distance_Matrix!$E$75:$DQ$75)/COUNTIF(Distance_Matrix!$E$9:$DQ$9,2))),IF(3=$E84,1E+099,IF(COUNTIF(Distance_Matrix!$E$9:$DQ$9,3)=0,1E+099,SUMIF(Distance_Matrix!$E$9:$DQ$9,3,Distance_Matrix!$E$75:$DQ$75)/COUNTIF(Distance_Matrix!$E$9:$DQ$9,3))))</f>
        <v>1.43038663016181</v>
      </c>
      <c r="J84" s="17" t="n">
        <f aca="false">IF(COUNTIF(Distance_Matrix!$E$9:$DQ$9,$E84)&lt;=1,0,(I84-H84)/MAX(H84,I84))</f>
        <v>0.14600826272936</v>
      </c>
      <c r="X84" s="17" t="n">
        <f aca="false">SQRT(($B84-X$16)^2+($C84-X$17)^2+($D84-X$18)^2)</f>
        <v>6.02934929788541</v>
      </c>
      <c r="Y84" s="17" t="n">
        <f aca="false">SQRT(($B84-Y$16)^2+($C84-Y$17)^2+($D84-Y$18)^2)</f>
        <v>2.50050689361822</v>
      </c>
      <c r="Z84" s="17" t="n">
        <f aca="false">SQRT(($B84-Z$16)^2+($C84-Z$17)^2+($D84-Z$18)^2)</f>
        <v>1.80383182415036</v>
      </c>
      <c r="AA84" s="63" t="n">
        <f aca="false">MATCH(MIN(X84:Z84),X84:Z84,0)</f>
        <v>3</v>
      </c>
      <c r="AC84" s="17" t="n">
        <f aca="false">SQRT(($B84-AC$16)^2+($C84-AC$17)^2+($D84-AC$18)^2)</f>
        <v>5.03427909230894</v>
      </c>
      <c r="AD84" s="17" t="n">
        <f aca="false">SQRT(($B84-AD$16)^2+($C84-AD$17)^2+($D84-AD$18)^2)</f>
        <v>1.38620863816571</v>
      </c>
      <c r="AE84" s="17" t="n">
        <f aca="false">SQRT(($B84-AE$16)^2+($C84-AE$17)^2+($D84-AE$18)^2)</f>
        <v>0.799202144917936</v>
      </c>
      <c r="AF84" s="63" t="n">
        <f aca="false">MATCH(MIN(AC84:AE84),AC84:AE84,0)</f>
        <v>3</v>
      </c>
      <c r="AH84" s="17" t="n">
        <f aca="false">SQRT(($B84-AH$16)^2+($C84-AH$17)^2+($D84-AH$18)^2)</f>
        <v>4.39903764260703</v>
      </c>
      <c r="AI84" s="17" t="n">
        <f aca="false">SQRT(($B84-AI$16)^2+($C84-AI$17)^2+($D84-AI$18)^2)</f>
        <v>1.27306792836305</v>
      </c>
      <c r="AJ84" s="17" t="n">
        <f aca="false">SQRT(($B84-AJ$16)^2+($C84-AJ$17)^2+($D84-AJ$18)^2)</f>
        <v>0.889123521790308</v>
      </c>
      <c r="AK84" s="63" t="n">
        <f aca="false">MATCH(MIN(AH84:AJ84),AH84:AJ84,0)</f>
        <v>3</v>
      </c>
      <c r="AM84" s="17" t="n">
        <f aca="false">SQRT(($B84-AM$16)^2+($C84-AM$17)^2+($D84-AM$18)^2)</f>
        <v>4.39903764260703</v>
      </c>
      <c r="AN84" s="17" t="n">
        <f aca="false">SQRT(($B84-AN$16)^2+($C84-AN$17)^2+($D84-AN$18)^2)</f>
        <v>1.2576372836418</v>
      </c>
      <c r="AO84" s="17" t="n">
        <f aca="false">SQRT(($B84-AO$16)^2+($C84-AO$17)^2+($D84-AO$18)^2)</f>
        <v>0.912781583132975</v>
      </c>
      <c r="AP84" s="63" t="n">
        <f aca="false">MATCH(MIN(AM84:AO84),AM84:AO84,0)</f>
        <v>3</v>
      </c>
      <c r="AR84" s="17" t="n">
        <f aca="false">SQRT(($B84-AR$16)^2+($C84-AR$17)^2+($D84-AR$18)^2)</f>
        <v>4.39903764260703</v>
      </c>
      <c r="AS84" s="17" t="n">
        <f aca="false">SQRT(($B84-AS$16)^2+($C84-AS$17)^2+($D84-AS$18)^2)</f>
        <v>1.2576372836418</v>
      </c>
      <c r="AT84" s="17" t="n">
        <f aca="false">SQRT(($B84-AT$16)^2+($C84-AT$17)^2+($D84-AT$18)^2)</f>
        <v>0.912781583132975</v>
      </c>
      <c r="AU84" s="63" t="n">
        <f aca="false">MATCH(MIN(AR84:AT84),AR84:AT84,0)</f>
        <v>3</v>
      </c>
      <c r="AW84" s="17" t="n">
        <f aca="false">SQRT(($B84-AW$16)^2+($C84-AW$17)^2+($D84-AW$18)^2)</f>
        <v>4.39903764260703</v>
      </c>
      <c r="AX84" s="17" t="n">
        <f aca="false">SQRT(($B84-AX$16)^2+($C84-AX$17)^2+($D84-AX$18)^2)</f>
        <v>1.2576372836418</v>
      </c>
      <c r="AY84" s="17" t="n">
        <f aca="false">SQRT(($B84-AY$16)^2+($C84-AY$17)^2+($D84-AY$18)^2)</f>
        <v>0.912781583132975</v>
      </c>
      <c r="AZ84" s="63" t="n">
        <f aca="false">MATCH(MIN(AW84:AY84),AW84:AY84,0)</f>
        <v>3</v>
      </c>
      <c r="BB84" s="17" t="n">
        <f aca="false">SQRT(($B84-BB$16)^2+($C84-BB$17)^2+($D84-BB$18)^2)</f>
        <v>4.39903764260703</v>
      </c>
      <c r="BC84" s="17" t="n">
        <f aca="false">SQRT(($B84-BC$16)^2+($C84-BC$17)^2+($D84-BC$18)^2)</f>
        <v>1.2576372836418</v>
      </c>
      <c r="BD84" s="17" t="n">
        <f aca="false">SQRT(($B84-BD$16)^2+($C84-BD$17)^2+($D84-BD$18)^2)</f>
        <v>0.912781583132975</v>
      </c>
      <c r="BE84" s="63" t="n">
        <f aca="false">MATCH(MIN(BB84:BD84),BB84:BD84,0)</f>
        <v>3</v>
      </c>
      <c r="BG84" s="17" t="n">
        <f aca="false">SQRT(($B84-BG$16)^2+($C84-BG$17)^2+($D84-BG$18)^2)</f>
        <v>4.39903764260703</v>
      </c>
      <c r="BH84" s="17" t="n">
        <f aca="false">SQRT(($B84-BH$16)^2+($C84-BH$17)^2+($D84-BH$18)^2)</f>
        <v>1.2576372836418</v>
      </c>
      <c r="BI84" s="17" t="n">
        <f aca="false">SQRT(($B84-BI$16)^2+($C84-BI$17)^2+($D84-BI$18)^2)</f>
        <v>0.912781583132975</v>
      </c>
      <c r="BJ84" s="63" t="n">
        <f aca="false">MATCH(MIN(BG84:BI84),BG84:BI84,0)</f>
        <v>3</v>
      </c>
      <c r="BL84" s="17" t="n">
        <f aca="false">SQRT(($B84-BL$16)^2+($C84-BL$17)^2+($D84-BL$18)^2)</f>
        <v>4.39903764260703</v>
      </c>
      <c r="BM84" s="17" t="n">
        <f aca="false">SQRT(($B84-BM$16)^2+($C84-BM$17)^2+($D84-BM$18)^2)</f>
        <v>1.2576372836418</v>
      </c>
      <c r="BN84" s="17" t="n">
        <f aca="false">SQRT(($B84-BN$16)^2+($C84-BN$17)^2+($D84-BN$18)^2)</f>
        <v>0.912781583132975</v>
      </c>
      <c r="BO84" s="63" t="n">
        <f aca="false">MATCH(MIN(BL84:BN84),BL84:BN84,0)</f>
        <v>3</v>
      </c>
      <c r="BQ84" s="17" t="n">
        <f aca="false">SQRT(($B84-BQ$16)^2+($C84-BQ$17)^2+($D84-BQ$18)^2)</f>
        <v>4.39903764260703</v>
      </c>
      <c r="BR84" s="17" t="n">
        <f aca="false">SQRT(($B84-BR$16)^2+($C84-BR$17)^2+($D84-BR$18)^2)</f>
        <v>1.2576372836418</v>
      </c>
      <c r="BS84" s="17" t="n">
        <f aca="false">SQRT(($B84-BS$16)^2+($C84-BS$17)^2+($D84-BS$18)^2)</f>
        <v>0.912781583132975</v>
      </c>
      <c r="BT84" s="63" t="n">
        <f aca="false">MATCH(MIN(BQ84:BS84),BQ84:BS84,0)</f>
        <v>3</v>
      </c>
      <c r="BV84" s="17" t="n">
        <f aca="false">SQRT(($B84-BV$16)^2+($C84-BV$17)^2+($D84-BV$18)^2)</f>
        <v>4.39903764260703</v>
      </c>
      <c r="BW84" s="17" t="n">
        <f aca="false">SQRT(($B84-BW$16)^2+($C84-BW$17)^2+($D84-BW$18)^2)</f>
        <v>1.2576372836418</v>
      </c>
      <c r="BX84" s="17" t="n">
        <f aca="false">SQRT(($B84-BX$16)^2+($C84-BX$17)^2+($D84-BX$18)^2)</f>
        <v>0.912781583132975</v>
      </c>
      <c r="BY84" s="63" t="n">
        <f aca="false">MATCH(MIN(BV84:BX84),BV84:BX84,0)</f>
        <v>3</v>
      </c>
      <c r="CA84" s="17" t="n">
        <f aca="false">SQRT(($B84-CA$16)^2+($C84-CA$17)^2+($D84-CA$18)^2)</f>
        <v>4.39903764260703</v>
      </c>
      <c r="CB84" s="17" t="n">
        <f aca="false">SQRT(($B84-CB$16)^2+($C84-CB$17)^2+($D84-CB$18)^2)</f>
        <v>1.2576372836418</v>
      </c>
      <c r="CC84" s="17" t="n">
        <f aca="false">SQRT(($B84-CC$16)^2+($C84-CC$17)^2+($D84-CC$18)^2)</f>
        <v>0.912781583132975</v>
      </c>
      <c r="CD84" s="63" t="n">
        <f aca="false">MATCH(MIN(CA84:CC84),CA84:CC84,0)</f>
        <v>3</v>
      </c>
    </row>
    <row r="85" customFormat="false" ht="15" hidden="false" customHeight="false" outlineLevel="0" collapsed="false">
      <c r="A85" s="36" t="str">
        <f aca="false">KMeans_Data!A67</f>
        <v>Hafizabad</v>
      </c>
      <c r="B85" s="17" t="n">
        <f aca="false">KMeans_Data!H67</f>
        <v>-0.0648939235999031</v>
      </c>
      <c r="C85" s="17" t="n">
        <f aca="false">KMeans_Data!I67</f>
        <v>-0.672650545388274</v>
      </c>
      <c r="D85" s="17" t="n">
        <f aca="false">KMeans_Data!J67</f>
        <v>-0.824446015898766</v>
      </c>
      <c r="E85" s="63" t="n">
        <f aca="false">CD85</f>
        <v>2</v>
      </c>
      <c r="F85" s="38" t="n">
        <f aca="false">($B85-INDEX($L$16:$N$16,E85))^2+($C85-INDEX($L$17:$N$17,E85))^2+($D85-INDEX($L$18:$N$18,E85))^2</f>
        <v>0.337426922966728</v>
      </c>
      <c r="G85" s="12" t="str">
        <f aca="false">INDEX($M$5:$M$7,E85)</f>
        <v>Low burden</v>
      </c>
      <c r="H85" s="17" t="n">
        <f aca="false">IF(COUNTIF(Distance_Matrix!$E$9:$DQ$9,$E85)&lt;=1,0,SUMIF(Distance_Matrix!$E$9:$DQ$9,$E85,Distance_Matrix!$E$76:$DQ$76)/(COUNTIF(Distance_Matrix!$E$9:$DQ$9,$E85)-1))</f>
        <v>0.920007828788274</v>
      </c>
      <c r="I85" s="17" t="n">
        <f aca="false">MIN(IF(1=$E85,1E+099,IF(COUNTIF(Distance_Matrix!$E$9:$DQ$9,1)=0,1E+099,SUMIF(Distance_Matrix!$E$9:$DQ$9,1,Distance_Matrix!$E$76:$DQ$76)/COUNTIF(Distance_Matrix!$E$9:$DQ$9,1))),IF(2=$E85,1E+099,IF(COUNTIF(Distance_Matrix!$E$9:$DQ$9,2)=0,1E+099,SUMIF(Distance_Matrix!$E$9:$DQ$9,2,Distance_Matrix!$E$76:$DQ$76)/COUNTIF(Distance_Matrix!$E$9:$DQ$9,2))),IF(3=$E85,1E+099,IF(COUNTIF(Distance_Matrix!$E$9:$DQ$9,3)=0,1E+099,SUMIF(Distance_Matrix!$E$9:$DQ$9,3,Distance_Matrix!$E$76:$DQ$76)/COUNTIF(Distance_Matrix!$E$9:$DQ$9,3))))</f>
        <v>2.10158287245452</v>
      </c>
      <c r="J85" s="17" t="n">
        <f aca="false">IF(COUNTIF(Distance_Matrix!$E$9:$DQ$9,$E85)&lt;=1,0,(I85-H85)/MAX(H85,I85))</f>
        <v>0.562231001762133</v>
      </c>
      <c r="X85" s="17" t="n">
        <f aca="false">SQRT(($B85-X$16)^2+($C85-X$17)^2+($D85-X$18)^2)</f>
        <v>7.06907020065435</v>
      </c>
      <c r="Y85" s="17" t="n">
        <f aca="false">SQRT(($B85-Y$16)^2+($C85-Y$17)^2+($D85-Y$18)^2)</f>
        <v>2.04028546987929</v>
      </c>
      <c r="Z85" s="17" t="n">
        <f aca="false">SQRT(($B85-Z$16)^2+($C85-Z$17)^2+($D85-Z$18)^2)</f>
        <v>2.75437055778799</v>
      </c>
      <c r="AA85" s="63" t="n">
        <f aca="false">MATCH(MIN(X85:Z85),X85:Z85,0)</f>
        <v>2</v>
      </c>
      <c r="AC85" s="17" t="n">
        <f aca="false">SQRT(($B85-AC$16)^2+($C85-AC$17)^2+($D85-AC$18)^2)</f>
        <v>6.06111012377618</v>
      </c>
      <c r="AD85" s="17" t="n">
        <f aca="false">SQRT(($B85-AD$16)^2+($C85-AD$17)^2+($D85-AD$18)^2)</f>
        <v>0.700102875177278</v>
      </c>
      <c r="AE85" s="17" t="n">
        <f aca="false">SQRT(($B85-AE$16)^2+($C85-AE$17)^2+($D85-AE$18)^2)</f>
        <v>1.83614026602765</v>
      </c>
      <c r="AF85" s="63" t="n">
        <f aca="false">MATCH(MIN(AC85:AE85),AC85:AE85,0)</f>
        <v>2</v>
      </c>
      <c r="AH85" s="17" t="n">
        <f aca="false">SQRT(($B85-AH$16)^2+($C85-AH$17)^2+($D85-AH$18)^2)</f>
        <v>5.426136739761</v>
      </c>
      <c r="AI85" s="17" t="n">
        <f aca="false">SQRT(($B85-AI$16)^2+($C85-AI$17)^2+($D85-AI$18)^2)</f>
        <v>0.582143149960278</v>
      </c>
      <c r="AJ85" s="17" t="n">
        <f aca="false">SQRT(($B85-AJ$16)^2+($C85-AJ$17)^2+($D85-AJ$18)^2)</f>
        <v>1.9543978655684</v>
      </c>
      <c r="AK85" s="63" t="n">
        <f aca="false">MATCH(MIN(AH85:AJ85),AH85:AJ85,0)</f>
        <v>2</v>
      </c>
      <c r="AM85" s="17" t="n">
        <f aca="false">SQRT(($B85-AM$16)^2+($C85-AM$17)^2+($D85-AM$18)^2)</f>
        <v>5.426136739761</v>
      </c>
      <c r="AN85" s="17" t="n">
        <f aca="false">SQRT(($B85-AN$16)^2+($C85-AN$17)^2+($D85-AN$18)^2)</f>
        <v>0.580884603829993</v>
      </c>
      <c r="AO85" s="17" t="n">
        <f aca="false">SQRT(($B85-AO$16)^2+($C85-AO$17)^2+($D85-AO$18)^2)</f>
        <v>1.97554533085759</v>
      </c>
      <c r="AP85" s="63" t="n">
        <f aca="false">MATCH(MIN(AM85:AO85),AM85:AO85,0)</f>
        <v>2</v>
      </c>
      <c r="AR85" s="17" t="n">
        <f aca="false">SQRT(($B85-AR$16)^2+($C85-AR$17)^2+($D85-AR$18)^2)</f>
        <v>5.426136739761</v>
      </c>
      <c r="AS85" s="17" t="n">
        <f aca="false">SQRT(($B85-AS$16)^2+($C85-AS$17)^2+($D85-AS$18)^2)</f>
        <v>0.580884603829993</v>
      </c>
      <c r="AT85" s="17" t="n">
        <f aca="false">SQRT(($B85-AT$16)^2+($C85-AT$17)^2+($D85-AT$18)^2)</f>
        <v>1.97554533085759</v>
      </c>
      <c r="AU85" s="63" t="n">
        <f aca="false">MATCH(MIN(AR85:AT85),AR85:AT85,0)</f>
        <v>2</v>
      </c>
      <c r="AW85" s="17" t="n">
        <f aca="false">SQRT(($B85-AW$16)^2+($C85-AW$17)^2+($D85-AW$18)^2)</f>
        <v>5.426136739761</v>
      </c>
      <c r="AX85" s="17" t="n">
        <f aca="false">SQRT(($B85-AX$16)^2+($C85-AX$17)^2+($D85-AX$18)^2)</f>
        <v>0.580884603829993</v>
      </c>
      <c r="AY85" s="17" t="n">
        <f aca="false">SQRT(($B85-AY$16)^2+($C85-AY$17)^2+($D85-AY$18)^2)</f>
        <v>1.97554533085759</v>
      </c>
      <c r="AZ85" s="63" t="n">
        <f aca="false">MATCH(MIN(AW85:AY85),AW85:AY85,0)</f>
        <v>2</v>
      </c>
      <c r="BB85" s="17" t="n">
        <f aca="false">SQRT(($B85-BB$16)^2+($C85-BB$17)^2+($D85-BB$18)^2)</f>
        <v>5.426136739761</v>
      </c>
      <c r="BC85" s="17" t="n">
        <f aca="false">SQRT(($B85-BC$16)^2+($C85-BC$17)^2+($D85-BC$18)^2)</f>
        <v>0.580884603829993</v>
      </c>
      <c r="BD85" s="17" t="n">
        <f aca="false">SQRT(($B85-BD$16)^2+($C85-BD$17)^2+($D85-BD$18)^2)</f>
        <v>1.97554533085759</v>
      </c>
      <c r="BE85" s="63" t="n">
        <f aca="false">MATCH(MIN(BB85:BD85),BB85:BD85,0)</f>
        <v>2</v>
      </c>
      <c r="BG85" s="17" t="n">
        <f aca="false">SQRT(($B85-BG$16)^2+($C85-BG$17)^2+($D85-BG$18)^2)</f>
        <v>5.426136739761</v>
      </c>
      <c r="BH85" s="17" t="n">
        <f aca="false">SQRT(($B85-BH$16)^2+($C85-BH$17)^2+($D85-BH$18)^2)</f>
        <v>0.580884603829993</v>
      </c>
      <c r="BI85" s="17" t="n">
        <f aca="false">SQRT(($B85-BI$16)^2+($C85-BI$17)^2+($D85-BI$18)^2)</f>
        <v>1.97554533085759</v>
      </c>
      <c r="BJ85" s="63" t="n">
        <f aca="false">MATCH(MIN(BG85:BI85),BG85:BI85,0)</f>
        <v>2</v>
      </c>
      <c r="BL85" s="17" t="n">
        <f aca="false">SQRT(($B85-BL$16)^2+($C85-BL$17)^2+($D85-BL$18)^2)</f>
        <v>5.426136739761</v>
      </c>
      <c r="BM85" s="17" t="n">
        <f aca="false">SQRT(($B85-BM$16)^2+($C85-BM$17)^2+($D85-BM$18)^2)</f>
        <v>0.580884603829993</v>
      </c>
      <c r="BN85" s="17" t="n">
        <f aca="false">SQRT(($B85-BN$16)^2+($C85-BN$17)^2+($D85-BN$18)^2)</f>
        <v>1.97554533085759</v>
      </c>
      <c r="BO85" s="63" t="n">
        <f aca="false">MATCH(MIN(BL85:BN85),BL85:BN85,0)</f>
        <v>2</v>
      </c>
      <c r="BQ85" s="17" t="n">
        <f aca="false">SQRT(($B85-BQ$16)^2+($C85-BQ$17)^2+($D85-BQ$18)^2)</f>
        <v>5.426136739761</v>
      </c>
      <c r="BR85" s="17" t="n">
        <f aca="false">SQRT(($B85-BR$16)^2+($C85-BR$17)^2+($D85-BR$18)^2)</f>
        <v>0.580884603829993</v>
      </c>
      <c r="BS85" s="17" t="n">
        <f aca="false">SQRT(($B85-BS$16)^2+($C85-BS$17)^2+($D85-BS$18)^2)</f>
        <v>1.97554533085759</v>
      </c>
      <c r="BT85" s="63" t="n">
        <f aca="false">MATCH(MIN(BQ85:BS85),BQ85:BS85,0)</f>
        <v>2</v>
      </c>
      <c r="BV85" s="17" t="n">
        <f aca="false">SQRT(($B85-BV$16)^2+($C85-BV$17)^2+($D85-BV$18)^2)</f>
        <v>5.426136739761</v>
      </c>
      <c r="BW85" s="17" t="n">
        <f aca="false">SQRT(($B85-BW$16)^2+($C85-BW$17)^2+($D85-BW$18)^2)</f>
        <v>0.580884603829993</v>
      </c>
      <c r="BX85" s="17" t="n">
        <f aca="false">SQRT(($B85-BX$16)^2+($C85-BX$17)^2+($D85-BX$18)^2)</f>
        <v>1.97554533085759</v>
      </c>
      <c r="BY85" s="63" t="n">
        <f aca="false">MATCH(MIN(BV85:BX85),BV85:BX85,0)</f>
        <v>2</v>
      </c>
      <c r="CA85" s="17" t="n">
        <f aca="false">SQRT(($B85-CA$16)^2+($C85-CA$17)^2+($D85-CA$18)^2)</f>
        <v>5.426136739761</v>
      </c>
      <c r="CB85" s="17" t="n">
        <f aca="false">SQRT(($B85-CB$16)^2+($C85-CB$17)^2+($D85-CB$18)^2)</f>
        <v>0.580884603829993</v>
      </c>
      <c r="CC85" s="17" t="n">
        <f aca="false">SQRT(($B85-CC$16)^2+($C85-CC$17)^2+($D85-CC$18)^2)</f>
        <v>1.97554533085759</v>
      </c>
      <c r="CD85" s="63" t="n">
        <f aca="false">MATCH(MIN(CA85:CC85),CA85:CC85,0)</f>
        <v>2</v>
      </c>
    </row>
    <row r="86" customFormat="false" ht="15" hidden="false" customHeight="false" outlineLevel="0" collapsed="false">
      <c r="A86" s="36" t="str">
        <f aca="false">KMeans_Data!A68</f>
        <v>Mirpurkhas</v>
      </c>
      <c r="B86" s="17" t="n">
        <f aca="false">KMeans_Data!H68</f>
        <v>-0.0984842888309702</v>
      </c>
      <c r="C86" s="17" t="n">
        <f aca="false">KMeans_Data!I68</f>
        <v>0.160512589624996</v>
      </c>
      <c r="D86" s="17" t="n">
        <f aca="false">KMeans_Data!J68</f>
        <v>0.265159896369606</v>
      </c>
      <c r="E86" s="63" t="n">
        <f aca="false">CD86</f>
        <v>3</v>
      </c>
      <c r="F86" s="38" t="n">
        <f aca="false">($B86-INDEX($L$16:$N$16,E86))^2+($C86-INDEX($L$17:$N$17,E86))^2+($D86-INDEX($L$18:$N$18,E86))^2</f>
        <v>0.655705026275565</v>
      </c>
      <c r="G86" s="12" t="str">
        <f aca="false">INDEX($M$5:$M$7,E86)</f>
        <v>Medium burden</v>
      </c>
      <c r="H86" s="17" t="n">
        <f aca="false">IF(COUNTIF(Distance_Matrix!$E$9:$DQ$9,$E86)&lt;=1,0,SUMIF(Distance_Matrix!$E$9:$DQ$9,$E86,Distance_Matrix!$E$77:$DQ$77)/(COUNTIF(Distance_Matrix!$E$9:$DQ$9,$E86)-1))</f>
        <v>1.14522032661432</v>
      </c>
      <c r="I86" s="17" t="n">
        <f aca="false">MIN(IF(1=$E86,1E+099,IF(COUNTIF(Distance_Matrix!$E$9:$DQ$9,1)=0,1E+099,SUMIF(Distance_Matrix!$E$9:$DQ$9,1,Distance_Matrix!$E$77:$DQ$77)/COUNTIF(Distance_Matrix!$E$9:$DQ$9,1))),IF(2=$E86,1E+099,IF(COUNTIF(Distance_Matrix!$E$9:$DQ$9,2)=0,1E+099,SUMIF(Distance_Matrix!$E$9:$DQ$9,2,Distance_Matrix!$E$77:$DQ$77)/COUNTIF(Distance_Matrix!$E$9:$DQ$9,2))),IF(3=$E86,1E+099,IF(COUNTIF(Distance_Matrix!$E$9:$DQ$9,3)=0,1E+099,SUMIF(Distance_Matrix!$E$9:$DQ$9,3,Distance_Matrix!$E$77:$DQ$77)/COUNTIF(Distance_Matrix!$E$9:$DQ$9,3))))</f>
        <v>1.53794803479609</v>
      </c>
      <c r="J86" s="17" t="n">
        <f aca="false">IF(COUNTIF(Distance_Matrix!$E$9:$DQ$9,$E86)&lt;=1,0,(I86-H86)/MAX(H86,I86))</f>
        <v>0.255358243124148</v>
      </c>
      <c r="X86" s="17" t="n">
        <f aca="false">SQRT(($B86-X$16)^2+($C86-X$17)^2+($D86-X$18)^2)</f>
        <v>5.94497441444557</v>
      </c>
      <c r="Y86" s="17" t="n">
        <f aca="false">SQRT(($B86-Y$16)^2+($C86-Y$17)^2+($D86-Y$18)^2)</f>
        <v>2.57097159994448</v>
      </c>
      <c r="Z86" s="17" t="n">
        <f aca="false">SQRT(($B86-Z$16)^2+($C86-Z$17)^2+($D86-Z$18)^2)</f>
        <v>1.67042015284584</v>
      </c>
      <c r="AA86" s="63" t="n">
        <f aca="false">MATCH(MIN(X86:Z86),X86:Z86,0)</f>
        <v>3</v>
      </c>
      <c r="AC86" s="17" t="n">
        <f aca="false">SQRT(($B86-AC$16)^2+($C86-AC$17)^2+($D86-AC$18)^2)</f>
        <v>4.96217278134434</v>
      </c>
      <c r="AD86" s="17" t="n">
        <f aca="false">SQRT(($B86-AD$16)^2+($C86-AD$17)^2+($D86-AD$18)^2)</f>
        <v>1.51040071801666</v>
      </c>
      <c r="AE86" s="17" t="n">
        <f aca="false">SQRT(($B86-AE$16)^2+($C86-AE$17)^2+($D86-AE$18)^2)</f>
        <v>0.713842874681368</v>
      </c>
      <c r="AF86" s="63" t="n">
        <f aca="false">MATCH(MIN(AC86:AE86),AC86:AE86,0)</f>
        <v>3</v>
      </c>
      <c r="AH86" s="17" t="n">
        <f aca="false">SQRT(($B86-AH$16)^2+($C86-AH$17)^2+($D86-AH$18)^2)</f>
        <v>4.32791029353431</v>
      </c>
      <c r="AI86" s="17" t="n">
        <f aca="false">SQRT(($B86-AI$16)^2+($C86-AI$17)^2+($D86-AI$18)^2)</f>
        <v>1.40091361517244</v>
      </c>
      <c r="AJ86" s="17" t="n">
        <f aca="false">SQRT(($B86-AJ$16)^2+($C86-AJ$17)^2+($D86-AJ$18)^2)</f>
        <v>0.784911587729535</v>
      </c>
      <c r="AK86" s="63" t="n">
        <f aca="false">MATCH(MIN(AH86:AJ86),AH86:AJ86,0)</f>
        <v>3</v>
      </c>
      <c r="AM86" s="17" t="n">
        <f aca="false">SQRT(($B86-AM$16)^2+($C86-AM$17)^2+($D86-AM$18)^2)</f>
        <v>4.32791029353431</v>
      </c>
      <c r="AN86" s="17" t="n">
        <f aca="false">SQRT(($B86-AN$16)^2+($C86-AN$17)^2+($D86-AN$18)^2)</f>
        <v>1.38477688946125</v>
      </c>
      <c r="AO86" s="17" t="n">
        <f aca="false">SQRT(($B86-AO$16)^2+($C86-AO$17)^2+($D86-AO$18)^2)</f>
        <v>0.809756152354254</v>
      </c>
      <c r="AP86" s="63" t="n">
        <f aca="false">MATCH(MIN(AM86:AO86),AM86:AO86,0)</f>
        <v>3</v>
      </c>
      <c r="AR86" s="17" t="n">
        <f aca="false">SQRT(($B86-AR$16)^2+($C86-AR$17)^2+($D86-AR$18)^2)</f>
        <v>4.32791029353431</v>
      </c>
      <c r="AS86" s="17" t="n">
        <f aca="false">SQRT(($B86-AS$16)^2+($C86-AS$17)^2+($D86-AS$18)^2)</f>
        <v>1.38477688946125</v>
      </c>
      <c r="AT86" s="17" t="n">
        <f aca="false">SQRT(($B86-AT$16)^2+($C86-AT$17)^2+($D86-AT$18)^2)</f>
        <v>0.809756152354254</v>
      </c>
      <c r="AU86" s="63" t="n">
        <f aca="false">MATCH(MIN(AR86:AT86),AR86:AT86,0)</f>
        <v>3</v>
      </c>
      <c r="AW86" s="17" t="n">
        <f aca="false">SQRT(($B86-AW$16)^2+($C86-AW$17)^2+($D86-AW$18)^2)</f>
        <v>4.32791029353431</v>
      </c>
      <c r="AX86" s="17" t="n">
        <f aca="false">SQRT(($B86-AX$16)^2+($C86-AX$17)^2+($D86-AX$18)^2)</f>
        <v>1.38477688946125</v>
      </c>
      <c r="AY86" s="17" t="n">
        <f aca="false">SQRT(($B86-AY$16)^2+($C86-AY$17)^2+($D86-AY$18)^2)</f>
        <v>0.809756152354254</v>
      </c>
      <c r="AZ86" s="63" t="n">
        <f aca="false">MATCH(MIN(AW86:AY86),AW86:AY86,0)</f>
        <v>3</v>
      </c>
      <c r="BB86" s="17" t="n">
        <f aca="false">SQRT(($B86-BB$16)^2+($C86-BB$17)^2+($D86-BB$18)^2)</f>
        <v>4.32791029353431</v>
      </c>
      <c r="BC86" s="17" t="n">
        <f aca="false">SQRT(($B86-BC$16)^2+($C86-BC$17)^2+($D86-BC$18)^2)</f>
        <v>1.38477688946125</v>
      </c>
      <c r="BD86" s="17" t="n">
        <f aca="false">SQRT(($B86-BD$16)^2+($C86-BD$17)^2+($D86-BD$18)^2)</f>
        <v>0.809756152354254</v>
      </c>
      <c r="BE86" s="63" t="n">
        <f aca="false">MATCH(MIN(BB86:BD86),BB86:BD86,0)</f>
        <v>3</v>
      </c>
      <c r="BG86" s="17" t="n">
        <f aca="false">SQRT(($B86-BG$16)^2+($C86-BG$17)^2+($D86-BG$18)^2)</f>
        <v>4.32791029353431</v>
      </c>
      <c r="BH86" s="17" t="n">
        <f aca="false">SQRT(($B86-BH$16)^2+($C86-BH$17)^2+($D86-BH$18)^2)</f>
        <v>1.38477688946125</v>
      </c>
      <c r="BI86" s="17" t="n">
        <f aca="false">SQRT(($B86-BI$16)^2+($C86-BI$17)^2+($D86-BI$18)^2)</f>
        <v>0.809756152354254</v>
      </c>
      <c r="BJ86" s="63" t="n">
        <f aca="false">MATCH(MIN(BG86:BI86),BG86:BI86,0)</f>
        <v>3</v>
      </c>
      <c r="BL86" s="17" t="n">
        <f aca="false">SQRT(($B86-BL$16)^2+($C86-BL$17)^2+($D86-BL$18)^2)</f>
        <v>4.32791029353431</v>
      </c>
      <c r="BM86" s="17" t="n">
        <f aca="false">SQRT(($B86-BM$16)^2+($C86-BM$17)^2+($D86-BM$18)^2)</f>
        <v>1.38477688946125</v>
      </c>
      <c r="BN86" s="17" t="n">
        <f aca="false">SQRT(($B86-BN$16)^2+($C86-BN$17)^2+($D86-BN$18)^2)</f>
        <v>0.809756152354254</v>
      </c>
      <c r="BO86" s="63" t="n">
        <f aca="false">MATCH(MIN(BL86:BN86),BL86:BN86,0)</f>
        <v>3</v>
      </c>
      <c r="BQ86" s="17" t="n">
        <f aca="false">SQRT(($B86-BQ$16)^2+($C86-BQ$17)^2+($D86-BQ$18)^2)</f>
        <v>4.32791029353431</v>
      </c>
      <c r="BR86" s="17" t="n">
        <f aca="false">SQRT(($B86-BR$16)^2+($C86-BR$17)^2+($D86-BR$18)^2)</f>
        <v>1.38477688946125</v>
      </c>
      <c r="BS86" s="17" t="n">
        <f aca="false">SQRT(($B86-BS$16)^2+($C86-BS$17)^2+($D86-BS$18)^2)</f>
        <v>0.809756152354254</v>
      </c>
      <c r="BT86" s="63" t="n">
        <f aca="false">MATCH(MIN(BQ86:BS86),BQ86:BS86,0)</f>
        <v>3</v>
      </c>
      <c r="BV86" s="17" t="n">
        <f aca="false">SQRT(($B86-BV$16)^2+($C86-BV$17)^2+($D86-BV$18)^2)</f>
        <v>4.32791029353431</v>
      </c>
      <c r="BW86" s="17" t="n">
        <f aca="false">SQRT(($B86-BW$16)^2+($C86-BW$17)^2+($D86-BW$18)^2)</f>
        <v>1.38477688946125</v>
      </c>
      <c r="BX86" s="17" t="n">
        <f aca="false">SQRT(($B86-BX$16)^2+($C86-BX$17)^2+($D86-BX$18)^2)</f>
        <v>0.809756152354254</v>
      </c>
      <c r="BY86" s="63" t="n">
        <f aca="false">MATCH(MIN(BV86:BX86),BV86:BX86,0)</f>
        <v>3</v>
      </c>
      <c r="CA86" s="17" t="n">
        <f aca="false">SQRT(($B86-CA$16)^2+($C86-CA$17)^2+($D86-CA$18)^2)</f>
        <v>4.32791029353431</v>
      </c>
      <c r="CB86" s="17" t="n">
        <f aca="false">SQRT(($B86-CB$16)^2+($C86-CB$17)^2+($D86-CB$18)^2)</f>
        <v>1.38477688946125</v>
      </c>
      <c r="CC86" s="17" t="n">
        <f aca="false">SQRT(($B86-CC$16)^2+($C86-CC$17)^2+($D86-CC$18)^2)</f>
        <v>0.809756152354254</v>
      </c>
      <c r="CD86" s="63" t="n">
        <f aca="false">MATCH(MIN(CA86:CC86),CA86:CC86,0)</f>
        <v>3</v>
      </c>
    </row>
    <row r="87" customFormat="false" ht="15" hidden="false" customHeight="false" outlineLevel="0" collapsed="false">
      <c r="A87" s="36" t="str">
        <f aca="false">KMeans_Data!A69</f>
        <v>Kashmore</v>
      </c>
      <c r="B87" s="17" t="n">
        <f aca="false">KMeans_Data!H69</f>
        <v>-0.110180736511367</v>
      </c>
      <c r="C87" s="17" t="n">
        <f aca="false">KMeans_Data!I69</f>
        <v>-0.146983133929529</v>
      </c>
      <c r="D87" s="17" t="n">
        <f aca="false">KMeans_Data!J69</f>
        <v>0.381616717142464</v>
      </c>
      <c r="E87" s="63" t="n">
        <f aca="false">CD87</f>
        <v>3</v>
      </c>
      <c r="F87" s="38" t="n">
        <f aca="false">($B87-INDEX($L$16:$N$16,E87))^2+($C87-INDEX($L$17:$N$17,E87))^2+($D87-INDEX($L$18:$N$18,E87))^2</f>
        <v>0.845853822191346</v>
      </c>
      <c r="G87" s="12" t="str">
        <f aca="false">INDEX($M$5:$M$7,E87)</f>
        <v>Medium burden</v>
      </c>
      <c r="H87" s="17" t="n">
        <f aca="false">IF(COUNTIF(Distance_Matrix!$E$9:$DQ$9,$E87)&lt;=1,0,SUMIF(Distance_Matrix!$E$9:$DQ$9,$E87,Distance_Matrix!$E$78:$DQ$78)/(COUNTIF(Distance_Matrix!$E$9:$DQ$9,$E87)-1))</f>
        <v>1.19574108419658</v>
      </c>
      <c r="I87" s="17" t="n">
        <f aca="false">MIN(IF(1=$E87,1E+099,IF(COUNTIF(Distance_Matrix!$E$9:$DQ$9,1)=0,1E+099,SUMIF(Distance_Matrix!$E$9:$DQ$9,1,Distance_Matrix!$E$78:$DQ$78)/COUNTIF(Distance_Matrix!$E$9:$DQ$9,1))),IF(2=$E87,1E+099,IF(COUNTIF(Distance_Matrix!$E$9:$DQ$9,2)=0,1E+099,SUMIF(Distance_Matrix!$E$9:$DQ$9,2,Distance_Matrix!$E$78:$DQ$78)/COUNTIF(Distance_Matrix!$E$9:$DQ$9,2))),IF(3=$E87,1E+099,IF(COUNTIF(Distance_Matrix!$E$9:$DQ$9,3)=0,1E+099,SUMIF(Distance_Matrix!$E$9:$DQ$9,3,Distance_Matrix!$E$78:$DQ$78)/COUNTIF(Distance_Matrix!$E$9:$DQ$9,3))))</f>
        <v>1.47148463258332</v>
      </c>
      <c r="J87" s="17" t="n">
        <f aca="false">IF(COUNTIF(Distance_Matrix!$E$9:$DQ$9,$E87)&lt;=1,0,(I87-H87)/MAX(H87,I87))</f>
        <v>0.187391388452796</v>
      </c>
      <c r="X87" s="17" t="n">
        <f aca="false">SQRT(($B87-X$16)^2+($C87-X$17)^2+($D87-X$18)^2)</f>
        <v>6.10075211782889</v>
      </c>
      <c r="Y87" s="17" t="n">
        <f aca="false">SQRT(($B87-Y$16)^2+($C87-Y$17)^2+($D87-Y$18)^2)</f>
        <v>2.54715677244681</v>
      </c>
      <c r="Z87" s="17" t="n">
        <f aca="false">SQRT(($B87-Z$16)^2+($C87-Z$17)^2+($D87-Z$18)^2)</f>
        <v>1.66690792501503</v>
      </c>
      <c r="AA87" s="63" t="n">
        <f aca="false">MATCH(MIN(X87:Z87),X87:Z87,0)</f>
        <v>3</v>
      </c>
      <c r="AC87" s="17" t="n">
        <f aca="false">SQRT(($B87-AC$16)^2+($C87-AC$17)^2+($D87-AC$18)^2)</f>
        <v>5.13261637032686</v>
      </c>
      <c r="AD87" s="17" t="n">
        <f aca="false">SQRT(($B87-AD$16)^2+($C87-AD$17)^2+($D87-AD$18)^2)</f>
        <v>1.46075330035596</v>
      </c>
      <c r="AE87" s="17" t="n">
        <f aca="false">SQRT(($B87-AE$16)^2+($C87-AE$17)^2+($D87-AE$18)^2)</f>
        <v>0.820906200629036</v>
      </c>
      <c r="AF87" s="63" t="n">
        <f aca="false">MATCH(MIN(AC87:AE87),AC87:AE87,0)</f>
        <v>3</v>
      </c>
      <c r="AH87" s="17" t="n">
        <f aca="false">SQRT(($B87-AH$16)^2+($C87-AH$17)^2+($D87-AH$18)^2)</f>
        <v>4.49835603984144</v>
      </c>
      <c r="AI87" s="17" t="n">
        <f aca="false">SQRT(($B87-AI$16)^2+($C87-AI$17)^2+($D87-AI$18)^2)</f>
        <v>1.34521376071274</v>
      </c>
      <c r="AJ87" s="17" t="n">
        <f aca="false">SQRT(($B87-AJ$16)^2+($C87-AJ$17)^2+($D87-AJ$18)^2)</f>
        <v>0.895073873964267</v>
      </c>
      <c r="AK87" s="63" t="n">
        <f aca="false">MATCH(MIN(AH87:AJ87),AH87:AJ87,0)</f>
        <v>3</v>
      </c>
      <c r="AM87" s="17" t="n">
        <f aca="false">SQRT(($B87-AM$16)^2+($C87-AM$17)^2+($D87-AM$18)^2)</f>
        <v>4.49835603984144</v>
      </c>
      <c r="AN87" s="17" t="n">
        <f aca="false">SQRT(($B87-AN$16)^2+($C87-AN$17)^2+($D87-AN$18)^2)</f>
        <v>1.32896385428361</v>
      </c>
      <c r="AO87" s="17" t="n">
        <f aca="false">SQRT(($B87-AO$16)^2+($C87-AO$17)^2+($D87-AO$18)^2)</f>
        <v>0.919703116332301</v>
      </c>
      <c r="AP87" s="63" t="n">
        <f aca="false">MATCH(MIN(AM87:AO87),AM87:AO87,0)</f>
        <v>3</v>
      </c>
      <c r="AR87" s="17" t="n">
        <f aca="false">SQRT(($B87-AR$16)^2+($C87-AR$17)^2+($D87-AR$18)^2)</f>
        <v>4.49835603984144</v>
      </c>
      <c r="AS87" s="17" t="n">
        <f aca="false">SQRT(($B87-AS$16)^2+($C87-AS$17)^2+($D87-AS$18)^2)</f>
        <v>1.32896385428361</v>
      </c>
      <c r="AT87" s="17" t="n">
        <f aca="false">SQRT(($B87-AT$16)^2+($C87-AT$17)^2+($D87-AT$18)^2)</f>
        <v>0.919703116332301</v>
      </c>
      <c r="AU87" s="63" t="n">
        <f aca="false">MATCH(MIN(AR87:AT87),AR87:AT87,0)</f>
        <v>3</v>
      </c>
      <c r="AW87" s="17" t="n">
        <f aca="false">SQRT(($B87-AW$16)^2+($C87-AW$17)^2+($D87-AW$18)^2)</f>
        <v>4.49835603984144</v>
      </c>
      <c r="AX87" s="17" t="n">
        <f aca="false">SQRT(($B87-AX$16)^2+($C87-AX$17)^2+($D87-AX$18)^2)</f>
        <v>1.32896385428361</v>
      </c>
      <c r="AY87" s="17" t="n">
        <f aca="false">SQRT(($B87-AY$16)^2+($C87-AY$17)^2+($D87-AY$18)^2)</f>
        <v>0.919703116332301</v>
      </c>
      <c r="AZ87" s="63" t="n">
        <f aca="false">MATCH(MIN(AW87:AY87),AW87:AY87,0)</f>
        <v>3</v>
      </c>
      <c r="BB87" s="17" t="n">
        <f aca="false">SQRT(($B87-BB$16)^2+($C87-BB$17)^2+($D87-BB$18)^2)</f>
        <v>4.49835603984144</v>
      </c>
      <c r="BC87" s="17" t="n">
        <f aca="false">SQRT(($B87-BC$16)^2+($C87-BC$17)^2+($D87-BC$18)^2)</f>
        <v>1.32896385428361</v>
      </c>
      <c r="BD87" s="17" t="n">
        <f aca="false">SQRT(($B87-BD$16)^2+($C87-BD$17)^2+($D87-BD$18)^2)</f>
        <v>0.919703116332301</v>
      </c>
      <c r="BE87" s="63" t="n">
        <f aca="false">MATCH(MIN(BB87:BD87),BB87:BD87,0)</f>
        <v>3</v>
      </c>
      <c r="BG87" s="17" t="n">
        <f aca="false">SQRT(($B87-BG$16)^2+($C87-BG$17)^2+($D87-BG$18)^2)</f>
        <v>4.49835603984144</v>
      </c>
      <c r="BH87" s="17" t="n">
        <f aca="false">SQRT(($B87-BH$16)^2+($C87-BH$17)^2+($D87-BH$18)^2)</f>
        <v>1.32896385428361</v>
      </c>
      <c r="BI87" s="17" t="n">
        <f aca="false">SQRT(($B87-BI$16)^2+($C87-BI$17)^2+($D87-BI$18)^2)</f>
        <v>0.919703116332301</v>
      </c>
      <c r="BJ87" s="63" t="n">
        <f aca="false">MATCH(MIN(BG87:BI87),BG87:BI87,0)</f>
        <v>3</v>
      </c>
      <c r="BL87" s="17" t="n">
        <f aca="false">SQRT(($B87-BL$16)^2+($C87-BL$17)^2+($D87-BL$18)^2)</f>
        <v>4.49835603984144</v>
      </c>
      <c r="BM87" s="17" t="n">
        <f aca="false">SQRT(($B87-BM$16)^2+($C87-BM$17)^2+($D87-BM$18)^2)</f>
        <v>1.32896385428361</v>
      </c>
      <c r="BN87" s="17" t="n">
        <f aca="false">SQRT(($B87-BN$16)^2+($C87-BN$17)^2+($D87-BN$18)^2)</f>
        <v>0.919703116332301</v>
      </c>
      <c r="BO87" s="63" t="n">
        <f aca="false">MATCH(MIN(BL87:BN87),BL87:BN87,0)</f>
        <v>3</v>
      </c>
      <c r="BQ87" s="17" t="n">
        <f aca="false">SQRT(($B87-BQ$16)^2+($C87-BQ$17)^2+($D87-BQ$18)^2)</f>
        <v>4.49835603984144</v>
      </c>
      <c r="BR87" s="17" t="n">
        <f aca="false">SQRT(($B87-BR$16)^2+($C87-BR$17)^2+($D87-BR$18)^2)</f>
        <v>1.32896385428361</v>
      </c>
      <c r="BS87" s="17" t="n">
        <f aca="false">SQRT(($B87-BS$16)^2+($C87-BS$17)^2+($D87-BS$18)^2)</f>
        <v>0.919703116332301</v>
      </c>
      <c r="BT87" s="63" t="n">
        <f aca="false">MATCH(MIN(BQ87:BS87),BQ87:BS87,0)</f>
        <v>3</v>
      </c>
      <c r="BV87" s="17" t="n">
        <f aca="false">SQRT(($B87-BV$16)^2+($C87-BV$17)^2+($D87-BV$18)^2)</f>
        <v>4.49835603984144</v>
      </c>
      <c r="BW87" s="17" t="n">
        <f aca="false">SQRT(($B87-BW$16)^2+($C87-BW$17)^2+($D87-BW$18)^2)</f>
        <v>1.32896385428361</v>
      </c>
      <c r="BX87" s="17" t="n">
        <f aca="false">SQRT(($B87-BX$16)^2+($C87-BX$17)^2+($D87-BX$18)^2)</f>
        <v>0.919703116332301</v>
      </c>
      <c r="BY87" s="63" t="n">
        <f aca="false">MATCH(MIN(BV87:BX87),BV87:BX87,0)</f>
        <v>3</v>
      </c>
      <c r="CA87" s="17" t="n">
        <f aca="false">SQRT(($B87-CA$16)^2+($C87-CA$17)^2+($D87-CA$18)^2)</f>
        <v>4.49835603984144</v>
      </c>
      <c r="CB87" s="17" t="n">
        <f aca="false">SQRT(($B87-CB$16)^2+($C87-CB$17)^2+($D87-CB$18)^2)</f>
        <v>1.32896385428361</v>
      </c>
      <c r="CC87" s="17" t="n">
        <f aca="false">SQRT(($B87-CC$16)^2+($C87-CC$17)^2+($D87-CC$18)^2)</f>
        <v>0.919703116332301</v>
      </c>
      <c r="CD87" s="63" t="n">
        <f aca="false">MATCH(MIN(CA87:CC87),CA87:CC87,0)</f>
        <v>3</v>
      </c>
    </row>
    <row r="88" customFormat="false" ht="15" hidden="false" customHeight="false" outlineLevel="0" collapsed="false">
      <c r="A88" s="36" t="str">
        <f aca="false">KMeans_Data!A70</f>
        <v>Naushero Feroz</v>
      </c>
      <c r="B88" s="17" t="n">
        <f aca="false">KMeans_Data!H70</f>
        <v>-0.134393009866687</v>
      </c>
      <c r="C88" s="17" t="n">
        <f aca="false">KMeans_Data!I70</f>
        <v>-0.146983133929529</v>
      </c>
      <c r="D88" s="17" t="n">
        <f aca="false">KMeans_Data!J70</f>
        <v>0.430439822017226</v>
      </c>
      <c r="E88" s="63" t="n">
        <f aca="false">CD88</f>
        <v>3</v>
      </c>
      <c r="F88" s="38" t="n">
        <f aca="false">($B88-INDEX($L$16:$N$16,E88))^2+($C88-INDEX($L$17:$N$17,E88))^2+($D88-INDEX($L$18:$N$18,E88))^2</f>
        <v>0.848490259128065</v>
      </c>
      <c r="G88" s="12" t="str">
        <f aca="false">INDEX($M$5:$M$7,E88)</f>
        <v>Medium burden</v>
      </c>
      <c r="H88" s="17" t="n">
        <f aca="false">IF(COUNTIF(Distance_Matrix!$E$9:$DQ$9,$E88)&lt;=1,0,SUMIF(Distance_Matrix!$E$9:$DQ$9,$E88,Distance_Matrix!$E$79:$DQ$79)/(COUNTIF(Distance_Matrix!$E$9:$DQ$9,$E88)-1))</f>
        <v>1.19722483198844</v>
      </c>
      <c r="I88" s="17" t="n">
        <f aca="false">MIN(IF(1=$E88,1E+099,IF(COUNTIF(Distance_Matrix!$E$9:$DQ$9,1)=0,1E+099,SUMIF(Distance_Matrix!$E$9:$DQ$9,1,Distance_Matrix!$E$79:$DQ$79)/COUNTIF(Distance_Matrix!$E$9:$DQ$9,1))),IF(2=$E88,1E+099,IF(COUNTIF(Distance_Matrix!$E$9:$DQ$9,2)=0,1E+099,SUMIF(Distance_Matrix!$E$9:$DQ$9,2,Distance_Matrix!$E$79:$DQ$79)/COUNTIF(Distance_Matrix!$E$9:$DQ$9,2))),IF(3=$E88,1E+099,IF(COUNTIF(Distance_Matrix!$E$9:$DQ$9,3)=0,1E+099,SUMIF(Distance_Matrix!$E$9:$DQ$9,3,Distance_Matrix!$E$79:$DQ$79)/COUNTIF(Distance_Matrix!$E$9:$DQ$9,3))))</f>
        <v>1.50076005331954</v>
      </c>
      <c r="J88" s="17" t="n">
        <f aca="false">IF(COUNTIF(Distance_Matrix!$E$9:$DQ$9,$E88)&lt;=1,0,(I88-H88)/MAX(H88,I88))</f>
        <v>0.202254331503367</v>
      </c>
      <c r="X88" s="17" t="n">
        <f aca="false">SQRT(($B88-X$16)^2+($C88-X$17)^2+($D88-X$18)^2)</f>
        <v>6.09144375722268</v>
      </c>
      <c r="Y88" s="17" t="n">
        <f aca="false">SQRT(($B88-Y$16)^2+($C88-Y$17)^2+($D88-Y$18)^2)</f>
        <v>2.55826774752687</v>
      </c>
      <c r="Z88" s="17" t="n">
        <f aca="false">SQRT(($B88-Z$16)^2+($C88-Z$17)^2+($D88-Z$18)^2)</f>
        <v>1.65251443757261</v>
      </c>
      <c r="AA88" s="63" t="n">
        <f aca="false">MATCH(MIN(X88:Z88),X88:Z88,0)</f>
        <v>3</v>
      </c>
      <c r="AC88" s="17" t="n">
        <f aca="false">SQRT(($B88-AC$16)^2+($C88-AC$17)^2+($D88-AC$18)^2)</f>
        <v>5.12664973455644</v>
      </c>
      <c r="AD88" s="17" t="n">
        <f aca="false">SQRT(($B88-AD$16)^2+($C88-AD$17)^2+($D88-AD$18)^2)</f>
        <v>1.49098972130192</v>
      </c>
      <c r="AE88" s="17" t="n">
        <f aca="false">SQRT(($B88-AE$16)^2+($C88-AE$17)^2+($D88-AE$18)^2)</f>
        <v>0.828683133091343</v>
      </c>
      <c r="AF88" s="63" t="n">
        <f aca="false">MATCH(MIN(AC88:AE88),AC88:AE88,0)</f>
        <v>3</v>
      </c>
      <c r="AH88" s="17" t="n">
        <f aca="false">SQRT(($B88-AH$16)^2+($C88-AH$17)^2+($D88-AH$18)^2)</f>
        <v>4.49311310497396</v>
      </c>
      <c r="AI88" s="17" t="n">
        <f aca="false">SQRT(($B88-AI$16)^2+($C88-AI$17)^2+($D88-AI$18)^2)</f>
        <v>1.37764793348368</v>
      </c>
      <c r="AJ88" s="17" t="n">
        <f aca="false">SQRT(($B88-AJ$16)^2+($C88-AJ$17)^2+($D88-AJ$18)^2)</f>
        <v>0.89665650919192</v>
      </c>
      <c r="AK88" s="63" t="n">
        <f aca="false">MATCH(MIN(AH88:AJ88),AH88:AJ88,0)</f>
        <v>3</v>
      </c>
      <c r="AM88" s="17" t="n">
        <f aca="false">SQRT(($B88-AM$16)^2+($C88-AM$17)^2+($D88-AM$18)^2)</f>
        <v>4.49311310497396</v>
      </c>
      <c r="AN88" s="17" t="n">
        <f aca="false">SQRT(($B88-AN$16)^2+($C88-AN$17)^2+($D88-AN$18)^2)</f>
        <v>1.36134260304533</v>
      </c>
      <c r="AO88" s="17" t="n">
        <f aca="false">SQRT(($B88-AO$16)^2+($C88-AO$17)^2+($D88-AO$18)^2)</f>
        <v>0.921135309891041</v>
      </c>
      <c r="AP88" s="63" t="n">
        <f aca="false">MATCH(MIN(AM88:AO88),AM88:AO88,0)</f>
        <v>3</v>
      </c>
      <c r="AR88" s="17" t="n">
        <f aca="false">SQRT(($B88-AR$16)^2+($C88-AR$17)^2+($D88-AR$18)^2)</f>
        <v>4.49311310497396</v>
      </c>
      <c r="AS88" s="17" t="n">
        <f aca="false">SQRT(($B88-AS$16)^2+($C88-AS$17)^2+($D88-AS$18)^2)</f>
        <v>1.36134260304533</v>
      </c>
      <c r="AT88" s="17" t="n">
        <f aca="false">SQRT(($B88-AT$16)^2+($C88-AT$17)^2+($D88-AT$18)^2)</f>
        <v>0.921135309891041</v>
      </c>
      <c r="AU88" s="63" t="n">
        <f aca="false">MATCH(MIN(AR88:AT88),AR88:AT88,0)</f>
        <v>3</v>
      </c>
      <c r="AW88" s="17" t="n">
        <f aca="false">SQRT(($B88-AW$16)^2+($C88-AW$17)^2+($D88-AW$18)^2)</f>
        <v>4.49311310497396</v>
      </c>
      <c r="AX88" s="17" t="n">
        <f aca="false">SQRT(($B88-AX$16)^2+($C88-AX$17)^2+($D88-AX$18)^2)</f>
        <v>1.36134260304533</v>
      </c>
      <c r="AY88" s="17" t="n">
        <f aca="false">SQRT(($B88-AY$16)^2+($C88-AY$17)^2+($D88-AY$18)^2)</f>
        <v>0.921135309891041</v>
      </c>
      <c r="AZ88" s="63" t="n">
        <f aca="false">MATCH(MIN(AW88:AY88),AW88:AY88,0)</f>
        <v>3</v>
      </c>
      <c r="BB88" s="17" t="n">
        <f aca="false">SQRT(($B88-BB$16)^2+($C88-BB$17)^2+($D88-BB$18)^2)</f>
        <v>4.49311310497396</v>
      </c>
      <c r="BC88" s="17" t="n">
        <f aca="false">SQRT(($B88-BC$16)^2+($C88-BC$17)^2+($D88-BC$18)^2)</f>
        <v>1.36134260304533</v>
      </c>
      <c r="BD88" s="17" t="n">
        <f aca="false">SQRT(($B88-BD$16)^2+($C88-BD$17)^2+($D88-BD$18)^2)</f>
        <v>0.921135309891041</v>
      </c>
      <c r="BE88" s="63" t="n">
        <f aca="false">MATCH(MIN(BB88:BD88),BB88:BD88,0)</f>
        <v>3</v>
      </c>
      <c r="BG88" s="17" t="n">
        <f aca="false">SQRT(($B88-BG$16)^2+($C88-BG$17)^2+($D88-BG$18)^2)</f>
        <v>4.49311310497396</v>
      </c>
      <c r="BH88" s="17" t="n">
        <f aca="false">SQRT(($B88-BH$16)^2+($C88-BH$17)^2+($D88-BH$18)^2)</f>
        <v>1.36134260304533</v>
      </c>
      <c r="BI88" s="17" t="n">
        <f aca="false">SQRT(($B88-BI$16)^2+($C88-BI$17)^2+($D88-BI$18)^2)</f>
        <v>0.921135309891041</v>
      </c>
      <c r="BJ88" s="63" t="n">
        <f aca="false">MATCH(MIN(BG88:BI88),BG88:BI88,0)</f>
        <v>3</v>
      </c>
      <c r="BL88" s="17" t="n">
        <f aca="false">SQRT(($B88-BL$16)^2+($C88-BL$17)^2+($D88-BL$18)^2)</f>
        <v>4.49311310497396</v>
      </c>
      <c r="BM88" s="17" t="n">
        <f aca="false">SQRT(($B88-BM$16)^2+($C88-BM$17)^2+($D88-BM$18)^2)</f>
        <v>1.36134260304533</v>
      </c>
      <c r="BN88" s="17" t="n">
        <f aca="false">SQRT(($B88-BN$16)^2+($C88-BN$17)^2+($D88-BN$18)^2)</f>
        <v>0.921135309891041</v>
      </c>
      <c r="BO88" s="63" t="n">
        <f aca="false">MATCH(MIN(BL88:BN88),BL88:BN88,0)</f>
        <v>3</v>
      </c>
      <c r="BQ88" s="17" t="n">
        <f aca="false">SQRT(($B88-BQ$16)^2+($C88-BQ$17)^2+($D88-BQ$18)^2)</f>
        <v>4.49311310497396</v>
      </c>
      <c r="BR88" s="17" t="n">
        <f aca="false">SQRT(($B88-BR$16)^2+($C88-BR$17)^2+($D88-BR$18)^2)</f>
        <v>1.36134260304533</v>
      </c>
      <c r="BS88" s="17" t="n">
        <f aca="false">SQRT(($B88-BS$16)^2+($C88-BS$17)^2+($D88-BS$18)^2)</f>
        <v>0.921135309891041</v>
      </c>
      <c r="BT88" s="63" t="n">
        <f aca="false">MATCH(MIN(BQ88:BS88),BQ88:BS88,0)</f>
        <v>3</v>
      </c>
      <c r="BV88" s="17" t="n">
        <f aca="false">SQRT(($B88-BV$16)^2+($C88-BV$17)^2+($D88-BV$18)^2)</f>
        <v>4.49311310497396</v>
      </c>
      <c r="BW88" s="17" t="n">
        <f aca="false">SQRT(($B88-BW$16)^2+($C88-BW$17)^2+($D88-BW$18)^2)</f>
        <v>1.36134260304533</v>
      </c>
      <c r="BX88" s="17" t="n">
        <f aca="false">SQRT(($B88-BX$16)^2+($C88-BX$17)^2+($D88-BX$18)^2)</f>
        <v>0.921135309891041</v>
      </c>
      <c r="BY88" s="63" t="n">
        <f aca="false">MATCH(MIN(BV88:BX88),BV88:BX88,0)</f>
        <v>3</v>
      </c>
      <c r="CA88" s="17" t="n">
        <f aca="false">SQRT(($B88-CA$16)^2+($C88-CA$17)^2+($D88-CA$18)^2)</f>
        <v>4.49311310497396</v>
      </c>
      <c r="CB88" s="17" t="n">
        <f aca="false">SQRT(($B88-CB$16)^2+($C88-CB$17)^2+($D88-CB$18)^2)</f>
        <v>1.36134260304533</v>
      </c>
      <c r="CC88" s="17" t="n">
        <f aca="false">SQRT(($B88-CC$16)^2+($C88-CC$17)^2+($D88-CC$18)^2)</f>
        <v>0.921135309891041</v>
      </c>
      <c r="CD88" s="63" t="n">
        <f aca="false">MATCH(MIN(CA88:CC88),CA88:CC88,0)</f>
        <v>3</v>
      </c>
    </row>
    <row r="89" customFormat="false" ht="15" hidden="false" customHeight="false" outlineLevel="0" collapsed="false">
      <c r="A89" s="36" t="str">
        <f aca="false">KMeans_Data!A71</f>
        <v>Tando M. Khan</v>
      </c>
      <c r="B89" s="17" t="n">
        <f aca="false">KMeans_Data!H71</f>
        <v>-0.172963987436362</v>
      </c>
      <c r="C89" s="17" t="n">
        <f aca="false">KMeans_Data!I71</f>
        <v>-0.672650545388274</v>
      </c>
      <c r="D89" s="17" t="n">
        <f aca="false">KMeans_Data!J71</f>
        <v>0.597261815332999</v>
      </c>
      <c r="E89" s="63" t="n">
        <f aca="false">CD89</f>
        <v>3</v>
      </c>
      <c r="F89" s="38" t="n">
        <f aca="false">($B89-INDEX($L$16:$N$16,E89))^2+($C89-INDEX($L$17:$N$17,E89))^2+($D89-INDEX($L$18:$N$18,E89))^2</f>
        <v>1.72666116928909</v>
      </c>
      <c r="G89" s="12" t="str">
        <f aca="false">INDEX($M$5:$M$7,E89)</f>
        <v>Medium burden</v>
      </c>
      <c r="H89" s="17" t="n">
        <f aca="false">IF(COUNTIF(Distance_Matrix!$E$9:$DQ$9,$E89)&lt;=1,0,SUMIF(Distance_Matrix!$E$9:$DQ$9,$E89,Distance_Matrix!$E$80:$DQ$80)/(COUNTIF(Distance_Matrix!$E$9:$DQ$9,$E89)-1))</f>
        <v>1.49719641313918</v>
      </c>
      <c r="I89" s="17" t="n">
        <f aca="false">MIN(IF(1=$E89,1E+099,IF(COUNTIF(Distance_Matrix!$E$9:$DQ$9,1)=0,1E+099,SUMIF(Distance_Matrix!$E$9:$DQ$9,1,Distance_Matrix!$E$80:$DQ$80)/COUNTIF(Distance_Matrix!$E$9:$DQ$9,1))),IF(2=$E89,1E+099,IF(COUNTIF(Distance_Matrix!$E$9:$DQ$9,2)=0,1E+099,SUMIF(Distance_Matrix!$E$9:$DQ$9,2,Distance_Matrix!$E$80:$DQ$80)/COUNTIF(Distance_Matrix!$E$9:$DQ$9,2))),IF(3=$E89,1E+099,IF(COUNTIF(Distance_Matrix!$E$9:$DQ$9,3)=0,1E+099,SUMIF(Distance_Matrix!$E$9:$DQ$9,3,Distance_Matrix!$E$80:$DQ$80)/COUNTIF(Distance_Matrix!$E$9:$DQ$9,3))))</f>
        <v>1.54268179051708</v>
      </c>
      <c r="J89" s="17" t="n">
        <f aca="false">IF(COUNTIF(Distance_Matrix!$E$9:$DQ$9,$E89)&lt;=1,0,(I89-H89)/MAX(H89,I89))</f>
        <v>0.0294846141683286</v>
      </c>
      <c r="X89" s="17" t="n">
        <f aca="false">SQRT(($B89-X$16)^2+($C89-X$17)^2+($D89-X$18)^2)</f>
        <v>6.41352976848323</v>
      </c>
      <c r="Y89" s="17" t="n">
        <f aca="false">SQRT(($B89-Y$16)^2+($C89-Y$17)^2+($D89-Y$18)^2)</f>
        <v>2.5833134057316</v>
      </c>
      <c r="Z89" s="17" t="n">
        <f aca="false">SQRT(($B89-Z$16)^2+($C89-Z$17)^2+($D89-Z$18)^2)</f>
        <v>1.82551676868197</v>
      </c>
      <c r="AA89" s="63" t="n">
        <f aca="false">MATCH(MIN(X89:Z89),X89:Z89,0)</f>
        <v>3</v>
      </c>
      <c r="AC89" s="17" t="n">
        <f aca="false">SQRT(($B89-AC$16)^2+($C89-AC$17)^2+($D89-AC$18)^2)</f>
        <v>5.47512677147799</v>
      </c>
      <c r="AD89" s="17" t="n">
        <f aca="false">SQRT(($B89-AD$16)^2+($C89-AD$17)^2+($D89-AD$18)^2)</f>
        <v>1.54191040095676</v>
      </c>
      <c r="AE89" s="17" t="n">
        <f aca="false">SQRT(($B89-AE$16)^2+($C89-AE$17)^2+($D89-AE$18)^2)</f>
        <v>1.22995529598167</v>
      </c>
      <c r="AF89" s="63" t="n">
        <f aca="false">MATCH(MIN(AC89:AE89),AC89:AE89,0)</f>
        <v>3</v>
      </c>
      <c r="AH89" s="17" t="n">
        <f aca="false">SQRT(($B89-AH$16)^2+($C89-AH$17)^2+($D89-AH$18)^2)</f>
        <v>4.84573619501868</v>
      </c>
      <c r="AI89" s="17" t="n">
        <f aca="false">SQRT(($B89-AI$16)^2+($C89-AI$17)^2+($D89-AI$18)^2)</f>
        <v>1.43253548565795</v>
      </c>
      <c r="AJ89" s="17" t="n">
        <f aca="false">SQRT(($B89-AJ$16)^2+($C89-AJ$17)^2+($D89-AJ$18)^2)</f>
        <v>1.29307304551837</v>
      </c>
      <c r="AK89" s="63" t="n">
        <f aca="false">MATCH(MIN(AH89:AJ89),AH89:AJ89,0)</f>
        <v>3</v>
      </c>
      <c r="AM89" s="17" t="n">
        <f aca="false">SQRT(($B89-AM$16)^2+($C89-AM$17)^2+($D89-AM$18)^2)</f>
        <v>4.84573619501868</v>
      </c>
      <c r="AN89" s="17" t="n">
        <f aca="false">SQRT(($B89-AN$16)^2+($C89-AN$17)^2+($D89-AN$18)^2)</f>
        <v>1.41813714790051</v>
      </c>
      <c r="AO89" s="17" t="n">
        <f aca="false">SQRT(($B89-AO$16)^2+($C89-AO$17)^2+($D89-AO$18)^2)</f>
        <v>1.31402479782122</v>
      </c>
      <c r="AP89" s="63" t="n">
        <f aca="false">MATCH(MIN(AM89:AO89),AM89:AO89,0)</f>
        <v>3</v>
      </c>
      <c r="AR89" s="17" t="n">
        <f aca="false">SQRT(($B89-AR$16)^2+($C89-AR$17)^2+($D89-AR$18)^2)</f>
        <v>4.84573619501868</v>
      </c>
      <c r="AS89" s="17" t="n">
        <f aca="false">SQRT(($B89-AS$16)^2+($C89-AS$17)^2+($D89-AS$18)^2)</f>
        <v>1.41813714790051</v>
      </c>
      <c r="AT89" s="17" t="n">
        <f aca="false">SQRT(($B89-AT$16)^2+($C89-AT$17)^2+($D89-AT$18)^2)</f>
        <v>1.31402479782122</v>
      </c>
      <c r="AU89" s="63" t="n">
        <f aca="false">MATCH(MIN(AR89:AT89),AR89:AT89,0)</f>
        <v>3</v>
      </c>
      <c r="AW89" s="17" t="n">
        <f aca="false">SQRT(($B89-AW$16)^2+($C89-AW$17)^2+($D89-AW$18)^2)</f>
        <v>4.84573619501868</v>
      </c>
      <c r="AX89" s="17" t="n">
        <f aca="false">SQRT(($B89-AX$16)^2+($C89-AX$17)^2+($D89-AX$18)^2)</f>
        <v>1.41813714790051</v>
      </c>
      <c r="AY89" s="17" t="n">
        <f aca="false">SQRT(($B89-AY$16)^2+($C89-AY$17)^2+($D89-AY$18)^2)</f>
        <v>1.31402479782122</v>
      </c>
      <c r="AZ89" s="63" t="n">
        <f aca="false">MATCH(MIN(AW89:AY89),AW89:AY89,0)</f>
        <v>3</v>
      </c>
      <c r="BB89" s="17" t="n">
        <f aca="false">SQRT(($B89-BB$16)^2+($C89-BB$17)^2+($D89-BB$18)^2)</f>
        <v>4.84573619501868</v>
      </c>
      <c r="BC89" s="17" t="n">
        <f aca="false">SQRT(($B89-BC$16)^2+($C89-BC$17)^2+($D89-BC$18)^2)</f>
        <v>1.41813714790051</v>
      </c>
      <c r="BD89" s="17" t="n">
        <f aca="false">SQRT(($B89-BD$16)^2+($C89-BD$17)^2+($D89-BD$18)^2)</f>
        <v>1.31402479782122</v>
      </c>
      <c r="BE89" s="63" t="n">
        <f aca="false">MATCH(MIN(BB89:BD89),BB89:BD89,0)</f>
        <v>3</v>
      </c>
      <c r="BG89" s="17" t="n">
        <f aca="false">SQRT(($B89-BG$16)^2+($C89-BG$17)^2+($D89-BG$18)^2)</f>
        <v>4.84573619501868</v>
      </c>
      <c r="BH89" s="17" t="n">
        <f aca="false">SQRT(($B89-BH$16)^2+($C89-BH$17)^2+($D89-BH$18)^2)</f>
        <v>1.41813714790051</v>
      </c>
      <c r="BI89" s="17" t="n">
        <f aca="false">SQRT(($B89-BI$16)^2+($C89-BI$17)^2+($D89-BI$18)^2)</f>
        <v>1.31402479782122</v>
      </c>
      <c r="BJ89" s="63" t="n">
        <f aca="false">MATCH(MIN(BG89:BI89),BG89:BI89,0)</f>
        <v>3</v>
      </c>
      <c r="BL89" s="17" t="n">
        <f aca="false">SQRT(($B89-BL$16)^2+($C89-BL$17)^2+($D89-BL$18)^2)</f>
        <v>4.84573619501868</v>
      </c>
      <c r="BM89" s="17" t="n">
        <f aca="false">SQRT(($B89-BM$16)^2+($C89-BM$17)^2+($D89-BM$18)^2)</f>
        <v>1.41813714790051</v>
      </c>
      <c r="BN89" s="17" t="n">
        <f aca="false">SQRT(($B89-BN$16)^2+($C89-BN$17)^2+($D89-BN$18)^2)</f>
        <v>1.31402479782122</v>
      </c>
      <c r="BO89" s="63" t="n">
        <f aca="false">MATCH(MIN(BL89:BN89),BL89:BN89,0)</f>
        <v>3</v>
      </c>
      <c r="BQ89" s="17" t="n">
        <f aca="false">SQRT(($B89-BQ$16)^2+($C89-BQ$17)^2+($D89-BQ$18)^2)</f>
        <v>4.84573619501868</v>
      </c>
      <c r="BR89" s="17" t="n">
        <f aca="false">SQRT(($B89-BR$16)^2+($C89-BR$17)^2+($D89-BR$18)^2)</f>
        <v>1.41813714790051</v>
      </c>
      <c r="BS89" s="17" t="n">
        <f aca="false">SQRT(($B89-BS$16)^2+($C89-BS$17)^2+($D89-BS$18)^2)</f>
        <v>1.31402479782122</v>
      </c>
      <c r="BT89" s="63" t="n">
        <f aca="false">MATCH(MIN(BQ89:BS89),BQ89:BS89,0)</f>
        <v>3</v>
      </c>
      <c r="BV89" s="17" t="n">
        <f aca="false">SQRT(($B89-BV$16)^2+($C89-BV$17)^2+($D89-BV$18)^2)</f>
        <v>4.84573619501868</v>
      </c>
      <c r="BW89" s="17" t="n">
        <f aca="false">SQRT(($B89-BW$16)^2+($C89-BW$17)^2+($D89-BW$18)^2)</f>
        <v>1.41813714790051</v>
      </c>
      <c r="BX89" s="17" t="n">
        <f aca="false">SQRT(($B89-BX$16)^2+($C89-BX$17)^2+($D89-BX$18)^2)</f>
        <v>1.31402479782122</v>
      </c>
      <c r="BY89" s="63" t="n">
        <f aca="false">MATCH(MIN(BV89:BX89),BV89:BX89,0)</f>
        <v>3</v>
      </c>
      <c r="CA89" s="17" t="n">
        <f aca="false">SQRT(($B89-CA$16)^2+($C89-CA$17)^2+($D89-CA$18)^2)</f>
        <v>4.84573619501868</v>
      </c>
      <c r="CB89" s="17" t="n">
        <f aca="false">SQRT(($B89-CB$16)^2+($C89-CB$17)^2+($D89-CB$18)^2)</f>
        <v>1.41813714790051</v>
      </c>
      <c r="CC89" s="17" t="n">
        <f aca="false">SQRT(($B89-CC$16)^2+($C89-CC$17)^2+($D89-CC$18)^2)</f>
        <v>1.31402479782122</v>
      </c>
      <c r="CD89" s="63" t="n">
        <f aca="false">MATCH(MIN(CA89:CC89),CA89:CC89,0)</f>
        <v>3</v>
      </c>
    </row>
    <row r="90" customFormat="false" ht="15" hidden="false" customHeight="false" outlineLevel="0" collapsed="false">
      <c r="A90" s="36" t="str">
        <f aca="false">KMeans_Data!A72</f>
        <v>Chitral Lower</v>
      </c>
      <c r="B90" s="17" t="n">
        <f aca="false">KMeans_Data!H72</f>
        <v>-0.214623816906368</v>
      </c>
      <c r="C90" s="17" t="n">
        <f aca="false">KMeans_Data!I72</f>
        <v>-0.672650545388274</v>
      </c>
      <c r="D90" s="17" t="n">
        <f aca="false">KMeans_Data!J72</f>
        <v>0.193727873085246</v>
      </c>
      <c r="E90" s="63" t="n">
        <f aca="false">CD90</f>
        <v>2</v>
      </c>
      <c r="F90" s="38" t="n">
        <f aca="false">($B90-INDEX($L$16:$N$16,E90))^2+($C90-INDEX($L$17:$N$17,E90))^2+($D90-INDEX($L$18:$N$18,E90))^2</f>
        <v>1.05638384209115</v>
      </c>
      <c r="G90" s="12" t="str">
        <f aca="false">INDEX($M$5:$M$7,E90)</f>
        <v>Low burden</v>
      </c>
      <c r="H90" s="17" t="n">
        <f aca="false">IF(COUNTIF(Distance_Matrix!$E$9:$DQ$9,$E90)&lt;=1,0,SUMIF(Distance_Matrix!$E$9:$DQ$9,$E90,Distance_Matrix!$E$81:$DQ$81)/(COUNTIF(Distance_Matrix!$E$9:$DQ$9,$E90)-1))</f>
        <v>1.21519585924307</v>
      </c>
      <c r="I90" s="17" t="n">
        <f aca="false">MIN(IF(1=$E90,1E+099,IF(COUNTIF(Distance_Matrix!$E$9:$DQ$9,1)=0,1E+099,SUMIF(Distance_Matrix!$E$9:$DQ$9,1,Distance_Matrix!$E$81:$DQ$81)/COUNTIF(Distance_Matrix!$E$9:$DQ$9,1))),IF(2=$E90,1E+099,IF(COUNTIF(Distance_Matrix!$E$9:$DQ$9,2)=0,1E+099,SUMIF(Distance_Matrix!$E$9:$DQ$9,2,Distance_Matrix!$E$81:$DQ$81)/COUNTIF(Distance_Matrix!$E$9:$DQ$9,2))),IF(3=$E90,1E+099,IF(COUNTIF(Distance_Matrix!$E$9:$DQ$9,3)=0,1E+099,SUMIF(Distance_Matrix!$E$9:$DQ$9,3,Distance_Matrix!$E$81:$DQ$81)/COUNTIF(Distance_Matrix!$E$9:$DQ$9,3))))</f>
        <v>1.56804530486702</v>
      </c>
      <c r="J90" s="17" t="n">
        <f aca="false">IF(COUNTIF(Distance_Matrix!$E$9:$DQ$9,$E90)&lt;=1,0,(I90-H90)/MAX(H90,I90))</f>
        <v>0.225025032458401</v>
      </c>
      <c r="X90" s="17" t="n">
        <f aca="false">SQRT(($B90-X$16)^2+($C90-X$17)^2+($D90-X$18)^2)</f>
        <v>6.61273726401933</v>
      </c>
      <c r="Y90" s="17" t="n">
        <f aca="false">SQRT(($B90-Y$16)^2+($C90-Y$17)^2+($D90-Y$18)^2)</f>
        <v>2.296207345633</v>
      </c>
      <c r="Z90" s="17" t="n">
        <f aca="false">SQRT(($B90-Z$16)^2+($C90-Z$17)^2+($D90-Z$18)^2)</f>
        <v>2.07427434150847</v>
      </c>
      <c r="AA90" s="63" t="n">
        <f aca="false">MATCH(MIN(X90:Z90),X90:Z90,0)</f>
        <v>3</v>
      </c>
      <c r="AC90" s="17" t="n">
        <f aca="false">SQRT(($B90-AC$16)^2+($C90-AC$17)^2+($D90-AC$18)^2)</f>
        <v>5.6493053515531</v>
      </c>
      <c r="AD90" s="17" t="n">
        <f aca="false">SQRT(($B90-AD$16)^2+($C90-AD$17)^2+($D90-AD$18)^2)</f>
        <v>1.15921605244794</v>
      </c>
      <c r="AE90" s="17" t="n">
        <f aca="false">SQRT(($B90-AE$16)^2+($C90-AE$17)^2+($D90-AE$18)^2)</f>
        <v>1.31399240851095</v>
      </c>
      <c r="AF90" s="63" t="n">
        <f aca="false">MATCH(MIN(AC90:AE90),AC90:AE90,0)</f>
        <v>2</v>
      </c>
      <c r="AH90" s="17" t="n">
        <f aca="false">SQRT(($B90-AH$16)^2+($C90-AH$17)^2+($D90-AH$18)^2)</f>
        <v>5.01449448214454</v>
      </c>
      <c r="AI90" s="17" t="n">
        <f aca="false">SQRT(($B90-AI$16)^2+($C90-AI$17)^2+($D90-AI$18)^2)</f>
        <v>1.04194524441471</v>
      </c>
      <c r="AJ90" s="17" t="n">
        <f aca="false">SQRT(($B90-AJ$16)^2+($C90-AJ$17)^2+($D90-AJ$18)^2)</f>
        <v>1.40271742444299</v>
      </c>
      <c r="AK90" s="63" t="n">
        <f aca="false">MATCH(MIN(AH90:AJ90),AH90:AJ90,0)</f>
        <v>2</v>
      </c>
      <c r="AM90" s="17" t="n">
        <f aca="false">SQRT(($B90-AM$16)^2+($C90-AM$17)^2+($D90-AM$18)^2)</f>
        <v>5.01449448214454</v>
      </c>
      <c r="AN90" s="17" t="n">
        <f aca="false">SQRT(($B90-AN$16)^2+($C90-AN$17)^2+($D90-AN$18)^2)</f>
        <v>1.02780535223901</v>
      </c>
      <c r="AO90" s="17" t="n">
        <f aca="false">SQRT(($B90-AO$16)^2+($C90-AO$17)^2+($D90-AO$18)^2)</f>
        <v>1.42585872480303</v>
      </c>
      <c r="AP90" s="63" t="n">
        <f aca="false">MATCH(MIN(AM90:AO90),AM90:AO90,0)</f>
        <v>2</v>
      </c>
      <c r="AR90" s="17" t="n">
        <f aca="false">SQRT(($B90-AR$16)^2+($C90-AR$17)^2+($D90-AR$18)^2)</f>
        <v>5.01449448214454</v>
      </c>
      <c r="AS90" s="17" t="n">
        <f aca="false">SQRT(($B90-AS$16)^2+($C90-AS$17)^2+($D90-AS$18)^2)</f>
        <v>1.02780535223901</v>
      </c>
      <c r="AT90" s="17" t="n">
        <f aca="false">SQRT(($B90-AT$16)^2+($C90-AT$17)^2+($D90-AT$18)^2)</f>
        <v>1.42585872480303</v>
      </c>
      <c r="AU90" s="63" t="n">
        <f aca="false">MATCH(MIN(AR90:AT90),AR90:AT90,0)</f>
        <v>2</v>
      </c>
      <c r="AW90" s="17" t="n">
        <f aca="false">SQRT(($B90-AW$16)^2+($C90-AW$17)^2+($D90-AW$18)^2)</f>
        <v>5.01449448214454</v>
      </c>
      <c r="AX90" s="17" t="n">
        <f aca="false">SQRT(($B90-AX$16)^2+($C90-AX$17)^2+($D90-AX$18)^2)</f>
        <v>1.02780535223901</v>
      </c>
      <c r="AY90" s="17" t="n">
        <f aca="false">SQRT(($B90-AY$16)^2+($C90-AY$17)^2+($D90-AY$18)^2)</f>
        <v>1.42585872480303</v>
      </c>
      <c r="AZ90" s="63" t="n">
        <f aca="false">MATCH(MIN(AW90:AY90),AW90:AY90,0)</f>
        <v>2</v>
      </c>
      <c r="BB90" s="17" t="n">
        <f aca="false">SQRT(($B90-BB$16)^2+($C90-BB$17)^2+($D90-BB$18)^2)</f>
        <v>5.01449448214454</v>
      </c>
      <c r="BC90" s="17" t="n">
        <f aca="false">SQRT(($B90-BC$16)^2+($C90-BC$17)^2+($D90-BC$18)^2)</f>
        <v>1.02780535223901</v>
      </c>
      <c r="BD90" s="17" t="n">
        <f aca="false">SQRT(($B90-BD$16)^2+($C90-BD$17)^2+($D90-BD$18)^2)</f>
        <v>1.42585872480303</v>
      </c>
      <c r="BE90" s="63" t="n">
        <f aca="false">MATCH(MIN(BB90:BD90),BB90:BD90,0)</f>
        <v>2</v>
      </c>
      <c r="BG90" s="17" t="n">
        <f aca="false">SQRT(($B90-BG$16)^2+($C90-BG$17)^2+($D90-BG$18)^2)</f>
        <v>5.01449448214454</v>
      </c>
      <c r="BH90" s="17" t="n">
        <f aca="false">SQRT(($B90-BH$16)^2+($C90-BH$17)^2+($D90-BH$18)^2)</f>
        <v>1.02780535223901</v>
      </c>
      <c r="BI90" s="17" t="n">
        <f aca="false">SQRT(($B90-BI$16)^2+($C90-BI$17)^2+($D90-BI$18)^2)</f>
        <v>1.42585872480303</v>
      </c>
      <c r="BJ90" s="63" t="n">
        <f aca="false">MATCH(MIN(BG90:BI90),BG90:BI90,0)</f>
        <v>2</v>
      </c>
      <c r="BL90" s="17" t="n">
        <f aca="false">SQRT(($B90-BL$16)^2+($C90-BL$17)^2+($D90-BL$18)^2)</f>
        <v>5.01449448214454</v>
      </c>
      <c r="BM90" s="17" t="n">
        <f aca="false">SQRT(($B90-BM$16)^2+($C90-BM$17)^2+($D90-BM$18)^2)</f>
        <v>1.02780535223901</v>
      </c>
      <c r="BN90" s="17" t="n">
        <f aca="false">SQRT(($B90-BN$16)^2+($C90-BN$17)^2+($D90-BN$18)^2)</f>
        <v>1.42585872480303</v>
      </c>
      <c r="BO90" s="63" t="n">
        <f aca="false">MATCH(MIN(BL90:BN90),BL90:BN90,0)</f>
        <v>2</v>
      </c>
      <c r="BQ90" s="17" t="n">
        <f aca="false">SQRT(($B90-BQ$16)^2+($C90-BQ$17)^2+($D90-BQ$18)^2)</f>
        <v>5.01449448214454</v>
      </c>
      <c r="BR90" s="17" t="n">
        <f aca="false">SQRT(($B90-BR$16)^2+($C90-BR$17)^2+($D90-BR$18)^2)</f>
        <v>1.02780535223901</v>
      </c>
      <c r="BS90" s="17" t="n">
        <f aca="false">SQRT(($B90-BS$16)^2+($C90-BS$17)^2+($D90-BS$18)^2)</f>
        <v>1.42585872480303</v>
      </c>
      <c r="BT90" s="63" t="n">
        <f aca="false">MATCH(MIN(BQ90:BS90),BQ90:BS90,0)</f>
        <v>2</v>
      </c>
      <c r="BV90" s="17" t="n">
        <f aca="false">SQRT(($B90-BV$16)^2+($C90-BV$17)^2+($D90-BV$18)^2)</f>
        <v>5.01449448214454</v>
      </c>
      <c r="BW90" s="17" t="n">
        <f aca="false">SQRT(($B90-BW$16)^2+($C90-BW$17)^2+($D90-BW$18)^2)</f>
        <v>1.02780535223901</v>
      </c>
      <c r="BX90" s="17" t="n">
        <f aca="false">SQRT(($B90-BX$16)^2+($C90-BX$17)^2+($D90-BX$18)^2)</f>
        <v>1.42585872480303</v>
      </c>
      <c r="BY90" s="63" t="n">
        <f aca="false">MATCH(MIN(BV90:BX90),BV90:BX90,0)</f>
        <v>2</v>
      </c>
      <c r="CA90" s="17" t="n">
        <f aca="false">SQRT(($B90-CA$16)^2+($C90-CA$17)^2+($D90-CA$18)^2)</f>
        <v>5.01449448214454</v>
      </c>
      <c r="CB90" s="17" t="n">
        <f aca="false">SQRT(($B90-CB$16)^2+($C90-CB$17)^2+($D90-CB$18)^2)</f>
        <v>1.02780535223901</v>
      </c>
      <c r="CC90" s="17" t="n">
        <f aca="false">SQRT(($B90-CC$16)^2+($C90-CC$17)^2+($D90-CC$18)^2)</f>
        <v>1.42585872480303</v>
      </c>
      <c r="CD90" s="63" t="n">
        <f aca="false">MATCH(MIN(CA90:CC90),CA90:CC90,0)</f>
        <v>2</v>
      </c>
    </row>
    <row r="91" customFormat="false" ht="15" hidden="false" customHeight="false" outlineLevel="0" collapsed="false">
      <c r="A91" s="36" t="str">
        <f aca="false">KMeans_Data!A73</f>
        <v>Sujawal</v>
      </c>
      <c r="B91" s="17" t="n">
        <f aca="false">KMeans_Data!H73</f>
        <v>-0.214623816906368</v>
      </c>
      <c r="C91" s="17" t="n">
        <f aca="false">KMeans_Data!I73</f>
        <v>-0.672650545388274</v>
      </c>
      <c r="D91" s="17" t="n">
        <f aca="false">KMeans_Data!J73</f>
        <v>0.109241721582438</v>
      </c>
      <c r="E91" s="63" t="n">
        <f aca="false">CD91</f>
        <v>2</v>
      </c>
      <c r="F91" s="38" t="n">
        <f aca="false">($B91-INDEX($L$16:$N$16,E91))^2+($C91-INDEX($L$17:$N$17,E91))^2+($D91-INDEX($L$18:$N$18,E91))^2</f>
        <v>0.90547025236729</v>
      </c>
      <c r="G91" s="12" t="str">
        <f aca="false">INDEX($M$5:$M$7,E91)</f>
        <v>Low burden</v>
      </c>
      <c r="H91" s="17" t="n">
        <f aca="false">IF(COUNTIF(Distance_Matrix!$E$9:$DQ$9,$E91)&lt;=1,0,SUMIF(Distance_Matrix!$E$9:$DQ$9,$E91,Distance_Matrix!$E$82:$DQ$82)/(COUNTIF(Distance_Matrix!$E$9:$DQ$9,$E91)-1))</f>
        <v>1.15438119914463</v>
      </c>
      <c r="I91" s="17" t="n">
        <f aca="false">MIN(IF(1=$E91,1E+099,IF(COUNTIF(Distance_Matrix!$E$9:$DQ$9,1)=0,1E+099,SUMIF(Distance_Matrix!$E$9:$DQ$9,1,Distance_Matrix!$E$82:$DQ$82)/COUNTIF(Distance_Matrix!$E$9:$DQ$9,1))),IF(2=$E91,1E+099,IF(COUNTIF(Distance_Matrix!$E$9:$DQ$9,2)=0,1E+099,SUMIF(Distance_Matrix!$E$9:$DQ$9,2,Distance_Matrix!$E$82:$DQ$82)/COUNTIF(Distance_Matrix!$E$9:$DQ$9,2))),IF(3=$E91,1E+099,IF(COUNTIF(Distance_Matrix!$E$9:$DQ$9,3)=0,1E+099,SUMIF(Distance_Matrix!$E$9:$DQ$9,3,Distance_Matrix!$E$82:$DQ$82)/COUNTIF(Distance_Matrix!$E$9:$DQ$9,3))))</f>
        <v>1.59945853900988</v>
      </c>
      <c r="J91" s="17" t="n">
        <f aca="false">IF(COUNTIF(Distance_Matrix!$E$9:$DQ$9,$E91)&lt;=1,0,(I91-H91)/MAX(H91,I91))</f>
        <v>0.278267506790624</v>
      </c>
      <c r="X91" s="17" t="n">
        <f aca="false">SQRT(($B91-X$16)^2+($C91-X$17)^2+($D91-X$18)^2)</f>
        <v>6.65224140953836</v>
      </c>
      <c r="Y91" s="17" t="n">
        <f aca="false">SQRT(($B91-Y$16)^2+($C91-Y$17)^2+($D91-Y$18)^2)</f>
        <v>2.24797449147035</v>
      </c>
      <c r="Z91" s="17" t="n">
        <f aca="false">SQRT(($B91-Z$16)^2+($C91-Z$17)^2+($D91-Z$18)^2)</f>
        <v>2.12731637682969</v>
      </c>
      <c r="AA91" s="63" t="n">
        <f aca="false">MATCH(MIN(X91:Z91),X91:Z91,0)</f>
        <v>3</v>
      </c>
      <c r="AC91" s="17" t="n">
        <f aca="false">SQRT(($B91-AC$16)^2+($C91-AC$17)^2+($D91-AC$18)^2)</f>
        <v>5.68411672016991</v>
      </c>
      <c r="AD91" s="17" t="n">
        <f aca="false">SQRT(($B91-AD$16)^2+($C91-AD$17)^2+($D91-AD$18)^2)</f>
        <v>1.08560758654124</v>
      </c>
      <c r="AE91" s="17" t="n">
        <f aca="false">SQRT(($B91-AE$16)^2+($C91-AE$17)^2+($D91-AE$18)^2)</f>
        <v>1.3417538137263</v>
      </c>
      <c r="AF91" s="63" t="n">
        <f aca="false">MATCH(MIN(AC91:AE91),AC91:AE91,0)</f>
        <v>2</v>
      </c>
      <c r="AH91" s="17" t="n">
        <f aca="false">SQRT(($B91-AH$16)^2+($C91-AH$17)^2+($D91-AH$18)^2)</f>
        <v>5.04857123022387</v>
      </c>
      <c r="AI91" s="17" t="n">
        <f aca="false">SQRT(($B91-AI$16)^2+($C91-AI$17)^2+($D91-AI$18)^2)</f>
        <v>0.965575390070865</v>
      </c>
      <c r="AJ91" s="17" t="n">
        <f aca="false">SQRT(($B91-AJ$16)^2+($C91-AJ$17)^2+($D91-AJ$18)^2)</f>
        <v>1.43474627464477</v>
      </c>
      <c r="AK91" s="63" t="n">
        <f aca="false">MATCH(MIN(AH91:AJ91),AH91:AJ91,0)</f>
        <v>2</v>
      </c>
      <c r="AM91" s="17" t="n">
        <f aca="false">SQRT(($B91-AM$16)^2+($C91-AM$17)^2+($D91-AM$18)^2)</f>
        <v>5.04857123022387</v>
      </c>
      <c r="AN91" s="17" t="n">
        <f aca="false">SQRT(($B91-AN$16)^2+($C91-AN$17)^2+($D91-AN$18)^2)</f>
        <v>0.951562006580386</v>
      </c>
      <c r="AO91" s="17" t="n">
        <f aca="false">SQRT(($B91-AO$16)^2+($C91-AO$17)^2+($D91-AO$18)^2)</f>
        <v>1.45804340760619</v>
      </c>
      <c r="AP91" s="63" t="n">
        <f aca="false">MATCH(MIN(AM91:AO91),AM91:AO91,0)</f>
        <v>2</v>
      </c>
      <c r="AR91" s="17" t="n">
        <f aca="false">SQRT(($B91-AR$16)^2+($C91-AR$17)^2+($D91-AR$18)^2)</f>
        <v>5.04857123022387</v>
      </c>
      <c r="AS91" s="17" t="n">
        <f aca="false">SQRT(($B91-AS$16)^2+($C91-AS$17)^2+($D91-AS$18)^2)</f>
        <v>0.951562006580386</v>
      </c>
      <c r="AT91" s="17" t="n">
        <f aca="false">SQRT(($B91-AT$16)^2+($C91-AT$17)^2+($D91-AT$18)^2)</f>
        <v>1.45804340760619</v>
      </c>
      <c r="AU91" s="63" t="n">
        <f aca="false">MATCH(MIN(AR91:AT91),AR91:AT91,0)</f>
        <v>2</v>
      </c>
      <c r="AW91" s="17" t="n">
        <f aca="false">SQRT(($B91-AW$16)^2+($C91-AW$17)^2+($D91-AW$18)^2)</f>
        <v>5.04857123022387</v>
      </c>
      <c r="AX91" s="17" t="n">
        <f aca="false">SQRT(($B91-AX$16)^2+($C91-AX$17)^2+($D91-AX$18)^2)</f>
        <v>0.951562006580386</v>
      </c>
      <c r="AY91" s="17" t="n">
        <f aca="false">SQRT(($B91-AY$16)^2+($C91-AY$17)^2+($D91-AY$18)^2)</f>
        <v>1.45804340760619</v>
      </c>
      <c r="AZ91" s="63" t="n">
        <f aca="false">MATCH(MIN(AW91:AY91),AW91:AY91,0)</f>
        <v>2</v>
      </c>
      <c r="BB91" s="17" t="n">
        <f aca="false">SQRT(($B91-BB$16)^2+($C91-BB$17)^2+($D91-BB$18)^2)</f>
        <v>5.04857123022387</v>
      </c>
      <c r="BC91" s="17" t="n">
        <f aca="false">SQRT(($B91-BC$16)^2+($C91-BC$17)^2+($D91-BC$18)^2)</f>
        <v>0.951562006580386</v>
      </c>
      <c r="BD91" s="17" t="n">
        <f aca="false">SQRT(($B91-BD$16)^2+($C91-BD$17)^2+($D91-BD$18)^2)</f>
        <v>1.45804340760619</v>
      </c>
      <c r="BE91" s="63" t="n">
        <f aca="false">MATCH(MIN(BB91:BD91),BB91:BD91,0)</f>
        <v>2</v>
      </c>
      <c r="BG91" s="17" t="n">
        <f aca="false">SQRT(($B91-BG$16)^2+($C91-BG$17)^2+($D91-BG$18)^2)</f>
        <v>5.04857123022387</v>
      </c>
      <c r="BH91" s="17" t="n">
        <f aca="false">SQRT(($B91-BH$16)^2+($C91-BH$17)^2+($D91-BH$18)^2)</f>
        <v>0.951562006580386</v>
      </c>
      <c r="BI91" s="17" t="n">
        <f aca="false">SQRT(($B91-BI$16)^2+($C91-BI$17)^2+($D91-BI$18)^2)</f>
        <v>1.45804340760619</v>
      </c>
      <c r="BJ91" s="63" t="n">
        <f aca="false">MATCH(MIN(BG91:BI91),BG91:BI91,0)</f>
        <v>2</v>
      </c>
      <c r="BL91" s="17" t="n">
        <f aca="false">SQRT(($B91-BL$16)^2+($C91-BL$17)^2+($D91-BL$18)^2)</f>
        <v>5.04857123022387</v>
      </c>
      <c r="BM91" s="17" t="n">
        <f aca="false">SQRT(($B91-BM$16)^2+($C91-BM$17)^2+($D91-BM$18)^2)</f>
        <v>0.951562006580386</v>
      </c>
      <c r="BN91" s="17" t="n">
        <f aca="false">SQRT(($B91-BN$16)^2+($C91-BN$17)^2+($D91-BN$18)^2)</f>
        <v>1.45804340760619</v>
      </c>
      <c r="BO91" s="63" t="n">
        <f aca="false">MATCH(MIN(BL91:BN91),BL91:BN91,0)</f>
        <v>2</v>
      </c>
      <c r="BQ91" s="17" t="n">
        <f aca="false">SQRT(($B91-BQ$16)^2+($C91-BQ$17)^2+($D91-BQ$18)^2)</f>
        <v>5.04857123022387</v>
      </c>
      <c r="BR91" s="17" t="n">
        <f aca="false">SQRT(($B91-BR$16)^2+($C91-BR$17)^2+($D91-BR$18)^2)</f>
        <v>0.951562006580386</v>
      </c>
      <c r="BS91" s="17" t="n">
        <f aca="false">SQRT(($B91-BS$16)^2+($C91-BS$17)^2+($D91-BS$18)^2)</f>
        <v>1.45804340760619</v>
      </c>
      <c r="BT91" s="63" t="n">
        <f aca="false">MATCH(MIN(BQ91:BS91),BQ91:BS91,0)</f>
        <v>2</v>
      </c>
      <c r="BV91" s="17" t="n">
        <f aca="false">SQRT(($B91-BV$16)^2+($C91-BV$17)^2+($D91-BV$18)^2)</f>
        <v>5.04857123022387</v>
      </c>
      <c r="BW91" s="17" t="n">
        <f aca="false">SQRT(($B91-BW$16)^2+($C91-BW$17)^2+($D91-BW$18)^2)</f>
        <v>0.951562006580386</v>
      </c>
      <c r="BX91" s="17" t="n">
        <f aca="false">SQRT(($B91-BX$16)^2+($C91-BX$17)^2+($D91-BX$18)^2)</f>
        <v>1.45804340760619</v>
      </c>
      <c r="BY91" s="63" t="n">
        <f aca="false">MATCH(MIN(BV91:BX91),BV91:BX91,0)</f>
        <v>2</v>
      </c>
      <c r="CA91" s="17" t="n">
        <f aca="false">SQRT(($B91-CA$16)^2+($C91-CA$17)^2+($D91-CA$18)^2)</f>
        <v>5.04857123022387</v>
      </c>
      <c r="CB91" s="17" t="n">
        <f aca="false">SQRT(($B91-CB$16)^2+($C91-CB$17)^2+($D91-CB$18)^2)</f>
        <v>0.951562006580386</v>
      </c>
      <c r="CC91" s="17" t="n">
        <f aca="false">SQRT(($B91-CC$16)^2+($C91-CC$17)^2+($D91-CC$18)^2)</f>
        <v>1.45804340760619</v>
      </c>
      <c r="CD91" s="63" t="n">
        <f aca="false">MATCH(MIN(CA91:CC91),CA91:CC91,0)</f>
        <v>2</v>
      </c>
    </row>
    <row r="92" customFormat="false" ht="15" hidden="false" customHeight="false" outlineLevel="0" collapsed="false">
      <c r="A92" s="36" t="str">
        <f aca="false">KMeans_Data!A74</f>
        <v>Laiya</v>
      </c>
      <c r="B92" s="17" t="n">
        <f aca="false">KMeans_Data!H74</f>
        <v>-0.259910629817831</v>
      </c>
      <c r="C92" s="17" t="n">
        <f aca="false">KMeans_Data!I74</f>
        <v>-0.672650545388274</v>
      </c>
      <c r="D92" s="17" t="n">
        <f aca="false">KMeans_Data!J74</f>
        <v>-1.14564411633355</v>
      </c>
      <c r="E92" s="63" t="n">
        <f aca="false">CD92</f>
        <v>2</v>
      </c>
      <c r="F92" s="38" t="n">
        <f aca="false">($B92-INDEX($L$16:$N$16,E92))^2+($C92-INDEX($L$17:$N$17,E92))^2+($D92-INDEX($L$18:$N$18,E92))^2</f>
        <v>0.308421110095856</v>
      </c>
      <c r="G92" s="12" t="str">
        <f aca="false">INDEX($M$5:$M$7,E92)</f>
        <v>Low burden</v>
      </c>
      <c r="H92" s="17" t="n">
        <f aca="false">IF(COUNTIF(Distance_Matrix!$E$9:$DQ$9,$E92)&lt;=1,0,SUMIF(Distance_Matrix!$E$9:$DQ$9,$E92,Distance_Matrix!$E$83:$DQ$83)/(COUNTIF(Distance_Matrix!$E$9:$DQ$9,$E92)-1))</f>
        <v>0.911080561958075</v>
      </c>
      <c r="I92" s="17" t="n">
        <f aca="false">MIN(IF(1=$E92,1E+099,IF(COUNTIF(Distance_Matrix!$E$9:$DQ$9,1)=0,1E+099,SUMIF(Distance_Matrix!$E$9:$DQ$9,1,Distance_Matrix!$E$83:$DQ$83)/COUNTIF(Distance_Matrix!$E$9:$DQ$9,1))),IF(2=$E92,1E+099,IF(COUNTIF(Distance_Matrix!$E$9:$DQ$9,2)=0,1E+099,SUMIF(Distance_Matrix!$E$9:$DQ$9,2,Distance_Matrix!$E$83:$DQ$83)/COUNTIF(Distance_Matrix!$E$9:$DQ$9,2))),IF(3=$E92,1E+099,IF(COUNTIF(Distance_Matrix!$E$9:$DQ$9,3)=0,1E+099,SUMIF(Distance_Matrix!$E$9:$DQ$9,3,Distance_Matrix!$E$83:$DQ$83)/COUNTIF(Distance_Matrix!$E$9:$DQ$9,3))))</f>
        <v>2.40142451761604</v>
      </c>
      <c r="J92" s="17" t="n">
        <f aca="false">IF(COUNTIF(Distance_Matrix!$E$9:$DQ$9,$E92)&lt;=1,0,(I92-H92)/MAX(H92,I92))</f>
        <v>0.620608286758674</v>
      </c>
      <c r="X92" s="17" t="n">
        <f aca="false">SQRT(($B92-X$16)^2+($C92-X$17)^2+($D92-X$18)^2)</f>
        <v>7.35081663720413</v>
      </c>
      <c r="Y92" s="17" t="n">
        <f aca="false">SQRT(($B92-Y$16)^2+($C92-Y$17)^2+($D92-Y$18)^2)</f>
        <v>1.81982735198549</v>
      </c>
      <c r="Z92" s="17" t="n">
        <f aca="false">SQRT(($B92-Z$16)^2+($C92-Z$17)^2+($D92-Z$18)^2)</f>
        <v>3.10352494535984</v>
      </c>
      <c r="AA92" s="63" t="n">
        <f aca="false">MATCH(MIN(X92:Z92),X92:Z92,0)</f>
        <v>2</v>
      </c>
      <c r="AC92" s="17" t="n">
        <f aca="false">SQRT(($B92-AC$16)^2+($C92-AC$17)^2+($D92-AC$18)^2)</f>
        <v>6.33449735801956</v>
      </c>
      <c r="AD92" s="17" t="n">
        <f aca="false">SQRT(($B92-AD$16)^2+($C92-AD$17)^2+($D92-AD$18)^2)</f>
        <v>0.597707266868596</v>
      </c>
      <c r="AE92" s="17" t="n">
        <f aca="false">SQRT(($B92-AE$16)^2+($C92-AE$17)^2+($D92-AE$18)^2)</f>
        <v>2.15493718272131</v>
      </c>
      <c r="AF92" s="63" t="n">
        <f aca="false">MATCH(MIN(AC92:AE92),AC92:AE92,0)</f>
        <v>2</v>
      </c>
      <c r="AH92" s="17" t="n">
        <f aca="false">SQRT(($B92-AH$16)^2+($C92-AH$17)^2+($D92-AH$18)^2)</f>
        <v>5.70163344944401</v>
      </c>
      <c r="AI92" s="17" t="n">
        <f aca="false">SQRT(($B92-AI$16)^2+($C92-AI$17)^2+($D92-AI$18)^2)</f>
        <v>0.547075322402284</v>
      </c>
      <c r="AJ92" s="17" t="n">
        <f aca="false">SQRT(($B92-AJ$16)^2+($C92-AJ$17)^2+($D92-AJ$18)^2)</f>
        <v>2.27081050126631</v>
      </c>
      <c r="AK92" s="63" t="n">
        <f aca="false">MATCH(MIN(AH92:AJ92),AH92:AJ92,0)</f>
        <v>2</v>
      </c>
      <c r="AM92" s="17" t="n">
        <f aca="false">SQRT(($B92-AM$16)^2+($C92-AM$17)^2+($D92-AM$18)^2)</f>
        <v>5.70163344944401</v>
      </c>
      <c r="AN92" s="17" t="n">
        <f aca="false">SQRT(($B92-AN$16)^2+($C92-AN$17)^2+($D92-AN$18)^2)</f>
        <v>0.555356741289647</v>
      </c>
      <c r="AO92" s="17" t="n">
        <f aca="false">SQRT(($B92-AO$16)^2+($C92-AO$17)^2+($D92-AO$18)^2)</f>
        <v>2.29226134203593</v>
      </c>
      <c r="AP92" s="63" t="n">
        <f aca="false">MATCH(MIN(AM92:AO92),AM92:AO92,0)</f>
        <v>2</v>
      </c>
      <c r="AR92" s="17" t="n">
        <f aca="false">SQRT(($B92-AR$16)^2+($C92-AR$17)^2+($D92-AR$18)^2)</f>
        <v>5.70163344944401</v>
      </c>
      <c r="AS92" s="17" t="n">
        <f aca="false">SQRT(($B92-AS$16)^2+($C92-AS$17)^2+($D92-AS$18)^2)</f>
        <v>0.555356741289647</v>
      </c>
      <c r="AT92" s="17" t="n">
        <f aca="false">SQRT(($B92-AT$16)^2+($C92-AT$17)^2+($D92-AT$18)^2)</f>
        <v>2.29226134203593</v>
      </c>
      <c r="AU92" s="63" t="n">
        <f aca="false">MATCH(MIN(AR92:AT92),AR92:AT92,0)</f>
        <v>2</v>
      </c>
      <c r="AW92" s="17" t="n">
        <f aca="false">SQRT(($B92-AW$16)^2+($C92-AW$17)^2+($D92-AW$18)^2)</f>
        <v>5.70163344944401</v>
      </c>
      <c r="AX92" s="17" t="n">
        <f aca="false">SQRT(($B92-AX$16)^2+($C92-AX$17)^2+($D92-AX$18)^2)</f>
        <v>0.555356741289647</v>
      </c>
      <c r="AY92" s="17" t="n">
        <f aca="false">SQRT(($B92-AY$16)^2+($C92-AY$17)^2+($D92-AY$18)^2)</f>
        <v>2.29226134203593</v>
      </c>
      <c r="AZ92" s="63" t="n">
        <f aca="false">MATCH(MIN(AW92:AY92),AW92:AY92,0)</f>
        <v>2</v>
      </c>
      <c r="BB92" s="17" t="n">
        <f aca="false">SQRT(($B92-BB$16)^2+($C92-BB$17)^2+($D92-BB$18)^2)</f>
        <v>5.70163344944401</v>
      </c>
      <c r="BC92" s="17" t="n">
        <f aca="false">SQRT(($B92-BC$16)^2+($C92-BC$17)^2+($D92-BC$18)^2)</f>
        <v>0.555356741289647</v>
      </c>
      <c r="BD92" s="17" t="n">
        <f aca="false">SQRT(($B92-BD$16)^2+($C92-BD$17)^2+($D92-BD$18)^2)</f>
        <v>2.29226134203593</v>
      </c>
      <c r="BE92" s="63" t="n">
        <f aca="false">MATCH(MIN(BB92:BD92),BB92:BD92,0)</f>
        <v>2</v>
      </c>
      <c r="BG92" s="17" t="n">
        <f aca="false">SQRT(($B92-BG$16)^2+($C92-BG$17)^2+($D92-BG$18)^2)</f>
        <v>5.70163344944401</v>
      </c>
      <c r="BH92" s="17" t="n">
        <f aca="false">SQRT(($B92-BH$16)^2+($C92-BH$17)^2+($D92-BH$18)^2)</f>
        <v>0.555356741289647</v>
      </c>
      <c r="BI92" s="17" t="n">
        <f aca="false">SQRT(($B92-BI$16)^2+($C92-BI$17)^2+($D92-BI$18)^2)</f>
        <v>2.29226134203593</v>
      </c>
      <c r="BJ92" s="63" t="n">
        <f aca="false">MATCH(MIN(BG92:BI92),BG92:BI92,0)</f>
        <v>2</v>
      </c>
      <c r="BL92" s="17" t="n">
        <f aca="false">SQRT(($B92-BL$16)^2+($C92-BL$17)^2+($D92-BL$18)^2)</f>
        <v>5.70163344944401</v>
      </c>
      <c r="BM92" s="17" t="n">
        <f aca="false">SQRT(($B92-BM$16)^2+($C92-BM$17)^2+($D92-BM$18)^2)</f>
        <v>0.555356741289647</v>
      </c>
      <c r="BN92" s="17" t="n">
        <f aca="false">SQRT(($B92-BN$16)^2+($C92-BN$17)^2+($D92-BN$18)^2)</f>
        <v>2.29226134203593</v>
      </c>
      <c r="BO92" s="63" t="n">
        <f aca="false">MATCH(MIN(BL92:BN92),BL92:BN92,0)</f>
        <v>2</v>
      </c>
      <c r="BQ92" s="17" t="n">
        <f aca="false">SQRT(($B92-BQ$16)^2+($C92-BQ$17)^2+($D92-BQ$18)^2)</f>
        <v>5.70163344944401</v>
      </c>
      <c r="BR92" s="17" t="n">
        <f aca="false">SQRT(($B92-BR$16)^2+($C92-BR$17)^2+($D92-BR$18)^2)</f>
        <v>0.555356741289647</v>
      </c>
      <c r="BS92" s="17" t="n">
        <f aca="false">SQRT(($B92-BS$16)^2+($C92-BS$17)^2+($D92-BS$18)^2)</f>
        <v>2.29226134203593</v>
      </c>
      <c r="BT92" s="63" t="n">
        <f aca="false">MATCH(MIN(BQ92:BS92),BQ92:BS92,0)</f>
        <v>2</v>
      </c>
      <c r="BV92" s="17" t="n">
        <f aca="false">SQRT(($B92-BV$16)^2+($C92-BV$17)^2+($D92-BV$18)^2)</f>
        <v>5.70163344944401</v>
      </c>
      <c r="BW92" s="17" t="n">
        <f aca="false">SQRT(($B92-BW$16)^2+($C92-BW$17)^2+($D92-BW$18)^2)</f>
        <v>0.555356741289647</v>
      </c>
      <c r="BX92" s="17" t="n">
        <f aca="false">SQRT(($B92-BX$16)^2+($C92-BX$17)^2+($D92-BX$18)^2)</f>
        <v>2.29226134203593</v>
      </c>
      <c r="BY92" s="63" t="n">
        <f aca="false">MATCH(MIN(BV92:BX92),BV92:BX92,0)</f>
        <v>2</v>
      </c>
      <c r="CA92" s="17" t="n">
        <f aca="false">SQRT(($B92-CA$16)^2+($C92-CA$17)^2+($D92-CA$18)^2)</f>
        <v>5.70163344944401</v>
      </c>
      <c r="CB92" s="17" t="n">
        <f aca="false">SQRT(($B92-CB$16)^2+($C92-CB$17)^2+($D92-CB$18)^2)</f>
        <v>0.555356741289647</v>
      </c>
      <c r="CC92" s="17" t="n">
        <f aca="false">SQRT(($B92-CC$16)^2+($C92-CC$17)^2+($D92-CC$18)^2)</f>
        <v>2.29226134203593</v>
      </c>
      <c r="CD92" s="63" t="n">
        <f aca="false">MATCH(MIN(CA92:CC92),CA92:CC92,0)</f>
        <v>2</v>
      </c>
    </row>
    <row r="93" customFormat="false" ht="15" hidden="false" customHeight="false" outlineLevel="0" collapsed="false">
      <c r="A93" s="36" t="str">
        <f aca="false">KMeans_Data!A75</f>
        <v>Shigar</v>
      </c>
      <c r="B93" s="17" t="n">
        <f aca="false">KMeans_Data!H75</f>
        <v>-0.275926355545086</v>
      </c>
      <c r="C93" s="17" t="n">
        <f aca="false">KMeans_Data!I75</f>
        <v>-0.672650545388274</v>
      </c>
      <c r="D93" s="17" t="n">
        <f aca="false">KMeans_Data!J75</f>
        <v>0.286716848591577</v>
      </c>
      <c r="E93" s="63" t="n">
        <f aca="false">CD93</f>
        <v>2</v>
      </c>
      <c r="F93" s="38" t="n">
        <f aca="false">($B93-INDEX($L$16:$N$16,E93))^2+($C93-INDEX($L$17:$N$17,E93))^2+($D93-INDEX($L$18:$N$18,E93))^2</f>
        <v>1.19088015017959</v>
      </c>
      <c r="G93" s="12" t="str">
        <f aca="false">INDEX($M$5:$M$7,E93)</f>
        <v>Low burden</v>
      </c>
      <c r="H93" s="17" t="n">
        <f aca="false">IF(COUNTIF(Distance_Matrix!$E$9:$DQ$9,$E93)&lt;=1,0,SUMIF(Distance_Matrix!$E$9:$DQ$9,$E93,Distance_Matrix!$E$84:$DQ$84)/(COUNTIF(Distance_Matrix!$E$9:$DQ$9,$E93)-1))</f>
        <v>1.27192072883337</v>
      </c>
      <c r="I93" s="17" t="n">
        <f aca="false">MIN(IF(1=$E93,1E+099,IF(COUNTIF(Distance_Matrix!$E$9:$DQ$9,1)=0,1E+099,SUMIF(Distance_Matrix!$E$9:$DQ$9,1,Distance_Matrix!$E$84:$DQ$84)/COUNTIF(Distance_Matrix!$E$9:$DQ$9,1))),IF(2=$E93,1E+099,IF(COUNTIF(Distance_Matrix!$E$9:$DQ$9,2)=0,1E+099,SUMIF(Distance_Matrix!$E$9:$DQ$9,2,Distance_Matrix!$E$84:$DQ$84)/COUNTIF(Distance_Matrix!$E$9:$DQ$9,2))),IF(3=$E93,1E+099,IF(COUNTIF(Distance_Matrix!$E$9:$DQ$9,3)=0,1E+099,SUMIF(Distance_Matrix!$E$9:$DQ$9,3,Distance_Matrix!$E$84:$DQ$84)/COUNTIF(Distance_Matrix!$E$9:$DQ$9,3))))</f>
        <v>1.56830090523568</v>
      </c>
      <c r="J93" s="17" t="n">
        <f aca="false">IF(COUNTIF(Distance_Matrix!$E$9:$DQ$9,$E93)&lt;=1,0,(I93-H93)/MAX(H93,I93))</f>
        <v>0.188981703328013</v>
      </c>
      <c r="X93" s="17" t="n">
        <f aca="false">SQRT(($B93-X$16)^2+($C93-X$17)^2+($D93-X$18)^2)</f>
        <v>6.602995999108</v>
      </c>
      <c r="Y93" s="17" t="n">
        <f aca="false">SQRT(($B93-Y$16)^2+($C93-Y$17)^2+($D93-Y$18)^2)</f>
        <v>2.30334415944853</v>
      </c>
      <c r="Z93" s="17" t="n">
        <f aca="false">SQRT(($B93-Z$16)^2+($C93-Z$17)^2+($D93-Z$18)^2)</f>
        <v>2.05695940710304</v>
      </c>
      <c r="AA93" s="63" t="n">
        <f aca="false">MATCH(MIN(X93:Z93),X93:Z93,0)</f>
        <v>3</v>
      </c>
      <c r="AC93" s="17" t="n">
        <f aca="false">SQRT(($B93-AC$16)^2+($C93-AC$17)^2+($D93-AC$18)^2)</f>
        <v>5.64546996891009</v>
      </c>
      <c r="AD93" s="17" t="n">
        <f aca="false">SQRT(($B93-AD$16)^2+($C93-AD$17)^2+($D93-AD$18)^2)</f>
        <v>1.21593892310124</v>
      </c>
      <c r="AE93" s="17" t="n">
        <f aca="false">SQRT(($B93-AE$16)^2+($C93-AE$17)^2+($D93-AE$18)^2)</f>
        <v>1.32455047132842</v>
      </c>
      <c r="AF93" s="63" t="n">
        <f aca="false">MATCH(MIN(AC93:AE93),AC93:AE93,0)</f>
        <v>2</v>
      </c>
      <c r="AH93" s="17" t="n">
        <f aca="false">SQRT(($B93-AH$16)^2+($C93-AH$17)^2+($D93-AH$18)^2)</f>
        <v>5.01186121179639</v>
      </c>
      <c r="AI93" s="17" t="n">
        <f aca="false">SQRT(($B93-AI$16)^2+($C93-AI$17)^2+($D93-AI$18)^2)</f>
        <v>1.10558898249089</v>
      </c>
      <c r="AJ93" s="17" t="n">
        <f aca="false">SQRT(($B93-AJ$16)^2+($C93-AJ$17)^2+($D93-AJ$18)^2)</f>
        <v>1.40584163505704</v>
      </c>
      <c r="AK93" s="63" t="n">
        <f aca="false">MATCH(MIN(AH93:AJ93),AH93:AJ93,0)</f>
        <v>2</v>
      </c>
      <c r="AM93" s="17" t="n">
        <f aca="false">SQRT(($B93-AM$16)^2+($C93-AM$17)^2+($D93-AM$18)^2)</f>
        <v>5.01186121179639</v>
      </c>
      <c r="AN93" s="17" t="n">
        <f aca="false">SQRT(($B93-AN$16)^2+($C93-AN$17)^2+($D93-AN$18)^2)</f>
        <v>1.09127455307067</v>
      </c>
      <c r="AO93" s="17" t="n">
        <f aca="false">SQRT(($B93-AO$16)^2+($C93-AO$17)^2+($D93-AO$18)^2)</f>
        <v>1.42900150216239</v>
      </c>
      <c r="AP93" s="63" t="n">
        <f aca="false">MATCH(MIN(AM93:AO93),AM93:AO93,0)</f>
        <v>2</v>
      </c>
      <c r="AR93" s="17" t="n">
        <f aca="false">SQRT(($B93-AR$16)^2+($C93-AR$17)^2+($D93-AR$18)^2)</f>
        <v>5.01186121179639</v>
      </c>
      <c r="AS93" s="17" t="n">
        <f aca="false">SQRT(($B93-AS$16)^2+($C93-AS$17)^2+($D93-AS$18)^2)</f>
        <v>1.09127455307067</v>
      </c>
      <c r="AT93" s="17" t="n">
        <f aca="false">SQRT(($B93-AT$16)^2+($C93-AT$17)^2+($D93-AT$18)^2)</f>
        <v>1.42900150216239</v>
      </c>
      <c r="AU93" s="63" t="n">
        <f aca="false">MATCH(MIN(AR93:AT93),AR93:AT93,0)</f>
        <v>2</v>
      </c>
      <c r="AW93" s="17" t="n">
        <f aca="false">SQRT(($B93-AW$16)^2+($C93-AW$17)^2+($D93-AW$18)^2)</f>
        <v>5.01186121179639</v>
      </c>
      <c r="AX93" s="17" t="n">
        <f aca="false">SQRT(($B93-AX$16)^2+($C93-AX$17)^2+($D93-AX$18)^2)</f>
        <v>1.09127455307067</v>
      </c>
      <c r="AY93" s="17" t="n">
        <f aca="false">SQRT(($B93-AY$16)^2+($C93-AY$17)^2+($D93-AY$18)^2)</f>
        <v>1.42900150216239</v>
      </c>
      <c r="AZ93" s="63" t="n">
        <f aca="false">MATCH(MIN(AW93:AY93),AW93:AY93,0)</f>
        <v>2</v>
      </c>
      <c r="BB93" s="17" t="n">
        <f aca="false">SQRT(($B93-BB$16)^2+($C93-BB$17)^2+($D93-BB$18)^2)</f>
        <v>5.01186121179639</v>
      </c>
      <c r="BC93" s="17" t="n">
        <f aca="false">SQRT(($B93-BC$16)^2+($C93-BC$17)^2+($D93-BC$18)^2)</f>
        <v>1.09127455307067</v>
      </c>
      <c r="BD93" s="17" t="n">
        <f aca="false">SQRT(($B93-BD$16)^2+($C93-BD$17)^2+($D93-BD$18)^2)</f>
        <v>1.42900150216239</v>
      </c>
      <c r="BE93" s="63" t="n">
        <f aca="false">MATCH(MIN(BB93:BD93),BB93:BD93,0)</f>
        <v>2</v>
      </c>
      <c r="BG93" s="17" t="n">
        <f aca="false">SQRT(($B93-BG$16)^2+($C93-BG$17)^2+($D93-BG$18)^2)</f>
        <v>5.01186121179639</v>
      </c>
      <c r="BH93" s="17" t="n">
        <f aca="false">SQRT(($B93-BH$16)^2+($C93-BH$17)^2+($D93-BH$18)^2)</f>
        <v>1.09127455307067</v>
      </c>
      <c r="BI93" s="17" t="n">
        <f aca="false">SQRT(($B93-BI$16)^2+($C93-BI$17)^2+($D93-BI$18)^2)</f>
        <v>1.42900150216239</v>
      </c>
      <c r="BJ93" s="63" t="n">
        <f aca="false">MATCH(MIN(BG93:BI93),BG93:BI93,0)</f>
        <v>2</v>
      </c>
      <c r="BL93" s="17" t="n">
        <f aca="false">SQRT(($B93-BL$16)^2+($C93-BL$17)^2+($D93-BL$18)^2)</f>
        <v>5.01186121179639</v>
      </c>
      <c r="BM93" s="17" t="n">
        <f aca="false">SQRT(($B93-BM$16)^2+($C93-BM$17)^2+($D93-BM$18)^2)</f>
        <v>1.09127455307067</v>
      </c>
      <c r="BN93" s="17" t="n">
        <f aca="false">SQRT(($B93-BN$16)^2+($C93-BN$17)^2+($D93-BN$18)^2)</f>
        <v>1.42900150216239</v>
      </c>
      <c r="BO93" s="63" t="n">
        <f aca="false">MATCH(MIN(BL93:BN93),BL93:BN93,0)</f>
        <v>2</v>
      </c>
      <c r="BQ93" s="17" t="n">
        <f aca="false">SQRT(($B93-BQ$16)^2+($C93-BQ$17)^2+($D93-BQ$18)^2)</f>
        <v>5.01186121179639</v>
      </c>
      <c r="BR93" s="17" t="n">
        <f aca="false">SQRT(($B93-BR$16)^2+($C93-BR$17)^2+($D93-BR$18)^2)</f>
        <v>1.09127455307067</v>
      </c>
      <c r="BS93" s="17" t="n">
        <f aca="false">SQRT(($B93-BS$16)^2+($C93-BS$17)^2+($D93-BS$18)^2)</f>
        <v>1.42900150216239</v>
      </c>
      <c r="BT93" s="63" t="n">
        <f aca="false">MATCH(MIN(BQ93:BS93),BQ93:BS93,0)</f>
        <v>2</v>
      </c>
      <c r="BV93" s="17" t="n">
        <f aca="false">SQRT(($B93-BV$16)^2+($C93-BV$17)^2+($D93-BV$18)^2)</f>
        <v>5.01186121179639</v>
      </c>
      <c r="BW93" s="17" t="n">
        <f aca="false">SQRT(($B93-BW$16)^2+($C93-BW$17)^2+($D93-BW$18)^2)</f>
        <v>1.09127455307067</v>
      </c>
      <c r="BX93" s="17" t="n">
        <f aca="false">SQRT(($B93-BX$16)^2+($C93-BX$17)^2+($D93-BX$18)^2)</f>
        <v>1.42900150216239</v>
      </c>
      <c r="BY93" s="63" t="n">
        <f aca="false">MATCH(MIN(BV93:BX93),BV93:BX93,0)</f>
        <v>2</v>
      </c>
      <c r="CA93" s="17" t="n">
        <f aca="false">SQRT(($B93-CA$16)^2+($C93-CA$17)^2+($D93-CA$18)^2)</f>
        <v>5.01186121179639</v>
      </c>
      <c r="CB93" s="17" t="n">
        <f aca="false">SQRT(($B93-CB$16)^2+($C93-CB$17)^2+($D93-CB$18)^2)</f>
        <v>1.09127455307067</v>
      </c>
      <c r="CC93" s="17" t="n">
        <f aca="false">SQRT(($B93-CC$16)^2+($C93-CC$17)^2+($D93-CC$18)^2)</f>
        <v>1.42900150216239</v>
      </c>
      <c r="CD93" s="63" t="n">
        <f aca="false">MATCH(MIN(CA93:CC93),CA93:CC93,0)</f>
        <v>2</v>
      </c>
    </row>
    <row r="94" customFormat="false" ht="15" hidden="false" customHeight="false" outlineLevel="0" collapsed="false">
      <c r="A94" s="36" t="str">
        <f aca="false">KMeans_Data!A76</f>
        <v>Narowal</v>
      </c>
      <c r="B94" s="17" t="n">
        <f aca="false">KMeans_Data!H76</f>
        <v>-0.275926355545086</v>
      </c>
      <c r="C94" s="17" t="n">
        <f aca="false">KMeans_Data!I76</f>
        <v>-0.672650545388274</v>
      </c>
      <c r="D94" s="17" t="n">
        <f aca="false">KMeans_Data!J76</f>
        <v>-1.14564411633355</v>
      </c>
      <c r="E94" s="63" t="n">
        <f aca="false">CD94</f>
        <v>2</v>
      </c>
      <c r="F94" s="38" t="n">
        <f aca="false">($B94-INDEX($L$16:$N$16,E94))^2+($C94-INDEX($L$17:$N$17,E94))^2+($D94-INDEX($L$18:$N$18,E94))^2</f>
        <v>0.296577669647992</v>
      </c>
      <c r="G94" s="12" t="str">
        <f aca="false">INDEX($M$5:$M$7,E94)</f>
        <v>Low burden</v>
      </c>
      <c r="H94" s="17" t="n">
        <f aca="false">IF(COUNTIF(Distance_Matrix!$E$9:$DQ$9,$E94)&lt;=1,0,SUMIF(Distance_Matrix!$E$9:$DQ$9,$E94,Distance_Matrix!$E$85:$DQ$85)/(COUNTIF(Distance_Matrix!$E$9:$DQ$9,$E94)-1))</f>
        <v>0.905526989450985</v>
      </c>
      <c r="I94" s="17" t="n">
        <f aca="false">MIN(IF(1=$E94,1E+099,IF(COUNTIF(Distance_Matrix!$E$9:$DQ$9,1)=0,1E+099,SUMIF(Distance_Matrix!$E$9:$DQ$9,1,Distance_Matrix!$E$85:$DQ$85)/COUNTIF(Distance_Matrix!$E$9:$DQ$9,1))),IF(2=$E94,1E+099,IF(COUNTIF(Distance_Matrix!$E$9:$DQ$9,2)=0,1E+099,SUMIF(Distance_Matrix!$E$9:$DQ$9,2,Distance_Matrix!$E$85:$DQ$85)/COUNTIF(Distance_Matrix!$E$9:$DQ$9,2))),IF(3=$E94,1E+099,IF(COUNTIF(Distance_Matrix!$E$9:$DQ$9,3)=0,1E+099,SUMIF(Distance_Matrix!$E$9:$DQ$9,3,Distance_Matrix!$E$85:$DQ$85)/COUNTIF(Distance_Matrix!$E$9:$DQ$9,3))))</f>
        <v>2.40652994860735</v>
      </c>
      <c r="J94" s="17" t="n">
        <f aca="false">IF(COUNTIF(Distance_Matrix!$E$9:$DQ$9,$E94)&lt;=1,0,(I94-H94)/MAX(H94,I94))</f>
        <v>0.623720872464101</v>
      </c>
      <c r="X94" s="17" t="n">
        <f aca="false">SQRT(($B94-X$16)^2+($C94-X$17)^2+($D94-X$18)^2)</f>
        <v>7.35853028224167</v>
      </c>
      <c r="Y94" s="17" t="n">
        <f aca="false">SQRT(($B94-Y$16)^2+($C94-Y$17)^2+($D94-Y$18)^2)</f>
        <v>1.80381162625824</v>
      </c>
      <c r="Z94" s="17" t="n">
        <f aca="false">SQRT(($B94-Z$16)^2+($C94-Z$17)^2+($D94-Z$18)^2)</f>
        <v>3.11025341577251</v>
      </c>
      <c r="AA94" s="63" t="n">
        <f aca="false">MATCH(MIN(X94:Z94),X94:Z94,0)</f>
        <v>2</v>
      </c>
      <c r="AC94" s="17" t="n">
        <f aca="false">SQRT(($B94-AC$16)^2+($C94-AC$17)^2+($D94-AC$18)^2)</f>
        <v>6.34227094481252</v>
      </c>
      <c r="AD94" s="17" t="n">
        <f aca="false">SQRT(($B94-AD$16)^2+($C94-AD$17)^2+($D94-AD$18)^2)</f>
        <v>0.584252894495898</v>
      </c>
      <c r="AE94" s="17" t="n">
        <f aca="false">SQRT(($B94-AE$16)^2+($C94-AE$17)^2+($D94-AE$18)^2)</f>
        <v>2.16070506013412</v>
      </c>
      <c r="AF94" s="63" t="n">
        <f aca="false">MATCH(MIN(AC94:AE94),AC94:AE94,0)</f>
        <v>2</v>
      </c>
      <c r="AH94" s="17" t="n">
        <f aca="false">SQRT(($B94-AH$16)^2+($C94-AH$17)^2+($D94-AH$18)^2)</f>
        <v>5.70935598717522</v>
      </c>
      <c r="AI94" s="17" t="n">
        <f aca="false">SQRT(($B94-AI$16)^2+($C94-AI$17)^2+($D94-AI$18)^2)</f>
        <v>0.53602934712192</v>
      </c>
      <c r="AJ94" s="17" t="n">
        <f aca="false">SQRT(($B94-AJ$16)^2+($C94-AJ$17)^2+($D94-AJ$18)^2)</f>
        <v>2.27627310415011</v>
      </c>
      <c r="AK94" s="63" t="n">
        <f aca="false">MATCH(MIN(AH94:AJ94),AH94:AJ94,0)</f>
        <v>2</v>
      </c>
      <c r="AM94" s="17" t="n">
        <f aca="false">SQRT(($B94-AM$16)^2+($C94-AM$17)^2+($D94-AM$18)^2)</f>
        <v>5.70935598717522</v>
      </c>
      <c r="AN94" s="17" t="n">
        <f aca="false">SQRT(($B94-AN$16)^2+($C94-AN$17)^2+($D94-AN$18)^2)</f>
        <v>0.544589450547835</v>
      </c>
      <c r="AO94" s="17" t="n">
        <f aca="false">SQRT(($B94-AO$16)^2+($C94-AO$17)^2+($D94-AO$18)^2)</f>
        <v>2.29780537319071</v>
      </c>
      <c r="AP94" s="63" t="n">
        <f aca="false">MATCH(MIN(AM94:AO94),AM94:AO94,0)</f>
        <v>2</v>
      </c>
      <c r="AR94" s="17" t="n">
        <f aca="false">SQRT(($B94-AR$16)^2+($C94-AR$17)^2+($D94-AR$18)^2)</f>
        <v>5.70935598717522</v>
      </c>
      <c r="AS94" s="17" t="n">
        <f aca="false">SQRT(($B94-AS$16)^2+($C94-AS$17)^2+($D94-AS$18)^2)</f>
        <v>0.544589450547835</v>
      </c>
      <c r="AT94" s="17" t="n">
        <f aca="false">SQRT(($B94-AT$16)^2+($C94-AT$17)^2+($D94-AT$18)^2)</f>
        <v>2.29780537319071</v>
      </c>
      <c r="AU94" s="63" t="n">
        <f aca="false">MATCH(MIN(AR94:AT94),AR94:AT94,0)</f>
        <v>2</v>
      </c>
      <c r="AW94" s="17" t="n">
        <f aca="false">SQRT(($B94-AW$16)^2+($C94-AW$17)^2+($D94-AW$18)^2)</f>
        <v>5.70935598717522</v>
      </c>
      <c r="AX94" s="17" t="n">
        <f aca="false">SQRT(($B94-AX$16)^2+($C94-AX$17)^2+($D94-AX$18)^2)</f>
        <v>0.544589450547835</v>
      </c>
      <c r="AY94" s="17" t="n">
        <f aca="false">SQRT(($B94-AY$16)^2+($C94-AY$17)^2+($D94-AY$18)^2)</f>
        <v>2.29780537319071</v>
      </c>
      <c r="AZ94" s="63" t="n">
        <f aca="false">MATCH(MIN(AW94:AY94),AW94:AY94,0)</f>
        <v>2</v>
      </c>
      <c r="BB94" s="17" t="n">
        <f aca="false">SQRT(($B94-BB$16)^2+($C94-BB$17)^2+($D94-BB$18)^2)</f>
        <v>5.70935598717522</v>
      </c>
      <c r="BC94" s="17" t="n">
        <f aca="false">SQRT(($B94-BC$16)^2+($C94-BC$17)^2+($D94-BC$18)^2)</f>
        <v>0.544589450547835</v>
      </c>
      <c r="BD94" s="17" t="n">
        <f aca="false">SQRT(($B94-BD$16)^2+($C94-BD$17)^2+($D94-BD$18)^2)</f>
        <v>2.29780537319071</v>
      </c>
      <c r="BE94" s="63" t="n">
        <f aca="false">MATCH(MIN(BB94:BD94),BB94:BD94,0)</f>
        <v>2</v>
      </c>
      <c r="BG94" s="17" t="n">
        <f aca="false">SQRT(($B94-BG$16)^2+($C94-BG$17)^2+($D94-BG$18)^2)</f>
        <v>5.70935598717522</v>
      </c>
      <c r="BH94" s="17" t="n">
        <f aca="false">SQRT(($B94-BH$16)^2+($C94-BH$17)^2+($D94-BH$18)^2)</f>
        <v>0.544589450547835</v>
      </c>
      <c r="BI94" s="17" t="n">
        <f aca="false">SQRT(($B94-BI$16)^2+($C94-BI$17)^2+($D94-BI$18)^2)</f>
        <v>2.29780537319071</v>
      </c>
      <c r="BJ94" s="63" t="n">
        <f aca="false">MATCH(MIN(BG94:BI94),BG94:BI94,0)</f>
        <v>2</v>
      </c>
      <c r="BL94" s="17" t="n">
        <f aca="false">SQRT(($B94-BL$16)^2+($C94-BL$17)^2+($D94-BL$18)^2)</f>
        <v>5.70935598717522</v>
      </c>
      <c r="BM94" s="17" t="n">
        <f aca="false">SQRT(($B94-BM$16)^2+($C94-BM$17)^2+($D94-BM$18)^2)</f>
        <v>0.544589450547835</v>
      </c>
      <c r="BN94" s="17" t="n">
        <f aca="false">SQRT(($B94-BN$16)^2+($C94-BN$17)^2+($D94-BN$18)^2)</f>
        <v>2.29780537319071</v>
      </c>
      <c r="BO94" s="63" t="n">
        <f aca="false">MATCH(MIN(BL94:BN94),BL94:BN94,0)</f>
        <v>2</v>
      </c>
      <c r="BQ94" s="17" t="n">
        <f aca="false">SQRT(($B94-BQ$16)^2+($C94-BQ$17)^2+($D94-BQ$18)^2)</f>
        <v>5.70935598717522</v>
      </c>
      <c r="BR94" s="17" t="n">
        <f aca="false">SQRT(($B94-BR$16)^2+($C94-BR$17)^2+($D94-BR$18)^2)</f>
        <v>0.544589450547835</v>
      </c>
      <c r="BS94" s="17" t="n">
        <f aca="false">SQRT(($B94-BS$16)^2+($C94-BS$17)^2+($D94-BS$18)^2)</f>
        <v>2.29780537319071</v>
      </c>
      <c r="BT94" s="63" t="n">
        <f aca="false">MATCH(MIN(BQ94:BS94),BQ94:BS94,0)</f>
        <v>2</v>
      </c>
      <c r="BV94" s="17" t="n">
        <f aca="false">SQRT(($B94-BV$16)^2+($C94-BV$17)^2+($D94-BV$18)^2)</f>
        <v>5.70935598717522</v>
      </c>
      <c r="BW94" s="17" t="n">
        <f aca="false">SQRT(($B94-BW$16)^2+($C94-BW$17)^2+($D94-BW$18)^2)</f>
        <v>0.544589450547835</v>
      </c>
      <c r="BX94" s="17" t="n">
        <f aca="false">SQRT(($B94-BX$16)^2+($C94-BX$17)^2+($D94-BX$18)^2)</f>
        <v>2.29780537319071</v>
      </c>
      <c r="BY94" s="63" t="n">
        <f aca="false">MATCH(MIN(BV94:BX94),BV94:BX94,0)</f>
        <v>2</v>
      </c>
      <c r="CA94" s="17" t="n">
        <f aca="false">SQRT(($B94-CA$16)^2+($C94-CA$17)^2+($D94-CA$18)^2)</f>
        <v>5.70935598717522</v>
      </c>
      <c r="CB94" s="17" t="n">
        <f aca="false">SQRT(($B94-CB$16)^2+($C94-CB$17)^2+($D94-CB$18)^2)</f>
        <v>0.544589450547835</v>
      </c>
      <c r="CC94" s="17" t="n">
        <f aca="false">SQRT(($B94-CC$16)^2+($C94-CC$17)^2+($D94-CC$18)^2)</f>
        <v>2.29780537319071</v>
      </c>
      <c r="CD94" s="63" t="n">
        <f aca="false">MATCH(MIN(CA94:CC94),CA94:CC94,0)</f>
        <v>2</v>
      </c>
    </row>
    <row r="95" customFormat="false" ht="15" hidden="false" customHeight="false" outlineLevel="0" collapsed="false">
      <c r="A95" s="36" t="str">
        <f aca="false">KMeans_Data!A77</f>
        <v>Mandi Bahauddin</v>
      </c>
      <c r="B95" s="17" t="n">
        <f aca="false">KMeans_Data!H77</f>
        <v>-0.309516720776153</v>
      </c>
      <c r="C95" s="17" t="n">
        <f aca="false">KMeans_Data!I77</f>
        <v>-0.672650545388274</v>
      </c>
      <c r="D95" s="17" t="n">
        <f aca="false">KMeans_Data!J77</f>
        <v>-0.182049815029191</v>
      </c>
      <c r="E95" s="63" t="n">
        <f aca="false">CD95</f>
        <v>2</v>
      </c>
      <c r="F95" s="38" t="n">
        <f aca="false">($B95-INDEX($L$16:$N$16,E95))^2+($C95-INDEX($L$17:$N$17,E95))^2+($D95-INDEX($L$18:$N$18,E95))^2</f>
        <v>0.423328816116109</v>
      </c>
      <c r="G95" s="12" t="str">
        <f aca="false">INDEX($M$5:$M$7,E95)</f>
        <v>Low burden</v>
      </c>
      <c r="H95" s="17" t="n">
        <f aca="false">IF(COUNTIF(Distance_Matrix!$E$9:$DQ$9,$E95)&lt;=1,0,SUMIF(Distance_Matrix!$E$9:$DQ$9,$E95,Distance_Matrix!$E$86:$DQ$86)/(COUNTIF(Distance_Matrix!$E$9:$DQ$9,$E95)-1))</f>
        <v>0.951780452857566</v>
      </c>
      <c r="I95" s="17" t="n">
        <f aca="false">MIN(IF(1=$E95,1E+099,IF(COUNTIF(Distance_Matrix!$E$9:$DQ$9,1)=0,1E+099,SUMIF(Distance_Matrix!$E$9:$DQ$9,1,Distance_Matrix!$E$86:$DQ$86)/COUNTIF(Distance_Matrix!$E$9:$DQ$9,1))),IF(2=$E95,1E+099,IF(COUNTIF(Distance_Matrix!$E$9:$DQ$9,2)=0,1E+099,SUMIF(Distance_Matrix!$E$9:$DQ$9,2,Distance_Matrix!$E$86:$DQ$86)/COUNTIF(Distance_Matrix!$E$9:$DQ$9,2))),IF(3=$E95,1E+099,IF(COUNTIF(Distance_Matrix!$E$9:$DQ$9,3)=0,1E+099,SUMIF(Distance_Matrix!$E$9:$DQ$9,3,Distance_Matrix!$E$86:$DQ$86)/COUNTIF(Distance_Matrix!$E$9:$DQ$9,3))))</f>
        <v>1.77633839720604</v>
      </c>
      <c r="J95" s="17" t="n">
        <f aca="false">IF(COUNTIF(Distance_Matrix!$E$9:$DQ$9,$E95)&lt;=1,0,(I95-H95)/MAX(H95,I95))</f>
        <v>0.464189675596384</v>
      </c>
      <c r="X95" s="17" t="n">
        <f aca="false">SQRT(($B95-X$16)^2+($C95-X$17)^2+($D95-X$18)^2)</f>
        <v>6.84395018685736</v>
      </c>
      <c r="Y95" s="17" t="n">
        <f aca="false">SQRT(($B95-Y$16)^2+($C95-Y$17)^2+($D95-Y$18)^2)</f>
        <v>2.01548934269047</v>
      </c>
      <c r="Z95" s="17" t="n">
        <f aca="false">SQRT(($B95-Z$16)^2+($C95-Z$17)^2+($D95-Z$18)^2)</f>
        <v>2.37695713810837</v>
      </c>
      <c r="AA95" s="63" t="n">
        <f aca="false">MATCH(MIN(X95:Z95),X95:Z95,0)</f>
        <v>2</v>
      </c>
      <c r="AC95" s="17" t="n">
        <f aca="false">SQRT(($B95-AC$16)^2+($C95-AC$17)^2+($D95-AC$18)^2)</f>
        <v>5.86188307481595</v>
      </c>
      <c r="AD95" s="17" t="n">
        <f aca="false">SQRT(($B95-AD$16)^2+($C95-AD$17)^2+($D95-AD$18)^2)</f>
        <v>0.789281020611466</v>
      </c>
      <c r="AE95" s="17" t="n">
        <f aca="false">SQRT(($B95-AE$16)^2+($C95-AE$17)^2+($D95-AE$18)^2)</f>
        <v>1.51997909636365</v>
      </c>
      <c r="AF95" s="63" t="n">
        <f aca="false">MATCH(MIN(AC95:AE95),AC95:AE95,0)</f>
        <v>2</v>
      </c>
      <c r="AH95" s="17" t="n">
        <f aca="false">SQRT(($B95-AH$16)^2+($C95-AH$17)^2+($D95-AH$18)^2)</f>
        <v>5.22502162801496</v>
      </c>
      <c r="AI95" s="17" t="n">
        <f aca="false">SQRT(($B95-AI$16)^2+($C95-AI$17)^2+($D95-AI$18)^2)</f>
        <v>0.664231928391588</v>
      </c>
      <c r="AJ95" s="17" t="n">
        <f aca="false">SQRT(($B95-AJ$16)^2+($C95-AJ$17)^2+($D95-AJ$18)^2)</f>
        <v>1.62091228332429</v>
      </c>
      <c r="AK95" s="63" t="n">
        <f aca="false">MATCH(MIN(AH95:AJ95),AH95:AJ95,0)</f>
        <v>2</v>
      </c>
      <c r="AM95" s="17" t="n">
        <f aca="false">SQRT(($B95-AM$16)^2+($C95-AM$17)^2+($D95-AM$18)^2)</f>
        <v>5.22502162801496</v>
      </c>
      <c r="AN95" s="17" t="n">
        <f aca="false">SQRT(($B95-AN$16)^2+($C95-AN$17)^2+($D95-AN$18)^2)</f>
        <v>0.650637238494777</v>
      </c>
      <c r="AO95" s="17" t="n">
        <f aca="false">SQRT(($B95-AO$16)^2+($C95-AO$17)^2+($D95-AO$18)^2)</f>
        <v>1.6446986556707</v>
      </c>
      <c r="AP95" s="63" t="n">
        <f aca="false">MATCH(MIN(AM95:AO95),AM95:AO95,0)</f>
        <v>2</v>
      </c>
      <c r="AR95" s="17" t="n">
        <f aca="false">SQRT(($B95-AR$16)^2+($C95-AR$17)^2+($D95-AR$18)^2)</f>
        <v>5.22502162801496</v>
      </c>
      <c r="AS95" s="17" t="n">
        <f aca="false">SQRT(($B95-AS$16)^2+($C95-AS$17)^2+($D95-AS$18)^2)</f>
        <v>0.650637238494777</v>
      </c>
      <c r="AT95" s="17" t="n">
        <f aca="false">SQRT(($B95-AT$16)^2+($C95-AT$17)^2+($D95-AT$18)^2)</f>
        <v>1.6446986556707</v>
      </c>
      <c r="AU95" s="63" t="n">
        <f aca="false">MATCH(MIN(AR95:AT95),AR95:AT95,0)</f>
        <v>2</v>
      </c>
      <c r="AW95" s="17" t="n">
        <f aca="false">SQRT(($B95-AW$16)^2+($C95-AW$17)^2+($D95-AW$18)^2)</f>
        <v>5.22502162801496</v>
      </c>
      <c r="AX95" s="17" t="n">
        <f aca="false">SQRT(($B95-AX$16)^2+($C95-AX$17)^2+($D95-AX$18)^2)</f>
        <v>0.650637238494777</v>
      </c>
      <c r="AY95" s="17" t="n">
        <f aca="false">SQRT(($B95-AY$16)^2+($C95-AY$17)^2+($D95-AY$18)^2)</f>
        <v>1.6446986556707</v>
      </c>
      <c r="AZ95" s="63" t="n">
        <f aca="false">MATCH(MIN(AW95:AY95),AW95:AY95,0)</f>
        <v>2</v>
      </c>
      <c r="BB95" s="17" t="n">
        <f aca="false">SQRT(($B95-BB$16)^2+($C95-BB$17)^2+($D95-BB$18)^2)</f>
        <v>5.22502162801496</v>
      </c>
      <c r="BC95" s="17" t="n">
        <f aca="false">SQRT(($B95-BC$16)^2+($C95-BC$17)^2+($D95-BC$18)^2)</f>
        <v>0.650637238494777</v>
      </c>
      <c r="BD95" s="17" t="n">
        <f aca="false">SQRT(($B95-BD$16)^2+($C95-BD$17)^2+($D95-BD$18)^2)</f>
        <v>1.6446986556707</v>
      </c>
      <c r="BE95" s="63" t="n">
        <f aca="false">MATCH(MIN(BB95:BD95),BB95:BD95,0)</f>
        <v>2</v>
      </c>
      <c r="BG95" s="17" t="n">
        <f aca="false">SQRT(($B95-BG$16)^2+($C95-BG$17)^2+($D95-BG$18)^2)</f>
        <v>5.22502162801496</v>
      </c>
      <c r="BH95" s="17" t="n">
        <f aca="false">SQRT(($B95-BH$16)^2+($C95-BH$17)^2+($D95-BH$18)^2)</f>
        <v>0.650637238494777</v>
      </c>
      <c r="BI95" s="17" t="n">
        <f aca="false">SQRT(($B95-BI$16)^2+($C95-BI$17)^2+($D95-BI$18)^2)</f>
        <v>1.6446986556707</v>
      </c>
      <c r="BJ95" s="63" t="n">
        <f aca="false">MATCH(MIN(BG95:BI95),BG95:BI95,0)</f>
        <v>2</v>
      </c>
      <c r="BL95" s="17" t="n">
        <f aca="false">SQRT(($B95-BL$16)^2+($C95-BL$17)^2+($D95-BL$18)^2)</f>
        <v>5.22502162801496</v>
      </c>
      <c r="BM95" s="17" t="n">
        <f aca="false">SQRT(($B95-BM$16)^2+($C95-BM$17)^2+($D95-BM$18)^2)</f>
        <v>0.650637238494777</v>
      </c>
      <c r="BN95" s="17" t="n">
        <f aca="false">SQRT(($B95-BN$16)^2+($C95-BN$17)^2+($D95-BN$18)^2)</f>
        <v>1.6446986556707</v>
      </c>
      <c r="BO95" s="63" t="n">
        <f aca="false">MATCH(MIN(BL95:BN95),BL95:BN95,0)</f>
        <v>2</v>
      </c>
      <c r="BQ95" s="17" t="n">
        <f aca="false">SQRT(($B95-BQ$16)^2+($C95-BQ$17)^2+($D95-BQ$18)^2)</f>
        <v>5.22502162801496</v>
      </c>
      <c r="BR95" s="17" t="n">
        <f aca="false">SQRT(($B95-BR$16)^2+($C95-BR$17)^2+($D95-BR$18)^2)</f>
        <v>0.650637238494777</v>
      </c>
      <c r="BS95" s="17" t="n">
        <f aca="false">SQRT(($B95-BS$16)^2+($C95-BS$17)^2+($D95-BS$18)^2)</f>
        <v>1.6446986556707</v>
      </c>
      <c r="BT95" s="63" t="n">
        <f aca="false">MATCH(MIN(BQ95:BS95),BQ95:BS95,0)</f>
        <v>2</v>
      </c>
      <c r="BV95" s="17" t="n">
        <f aca="false">SQRT(($B95-BV$16)^2+($C95-BV$17)^2+($D95-BV$18)^2)</f>
        <v>5.22502162801496</v>
      </c>
      <c r="BW95" s="17" t="n">
        <f aca="false">SQRT(($B95-BW$16)^2+($C95-BW$17)^2+($D95-BW$18)^2)</f>
        <v>0.650637238494777</v>
      </c>
      <c r="BX95" s="17" t="n">
        <f aca="false">SQRT(($B95-BX$16)^2+($C95-BX$17)^2+($D95-BX$18)^2)</f>
        <v>1.6446986556707</v>
      </c>
      <c r="BY95" s="63" t="n">
        <f aca="false">MATCH(MIN(BV95:BX95),BV95:BX95,0)</f>
        <v>2</v>
      </c>
      <c r="CA95" s="17" t="n">
        <f aca="false">SQRT(($B95-CA$16)^2+($C95-CA$17)^2+($D95-CA$18)^2)</f>
        <v>5.22502162801496</v>
      </c>
      <c r="CB95" s="17" t="n">
        <f aca="false">SQRT(($B95-CB$16)^2+($C95-CB$17)^2+($D95-CB$18)^2)</f>
        <v>0.650637238494777</v>
      </c>
      <c r="CC95" s="17" t="n">
        <f aca="false">SQRT(($B95-CC$16)^2+($C95-CC$17)^2+($D95-CC$18)^2)</f>
        <v>1.6446986556707</v>
      </c>
      <c r="CD95" s="63" t="n">
        <f aca="false">MATCH(MIN(CA95:CC95),CA95:CC95,0)</f>
        <v>2</v>
      </c>
    </row>
    <row r="96" customFormat="false" ht="15" hidden="false" customHeight="false" outlineLevel="0" collapsed="false">
      <c r="A96" s="36" t="str">
        <f aca="false">KMeans_Data!A78</f>
        <v>Ghanche</v>
      </c>
      <c r="B96" s="17" t="n">
        <f aca="false">KMeans_Data!H78</f>
        <v>-0.327161461972788</v>
      </c>
      <c r="C96" s="17" t="n">
        <f aca="false">KMeans_Data!I78</f>
        <v>-0.672650545388274</v>
      </c>
      <c r="D96" s="17" t="n">
        <f aca="false">KMeans_Data!J78</f>
        <v>-0.2439270481224</v>
      </c>
      <c r="E96" s="63" t="n">
        <f aca="false">CD96</f>
        <v>2</v>
      </c>
      <c r="F96" s="38" t="n">
        <f aca="false">($B96-INDEX($L$16:$N$16,E96))^2+($C96-INDEX($L$17:$N$17,E96))^2+($D96-INDEX($L$18:$N$18,E96))^2</f>
        <v>0.346636889372538</v>
      </c>
      <c r="G96" s="12" t="str">
        <f aca="false">INDEX($M$5:$M$7,E96)</f>
        <v>Low burden</v>
      </c>
      <c r="H96" s="17" t="n">
        <f aca="false">IF(COUNTIF(Distance_Matrix!$E$9:$DQ$9,$E96)&lt;=1,0,SUMIF(Distance_Matrix!$E$9:$DQ$9,$E96,Distance_Matrix!$E$87:$DQ$87)/(COUNTIF(Distance_Matrix!$E$9:$DQ$9,$E96)-1))</f>
        <v>0.918167876929207</v>
      </c>
      <c r="I96" s="17" t="n">
        <f aca="false">MIN(IF(1=$E96,1E+099,IF(COUNTIF(Distance_Matrix!$E$9:$DQ$9,1)=0,1E+099,SUMIF(Distance_Matrix!$E$9:$DQ$9,1,Distance_Matrix!$E$87:$DQ$87)/COUNTIF(Distance_Matrix!$E$9:$DQ$9,1))),IF(2=$E96,1E+099,IF(COUNTIF(Distance_Matrix!$E$9:$DQ$9,2)=0,1E+099,SUMIF(Distance_Matrix!$E$9:$DQ$9,2,Distance_Matrix!$E$87:$DQ$87)/COUNTIF(Distance_Matrix!$E$9:$DQ$9,2))),IF(3=$E96,1E+099,IF(COUNTIF(Distance_Matrix!$E$9:$DQ$9,3)=0,1E+099,SUMIF(Distance_Matrix!$E$9:$DQ$9,3,Distance_Matrix!$E$87:$DQ$87)/COUNTIF(Distance_Matrix!$E$9:$DQ$9,3))))</f>
        <v>1.81719364614273</v>
      </c>
      <c r="J96" s="17" t="n">
        <f aca="false">IF(COUNTIF(Distance_Matrix!$E$9:$DQ$9,$E96)&lt;=1,0,(I96-H96)/MAX(H96,I96))</f>
        <v>0.494733057823443</v>
      </c>
      <c r="X96" s="17" t="n">
        <f aca="false">SQRT(($B96-X$16)^2+($C96-X$17)^2+($D96-X$18)^2)</f>
        <v>6.88442683577779</v>
      </c>
      <c r="Y96" s="17" t="n">
        <f aca="false">SQRT(($B96-Y$16)^2+($C96-Y$17)^2+($D96-Y$18)^2)</f>
        <v>1.97094346163573</v>
      </c>
      <c r="Z96" s="17" t="n">
        <f aca="false">SQRT(($B96-Z$16)^2+($C96-Z$17)^2+($D96-Z$18)^2)</f>
        <v>2.43024561524111</v>
      </c>
      <c r="AA96" s="63" t="n">
        <f aca="false">MATCH(MIN(X96:Z96),X96:Z96,0)</f>
        <v>2</v>
      </c>
      <c r="AC96" s="17" t="n">
        <f aca="false">SQRT(($B96-AC$16)^2+($C96-AC$17)^2+($D96-AC$18)^2)</f>
        <v>5.89966762670781</v>
      </c>
      <c r="AD96" s="17" t="n">
        <f aca="false">SQRT(($B96-AD$16)^2+($C96-AD$17)^2+($D96-AD$18)^2)</f>
        <v>0.728909804230153</v>
      </c>
      <c r="AE96" s="17" t="n">
        <f aca="false">SQRT(($B96-AE$16)^2+($C96-AE$17)^2+($D96-AE$18)^2)</f>
        <v>1.56161531212447</v>
      </c>
      <c r="AF96" s="63" t="n">
        <f aca="false">MATCH(MIN(AC96:AE96),AC96:AE96,0)</f>
        <v>2</v>
      </c>
      <c r="AH96" s="17" t="n">
        <f aca="false">SQRT(($B96-AH$16)^2+($C96-AH$17)^2+($D96-AH$18)^2)</f>
        <v>5.26269615838367</v>
      </c>
      <c r="AI96" s="17" t="n">
        <f aca="false">SQRT(($B96-AI$16)^2+($C96-AI$17)^2+($D96-AI$18)^2)</f>
        <v>0.602180431905948</v>
      </c>
      <c r="AJ96" s="17" t="n">
        <f aca="false">SQRT(($B96-AJ$16)^2+($C96-AJ$17)^2+($D96-AJ$18)^2)</f>
        <v>1.6637809560438</v>
      </c>
      <c r="AK96" s="63" t="n">
        <f aca="false">MATCH(MIN(AH96:AJ96),AH96:AJ96,0)</f>
        <v>2</v>
      </c>
      <c r="AM96" s="17" t="n">
        <f aca="false">SQRT(($B96-AM$16)^2+($C96-AM$17)^2+($D96-AM$18)^2)</f>
        <v>5.26269615838367</v>
      </c>
      <c r="AN96" s="17" t="n">
        <f aca="false">SQRT(($B96-AN$16)^2+($C96-AN$17)^2+($D96-AN$18)^2)</f>
        <v>0.58875877010244</v>
      </c>
      <c r="AO96" s="17" t="n">
        <f aca="false">SQRT(($B96-AO$16)^2+($C96-AO$17)^2+($D96-AO$18)^2)</f>
        <v>1.68758201337195</v>
      </c>
      <c r="AP96" s="63" t="n">
        <f aca="false">MATCH(MIN(AM96:AO96),AM96:AO96,0)</f>
        <v>2</v>
      </c>
      <c r="AR96" s="17" t="n">
        <f aca="false">SQRT(($B96-AR$16)^2+($C96-AR$17)^2+($D96-AR$18)^2)</f>
        <v>5.26269615838367</v>
      </c>
      <c r="AS96" s="17" t="n">
        <f aca="false">SQRT(($B96-AS$16)^2+($C96-AS$17)^2+($D96-AS$18)^2)</f>
        <v>0.58875877010244</v>
      </c>
      <c r="AT96" s="17" t="n">
        <f aca="false">SQRT(($B96-AT$16)^2+($C96-AT$17)^2+($D96-AT$18)^2)</f>
        <v>1.68758201337195</v>
      </c>
      <c r="AU96" s="63" t="n">
        <f aca="false">MATCH(MIN(AR96:AT96),AR96:AT96,0)</f>
        <v>2</v>
      </c>
      <c r="AW96" s="17" t="n">
        <f aca="false">SQRT(($B96-AW$16)^2+($C96-AW$17)^2+($D96-AW$18)^2)</f>
        <v>5.26269615838367</v>
      </c>
      <c r="AX96" s="17" t="n">
        <f aca="false">SQRT(($B96-AX$16)^2+($C96-AX$17)^2+($D96-AX$18)^2)</f>
        <v>0.58875877010244</v>
      </c>
      <c r="AY96" s="17" t="n">
        <f aca="false">SQRT(($B96-AY$16)^2+($C96-AY$17)^2+($D96-AY$18)^2)</f>
        <v>1.68758201337195</v>
      </c>
      <c r="AZ96" s="63" t="n">
        <f aca="false">MATCH(MIN(AW96:AY96),AW96:AY96,0)</f>
        <v>2</v>
      </c>
      <c r="BB96" s="17" t="n">
        <f aca="false">SQRT(($B96-BB$16)^2+($C96-BB$17)^2+($D96-BB$18)^2)</f>
        <v>5.26269615838367</v>
      </c>
      <c r="BC96" s="17" t="n">
        <f aca="false">SQRT(($B96-BC$16)^2+($C96-BC$17)^2+($D96-BC$18)^2)</f>
        <v>0.58875877010244</v>
      </c>
      <c r="BD96" s="17" t="n">
        <f aca="false">SQRT(($B96-BD$16)^2+($C96-BD$17)^2+($D96-BD$18)^2)</f>
        <v>1.68758201337195</v>
      </c>
      <c r="BE96" s="63" t="n">
        <f aca="false">MATCH(MIN(BB96:BD96),BB96:BD96,0)</f>
        <v>2</v>
      </c>
      <c r="BG96" s="17" t="n">
        <f aca="false">SQRT(($B96-BG$16)^2+($C96-BG$17)^2+($D96-BG$18)^2)</f>
        <v>5.26269615838367</v>
      </c>
      <c r="BH96" s="17" t="n">
        <f aca="false">SQRT(($B96-BH$16)^2+($C96-BH$17)^2+($D96-BH$18)^2)</f>
        <v>0.58875877010244</v>
      </c>
      <c r="BI96" s="17" t="n">
        <f aca="false">SQRT(($B96-BI$16)^2+($C96-BI$17)^2+($D96-BI$18)^2)</f>
        <v>1.68758201337195</v>
      </c>
      <c r="BJ96" s="63" t="n">
        <f aca="false">MATCH(MIN(BG96:BI96),BG96:BI96,0)</f>
        <v>2</v>
      </c>
      <c r="BL96" s="17" t="n">
        <f aca="false">SQRT(($B96-BL$16)^2+($C96-BL$17)^2+($D96-BL$18)^2)</f>
        <v>5.26269615838367</v>
      </c>
      <c r="BM96" s="17" t="n">
        <f aca="false">SQRT(($B96-BM$16)^2+($C96-BM$17)^2+($D96-BM$18)^2)</f>
        <v>0.58875877010244</v>
      </c>
      <c r="BN96" s="17" t="n">
        <f aca="false">SQRT(($B96-BN$16)^2+($C96-BN$17)^2+($D96-BN$18)^2)</f>
        <v>1.68758201337195</v>
      </c>
      <c r="BO96" s="63" t="n">
        <f aca="false">MATCH(MIN(BL96:BN96),BL96:BN96,0)</f>
        <v>2</v>
      </c>
      <c r="BQ96" s="17" t="n">
        <f aca="false">SQRT(($B96-BQ$16)^2+($C96-BQ$17)^2+($D96-BQ$18)^2)</f>
        <v>5.26269615838367</v>
      </c>
      <c r="BR96" s="17" t="n">
        <f aca="false">SQRT(($B96-BR$16)^2+($C96-BR$17)^2+($D96-BR$18)^2)</f>
        <v>0.58875877010244</v>
      </c>
      <c r="BS96" s="17" t="n">
        <f aca="false">SQRT(($B96-BS$16)^2+($C96-BS$17)^2+($D96-BS$18)^2)</f>
        <v>1.68758201337195</v>
      </c>
      <c r="BT96" s="63" t="n">
        <f aca="false">MATCH(MIN(BQ96:BS96),BQ96:BS96,0)</f>
        <v>2</v>
      </c>
      <c r="BV96" s="17" t="n">
        <f aca="false">SQRT(($B96-BV$16)^2+($C96-BV$17)^2+($D96-BV$18)^2)</f>
        <v>5.26269615838367</v>
      </c>
      <c r="BW96" s="17" t="n">
        <f aca="false">SQRT(($B96-BW$16)^2+($C96-BW$17)^2+($D96-BW$18)^2)</f>
        <v>0.58875877010244</v>
      </c>
      <c r="BX96" s="17" t="n">
        <f aca="false">SQRT(($B96-BX$16)^2+($C96-BX$17)^2+($D96-BX$18)^2)</f>
        <v>1.68758201337195</v>
      </c>
      <c r="BY96" s="63" t="n">
        <f aca="false">MATCH(MIN(BV96:BX96),BV96:BX96,0)</f>
        <v>2</v>
      </c>
      <c r="CA96" s="17" t="n">
        <f aca="false">SQRT(($B96-CA$16)^2+($C96-CA$17)^2+($D96-CA$18)^2)</f>
        <v>5.26269615838367</v>
      </c>
      <c r="CB96" s="17" t="n">
        <f aca="false">SQRT(($B96-CB$16)^2+($C96-CB$17)^2+($D96-CB$18)^2)</f>
        <v>0.58875877010244</v>
      </c>
      <c r="CC96" s="17" t="n">
        <f aca="false">SQRT(($B96-CC$16)^2+($C96-CC$17)^2+($D96-CC$18)^2)</f>
        <v>1.68758201337195</v>
      </c>
      <c r="CD96" s="63" t="n">
        <f aca="false">MATCH(MIN(CA96:CC96),CA96:CC96,0)</f>
        <v>2</v>
      </c>
    </row>
    <row r="97" customFormat="false" ht="15" hidden="false" customHeight="false" outlineLevel="0" collapsed="false">
      <c r="A97" s="36" t="str">
        <f aca="false">KMeans_Data!A79</f>
        <v>Hunza</v>
      </c>
      <c r="B97" s="17" t="n">
        <f aca="false">KMeans_Data!H79</f>
        <v>-0.327161461972788</v>
      </c>
      <c r="C97" s="17" t="n">
        <f aca="false">KMeans_Data!I79</f>
        <v>-0.672650545388274</v>
      </c>
      <c r="D97" s="17" t="n">
        <f aca="false">KMeans_Data!J79</f>
        <v>-1.14564411633355</v>
      </c>
      <c r="E97" s="63" t="n">
        <f aca="false">CD97</f>
        <v>2</v>
      </c>
      <c r="F97" s="38" t="n">
        <f aca="false">($B97-INDEX($L$16:$N$16,E97))^2+($C97-INDEX($L$17:$N$17,E97))^2+($D97-INDEX($L$18:$N$18,E97))^2</f>
        <v>0.262135515736027</v>
      </c>
      <c r="G97" s="12" t="str">
        <f aca="false">INDEX($M$5:$M$7,E97)</f>
        <v>Low burden</v>
      </c>
      <c r="H97" s="17" t="n">
        <f aca="false">IF(COUNTIF(Distance_Matrix!$E$9:$DQ$9,$E97)&lt;=1,0,SUMIF(Distance_Matrix!$E$9:$DQ$9,$E97,Distance_Matrix!$E$88:$DQ$88)/(COUNTIF(Distance_Matrix!$E$9:$DQ$9,$E97)-1))</f>
        <v>0.890118128636918</v>
      </c>
      <c r="I97" s="17" t="n">
        <f aca="false">MIN(IF(1=$E97,1E+099,IF(COUNTIF(Distance_Matrix!$E$9:$DQ$9,1)=0,1E+099,SUMIF(Distance_Matrix!$E$9:$DQ$9,1,Distance_Matrix!$E$88:$DQ$88)/COUNTIF(Distance_Matrix!$E$9:$DQ$9,1))),IF(2=$E97,1E+099,IF(COUNTIF(Distance_Matrix!$E$9:$DQ$9,2)=0,1E+099,SUMIF(Distance_Matrix!$E$9:$DQ$9,2,Distance_Matrix!$E$88:$DQ$88)/COUNTIF(Distance_Matrix!$E$9:$DQ$9,2))),IF(3=$E97,1E+099,IF(COUNTIF(Distance_Matrix!$E$9:$DQ$9,3)=0,1E+099,SUMIF(Distance_Matrix!$E$9:$DQ$9,3,Distance_Matrix!$E$88:$DQ$88)/COUNTIF(Distance_Matrix!$E$9:$DQ$9,3))))</f>
        <v>2.42352130422248</v>
      </c>
      <c r="J97" s="17" t="n">
        <f aca="false">IF(COUNTIF(Distance_Matrix!$E$9:$DQ$9,$E97)&lt;=1,0,(I97-H97)/MAX(H97,I97))</f>
        <v>0.632717019204216</v>
      </c>
      <c r="X97" s="17" t="n">
        <f aca="false">SQRT(($B97-X$16)^2+($C97-X$17)^2+($D97-X$18)^2)</f>
        <v>7.38338582905211</v>
      </c>
      <c r="Y97" s="17" t="n">
        <f aca="false">SQRT(($B97-Y$16)^2+($C97-Y$17)^2+($D97-Y$18)^2)</f>
        <v>1.75257651983054</v>
      </c>
      <c r="Z97" s="17" t="n">
        <f aca="false">SQRT(($B97-Z$16)^2+($C97-Z$17)^2+($D97-Z$18)^2)</f>
        <v>3.13223110720305</v>
      </c>
      <c r="AA97" s="63" t="n">
        <f aca="false">MATCH(MIN(X97:Z97),X97:Z97,0)</f>
        <v>2</v>
      </c>
      <c r="AC97" s="17" t="n">
        <f aca="false">SQRT(($B97-AC$16)^2+($C97-AC$17)^2+($D97-AC$18)^2)</f>
        <v>6.3673458666848</v>
      </c>
      <c r="AD97" s="17" t="n">
        <f aca="false">SQRT(($B97-AD$16)^2+($C97-AD$17)^2+($D97-AD$18)^2)</f>
        <v>0.542147630980945</v>
      </c>
      <c r="AE97" s="17" t="n">
        <f aca="false">SQRT(($B97-AE$16)^2+($C97-AE$17)^2+($D97-AE$18)^2)</f>
        <v>2.17984472308813</v>
      </c>
      <c r="AF97" s="63" t="n">
        <f aca="false">MATCH(MIN(AC97:AE97),AC97:AE97,0)</f>
        <v>2</v>
      </c>
      <c r="AH97" s="17" t="n">
        <f aca="false">SQRT(($B97-AH$16)^2+($C97-AH$17)^2+($D97-AH$18)^2)</f>
        <v>5.73429136158655</v>
      </c>
      <c r="AI97" s="17" t="n">
        <f aca="false">SQRT(($B97-AI$16)^2+($C97-AI$17)^2+($D97-AI$18)^2)</f>
        <v>0.502493581340127</v>
      </c>
      <c r="AJ97" s="17" t="n">
        <f aca="false">SQRT(($B97-AJ$16)^2+($C97-AJ$17)^2+($D97-AJ$18)^2)</f>
        <v>2.29441185671082</v>
      </c>
      <c r="AK97" s="63" t="n">
        <f aca="false">MATCH(MIN(AH97:AJ97),AH97:AJ97,0)</f>
        <v>2</v>
      </c>
      <c r="AM97" s="17" t="n">
        <f aca="false">SQRT(($B97-AM$16)^2+($C97-AM$17)^2+($D97-AM$18)^2)</f>
        <v>5.73429136158655</v>
      </c>
      <c r="AN97" s="17" t="n">
        <f aca="false">SQRT(($B97-AN$16)^2+($C97-AN$17)^2+($D97-AN$18)^2)</f>
        <v>0.511991714518924</v>
      </c>
      <c r="AO97" s="17" t="n">
        <f aca="false">SQRT(($B97-AO$16)^2+($C97-AO$17)^2+($D97-AO$18)^2)</f>
        <v>2.31619577608882</v>
      </c>
      <c r="AP97" s="63" t="n">
        <f aca="false">MATCH(MIN(AM97:AO97),AM97:AO97,0)</f>
        <v>2</v>
      </c>
      <c r="AR97" s="17" t="n">
        <f aca="false">SQRT(($B97-AR$16)^2+($C97-AR$17)^2+($D97-AR$18)^2)</f>
        <v>5.73429136158655</v>
      </c>
      <c r="AS97" s="17" t="n">
        <f aca="false">SQRT(($B97-AS$16)^2+($C97-AS$17)^2+($D97-AS$18)^2)</f>
        <v>0.511991714518924</v>
      </c>
      <c r="AT97" s="17" t="n">
        <f aca="false">SQRT(($B97-AT$16)^2+($C97-AT$17)^2+($D97-AT$18)^2)</f>
        <v>2.31619577608882</v>
      </c>
      <c r="AU97" s="63" t="n">
        <f aca="false">MATCH(MIN(AR97:AT97),AR97:AT97,0)</f>
        <v>2</v>
      </c>
      <c r="AW97" s="17" t="n">
        <f aca="false">SQRT(($B97-AW$16)^2+($C97-AW$17)^2+($D97-AW$18)^2)</f>
        <v>5.73429136158655</v>
      </c>
      <c r="AX97" s="17" t="n">
        <f aca="false">SQRT(($B97-AX$16)^2+($C97-AX$17)^2+($D97-AX$18)^2)</f>
        <v>0.511991714518924</v>
      </c>
      <c r="AY97" s="17" t="n">
        <f aca="false">SQRT(($B97-AY$16)^2+($C97-AY$17)^2+($D97-AY$18)^2)</f>
        <v>2.31619577608882</v>
      </c>
      <c r="AZ97" s="63" t="n">
        <f aca="false">MATCH(MIN(AW97:AY97),AW97:AY97,0)</f>
        <v>2</v>
      </c>
      <c r="BB97" s="17" t="n">
        <f aca="false">SQRT(($B97-BB$16)^2+($C97-BB$17)^2+($D97-BB$18)^2)</f>
        <v>5.73429136158655</v>
      </c>
      <c r="BC97" s="17" t="n">
        <f aca="false">SQRT(($B97-BC$16)^2+($C97-BC$17)^2+($D97-BC$18)^2)</f>
        <v>0.511991714518924</v>
      </c>
      <c r="BD97" s="17" t="n">
        <f aca="false">SQRT(($B97-BD$16)^2+($C97-BD$17)^2+($D97-BD$18)^2)</f>
        <v>2.31619577608882</v>
      </c>
      <c r="BE97" s="63" t="n">
        <f aca="false">MATCH(MIN(BB97:BD97),BB97:BD97,0)</f>
        <v>2</v>
      </c>
      <c r="BG97" s="17" t="n">
        <f aca="false">SQRT(($B97-BG$16)^2+($C97-BG$17)^2+($D97-BG$18)^2)</f>
        <v>5.73429136158655</v>
      </c>
      <c r="BH97" s="17" t="n">
        <f aca="false">SQRT(($B97-BH$16)^2+($C97-BH$17)^2+($D97-BH$18)^2)</f>
        <v>0.511991714518924</v>
      </c>
      <c r="BI97" s="17" t="n">
        <f aca="false">SQRT(($B97-BI$16)^2+($C97-BI$17)^2+($D97-BI$18)^2)</f>
        <v>2.31619577608882</v>
      </c>
      <c r="BJ97" s="63" t="n">
        <f aca="false">MATCH(MIN(BG97:BI97),BG97:BI97,0)</f>
        <v>2</v>
      </c>
      <c r="BL97" s="17" t="n">
        <f aca="false">SQRT(($B97-BL$16)^2+($C97-BL$17)^2+($D97-BL$18)^2)</f>
        <v>5.73429136158655</v>
      </c>
      <c r="BM97" s="17" t="n">
        <f aca="false">SQRT(($B97-BM$16)^2+($C97-BM$17)^2+($D97-BM$18)^2)</f>
        <v>0.511991714518924</v>
      </c>
      <c r="BN97" s="17" t="n">
        <f aca="false">SQRT(($B97-BN$16)^2+($C97-BN$17)^2+($D97-BN$18)^2)</f>
        <v>2.31619577608882</v>
      </c>
      <c r="BO97" s="63" t="n">
        <f aca="false">MATCH(MIN(BL97:BN97),BL97:BN97,0)</f>
        <v>2</v>
      </c>
      <c r="BQ97" s="17" t="n">
        <f aca="false">SQRT(($B97-BQ$16)^2+($C97-BQ$17)^2+($D97-BQ$18)^2)</f>
        <v>5.73429136158655</v>
      </c>
      <c r="BR97" s="17" t="n">
        <f aca="false">SQRT(($B97-BR$16)^2+($C97-BR$17)^2+($D97-BR$18)^2)</f>
        <v>0.511991714518924</v>
      </c>
      <c r="BS97" s="17" t="n">
        <f aca="false">SQRT(($B97-BS$16)^2+($C97-BS$17)^2+($D97-BS$18)^2)</f>
        <v>2.31619577608882</v>
      </c>
      <c r="BT97" s="63" t="n">
        <f aca="false">MATCH(MIN(BQ97:BS97),BQ97:BS97,0)</f>
        <v>2</v>
      </c>
      <c r="BV97" s="17" t="n">
        <f aca="false">SQRT(($B97-BV$16)^2+($C97-BV$17)^2+($D97-BV$18)^2)</f>
        <v>5.73429136158655</v>
      </c>
      <c r="BW97" s="17" t="n">
        <f aca="false">SQRT(($B97-BW$16)^2+($C97-BW$17)^2+($D97-BW$18)^2)</f>
        <v>0.511991714518924</v>
      </c>
      <c r="BX97" s="17" t="n">
        <f aca="false">SQRT(($B97-BX$16)^2+($C97-BX$17)^2+($D97-BX$18)^2)</f>
        <v>2.31619577608882</v>
      </c>
      <c r="BY97" s="63" t="n">
        <f aca="false">MATCH(MIN(BV97:BX97),BV97:BX97,0)</f>
        <v>2</v>
      </c>
      <c r="CA97" s="17" t="n">
        <f aca="false">SQRT(($B97-CA$16)^2+($C97-CA$17)^2+($D97-CA$18)^2)</f>
        <v>5.73429136158655</v>
      </c>
      <c r="CB97" s="17" t="n">
        <f aca="false">SQRT(($B97-CB$16)^2+($C97-CB$17)^2+($D97-CB$18)^2)</f>
        <v>0.511991714518924</v>
      </c>
      <c r="CC97" s="17" t="n">
        <f aca="false">SQRT(($B97-CC$16)^2+($C97-CC$17)^2+($D97-CC$18)^2)</f>
        <v>2.31619577608882</v>
      </c>
      <c r="CD97" s="63" t="n">
        <f aca="false">MATCH(MIN(CA97:CC97),CA97:CC97,0)</f>
        <v>2</v>
      </c>
    </row>
    <row r="98" customFormat="false" ht="15" hidden="false" customHeight="false" outlineLevel="0" collapsed="false">
      <c r="A98" s="36" t="str">
        <f aca="false">KMeans_Data!A80</f>
        <v>Nankana Sahib</v>
      </c>
      <c r="B98" s="17" t="n">
        <f aca="false">KMeans_Data!H80</f>
        <v>-0.34542544181187</v>
      </c>
      <c r="C98" s="17" t="n">
        <f aca="false">KMeans_Data!I80</f>
        <v>-0.672650545388274</v>
      </c>
      <c r="D98" s="17" t="n">
        <f aca="false">KMeans_Data!J80</f>
        <v>-0.2439270481224</v>
      </c>
      <c r="E98" s="63" t="n">
        <f aca="false">CD98</f>
        <v>2</v>
      </c>
      <c r="F98" s="38" t="n">
        <f aca="false">($B98-INDEX($L$16:$N$16,E98))^2+($C98-INDEX($L$17:$N$17,E98))^2+($D98-INDEX($L$18:$N$18,E98))^2</f>
        <v>0.335628489255193</v>
      </c>
      <c r="G98" s="12" t="str">
        <f aca="false">INDEX($M$5:$M$7,E98)</f>
        <v>Low burden</v>
      </c>
      <c r="H98" s="17" t="n">
        <f aca="false">IF(COUNTIF(Distance_Matrix!$E$9:$DQ$9,$E98)&lt;=1,0,SUMIF(Distance_Matrix!$E$9:$DQ$9,$E98,Distance_Matrix!$E$89:$DQ$89)/(COUNTIF(Distance_Matrix!$E$9:$DQ$9,$E98)-1))</f>
        <v>0.913778381218542</v>
      </c>
      <c r="I98" s="17" t="n">
        <f aca="false">MIN(IF(1=$E98,1E+099,IF(COUNTIF(Distance_Matrix!$E$9:$DQ$9,1)=0,1E+099,SUMIF(Distance_Matrix!$E$9:$DQ$9,1,Distance_Matrix!$E$89:$DQ$89)/COUNTIF(Distance_Matrix!$E$9:$DQ$9,1))),IF(2=$E98,1E+099,IF(COUNTIF(Distance_Matrix!$E$9:$DQ$9,2)=0,1E+099,SUMIF(Distance_Matrix!$E$9:$DQ$9,2,Distance_Matrix!$E$89:$DQ$89)/COUNTIF(Distance_Matrix!$E$9:$DQ$9,2))),IF(3=$E98,1E+099,IF(COUNTIF(Distance_Matrix!$E$9:$DQ$9,3)=0,1E+099,SUMIF(Distance_Matrix!$E$9:$DQ$9,3,Distance_Matrix!$E$89:$DQ$89)/COUNTIF(Distance_Matrix!$E$9:$DQ$9,3))))</f>
        <v>1.82551640414418</v>
      </c>
      <c r="J98" s="17" t="n">
        <f aca="false">IF(COUNTIF(Distance_Matrix!$E$9:$DQ$9,$E98)&lt;=1,0,(I98-H98)/MAX(H98,I98))</f>
        <v>0.499441155859167</v>
      </c>
      <c r="X98" s="17" t="n">
        <f aca="false">SQRT(($B98-X$16)^2+($C98-X$17)^2+($D98-X$18)^2)</f>
        <v>6.89399889685623</v>
      </c>
      <c r="Y98" s="17" t="n">
        <f aca="false">SQRT(($B98-Y$16)^2+($C98-Y$17)^2+($D98-Y$18)^2)</f>
        <v>1.95472086433714</v>
      </c>
      <c r="Z98" s="17" t="n">
        <f aca="false">SQRT(($B98-Z$16)^2+($C98-Z$17)^2+($D98-Z$18)^2)</f>
        <v>2.4405470008765</v>
      </c>
      <c r="AA98" s="63" t="n">
        <f aca="false">MATCH(MIN(X98:Z98),X98:Z98,0)</f>
        <v>2</v>
      </c>
      <c r="AC98" s="17" t="n">
        <f aca="false">SQRT(($B98-AC$16)^2+($C98-AC$17)^2+($D98-AC$18)^2)</f>
        <v>5.90939532076138</v>
      </c>
      <c r="AD98" s="17" t="n">
        <f aca="false">SQRT(($B98-AD$16)^2+($C98-AD$17)^2+($D98-AD$18)^2)</f>
        <v>0.718103198769181</v>
      </c>
      <c r="AE98" s="17" t="n">
        <f aca="false">SQRT(($B98-AE$16)^2+($C98-AE$17)^2+($D98-AE$18)^2)</f>
        <v>1.57147267764026</v>
      </c>
      <c r="AF98" s="63" t="n">
        <f aca="false">MATCH(MIN(AC98:AE98),AC98:AE98,0)</f>
        <v>2</v>
      </c>
      <c r="AH98" s="17" t="n">
        <f aca="false">SQRT(($B98-AH$16)^2+($C98-AH$17)^2+($D98-AH$18)^2)</f>
        <v>5.27247196325857</v>
      </c>
      <c r="AI98" s="17" t="n">
        <f aca="false">SQRT(($B98-AI$16)^2+($C98-AI$17)^2+($D98-AI$18)^2)</f>
        <v>0.592853648871641</v>
      </c>
      <c r="AJ98" s="17" t="n">
        <f aca="false">SQRT(($B98-AJ$16)^2+($C98-AJ$17)^2+($D98-AJ$18)^2)</f>
        <v>1.67301835436117</v>
      </c>
      <c r="AK98" s="63" t="n">
        <f aca="false">MATCH(MIN(AH98:AJ98),AH98:AJ98,0)</f>
        <v>2</v>
      </c>
      <c r="AM98" s="17" t="n">
        <f aca="false">SQRT(($B98-AM$16)^2+($C98-AM$17)^2+($D98-AM$18)^2)</f>
        <v>5.27247196325857</v>
      </c>
      <c r="AN98" s="17" t="n">
        <f aca="false">SQRT(($B98-AN$16)^2+($C98-AN$17)^2+($D98-AN$18)^2)</f>
        <v>0.579334522754508</v>
      </c>
      <c r="AO98" s="17" t="n">
        <f aca="false">SQRT(($B98-AO$16)^2+($C98-AO$17)^2+($D98-AO$18)^2)</f>
        <v>1.69689433541075</v>
      </c>
      <c r="AP98" s="63" t="n">
        <f aca="false">MATCH(MIN(AM98:AO98),AM98:AO98,0)</f>
        <v>2</v>
      </c>
      <c r="AR98" s="17" t="n">
        <f aca="false">SQRT(($B98-AR$16)^2+($C98-AR$17)^2+($D98-AR$18)^2)</f>
        <v>5.27247196325857</v>
      </c>
      <c r="AS98" s="17" t="n">
        <f aca="false">SQRT(($B98-AS$16)^2+($C98-AS$17)^2+($D98-AS$18)^2)</f>
        <v>0.579334522754508</v>
      </c>
      <c r="AT98" s="17" t="n">
        <f aca="false">SQRT(($B98-AT$16)^2+($C98-AT$17)^2+($D98-AT$18)^2)</f>
        <v>1.69689433541075</v>
      </c>
      <c r="AU98" s="63" t="n">
        <f aca="false">MATCH(MIN(AR98:AT98),AR98:AT98,0)</f>
        <v>2</v>
      </c>
      <c r="AW98" s="17" t="n">
        <f aca="false">SQRT(($B98-AW$16)^2+($C98-AW$17)^2+($D98-AW$18)^2)</f>
        <v>5.27247196325857</v>
      </c>
      <c r="AX98" s="17" t="n">
        <f aca="false">SQRT(($B98-AX$16)^2+($C98-AX$17)^2+($D98-AX$18)^2)</f>
        <v>0.579334522754508</v>
      </c>
      <c r="AY98" s="17" t="n">
        <f aca="false">SQRT(($B98-AY$16)^2+($C98-AY$17)^2+($D98-AY$18)^2)</f>
        <v>1.69689433541075</v>
      </c>
      <c r="AZ98" s="63" t="n">
        <f aca="false">MATCH(MIN(AW98:AY98),AW98:AY98,0)</f>
        <v>2</v>
      </c>
      <c r="BB98" s="17" t="n">
        <f aca="false">SQRT(($B98-BB$16)^2+($C98-BB$17)^2+($D98-BB$18)^2)</f>
        <v>5.27247196325857</v>
      </c>
      <c r="BC98" s="17" t="n">
        <f aca="false">SQRT(($B98-BC$16)^2+($C98-BC$17)^2+($D98-BC$18)^2)</f>
        <v>0.579334522754508</v>
      </c>
      <c r="BD98" s="17" t="n">
        <f aca="false">SQRT(($B98-BD$16)^2+($C98-BD$17)^2+($D98-BD$18)^2)</f>
        <v>1.69689433541075</v>
      </c>
      <c r="BE98" s="63" t="n">
        <f aca="false">MATCH(MIN(BB98:BD98),BB98:BD98,0)</f>
        <v>2</v>
      </c>
      <c r="BG98" s="17" t="n">
        <f aca="false">SQRT(($B98-BG$16)^2+($C98-BG$17)^2+($D98-BG$18)^2)</f>
        <v>5.27247196325857</v>
      </c>
      <c r="BH98" s="17" t="n">
        <f aca="false">SQRT(($B98-BH$16)^2+($C98-BH$17)^2+($D98-BH$18)^2)</f>
        <v>0.579334522754508</v>
      </c>
      <c r="BI98" s="17" t="n">
        <f aca="false">SQRT(($B98-BI$16)^2+($C98-BI$17)^2+($D98-BI$18)^2)</f>
        <v>1.69689433541075</v>
      </c>
      <c r="BJ98" s="63" t="n">
        <f aca="false">MATCH(MIN(BG98:BI98),BG98:BI98,0)</f>
        <v>2</v>
      </c>
      <c r="BL98" s="17" t="n">
        <f aca="false">SQRT(($B98-BL$16)^2+($C98-BL$17)^2+($D98-BL$18)^2)</f>
        <v>5.27247196325857</v>
      </c>
      <c r="BM98" s="17" t="n">
        <f aca="false">SQRT(($B98-BM$16)^2+($C98-BM$17)^2+($D98-BM$18)^2)</f>
        <v>0.579334522754508</v>
      </c>
      <c r="BN98" s="17" t="n">
        <f aca="false">SQRT(($B98-BN$16)^2+($C98-BN$17)^2+($D98-BN$18)^2)</f>
        <v>1.69689433541075</v>
      </c>
      <c r="BO98" s="63" t="n">
        <f aca="false">MATCH(MIN(BL98:BN98),BL98:BN98,0)</f>
        <v>2</v>
      </c>
      <c r="BQ98" s="17" t="n">
        <f aca="false">SQRT(($B98-BQ$16)^2+($C98-BQ$17)^2+($D98-BQ$18)^2)</f>
        <v>5.27247196325857</v>
      </c>
      <c r="BR98" s="17" t="n">
        <f aca="false">SQRT(($B98-BR$16)^2+($C98-BR$17)^2+($D98-BR$18)^2)</f>
        <v>0.579334522754508</v>
      </c>
      <c r="BS98" s="17" t="n">
        <f aca="false">SQRT(($B98-BS$16)^2+($C98-BS$17)^2+($D98-BS$18)^2)</f>
        <v>1.69689433541075</v>
      </c>
      <c r="BT98" s="63" t="n">
        <f aca="false">MATCH(MIN(BQ98:BS98),BQ98:BS98,0)</f>
        <v>2</v>
      </c>
      <c r="BV98" s="17" t="n">
        <f aca="false">SQRT(($B98-BV$16)^2+($C98-BV$17)^2+($D98-BV$18)^2)</f>
        <v>5.27247196325857</v>
      </c>
      <c r="BW98" s="17" t="n">
        <f aca="false">SQRT(($B98-BW$16)^2+($C98-BW$17)^2+($D98-BW$18)^2)</f>
        <v>0.579334522754508</v>
      </c>
      <c r="BX98" s="17" t="n">
        <f aca="false">SQRT(($B98-BX$16)^2+($C98-BX$17)^2+($D98-BX$18)^2)</f>
        <v>1.69689433541075</v>
      </c>
      <c r="BY98" s="63" t="n">
        <f aca="false">MATCH(MIN(BV98:BX98),BV98:BX98,0)</f>
        <v>2</v>
      </c>
      <c r="CA98" s="17" t="n">
        <f aca="false">SQRT(($B98-CA$16)^2+($C98-CA$17)^2+($D98-CA$18)^2)</f>
        <v>5.27247196325857</v>
      </c>
      <c r="CB98" s="17" t="n">
        <f aca="false">SQRT(($B98-CB$16)^2+($C98-CB$17)^2+($D98-CB$18)^2)</f>
        <v>0.579334522754508</v>
      </c>
      <c r="CC98" s="17" t="n">
        <f aca="false">SQRT(($B98-CC$16)^2+($C98-CC$17)^2+($D98-CC$18)^2)</f>
        <v>1.69689433541075</v>
      </c>
      <c r="CD98" s="63" t="n">
        <f aca="false">MATCH(MIN(CA98:CC98),CA98:CC98,0)</f>
        <v>2</v>
      </c>
    </row>
    <row r="99" customFormat="false" ht="15" hidden="false" customHeight="false" outlineLevel="0" collapsed="false">
      <c r="A99" s="36" t="str">
        <f aca="false">KMeans_Data!A81</f>
        <v>Khushab</v>
      </c>
      <c r="B99" s="17" t="n">
        <f aca="false">KMeans_Data!H81</f>
        <v>-0.34542544181187</v>
      </c>
      <c r="C99" s="17" t="n">
        <f aca="false">KMeans_Data!I81</f>
        <v>-0.672650545388274</v>
      </c>
      <c r="D99" s="17" t="n">
        <f aca="false">KMeans_Data!J81</f>
        <v>-1.14564411633355</v>
      </c>
      <c r="E99" s="63" t="n">
        <f aca="false">CD99</f>
        <v>2</v>
      </c>
      <c r="F99" s="38" t="n">
        <f aca="false">($B99-INDEX($L$16:$N$16,E99))^2+($C99-INDEX($L$17:$N$17,E99))^2+($D99-INDEX($L$18:$N$18,E99))^2</f>
        <v>0.251127115618682</v>
      </c>
      <c r="G99" s="12" t="str">
        <f aca="false">INDEX($M$5:$M$7,E99)</f>
        <v>Low burden</v>
      </c>
      <c r="H99" s="17" t="n">
        <f aca="false">IF(COUNTIF(Distance_Matrix!$E$9:$DQ$9,$E99)&lt;=1,0,SUMIF(Distance_Matrix!$E$9:$DQ$9,$E99,Distance_Matrix!$E$90:$DQ$90)/(COUNTIF(Distance_Matrix!$E$9:$DQ$9,$E99)-1))</f>
        <v>0.885475411330342</v>
      </c>
      <c r="I99" s="17" t="n">
        <f aca="false">MIN(IF(1=$E99,1E+099,IF(COUNTIF(Distance_Matrix!$E$9:$DQ$9,1)=0,1E+099,SUMIF(Distance_Matrix!$E$9:$DQ$9,1,Distance_Matrix!$E$90:$DQ$90)/COUNTIF(Distance_Matrix!$E$9:$DQ$9,1))),IF(2=$E99,1E+099,IF(COUNTIF(Distance_Matrix!$E$9:$DQ$9,2)=0,1E+099,SUMIF(Distance_Matrix!$E$9:$DQ$9,2,Distance_Matrix!$E$90:$DQ$90)/COUNTIF(Distance_Matrix!$E$9:$DQ$9,2))),IF(3=$E99,1E+099,IF(COUNTIF(Distance_Matrix!$E$9:$DQ$9,3)=0,1E+099,SUMIF(Distance_Matrix!$E$9:$DQ$9,3,Distance_Matrix!$E$90:$DQ$90)/COUNTIF(Distance_Matrix!$E$9:$DQ$9,3))))</f>
        <v>2.42981835884523</v>
      </c>
      <c r="J99" s="17" t="n">
        <f aca="false">IF(COUNTIF(Distance_Matrix!$E$9:$DQ$9,$E99)&lt;=1,0,(I99-H99)/MAX(H99,I99))</f>
        <v>0.635579586388851</v>
      </c>
      <c r="X99" s="17" t="n">
        <f aca="false">SQRT(($B99-X$16)^2+($C99-X$17)^2+($D99-X$18)^2)</f>
        <v>7.39231183279798</v>
      </c>
      <c r="Y99" s="17" t="n">
        <f aca="false">SQRT(($B99-Y$16)^2+($C99-Y$17)^2+($D99-Y$18)^2)</f>
        <v>1.73431253999145</v>
      </c>
      <c r="Z99" s="17" t="n">
        <f aca="false">SQRT(($B99-Z$16)^2+($C99-Z$17)^2+($D99-Z$18)^2)</f>
        <v>3.1402305045998</v>
      </c>
      <c r="AA99" s="63" t="n">
        <f aca="false">MATCH(MIN(X99:Z99),X99:Z99,0)</f>
        <v>2</v>
      </c>
      <c r="AC99" s="17" t="n">
        <f aca="false">SQRT(($B99-AC$16)^2+($C99-AC$17)^2+($D99-AC$18)^2)</f>
        <v>6.37636011666533</v>
      </c>
      <c r="AD99" s="17" t="n">
        <f aca="false">SQRT(($B99-AD$16)^2+($C99-AD$17)^2+($D99-AD$18)^2)</f>
        <v>0.52752891404921</v>
      </c>
      <c r="AE99" s="17" t="n">
        <f aca="false">SQRT(($B99-AE$16)^2+($C99-AE$17)^2+($D99-AE$18)^2)</f>
        <v>2.18691723901097</v>
      </c>
      <c r="AF99" s="63" t="n">
        <f aca="false">MATCH(MIN(AC99:AE99),AC99:AE99,0)</f>
        <v>2</v>
      </c>
      <c r="AH99" s="17" t="n">
        <f aca="false">SQRT(($B99-AH$16)^2+($C99-AH$17)^2+($D99-AH$18)^2)</f>
        <v>5.74326450439534</v>
      </c>
      <c r="AI99" s="17" t="n">
        <f aca="false">SQRT(($B99-AI$16)^2+($C99-AI$17)^2+($D99-AI$18)^2)</f>
        <v>0.49127790068149</v>
      </c>
      <c r="AJ99" s="17" t="n">
        <f aca="false">SQRT(($B99-AJ$16)^2+($C99-AJ$17)^2+($D99-AJ$18)^2)</f>
        <v>2.301119100036</v>
      </c>
      <c r="AK99" s="63" t="n">
        <f aca="false">MATCH(MIN(AH99:AJ99),AH99:AJ99,0)</f>
        <v>2</v>
      </c>
      <c r="AM99" s="17" t="n">
        <f aca="false">SQRT(($B99-AM$16)^2+($C99-AM$17)^2+($D99-AM$18)^2)</f>
        <v>5.74326450439534</v>
      </c>
      <c r="AN99" s="17" t="n">
        <f aca="false">SQRT(($B99-AN$16)^2+($C99-AN$17)^2+($D99-AN$18)^2)</f>
        <v>0.501125848084772</v>
      </c>
      <c r="AO99" s="17" t="n">
        <f aca="false">SQRT(($B99-AO$16)^2+($C99-AO$17)^2+($D99-AO$18)^2)</f>
        <v>2.32298949779465</v>
      </c>
      <c r="AP99" s="63" t="n">
        <f aca="false">MATCH(MIN(AM99:AO99),AM99:AO99,0)</f>
        <v>2</v>
      </c>
      <c r="AR99" s="17" t="n">
        <f aca="false">SQRT(($B99-AR$16)^2+($C99-AR$17)^2+($D99-AR$18)^2)</f>
        <v>5.74326450439534</v>
      </c>
      <c r="AS99" s="17" t="n">
        <f aca="false">SQRT(($B99-AS$16)^2+($C99-AS$17)^2+($D99-AS$18)^2)</f>
        <v>0.501125848084772</v>
      </c>
      <c r="AT99" s="17" t="n">
        <f aca="false">SQRT(($B99-AT$16)^2+($C99-AT$17)^2+($D99-AT$18)^2)</f>
        <v>2.32298949779465</v>
      </c>
      <c r="AU99" s="63" t="n">
        <f aca="false">MATCH(MIN(AR99:AT99),AR99:AT99,0)</f>
        <v>2</v>
      </c>
      <c r="AW99" s="17" t="n">
        <f aca="false">SQRT(($B99-AW$16)^2+($C99-AW$17)^2+($D99-AW$18)^2)</f>
        <v>5.74326450439534</v>
      </c>
      <c r="AX99" s="17" t="n">
        <f aca="false">SQRT(($B99-AX$16)^2+($C99-AX$17)^2+($D99-AX$18)^2)</f>
        <v>0.501125848084772</v>
      </c>
      <c r="AY99" s="17" t="n">
        <f aca="false">SQRT(($B99-AY$16)^2+($C99-AY$17)^2+($D99-AY$18)^2)</f>
        <v>2.32298949779465</v>
      </c>
      <c r="AZ99" s="63" t="n">
        <f aca="false">MATCH(MIN(AW99:AY99),AW99:AY99,0)</f>
        <v>2</v>
      </c>
      <c r="BB99" s="17" t="n">
        <f aca="false">SQRT(($B99-BB$16)^2+($C99-BB$17)^2+($D99-BB$18)^2)</f>
        <v>5.74326450439534</v>
      </c>
      <c r="BC99" s="17" t="n">
        <f aca="false">SQRT(($B99-BC$16)^2+($C99-BC$17)^2+($D99-BC$18)^2)</f>
        <v>0.501125848084772</v>
      </c>
      <c r="BD99" s="17" t="n">
        <f aca="false">SQRT(($B99-BD$16)^2+($C99-BD$17)^2+($D99-BD$18)^2)</f>
        <v>2.32298949779465</v>
      </c>
      <c r="BE99" s="63" t="n">
        <f aca="false">MATCH(MIN(BB99:BD99),BB99:BD99,0)</f>
        <v>2</v>
      </c>
      <c r="BG99" s="17" t="n">
        <f aca="false">SQRT(($B99-BG$16)^2+($C99-BG$17)^2+($D99-BG$18)^2)</f>
        <v>5.74326450439534</v>
      </c>
      <c r="BH99" s="17" t="n">
        <f aca="false">SQRT(($B99-BH$16)^2+($C99-BH$17)^2+($D99-BH$18)^2)</f>
        <v>0.501125848084772</v>
      </c>
      <c r="BI99" s="17" t="n">
        <f aca="false">SQRT(($B99-BI$16)^2+($C99-BI$17)^2+($D99-BI$18)^2)</f>
        <v>2.32298949779465</v>
      </c>
      <c r="BJ99" s="63" t="n">
        <f aca="false">MATCH(MIN(BG99:BI99),BG99:BI99,0)</f>
        <v>2</v>
      </c>
      <c r="BL99" s="17" t="n">
        <f aca="false">SQRT(($B99-BL$16)^2+($C99-BL$17)^2+($D99-BL$18)^2)</f>
        <v>5.74326450439534</v>
      </c>
      <c r="BM99" s="17" t="n">
        <f aca="false">SQRT(($B99-BM$16)^2+($C99-BM$17)^2+($D99-BM$18)^2)</f>
        <v>0.501125848084772</v>
      </c>
      <c r="BN99" s="17" t="n">
        <f aca="false">SQRT(($B99-BN$16)^2+($C99-BN$17)^2+($D99-BN$18)^2)</f>
        <v>2.32298949779465</v>
      </c>
      <c r="BO99" s="63" t="n">
        <f aca="false">MATCH(MIN(BL99:BN99),BL99:BN99,0)</f>
        <v>2</v>
      </c>
      <c r="BQ99" s="17" t="n">
        <f aca="false">SQRT(($B99-BQ$16)^2+($C99-BQ$17)^2+($D99-BQ$18)^2)</f>
        <v>5.74326450439534</v>
      </c>
      <c r="BR99" s="17" t="n">
        <f aca="false">SQRT(($B99-BR$16)^2+($C99-BR$17)^2+($D99-BR$18)^2)</f>
        <v>0.501125848084772</v>
      </c>
      <c r="BS99" s="17" t="n">
        <f aca="false">SQRT(($B99-BS$16)^2+($C99-BS$17)^2+($D99-BS$18)^2)</f>
        <v>2.32298949779465</v>
      </c>
      <c r="BT99" s="63" t="n">
        <f aca="false">MATCH(MIN(BQ99:BS99),BQ99:BS99,0)</f>
        <v>2</v>
      </c>
      <c r="BV99" s="17" t="n">
        <f aca="false">SQRT(($B99-BV$16)^2+($C99-BV$17)^2+($D99-BV$18)^2)</f>
        <v>5.74326450439534</v>
      </c>
      <c r="BW99" s="17" t="n">
        <f aca="false">SQRT(($B99-BW$16)^2+($C99-BW$17)^2+($D99-BW$18)^2)</f>
        <v>0.501125848084772</v>
      </c>
      <c r="BX99" s="17" t="n">
        <f aca="false">SQRT(($B99-BX$16)^2+($C99-BX$17)^2+($D99-BX$18)^2)</f>
        <v>2.32298949779465</v>
      </c>
      <c r="BY99" s="63" t="n">
        <f aca="false">MATCH(MIN(BV99:BX99),BV99:BX99,0)</f>
        <v>2</v>
      </c>
      <c r="CA99" s="17" t="n">
        <f aca="false">SQRT(($B99-CA$16)^2+($C99-CA$17)^2+($D99-CA$18)^2)</f>
        <v>5.74326450439534</v>
      </c>
      <c r="CB99" s="17" t="n">
        <f aca="false">SQRT(($B99-CB$16)^2+($C99-CB$17)^2+($D99-CB$18)^2)</f>
        <v>0.501125848084772</v>
      </c>
      <c r="CC99" s="17" t="n">
        <f aca="false">SQRT(($B99-CC$16)^2+($C99-CC$17)^2+($D99-CC$18)^2)</f>
        <v>2.32298949779465</v>
      </c>
      <c r="CD99" s="63" t="n">
        <f aca="false">MATCH(MIN(CA99:CC99),CA99:CC99,0)</f>
        <v>2</v>
      </c>
    </row>
    <row r="100" customFormat="false" ht="15" hidden="false" customHeight="false" outlineLevel="0" collapsed="false">
      <c r="A100" s="36" t="str">
        <f aca="false">KMeans_Data!A82</f>
        <v>Sheikhupura</v>
      </c>
      <c r="B100" s="17" t="n">
        <f aca="false">KMeans_Data!H82</f>
        <v>-0.383996419381545</v>
      </c>
      <c r="C100" s="17" t="n">
        <f aca="false">KMeans_Data!I82</f>
        <v>-0.672650545388274</v>
      </c>
      <c r="D100" s="17" t="n">
        <f aca="false">KMeans_Data!J82</f>
        <v>-1.14564411633355</v>
      </c>
      <c r="E100" s="63" t="n">
        <f aca="false">CD100</f>
        <v>2</v>
      </c>
      <c r="F100" s="38" t="n">
        <f aca="false">($B100-INDEX($L$16:$N$16,E100))^2+($C100-INDEX($L$17:$N$17,E100))^2+($D100-INDEX($L$18:$N$18,E100))^2</f>
        <v>0.230071090125289</v>
      </c>
      <c r="G100" s="12" t="str">
        <f aca="false">INDEX($M$5:$M$7,E100)</f>
        <v>Low burden</v>
      </c>
      <c r="H100" s="17" t="n">
        <f aca="false">IF(COUNTIF(Distance_Matrix!$E$9:$DQ$9,$E100)&lt;=1,0,SUMIF(Distance_Matrix!$E$9:$DQ$9,$E100,Distance_Matrix!$E$91:$DQ$91)/(COUNTIF(Distance_Matrix!$E$9:$DQ$9,$E100)-1))</f>
        <v>0.877369544400058</v>
      </c>
      <c r="I100" s="17" t="n">
        <f aca="false">MIN(IF(1=$E100,1E+099,IF(COUNTIF(Distance_Matrix!$E$9:$DQ$9,1)=0,1E+099,SUMIF(Distance_Matrix!$E$9:$DQ$9,1,Distance_Matrix!$E$91:$DQ$91)/COUNTIF(Distance_Matrix!$E$9:$DQ$9,1))),IF(2=$E100,1E+099,IF(COUNTIF(Distance_Matrix!$E$9:$DQ$9,2)=0,1E+099,SUMIF(Distance_Matrix!$E$9:$DQ$9,2,Distance_Matrix!$E$91:$DQ$91)/COUNTIF(Distance_Matrix!$E$9:$DQ$9,2))),IF(3=$E100,1E+099,IF(COUNTIF(Distance_Matrix!$E$9:$DQ$9,3)=0,1E+099,SUMIF(Distance_Matrix!$E$9:$DQ$9,3,Distance_Matrix!$E$91:$DQ$91)/COUNTIF(Distance_Matrix!$E$9:$DQ$9,3))))</f>
        <v>2.44352558151163</v>
      </c>
      <c r="J100" s="17" t="n">
        <f aca="false">IF(COUNTIF(Distance_Matrix!$E$9:$DQ$9,$E100)&lt;=1,0,(I100-H100)/MAX(H100,I100))</f>
        <v>0.640941125790346</v>
      </c>
      <c r="X100" s="17" t="n">
        <f aca="false">SQRT(($B100-X$16)^2+($C100-X$17)^2+($D100-X$18)^2)</f>
        <v>7.41127487875453</v>
      </c>
      <c r="Y100" s="17" t="n">
        <f aca="false">SQRT(($B100-Y$16)^2+($C100-Y$17)^2+($D100-Y$18)^2)</f>
        <v>1.69574156242178</v>
      </c>
      <c r="Z100" s="17" t="n">
        <f aca="false">SQRT(($B100-Z$16)^2+($C100-Z$17)^2+($D100-Z$18)^2)</f>
        <v>3.1574046827609</v>
      </c>
      <c r="AA100" s="63" t="n">
        <f aca="false">MATCH(MIN(X100:Z100),X100:Z100,0)</f>
        <v>2</v>
      </c>
      <c r="AC100" s="17" t="n">
        <f aca="false">SQRT(($B100-AC$16)^2+($C100-AC$17)^2+($D100-AC$18)^2)</f>
        <v>6.39552659203569</v>
      </c>
      <c r="AD100" s="17" t="n">
        <f aca="false">SQRT(($B100-AD$16)^2+($C100-AD$17)^2+($D100-AD$18)^2)</f>
        <v>0.497448632286821</v>
      </c>
      <c r="AE100" s="17" t="n">
        <f aca="false">SQRT(($B100-AE$16)^2+($C100-AE$17)^2+($D100-AE$18)^2)</f>
        <v>2.20227652125711</v>
      </c>
      <c r="AF100" s="63" t="n">
        <f aca="false">MATCH(MIN(AC100:AE100),AC100:AE100,0)</f>
        <v>2</v>
      </c>
      <c r="AH100" s="17" t="n">
        <f aca="false">SQRT(($B100-AH$16)^2+($C100-AH$17)^2+($D100-AH$18)^2)</f>
        <v>5.76235883363991</v>
      </c>
      <c r="AI100" s="17" t="n">
        <f aca="false">SQRT(($B100-AI$16)^2+($C100-AI$17)^2+($D100-AI$18)^2)</f>
        <v>0.469049817184809</v>
      </c>
      <c r="AJ100" s="17" t="n">
        <f aca="false">SQRT(($B100-AJ$16)^2+($C100-AJ$17)^2+($D100-AJ$18)^2)</f>
        <v>2.31569339415971</v>
      </c>
      <c r="AK100" s="63" t="n">
        <f aca="false">MATCH(MIN(AH100:AJ100),AH100:AJ100,0)</f>
        <v>2</v>
      </c>
      <c r="AM100" s="17" t="n">
        <f aca="false">SQRT(($B100-AM$16)^2+($C100-AM$17)^2+($D100-AM$18)^2)</f>
        <v>5.76235883363991</v>
      </c>
      <c r="AN100" s="17" t="n">
        <f aca="false">SQRT(($B100-AN$16)^2+($C100-AN$17)^2+($D100-AN$18)^2)</f>
        <v>0.479657263184129</v>
      </c>
      <c r="AO100" s="17" t="n">
        <f aca="false">SQRT(($B100-AO$16)^2+($C100-AO$17)^2+($D100-AO$18)^2)</f>
        <v>2.33774091780476</v>
      </c>
      <c r="AP100" s="63" t="n">
        <f aca="false">MATCH(MIN(AM100:AO100),AM100:AO100,0)</f>
        <v>2</v>
      </c>
      <c r="AR100" s="17" t="n">
        <f aca="false">SQRT(($B100-AR$16)^2+($C100-AR$17)^2+($D100-AR$18)^2)</f>
        <v>5.76235883363991</v>
      </c>
      <c r="AS100" s="17" t="n">
        <f aca="false">SQRT(($B100-AS$16)^2+($C100-AS$17)^2+($D100-AS$18)^2)</f>
        <v>0.479657263184129</v>
      </c>
      <c r="AT100" s="17" t="n">
        <f aca="false">SQRT(($B100-AT$16)^2+($C100-AT$17)^2+($D100-AT$18)^2)</f>
        <v>2.33774091780476</v>
      </c>
      <c r="AU100" s="63" t="n">
        <f aca="false">MATCH(MIN(AR100:AT100),AR100:AT100,0)</f>
        <v>2</v>
      </c>
      <c r="AW100" s="17" t="n">
        <f aca="false">SQRT(($B100-AW$16)^2+($C100-AW$17)^2+($D100-AW$18)^2)</f>
        <v>5.76235883363991</v>
      </c>
      <c r="AX100" s="17" t="n">
        <f aca="false">SQRT(($B100-AX$16)^2+($C100-AX$17)^2+($D100-AX$18)^2)</f>
        <v>0.479657263184129</v>
      </c>
      <c r="AY100" s="17" t="n">
        <f aca="false">SQRT(($B100-AY$16)^2+($C100-AY$17)^2+($D100-AY$18)^2)</f>
        <v>2.33774091780476</v>
      </c>
      <c r="AZ100" s="63" t="n">
        <f aca="false">MATCH(MIN(AW100:AY100),AW100:AY100,0)</f>
        <v>2</v>
      </c>
      <c r="BB100" s="17" t="n">
        <f aca="false">SQRT(($B100-BB$16)^2+($C100-BB$17)^2+($D100-BB$18)^2)</f>
        <v>5.76235883363991</v>
      </c>
      <c r="BC100" s="17" t="n">
        <f aca="false">SQRT(($B100-BC$16)^2+($C100-BC$17)^2+($D100-BC$18)^2)</f>
        <v>0.479657263184129</v>
      </c>
      <c r="BD100" s="17" t="n">
        <f aca="false">SQRT(($B100-BD$16)^2+($C100-BD$17)^2+($D100-BD$18)^2)</f>
        <v>2.33774091780476</v>
      </c>
      <c r="BE100" s="63" t="n">
        <f aca="false">MATCH(MIN(BB100:BD100),BB100:BD100,0)</f>
        <v>2</v>
      </c>
      <c r="BG100" s="17" t="n">
        <f aca="false">SQRT(($B100-BG$16)^2+($C100-BG$17)^2+($D100-BG$18)^2)</f>
        <v>5.76235883363991</v>
      </c>
      <c r="BH100" s="17" t="n">
        <f aca="false">SQRT(($B100-BH$16)^2+($C100-BH$17)^2+($D100-BH$18)^2)</f>
        <v>0.479657263184129</v>
      </c>
      <c r="BI100" s="17" t="n">
        <f aca="false">SQRT(($B100-BI$16)^2+($C100-BI$17)^2+($D100-BI$18)^2)</f>
        <v>2.33774091780476</v>
      </c>
      <c r="BJ100" s="63" t="n">
        <f aca="false">MATCH(MIN(BG100:BI100),BG100:BI100,0)</f>
        <v>2</v>
      </c>
      <c r="BL100" s="17" t="n">
        <f aca="false">SQRT(($B100-BL$16)^2+($C100-BL$17)^2+($D100-BL$18)^2)</f>
        <v>5.76235883363991</v>
      </c>
      <c r="BM100" s="17" t="n">
        <f aca="false">SQRT(($B100-BM$16)^2+($C100-BM$17)^2+($D100-BM$18)^2)</f>
        <v>0.479657263184129</v>
      </c>
      <c r="BN100" s="17" t="n">
        <f aca="false">SQRT(($B100-BN$16)^2+($C100-BN$17)^2+($D100-BN$18)^2)</f>
        <v>2.33774091780476</v>
      </c>
      <c r="BO100" s="63" t="n">
        <f aca="false">MATCH(MIN(BL100:BN100),BL100:BN100,0)</f>
        <v>2</v>
      </c>
      <c r="BQ100" s="17" t="n">
        <f aca="false">SQRT(($B100-BQ$16)^2+($C100-BQ$17)^2+($D100-BQ$18)^2)</f>
        <v>5.76235883363991</v>
      </c>
      <c r="BR100" s="17" t="n">
        <f aca="false">SQRT(($B100-BR$16)^2+($C100-BR$17)^2+($D100-BR$18)^2)</f>
        <v>0.479657263184129</v>
      </c>
      <c r="BS100" s="17" t="n">
        <f aca="false">SQRT(($B100-BS$16)^2+($C100-BS$17)^2+($D100-BS$18)^2)</f>
        <v>2.33774091780476</v>
      </c>
      <c r="BT100" s="63" t="n">
        <f aca="false">MATCH(MIN(BQ100:BS100),BQ100:BS100,0)</f>
        <v>2</v>
      </c>
      <c r="BV100" s="17" t="n">
        <f aca="false">SQRT(($B100-BV$16)^2+($C100-BV$17)^2+($D100-BV$18)^2)</f>
        <v>5.76235883363991</v>
      </c>
      <c r="BW100" s="17" t="n">
        <f aca="false">SQRT(($B100-BW$16)^2+($C100-BW$17)^2+($D100-BW$18)^2)</f>
        <v>0.479657263184129</v>
      </c>
      <c r="BX100" s="17" t="n">
        <f aca="false">SQRT(($B100-BX$16)^2+($C100-BX$17)^2+($D100-BX$18)^2)</f>
        <v>2.33774091780476</v>
      </c>
      <c r="BY100" s="63" t="n">
        <f aca="false">MATCH(MIN(BV100:BX100),BV100:BX100,0)</f>
        <v>2</v>
      </c>
      <c r="CA100" s="17" t="n">
        <f aca="false">SQRT(($B100-CA$16)^2+($C100-CA$17)^2+($D100-CA$18)^2)</f>
        <v>5.76235883363991</v>
      </c>
      <c r="CB100" s="17" t="n">
        <f aca="false">SQRT(($B100-CB$16)^2+($C100-CB$17)^2+($D100-CB$18)^2)</f>
        <v>0.479657263184129</v>
      </c>
      <c r="CC100" s="17" t="n">
        <f aca="false">SQRT(($B100-CC$16)^2+($C100-CC$17)^2+($D100-CC$18)^2)</f>
        <v>2.33774091780476</v>
      </c>
      <c r="CD100" s="63" t="n">
        <f aca="false">MATCH(MIN(CA100:CC100),CA100:CC100,0)</f>
        <v>2</v>
      </c>
    </row>
    <row r="101" customFormat="false" ht="15" hidden="false" customHeight="false" outlineLevel="0" collapsed="false">
      <c r="A101" s="36" t="str">
        <f aca="false">KMeans_Data!A83</f>
        <v>Diamer</v>
      </c>
      <c r="B101" s="17" t="n">
        <f aca="false">KMeans_Data!H83</f>
        <v>-0.404409624645938</v>
      </c>
      <c r="C101" s="17" t="n">
        <f aca="false">KMeans_Data!I83</f>
        <v>-0.672650545388274</v>
      </c>
      <c r="D101" s="17" t="n">
        <f aca="false">KMeans_Data!J83</f>
        <v>0.042930091906806</v>
      </c>
      <c r="E101" s="63" t="n">
        <f aca="false">CD101</f>
        <v>2</v>
      </c>
      <c r="F101" s="38" t="n">
        <f aca="false">($B101-INDEX($L$16:$N$16,E101))^2+($C101-INDEX($L$17:$N$17,E101))^2+($D101-INDEX($L$18:$N$18,E101))^2</f>
        <v>0.672465730476269</v>
      </c>
      <c r="G101" s="12" t="str">
        <f aca="false">INDEX($M$5:$M$7,E101)</f>
        <v>Low burden</v>
      </c>
      <c r="H101" s="17" t="n">
        <f aca="false">IF(COUNTIF(Distance_Matrix!$E$9:$DQ$9,$E101)&lt;=1,0,SUMIF(Distance_Matrix!$E$9:$DQ$9,$E101,Distance_Matrix!$E$92:$DQ$92)/(COUNTIF(Distance_Matrix!$E$9:$DQ$9,$E101)-1))</f>
        <v>1.06580316507824</v>
      </c>
      <c r="I101" s="17" t="n">
        <f aca="false">MIN(IF(1=$E101,1E+099,IF(COUNTIF(Distance_Matrix!$E$9:$DQ$9,1)=0,1E+099,SUMIF(Distance_Matrix!$E$9:$DQ$9,1,Distance_Matrix!$E$92:$DQ$92)/COUNTIF(Distance_Matrix!$E$9:$DQ$9,1))),IF(2=$E101,1E+099,IF(COUNTIF(Distance_Matrix!$E$9:$DQ$9,2)=0,1E+099,SUMIF(Distance_Matrix!$E$9:$DQ$9,2,Distance_Matrix!$E$92:$DQ$92)/COUNTIF(Distance_Matrix!$E$9:$DQ$9,2))),IF(3=$E101,1E+099,IF(COUNTIF(Distance_Matrix!$E$9:$DQ$9,3)=0,1E+099,SUMIF(Distance_Matrix!$E$9:$DQ$9,3,Distance_Matrix!$E$92:$DQ$92)/COUNTIF(Distance_Matrix!$E$9:$DQ$9,3))))</f>
        <v>1.71869703609131</v>
      </c>
      <c r="J101" s="17" t="n">
        <f aca="false">IF(COUNTIF(Distance_Matrix!$E$9:$DQ$9,$E101)&lt;=1,0,(I101-H101)/MAX(H101,I101))</f>
        <v>0.37987723100861</v>
      </c>
      <c r="X101" s="17" t="n">
        <f aca="false">SQRT(($B101-X$16)^2+($C101-X$17)^2+($D101-X$18)^2)</f>
        <v>6.78483078825686</v>
      </c>
      <c r="Y101" s="17" t="n">
        <f aca="false">SQRT(($B101-Y$16)^2+($C101-Y$17)^2+($D101-Y$18)^2)</f>
        <v>2.05412603137925</v>
      </c>
      <c r="Z101" s="17" t="n">
        <f aca="false">SQRT(($B101-Z$16)^2+($C101-Z$17)^2+($D101-Z$18)^2)</f>
        <v>2.28508675025144</v>
      </c>
      <c r="AA101" s="63" t="n">
        <f aca="false">MATCH(MIN(X101:Z101),X101:Z101,0)</f>
        <v>2</v>
      </c>
      <c r="AC101" s="17" t="n">
        <f aca="false">SQRT(($B101-AC$16)^2+($C101-AC$17)^2+($D101-AC$18)^2)</f>
        <v>5.81484096855325</v>
      </c>
      <c r="AD101" s="17" t="n">
        <f aca="false">SQRT(($B101-AD$16)^2+($C101-AD$17)^2+($D101-AD$18)^2)</f>
        <v>0.941379957888884</v>
      </c>
      <c r="AE101" s="17" t="n">
        <f aca="false">SQRT(($B101-AE$16)^2+($C101-AE$17)^2+($D101-AE$18)^2)</f>
        <v>1.47611994803789</v>
      </c>
      <c r="AF101" s="63" t="n">
        <f aca="false">MATCH(MIN(AC101:AE101),AC101:AE101,0)</f>
        <v>2</v>
      </c>
      <c r="AH101" s="17" t="n">
        <f aca="false">SQRT(($B101-AH$16)^2+($C101-AH$17)^2+($D101-AH$18)^2)</f>
        <v>5.17950285602626</v>
      </c>
      <c r="AI101" s="17" t="n">
        <f aca="false">SQRT(($B101-AI$16)^2+($C101-AI$17)^2+($D101-AI$18)^2)</f>
        <v>0.834277666490849</v>
      </c>
      <c r="AJ101" s="17" t="n">
        <f aca="false">SQRT(($B101-AJ$16)^2+($C101-AJ$17)^2+($D101-AJ$18)^2)</f>
        <v>1.56523381183483</v>
      </c>
      <c r="AK101" s="63" t="n">
        <f aca="false">MATCH(MIN(AH101:AJ101),AH101:AJ101,0)</f>
        <v>2</v>
      </c>
      <c r="AM101" s="17" t="n">
        <f aca="false">SQRT(($B101-AM$16)^2+($C101-AM$17)^2+($D101-AM$18)^2)</f>
        <v>5.17950285602626</v>
      </c>
      <c r="AN101" s="17" t="n">
        <f aca="false">SQRT(($B101-AN$16)^2+($C101-AN$17)^2+($D101-AN$18)^2)</f>
        <v>0.820040078579254</v>
      </c>
      <c r="AO101" s="17" t="n">
        <f aca="false">SQRT(($B101-AO$16)^2+($C101-AO$17)^2+($D101-AO$18)^2)</f>
        <v>1.58936533142281</v>
      </c>
      <c r="AP101" s="63" t="n">
        <f aca="false">MATCH(MIN(AM101:AO101),AM101:AO101,0)</f>
        <v>2</v>
      </c>
      <c r="AR101" s="17" t="n">
        <f aca="false">SQRT(($B101-AR$16)^2+($C101-AR$17)^2+($D101-AR$18)^2)</f>
        <v>5.17950285602626</v>
      </c>
      <c r="AS101" s="17" t="n">
        <f aca="false">SQRT(($B101-AS$16)^2+($C101-AS$17)^2+($D101-AS$18)^2)</f>
        <v>0.820040078579254</v>
      </c>
      <c r="AT101" s="17" t="n">
        <f aca="false">SQRT(($B101-AT$16)^2+($C101-AT$17)^2+($D101-AT$18)^2)</f>
        <v>1.58936533142281</v>
      </c>
      <c r="AU101" s="63" t="n">
        <f aca="false">MATCH(MIN(AR101:AT101),AR101:AT101,0)</f>
        <v>2</v>
      </c>
      <c r="AW101" s="17" t="n">
        <f aca="false">SQRT(($B101-AW$16)^2+($C101-AW$17)^2+($D101-AW$18)^2)</f>
        <v>5.17950285602626</v>
      </c>
      <c r="AX101" s="17" t="n">
        <f aca="false">SQRT(($B101-AX$16)^2+($C101-AX$17)^2+($D101-AX$18)^2)</f>
        <v>0.820040078579254</v>
      </c>
      <c r="AY101" s="17" t="n">
        <f aca="false">SQRT(($B101-AY$16)^2+($C101-AY$17)^2+($D101-AY$18)^2)</f>
        <v>1.58936533142281</v>
      </c>
      <c r="AZ101" s="63" t="n">
        <f aca="false">MATCH(MIN(AW101:AY101),AW101:AY101,0)</f>
        <v>2</v>
      </c>
      <c r="BB101" s="17" t="n">
        <f aca="false">SQRT(($B101-BB$16)^2+($C101-BB$17)^2+($D101-BB$18)^2)</f>
        <v>5.17950285602626</v>
      </c>
      <c r="BC101" s="17" t="n">
        <f aca="false">SQRT(($B101-BC$16)^2+($C101-BC$17)^2+($D101-BC$18)^2)</f>
        <v>0.820040078579254</v>
      </c>
      <c r="BD101" s="17" t="n">
        <f aca="false">SQRT(($B101-BD$16)^2+($C101-BD$17)^2+($D101-BD$18)^2)</f>
        <v>1.58936533142281</v>
      </c>
      <c r="BE101" s="63" t="n">
        <f aca="false">MATCH(MIN(BB101:BD101),BB101:BD101,0)</f>
        <v>2</v>
      </c>
      <c r="BG101" s="17" t="n">
        <f aca="false">SQRT(($B101-BG$16)^2+($C101-BG$17)^2+($D101-BG$18)^2)</f>
        <v>5.17950285602626</v>
      </c>
      <c r="BH101" s="17" t="n">
        <f aca="false">SQRT(($B101-BH$16)^2+($C101-BH$17)^2+($D101-BH$18)^2)</f>
        <v>0.820040078579254</v>
      </c>
      <c r="BI101" s="17" t="n">
        <f aca="false">SQRT(($B101-BI$16)^2+($C101-BI$17)^2+($D101-BI$18)^2)</f>
        <v>1.58936533142281</v>
      </c>
      <c r="BJ101" s="63" t="n">
        <f aca="false">MATCH(MIN(BG101:BI101),BG101:BI101,0)</f>
        <v>2</v>
      </c>
      <c r="BL101" s="17" t="n">
        <f aca="false">SQRT(($B101-BL$16)^2+($C101-BL$17)^2+($D101-BL$18)^2)</f>
        <v>5.17950285602626</v>
      </c>
      <c r="BM101" s="17" t="n">
        <f aca="false">SQRT(($B101-BM$16)^2+($C101-BM$17)^2+($D101-BM$18)^2)</f>
        <v>0.820040078579254</v>
      </c>
      <c r="BN101" s="17" t="n">
        <f aca="false">SQRT(($B101-BN$16)^2+($C101-BN$17)^2+($D101-BN$18)^2)</f>
        <v>1.58936533142281</v>
      </c>
      <c r="BO101" s="63" t="n">
        <f aca="false">MATCH(MIN(BL101:BN101),BL101:BN101,0)</f>
        <v>2</v>
      </c>
      <c r="BQ101" s="17" t="n">
        <f aca="false">SQRT(($B101-BQ$16)^2+($C101-BQ$17)^2+($D101-BQ$18)^2)</f>
        <v>5.17950285602626</v>
      </c>
      <c r="BR101" s="17" t="n">
        <f aca="false">SQRT(($B101-BR$16)^2+($C101-BR$17)^2+($D101-BR$18)^2)</f>
        <v>0.820040078579254</v>
      </c>
      <c r="BS101" s="17" t="n">
        <f aca="false">SQRT(($B101-BS$16)^2+($C101-BS$17)^2+($D101-BS$18)^2)</f>
        <v>1.58936533142281</v>
      </c>
      <c r="BT101" s="63" t="n">
        <f aca="false">MATCH(MIN(BQ101:BS101),BQ101:BS101,0)</f>
        <v>2</v>
      </c>
      <c r="BV101" s="17" t="n">
        <f aca="false">SQRT(($B101-BV$16)^2+($C101-BV$17)^2+($D101-BV$18)^2)</f>
        <v>5.17950285602626</v>
      </c>
      <c r="BW101" s="17" t="n">
        <f aca="false">SQRT(($B101-BW$16)^2+($C101-BW$17)^2+($D101-BW$18)^2)</f>
        <v>0.820040078579254</v>
      </c>
      <c r="BX101" s="17" t="n">
        <f aca="false">SQRT(($B101-BX$16)^2+($C101-BX$17)^2+($D101-BX$18)^2)</f>
        <v>1.58936533142281</v>
      </c>
      <c r="BY101" s="63" t="n">
        <f aca="false">MATCH(MIN(BV101:BX101),BV101:BX101,0)</f>
        <v>2</v>
      </c>
      <c r="CA101" s="17" t="n">
        <f aca="false">SQRT(($B101-CA$16)^2+($C101-CA$17)^2+($D101-CA$18)^2)</f>
        <v>5.17950285602626</v>
      </c>
      <c r="CB101" s="17" t="n">
        <f aca="false">SQRT(($B101-CB$16)^2+($C101-CB$17)^2+($D101-CB$18)^2)</f>
        <v>0.820040078579254</v>
      </c>
      <c r="CC101" s="17" t="n">
        <f aca="false">SQRT(($B101-CC$16)^2+($C101-CC$17)^2+($D101-CC$18)^2)</f>
        <v>1.58936533142281</v>
      </c>
      <c r="CD101" s="63" t="n">
        <f aca="false">MATCH(MIN(CA101:CC101),CA101:CC101,0)</f>
        <v>2</v>
      </c>
    </row>
    <row r="102" customFormat="false" ht="15" hidden="false" customHeight="false" outlineLevel="0" collapsed="false">
      <c r="A102" s="36" t="str">
        <f aca="false">KMeans_Data!A84</f>
        <v>Hangu</v>
      </c>
      <c r="B102" s="17" t="n">
        <f aca="false">KMeans_Data!H84</f>
        <v>-0.404409624645938</v>
      </c>
      <c r="C102" s="17" t="n">
        <f aca="false">KMeans_Data!I84</f>
        <v>-0.146983133929529</v>
      </c>
      <c r="D102" s="17" t="n">
        <f aca="false">KMeans_Data!J84</f>
        <v>0.139148285405597</v>
      </c>
      <c r="E102" s="63" t="n">
        <f aca="false">CD102</f>
        <v>2</v>
      </c>
      <c r="F102" s="38" t="n">
        <f aca="false">($B102-INDEX($L$16:$N$16,E102))^2+($C102-INDEX($L$17:$N$17,E102))^2+($D102-INDEX($L$18:$N$18,E102))^2</f>
        <v>1.05639643399946</v>
      </c>
      <c r="G102" s="12" t="str">
        <f aca="false">INDEX($M$5:$M$7,E102)</f>
        <v>Low burden</v>
      </c>
      <c r="H102" s="17" t="n">
        <f aca="false">IF(COUNTIF(Distance_Matrix!$E$9:$DQ$9,$E102)&lt;=1,0,SUMIF(Distance_Matrix!$E$9:$DQ$9,$E102,Distance_Matrix!$E$93:$DQ$93)/(COUNTIF(Distance_Matrix!$E$9:$DQ$9,$E102)-1))</f>
        <v>1.24935582618718</v>
      </c>
      <c r="I102" s="17" t="n">
        <f aca="false">MIN(IF(1=$E102,1E+099,IF(COUNTIF(Distance_Matrix!$E$9:$DQ$9,1)=0,1E+099,SUMIF(Distance_Matrix!$E$9:$DQ$9,1,Distance_Matrix!$E$93:$DQ$93)/COUNTIF(Distance_Matrix!$E$9:$DQ$9,1))),IF(2=$E102,1E+099,IF(COUNTIF(Distance_Matrix!$E$9:$DQ$9,2)=0,1E+099,SUMIF(Distance_Matrix!$E$9:$DQ$9,2,Distance_Matrix!$E$93:$DQ$93)/COUNTIF(Distance_Matrix!$E$9:$DQ$9,2))),IF(3=$E102,1E+099,IF(COUNTIF(Distance_Matrix!$E$9:$DQ$9,3)=0,1E+099,SUMIF(Distance_Matrix!$E$9:$DQ$9,3,Distance_Matrix!$E$93:$DQ$93)/COUNTIF(Distance_Matrix!$E$9:$DQ$9,3))))</f>
        <v>1.42554672379491</v>
      </c>
      <c r="J102" s="17" t="n">
        <f aca="false">IF(COUNTIF(Distance_Matrix!$E$9:$DQ$9,$E102)&lt;=1,0,(I102-H102)/MAX(H102,I102))</f>
        <v>0.123595315864984</v>
      </c>
      <c r="X102" s="17" t="n">
        <f aca="false">SQRT(($B102-X$16)^2+($C102-X$17)^2+($D102-X$18)^2)</f>
        <v>6.38345263270034</v>
      </c>
      <c r="Y102" s="17" t="n">
        <f aca="false">SQRT(($B102-Y$16)^2+($C102-Y$17)^2+($D102-Y$18)^2)</f>
        <v>2.17571662845419</v>
      </c>
      <c r="Z102" s="17" t="n">
        <f aca="false">SQRT(($B102-Z$16)^2+($C102-Z$17)^2+($D102-Z$18)^2)</f>
        <v>2.03155178865032</v>
      </c>
      <c r="AA102" s="63" t="n">
        <f aca="false">MATCH(MIN(X102:Z102),X102:Z102,0)</f>
        <v>3</v>
      </c>
      <c r="AC102" s="17" t="n">
        <f aca="false">SQRT(($B102-AC$16)^2+($C102-AC$17)^2+($D102-AC$18)^2)</f>
        <v>5.40623171253915</v>
      </c>
      <c r="AD102" s="17" t="n">
        <f aca="false">SQRT(($B102-AD$16)^2+($C102-AD$17)^2+($D102-AD$18)^2)</f>
        <v>1.14384052961338</v>
      </c>
      <c r="AE102" s="17" t="n">
        <f aca="false">SQRT(($B102-AE$16)^2+($C102-AE$17)^2+($D102-AE$18)^2)</f>
        <v>1.13301246280316</v>
      </c>
      <c r="AF102" s="63" t="n">
        <f aca="false">MATCH(MIN(AC102:AE102),AC102:AE102,0)</f>
        <v>3</v>
      </c>
      <c r="AH102" s="17" t="n">
        <f aca="false">SQRT(($B102-AH$16)^2+($C102-AH$17)^2+($D102-AH$18)^2)</f>
        <v>4.77275575326755</v>
      </c>
      <c r="AI102" s="17" t="n">
        <f aca="false">SQRT(($B102-AI$16)^2+($C102-AI$17)^2+($D102-AI$18)^2)</f>
        <v>1.04438908233108</v>
      </c>
      <c r="AJ102" s="17" t="n">
        <f aca="false">SQRT(($B102-AJ$16)^2+($C102-AJ$17)^2+($D102-AJ$18)^2)</f>
        <v>1.20798984643786</v>
      </c>
      <c r="AK102" s="63" t="n">
        <f aca="false">MATCH(MIN(AH102:AJ102),AH102:AJ102,0)</f>
        <v>2</v>
      </c>
      <c r="AM102" s="17" t="n">
        <f aca="false">SQRT(($B102-AM$16)^2+($C102-AM$17)^2+($D102-AM$18)^2)</f>
        <v>4.77275575326755</v>
      </c>
      <c r="AN102" s="17" t="n">
        <f aca="false">SQRT(($B102-AN$16)^2+($C102-AN$17)^2+($D102-AN$18)^2)</f>
        <v>1.02781147784964</v>
      </c>
      <c r="AO102" s="17" t="n">
        <f aca="false">SQRT(($B102-AO$16)^2+($C102-AO$17)^2+($D102-AO$18)^2)</f>
        <v>1.23315630157198</v>
      </c>
      <c r="AP102" s="63" t="n">
        <f aca="false">MATCH(MIN(AM102:AO102),AM102:AO102,0)</f>
        <v>2</v>
      </c>
      <c r="AR102" s="17" t="n">
        <f aca="false">SQRT(($B102-AR$16)^2+($C102-AR$17)^2+($D102-AR$18)^2)</f>
        <v>4.77275575326755</v>
      </c>
      <c r="AS102" s="17" t="n">
        <f aca="false">SQRT(($B102-AS$16)^2+($C102-AS$17)^2+($D102-AS$18)^2)</f>
        <v>1.02781147784964</v>
      </c>
      <c r="AT102" s="17" t="n">
        <f aca="false">SQRT(($B102-AT$16)^2+($C102-AT$17)^2+($D102-AT$18)^2)</f>
        <v>1.23315630157198</v>
      </c>
      <c r="AU102" s="63" t="n">
        <f aca="false">MATCH(MIN(AR102:AT102),AR102:AT102,0)</f>
        <v>2</v>
      </c>
      <c r="AW102" s="17" t="n">
        <f aca="false">SQRT(($B102-AW$16)^2+($C102-AW$17)^2+($D102-AW$18)^2)</f>
        <v>4.77275575326755</v>
      </c>
      <c r="AX102" s="17" t="n">
        <f aca="false">SQRT(($B102-AX$16)^2+($C102-AX$17)^2+($D102-AX$18)^2)</f>
        <v>1.02781147784964</v>
      </c>
      <c r="AY102" s="17" t="n">
        <f aca="false">SQRT(($B102-AY$16)^2+($C102-AY$17)^2+($D102-AY$18)^2)</f>
        <v>1.23315630157198</v>
      </c>
      <c r="AZ102" s="63" t="n">
        <f aca="false">MATCH(MIN(AW102:AY102),AW102:AY102,0)</f>
        <v>2</v>
      </c>
      <c r="BB102" s="17" t="n">
        <f aca="false">SQRT(($B102-BB$16)^2+($C102-BB$17)^2+($D102-BB$18)^2)</f>
        <v>4.77275575326755</v>
      </c>
      <c r="BC102" s="17" t="n">
        <f aca="false">SQRT(($B102-BC$16)^2+($C102-BC$17)^2+($D102-BC$18)^2)</f>
        <v>1.02781147784964</v>
      </c>
      <c r="BD102" s="17" t="n">
        <f aca="false">SQRT(($B102-BD$16)^2+($C102-BD$17)^2+($D102-BD$18)^2)</f>
        <v>1.23315630157198</v>
      </c>
      <c r="BE102" s="63" t="n">
        <f aca="false">MATCH(MIN(BB102:BD102),BB102:BD102,0)</f>
        <v>2</v>
      </c>
      <c r="BG102" s="17" t="n">
        <f aca="false">SQRT(($B102-BG$16)^2+($C102-BG$17)^2+($D102-BG$18)^2)</f>
        <v>4.77275575326755</v>
      </c>
      <c r="BH102" s="17" t="n">
        <f aca="false">SQRT(($B102-BH$16)^2+($C102-BH$17)^2+($D102-BH$18)^2)</f>
        <v>1.02781147784964</v>
      </c>
      <c r="BI102" s="17" t="n">
        <f aca="false">SQRT(($B102-BI$16)^2+($C102-BI$17)^2+($D102-BI$18)^2)</f>
        <v>1.23315630157198</v>
      </c>
      <c r="BJ102" s="63" t="n">
        <f aca="false">MATCH(MIN(BG102:BI102),BG102:BI102,0)</f>
        <v>2</v>
      </c>
      <c r="BL102" s="17" t="n">
        <f aca="false">SQRT(($B102-BL$16)^2+($C102-BL$17)^2+($D102-BL$18)^2)</f>
        <v>4.77275575326755</v>
      </c>
      <c r="BM102" s="17" t="n">
        <f aca="false">SQRT(($B102-BM$16)^2+($C102-BM$17)^2+($D102-BM$18)^2)</f>
        <v>1.02781147784964</v>
      </c>
      <c r="BN102" s="17" t="n">
        <f aca="false">SQRT(($B102-BN$16)^2+($C102-BN$17)^2+($D102-BN$18)^2)</f>
        <v>1.23315630157198</v>
      </c>
      <c r="BO102" s="63" t="n">
        <f aca="false">MATCH(MIN(BL102:BN102),BL102:BN102,0)</f>
        <v>2</v>
      </c>
      <c r="BQ102" s="17" t="n">
        <f aca="false">SQRT(($B102-BQ$16)^2+($C102-BQ$17)^2+($D102-BQ$18)^2)</f>
        <v>4.77275575326755</v>
      </c>
      <c r="BR102" s="17" t="n">
        <f aca="false">SQRT(($B102-BR$16)^2+($C102-BR$17)^2+($D102-BR$18)^2)</f>
        <v>1.02781147784964</v>
      </c>
      <c r="BS102" s="17" t="n">
        <f aca="false">SQRT(($B102-BS$16)^2+($C102-BS$17)^2+($D102-BS$18)^2)</f>
        <v>1.23315630157198</v>
      </c>
      <c r="BT102" s="63" t="n">
        <f aca="false">MATCH(MIN(BQ102:BS102),BQ102:BS102,0)</f>
        <v>2</v>
      </c>
      <c r="BV102" s="17" t="n">
        <f aca="false">SQRT(($B102-BV$16)^2+($C102-BV$17)^2+($D102-BV$18)^2)</f>
        <v>4.77275575326755</v>
      </c>
      <c r="BW102" s="17" t="n">
        <f aca="false">SQRT(($B102-BW$16)^2+($C102-BW$17)^2+($D102-BW$18)^2)</f>
        <v>1.02781147784964</v>
      </c>
      <c r="BX102" s="17" t="n">
        <f aca="false">SQRT(($B102-BX$16)^2+($C102-BX$17)^2+($D102-BX$18)^2)</f>
        <v>1.23315630157198</v>
      </c>
      <c r="BY102" s="63" t="n">
        <f aca="false">MATCH(MIN(BV102:BX102),BV102:BX102,0)</f>
        <v>2</v>
      </c>
      <c r="CA102" s="17" t="n">
        <f aca="false">SQRT(($B102-CA$16)^2+($C102-CA$17)^2+($D102-CA$18)^2)</f>
        <v>4.77275575326755</v>
      </c>
      <c r="CB102" s="17" t="n">
        <f aca="false">SQRT(($B102-CB$16)^2+($C102-CB$17)^2+($D102-CB$18)^2)</f>
        <v>1.02781147784964</v>
      </c>
      <c r="CC102" s="17" t="n">
        <f aca="false">SQRT(($B102-CC$16)^2+($C102-CC$17)^2+($D102-CC$18)^2)</f>
        <v>1.23315630157198</v>
      </c>
      <c r="CD102" s="63" t="n">
        <f aca="false">MATCH(MIN(CA102:CC102),CA102:CC102,0)</f>
        <v>2</v>
      </c>
    </row>
    <row r="103" customFormat="false" ht="15" hidden="false" customHeight="false" outlineLevel="0" collapsed="false">
      <c r="A103" s="36" t="str">
        <f aca="false">KMeans_Data!A85</f>
        <v>Mohmand</v>
      </c>
      <c r="B103" s="17" t="n">
        <f aca="false">KMeans_Data!H85</f>
        <v>-0.470943061763014</v>
      </c>
      <c r="C103" s="17" t="n">
        <f aca="false">KMeans_Data!I85</f>
        <v>-0.146983133929529</v>
      </c>
      <c r="D103" s="17" t="n">
        <f aca="false">KMeans_Data!J85</f>
        <v>-0.399845222909568</v>
      </c>
      <c r="E103" s="63" t="n">
        <f aca="false">CD103</f>
        <v>2</v>
      </c>
      <c r="F103" s="38" t="n">
        <f aca="false">($B103-INDEX($L$16:$N$16,E103))^2+($C103-INDEX($L$17:$N$17,E103))^2+($D103-INDEX($L$18:$N$18,E103))^2</f>
        <v>0.370819049133087</v>
      </c>
      <c r="G103" s="12" t="str">
        <f aca="false">INDEX($M$5:$M$7,E103)</f>
        <v>Low burden</v>
      </c>
      <c r="H103" s="17" t="n">
        <f aca="false">IF(COUNTIF(Distance_Matrix!$E$9:$DQ$9,$E103)&lt;=1,0,SUMIF(Distance_Matrix!$E$9:$DQ$9,$E103,Distance_Matrix!$E$94:$DQ$94)/(COUNTIF(Distance_Matrix!$E$9:$DQ$9,$E103)-1))</f>
        <v>0.980173424120186</v>
      </c>
      <c r="I103" s="17" t="n">
        <f aca="false">MIN(IF(1=$E103,1E+099,IF(COUNTIF(Distance_Matrix!$E$9:$DQ$9,1)=0,1E+099,SUMIF(Distance_Matrix!$E$9:$DQ$9,1,Distance_Matrix!$E$94:$DQ$94)/COUNTIF(Distance_Matrix!$E$9:$DQ$9,1))),IF(2=$E103,1E+099,IF(COUNTIF(Distance_Matrix!$E$9:$DQ$9,2)=0,1E+099,SUMIF(Distance_Matrix!$E$9:$DQ$9,2,Distance_Matrix!$E$94:$DQ$94)/COUNTIF(Distance_Matrix!$E$9:$DQ$9,2))),IF(3=$E103,1E+099,IF(COUNTIF(Distance_Matrix!$E$9:$DQ$9,3)=0,1E+099,SUMIF(Distance_Matrix!$E$9:$DQ$9,3,Distance_Matrix!$E$94:$DQ$94)/COUNTIF(Distance_Matrix!$E$9:$DQ$9,3))))</f>
        <v>1.75449899573907</v>
      </c>
      <c r="J103" s="17" t="n">
        <f aca="false">IF(COUNTIF(Distance_Matrix!$E$9:$DQ$9,$E103)&lt;=1,0,(I103-H103)/MAX(H103,I103))</f>
        <v>0.441337141542623</v>
      </c>
      <c r="X103" s="17" t="n">
        <f aca="false">SQRT(($B103-X$16)^2+($C103-X$17)^2+($D103-X$18)^2)</f>
        <v>6.6999482057459</v>
      </c>
      <c r="Y103" s="17" t="n">
        <f aca="false">SQRT(($B103-Y$16)^2+($C103-Y$17)^2+($D103-Y$18)^2)</f>
        <v>1.84953056521099</v>
      </c>
      <c r="Z103" s="17" t="n">
        <f aca="false">SQRT(($B103-Z$16)^2+($C103-Z$17)^2+($D103-Z$18)^2)</f>
        <v>2.45948554295477</v>
      </c>
      <c r="AA103" s="63" t="n">
        <f aca="false">MATCH(MIN(X103:Z103),X103:Z103,0)</f>
        <v>2</v>
      </c>
      <c r="AC103" s="17" t="n">
        <f aca="false">SQRT(($B103-AC$16)^2+($C103-AC$17)^2+($D103-AC$18)^2)</f>
        <v>5.69913171645514</v>
      </c>
      <c r="AD103" s="17" t="n">
        <f aca="false">SQRT(($B103-AD$16)^2+($C103-AD$17)^2+($D103-AD$18)^2)</f>
        <v>0.717318716718983</v>
      </c>
      <c r="AE103" s="17" t="n">
        <f aca="false">SQRT(($B103-AE$16)^2+($C103-AE$17)^2+($D103-AE$18)^2)</f>
        <v>1.47779647656836</v>
      </c>
      <c r="AF103" s="63" t="n">
        <f aca="false">MATCH(MIN(AC103:AE103),AC103:AE103,0)</f>
        <v>2</v>
      </c>
      <c r="AH103" s="17" t="n">
        <f aca="false">SQRT(($B103-AH$16)^2+($C103-AH$17)^2+($D103-AH$18)^2)</f>
        <v>5.06550818889313</v>
      </c>
      <c r="AI103" s="17" t="n">
        <f aca="false">SQRT(($B103-AI$16)^2+($C103-AI$17)^2+($D103-AI$18)^2)</f>
        <v>0.623984264706544</v>
      </c>
      <c r="AJ103" s="17" t="n">
        <f aca="false">SQRT(($B103-AJ$16)^2+($C103-AJ$17)^2+($D103-AJ$18)^2)</f>
        <v>1.57118332234843</v>
      </c>
      <c r="AK103" s="63" t="n">
        <f aca="false">MATCH(MIN(AH103:AJ103),AH103:AJ103,0)</f>
        <v>2</v>
      </c>
      <c r="AM103" s="17" t="n">
        <f aca="false">SQRT(($B103-AM$16)^2+($C103-AM$17)^2+($D103-AM$18)^2)</f>
        <v>5.06550818889313</v>
      </c>
      <c r="AN103" s="17" t="n">
        <f aca="false">SQRT(($B103-AN$16)^2+($C103-AN$17)^2+($D103-AN$18)^2)</f>
        <v>0.608949135095114</v>
      </c>
      <c r="AO103" s="17" t="n">
        <f aca="false">SQRT(($B103-AO$16)^2+($C103-AO$17)^2+($D103-AO$18)^2)</f>
        <v>1.59528559472888</v>
      </c>
      <c r="AP103" s="63" t="n">
        <f aca="false">MATCH(MIN(AM103:AO103),AM103:AO103,0)</f>
        <v>2</v>
      </c>
      <c r="AR103" s="17" t="n">
        <f aca="false">SQRT(($B103-AR$16)^2+($C103-AR$17)^2+($D103-AR$18)^2)</f>
        <v>5.06550818889313</v>
      </c>
      <c r="AS103" s="17" t="n">
        <f aca="false">SQRT(($B103-AS$16)^2+($C103-AS$17)^2+($D103-AS$18)^2)</f>
        <v>0.608949135095114</v>
      </c>
      <c r="AT103" s="17" t="n">
        <f aca="false">SQRT(($B103-AT$16)^2+($C103-AT$17)^2+($D103-AT$18)^2)</f>
        <v>1.59528559472888</v>
      </c>
      <c r="AU103" s="63" t="n">
        <f aca="false">MATCH(MIN(AR103:AT103),AR103:AT103,0)</f>
        <v>2</v>
      </c>
      <c r="AW103" s="17" t="n">
        <f aca="false">SQRT(($B103-AW$16)^2+($C103-AW$17)^2+($D103-AW$18)^2)</f>
        <v>5.06550818889313</v>
      </c>
      <c r="AX103" s="17" t="n">
        <f aca="false">SQRT(($B103-AX$16)^2+($C103-AX$17)^2+($D103-AX$18)^2)</f>
        <v>0.608949135095114</v>
      </c>
      <c r="AY103" s="17" t="n">
        <f aca="false">SQRT(($B103-AY$16)^2+($C103-AY$17)^2+($D103-AY$18)^2)</f>
        <v>1.59528559472888</v>
      </c>
      <c r="AZ103" s="63" t="n">
        <f aca="false">MATCH(MIN(AW103:AY103),AW103:AY103,0)</f>
        <v>2</v>
      </c>
      <c r="BB103" s="17" t="n">
        <f aca="false">SQRT(($B103-BB$16)^2+($C103-BB$17)^2+($D103-BB$18)^2)</f>
        <v>5.06550818889313</v>
      </c>
      <c r="BC103" s="17" t="n">
        <f aca="false">SQRT(($B103-BC$16)^2+($C103-BC$17)^2+($D103-BC$18)^2)</f>
        <v>0.608949135095114</v>
      </c>
      <c r="BD103" s="17" t="n">
        <f aca="false">SQRT(($B103-BD$16)^2+($C103-BD$17)^2+($D103-BD$18)^2)</f>
        <v>1.59528559472888</v>
      </c>
      <c r="BE103" s="63" t="n">
        <f aca="false">MATCH(MIN(BB103:BD103),BB103:BD103,0)</f>
        <v>2</v>
      </c>
      <c r="BG103" s="17" t="n">
        <f aca="false">SQRT(($B103-BG$16)^2+($C103-BG$17)^2+($D103-BG$18)^2)</f>
        <v>5.06550818889313</v>
      </c>
      <c r="BH103" s="17" t="n">
        <f aca="false">SQRT(($B103-BH$16)^2+($C103-BH$17)^2+($D103-BH$18)^2)</f>
        <v>0.608949135095114</v>
      </c>
      <c r="BI103" s="17" t="n">
        <f aca="false">SQRT(($B103-BI$16)^2+($C103-BI$17)^2+($D103-BI$18)^2)</f>
        <v>1.59528559472888</v>
      </c>
      <c r="BJ103" s="63" t="n">
        <f aca="false">MATCH(MIN(BG103:BI103),BG103:BI103,0)</f>
        <v>2</v>
      </c>
      <c r="BL103" s="17" t="n">
        <f aca="false">SQRT(($B103-BL$16)^2+($C103-BL$17)^2+($D103-BL$18)^2)</f>
        <v>5.06550818889313</v>
      </c>
      <c r="BM103" s="17" t="n">
        <f aca="false">SQRT(($B103-BM$16)^2+($C103-BM$17)^2+($D103-BM$18)^2)</f>
        <v>0.608949135095114</v>
      </c>
      <c r="BN103" s="17" t="n">
        <f aca="false">SQRT(($B103-BN$16)^2+($C103-BN$17)^2+($D103-BN$18)^2)</f>
        <v>1.59528559472888</v>
      </c>
      <c r="BO103" s="63" t="n">
        <f aca="false">MATCH(MIN(BL103:BN103),BL103:BN103,0)</f>
        <v>2</v>
      </c>
      <c r="BQ103" s="17" t="n">
        <f aca="false">SQRT(($B103-BQ$16)^2+($C103-BQ$17)^2+($D103-BQ$18)^2)</f>
        <v>5.06550818889313</v>
      </c>
      <c r="BR103" s="17" t="n">
        <f aca="false">SQRT(($B103-BR$16)^2+($C103-BR$17)^2+($D103-BR$18)^2)</f>
        <v>0.608949135095114</v>
      </c>
      <c r="BS103" s="17" t="n">
        <f aca="false">SQRT(($B103-BS$16)^2+($C103-BS$17)^2+($D103-BS$18)^2)</f>
        <v>1.59528559472888</v>
      </c>
      <c r="BT103" s="63" t="n">
        <f aca="false">MATCH(MIN(BQ103:BS103),BQ103:BS103,0)</f>
        <v>2</v>
      </c>
      <c r="BV103" s="17" t="n">
        <f aca="false">SQRT(($B103-BV$16)^2+($C103-BV$17)^2+($D103-BV$18)^2)</f>
        <v>5.06550818889313</v>
      </c>
      <c r="BW103" s="17" t="n">
        <f aca="false">SQRT(($B103-BW$16)^2+($C103-BW$17)^2+($D103-BW$18)^2)</f>
        <v>0.608949135095114</v>
      </c>
      <c r="BX103" s="17" t="n">
        <f aca="false">SQRT(($B103-BX$16)^2+($C103-BX$17)^2+($D103-BX$18)^2)</f>
        <v>1.59528559472888</v>
      </c>
      <c r="BY103" s="63" t="n">
        <f aca="false">MATCH(MIN(BV103:BX103),BV103:BX103,0)</f>
        <v>2</v>
      </c>
      <c r="CA103" s="17" t="n">
        <f aca="false">SQRT(($B103-CA$16)^2+($C103-CA$17)^2+($D103-CA$18)^2)</f>
        <v>5.06550818889313</v>
      </c>
      <c r="CB103" s="17" t="n">
        <f aca="false">SQRT(($B103-CB$16)^2+($C103-CB$17)^2+($D103-CB$18)^2)</f>
        <v>0.608949135095114</v>
      </c>
      <c r="CC103" s="17" t="n">
        <f aca="false">SQRT(($B103-CC$16)^2+($C103-CC$17)^2+($D103-CC$18)^2)</f>
        <v>1.59528559472888</v>
      </c>
      <c r="CD103" s="63" t="n">
        <f aca="false">MATCH(MIN(CA103:CC103),CA103:CC103,0)</f>
        <v>2</v>
      </c>
    </row>
    <row r="104" customFormat="false" ht="15" hidden="false" customHeight="false" outlineLevel="0" collapsed="false">
      <c r="A104" s="36" t="str">
        <f aca="false">KMeans_Data!A86</f>
        <v>Bahawal Nagar</v>
      </c>
      <c r="B104" s="17" t="n">
        <f aca="false">KMeans_Data!H86</f>
        <v>-0.470943061763014</v>
      </c>
      <c r="C104" s="17" t="n">
        <f aca="false">KMeans_Data!I86</f>
        <v>-0.672650545388274</v>
      </c>
      <c r="D104" s="17" t="n">
        <f aca="false">KMeans_Data!J86</f>
        <v>-0.399845222909568</v>
      </c>
      <c r="E104" s="63" t="n">
        <f aca="false">CD104</f>
        <v>2</v>
      </c>
      <c r="F104" s="38" t="n">
        <f aca="false">($B104-INDEX($L$16:$N$16,E104))^2+($C104-INDEX($L$17:$N$17,E104))^2+($D104-INDEX($L$18:$N$18,E104))^2</f>
        <v>0.147126388800442</v>
      </c>
      <c r="G104" s="12" t="str">
        <f aca="false">INDEX($M$5:$M$7,E104)</f>
        <v>Low burden</v>
      </c>
      <c r="H104" s="17" t="n">
        <f aca="false">IF(COUNTIF(Distance_Matrix!$E$9:$DQ$9,$E104)&lt;=1,0,SUMIF(Distance_Matrix!$E$9:$DQ$9,$E104,Distance_Matrix!$E$95:$DQ$95)/(COUNTIF(Distance_Matrix!$E$9:$DQ$9,$E104)-1))</f>
        <v>0.836563582954282</v>
      </c>
      <c r="I104" s="17" t="n">
        <f aca="false">MIN(IF(1=$E104,1E+099,IF(COUNTIF(Distance_Matrix!$E$9:$DQ$9,1)=0,1E+099,SUMIF(Distance_Matrix!$E$9:$DQ$9,1,Distance_Matrix!$E$95:$DQ$95)/COUNTIF(Distance_Matrix!$E$9:$DQ$9,1))),IF(2=$E104,1E+099,IF(COUNTIF(Distance_Matrix!$E$9:$DQ$9,2)=0,1E+099,SUMIF(Distance_Matrix!$E$9:$DQ$9,2,Distance_Matrix!$E$95:$DQ$95)/COUNTIF(Distance_Matrix!$E$9:$DQ$9,2))),IF(3=$E104,1E+099,IF(COUNTIF(Distance_Matrix!$E$9:$DQ$9,3)=0,1E+099,SUMIF(Distance_Matrix!$E$9:$DQ$9,3,Distance_Matrix!$E$95:$DQ$95)/COUNTIF(Distance_Matrix!$E$9:$DQ$9,3))))</f>
        <v>1.97264689353423</v>
      </c>
      <c r="J104" s="17" t="n">
        <f aca="false">IF(COUNTIF(Distance_Matrix!$E$9:$DQ$9,$E104)&lt;=1,0,(I104-H104)/MAX(H104,I104))</f>
        <v>0.575918231642826</v>
      </c>
      <c r="X104" s="17" t="n">
        <f aca="false">SQRT(($B104-X$16)^2+($C104-X$17)^2+($D104-X$18)^2)</f>
        <v>7.04033708091628</v>
      </c>
      <c r="Y104" s="17" t="n">
        <f aca="false">SQRT(($B104-Y$16)^2+($C104-Y$17)^2+($D104-Y$18)^2)</f>
        <v>1.77325606841763</v>
      </c>
      <c r="Z104" s="17" t="n">
        <f aca="false">SQRT(($B104-Z$16)^2+($C104-Z$17)^2+($D104-Z$18)^2)</f>
        <v>2.62260325219289</v>
      </c>
      <c r="AA104" s="63" t="n">
        <f aca="false">MATCH(MIN(X104:Z104),X104:Z104,0)</f>
        <v>2</v>
      </c>
      <c r="AC104" s="17" t="n">
        <f aca="false">SQRT(($B104-AC$16)^2+($C104-AC$17)^2+($D104-AC$18)^2)</f>
        <v>6.05013938116966</v>
      </c>
      <c r="AD104" s="17" t="n">
        <f aca="false">SQRT(($B104-AD$16)^2+($C104-AD$17)^2+($D104-AD$18)^2)</f>
        <v>0.518577697215118</v>
      </c>
      <c r="AE104" s="17" t="n">
        <f aca="false">SQRT(($B104-AE$16)^2+($C104-AE$17)^2+($D104-AE$18)^2)</f>
        <v>1.72728054518193</v>
      </c>
      <c r="AF104" s="63" t="n">
        <f aca="false">MATCH(MIN(AC104:AE104),AC104:AE104,0)</f>
        <v>2</v>
      </c>
      <c r="AH104" s="17" t="n">
        <f aca="false">SQRT(($B104-AH$16)^2+($C104-AH$17)^2+($D104-AH$18)^2)</f>
        <v>5.41343315161851</v>
      </c>
      <c r="AI104" s="17" t="n">
        <f aca="false">SQRT(($B104-AI$16)^2+($C104-AI$17)^2+($D104-AI$18)^2)</f>
        <v>0.396987256089809</v>
      </c>
      <c r="AJ104" s="17" t="n">
        <f aca="false">SQRT(($B104-AJ$16)^2+($C104-AJ$17)^2+($D104-AJ$18)^2)</f>
        <v>1.82871588920445</v>
      </c>
      <c r="AK104" s="63" t="n">
        <f aca="false">MATCH(MIN(AH104:AJ104),AH104:AJ104,0)</f>
        <v>2</v>
      </c>
      <c r="AM104" s="17" t="n">
        <f aca="false">SQRT(($B104-AM$16)^2+($C104-AM$17)^2+($D104-AM$18)^2)</f>
        <v>5.41343315161851</v>
      </c>
      <c r="AN104" s="17" t="n">
        <f aca="false">SQRT(($B104-AN$16)^2+($C104-AN$17)^2+($D104-AN$18)^2)</f>
        <v>0.383570578642891</v>
      </c>
      <c r="AO104" s="17" t="n">
        <f aca="false">SQRT(($B104-AO$16)^2+($C104-AO$17)^2+($D104-AO$18)^2)</f>
        <v>1.85283713605453</v>
      </c>
      <c r="AP104" s="63" t="n">
        <f aca="false">MATCH(MIN(AM104:AO104),AM104:AO104,0)</f>
        <v>2</v>
      </c>
      <c r="AR104" s="17" t="n">
        <f aca="false">SQRT(($B104-AR$16)^2+($C104-AR$17)^2+($D104-AR$18)^2)</f>
        <v>5.41343315161851</v>
      </c>
      <c r="AS104" s="17" t="n">
        <f aca="false">SQRT(($B104-AS$16)^2+($C104-AS$17)^2+($D104-AS$18)^2)</f>
        <v>0.383570578642891</v>
      </c>
      <c r="AT104" s="17" t="n">
        <f aca="false">SQRT(($B104-AT$16)^2+($C104-AT$17)^2+($D104-AT$18)^2)</f>
        <v>1.85283713605453</v>
      </c>
      <c r="AU104" s="63" t="n">
        <f aca="false">MATCH(MIN(AR104:AT104),AR104:AT104,0)</f>
        <v>2</v>
      </c>
      <c r="AW104" s="17" t="n">
        <f aca="false">SQRT(($B104-AW$16)^2+($C104-AW$17)^2+($D104-AW$18)^2)</f>
        <v>5.41343315161851</v>
      </c>
      <c r="AX104" s="17" t="n">
        <f aca="false">SQRT(($B104-AX$16)^2+($C104-AX$17)^2+($D104-AX$18)^2)</f>
        <v>0.383570578642891</v>
      </c>
      <c r="AY104" s="17" t="n">
        <f aca="false">SQRT(($B104-AY$16)^2+($C104-AY$17)^2+($D104-AY$18)^2)</f>
        <v>1.85283713605453</v>
      </c>
      <c r="AZ104" s="63" t="n">
        <f aca="false">MATCH(MIN(AW104:AY104),AW104:AY104,0)</f>
        <v>2</v>
      </c>
      <c r="BB104" s="17" t="n">
        <f aca="false">SQRT(($B104-BB$16)^2+($C104-BB$17)^2+($D104-BB$18)^2)</f>
        <v>5.41343315161851</v>
      </c>
      <c r="BC104" s="17" t="n">
        <f aca="false">SQRT(($B104-BC$16)^2+($C104-BC$17)^2+($D104-BC$18)^2)</f>
        <v>0.383570578642891</v>
      </c>
      <c r="BD104" s="17" t="n">
        <f aca="false">SQRT(($B104-BD$16)^2+($C104-BD$17)^2+($D104-BD$18)^2)</f>
        <v>1.85283713605453</v>
      </c>
      <c r="BE104" s="63" t="n">
        <f aca="false">MATCH(MIN(BB104:BD104),BB104:BD104,0)</f>
        <v>2</v>
      </c>
      <c r="BG104" s="17" t="n">
        <f aca="false">SQRT(($B104-BG$16)^2+($C104-BG$17)^2+($D104-BG$18)^2)</f>
        <v>5.41343315161851</v>
      </c>
      <c r="BH104" s="17" t="n">
        <f aca="false">SQRT(($B104-BH$16)^2+($C104-BH$17)^2+($D104-BH$18)^2)</f>
        <v>0.383570578642891</v>
      </c>
      <c r="BI104" s="17" t="n">
        <f aca="false">SQRT(($B104-BI$16)^2+($C104-BI$17)^2+($D104-BI$18)^2)</f>
        <v>1.85283713605453</v>
      </c>
      <c r="BJ104" s="63" t="n">
        <f aca="false">MATCH(MIN(BG104:BI104),BG104:BI104,0)</f>
        <v>2</v>
      </c>
      <c r="BL104" s="17" t="n">
        <f aca="false">SQRT(($B104-BL$16)^2+($C104-BL$17)^2+($D104-BL$18)^2)</f>
        <v>5.41343315161851</v>
      </c>
      <c r="BM104" s="17" t="n">
        <f aca="false">SQRT(($B104-BM$16)^2+($C104-BM$17)^2+($D104-BM$18)^2)</f>
        <v>0.383570578642891</v>
      </c>
      <c r="BN104" s="17" t="n">
        <f aca="false">SQRT(($B104-BN$16)^2+($C104-BN$17)^2+($D104-BN$18)^2)</f>
        <v>1.85283713605453</v>
      </c>
      <c r="BO104" s="63" t="n">
        <f aca="false">MATCH(MIN(BL104:BN104),BL104:BN104,0)</f>
        <v>2</v>
      </c>
      <c r="BQ104" s="17" t="n">
        <f aca="false">SQRT(($B104-BQ$16)^2+($C104-BQ$17)^2+($D104-BQ$18)^2)</f>
        <v>5.41343315161851</v>
      </c>
      <c r="BR104" s="17" t="n">
        <f aca="false">SQRT(($B104-BR$16)^2+($C104-BR$17)^2+($D104-BR$18)^2)</f>
        <v>0.383570578642891</v>
      </c>
      <c r="BS104" s="17" t="n">
        <f aca="false">SQRT(($B104-BS$16)^2+($C104-BS$17)^2+($D104-BS$18)^2)</f>
        <v>1.85283713605453</v>
      </c>
      <c r="BT104" s="63" t="n">
        <f aca="false">MATCH(MIN(BQ104:BS104),BQ104:BS104,0)</f>
        <v>2</v>
      </c>
      <c r="BV104" s="17" t="n">
        <f aca="false">SQRT(($B104-BV$16)^2+($C104-BV$17)^2+($D104-BV$18)^2)</f>
        <v>5.41343315161851</v>
      </c>
      <c r="BW104" s="17" t="n">
        <f aca="false">SQRT(($B104-BW$16)^2+($C104-BW$17)^2+($D104-BW$18)^2)</f>
        <v>0.383570578642891</v>
      </c>
      <c r="BX104" s="17" t="n">
        <f aca="false">SQRT(($B104-BX$16)^2+($C104-BX$17)^2+($D104-BX$18)^2)</f>
        <v>1.85283713605453</v>
      </c>
      <c r="BY104" s="63" t="n">
        <f aca="false">MATCH(MIN(BV104:BX104),BV104:BX104,0)</f>
        <v>2</v>
      </c>
      <c r="CA104" s="17" t="n">
        <f aca="false">SQRT(($B104-CA$16)^2+($C104-CA$17)^2+($D104-CA$18)^2)</f>
        <v>5.41343315161851</v>
      </c>
      <c r="CB104" s="17" t="n">
        <f aca="false">SQRT(($B104-CB$16)^2+($C104-CB$17)^2+($D104-CB$18)^2)</f>
        <v>0.383570578642891</v>
      </c>
      <c r="CC104" s="17" t="n">
        <f aca="false">SQRT(($B104-CC$16)^2+($C104-CC$17)^2+($D104-CC$18)^2)</f>
        <v>1.85283713605453</v>
      </c>
      <c r="CD104" s="63" t="n">
        <f aca="false">MATCH(MIN(CA104:CC104),CA104:CC104,0)</f>
        <v>2</v>
      </c>
    </row>
    <row r="105" customFormat="false" ht="15" hidden="false" customHeight="false" outlineLevel="0" collapsed="false">
      <c r="A105" s="36" t="str">
        <f aca="false">KMeans_Data!A87</f>
        <v>Ghizer</v>
      </c>
      <c r="B105" s="17" t="n">
        <f aca="false">KMeans_Data!H87</f>
        <v>-0.520549152721336</v>
      </c>
      <c r="C105" s="17" t="n">
        <f aca="false">KMeans_Data!I87</f>
        <v>-0.672650545388274</v>
      </c>
      <c r="D105" s="17" t="n">
        <f aca="false">KMeans_Data!J87</f>
        <v>-0.503247915463979</v>
      </c>
      <c r="E105" s="63" t="n">
        <f aca="false">CD105</f>
        <v>2</v>
      </c>
      <c r="F105" s="38" t="n">
        <f aca="false">($B105-INDEX($L$16:$N$16,E105))^2+($C105-INDEX($L$17:$N$17,E105))^2+($D105-INDEX($L$18:$N$18,E105))^2</f>
        <v>0.0730533715003849</v>
      </c>
      <c r="G105" s="12" t="str">
        <f aca="false">INDEX($M$5:$M$7,E105)</f>
        <v>Low burden</v>
      </c>
      <c r="H105" s="17" t="n">
        <f aca="false">IF(COUNTIF(Distance_Matrix!$E$9:$DQ$9,$E105)&lt;=1,0,SUMIF(Distance_Matrix!$E$9:$DQ$9,$E105,Distance_Matrix!$E$96:$DQ$96)/(COUNTIF(Distance_Matrix!$E$9:$DQ$9,$E105)-1))</f>
        <v>0.806252288486806</v>
      </c>
      <c r="I105" s="17" t="n">
        <f aca="false">MIN(IF(1=$E105,1E+099,IF(COUNTIF(Distance_Matrix!$E$9:$DQ$9,1)=0,1E+099,SUMIF(Distance_Matrix!$E$9:$DQ$9,1,Distance_Matrix!$E$96:$DQ$96)/COUNTIF(Distance_Matrix!$E$9:$DQ$9,1))),IF(2=$E105,1E+099,IF(COUNTIF(Distance_Matrix!$E$9:$DQ$9,2)=0,1E+099,SUMIF(Distance_Matrix!$E$9:$DQ$9,2,Distance_Matrix!$E$96:$DQ$96)/COUNTIF(Distance_Matrix!$E$9:$DQ$9,2))),IF(3=$E105,1E+099,IF(COUNTIF(Distance_Matrix!$E$9:$DQ$9,3)=0,1E+099,SUMIF(Distance_Matrix!$E$9:$DQ$9,3,Distance_Matrix!$E$96:$DQ$96)/COUNTIF(Distance_Matrix!$E$9:$DQ$9,3))))</f>
        <v>2.05822332981417</v>
      </c>
      <c r="J105" s="17" t="n">
        <f aca="false">IF(COUNTIF(Distance_Matrix!$E$9:$DQ$9,$E105)&lt;=1,0,(I105-H105)/MAX(H105,I105))</f>
        <v>0.608277548501212</v>
      </c>
      <c r="X105" s="17" t="n">
        <f aca="false">SQRT(($B105-X$16)^2+($C105-X$17)^2+($D105-X$18)^2)</f>
        <v>7.12084562266141</v>
      </c>
      <c r="Y105" s="17" t="n">
        <f aca="false">SQRT(($B105-Y$16)^2+($C105-Y$17)^2+($D105-Y$18)^2)</f>
        <v>1.68634002609964</v>
      </c>
      <c r="Z105" s="17" t="n">
        <f aca="false">SQRT(($B105-Z$16)^2+($C105-Z$17)^2+($D105-Z$18)^2)</f>
        <v>2.72536569763079</v>
      </c>
      <c r="AA105" s="63" t="n">
        <f aca="false">MATCH(MIN(X105:Z105),X105:Z105,0)</f>
        <v>2</v>
      </c>
      <c r="AC105" s="17" t="n">
        <f aca="false">SQRT(($B105-AC$16)^2+($C105-AC$17)^2+($D105-AC$18)^2)</f>
        <v>6.12695616080184</v>
      </c>
      <c r="AD105" s="17" t="n">
        <f aca="false">SQRT(($B105-AD$16)^2+($C105-AD$17)^2+($D105-AD$18)^2)</f>
        <v>0.405888835884694</v>
      </c>
      <c r="AE105" s="17" t="n">
        <f aca="false">SQRT(($B105-AE$16)^2+($C105-AE$17)^2+($D105-AE$18)^2)</f>
        <v>1.81607971808689</v>
      </c>
      <c r="AF105" s="63" t="n">
        <f aca="false">MATCH(MIN(AC105:AE105),AC105:AE105,0)</f>
        <v>2</v>
      </c>
      <c r="AH105" s="17" t="n">
        <f aca="false">SQRT(($B105-AH$16)^2+($C105-AH$17)^2+($D105-AH$18)^2)</f>
        <v>5.49046543488223</v>
      </c>
      <c r="AI105" s="17" t="n">
        <f aca="false">SQRT(($B105-AI$16)^2+($C105-AI$17)^2+($D105-AI$18)^2)</f>
        <v>0.283221957708256</v>
      </c>
      <c r="AJ105" s="17" t="n">
        <f aca="false">SQRT(($B105-AJ$16)^2+($C105-AJ$17)^2+($D105-AJ$18)^2)</f>
        <v>1.91824885420882</v>
      </c>
      <c r="AK105" s="63" t="n">
        <f aca="false">MATCH(MIN(AH105:AJ105),AH105:AJ105,0)</f>
        <v>2</v>
      </c>
      <c r="AM105" s="17" t="n">
        <f aca="false">SQRT(($B105-AM$16)^2+($C105-AM$17)^2+($D105-AM$18)^2)</f>
        <v>5.49046543488223</v>
      </c>
      <c r="AN105" s="17" t="n">
        <f aca="false">SQRT(($B105-AN$16)^2+($C105-AN$17)^2+($D105-AN$18)^2)</f>
        <v>0.270283872068581</v>
      </c>
      <c r="AO105" s="17" t="n">
        <f aca="false">SQRT(($B105-AO$16)^2+($C105-AO$17)^2+($D105-AO$18)^2)</f>
        <v>1.94235363810478</v>
      </c>
      <c r="AP105" s="63" t="n">
        <f aca="false">MATCH(MIN(AM105:AO105),AM105:AO105,0)</f>
        <v>2</v>
      </c>
      <c r="AR105" s="17" t="n">
        <f aca="false">SQRT(($B105-AR$16)^2+($C105-AR$17)^2+($D105-AR$18)^2)</f>
        <v>5.49046543488223</v>
      </c>
      <c r="AS105" s="17" t="n">
        <f aca="false">SQRT(($B105-AS$16)^2+($C105-AS$17)^2+($D105-AS$18)^2)</f>
        <v>0.270283872068581</v>
      </c>
      <c r="AT105" s="17" t="n">
        <f aca="false">SQRT(($B105-AT$16)^2+($C105-AT$17)^2+($D105-AT$18)^2)</f>
        <v>1.94235363810478</v>
      </c>
      <c r="AU105" s="63" t="n">
        <f aca="false">MATCH(MIN(AR105:AT105),AR105:AT105,0)</f>
        <v>2</v>
      </c>
      <c r="AW105" s="17" t="n">
        <f aca="false">SQRT(($B105-AW$16)^2+($C105-AW$17)^2+($D105-AW$18)^2)</f>
        <v>5.49046543488223</v>
      </c>
      <c r="AX105" s="17" t="n">
        <f aca="false">SQRT(($B105-AX$16)^2+($C105-AX$17)^2+($D105-AX$18)^2)</f>
        <v>0.270283872068581</v>
      </c>
      <c r="AY105" s="17" t="n">
        <f aca="false">SQRT(($B105-AY$16)^2+($C105-AY$17)^2+($D105-AY$18)^2)</f>
        <v>1.94235363810478</v>
      </c>
      <c r="AZ105" s="63" t="n">
        <f aca="false">MATCH(MIN(AW105:AY105),AW105:AY105,0)</f>
        <v>2</v>
      </c>
      <c r="BB105" s="17" t="n">
        <f aca="false">SQRT(($B105-BB$16)^2+($C105-BB$17)^2+($D105-BB$18)^2)</f>
        <v>5.49046543488223</v>
      </c>
      <c r="BC105" s="17" t="n">
        <f aca="false">SQRT(($B105-BC$16)^2+($C105-BC$17)^2+($D105-BC$18)^2)</f>
        <v>0.270283872068581</v>
      </c>
      <c r="BD105" s="17" t="n">
        <f aca="false">SQRT(($B105-BD$16)^2+($C105-BD$17)^2+($D105-BD$18)^2)</f>
        <v>1.94235363810478</v>
      </c>
      <c r="BE105" s="63" t="n">
        <f aca="false">MATCH(MIN(BB105:BD105),BB105:BD105,0)</f>
        <v>2</v>
      </c>
      <c r="BG105" s="17" t="n">
        <f aca="false">SQRT(($B105-BG$16)^2+($C105-BG$17)^2+($D105-BG$18)^2)</f>
        <v>5.49046543488223</v>
      </c>
      <c r="BH105" s="17" t="n">
        <f aca="false">SQRT(($B105-BH$16)^2+($C105-BH$17)^2+($D105-BH$18)^2)</f>
        <v>0.270283872068581</v>
      </c>
      <c r="BI105" s="17" t="n">
        <f aca="false">SQRT(($B105-BI$16)^2+($C105-BI$17)^2+($D105-BI$18)^2)</f>
        <v>1.94235363810478</v>
      </c>
      <c r="BJ105" s="63" t="n">
        <f aca="false">MATCH(MIN(BG105:BI105),BG105:BI105,0)</f>
        <v>2</v>
      </c>
      <c r="BL105" s="17" t="n">
        <f aca="false">SQRT(($B105-BL$16)^2+($C105-BL$17)^2+($D105-BL$18)^2)</f>
        <v>5.49046543488223</v>
      </c>
      <c r="BM105" s="17" t="n">
        <f aca="false">SQRT(($B105-BM$16)^2+($C105-BM$17)^2+($D105-BM$18)^2)</f>
        <v>0.270283872068581</v>
      </c>
      <c r="BN105" s="17" t="n">
        <f aca="false">SQRT(($B105-BN$16)^2+($C105-BN$17)^2+($D105-BN$18)^2)</f>
        <v>1.94235363810478</v>
      </c>
      <c r="BO105" s="63" t="n">
        <f aca="false">MATCH(MIN(BL105:BN105),BL105:BN105,0)</f>
        <v>2</v>
      </c>
      <c r="BQ105" s="17" t="n">
        <f aca="false">SQRT(($B105-BQ$16)^2+($C105-BQ$17)^2+($D105-BQ$18)^2)</f>
        <v>5.49046543488223</v>
      </c>
      <c r="BR105" s="17" t="n">
        <f aca="false">SQRT(($B105-BR$16)^2+($C105-BR$17)^2+($D105-BR$18)^2)</f>
        <v>0.270283872068581</v>
      </c>
      <c r="BS105" s="17" t="n">
        <f aca="false">SQRT(($B105-BS$16)^2+($C105-BS$17)^2+($D105-BS$18)^2)</f>
        <v>1.94235363810478</v>
      </c>
      <c r="BT105" s="63" t="n">
        <f aca="false">MATCH(MIN(BQ105:BS105),BQ105:BS105,0)</f>
        <v>2</v>
      </c>
      <c r="BV105" s="17" t="n">
        <f aca="false">SQRT(($B105-BV$16)^2+($C105-BV$17)^2+($D105-BV$18)^2)</f>
        <v>5.49046543488223</v>
      </c>
      <c r="BW105" s="17" t="n">
        <f aca="false">SQRT(($B105-BW$16)^2+($C105-BW$17)^2+($D105-BW$18)^2)</f>
        <v>0.270283872068581</v>
      </c>
      <c r="BX105" s="17" t="n">
        <f aca="false">SQRT(($B105-BX$16)^2+($C105-BX$17)^2+($D105-BX$18)^2)</f>
        <v>1.94235363810478</v>
      </c>
      <c r="BY105" s="63" t="n">
        <f aca="false">MATCH(MIN(BV105:BX105),BV105:BX105,0)</f>
        <v>2</v>
      </c>
      <c r="CA105" s="17" t="n">
        <f aca="false">SQRT(($B105-CA$16)^2+($C105-CA$17)^2+($D105-CA$18)^2)</f>
        <v>5.49046543488223</v>
      </c>
      <c r="CB105" s="17" t="n">
        <f aca="false">SQRT(($B105-CB$16)^2+($C105-CB$17)^2+($D105-CB$18)^2)</f>
        <v>0.270283872068581</v>
      </c>
      <c r="CC105" s="17" t="n">
        <f aca="false">SQRT(($B105-CC$16)^2+($C105-CC$17)^2+($D105-CC$18)^2)</f>
        <v>1.94235363810478</v>
      </c>
      <c r="CD105" s="63" t="n">
        <f aca="false">MATCH(MIN(CA105:CC105),CA105:CC105,0)</f>
        <v>2</v>
      </c>
    </row>
    <row r="106" customFormat="false" ht="15" hidden="false" customHeight="false" outlineLevel="0" collapsed="false">
      <c r="A106" s="36" t="str">
        <f aca="false">KMeans_Data!A88</f>
        <v>Mianwali</v>
      </c>
      <c r="B106" s="17" t="n">
        <f aca="false">KMeans_Data!H88</f>
        <v>-0.547245774552967</v>
      </c>
      <c r="C106" s="17" t="n">
        <f aca="false">KMeans_Data!I88</f>
        <v>-0.672650545388274</v>
      </c>
      <c r="D106" s="17" t="n">
        <f aca="false">KMeans_Data!J88</f>
        <v>-0.824446015898766</v>
      </c>
      <c r="E106" s="63" t="n">
        <f aca="false">CD106</f>
        <v>2</v>
      </c>
      <c r="F106" s="38" t="n">
        <f aca="false">($B106-INDEX($L$16:$N$16,E106))^2+($C106-INDEX($L$17:$N$17,E106))^2+($D106-INDEX($L$18:$N$18,E106))^2</f>
        <v>0.0175381679117834</v>
      </c>
      <c r="G106" s="12" t="str">
        <f aca="false">INDEX($M$5:$M$7,E106)</f>
        <v>Low burden</v>
      </c>
      <c r="H106" s="17" t="n">
        <f aca="false">IF(COUNTIF(Distance_Matrix!$E$9:$DQ$9,$E106)&lt;=1,0,SUMIF(Distance_Matrix!$E$9:$DQ$9,$E106,Distance_Matrix!$E$97:$DQ$97)/(COUNTIF(Distance_Matrix!$E$9:$DQ$9,$E106)-1))</f>
        <v>0.78259778853347</v>
      </c>
      <c r="I106" s="17" t="n">
        <f aca="false">MIN(IF(1=$E106,1E+099,IF(COUNTIF(Distance_Matrix!$E$9:$DQ$9,1)=0,1E+099,SUMIF(Distance_Matrix!$E$9:$DQ$9,1,Distance_Matrix!$E$97:$DQ$97)/COUNTIF(Distance_Matrix!$E$9:$DQ$9,1))),IF(2=$E106,1E+099,IF(COUNTIF(Distance_Matrix!$E$9:$DQ$9,2)=0,1E+099,SUMIF(Distance_Matrix!$E$9:$DQ$9,2,Distance_Matrix!$E$97:$DQ$97)/COUNTIF(Distance_Matrix!$E$9:$DQ$9,2))),IF(3=$E106,1E+099,IF(COUNTIF(Distance_Matrix!$E$9:$DQ$9,3)=0,1E+099,SUMIF(Distance_Matrix!$E$9:$DQ$9,3,Distance_Matrix!$E$97:$DQ$97)/COUNTIF(Distance_Matrix!$E$9:$DQ$9,3))))</f>
        <v>2.27784249977111</v>
      </c>
      <c r="J106" s="17" t="n">
        <f aca="false">IF(COUNTIF(Distance_Matrix!$E$9:$DQ$9,$E106)&lt;=1,0,(I106-H106)/MAX(H106,I106))</f>
        <v>0.656430245457222</v>
      </c>
      <c r="X106" s="17" t="n">
        <f aca="false">SQRT(($B106-X$16)^2+($C106-X$17)^2+($D106-X$18)^2)</f>
        <v>7.30929257984732</v>
      </c>
      <c r="Y106" s="17" t="n">
        <f aca="false">SQRT(($B106-Y$16)^2+($C106-Y$17)^2+($D106-Y$18)^2)</f>
        <v>1.56579072196957</v>
      </c>
      <c r="Z106" s="17" t="n">
        <f aca="false">SQRT(($B106-Z$16)^2+($C106-Z$17)^2+($D106-Z$18)^2)</f>
        <v>2.98036014715079</v>
      </c>
      <c r="AA106" s="63" t="n">
        <f aca="false">MATCH(MIN(X106:Z106),X106:Z106,0)</f>
        <v>2</v>
      </c>
      <c r="AC106" s="17" t="n">
        <f aca="false">SQRT(($B106-AC$16)^2+($C106-AC$17)^2+($D106-AC$18)^2)</f>
        <v>6.30410560506253</v>
      </c>
      <c r="AD106" s="17" t="n">
        <f aca="false">SQRT(($B106-AD$16)^2+($C106-AD$17)^2+($D106-AD$18)^2)</f>
        <v>0.219102795437625</v>
      </c>
      <c r="AE106" s="17" t="n">
        <f aca="false">SQRT(($B106-AE$16)^2+($C106-AE$17)^2+($D106-AE$18)^2)</f>
        <v>2.03909312343756</v>
      </c>
      <c r="AF106" s="63" t="n">
        <f aca="false">MATCH(MIN(AC106:AE106),AC106:AE106,0)</f>
        <v>2</v>
      </c>
      <c r="AH106" s="17" t="n">
        <f aca="false">SQRT(($B106-AH$16)^2+($C106-AH$17)^2+($D106-AH$18)^2)</f>
        <v>5.66866502337649</v>
      </c>
      <c r="AI106" s="17" t="n">
        <f aca="false">SQRT(($B106-AI$16)^2+($C106-AI$17)^2+($D106-AI$18)^2)</f>
        <v>0.123986035497945</v>
      </c>
      <c r="AJ106" s="17" t="n">
        <f aca="false">SQRT(($B106-AJ$16)^2+($C106-AJ$17)^2+($D106-AJ$18)^2)</f>
        <v>2.14582360908996</v>
      </c>
      <c r="AK106" s="63" t="n">
        <f aca="false">MATCH(MIN(AH106:AJ106),AH106:AJ106,0)</f>
        <v>2</v>
      </c>
      <c r="AM106" s="17" t="n">
        <f aca="false">SQRT(($B106-AM$16)^2+($C106-AM$17)^2+($D106-AM$18)^2)</f>
        <v>5.66866502337649</v>
      </c>
      <c r="AN106" s="17" t="n">
        <f aca="false">SQRT(($B106-AN$16)^2+($C106-AN$17)^2+($D106-AN$18)^2)</f>
        <v>0.132431748126284</v>
      </c>
      <c r="AO106" s="17" t="n">
        <f aca="false">SQRT(($B106-AO$16)^2+($C106-AO$17)^2+($D106-AO$18)^2)</f>
        <v>2.16933067166723</v>
      </c>
      <c r="AP106" s="63" t="n">
        <f aca="false">MATCH(MIN(AM106:AO106),AM106:AO106,0)</f>
        <v>2</v>
      </c>
      <c r="AR106" s="17" t="n">
        <f aca="false">SQRT(($B106-AR$16)^2+($C106-AR$17)^2+($D106-AR$18)^2)</f>
        <v>5.66866502337649</v>
      </c>
      <c r="AS106" s="17" t="n">
        <f aca="false">SQRT(($B106-AS$16)^2+($C106-AS$17)^2+($D106-AS$18)^2)</f>
        <v>0.132431748126284</v>
      </c>
      <c r="AT106" s="17" t="n">
        <f aca="false">SQRT(($B106-AT$16)^2+($C106-AT$17)^2+($D106-AT$18)^2)</f>
        <v>2.16933067166723</v>
      </c>
      <c r="AU106" s="63" t="n">
        <f aca="false">MATCH(MIN(AR106:AT106),AR106:AT106,0)</f>
        <v>2</v>
      </c>
      <c r="AW106" s="17" t="n">
        <f aca="false">SQRT(($B106-AW$16)^2+($C106-AW$17)^2+($D106-AW$18)^2)</f>
        <v>5.66866502337649</v>
      </c>
      <c r="AX106" s="17" t="n">
        <f aca="false">SQRT(($B106-AX$16)^2+($C106-AX$17)^2+($D106-AX$18)^2)</f>
        <v>0.132431748126284</v>
      </c>
      <c r="AY106" s="17" t="n">
        <f aca="false">SQRT(($B106-AY$16)^2+($C106-AY$17)^2+($D106-AY$18)^2)</f>
        <v>2.16933067166723</v>
      </c>
      <c r="AZ106" s="63" t="n">
        <f aca="false">MATCH(MIN(AW106:AY106),AW106:AY106,0)</f>
        <v>2</v>
      </c>
      <c r="BB106" s="17" t="n">
        <f aca="false">SQRT(($B106-BB$16)^2+($C106-BB$17)^2+($D106-BB$18)^2)</f>
        <v>5.66866502337649</v>
      </c>
      <c r="BC106" s="17" t="n">
        <f aca="false">SQRT(($B106-BC$16)^2+($C106-BC$17)^2+($D106-BC$18)^2)</f>
        <v>0.132431748126284</v>
      </c>
      <c r="BD106" s="17" t="n">
        <f aca="false">SQRT(($B106-BD$16)^2+($C106-BD$17)^2+($D106-BD$18)^2)</f>
        <v>2.16933067166723</v>
      </c>
      <c r="BE106" s="63" t="n">
        <f aca="false">MATCH(MIN(BB106:BD106),BB106:BD106,0)</f>
        <v>2</v>
      </c>
      <c r="BG106" s="17" t="n">
        <f aca="false">SQRT(($B106-BG$16)^2+($C106-BG$17)^2+($D106-BG$18)^2)</f>
        <v>5.66866502337649</v>
      </c>
      <c r="BH106" s="17" t="n">
        <f aca="false">SQRT(($B106-BH$16)^2+($C106-BH$17)^2+($D106-BH$18)^2)</f>
        <v>0.132431748126284</v>
      </c>
      <c r="BI106" s="17" t="n">
        <f aca="false">SQRT(($B106-BI$16)^2+($C106-BI$17)^2+($D106-BI$18)^2)</f>
        <v>2.16933067166723</v>
      </c>
      <c r="BJ106" s="63" t="n">
        <f aca="false">MATCH(MIN(BG106:BI106),BG106:BI106,0)</f>
        <v>2</v>
      </c>
      <c r="BL106" s="17" t="n">
        <f aca="false">SQRT(($B106-BL$16)^2+($C106-BL$17)^2+($D106-BL$18)^2)</f>
        <v>5.66866502337649</v>
      </c>
      <c r="BM106" s="17" t="n">
        <f aca="false">SQRT(($B106-BM$16)^2+($C106-BM$17)^2+($D106-BM$18)^2)</f>
        <v>0.132431748126284</v>
      </c>
      <c r="BN106" s="17" t="n">
        <f aca="false">SQRT(($B106-BN$16)^2+($C106-BN$17)^2+($D106-BN$18)^2)</f>
        <v>2.16933067166723</v>
      </c>
      <c r="BO106" s="63" t="n">
        <f aca="false">MATCH(MIN(BL106:BN106),BL106:BN106,0)</f>
        <v>2</v>
      </c>
      <c r="BQ106" s="17" t="n">
        <f aca="false">SQRT(($B106-BQ$16)^2+($C106-BQ$17)^2+($D106-BQ$18)^2)</f>
        <v>5.66866502337649</v>
      </c>
      <c r="BR106" s="17" t="n">
        <f aca="false">SQRT(($B106-BR$16)^2+($C106-BR$17)^2+($D106-BR$18)^2)</f>
        <v>0.132431748126284</v>
      </c>
      <c r="BS106" s="17" t="n">
        <f aca="false">SQRT(($B106-BS$16)^2+($C106-BS$17)^2+($D106-BS$18)^2)</f>
        <v>2.16933067166723</v>
      </c>
      <c r="BT106" s="63" t="n">
        <f aca="false">MATCH(MIN(BQ106:BS106),BQ106:BS106,0)</f>
        <v>2</v>
      </c>
      <c r="BV106" s="17" t="n">
        <f aca="false">SQRT(($B106-BV$16)^2+($C106-BV$17)^2+($D106-BV$18)^2)</f>
        <v>5.66866502337649</v>
      </c>
      <c r="BW106" s="17" t="n">
        <f aca="false">SQRT(($B106-BW$16)^2+($C106-BW$17)^2+($D106-BW$18)^2)</f>
        <v>0.132431748126284</v>
      </c>
      <c r="BX106" s="17" t="n">
        <f aca="false">SQRT(($B106-BX$16)^2+($C106-BX$17)^2+($D106-BX$18)^2)</f>
        <v>2.16933067166723</v>
      </c>
      <c r="BY106" s="63" t="n">
        <f aca="false">MATCH(MIN(BV106:BX106),BV106:BX106,0)</f>
        <v>2</v>
      </c>
      <c r="CA106" s="17" t="n">
        <f aca="false">SQRT(($B106-CA$16)^2+($C106-CA$17)^2+($D106-CA$18)^2)</f>
        <v>5.66866502337649</v>
      </c>
      <c r="CB106" s="17" t="n">
        <f aca="false">SQRT(($B106-CB$16)^2+($C106-CB$17)^2+($D106-CB$18)^2)</f>
        <v>0.132431748126284</v>
      </c>
      <c r="CC106" s="17" t="n">
        <f aca="false">SQRT(($B106-CC$16)^2+($C106-CC$17)^2+($D106-CC$18)^2)</f>
        <v>2.16933067166723</v>
      </c>
      <c r="CD106" s="63" t="n">
        <f aca="false">MATCH(MIN(CA106:CC106),CA106:CC106,0)</f>
        <v>2</v>
      </c>
    </row>
    <row r="107" customFormat="false" ht="15" hidden="false" customHeight="false" outlineLevel="0" collapsed="false">
      <c r="A107" s="36" t="str">
        <f aca="false">KMeans_Data!A89</f>
        <v>Kharmang</v>
      </c>
      <c r="B107" s="17" t="n">
        <f aca="false">KMeans_Data!H89</f>
        <v>-0.605135382814146</v>
      </c>
      <c r="C107" s="17" t="n">
        <f aca="false">KMeans_Data!I89</f>
        <v>-0.672650545388274</v>
      </c>
      <c r="D107" s="17" t="n">
        <f aca="false">KMeans_Data!J89</f>
        <v>-0.0344812518432112</v>
      </c>
      <c r="E107" s="63" t="n">
        <f aca="false">CD107</f>
        <v>2</v>
      </c>
      <c r="F107" s="38" t="n">
        <f aca="false">($B107-INDEX($L$16:$N$16,E107))^2+($C107-INDEX($L$17:$N$17,E107))^2+($D107-INDEX($L$18:$N$18,E107))^2</f>
        <v>0.503639849408317</v>
      </c>
      <c r="G107" s="12" t="str">
        <f aca="false">INDEX($M$5:$M$7,E107)</f>
        <v>Low burden</v>
      </c>
      <c r="H107" s="17" t="n">
        <f aca="false">IF(COUNTIF(Distance_Matrix!$E$9:$DQ$9,$E107)&lt;=1,0,SUMIF(Distance_Matrix!$E$9:$DQ$9,$E107,Distance_Matrix!$E$98:$DQ$98)/(COUNTIF(Distance_Matrix!$E$9:$DQ$9,$E107)-1))</f>
        <v>1.0062176700222</v>
      </c>
      <c r="I107" s="17" t="n">
        <f aca="false">MIN(IF(1=$E107,1E+099,IF(COUNTIF(Distance_Matrix!$E$9:$DQ$9,1)=0,1E+099,SUMIF(Distance_Matrix!$E$9:$DQ$9,1,Distance_Matrix!$E$98:$DQ$98)/COUNTIF(Distance_Matrix!$E$9:$DQ$9,1))),IF(2=$E107,1E+099,IF(COUNTIF(Distance_Matrix!$E$9:$DQ$9,2)=0,1E+099,SUMIF(Distance_Matrix!$E$9:$DQ$9,2,Distance_Matrix!$E$98:$DQ$98)/COUNTIF(Distance_Matrix!$E$9:$DQ$9,2))),IF(3=$E107,1E+099,IF(COUNTIF(Distance_Matrix!$E$9:$DQ$9,3)=0,1E+099,SUMIF(Distance_Matrix!$E$9:$DQ$9,3,Distance_Matrix!$E$98:$DQ$98)/COUNTIF(Distance_Matrix!$E$9:$DQ$9,3))))</f>
        <v>1.86497590156703</v>
      </c>
      <c r="J107" s="17" t="n">
        <f aca="false">IF(COUNTIF(Distance_Matrix!$E$9:$DQ$9,$E107)&lt;=1,0,(I107-H107)/MAX(H107,I107))</f>
        <v>0.460466127644471</v>
      </c>
      <c r="X107" s="17" t="n">
        <f aca="false">SQRT(($B107-X$16)^2+($C107-X$17)^2+($D107-X$18)^2)</f>
        <v>6.93209827157873</v>
      </c>
      <c r="Y107" s="17" t="n">
        <f aca="false">SQRT(($B107-Y$16)^2+($C107-Y$17)^2+($D107-Y$18)^2)</f>
        <v>1.84638450393411</v>
      </c>
      <c r="Z107" s="17" t="n">
        <f aca="false">SQRT(($B107-Z$16)^2+($C107-Z$17)^2+($D107-Z$18)^2)</f>
        <v>2.4632705018895</v>
      </c>
      <c r="AA107" s="63" t="n">
        <f aca="false">MATCH(MIN(X107:Z107),X107:Z107,0)</f>
        <v>2</v>
      </c>
      <c r="AC107" s="17" t="n">
        <f aca="false">SQRT(($B107-AC$16)^2+($C107-AC$17)^2+($D107-AC$18)^2)</f>
        <v>5.96043704790862</v>
      </c>
      <c r="AD107" s="17" t="n">
        <f aca="false">SQRT(($B107-AD$16)^2+($C107-AD$17)^2+($D107-AD$18)^2)</f>
        <v>0.808314704569214</v>
      </c>
      <c r="AE107" s="17" t="n">
        <f aca="false">SQRT(($B107-AE$16)^2+($C107-AE$17)^2+($D107-AE$18)^2)</f>
        <v>1.63595287270052</v>
      </c>
      <c r="AF107" s="63" t="n">
        <f aca="false">MATCH(MIN(AC107:AE107),AC107:AE107,0)</f>
        <v>2</v>
      </c>
      <c r="AH107" s="17" t="n">
        <f aca="false">SQRT(($B107-AH$16)^2+($C107-AH$17)^2+($D107-AH$18)^2)</f>
        <v>5.32576469723601</v>
      </c>
      <c r="AI107" s="17" t="n">
        <f aca="false">SQRT(($B107-AI$16)^2+($C107-AI$17)^2+($D107-AI$18)^2)</f>
        <v>0.723521644293778</v>
      </c>
      <c r="AJ107" s="17" t="n">
        <f aca="false">SQRT(($B107-AJ$16)^2+($C107-AJ$17)^2+($D107-AJ$18)^2)</f>
        <v>1.72116793834293</v>
      </c>
      <c r="AK107" s="63" t="n">
        <f aca="false">MATCH(MIN(AH107:AJ107),AH107:AJ107,0)</f>
        <v>2</v>
      </c>
      <c r="AM107" s="17" t="n">
        <f aca="false">SQRT(($B107-AM$16)^2+($C107-AM$17)^2+($D107-AM$18)^2)</f>
        <v>5.32576469723601</v>
      </c>
      <c r="AN107" s="17" t="n">
        <f aca="false">SQRT(($B107-AN$16)^2+($C107-AN$17)^2+($D107-AN$18)^2)</f>
        <v>0.709675876304329</v>
      </c>
      <c r="AO107" s="17" t="n">
        <f aca="false">SQRT(($B107-AO$16)^2+($C107-AO$17)^2+($D107-AO$18)^2)</f>
        <v>1.74583677731187</v>
      </c>
      <c r="AP107" s="63" t="n">
        <f aca="false">MATCH(MIN(AM107:AO107),AM107:AO107,0)</f>
        <v>2</v>
      </c>
      <c r="AR107" s="17" t="n">
        <f aca="false">SQRT(($B107-AR$16)^2+($C107-AR$17)^2+($D107-AR$18)^2)</f>
        <v>5.32576469723601</v>
      </c>
      <c r="AS107" s="17" t="n">
        <f aca="false">SQRT(($B107-AS$16)^2+($C107-AS$17)^2+($D107-AS$18)^2)</f>
        <v>0.709675876304329</v>
      </c>
      <c r="AT107" s="17" t="n">
        <f aca="false">SQRT(($B107-AT$16)^2+($C107-AT$17)^2+($D107-AT$18)^2)</f>
        <v>1.74583677731187</v>
      </c>
      <c r="AU107" s="63" t="n">
        <f aca="false">MATCH(MIN(AR107:AT107),AR107:AT107,0)</f>
        <v>2</v>
      </c>
      <c r="AW107" s="17" t="n">
        <f aca="false">SQRT(($B107-AW$16)^2+($C107-AW$17)^2+($D107-AW$18)^2)</f>
        <v>5.32576469723601</v>
      </c>
      <c r="AX107" s="17" t="n">
        <f aca="false">SQRT(($B107-AX$16)^2+($C107-AX$17)^2+($D107-AX$18)^2)</f>
        <v>0.709675876304329</v>
      </c>
      <c r="AY107" s="17" t="n">
        <f aca="false">SQRT(($B107-AY$16)^2+($C107-AY$17)^2+($D107-AY$18)^2)</f>
        <v>1.74583677731187</v>
      </c>
      <c r="AZ107" s="63" t="n">
        <f aca="false">MATCH(MIN(AW107:AY107),AW107:AY107,0)</f>
        <v>2</v>
      </c>
      <c r="BB107" s="17" t="n">
        <f aca="false">SQRT(($B107-BB$16)^2+($C107-BB$17)^2+($D107-BB$18)^2)</f>
        <v>5.32576469723601</v>
      </c>
      <c r="BC107" s="17" t="n">
        <f aca="false">SQRT(($B107-BC$16)^2+($C107-BC$17)^2+($D107-BC$18)^2)</f>
        <v>0.709675876304329</v>
      </c>
      <c r="BD107" s="17" t="n">
        <f aca="false">SQRT(($B107-BD$16)^2+($C107-BD$17)^2+($D107-BD$18)^2)</f>
        <v>1.74583677731187</v>
      </c>
      <c r="BE107" s="63" t="n">
        <f aca="false">MATCH(MIN(BB107:BD107),BB107:BD107,0)</f>
        <v>2</v>
      </c>
      <c r="BG107" s="17" t="n">
        <f aca="false">SQRT(($B107-BG$16)^2+($C107-BG$17)^2+($D107-BG$18)^2)</f>
        <v>5.32576469723601</v>
      </c>
      <c r="BH107" s="17" t="n">
        <f aca="false">SQRT(($B107-BH$16)^2+($C107-BH$17)^2+($D107-BH$18)^2)</f>
        <v>0.709675876304329</v>
      </c>
      <c r="BI107" s="17" t="n">
        <f aca="false">SQRT(($B107-BI$16)^2+($C107-BI$17)^2+($D107-BI$18)^2)</f>
        <v>1.74583677731187</v>
      </c>
      <c r="BJ107" s="63" t="n">
        <f aca="false">MATCH(MIN(BG107:BI107),BG107:BI107,0)</f>
        <v>2</v>
      </c>
      <c r="BL107" s="17" t="n">
        <f aca="false">SQRT(($B107-BL$16)^2+($C107-BL$17)^2+($D107-BL$18)^2)</f>
        <v>5.32576469723601</v>
      </c>
      <c r="BM107" s="17" t="n">
        <f aca="false">SQRT(($B107-BM$16)^2+($C107-BM$17)^2+($D107-BM$18)^2)</f>
        <v>0.709675876304329</v>
      </c>
      <c r="BN107" s="17" t="n">
        <f aca="false">SQRT(($B107-BN$16)^2+($C107-BN$17)^2+($D107-BN$18)^2)</f>
        <v>1.74583677731187</v>
      </c>
      <c r="BO107" s="63" t="n">
        <f aca="false">MATCH(MIN(BL107:BN107),BL107:BN107,0)</f>
        <v>2</v>
      </c>
      <c r="BQ107" s="17" t="n">
        <f aca="false">SQRT(($B107-BQ$16)^2+($C107-BQ$17)^2+($D107-BQ$18)^2)</f>
        <v>5.32576469723601</v>
      </c>
      <c r="BR107" s="17" t="n">
        <f aca="false">SQRT(($B107-BR$16)^2+($C107-BR$17)^2+($D107-BR$18)^2)</f>
        <v>0.709675876304329</v>
      </c>
      <c r="BS107" s="17" t="n">
        <f aca="false">SQRT(($B107-BS$16)^2+($C107-BS$17)^2+($D107-BS$18)^2)</f>
        <v>1.74583677731187</v>
      </c>
      <c r="BT107" s="63" t="n">
        <f aca="false">MATCH(MIN(BQ107:BS107),BQ107:BS107,0)</f>
        <v>2</v>
      </c>
      <c r="BV107" s="17" t="n">
        <f aca="false">SQRT(($B107-BV$16)^2+($C107-BV$17)^2+($D107-BV$18)^2)</f>
        <v>5.32576469723601</v>
      </c>
      <c r="BW107" s="17" t="n">
        <f aca="false">SQRT(($B107-BW$16)^2+($C107-BW$17)^2+($D107-BW$18)^2)</f>
        <v>0.709675876304329</v>
      </c>
      <c r="BX107" s="17" t="n">
        <f aca="false">SQRT(($B107-BX$16)^2+($C107-BX$17)^2+($D107-BX$18)^2)</f>
        <v>1.74583677731187</v>
      </c>
      <c r="BY107" s="63" t="n">
        <f aca="false">MATCH(MIN(BV107:BX107),BV107:BX107,0)</f>
        <v>2</v>
      </c>
      <c r="CA107" s="17" t="n">
        <f aca="false">SQRT(($B107-CA$16)^2+($C107-CA$17)^2+($D107-CA$18)^2)</f>
        <v>5.32576469723601</v>
      </c>
      <c r="CB107" s="17" t="n">
        <f aca="false">SQRT(($B107-CB$16)^2+($C107-CB$17)^2+($D107-CB$18)^2)</f>
        <v>0.709675876304329</v>
      </c>
      <c r="CC107" s="17" t="n">
        <f aca="false">SQRT(($B107-CC$16)^2+($C107-CC$17)^2+($D107-CC$18)^2)</f>
        <v>1.74583677731187</v>
      </c>
      <c r="CD107" s="63" t="n">
        <f aca="false">MATCH(MIN(CA107:CC107),CA107:CC107,0)</f>
        <v>2</v>
      </c>
    </row>
    <row r="108" customFormat="false" ht="15" hidden="false" customHeight="false" outlineLevel="0" collapsed="false">
      <c r="A108" s="36" t="str">
        <f aca="false">KMeans_Data!A90</f>
        <v>Attock</v>
      </c>
      <c r="B108" s="17" t="n">
        <f aca="false">KMeans_Data!H90</f>
        <v>-0.636688680796734</v>
      </c>
      <c r="C108" s="17" t="n">
        <f aca="false">KMeans_Data!I90</f>
        <v>-0.672650545388274</v>
      </c>
      <c r="D108" s="17" t="n">
        <f aca="false">KMeans_Data!J90</f>
        <v>-1.14564411633355</v>
      </c>
      <c r="E108" s="63" t="n">
        <f aca="false">CD108</f>
        <v>2</v>
      </c>
      <c r="F108" s="38" t="n">
        <f aca="false">($B108-INDEX($L$16:$N$16,E108))^2+($C108-INDEX($L$17:$N$17,E108))^2+($D108-INDEX($L$18:$N$18,E108))^2</f>
        <v>0.165725507080435</v>
      </c>
      <c r="G108" s="12" t="str">
        <f aca="false">INDEX($M$5:$M$7,E108)</f>
        <v>Low burden</v>
      </c>
      <c r="H108" s="17" t="n">
        <f aca="false">IF(COUNTIF(Distance_Matrix!$E$9:$DQ$9,$E108)&lt;=1,0,SUMIF(Distance_Matrix!$E$9:$DQ$9,$E108,Distance_Matrix!$E$99:$DQ$99)/(COUNTIF(Distance_Matrix!$E$9:$DQ$9,$E108)-1))</f>
        <v>0.848078879290887</v>
      </c>
      <c r="I108" s="17" t="n">
        <f aca="false">MIN(IF(1=$E108,1E+099,IF(COUNTIF(Distance_Matrix!$E$9:$DQ$9,1)=0,1E+099,SUMIF(Distance_Matrix!$E$9:$DQ$9,1,Distance_Matrix!$E$99:$DQ$99)/COUNTIF(Distance_Matrix!$E$9:$DQ$9,1))),IF(2=$E108,1E+099,IF(COUNTIF(Distance_Matrix!$E$9:$DQ$9,2)=0,1E+099,SUMIF(Distance_Matrix!$E$9:$DQ$9,2,Distance_Matrix!$E$99:$DQ$99)/COUNTIF(Distance_Matrix!$E$9:$DQ$9,2))),IF(3=$E108,1E+099,IF(COUNTIF(Distance_Matrix!$E$9:$DQ$9,3)=0,1E+099,SUMIF(Distance_Matrix!$E$9:$DQ$9,3,Distance_Matrix!$E$99:$DQ$99)/COUNTIF(Distance_Matrix!$E$9:$DQ$9,3))))</f>
        <v>2.54644227138891</v>
      </c>
      <c r="J108" s="17" t="n">
        <f aca="false">IF(COUNTIF(Distance_Matrix!$E$9:$DQ$9,$E108)&lt;=1,0,(I108-H108)/MAX(H108,I108))</f>
        <v>0.666955387593249</v>
      </c>
      <c r="X108" s="17" t="n">
        <f aca="false">SQRT(($B108-X$16)^2+($C108-X$17)^2+($D108-X$18)^2)</f>
        <v>7.53921080313601</v>
      </c>
      <c r="Y108" s="17" t="n">
        <f aca="false">SQRT(($B108-Y$16)^2+($C108-Y$17)^2+($D108-Y$18)^2)</f>
        <v>1.44304930100659</v>
      </c>
      <c r="Z108" s="17" t="n">
        <f aca="false">SQRT(($B108-Z$16)^2+($C108-Z$17)^2+($D108-Z$18)^2)</f>
        <v>3.27892933089661</v>
      </c>
      <c r="AA108" s="63" t="n">
        <f aca="false">MATCH(MIN(X108:Z108),X108:Z108,0)</f>
        <v>2</v>
      </c>
      <c r="AC108" s="17" t="n">
        <f aca="false">SQRT(($B108-AC$16)^2+($C108-AC$17)^2+($D108-AC$18)^2)</f>
        <v>6.52534141564888</v>
      </c>
      <c r="AD108" s="17" t="n">
        <f aca="false">SQRT(($B108-AD$16)^2+($C108-AD$17)^2+($D108-AD$18)^2)</f>
        <v>0.345059687674992</v>
      </c>
      <c r="AE108" s="17" t="n">
        <f aca="false">SQRT(($B108-AE$16)^2+($C108-AE$17)^2+($D108-AE$18)^2)</f>
        <v>2.31630756294716</v>
      </c>
      <c r="AF108" s="63" t="n">
        <f aca="false">MATCH(MIN(AC108:AE108),AC108:AE108,0)</f>
        <v>2</v>
      </c>
      <c r="AH108" s="17" t="n">
        <f aca="false">SQRT(($B108-AH$16)^2+($C108-AH$17)^2+($D108-AH$18)^2)</f>
        <v>5.89216947867015</v>
      </c>
      <c r="AI108" s="17" t="n">
        <f aca="false">SQRT(($B108-AI$16)^2+($C108-AI$17)^2+($D108-AI$18)^2)</f>
        <v>0.392123473173896</v>
      </c>
      <c r="AJ108" s="17" t="n">
        <f aca="false">SQRT(($B108-AJ$16)^2+($C108-AJ$17)^2+($D108-AJ$18)^2)</f>
        <v>2.42422268593325</v>
      </c>
      <c r="AK108" s="63" t="n">
        <f aca="false">MATCH(MIN(AH108:AJ108),AH108:AJ108,0)</f>
        <v>2</v>
      </c>
      <c r="AM108" s="17" t="n">
        <f aca="false">SQRT(($B108-AM$16)^2+($C108-AM$17)^2+($D108-AM$18)^2)</f>
        <v>5.89216947867015</v>
      </c>
      <c r="AN108" s="17" t="n">
        <f aca="false">SQRT(($B108-AN$16)^2+($C108-AN$17)^2+($D108-AN$18)^2)</f>
        <v>0.407093978192303</v>
      </c>
      <c r="AO108" s="17" t="n">
        <f aca="false">SQRT(($B108-AO$16)^2+($C108-AO$17)^2+($D108-AO$18)^2)</f>
        <v>2.44725439228624</v>
      </c>
      <c r="AP108" s="63" t="n">
        <f aca="false">MATCH(MIN(AM108:AO108),AM108:AO108,0)</f>
        <v>2</v>
      </c>
      <c r="AR108" s="17" t="n">
        <f aca="false">SQRT(($B108-AR$16)^2+($C108-AR$17)^2+($D108-AR$18)^2)</f>
        <v>5.89216947867015</v>
      </c>
      <c r="AS108" s="17" t="n">
        <f aca="false">SQRT(($B108-AS$16)^2+($C108-AS$17)^2+($D108-AS$18)^2)</f>
        <v>0.407093978192303</v>
      </c>
      <c r="AT108" s="17" t="n">
        <f aca="false">SQRT(($B108-AT$16)^2+($C108-AT$17)^2+($D108-AT$18)^2)</f>
        <v>2.44725439228624</v>
      </c>
      <c r="AU108" s="63" t="n">
        <f aca="false">MATCH(MIN(AR108:AT108),AR108:AT108,0)</f>
        <v>2</v>
      </c>
      <c r="AW108" s="17" t="n">
        <f aca="false">SQRT(($B108-AW$16)^2+($C108-AW$17)^2+($D108-AW$18)^2)</f>
        <v>5.89216947867015</v>
      </c>
      <c r="AX108" s="17" t="n">
        <f aca="false">SQRT(($B108-AX$16)^2+($C108-AX$17)^2+($D108-AX$18)^2)</f>
        <v>0.407093978192303</v>
      </c>
      <c r="AY108" s="17" t="n">
        <f aca="false">SQRT(($B108-AY$16)^2+($C108-AY$17)^2+($D108-AY$18)^2)</f>
        <v>2.44725439228624</v>
      </c>
      <c r="AZ108" s="63" t="n">
        <f aca="false">MATCH(MIN(AW108:AY108),AW108:AY108,0)</f>
        <v>2</v>
      </c>
      <c r="BB108" s="17" t="n">
        <f aca="false">SQRT(($B108-BB$16)^2+($C108-BB$17)^2+($D108-BB$18)^2)</f>
        <v>5.89216947867015</v>
      </c>
      <c r="BC108" s="17" t="n">
        <f aca="false">SQRT(($B108-BC$16)^2+($C108-BC$17)^2+($D108-BC$18)^2)</f>
        <v>0.407093978192303</v>
      </c>
      <c r="BD108" s="17" t="n">
        <f aca="false">SQRT(($B108-BD$16)^2+($C108-BD$17)^2+($D108-BD$18)^2)</f>
        <v>2.44725439228624</v>
      </c>
      <c r="BE108" s="63" t="n">
        <f aca="false">MATCH(MIN(BB108:BD108),BB108:BD108,0)</f>
        <v>2</v>
      </c>
      <c r="BG108" s="17" t="n">
        <f aca="false">SQRT(($B108-BG$16)^2+($C108-BG$17)^2+($D108-BG$18)^2)</f>
        <v>5.89216947867015</v>
      </c>
      <c r="BH108" s="17" t="n">
        <f aca="false">SQRT(($B108-BH$16)^2+($C108-BH$17)^2+($D108-BH$18)^2)</f>
        <v>0.407093978192303</v>
      </c>
      <c r="BI108" s="17" t="n">
        <f aca="false">SQRT(($B108-BI$16)^2+($C108-BI$17)^2+($D108-BI$18)^2)</f>
        <v>2.44725439228624</v>
      </c>
      <c r="BJ108" s="63" t="n">
        <f aca="false">MATCH(MIN(BG108:BI108),BG108:BI108,0)</f>
        <v>2</v>
      </c>
      <c r="BL108" s="17" t="n">
        <f aca="false">SQRT(($B108-BL$16)^2+($C108-BL$17)^2+($D108-BL$18)^2)</f>
        <v>5.89216947867015</v>
      </c>
      <c r="BM108" s="17" t="n">
        <f aca="false">SQRT(($B108-BM$16)^2+($C108-BM$17)^2+($D108-BM$18)^2)</f>
        <v>0.407093978192303</v>
      </c>
      <c r="BN108" s="17" t="n">
        <f aca="false">SQRT(($B108-BN$16)^2+($C108-BN$17)^2+($D108-BN$18)^2)</f>
        <v>2.44725439228624</v>
      </c>
      <c r="BO108" s="63" t="n">
        <f aca="false">MATCH(MIN(BL108:BN108),BL108:BN108,0)</f>
        <v>2</v>
      </c>
      <c r="BQ108" s="17" t="n">
        <f aca="false">SQRT(($B108-BQ$16)^2+($C108-BQ$17)^2+($D108-BQ$18)^2)</f>
        <v>5.89216947867015</v>
      </c>
      <c r="BR108" s="17" t="n">
        <f aca="false">SQRT(($B108-BR$16)^2+($C108-BR$17)^2+($D108-BR$18)^2)</f>
        <v>0.407093978192303</v>
      </c>
      <c r="BS108" s="17" t="n">
        <f aca="false">SQRT(($B108-BS$16)^2+($C108-BS$17)^2+($D108-BS$18)^2)</f>
        <v>2.44725439228624</v>
      </c>
      <c r="BT108" s="63" t="n">
        <f aca="false">MATCH(MIN(BQ108:BS108),BQ108:BS108,0)</f>
        <v>2</v>
      </c>
      <c r="BV108" s="17" t="n">
        <f aca="false">SQRT(($B108-BV$16)^2+($C108-BV$17)^2+($D108-BV$18)^2)</f>
        <v>5.89216947867015</v>
      </c>
      <c r="BW108" s="17" t="n">
        <f aca="false">SQRT(($B108-BW$16)^2+($C108-BW$17)^2+($D108-BW$18)^2)</f>
        <v>0.407093978192303</v>
      </c>
      <c r="BX108" s="17" t="n">
        <f aca="false">SQRT(($B108-BX$16)^2+($C108-BX$17)^2+($D108-BX$18)^2)</f>
        <v>2.44725439228624</v>
      </c>
      <c r="BY108" s="63" t="n">
        <f aca="false">MATCH(MIN(BV108:BX108),BV108:BX108,0)</f>
        <v>2</v>
      </c>
      <c r="CA108" s="17" t="n">
        <f aca="false">SQRT(($B108-CA$16)^2+($C108-CA$17)^2+($D108-CA$18)^2)</f>
        <v>5.89216947867015</v>
      </c>
      <c r="CB108" s="17" t="n">
        <f aca="false">SQRT(($B108-CB$16)^2+($C108-CB$17)^2+($D108-CB$18)^2)</f>
        <v>0.407093978192303</v>
      </c>
      <c r="CC108" s="17" t="n">
        <f aca="false">SQRT(($B108-CC$16)^2+($C108-CC$17)^2+($D108-CC$18)^2)</f>
        <v>2.44725439228624</v>
      </c>
      <c r="CD108" s="63" t="n">
        <f aca="false">MATCH(MIN(CA108:CC108),CA108:CC108,0)</f>
        <v>2</v>
      </c>
    </row>
    <row r="109" customFormat="false" ht="15" hidden="false" customHeight="false" outlineLevel="0" collapsed="false">
      <c r="A109" s="36" t="str">
        <f aca="false">KMeans_Data!A91</f>
        <v>Chitral Upper</v>
      </c>
      <c r="B109" s="17" t="n">
        <f aca="false">KMeans_Data!H91</f>
        <v>-0.636688680796734</v>
      </c>
      <c r="C109" s="17" t="n">
        <f aca="false">KMeans_Data!I91</f>
        <v>-0.672650545388274</v>
      </c>
      <c r="D109" s="17" t="n">
        <f aca="false">KMeans_Data!J91</f>
        <v>-0.31535907140676</v>
      </c>
      <c r="E109" s="63" t="n">
        <f aca="false">CD109</f>
        <v>2</v>
      </c>
      <c r="F109" s="38" t="n">
        <f aca="false">($B109-INDEX($L$16:$N$16,E109))^2+($C109-INDEX($L$17:$N$17,E109))^2+($D109-INDEX($L$18:$N$18,E109))^2</f>
        <v>0.184223928926802</v>
      </c>
      <c r="G109" s="12" t="str">
        <f aca="false">INDEX($M$5:$M$7,E109)</f>
        <v>Low burden</v>
      </c>
      <c r="H109" s="17" t="n">
        <f aca="false">IF(COUNTIF(Distance_Matrix!$E$9:$DQ$9,$E109)&lt;=1,0,SUMIF(Distance_Matrix!$E$9:$DQ$9,$E109,Distance_Matrix!$E$100:$DQ$100)/(COUNTIF(Distance_Matrix!$E$9:$DQ$9,$E109)-1))</f>
        <v>0.861038201119416</v>
      </c>
      <c r="I109" s="17" t="n">
        <f aca="false">MIN(IF(1=$E109,1E+099,IF(COUNTIF(Distance_Matrix!$E$9:$DQ$9,1)=0,1E+099,SUMIF(Distance_Matrix!$E$9:$DQ$9,1,Distance_Matrix!$E$100:$DQ$100)/COUNTIF(Distance_Matrix!$E$9:$DQ$9,1))),IF(2=$E109,1E+099,IF(COUNTIF(Distance_Matrix!$E$9:$DQ$9,2)=0,1E+099,SUMIF(Distance_Matrix!$E$9:$DQ$9,2,Distance_Matrix!$E$100:$DQ$100)/COUNTIF(Distance_Matrix!$E$9:$DQ$9,2))),IF(3=$E109,1E+099,IF(COUNTIF(Distance_Matrix!$E$9:$DQ$9,3)=0,1E+099,SUMIF(Distance_Matrix!$E$9:$DQ$9,3,Distance_Matrix!$E$100:$DQ$100)/COUNTIF(Distance_Matrix!$E$9:$DQ$9,3))))</f>
        <v>2.01487159863379</v>
      </c>
      <c r="J109" s="17" t="n">
        <f aca="false">IF(COUNTIF(Distance_Matrix!$E$9:$DQ$9,$E109)&lt;=1,0,(I109-H109)/MAX(H109,I109))</f>
        <v>0.572658524889004</v>
      </c>
      <c r="X109" s="17" t="n">
        <f aca="false">SQRT(($B109-X$16)^2+($C109-X$17)^2+($D109-X$18)^2)</f>
        <v>7.08698051014777</v>
      </c>
      <c r="Y109" s="17" t="n">
        <f aca="false">SQRT(($B109-Y$16)^2+($C109-Y$17)^2+($D109-Y$18)^2)</f>
        <v>1.66486171827113</v>
      </c>
      <c r="Z109" s="17" t="n">
        <f aca="false">SQRT(($B109-Z$16)^2+($C109-Z$17)^2+($D109-Z$18)^2)</f>
        <v>2.66394791513506</v>
      </c>
      <c r="AA109" s="63" t="n">
        <f aca="false">MATCH(MIN(X109:Z109),X109:Z109,0)</f>
        <v>2</v>
      </c>
      <c r="AC109" s="17" t="n">
        <f aca="false">SQRT(($B109-AC$16)^2+($C109-AC$17)^2+($D109-AC$18)^2)</f>
        <v>6.10231349386684</v>
      </c>
      <c r="AD109" s="17" t="n">
        <f aca="false">SQRT(($B109-AD$16)^2+($C109-AD$17)^2+($D109-AD$18)^2)</f>
        <v>0.527577054399378</v>
      </c>
      <c r="AE109" s="17" t="n">
        <f aca="false">SQRT(($B109-AE$16)^2+($C109-AE$17)^2+($D109-AE$18)^2)</f>
        <v>1.78216953791375</v>
      </c>
      <c r="AF109" s="63" t="n">
        <f aca="false">MATCH(MIN(AC109:AE109),AC109:AE109,0)</f>
        <v>2</v>
      </c>
      <c r="AH109" s="17" t="n">
        <f aca="false">SQRT(($B109-AH$16)^2+($C109-AH$17)^2+($D109-AH$18)^2)</f>
        <v>5.46653995574835</v>
      </c>
      <c r="AI109" s="17" t="n">
        <f aca="false">SQRT(($B109-AI$16)^2+($C109-AI$17)^2+($D109-AI$18)^2)</f>
        <v>0.442549175028782</v>
      </c>
      <c r="AJ109" s="17" t="n">
        <f aca="false">SQRT(($B109-AJ$16)^2+($C109-AJ$17)^2+($D109-AJ$18)^2)</f>
        <v>1.87593393794542</v>
      </c>
      <c r="AK109" s="63" t="n">
        <f aca="false">MATCH(MIN(AH109:AJ109),AH109:AJ109,0)</f>
        <v>2</v>
      </c>
      <c r="AM109" s="17" t="n">
        <f aca="false">SQRT(($B109-AM$16)^2+($C109-AM$17)^2+($D109-AM$18)^2)</f>
        <v>5.46653995574835</v>
      </c>
      <c r="AN109" s="17" t="n">
        <f aca="false">SQRT(($B109-AN$16)^2+($C109-AN$17)^2+($D109-AN$18)^2)</f>
        <v>0.429213150924808</v>
      </c>
      <c r="AO109" s="17" t="n">
        <f aca="false">SQRT(($B109-AO$16)^2+($C109-AO$17)^2+($D109-AO$18)^2)</f>
        <v>1.90060331651455</v>
      </c>
      <c r="AP109" s="63" t="n">
        <f aca="false">MATCH(MIN(AM109:AO109),AM109:AO109,0)</f>
        <v>2</v>
      </c>
      <c r="AR109" s="17" t="n">
        <f aca="false">SQRT(($B109-AR$16)^2+($C109-AR$17)^2+($D109-AR$18)^2)</f>
        <v>5.46653995574835</v>
      </c>
      <c r="AS109" s="17" t="n">
        <f aca="false">SQRT(($B109-AS$16)^2+($C109-AS$17)^2+($D109-AS$18)^2)</f>
        <v>0.429213150924808</v>
      </c>
      <c r="AT109" s="17" t="n">
        <f aca="false">SQRT(($B109-AT$16)^2+($C109-AT$17)^2+($D109-AT$18)^2)</f>
        <v>1.90060331651455</v>
      </c>
      <c r="AU109" s="63" t="n">
        <f aca="false">MATCH(MIN(AR109:AT109),AR109:AT109,0)</f>
        <v>2</v>
      </c>
      <c r="AW109" s="17" t="n">
        <f aca="false">SQRT(($B109-AW$16)^2+($C109-AW$17)^2+($D109-AW$18)^2)</f>
        <v>5.46653995574835</v>
      </c>
      <c r="AX109" s="17" t="n">
        <f aca="false">SQRT(($B109-AX$16)^2+($C109-AX$17)^2+($D109-AX$18)^2)</f>
        <v>0.429213150924808</v>
      </c>
      <c r="AY109" s="17" t="n">
        <f aca="false">SQRT(($B109-AY$16)^2+($C109-AY$17)^2+($D109-AY$18)^2)</f>
        <v>1.90060331651455</v>
      </c>
      <c r="AZ109" s="63" t="n">
        <f aca="false">MATCH(MIN(AW109:AY109),AW109:AY109,0)</f>
        <v>2</v>
      </c>
      <c r="BB109" s="17" t="n">
        <f aca="false">SQRT(($B109-BB$16)^2+($C109-BB$17)^2+($D109-BB$18)^2)</f>
        <v>5.46653995574835</v>
      </c>
      <c r="BC109" s="17" t="n">
        <f aca="false">SQRT(($B109-BC$16)^2+($C109-BC$17)^2+($D109-BC$18)^2)</f>
        <v>0.429213150924808</v>
      </c>
      <c r="BD109" s="17" t="n">
        <f aca="false">SQRT(($B109-BD$16)^2+($C109-BD$17)^2+($D109-BD$18)^2)</f>
        <v>1.90060331651455</v>
      </c>
      <c r="BE109" s="63" t="n">
        <f aca="false">MATCH(MIN(BB109:BD109),BB109:BD109,0)</f>
        <v>2</v>
      </c>
      <c r="BG109" s="17" t="n">
        <f aca="false">SQRT(($B109-BG$16)^2+($C109-BG$17)^2+($D109-BG$18)^2)</f>
        <v>5.46653995574835</v>
      </c>
      <c r="BH109" s="17" t="n">
        <f aca="false">SQRT(($B109-BH$16)^2+($C109-BH$17)^2+($D109-BH$18)^2)</f>
        <v>0.429213150924808</v>
      </c>
      <c r="BI109" s="17" t="n">
        <f aca="false">SQRT(($B109-BI$16)^2+($C109-BI$17)^2+($D109-BI$18)^2)</f>
        <v>1.90060331651455</v>
      </c>
      <c r="BJ109" s="63" t="n">
        <f aca="false">MATCH(MIN(BG109:BI109),BG109:BI109,0)</f>
        <v>2</v>
      </c>
      <c r="BL109" s="17" t="n">
        <f aca="false">SQRT(($B109-BL$16)^2+($C109-BL$17)^2+($D109-BL$18)^2)</f>
        <v>5.46653995574835</v>
      </c>
      <c r="BM109" s="17" t="n">
        <f aca="false">SQRT(($B109-BM$16)^2+($C109-BM$17)^2+($D109-BM$18)^2)</f>
        <v>0.429213150924808</v>
      </c>
      <c r="BN109" s="17" t="n">
        <f aca="false">SQRT(($B109-BN$16)^2+($C109-BN$17)^2+($D109-BN$18)^2)</f>
        <v>1.90060331651455</v>
      </c>
      <c r="BO109" s="63" t="n">
        <f aca="false">MATCH(MIN(BL109:BN109),BL109:BN109,0)</f>
        <v>2</v>
      </c>
      <c r="BQ109" s="17" t="n">
        <f aca="false">SQRT(($B109-BQ$16)^2+($C109-BQ$17)^2+($D109-BQ$18)^2)</f>
        <v>5.46653995574835</v>
      </c>
      <c r="BR109" s="17" t="n">
        <f aca="false">SQRT(($B109-BR$16)^2+($C109-BR$17)^2+($D109-BR$18)^2)</f>
        <v>0.429213150924808</v>
      </c>
      <c r="BS109" s="17" t="n">
        <f aca="false">SQRT(($B109-BS$16)^2+($C109-BS$17)^2+($D109-BS$18)^2)</f>
        <v>1.90060331651455</v>
      </c>
      <c r="BT109" s="63" t="n">
        <f aca="false">MATCH(MIN(BQ109:BS109),BQ109:BS109,0)</f>
        <v>2</v>
      </c>
      <c r="BV109" s="17" t="n">
        <f aca="false">SQRT(($B109-BV$16)^2+($C109-BV$17)^2+($D109-BV$18)^2)</f>
        <v>5.46653995574835</v>
      </c>
      <c r="BW109" s="17" t="n">
        <f aca="false">SQRT(($B109-BW$16)^2+($C109-BW$17)^2+($D109-BW$18)^2)</f>
        <v>0.429213150924808</v>
      </c>
      <c r="BX109" s="17" t="n">
        <f aca="false">SQRT(($B109-BX$16)^2+($C109-BX$17)^2+($D109-BX$18)^2)</f>
        <v>1.90060331651455</v>
      </c>
      <c r="BY109" s="63" t="n">
        <f aca="false">MATCH(MIN(BV109:BX109),BV109:BX109,0)</f>
        <v>2</v>
      </c>
      <c r="CA109" s="17" t="n">
        <f aca="false">SQRT(($B109-CA$16)^2+($C109-CA$17)^2+($D109-CA$18)^2)</f>
        <v>5.46653995574835</v>
      </c>
      <c r="CB109" s="17" t="n">
        <f aca="false">SQRT(($B109-CB$16)^2+($C109-CB$17)^2+($D109-CB$18)^2)</f>
        <v>0.429213150924808</v>
      </c>
      <c r="CC109" s="17" t="n">
        <f aca="false">SQRT(($B109-CC$16)^2+($C109-CC$17)^2+($D109-CC$18)^2)</f>
        <v>1.90060331651455</v>
      </c>
      <c r="CD109" s="63" t="n">
        <f aca="false">MATCH(MIN(CA109:CC109),CA109:CC109,0)</f>
        <v>2</v>
      </c>
    </row>
    <row r="110" customFormat="false" ht="15" hidden="false" customHeight="false" outlineLevel="0" collapsed="false">
      <c r="A110" s="36" t="str">
        <f aca="false">KMeans_Data!A92</f>
        <v>Matiari</v>
      </c>
      <c r="B110" s="17" t="n">
        <f aca="false">KMeans_Data!H92</f>
        <v>-0.706187767063518</v>
      </c>
      <c r="C110" s="17" t="n">
        <f aca="false">KMeans_Data!I92</f>
        <v>-0.146983133929529</v>
      </c>
      <c r="D110" s="17" t="n">
        <f aca="false">KMeans_Data!J92</f>
        <v>0.628513491585819</v>
      </c>
      <c r="E110" s="63" t="n">
        <f aca="false">CD110</f>
        <v>3</v>
      </c>
      <c r="F110" s="38" t="n">
        <f aca="false">($B110-INDEX($L$16:$N$16,E110))^2+($C110-INDEX($L$17:$N$17,E110))^2+($D110-INDEX($L$18:$N$18,E110))^2</f>
        <v>1.86340334746638</v>
      </c>
      <c r="G110" s="12" t="str">
        <f aca="false">INDEX($M$5:$M$7,E110)</f>
        <v>Medium burden</v>
      </c>
      <c r="H110" s="17" t="n">
        <f aca="false">IF(COUNTIF(Distance_Matrix!$E$9:$DQ$9,$E110)&lt;=1,0,SUMIF(Distance_Matrix!$E$9:$DQ$9,$E110,Distance_Matrix!$E$101:$DQ$101)/(COUNTIF(Distance_Matrix!$E$9:$DQ$9,$E110)-1))</f>
        <v>1.57944677571813</v>
      </c>
      <c r="I110" s="17" t="n">
        <f aca="false">MIN(IF(1=$E110,1E+099,IF(COUNTIF(Distance_Matrix!$E$9:$DQ$9,1)=0,1E+099,SUMIF(Distance_Matrix!$E$9:$DQ$9,1,Distance_Matrix!$E$101:$DQ$101)/COUNTIF(Distance_Matrix!$E$9:$DQ$9,1))),IF(2=$E110,1E+099,IF(COUNTIF(Distance_Matrix!$E$9:$DQ$9,2)=0,1E+099,SUMIF(Distance_Matrix!$E$9:$DQ$9,2,Distance_Matrix!$E$101:$DQ$101)/COUNTIF(Distance_Matrix!$E$9:$DQ$9,2))),IF(3=$E110,1E+099,IF(COUNTIF(Distance_Matrix!$E$9:$DQ$9,3)=0,1E+099,SUMIF(Distance_Matrix!$E$9:$DQ$9,3,Distance_Matrix!$E$101:$DQ$101)/COUNTIF(Distance_Matrix!$E$9:$DQ$9,3))))</f>
        <v>1.60304275315471</v>
      </c>
      <c r="J110" s="17" t="n">
        <f aca="false">IF(COUNTIF(Distance_Matrix!$E$9:$DQ$9,$E110)&lt;=1,0,(I110-H110)/MAX(H110,I110))</f>
        <v>0.0147194935320016</v>
      </c>
      <c r="X110" s="17" t="n">
        <f aca="false">SQRT(($B110-X$16)^2+($C110-X$17)^2+($D110-X$18)^2)</f>
        <v>6.34444553438655</v>
      </c>
      <c r="Y110" s="17" t="n">
        <f aca="false">SQRT(($B110-Y$16)^2+($C110-Y$17)^2+($D110-Y$18)^2)</f>
        <v>2.30447426490723</v>
      </c>
      <c r="Z110" s="17" t="n">
        <f aca="false">SQRT(($B110-Z$16)^2+($C110-Z$17)^2+($D110-Z$18)^2)</f>
        <v>2.00623655151962</v>
      </c>
      <c r="AA110" s="63" t="n">
        <f aca="false">MATCH(MIN(X110:Z110),X110:Z110,0)</f>
        <v>3</v>
      </c>
      <c r="AC110" s="17" t="n">
        <f aca="false">SQRT(($B110-AC$16)^2+($C110-AC$17)^2+($D110-AC$18)^2)</f>
        <v>5.40368323245895</v>
      </c>
      <c r="AD110" s="17" t="n">
        <f aca="false">SQRT(($B110-AD$16)^2+($C110-AD$17)^2+($D110-AD$18)^2)</f>
        <v>1.53840200035674</v>
      </c>
      <c r="AE110" s="17" t="n">
        <f aca="false">SQRT(($B110-AE$16)^2+($C110-AE$17)^2+($D110-AE$18)^2)</f>
        <v>1.31398508470151</v>
      </c>
      <c r="AF110" s="63" t="n">
        <f aca="false">MATCH(MIN(AC110:AE110),AC110:AE110,0)</f>
        <v>3</v>
      </c>
      <c r="AH110" s="17" t="n">
        <f aca="false">SQRT(($B110-AH$16)^2+($C110-AH$17)^2+($D110-AH$18)^2)</f>
        <v>4.78061054681775</v>
      </c>
      <c r="AI110" s="17" t="n">
        <f aca="false">SQRT(($B110-AI$16)^2+($C110-AI$17)^2+($D110-AI$18)^2)</f>
        <v>1.46772092475596</v>
      </c>
      <c r="AJ110" s="17" t="n">
        <f aca="false">SQRT(($B110-AJ$16)^2+($C110-AJ$17)^2+($D110-AJ$18)^2)</f>
        <v>1.3422815539928</v>
      </c>
      <c r="AK110" s="63" t="n">
        <f aca="false">MATCH(MIN(AH110:AJ110),AH110:AJ110,0)</f>
        <v>3</v>
      </c>
      <c r="AM110" s="17" t="n">
        <f aca="false">SQRT(($B110-AM$16)^2+($C110-AM$17)^2+($D110-AM$18)^2)</f>
        <v>4.78061054681775</v>
      </c>
      <c r="AN110" s="17" t="n">
        <f aca="false">SQRT(($B110-AN$16)^2+($C110-AN$17)^2+($D110-AN$18)^2)</f>
        <v>1.45197077602988</v>
      </c>
      <c r="AO110" s="17" t="n">
        <f aca="false">SQRT(($B110-AO$16)^2+($C110-AO$17)^2+($D110-AO$18)^2)</f>
        <v>1.36506532717903</v>
      </c>
      <c r="AP110" s="63" t="n">
        <f aca="false">MATCH(MIN(AM110:AO110),AM110:AO110,0)</f>
        <v>3</v>
      </c>
      <c r="AR110" s="17" t="n">
        <f aca="false">SQRT(($B110-AR$16)^2+($C110-AR$17)^2+($D110-AR$18)^2)</f>
        <v>4.78061054681775</v>
      </c>
      <c r="AS110" s="17" t="n">
        <f aca="false">SQRT(($B110-AS$16)^2+($C110-AS$17)^2+($D110-AS$18)^2)</f>
        <v>1.45197077602988</v>
      </c>
      <c r="AT110" s="17" t="n">
        <f aca="false">SQRT(($B110-AT$16)^2+($C110-AT$17)^2+($D110-AT$18)^2)</f>
        <v>1.36506532717903</v>
      </c>
      <c r="AU110" s="63" t="n">
        <f aca="false">MATCH(MIN(AR110:AT110),AR110:AT110,0)</f>
        <v>3</v>
      </c>
      <c r="AW110" s="17" t="n">
        <f aca="false">SQRT(($B110-AW$16)^2+($C110-AW$17)^2+($D110-AW$18)^2)</f>
        <v>4.78061054681775</v>
      </c>
      <c r="AX110" s="17" t="n">
        <f aca="false">SQRT(($B110-AX$16)^2+($C110-AX$17)^2+($D110-AX$18)^2)</f>
        <v>1.45197077602988</v>
      </c>
      <c r="AY110" s="17" t="n">
        <f aca="false">SQRT(($B110-AY$16)^2+($C110-AY$17)^2+($D110-AY$18)^2)</f>
        <v>1.36506532717903</v>
      </c>
      <c r="AZ110" s="63" t="n">
        <f aca="false">MATCH(MIN(AW110:AY110),AW110:AY110,0)</f>
        <v>3</v>
      </c>
      <c r="BB110" s="17" t="n">
        <f aca="false">SQRT(($B110-BB$16)^2+($C110-BB$17)^2+($D110-BB$18)^2)</f>
        <v>4.78061054681775</v>
      </c>
      <c r="BC110" s="17" t="n">
        <f aca="false">SQRT(($B110-BC$16)^2+($C110-BC$17)^2+($D110-BC$18)^2)</f>
        <v>1.45197077602988</v>
      </c>
      <c r="BD110" s="17" t="n">
        <f aca="false">SQRT(($B110-BD$16)^2+($C110-BD$17)^2+($D110-BD$18)^2)</f>
        <v>1.36506532717903</v>
      </c>
      <c r="BE110" s="63" t="n">
        <f aca="false">MATCH(MIN(BB110:BD110),BB110:BD110,0)</f>
        <v>3</v>
      </c>
      <c r="BG110" s="17" t="n">
        <f aca="false">SQRT(($B110-BG$16)^2+($C110-BG$17)^2+($D110-BG$18)^2)</f>
        <v>4.78061054681775</v>
      </c>
      <c r="BH110" s="17" t="n">
        <f aca="false">SQRT(($B110-BH$16)^2+($C110-BH$17)^2+($D110-BH$18)^2)</f>
        <v>1.45197077602988</v>
      </c>
      <c r="BI110" s="17" t="n">
        <f aca="false">SQRT(($B110-BI$16)^2+($C110-BI$17)^2+($D110-BI$18)^2)</f>
        <v>1.36506532717903</v>
      </c>
      <c r="BJ110" s="63" t="n">
        <f aca="false">MATCH(MIN(BG110:BI110),BG110:BI110,0)</f>
        <v>3</v>
      </c>
      <c r="BL110" s="17" t="n">
        <f aca="false">SQRT(($B110-BL$16)^2+($C110-BL$17)^2+($D110-BL$18)^2)</f>
        <v>4.78061054681775</v>
      </c>
      <c r="BM110" s="17" t="n">
        <f aca="false">SQRT(($B110-BM$16)^2+($C110-BM$17)^2+($D110-BM$18)^2)</f>
        <v>1.45197077602988</v>
      </c>
      <c r="BN110" s="17" t="n">
        <f aca="false">SQRT(($B110-BN$16)^2+($C110-BN$17)^2+($D110-BN$18)^2)</f>
        <v>1.36506532717903</v>
      </c>
      <c r="BO110" s="63" t="n">
        <f aca="false">MATCH(MIN(BL110:BN110),BL110:BN110,0)</f>
        <v>3</v>
      </c>
      <c r="BQ110" s="17" t="n">
        <f aca="false">SQRT(($B110-BQ$16)^2+($C110-BQ$17)^2+($D110-BQ$18)^2)</f>
        <v>4.78061054681775</v>
      </c>
      <c r="BR110" s="17" t="n">
        <f aca="false">SQRT(($B110-BR$16)^2+($C110-BR$17)^2+($D110-BR$18)^2)</f>
        <v>1.45197077602988</v>
      </c>
      <c r="BS110" s="17" t="n">
        <f aca="false">SQRT(($B110-BS$16)^2+($C110-BS$17)^2+($D110-BS$18)^2)</f>
        <v>1.36506532717903</v>
      </c>
      <c r="BT110" s="63" t="n">
        <f aca="false">MATCH(MIN(BQ110:BS110),BQ110:BS110,0)</f>
        <v>3</v>
      </c>
      <c r="BV110" s="17" t="n">
        <f aca="false">SQRT(($B110-BV$16)^2+($C110-BV$17)^2+($D110-BV$18)^2)</f>
        <v>4.78061054681775</v>
      </c>
      <c r="BW110" s="17" t="n">
        <f aca="false">SQRT(($B110-BW$16)^2+($C110-BW$17)^2+($D110-BW$18)^2)</f>
        <v>1.45197077602988</v>
      </c>
      <c r="BX110" s="17" t="n">
        <f aca="false">SQRT(($B110-BX$16)^2+($C110-BX$17)^2+($D110-BX$18)^2)</f>
        <v>1.36506532717903</v>
      </c>
      <c r="BY110" s="63" t="n">
        <f aca="false">MATCH(MIN(BV110:BX110),BV110:BX110,0)</f>
        <v>3</v>
      </c>
      <c r="CA110" s="17" t="n">
        <f aca="false">SQRT(($B110-CA$16)^2+($C110-CA$17)^2+($D110-CA$18)^2)</f>
        <v>4.78061054681775</v>
      </c>
      <c r="CB110" s="17" t="n">
        <f aca="false">SQRT(($B110-CB$16)^2+($C110-CB$17)^2+($D110-CB$18)^2)</f>
        <v>1.45197077602988</v>
      </c>
      <c r="CC110" s="17" t="n">
        <f aca="false">SQRT(($B110-CC$16)^2+($C110-CC$17)^2+($D110-CC$18)^2)</f>
        <v>1.36506532717903</v>
      </c>
      <c r="CD110" s="63" t="n">
        <f aca="false">MATCH(MIN(CA110:CC110),CA110:CC110,0)</f>
        <v>3</v>
      </c>
    </row>
    <row r="111" customFormat="false" ht="15" hidden="false" customHeight="false" outlineLevel="0" collapsed="false">
      <c r="A111" s="36" t="str">
        <f aca="false">KMeans_Data!A93</f>
        <v>Lakki Marwat</v>
      </c>
      <c r="B111" s="17" t="n">
        <f aca="false">KMeans_Data!H93</f>
        <v>-0.744758744633192</v>
      </c>
      <c r="C111" s="17" t="n">
        <f aca="false">KMeans_Data!I93</f>
        <v>-0.146983133929529</v>
      </c>
      <c r="D111" s="17" t="n">
        <f aca="false">KMeans_Data!J93</f>
        <v>-0.182049815029191</v>
      </c>
      <c r="E111" s="63" t="n">
        <f aca="false">CD111</f>
        <v>2</v>
      </c>
      <c r="F111" s="38" t="n">
        <f aca="false">($B111-INDEX($L$16:$N$16,E111))^2+($C111-INDEX($L$17:$N$17,E111))^2+($D111-INDEX($L$18:$N$18,E111))^2</f>
        <v>0.550811341948421</v>
      </c>
      <c r="G111" s="12" t="str">
        <f aca="false">INDEX($M$5:$M$7,E111)</f>
        <v>Low burden</v>
      </c>
      <c r="H111" s="17" t="n">
        <f aca="false">IF(COUNTIF(Distance_Matrix!$E$9:$DQ$9,$E111)&lt;=1,0,SUMIF(Distance_Matrix!$E$9:$DQ$9,$E111,Distance_Matrix!$E$102:$DQ$102)/(COUNTIF(Distance_Matrix!$E$9:$DQ$9,$E111)-1))</f>
        <v>1.06594489087691</v>
      </c>
      <c r="I111" s="17" t="n">
        <f aca="false">MIN(IF(1=$E111,1E+099,IF(COUNTIF(Distance_Matrix!$E$9:$DQ$9,1)=0,1E+099,SUMIF(Distance_Matrix!$E$9:$DQ$9,1,Distance_Matrix!$E$102:$DQ$102)/COUNTIF(Distance_Matrix!$E$9:$DQ$9,1))),IF(2=$E111,1E+099,IF(COUNTIF(Distance_Matrix!$E$9:$DQ$9,2)=0,1E+099,SUMIF(Distance_Matrix!$E$9:$DQ$9,2,Distance_Matrix!$E$102:$DQ$102)/COUNTIF(Distance_Matrix!$E$9:$DQ$9,2))),IF(3=$E111,1E+099,IF(COUNTIF(Distance_Matrix!$E$9:$DQ$9,3)=0,1E+099,SUMIF(Distance_Matrix!$E$9:$DQ$9,3,Distance_Matrix!$E$102:$DQ$102)/COUNTIF(Distance_Matrix!$E$9:$DQ$9,3))))</f>
        <v>1.80356806078653</v>
      </c>
      <c r="J111" s="17" t="n">
        <f aca="false">IF(COUNTIF(Distance_Matrix!$E$9:$DQ$9,$E111)&lt;=1,0,(I111-H111)/MAX(H111,I111))</f>
        <v>0.408979946999032</v>
      </c>
      <c r="X111" s="17" t="n">
        <f aca="false">SQRT(($B111-X$16)^2+($C111-X$17)^2+($D111-X$18)^2)</f>
        <v>6.74327164312577</v>
      </c>
      <c r="Y111" s="17" t="n">
        <f aca="false">SQRT(($B111-Y$16)^2+($C111-Y$17)^2+($D111-Y$18)^2)</f>
        <v>1.72829678257275</v>
      </c>
      <c r="Z111" s="17" t="n">
        <f aca="false">SQRT(($B111-Z$16)^2+($C111-Z$17)^2+($D111-Z$18)^2)</f>
        <v>2.48652302232641</v>
      </c>
      <c r="AA111" s="63" t="n">
        <f aca="false">MATCH(MIN(X111:Z111),X111:Z111,0)</f>
        <v>2</v>
      </c>
      <c r="AC111" s="17" t="n">
        <f aca="false">SQRT(($B111-AC$16)^2+($C111-AC$17)^2+($D111-AC$18)^2)</f>
        <v>5.75684441084839</v>
      </c>
      <c r="AD111" s="17" t="n">
        <f aca="false">SQRT(($B111-AD$16)^2+($C111-AD$17)^2+($D111-AD$18)^2)</f>
        <v>0.813675716545583</v>
      </c>
      <c r="AE111" s="17" t="n">
        <f aca="false">SQRT(($B111-AE$16)^2+($C111-AE$17)^2+($D111-AE$18)^2)</f>
        <v>1.55332949360796</v>
      </c>
      <c r="AF111" s="63" t="n">
        <f aca="false">MATCH(MIN(AC111:AE111),AC111:AE111,0)</f>
        <v>2</v>
      </c>
      <c r="AH111" s="17" t="n">
        <f aca="false">SQRT(($B111-AH$16)^2+($C111-AH$17)^2+($D111-AH$18)^2)</f>
        <v>5.12595381636272</v>
      </c>
      <c r="AI111" s="17" t="n">
        <f aca="false">SQRT(($B111-AI$16)^2+($C111-AI$17)^2+($D111-AI$18)^2)</f>
        <v>0.757282321387263</v>
      </c>
      <c r="AJ111" s="17" t="n">
        <f aca="false">SQRT(($B111-AJ$16)^2+($C111-AJ$17)^2+($D111-AJ$18)^2)</f>
        <v>1.62863079596648</v>
      </c>
      <c r="AK111" s="63" t="n">
        <f aca="false">MATCH(MIN(AH111:AJ111),AH111:AJ111,0)</f>
        <v>2</v>
      </c>
      <c r="AM111" s="17" t="n">
        <f aca="false">SQRT(($B111-AM$16)^2+($C111-AM$17)^2+($D111-AM$18)^2)</f>
        <v>5.12595381636272</v>
      </c>
      <c r="AN111" s="17" t="n">
        <f aca="false">SQRT(($B111-AN$16)^2+($C111-AN$17)^2+($D111-AN$18)^2)</f>
        <v>0.742166653756702</v>
      </c>
      <c r="AO111" s="17" t="n">
        <f aca="false">SQRT(($B111-AO$16)^2+($C111-AO$17)^2+($D111-AO$18)^2)</f>
        <v>1.65353226556767</v>
      </c>
      <c r="AP111" s="63" t="n">
        <f aca="false">MATCH(MIN(AM111:AO111),AM111:AO111,0)</f>
        <v>2</v>
      </c>
      <c r="AR111" s="17" t="n">
        <f aca="false">SQRT(($B111-AR$16)^2+($C111-AR$17)^2+($D111-AR$18)^2)</f>
        <v>5.12595381636272</v>
      </c>
      <c r="AS111" s="17" t="n">
        <f aca="false">SQRT(($B111-AS$16)^2+($C111-AS$17)^2+($D111-AS$18)^2)</f>
        <v>0.742166653756702</v>
      </c>
      <c r="AT111" s="17" t="n">
        <f aca="false">SQRT(($B111-AT$16)^2+($C111-AT$17)^2+($D111-AT$18)^2)</f>
        <v>1.65353226556767</v>
      </c>
      <c r="AU111" s="63" t="n">
        <f aca="false">MATCH(MIN(AR111:AT111),AR111:AT111,0)</f>
        <v>2</v>
      </c>
      <c r="AW111" s="17" t="n">
        <f aca="false">SQRT(($B111-AW$16)^2+($C111-AW$17)^2+($D111-AW$18)^2)</f>
        <v>5.12595381636272</v>
      </c>
      <c r="AX111" s="17" t="n">
        <f aca="false">SQRT(($B111-AX$16)^2+($C111-AX$17)^2+($D111-AX$18)^2)</f>
        <v>0.742166653756702</v>
      </c>
      <c r="AY111" s="17" t="n">
        <f aca="false">SQRT(($B111-AY$16)^2+($C111-AY$17)^2+($D111-AY$18)^2)</f>
        <v>1.65353226556767</v>
      </c>
      <c r="AZ111" s="63" t="n">
        <f aca="false">MATCH(MIN(AW111:AY111),AW111:AY111,0)</f>
        <v>2</v>
      </c>
      <c r="BB111" s="17" t="n">
        <f aca="false">SQRT(($B111-BB$16)^2+($C111-BB$17)^2+($D111-BB$18)^2)</f>
        <v>5.12595381636272</v>
      </c>
      <c r="BC111" s="17" t="n">
        <f aca="false">SQRT(($B111-BC$16)^2+($C111-BC$17)^2+($D111-BC$18)^2)</f>
        <v>0.742166653756702</v>
      </c>
      <c r="BD111" s="17" t="n">
        <f aca="false">SQRT(($B111-BD$16)^2+($C111-BD$17)^2+($D111-BD$18)^2)</f>
        <v>1.65353226556767</v>
      </c>
      <c r="BE111" s="63" t="n">
        <f aca="false">MATCH(MIN(BB111:BD111),BB111:BD111,0)</f>
        <v>2</v>
      </c>
      <c r="BG111" s="17" t="n">
        <f aca="false">SQRT(($B111-BG$16)^2+($C111-BG$17)^2+($D111-BG$18)^2)</f>
        <v>5.12595381636272</v>
      </c>
      <c r="BH111" s="17" t="n">
        <f aca="false">SQRT(($B111-BH$16)^2+($C111-BH$17)^2+($D111-BH$18)^2)</f>
        <v>0.742166653756702</v>
      </c>
      <c r="BI111" s="17" t="n">
        <f aca="false">SQRT(($B111-BI$16)^2+($C111-BI$17)^2+($D111-BI$18)^2)</f>
        <v>1.65353226556767</v>
      </c>
      <c r="BJ111" s="63" t="n">
        <f aca="false">MATCH(MIN(BG111:BI111),BG111:BI111,0)</f>
        <v>2</v>
      </c>
      <c r="BL111" s="17" t="n">
        <f aca="false">SQRT(($B111-BL$16)^2+($C111-BL$17)^2+($D111-BL$18)^2)</f>
        <v>5.12595381636272</v>
      </c>
      <c r="BM111" s="17" t="n">
        <f aca="false">SQRT(($B111-BM$16)^2+($C111-BM$17)^2+($D111-BM$18)^2)</f>
        <v>0.742166653756702</v>
      </c>
      <c r="BN111" s="17" t="n">
        <f aca="false">SQRT(($B111-BN$16)^2+($C111-BN$17)^2+($D111-BN$18)^2)</f>
        <v>1.65353226556767</v>
      </c>
      <c r="BO111" s="63" t="n">
        <f aca="false">MATCH(MIN(BL111:BN111),BL111:BN111,0)</f>
        <v>2</v>
      </c>
      <c r="BQ111" s="17" t="n">
        <f aca="false">SQRT(($B111-BQ$16)^2+($C111-BQ$17)^2+($D111-BQ$18)^2)</f>
        <v>5.12595381636272</v>
      </c>
      <c r="BR111" s="17" t="n">
        <f aca="false">SQRT(($B111-BR$16)^2+($C111-BR$17)^2+($D111-BR$18)^2)</f>
        <v>0.742166653756702</v>
      </c>
      <c r="BS111" s="17" t="n">
        <f aca="false">SQRT(($B111-BS$16)^2+($C111-BS$17)^2+($D111-BS$18)^2)</f>
        <v>1.65353226556767</v>
      </c>
      <c r="BT111" s="63" t="n">
        <f aca="false">MATCH(MIN(BQ111:BS111),BQ111:BS111,0)</f>
        <v>2</v>
      </c>
      <c r="BV111" s="17" t="n">
        <f aca="false">SQRT(($B111-BV$16)^2+($C111-BV$17)^2+($D111-BV$18)^2)</f>
        <v>5.12595381636272</v>
      </c>
      <c r="BW111" s="17" t="n">
        <f aca="false">SQRT(($B111-BW$16)^2+($C111-BW$17)^2+($D111-BW$18)^2)</f>
        <v>0.742166653756702</v>
      </c>
      <c r="BX111" s="17" t="n">
        <f aca="false">SQRT(($B111-BX$16)^2+($C111-BX$17)^2+($D111-BX$18)^2)</f>
        <v>1.65353226556767</v>
      </c>
      <c r="BY111" s="63" t="n">
        <f aca="false">MATCH(MIN(BV111:BX111),BV111:BX111,0)</f>
        <v>2</v>
      </c>
      <c r="CA111" s="17" t="n">
        <f aca="false">SQRT(($B111-CA$16)^2+($C111-CA$17)^2+($D111-CA$18)^2)</f>
        <v>5.12595381636272</v>
      </c>
      <c r="CB111" s="17" t="n">
        <f aca="false">SQRT(($B111-CB$16)^2+($C111-CB$17)^2+($D111-CB$18)^2)</f>
        <v>0.742166653756702</v>
      </c>
      <c r="CC111" s="17" t="n">
        <f aca="false">SQRT(($B111-CC$16)^2+($C111-CC$17)^2+($D111-CC$18)^2)</f>
        <v>1.65353226556767</v>
      </c>
      <c r="CD111" s="63" t="n">
        <f aca="false">MATCH(MIN(CA111:CC111),CA111:CC111,0)</f>
        <v>2</v>
      </c>
    </row>
    <row r="112" customFormat="false" ht="15" hidden="false" customHeight="false" outlineLevel="0" collapsed="false">
      <c r="A112" s="36" t="str">
        <f aca="false">KMeans_Data!A94</f>
        <v>Taftan</v>
      </c>
      <c r="B112" s="17" t="n">
        <f aca="false">KMeans_Data!H94</f>
        <v>-0.744758744633192</v>
      </c>
      <c r="C112" s="17" t="n">
        <f aca="false">KMeans_Data!I94</f>
        <v>-0.672650545388274</v>
      </c>
      <c r="D112" s="17" t="n">
        <f aca="false">KMeans_Data!J94</f>
        <v>-1.14564411633355</v>
      </c>
      <c r="E112" s="63" t="n">
        <f aca="false">CD112</f>
        <v>2</v>
      </c>
      <c r="F112" s="38" t="n">
        <f aca="false">($B112-INDEX($L$16:$N$16,E112))^2+($C112-INDEX($L$17:$N$17,E112))^2+($D112-INDEX($L$18:$N$18,E112))^2</f>
        <v>0.177194142597201</v>
      </c>
      <c r="G112" s="12" t="str">
        <f aca="false">INDEX($M$5:$M$7,E112)</f>
        <v>Low burden</v>
      </c>
      <c r="H112" s="17" t="n">
        <f aca="false">IF(COUNTIF(Distance_Matrix!$E$9:$DQ$9,$E112)&lt;=1,0,SUMIF(Distance_Matrix!$E$9:$DQ$9,$E112,Distance_Matrix!$E$103:$DQ$103)/(COUNTIF(Distance_Matrix!$E$9:$DQ$9,$E112)-1))</f>
        <v>0.847363575155638</v>
      </c>
      <c r="I112" s="17" t="n">
        <f aca="false">MIN(IF(1=$E112,1E+099,IF(COUNTIF(Distance_Matrix!$E$9:$DQ$9,1)=0,1E+099,SUMIF(Distance_Matrix!$E$9:$DQ$9,1,Distance_Matrix!$E$103:$DQ$103)/COUNTIF(Distance_Matrix!$E$9:$DQ$9,1))),IF(2=$E112,1E+099,IF(COUNTIF(Distance_Matrix!$E$9:$DQ$9,2)=0,1E+099,SUMIF(Distance_Matrix!$E$9:$DQ$9,2,Distance_Matrix!$E$103:$DQ$103)/COUNTIF(Distance_Matrix!$E$9:$DQ$9,2))),IF(3=$E112,1E+099,IF(COUNTIF(Distance_Matrix!$E$9:$DQ$9,3)=0,1E+099,SUMIF(Distance_Matrix!$E$9:$DQ$9,3,Distance_Matrix!$E$103:$DQ$103)/COUNTIF(Distance_Matrix!$E$9:$DQ$9,3))))</f>
        <v>2.59696841511315</v>
      </c>
      <c r="J112" s="17" t="n">
        <f aca="false">IF(COUNTIF(Distance_Matrix!$E$9:$DQ$9,$E112)&lt;=1,0,(I112-H112)/MAX(H112,I112))</f>
        <v>0.673710480949874</v>
      </c>
      <c r="X112" s="17" t="n">
        <f aca="false">SQRT(($B112-X$16)^2+($C112-X$17)^2+($D112-X$18)^2)</f>
        <v>7.59583452709132</v>
      </c>
      <c r="Y112" s="17" t="n">
        <f aca="false">SQRT(($B112-Y$16)^2+($C112-Y$17)^2+($D112-Y$18)^2)</f>
        <v>1.33497923717013</v>
      </c>
      <c r="Z112" s="17" t="n">
        <f aca="false">SQRT(($B112-Z$16)^2+($C112-Z$17)^2+($D112-Z$18)^2)</f>
        <v>3.33539814601637</v>
      </c>
      <c r="AA112" s="63" t="n">
        <f aca="false">MATCH(MIN(X112:Z112),X112:Z112,0)</f>
        <v>2</v>
      </c>
      <c r="AC112" s="17" t="n">
        <f aca="false">SQRT(($B112-AC$16)^2+($C112-AC$17)^2+($D112-AC$18)^2)</f>
        <v>6.58303998604327</v>
      </c>
      <c r="AD112" s="17" t="n">
        <f aca="false">SQRT(($B112-AD$16)^2+($C112-AD$17)^2+($D112-AD$18)^2)</f>
        <v>0.321162108809596</v>
      </c>
      <c r="AE112" s="17" t="n">
        <f aca="false">SQRT(($B112-AE$16)^2+($C112-AE$17)^2+($D112-AE$18)^2)</f>
        <v>2.37163054888336</v>
      </c>
      <c r="AF112" s="63" t="n">
        <f aca="false">MATCH(MIN(AC112:AE112),AC112:AE112,0)</f>
        <v>2</v>
      </c>
      <c r="AH112" s="17" t="n">
        <f aca="false">SQRT(($B112-AH$16)^2+($C112-AH$17)^2+($D112-AH$18)^2)</f>
        <v>5.95009831177149</v>
      </c>
      <c r="AI112" s="17" t="n">
        <f aca="false">SQRT(($B112-AI$16)^2+($C112-AI$17)^2+($D112-AI$18)^2)</f>
        <v>0.405482802691532</v>
      </c>
      <c r="AJ112" s="17" t="n">
        <f aca="false">SQRT(($B112-AJ$16)^2+($C112-AJ$17)^2+($D112-AJ$18)^2)</f>
        <v>2.47706429006407</v>
      </c>
      <c r="AK112" s="63" t="n">
        <f aca="false">MATCH(MIN(AH112:AJ112),AH112:AJ112,0)</f>
        <v>2</v>
      </c>
      <c r="AM112" s="17" t="n">
        <f aca="false">SQRT(($B112-AM$16)^2+($C112-AM$17)^2+($D112-AM$18)^2)</f>
        <v>5.95009831177149</v>
      </c>
      <c r="AN112" s="17" t="n">
        <f aca="false">SQRT(($B112-AN$16)^2+($C112-AN$17)^2+($D112-AN$18)^2)</f>
        <v>0.420944346199354</v>
      </c>
      <c r="AO112" s="17" t="n">
        <f aca="false">SQRT(($B112-AO$16)^2+($C112-AO$17)^2+($D112-AO$18)^2)</f>
        <v>2.50043043120945</v>
      </c>
      <c r="AP112" s="63" t="n">
        <f aca="false">MATCH(MIN(AM112:AO112),AM112:AO112,0)</f>
        <v>2</v>
      </c>
      <c r="AR112" s="17" t="n">
        <f aca="false">SQRT(($B112-AR$16)^2+($C112-AR$17)^2+($D112-AR$18)^2)</f>
        <v>5.95009831177149</v>
      </c>
      <c r="AS112" s="17" t="n">
        <f aca="false">SQRT(($B112-AS$16)^2+($C112-AS$17)^2+($D112-AS$18)^2)</f>
        <v>0.420944346199354</v>
      </c>
      <c r="AT112" s="17" t="n">
        <f aca="false">SQRT(($B112-AT$16)^2+($C112-AT$17)^2+($D112-AT$18)^2)</f>
        <v>2.50043043120945</v>
      </c>
      <c r="AU112" s="63" t="n">
        <f aca="false">MATCH(MIN(AR112:AT112),AR112:AT112,0)</f>
        <v>2</v>
      </c>
      <c r="AW112" s="17" t="n">
        <f aca="false">SQRT(($B112-AW$16)^2+($C112-AW$17)^2+($D112-AW$18)^2)</f>
        <v>5.95009831177149</v>
      </c>
      <c r="AX112" s="17" t="n">
        <f aca="false">SQRT(($B112-AX$16)^2+($C112-AX$17)^2+($D112-AX$18)^2)</f>
        <v>0.420944346199354</v>
      </c>
      <c r="AY112" s="17" t="n">
        <f aca="false">SQRT(($B112-AY$16)^2+($C112-AY$17)^2+($D112-AY$18)^2)</f>
        <v>2.50043043120945</v>
      </c>
      <c r="AZ112" s="63" t="n">
        <f aca="false">MATCH(MIN(AW112:AY112),AW112:AY112,0)</f>
        <v>2</v>
      </c>
      <c r="BB112" s="17" t="n">
        <f aca="false">SQRT(($B112-BB$16)^2+($C112-BB$17)^2+($D112-BB$18)^2)</f>
        <v>5.95009831177149</v>
      </c>
      <c r="BC112" s="17" t="n">
        <f aca="false">SQRT(($B112-BC$16)^2+($C112-BC$17)^2+($D112-BC$18)^2)</f>
        <v>0.420944346199354</v>
      </c>
      <c r="BD112" s="17" t="n">
        <f aca="false">SQRT(($B112-BD$16)^2+($C112-BD$17)^2+($D112-BD$18)^2)</f>
        <v>2.50043043120945</v>
      </c>
      <c r="BE112" s="63" t="n">
        <f aca="false">MATCH(MIN(BB112:BD112),BB112:BD112,0)</f>
        <v>2</v>
      </c>
      <c r="BG112" s="17" t="n">
        <f aca="false">SQRT(($B112-BG$16)^2+($C112-BG$17)^2+($D112-BG$18)^2)</f>
        <v>5.95009831177149</v>
      </c>
      <c r="BH112" s="17" t="n">
        <f aca="false">SQRT(($B112-BH$16)^2+($C112-BH$17)^2+($D112-BH$18)^2)</f>
        <v>0.420944346199354</v>
      </c>
      <c r="BI112" s="17" t="n">
        <f aca="false">SQRT(($B112-BI$16)^2+($C112-BI$17)^2+($D112-BI$18)^2)</f>
        <v>2.50043043120945</v>
      </c>
      <c r="BJ112" s="63" t="n">
        <f aca="false">MATCH(MIN(BG112:BI112),BG112:BI112,0)</f>
        <v>2</v>
      </c>
      <c r="BL112" s="17" t="n">
        <f aca="false">SQRT(($B112-BL$16)^2+($C112-BL$17)^2+($D112-BL$18)^2)</f>
        <v>5.95009831177149</v>
      </c>
      <c r="BM112" s="17" t="n">
        <f aca="false">SQRT(($B112-BM$16)^2+($C112-BM$17)^2+($D112-BM$18)^2)</f>
        <v>0.420944346199354</v>
      </c>
      <c r="BN112" s="17" t="n">
        <f aca="false">SQRT(($B112-BN$16)^2+($C112-BN$17)^2+($D112-BN$18)^2)</f>
        <v>2.50043043120945</v>
      </c>
      <c r="BO112" s="63" t="n">
        <f aca="false">MATCH(MIN(BL112:BN112),BL112:BN112,0)</f>
        <v>2</v>
      </c>
      <c r="BQ112" s="17" t="n">
        <f aca="false">SQRT(($B112-BQ$16)^2+($C112-BQ$17)^2+($D112-BQ$18)^2)</f>
        <v>5.95009831177149</v>
      </c>
      <c r="BR112" s="17" t="n">
        <f aca="false">SQRT(($B112-BR$16)^2+($C112-BR$17)^2+($D112-BR$18)^2)</f>
        <v>0.420944346199354</v>
      </c>
      <c r="BS112" s="17" t="n">
        <f aca="false">SQRT(($B112-BS$16)^2+($C112-BS$17)^2+($D112-BS$18)^2)</f>
        <v>2.50043043120945</v>
      </c>
      <c r="BT112" s="63" t="n">
        <f aca="false">MATCH(MIN(BQ112:BS112),BQ112:BS112,0)</f>
        <v>2</v>
      </c>
      <c r="BV112" s="17" t="n">
        <f aca="false">SQRT(($B112-BV$16)^2+($C112-BV$17)^2+($D112-BV$18)^2)</f>
        <v>5.95009831177149</v>
      </c>
      <c r="BW112" s="17" t="n">
        <f aca="false">SQRT(($B112-BW$16)^2+($C112-BW$17)^2+($D112-BW$18)^2)</f>
        <v>0.420944346199354</v>
      </c>
      <c r="BX112" s="17" t="n">
        <f aca="false">SQRT(($B112-BX$16)^2+($C112-BX$17)^2+($D112-BX$18)^2)</f>
        <v>2.50043043120945</v>
      </c>
      <c r="BY112" s="63" t="n">
        <f aca="false">MATCH(MIN(BV112:BX112),BV112:BX112,0)</f>
        <v>2</v>
      </c>
      <c r="CA112" s="17" t="n">
        <f aca="false">SQRT(($B112-CA$16)^2+($C112-CA$17)^2+($D112-CA$18)^2)</f>
        <v>5.95009831177149</v>
      </c>
      <c r="CB112" s="17" t="n">
        <f aca="false">SQRT(($B112-CB$16)^2+($C112-CB$17)^2+($D112-CB$18)^2)</f>
        <v>0.420944346199354</v>
      </c>
      <c r="CC112" s="17" t="n">
        <f aca="false">SQRT(($B112-CC$16)^2+($C112-CC$17)^2+($D112-CC$18)^2)</f>
        <v>2.50043043120945</v>
      </c>
      <c r="CD112" s="63" t="n">
        <f aca="false">MATCH(MIN(CA112:CC112),CA112:CC112,0)</f>
        <v>2</v>
      </c>
    </row>
    <row r="113" customFormat="false" ht="15" hidden="false" customHeight="false" outlineLevel="0" collapsed="false">
      <c r="A113" s="36" t="str">
        <f aca="false">KMeans_Data!A95</f>
        <v>Orakzai</v>
      </c>
      <c r="B113" s="17" t="n">
        <f aca="false">KMeans_Data!H95</f>
        <v>-0.786418574103199</v>
      </c>
      <c r="C113" s="17" t="n">
        <f aca="false">KMeans_Data!I95</f>
        <v>-0.672650545388274</v>
      </c>
      <c r="D113" s="17" t="n">
        <f aca="false">KMeans_Data!J95</f>
        <v>-0.399845222909568</v>
      </c>
      <c r="E113" s="63" t="n">
        <f aca="false">CD113</f>
        <v>2</v>
      </c>
      <c r="F113" s="38" t="n">
        <f aca="false">($B113-INDEX($L$16:$N$16,E113))^2+($C113-INDEX($L$17:$N$17,E113))^2+($D113-INDEX($L$18:$N$18,E113))^2</f>
        <v>0.141459323735065</v>
      </c>
      <c r="G113" s="12" t="str">
        <f aca="false">INDEX($M$5:$M$7,E113)</f>
        <v>Low burden</v>
      </c>
      <c r="H113" s="17" t="n">
        <f aca="false">IF(COUNTIF(Distance_Matrix!$E$9:$DQ$9,$E113)&lt;=1,0,SUMIF(Distance_Matrix!$E$9:$DQ$9,$E113,Distance_Matrix!$E$104:$DQ$104)/(COUNTIF(Distance_Matrix!$E$9:$DQ$9,$E113)-1))</f>
        <v>0.848967592744191</v>
      </c>
      <c r="I113" s="17" t="n">
        <f aca="false">MIN(IF(1=$E113,1E+099,IF(COUNTIF(Distance_Matrix!$E$9:$DQ$9,1)=0,1E+099,SUMIF(Distance_Matrix!$E$9:$DQ$9,1,Distance_Matrix!$E$104:$DQ$104)/COUNTIF(Distance_Matrix!$E$9:$DQ$9,1))),IF(2=$E113,1E+099,IF(COUNTIF(Distance_Matrix!$E$9:$DQ$9,2)=0,1E+099,SUMIF(Distance_Matrix!$E$9:$DQ$9,2,Distance_Matrix!$E$104:$DQ$104)/COUNTIF(Distance_Matrix!$E$9:$DQ$9,2))),IF(3=$E113,1E+099,IF(COUNTIF(Distance_Matrix!$E$9:$DQ$9,3)=0,1E+099,SUMIF(Distance_Matrix!$E$9:$DQ$9,3,Distance_Matrix!$E$104:$DQ$104)/COUNTIF(Distance_Matrix!$E$9:$DQ$9,3))))</f>
        <v>2.14785416927313</v>
      </c>
      <c r="J113" s="17" t="n">
        <f aca="false">IF(COUNTIF(Distance_Matrix!$E$9:$DQ$9,$E113)&lt;=1,0,(I113-H113)/MAX(H113,I113))</f>
        <v>0.604736855560591</v>
      </c>
      <c r="X113" s="17" t="n">
        <f aca="false">SQRT(($B113-X$16)^2+($C113-X$17)^2+($D113-X$18)^2)</f>
        <v>7.21310900361067</v>
      </c>
      <c r="Y113" s="17" t="n">
        <f aca="false">SQRT(($B113-Y$16)^2+($C113-Y$17)^2+($D113-Y$18)^2)</f>
        <v>1.49294711217988</v>
      </c>
      <c r="Z113" s="17" t="n">
        <f aca="false">SQRT(($B113-Z$16)^2+($C113-Z$17)^2+($D113-Z$18)^2)</f>
        <v>2.81588767302514</v>
      </c>
      <c r="AA113" s="63" t="n">
        <f aca="false">MATCH(MIN(X113:Z113),X113:Z113,0)</f>
        <v>2</v>
      </c>
      <c r="AC113" s="17" t="n">
        <f aca="false">SQRT(($B113-AC$16)^2+($C113-AC$17)^2+($D113-AC$18)^2)</f>
        <v>6.22679009804902</v>
      </c>
      <c r="AD113" s="17" t="n">
        <f aca="false">SQRT(($B113-AD$16)^2+($C113-AD$17)^2+($D113-AD$18)^2)</f>
        <v>0.428135896459042</v>
      </c>
      <c r="AE113" s="17" t="n">
        <f aca="false">SQRT(($B113-AE$16)^2+($C113-AE$17)^2+($D113-AE$18)^2)</f>
        <v>1.92391331257107</v>
      </c>
      <c r="AF113" s="63" t="n">
        <f aca="false">MATCH(MIN(AC113:AE113),AC113:AE113,0)</f>
        <v>2</v>
      </c>
      <c r="AH113" s="17" t="n">
        <f aca="false">SQRT(($B113-AH$16)^2+($C113-AH$17)^2+($D113-AH$18)^2)</f>
        <v>5.59184161042884</v>
      </c>
      <c r="AI113" s="17" t="n">
        <f aca="false">SQRT(($B113-AI$16)^2+($C113-AI$17)^2+($D113-AI$18)^2)</f>
        <v>0.386727407007972</v>
      </c>
      <c r="AJ113" s="17" t="n">
        <f aca="false">SQRT(($B113-AJ$16)^2+($C113-AJ$17)^2+($D113-AJ$18)^2)</f>
        <v>2.01521675182847</v>
      </c>
      <c r="AK113" s="63" t="n">
        <f aca="false">MATCH(MIN(AH113:AJ113),AH113:AJ113,0)</f>
        <v>2</v>
      </c>
      <c r="AM113" s="17" t="n">
        <f aca="false">SQRT(($B113-AM$16)^2+($C113-AM$17)^2+($D113-AM$18)^2)</f>
        <v>5.59184161042884</v>
      </c>
      <c r="AN113" s="17" t="n">
        <f aca="false">SQRT(($B113-AN$16)^2+($C113-AN$17)^2+($D113-AN$18)^2)</f>
        <v>0.376110786517836</v>
      </c>
      <c r="AO113" s="17" t="n">
        <f aca="false">SQRT(($B113-AO$16)^2+($C113-AO$17)^2+($D113-AO$18)^2)</f>
        <v>2.04007096746495</v>
      </c>
      <c r="AP113" s="63" t="n">
        <f aca="false">MATCH(MIN(AM113:AO113),AM113:AO113,0)</f>
        <v>2</v>
      </c>
      <c r="AR113" s="17" t="n">
        <f aca="false">SQRT(($B113-AR$16)^2+($C113-AR$17)^2+($D113-AR$18)^2)</f>
        <v>5.59184161042884</v>
      </c>
      <c r="AS113" s="17" t="n">
        <f aca="false">SQRT(($B113-AS$16)^2+($C113-AS$17)^2+($D113-AS$18)^2)</f>
        <v>0.376110786517836</v>
      </c>
      <c r="AT113" s="17" t="n">
        <f aca="false">SQRT(($B113-AT$16)^2+($C113-AT$17)^2+($D113-AT$18)^2)</f>
        <v>2.04007096746495</v>
      </c>
      <c r="AU113" s="63" t="n">
        <f aca="false">MATCH(MIN(AR113:AT113),AR113:AT113,0)</f>
        <v>2</v>
      </c>
      <c r="AW113" s="17" t="n">
        <f aca="false">SQRT(($B113-AW$16)^2+($C113-AW$17)^2+($D113-AW$18)^2)</f>
        <v>5.59184161042884</v>
      </c>
      <c r="AX113" s="17" t="n">
        <f aca="false">SQRT(($B113-AX$16)^2+($C113-AX$17)^2+($D113-AX$18)^2)</f>
        <v>0.376110786517836</v>
      </c>
      <c r="AY113" s="17" t="n">
        <f aca="false">SQRT(($B113-AY$16)^2+($C113-AY$17)^2+($D113-AY$18)^2)</f>
        <v>2.04007096746495</v>
      </c>
      <c r="AZ113" s="63" t="n">
        <f aca="false">MATCH(MIN(AW113:AY113),AW113:AY113,0)</f>
        <v>2</v>
      </c>
      <c r="BB113" s="17" t="n">
        <f aca="false">SQRT(($B113-BB$16)^2+($C113-BB$17)^2+($D113-BB$18)^2)</f>
        <v>5.59184161042884</v>
      </c>
      <c r="BC113" s="17" t="n">
        <f aca="false">SQRT(($B113-BC$16)^2+($C113-BC$17)^2+($D113-BC$18)^2)</f>
        <v>0.376110786517836</v>
      </c>
      <c r="BD113" s="17" t="n">
        <f aca="false">SQRT(($B113-BD$16)^2+($C113-BD$17)^2+($D113-BD$18)^2)</f>
        <v>2.04007096746495</v>
      </c>
      <c r="BE113" s="63" t="n">
        <f aca="false">MATCH(MIN(BB113:BD113),BB113:BD113,0)</f>
        <v>2</v>
      </c>
      <c r="BG113" s="17" t="n">
        <f aca="false">SQRT(($B113-BG$16)^2+($C113-BG$17)^2+($D113-BG$18)^2)</f>
        <v>5.59184161042884</v>
      </c>
      <c r="BH113" s="17" t="n">
        <f aca="false">SQRT(($B113-BH$16)^2+($C113-BH$17)^2+($D113-BH$18)^2)</f>
        <v>0.376110786517836</v>
      </c>
      <c r="BI113" s="17" t="n">
        <f aca="false">SQRT(($B113-BI$16)^2+($C113-BI$17)^2+($D113-BI$18)^2)</f>
        <v>2.04007096746495</v>
      </c>
      <c r="BJ113" s="63" t="n">
        <f aca="false">MATCH(MIN(BG113:BI113),BG113:BI113,0)</f>
        <v>2</v>
      </c>
      <c r="BL113" s="17" t="n">
        <f aca="false">SQRT(($B113-BL$16)^2+($C113-BL$17)^2+($D113-BL$18)^2)</f>
        <v>5.59184161042884</v>
      </c>
      <c r="BM113" s="17" t="n">
        <f aca="false">SQRT(($B113-BM$16)^2+($C113-BM$17)^2+($D113-BM$18)^2)</f>
        <v>0.376110786517836</v>
      </c>
      <c r="BN113" s="17" t="n">
        <f aca="false">SQRT(($B113-BN$16)^2+($C113-BN$17)^2+($D113-BN$18)^2)</f>
        <v>2.04007096746495</v>
      </c>
      <c r="BO113" s="63" t="n">
        <f aca="false">MATCH(MIN(BL113:BN113),BL113:BN113,0)</f>
        <v>2</v>
      </c>
      <c r="BQ113" s="17" t="n">
        <f aca="false">SQRT(($B113-BQ$16)^2+($C113-BQ$17)^2+($D113-BQ$18)^2)</f>
        <v>5.59184161042884</v>
      </c>
      <c r="BR113" s="17" t="n">
        <f aca="false">SQRT(($B113-BR$16)^2+($C113-BR$17)^2+($D113-BR$18)^2)</f>
        <v>0.376110786517836</v>
      </c>
      <c r="BS113" s="17" t="n">
        <f aca="false">SQRT(($B113-BS$16)^2+($C113-BS$17)^2+($D113-BS$18)^2)</f>
        <v>2.04007096746495</v>
      </c>
      <c r="BT113" s="63" t="n">
        <f aca="false">MATCH(MIN(BQ113:BS113),BQ113:BS113,0)</f>
        <v>2</v>
      </c>
      <c r="BV113" s="17" t="n">
        <f aca="false">SQRT(($B113-BV$16)^2+($C113-BV$17)^2+($D113-BV$18)^2)</f>
        <v>5.59184161042884</v>
      </c>
      <c r="BW113" s="17" t="n">
        <f aca="false">SQRT(($B113-BW$16)^2+($C113-BW$17)^2+($D113-BW$18)^2)</f>
        <v>0.376110786517836</v>
      </c>
      <c r="BX113" s="17" t="n">
        <f aca="false">SQRT(($B113-BX$16)^2+($C113-BX$17)^2+($D113-BX$18)^2)</f>
        <v>2.04007096746495</v>
      </c>
      <c r="BY113" s="63" t="n">
        <f aca="false">MATCH(MIN(BV113:BX113),BV113:BX113,0)</f>
        <v>2</v>
      </c>
      <c r="CA113" s="17" t="n">
        <f aca="false">SQRT(($B113-CA$16)^2+($C113-CA$17)^2+($D113-CA$18)^2)</f>
        <v>5.59184161042884</v>
      </c>
      <c r="CB113" s="17" t="n">
        <f aca="false">SQRT(($B113-CB$16)^2+($C113-CB$17)^2+($D113-CB$18)^2)</f>
        <v>0.376110786517836</v>
      </c>
      <c r="CC113" s="17" t="n">
        <f aca="false">SQRT(($B113-CC$16)^2+($C113-CC$17)^2+($D113-CC$18)^2)</f>
        <v>2.04007096746495</v>
      </c>
      <c r="CD113" s="63" t="n">
        <f aca="false">MATCH(MIN(CA113:CC113),CA113:CC113,0)</f>
        <v>2</v>
      </c>
    </row>
    <row r="114" customFormat="false" ht="15" hidden="false" customHeight="false" outlineLevel="0" collapsed="false">
      <c r="A114" s="36" t="str">
        <f aca="false">KMeans_Data!A96</f>
        <v>North Waziristan</v>
      </c>
      <c r="B114" s="17" t="n">
        <f aca="false">KMeans_Data!H96</f>
        <v>-0.831705387014662</v>
      </c>
      <c r="C114" s="17" t="n">
        <f aca="false">KMeans_Data!I96</f>
        <v>-0.672650545388274</v>
      </c>
      <c r="D114" s="17" t="n">
        <f aca="false">KMeans_Data!J96</f>
        <v>-0.31535907140676</v>
      </c>
      <c r="E114" s="63" t="n">
        <f aca="false">CD114</f>
        <v>2</v>
      </c>
      <c r="F114" s="38" t="n">
        <f aca="false">($B114-INDEX($L$16:$N$16,E114))^2+($C114-INDEX($L$17:$N$17,E114))^2+($D114-INDEX($L$18:$N$18,E114))^2</f>
        <v>0.221875583312035</v>
      </c>
      <c r="G114" s="12" t="str">
        <f aca="false">INDEX($M$5:$M$7,E114)</f>
        <v>Low burden</v>
      </c>
      <c r="H114" s="17" t="n">
        <f aca="false">IF(COUNTIF(Distance_Matrix!$E$9:$DQ$9,$E114)&lt;=1,0,SUMIF(Distance_Matrix!$E$9:$DQ$9,$E114,Distance_Matrix!$E$105:$DQ$105)/(COUNTIF(Distance_Matrix!$E$9:$DQ$9,$E114)-1))</f>
        <v>0.890819080210931</v>
      </c>
      <c r="I114" s="17" t="n">
        <f aca="false">MIN(IF(1=$E114,1E+099,IF(COUNTIF(Distance_Matrix!$E$9:$DQ$9,1)=0,1E+099,SUMIF(Distance_Matrix!$E$9:$DQ$9,1,Distance_Matrix!$E$105:$DQ$105)/COUNTIF(Distance_Matrix!$E$9:$DQ$9,1))),IF(2=$E114,1E+099,IF(COUNTIF(Distance_Matrix!$E$9:$DQ$9,2)=0,1E+099,SUMIF(Distance_Matrix!$E$9:$DQ$9,2,Distance_Matrix!$E$105:$DQ$105)/COUNTIF(Distance_Matrix!$E$9:$DQ$9,2))),IF(3=$E114,1E+099,IF(COUNTIF(Distance_Matrix!$E$9:$DQ$9,3)=0,1E+099,SUMIF(Distance_Matrix!$E$9:$DQ$9,3,Distance_Matrix!$E$105:$DQ$105)/COUNTIF(Distance_Matrix!$E$9:$DQ$9,3))))</f>
        <v>2.13327967656083</v>
      </c>
      <c r="J114" s="17" t="n">
        <f aca="false">IF(COUNTIF(Distance_Matrix!$E$9:$DQ$9,$E114)&lt;=1,0,(I114-H114)/MAX(H114,I114))</f>
        <v>0.582418053291978</v>
      </c>
      <c r="X114" s="17" t="n">
        <f aca="false">SQRT(($B114-X$16)^2+($C114-X$17)^2+($D114-X$18)^2)</f>
        <v>7.19643967194252</v>
      </c>
      <c r="Y114" s="17" t="n">
        <f aca="false">SQRT(($B114-Y$16)^2+($C114-Y$17)^2+($D114-Y$18)^2)</f>
        <v>1.49898586166915</v>
      </c>
      <c r="Z114" s="17" t="n">
        <f aca="false">SQRT(($B114-Z$16)^2+($C114-Z$17)^2+($D114-Z$18)^2)</f>
        <v>2.79062285326594</v>
      </c>
      <c r="AA114" s="63" t="n">
        <f aca="false">MATCH(MIN(X114:Z114),X114:Z114,0)</f>
        <v>2</v>
      </c>
      <c r="AC114" s="17" t="n">
        <f aca="false">SQRT(($B114-AC$16)^2+($C114-AC$17)^2+($D114-AC$18)^2)</f>
        <v>6.21450096297974</v>
      </c>
      <c r="AD114" s="17" t="n">
        <f aca="false">SQRT(($B114-AD$16)^2+($C114-AD$17)^2+($D114-AD$18)^2)</f>
        <v>0.516297746492121</v>
      </c>
      <c r="AE114" s="17" t="n">
        <f aca="false">SQRT(($B114-AE$16)^2+($C114-AE$17)^2+($D114-AE$18)^2)</f>
        <v>1.91339827829221</v>
      </c>
      <c r="AF114" s="63" t="n">
        <f aca="false">MATCH(MIN(AC114:AE114),AC114:AE114,0)</f>
        <v>2</v>
      </c>
      <c r="AH114" s="17" t="n">
        <f aca="false">SQRT(($B114-AH$16)^2+($C114-AH$17)^2+($D114-AH$18)^2)</f>
        <v>5.58013844597874</v>
      </c>
      <c r="AI114" s="17" t="n">
        <f aca="false">SQRT(($B114-AI$16)^2+($C114-AI$17)^2+($D114-AI$18)^2)</f>
        <v>0.481699143178542</v>
      </c>
      <c r="AJ114" s="17" t="n">
        <f aca="false">SQRT(($B114-AJ$16)^2+($C114-AJ$17)^2+($D114-AJ$18)^2)</f>
        <v>2.00086112894656</v>
      </c>
      <c r="AK114" s="63" t="n">
        <f aca="false">MATCH(MIN(AH114:AJ114),AH114:AJ114,0)</f>
        <v>2</v>
      </c>
      <c r="AM114" s="17" t="n">
        <f aca="false">SQRT(($B114-AM$16)^2+($C114-AM$17)^2+($D114-AM$18)^2)</f>
        <v>5.58013844597874</v>
      </c>
      <c r="AN114" s="17" t="n">
        <f aca="false">SQRT(($B114-AN$16)^2+($C114-AN$17)^2+($D114-AN$18)^2)</f>
        <v>0.471036711214779</v>
      </c>
      <c r="AO114" s="17" t="n">
        <f aca="false">SQRT(($B114-AO$16)^2+($C114-AO$17)^2+($D114-AO$18)^2)</f>
        <v>2.02583816536052</v>
      </c>
      <c r="AP114" s="63" t="n">
        <f aca="false">MATCH(MIN(AM114:AO114),AM114:AO114,0)</f>
        <v>2</v>
      </c>
      <c r="AR114" s="17" t="n">
        <f aca="false">SQRT(($B114-AR$16)^2+($C114-AR$17)^2+($D114-AR$18)^2)</f>
        <v>5.58013844597874</v>
      </c>
      <c r="AS114" s="17" t="n">
        <f aca="false">SQRT(($B114-AS$16)^2+($C114-AS$17)^2+($D114-AS$18)^2)</f>
        <v>0.471036711214779</v>
      </c>
      <c r="AT114" s="17" t="n">
        <f aca="false">SQRT(($B114-AT$16)^2+($C114-AT$17)^2+($D114-AT$18)^2)</f>
        <v>2.02583816536052</v>
      </c>
      <c r="AU114" s="63" t="n">
        <f aca="false">MATCH(MIN(AR114:AT114),AR114:AT114,0)</f>
        <v>2</v>
      </c>
      <c r="AW114" s="17" t="n">
        <f aca="false">SQRT(($B114-AW$16)^2+($C114-AW$17)^2+($D114-AW$18)^2)</f>
        <v>5.58013844597874</v>
      </c>
      <c r="AX114" s="17" t="n">
        <f aca="false">SQRT(($B114-AX$16)^2+($C114-AX$17)^2+($D114-AX$18)^2)</f>
        <v>0.471036711214779</v>
      </c>
      <c r="AY114" s="17" t="n">
        <f aca="false">SQRT(($B114-AY$16)^2+($C114-AY$17)^2+($D114-AY$18)^2)</f>
        <v>2.02583816536052</v>
      </c>
      <c r="AZ114" s="63" t="n">
        <f aca="false">MATCH(MIN(AW114:AY114),AW114:AY114,0)</f>
        <v>2</v>
      </c>
      <c r="BB114" s="17" t="n">
        <f aca="false">SQRT(($B114-BB$16)^2+($C114-BB$17)^2+($D114-BB$18)^2)</f>
        <v>5.58013844597874</v>
      </c>
      <c r="BC114" s="17" t="n">
        <f aca="false">SQRT(($B114-BC$16)^2+($C114-BC$17)^2+($D114-BC$18)^2)</f>
        <v>0.471036711214779</v>
      </c>
      <c r="BD114" s="17" t="n">
        <f aca="false">SQRT(($B114-BD$16)^2+($C114-BD$17)^2+($D114-BD$18)^2)</f>
        <v>2.02583816536052</v>
      </c>
      <c r="BE114" s="63" t="n">
        <f aca="false">MATCH(MIN(BB114:BD114),BB114:BD114,0)</f>
        <v>2</v>
      </c>
      <c r="BG114" s="17" t="n">
        <f aca="false">SQRT(($B114-BG$16)^2+($C114-BG$17)^2+($D114-BG$18)^2)</f>
        <v>5.58013844597874</v>
      </c>
      <c r="BH114" s="17" t="n">
        <f aca="false">SQRT(($B114-BH$16)^2+($C114-BH$17)^2+($D114-BH$18)^2)</f>
        <v>0.471036711214779</v>
      </c>
      <c r="BI114" s="17" t="n">
        <f aca="false">SQRT(($B114-BI$16)^2+($C114-BI$17)^2+($D114-BI$18)^2)</f>
        <v>2.02583816536052</v>
      </c>
      <c r="BJ114" s="63" t="n">
        <f aca="false">MATCH(MIN(BG114:BI114),BG114:BI114,0)</f>
        <v>2</v>
      </c>
      <c r="BL114" s="17" t="n">
        <f aca="false">SQRT(($B114-BL$16)^2+($C114-BL$17)^2+($D114-BL$18)^2)</f>
        <v>5.58013844597874</v>
      </c>
      <c r="BM114" s="17" t="n">
        <f aca="false">SQRT(($B114-BM$16)^2+($C114-BM$17)^2+($D114-BM$18)^2)</f>
        <v>0.471036711214779</v>
      </c>
      <c r="BN114" s="17" t="n">
        <f aca="false">SQRT(($B114-BN$16)^2+($C114-BN$17)^2+($D114-BN$18)^2)</f>
        <v>2.02583816536052</v>
      </c>
      <c r="BO114" s="63" t="n">
        <f aca="false">MATCH(MIN(BL114:BN114),BL114:BN114,0)</f>
        <v>2</v>
      </c>
      <c r="BQ114" s="17" t="n">
        <f aca="false">SQRT(($B114-BQ$16)^2+($C114-BQ$17)^2+($D114-BQ$18)^2)</f>
        <v>5.58013844597874</v>
      </c>
      <c r="BR114" s="17" t="n">
        <f aca="false">SQRT(($B114-BR$16)^2+($C114-BR$17)^2+($D114-BR$18)^2)</f>
        <v>0.471036711214779</v>
      </c>
      <c r="BS114" s="17" t="n">
        <f aca="false">SQRT(($B114-BS$16)^2+($C114-BS$17)^2+($D114-BS$18)^2)</f>
        <v>2.02583816536052</v>
      </c>
      <c r="BT114" s="63" t="n">
        <f aca="false">MATCH(MIN(BQ114:BS114),BQ114:BS114,0)</f>
        <v>2</v>
      </c>
      <c r="BV114" s="17" t="n">
        <f aca="false">SQRT(($B114-BV$16)^2+($C114-BV$17)^2+($D114-BV$18)^2)</f>
        <v>5.58013844597874</v>
      </c>
      <c r="BW114" s="17" t="n">
        <f aca="false">SQRT(($B114-BW$16)^2+($C114-BW$17)^2+($D114-BW$18)^2)</f>
        <v>0.471036711214779</v>
      </c>
      <c r="BX114" s="17" t="n">
        <f aca="false">SQRT(($B114-BX$16)^2+($C114-BX$17)^2+($D114-BX$18)^2)</f>
        <v>2.02583816536052</v>
      </c>
      <c r="BY114" s="63" t="n">
        <f aca="false">MATCH(MIN(BV114:BX114),BV114:BX114,0)</f>
        <v>2</v>
      </c>
      <c r="CA114" s="17" t="n">
        <f aca="false">SQRT(($B114-CA$16)^2+($C114-CA$17)^2+($D114-CA$18)^2)</f>
        <v>5.58013844597874</v>
      </c>
      <c r="CB114" s="17" t="n">
        <f aca="false">SQRT(($B114-CB$16)^2+($C114-CB$17)^2+($D114-CB$18)^2)</f>
        <v>0.471036711214779</v>
      </c>
      <c r="CC114" s="17" t="n">
        <f aca="false">SQRT(($B114-CC$16)^2+($C114-CC$17)^2+($D114-CC$18)^2)</f>
        <v>2.02583816536052</v>
      </c>
      <c r="CD114" s="63" t="n">
        <f aca="false">MATCH(MIN(CA114:CC114),CA114:CC114,0)</f>
        <v>2</v>
      </c>
    </row>
    <row r="115" customFormat="false" ht="15" hidden="false" customHeight="false" outlineLevel="0" collapsed="false">
      <c r="A115" s="36" t="str">
        <f aca="false">KMeans_Data!A97</f>
        <v>Kasur</v>
      </c>
      <c r="B115" s="17" t="n">
        <f aca="false">KMeans_Data!H97</f>
        <v>-0.831705387014662</v>
      </c>
      <c r="C115" s="17" t="n">
        <f aca="false">KMeans_Data!I97</f>
        <v>-0.672650545388274</v>
      </c>
      <c r="D115" s="17" t="n">
        <f aca="false">KMeans_Data!J97</f>
        <v>-1.14564411633355</v>
      </c>
      <c r="E115" s="63" t="n">
        <f aca="false">CD115</f>
        <v>2</v>
      </c>
      <c r="F115" s="38" t="n">
        <f aca="false">($B115-INDEX($L$16:$N$16,E115))^2+($C115-INDEX($L$17:$N$17,E115))^2+($D115-INDEX($L$18:$N$18,E115))^2</f>
        <v>0.203377161465669</v>
      </c>
      <c r="G115" s="12" t="str">
        <f aca="false">INDEX($M$5:$M$7,E115)</f>
        <v>Low burden</v>
      </c>
      <c r="H115" s="17" t="n">
        <f aca="false">IF(COUNTIF(Distance_Matrix!$E$9:$DQ$9,$E115)&lt;=1,0,SUMIF(Distance_Matrix!$E$9:$DQ$9,$E115,Distance_Matrix!$E$106:$DQ$106)/(COUNTIF(Distance_Matrix!$E$9:$DQ$9,$E115)-1))</f>
        <v>0.853058286707904</v>
      </c>
      <c r="I115" s="17" t="n">
        <f aca="false">MIN(IF(1=$E115,1E+099,IF(COUNTIF(Distance_Matrix!$E$9:$DQ$9,1)=0,1E+099,SUMIF(Distance_Matrix!$E$9:$DQ$9,1,Distance_Matrix!$E$106:$DQ$106)/COUNTIF(Distance_Matrix!$E$9:$DQ$9,1))),IF(2=$E115,1E+099,IF(COUNTIF(Distance_Matrix!$E$9:$DQ$9,2)=0,1E+099,SUMIF(Distance_Matrix!$E$9:$DQ$9,2,Distance_Matrix!$E$106:$DQ$106)/COUNTIF(Distance_Matrix!$E$9:$DQ$9,2))),IF(3=$E115,1E+099,IF(COUNTIF(Distance_Matrix!$E$9:$DQ$9,3)=0,1E+099,SUMIF(Distance_Matrix!$E$9:$DQ$9,3,Distance_Matrix!$E$106:$DQ$106)/COUNTIF(Distance_Matrix!$E$9:$DQ$9,3))))</f>
        <v>2.64023048062711</v>
      </c>
      <c r="J115" s="17" t="n">
        <f aca="false">IF(COUNTIF(Distance_Matrix!$E$9:$DQ$9,$E115)&lt;=1,0,(I115-H115)/MAX(H115,I115))</f>
        <v>0.676900068775327</v>
      </c>
      <c r="X115" s="17" t="n">
        <f aca="false">SQRT(($B115-X$16)^2+($C115-X$17)^2+($D115-X$18)^2)</f>
        <v>7.64219541328385</v>
      </c>
      <c r="Y115" s="17" t="n">
        <f aca="false">SQRT(($B115-Y$16)^2+($C115-Y$17)^2+($D115-Y$18)^2)</f>
        <v>1.24803259478866</v>
      </c>
      <c r="Z115" s="17" t="n">
        <f aca="false">SQRT(($B115-Z$16)^2+($C115-Z$17)^2+($D115-Z$18)^2)</f>
        <v>3.38265206186386</v>
      </c>
      <c r="AA115" s="63" t="n">
        <f aca="false">MATCH(MIN(X115:Z115),X115:Z115,0)</f>
        <v>2</v>
      </c>
      <c r="AC115" s="17" t="n">
        <f aca="false">SQRT(($B115-AC$16)^2+($C115-AC$17)^2+($D115-AC$18)^2)</f>
        <v>6.63037501444899</v>
      </c>
      <c r="AD115" s="17" t="n">
        <f aca="false">SQRT(($B115-AD$16)^2+($C115-AD$17)^2+($D115-AD$18)^2)</f>
        <v>0.327554579822174</v>
      </c>
      <c r="AE115" s="17" t="n">
        <f aca="false">SQRT(($B115-AE$16)^2+($C115-AE$17)^2+($D115-AE$18)^2)</f>
        <v>2.41872806153774</v>
      </c>
      <c r="AF115" s="63" t="n">
        <f aca="false">MATCH(MIN(AC115:AE115),AC115:AE115,0)</f>
        <v>2</v>
      </c>
      <c r="AH115" s="17" t="n">
        <f aca="false">SQRT(($B115-AH$16)^2+($C115-AH$17)^2+($D115-AH$18)^2)</f>
        <v>5.99771182651092</v>
      </c>
      <c r="AI115" s="17" t="n">
        <f aca="false">SQRT(($B115-AI$16)^2+($C115-AI$17)^2+($D115-AI$18)^2)</f>
        <v>0.435826927156005</v>
      </c>
      <c r="AJ115" s="17" t="n">
        <f aca="false">SQRT(($B115-AJ$16)^2+($C115-AJ$17)^2+($D115-AJ$18)^2)</f>
        <v>2.52213654443754</v>
      </c>
      <c r="AK115" s="63" t="n">
        <f aca="false">MATCH(MIN(AH115:AJ115),AH115:AJ115,0)</f>
        <v>2</v>
      </c>
      <c r="AM115" s="17" t="n">
        <f aca="false">SQRT(($B115-AM$16)^2+($C115-AM$17)^2+($D115-AM$18)^2)</f>
        <v>5.99771182651092</v>
      </c>
      <c r="AN115" s="17" t="n">
        <f aca="false">SQRT(($B115-AN$16)^2+($C115-AN$17)^2+($D115-AN$18)^2)</f>
        <v>0.4509735706953</v>
      </c>
      <c r="AO115" s="17" t="n">
        <f aca="false">SQRT(($B115-AO$16)^2+($C115-AO$17)^2+($D115-AO$18)^2)</f>
        <v>2.54573788243202</v>
      </c>
      <c r="AP115" s="63" t="n">
        <f aca="false">MATCH(MIN(AM115:AO115),AM115:AO115,0)</f>
        <v>2</v>
      </c>
      <c r="AR115" s="17" t="n">
        <f aca="false">SQRT(($B115-AR$16)^2+($C115-AR$17)^2+($D115-AR$18)^2)</f>
        <v>5.99771182651092</v>
      </c>
      <c r="AS115" s="17" t="n">
        <f aca="false">SQRT(($B115-AS$16)^2+($C115-AS$17)^2+($D115-AS$18)^2)</f>
        <v>0.4509735706953</v>
      </c>
      <c r="AT115" s="17" t="n">
        <f aca="false">SQRT(($B115-AT$16)^2+($C115-AT$17)^2+($D115-AT$18)^2)</f>
        <v>2.54573788243202</v>
      </c>
      <c r="AU115" s="63" t="n">
        <f aca="false">MATCH(MIN(AR115:AT115),AR115:AT115,0)</f>
        <v>2</v>
      </c>
      <c r="AW115" s="17" t="n">
        <f aca="false">SQRT(($B115-AW$16)^2+($C115-AW$17)^2+($D115-AW$18)^2)</f>
        <v>5.99771182651092</v>
      </c>
      <c r="AX115" s="17" t="n">
        <f aca="false">SQRT(($B115-AX$16)^2+($C115-AX$17)^2+($D115-AX$18)^2)</f>
        <v>0.4509735706953</v>
      </c>
      <c r="AY115" s="17" t="n">
        <f aca="false">SQRT(($B115-AY$16)^2+($C115-AY$17)^2+($D115-AY$18)^2)</f>
        <v>2.54573788243202</v>
      </c>
      <c r="AZ115" s="63" t="n">
        <f aca="false">MATCH(MIN(AW115:AY115),AW115:AY115,0)</f>
        <v>2</v>
      </c>
      <c r="BB115" s="17" t="n">
        <f aca="false">SQRT(($B115-BB$16)^2+($C115-BB$17)^2+($D115-BB$18)^2)</f>
        <v>5.99771182651092</v>
      </c>
      <c r="BC115" s="17" t="n">
        <f aca="false">SQRT(($B115-BC$16)^2+($C115-BC$17)^2+($D115-BC$18)^2)</f>
        <v>0.4509735706953</v>
      </c>
      <c r="BD115" s="17" t="n">
        <f aca="false">SQRT(($B115-BD$16)^2+($C115-BD$17)^2+($D115-BD$18)^2)</f>
        <v>2.54573788243202</v>
      </c>
      <c r="BE115" s="63" t="n">
        <f aca="false">MATCH(MIN(BB115:BD115),BB115:BD115,0)</f>
        <v>2</v>
      </c>
      <c r="BG115" s="17" t="n">
        <f aca="false">SQRT(($B115-BG$16)^2+($C115-BG$17)^2+($D115-BG$18)^2)</f>
        <v>5.99771182651092</v>
      </c>
      <c r="BH115" s="17" t="n">
        <f aca="false">SQRT(($B115-BH$16)^2+($C115-BH$17)^2+($D115-BH$18)^2)</f>
        <v>0.4509735706953</v>
      </c>
      <c r="BI115" s="17" t="n">
        <f aca="false">SQRT(($B115-BI$16)^2+($C115-BI$17)^2+($D115-BI$18)^2)</f>
        <v>2.54573788243202</v>
      </c>
      <c r="BJ115" s="63" t="n">
        <f aca="false">MATCH(MIN(BG115:BI115),BG115:BI115,0)</f>
        <v>2</v>
      </c>
      <c r="BL115" s="17" t="n">
        <f aca="false">SQRT(($B115-BL$16)^2+($C115-BL$17)^2+($D115-BL$18)^2)</f>
        <v>5.99771182651092</v>
      </c>
      <c r="BM115" s="17" t="n">
        <f aca="false">SQRT(($B115-BM$16)^2+($C115-BM$17)^2+($D115-BM$18)^2)</f>
        <v>0.4509735706953</v>
      </c>
      <c r="BN115" s="17" t="n">
        <f aca="false">SQRT(($B115-BN$16)^2+($C115-BN$17)^2+($D115-BN$18)^2)</f>
        <v>2.54573788243202</v>
      </c>
      <c r="BO115" s="63" t="n">
        <f aca="false">MATCH(MIN(BL115:BN115),BL115:BN115,0)</f>
        <v>2</v>
      </c>
      <c r="BQ115" s="17" t="n">
        <f aca="false">SQRT(($B115-BQ$16)^2+($C115-BQ$17)^2+($D115-BQ$18)^2)</f>
        <v>5.99771182651092</v>
      </c>
      <c r="BR115" s="17" t="n">
        <f aca="false">SQRT(($B115-BR$16)^2+($C115-BR$17)^2+($D115-BR$18)^2)</f>
        <v>0.4509735706953</v>
      </c>
      <c r="BS115" s="17" t="n">
        <f aca="false">SQRT(($B115-BS$16)^2+($C115-BS$17)^2+($D115-BS$18)^2)</f>
        <v>2.54573788243202</v>
      </c>
      <c r="BT115" s="63" t="n">
        <f aca="false">MATCH(MIN(BQ115:BS115),BQ115:BS115,0)</f>
        <v>2</v>
      </c>
      <c r="BV115" s="17" t="n">
        <f aca="false">SQRT(($B115-BV$16)^2+($C115-BV$17)^2+($D115-BV$18)^2)</f>
        <v>5.99771182651092</v>
      </c>
      <c r="BW115" s="17" t="n">
        <f aca="false">SQRT(($B115-BW$16)^2+($C115-BW$17)^2+($D115-BW$18)^2)</f>
        <v>0.4509735706953</v>
      </c>
      <c r="BX115" s="17" t="n">
        <f aca="false">SQRT(($B115-BX$16)^2+($C115-BX$17)^2+($D115-BX$18)^2)</f>
        <v>2.54573788243202</v>
      </c>
      <c r="BY115" s="63" t="n">
        <f aca="false">MATCH(MIN(BV115:BX115),BV115:BX115,0)</f>
        <v>2</v>
      </c>
      <c r="CA115" s="17" t="n">
        <f aca="false">SQRT(($B115-CA$16)^2+($C115-CA$17)^2+($D115-CA$18)^2)</f>
        <v>5.99771182651092</v>
      </c>
      <c r="CB115" s="17" t="n">
        <f aca="false">SQRT(($B115-CB$16)^2+($C115-CB$17)^2+($D115-CB$18)^2)</f>
        <v>0.4509735706953</v>
      </c>
      <c r="CC115" s="17" t="n">
        <f aca="false">SQRT(($B115-CC$16)^2+($C115-CC$17)^2+($D115-CC$18)^2)</f>
        <v>2.54573788243202</v>
      </c>
      <c r="CD115" s="63" t="n">
        <f aca="false">MATCH(MIN(CA115:CC115),CA115:CC115,0)</f>
        <v>2</v>
      </c>
    </row>
    <row r="116" customFormat="false" ht="15" hidden="false" customHeight="false" outlineLevel="0" collapsed="false">
      <c r="A116" s="36" t="str">
        <f aca="false">KMeans_Data!A98</f>
        <v>Rajanpur</v>
      </c>
      <c r="B116" s="17" t="n">
        <f aca="false">KMeans_Data!H98</f>
        <v>-0.881311477972984</v>
      </c>
      <c r="C116" s="17" t="n">
        <f aca="false">KMeans_Data!I98</f>
        <v>-0.672650545388274</v>
      </c>
      <c r="D116" s="17" t="n">
        <f aca="false">KMeans_Data!J98</f>
        <v>-1.14564411633355</v>
      </c>
      <c r="E116" s="63" t="n">
        <f aca="false">CD116</f>
        <v>2</v>
      </c>
      <c r="F116" s="38" t="n">
        <f aca="false">($B116-INDEX($L$16:$N$16,E116))^2+($C116-INDEX($L$17:$N$17,E116))^2+($D116-INDEX($L$18:$N$18,E116))^2</f>
        <v>0.225089333937342</v>
      </c>
      <c r="G116" s="12" t="str">
        <f aca="false">INDEX($M$5:$M$7,E116)</f>
        <v>Low burden</v>
      </c>
      <c r="H116" s="17" t="n">
        <f aca="false">IF(COUNTIF(Distance_Matrix!$E$9:$DQ$9,$E116)&lt;=1,0,SUMIF(Distance_Matrix!$E$9:$DQ$9,$E116,Distance_Matrix!$E$107:$DQ$107)/(COUNTIF(Distance_Matrix!$E$9:$DQ$9,$E116)-1))</f>
        <v>0.859240894985265</v>
      </c>
      <c r="I116" s="17" t="n">
        <f aca="false">MIN(IF(1=$E116,1E+099,IF(COUNTIF(Distance_Matrix!$E$9:$DQ$9,1)=0,1E+099,SUMIF(Distance_Matrix!$E$9:$DQ$9,1,Distance_Matrix!$E$107:$DQ$107)/COUNTIF(Distance_Matrix!$E$9:$DQ$9,1))),IF(2=$E116,1E+099,IF(COUNTIF(Distance_Matrix!$E$9:$DQ$9,2)=0,1E+099,SUMIF(Distance_Matrix!$E$9:$DQ$9,2,Distance_Matrix!$E$107:$DQ$107)/COUNTIF(Distance_Matrix!$E$9:$DQ$9,2))),IF(3=$E116,1E+099,IF(COUNTIF(Distance_Matrix!$E$9:$DQ$9,3)=0,1E+099,SUMIF(Distance_Matrix!$E$9:$DQ$9,3,Distance_Matrix!$E$107:$DQ$107)/COUNTIF(Distance_Matrix!$E$9:$DQ$9,3))))</f>
        <v>2.6659078830739</v>
      </c>
      <c r="J116" s="17" t="n">
        <f aca="false">IF(COUNTIF(Distance_Matrix!$E$9:$DQ$9,$E116)&lt;=1,0,(I116-H116)/MAX(H116,I116))</f>
        <v>0.677692953893618</v>
      </c>
      <c r="X116" s="17" t="n">
        <f aca="false">SQRT(($B116-X$16)^2+($C116-X$17)^2+($D116-X$18)^2)</f>
        <v>7.66896199778013</v>
      </c>
      <c r="Y116" s="17" t="n">
        <f aca="false">SQRT(($B116-Y$16)^2+($C116-Y$17)^2+($D116-Y$18)^2)</f>
        <v>1.19842650383034</v>
      </c>
      <c r="Z116" s="17" t="n">
        <f aca="false">SQRT(($B116-Z$16)^2+($C116-Z$17)^2+($D116-Z$18)^2)</f>
        <v>3.41031193536842</v>
      </c>
      <c r="AA116" s="63" t="n">
        <f aca="false">MATCH(MIN(X116:Z116),X116:Z116,0)</f>
        <v>2</v>
      </c>
      <c r="AC116" s="17" t="n">
        <f aca="false">SQRT(($B116-AC$16)^2+($C116-AC$17)^2+($D116-AC$18)^2)</f>
        <v>6.6577392498362</v>
      </c>
      <c r="AD116" s="17" t="n">
        <f aca="false">SQRT(($B116-AD$16)^2+($C116-AD$17)^2+($D116-AD$18)^2)</f>
        <v>0.341221046548889</v>
      </c>
      <c r="AE116" s="17" t="n">
        <f aca="false">SQRT(($B116-AE$16)^2+($C116-AE$17)^2+($D116-AE$18)^2)</f>
        <v>2.44657718499254</v>
      </c>
      <c r="AF116" s="63" t="n">
        <f aca="false">MATCH(MIN(AC116:AE116),AC116:AE116,0)</f>
        <v>2</v>
      </c>
      <c r="AH116" s="17" t="n">
        <f aca="false">SQRT(($B116-AH$16)^2+($C116-AH$17)^2+($D116-AH$18)^2)</f>
        <v>6.02527055805029</v>
      </c>
      <c r="AI116" s="17" t="n">
        <f aca="false">SQRT(($B116-AI$16)^2+($C116-AI$17)^2+($D116-AI$18)^2)</f>
        <v>0.45965642855728</v>
      </c>
      <c r="AJ116" s="17" t="n">
        <f aca="false">SQRT(($B116-AJ$16)^2+($C116-AJ$17)^2+($D116-AJ$18)^2)</f>
        <v>2.5488237499609</v>
      </c>
      <c r="AK116" s="63" t="n">
        <f aca="false">MATCH(MIN(AH116:AJ116),AH116:AJ116,0)</f>
        <v>2</v>
      </c>
      <c r="AM116" s="17" t="n">
        <f aca="false">SQRT(($B116-AM$16)^2+($C116-AM$17)^2+($D116-AM$18)^2)</f>
        <v>6.02527055805029</v>
      </c>
      <c r="AN116" s="17" t="n">
        <f aca="false">SQRT(($B116-AN$16)^2+($C116-AN$17)^2+($D116-AN$18)^2)</f>
        <v>0.474435805918295</v>
      </c>
      <c r="AO116" s="17" t="n">
        <f aca="false">SQRT(($B116-AO$16)^2+($C116-AO$17)^2+($D116-AO$18)^2)</f>
        <v>2.5725466066417</v>
      </c>
      <c r="AP116" s="63" t="n">
        <f aca="false">MATCH(MIN(AM116:AO116),AM116:AO116,0)</f>
        <v>2</v>
      </c>
      <c r="AR116" s="17" t="n">
        <f aca="false">SQRT(($B116-AR$16)^2+($C116-AR$17)^2+($D116-AR$18)^2)</f>
        <v>6.02527055805029</v>
      </c>
      <c r="AS116" s="17" t="n">
        <f aca="false">SQRT(($B116-AS$16)^2+($C116-AS$17)^2+($D116-AS$18)^2)</f>
        <v>0.474435805918295</v>
      </c>
      <c r="AT116" s="17" t="n">
        <f aca="false">SQRT(($B116-AT$16)^2+($C116-AT$17)^2+($D116-AT$18)^2)</f>
        <v>2.5725466066417</v>
      </c>
      <c r="AU116" s="63" t="n">
        <f aca="false">MATCH(MIN(AR116:AT116),AR116:AT116,0)</f>
        <v>2</v>
      </c>
      <c r="AW116" s="17" t="n">
        <f aca="false">SQRT(($B116-AW$16)^2+($C116-AW$17)^2+($D116-AW$18)^2)</f>
        <v>6.02527055805029</v>
      </c>
      <c r="AX116" s="17" t="n">
        <f aca="false">SQRT(($B116-AX$16)^2+($C116-AX$17)^2+($D116-AX$18)^2)</f>
        <v>0.474435805918295</v>
      </c>
      <c r="AY116" s="17" t="n">
        <f aca="false">SQRT(($B116-AY$16)^2+($C116-AY$17)^2+($D116-AY$18)^2)</f>
        <v>2.5725466066417</v>
      </c>
      <c r="AZ116" s="63" t="n">
        <f aca="false">MATCH(MIN(AW116:AY116),AW116:AY116,0)</f>
        <v>2</v>
      </c>
      <c r="BB116" s="17" t="n">
        <f aca="false">SQRT(($B116-BB$16)^2+($C116-BB$17)^2+($D116-BB$18)^2)</f>
        <v>6.02527055805029</v>
      </c>
      <c r="BC116" s="17" t="n">
        <f aca="false">SQRT(($B116-BC$16)^2+($C116-BC$17)^2+($D116-BC$18)^2)</f>
        <v>0.474435805918295</v>
      </c>
      <c r="BD116" s="17" t="n">
        <f aca="false">SQRT(($B116-BD$16)^2+($C116-BD$17)^2+($D116-BD$18)^2)</f>
        <v>2.5725466066417</v>
      </c>
      <c r="BE116" s="63" t="n">
        <f aca="false">MATCH(MIN(BB116:BD116),BB116:BD116,0)</f>
        <v>2</v>
      </c>
      <c r="BG116" s="17" t="n">
        <f aca="false">SQRT(($B116-BG$16)^2+($C116-BG$17)^2+($D116-BG$18)^2)</f>
        <v>6.02527055805029</v>
      </c>
      <c r="BH116" s="17" t="n">
        <f aca="false">SQRT(($B116-BH$16)^2+($C116-BH$17)^2+($D116-BH$18)^2)</f>
        <v>0.474435805918295</v>
      </c>
      <c r="BI116" s="17" t="n">
        <f aca="false">SQRT(($B116-BI$16)^2+($C116-BI$17)^2+($D116-BI$18)^2)</f>
        <v>2.5725466066417</v>
      </c>
      <c r="BJ116" s="63" t="n">
        <f aca="false">MATCH(MIN(BG116:BI116),BG116:BI116,0)</f>
        <v>2</v>
      </c>
      <c r="BL116" s="17" t="n">
        <f aca="false">SQRT(($B116-BL$16)^2+($C116-BL$17)^2+($D116-BL$18)^2)</f>
        <v>6.02527055805029</v>
      </c>
      <c r="BM116" s="17" t="n">
        <f aca="false">SQRT(($B116-BM$16)^2+($C116-BM$17)^2+($D116-BM$18)^2)</f>
        <v>0.474435805918295</v>
      </c>
      <c r="BN116" s="17" t="n">
        <f aca="false">SQRT(($B116-BN$16)^2+($C116-BN$17)^2+($D116-BN$18)^2)</f>
        <v>2.5725466066417</v>
      </c>
      <c r="BO116" s="63" t="n">
        <f aca="false">MATCH(MIN(BL116:BN116),BL116:BN116,0)</f>
        <v>2</v>
      </c>
      <c r="BQ116" s="17" t="n">
        <f aca="false">SQRT(($B116-BQ$16)^2+($C116-BQ$17)^2+($D116-BQ$18)^2)</f>
        <v>6.02527055805029</v>
      </c>
      <c r="BR116" s="17" t="n">
        <f aca="false">SQRT(($B116-BR$16)^2+($C116-BR$17)^2+($D116-BR$18)^2)</f>
        <v>0.474435805918295</v>
      </c>
      <c r="BS116" s="17" t="n">
        <f aca="false">SQRT(($B116-BS$16)^2+($C116-BS$17)^2+($D116-BS$18)^2)</f>
        <v>2.5725466066417</v>
      </c>
      <c r="BT116" s="63" t="n">
        <f aca="false">MATCH(MIN(BQ116:BS116),BQ116:BS116,0)</f>
        <v>2</v>
      </c>
      <c r="BV116" s="17" t="n">
        <f aca="false">SQRT(($B116-BV$16)^2+($C116-BV$17)^2+($D116-BV$18)^2)</f>
        <v>6.02527055805029</v>
      </c>
      <c r="BW116" s="17" t="n">
        <f aca="false">SQRT(($B116-BW$16)^2+($C116-BW$17)^2+($D116-BW$18)^2)</f>
        <v>0.474435805918295</v>
      </c>
      <c r="BX116" s="17" t="n">
        <f aca="false">SQRT(($B116-BX$16)^2+($C116-BX$17)^2+($D116-BX$18)^2)</f>
        <v>2.5725466066417</v>
      </c>
      <c r="BY116" s="63" t="n">
        <f aca="false">MATCH(MIN(BV116:BX116),BV116:BX116,0)</f>
        <v>2</v>
      </c>
      <c r="CA116" s="17" t="n">
        <f aca="false">SQRT(($B116-CA$16)^2+($C116-CA$17)^2+($D116-CA$18)^2)</f>
        <v>6.02527055805029</v>
      </c>
      <c r="CB116" s="17" t="n">
        <f aca="false">SQRT(($B116-CB$16)^2+($C116-CB$17)^2+($D116-CB$18)^2)</f>
        <v>0.474435805918295</v>
      </c>
      <c r="CC116" s="17" t="n">
        <f aca="false">SQRT(($B116-CC$16)^2+($C116-CC$17)^2+($D116-CC$18)^2)</f>
        <v>2.5725466066417</v>
      </c>
      <c r="CD116" s="63" t="n">
        <f aca="false">MATCH(MIN(CA116:CC116),CA116:CC116,0)</f>
        <v>2</v>
      </c>
    </row>
    <row r="117" customFormat="false" ht="15" hidden="false" customHeight="false" outlineLevel="0" collapsed="false">
      <c r="A117" s="36" t="str">
        <f aca="false">KMeans_Data!A99</f>
        <v>Umerkot</v>
      </c>
      <c r="B117" s="17" t="n">
        <f aca="false">KMeans_Data!H99</f>
        <v>-0.881311477972984</v>
      </c>
      <c r="C117" s="17" t="n">
        <f aca="false">KMeans_Data!I99</f>
        <v>-0.146983133929529</v>
      </c>
      <c r="D117" s="17" t="n">
        <f aca="false">KMeans_Data!J99</f>
        <v>-0.824446015898766</v>
      </c>
      <c r="E117" s="63" t="n">
        <f aca="false">CD117</f>
        <v>2</v>
      </c>
      <c r="F117" s="38" t="n">
        <f aca="false">($B117-INDEX($L$16:$N$16,E117))^2+($C117-INDEX($L$17:$N$17,E117))^2+($D117-INDEX($L$18:$N$18,E117))^2</f>
        <v>0.29242040116368</v>
      </c>
      <c r="G117" s="12" t="str">
        <f aca="false">INDEX($M$5:$M$7,E117)</f>
        <v>Low burden</v>
      </c>
      <c r="H117" s="17" t="n">
        <f aca="false">IF(COUNTIF(Distance_Matrix!$E$9:$DQ$9,$E117)&lt;=1,0,SUMIF(Distance_Matrix!$E$9:$DQ$9,$E117,Distance_Matrix!$E$108:$DQ$108)/(COUNTIF(Distance_Matrix!$E$9:$DQ$9,$E117)-1))</f>
        <v>0.956815731794139</v>
      </c>
      <c r="I117" s="17" t="n">
        <f aca="false">MIN(IF(1=$E117,1E+099,IF(COUNTIF(Distance_Matrix!$E$9:$DQ$9,1)=0,1E+099,SUMIF(Distance_Matrix!$E$9:$DQ$9,1,Distance_Matrix!$E$108:$DQ$108)/COUNTIF(Distance_Matrix!$E$9:$DQ$9,1))),IF(2=$E117,1E+099,IF(COUNTIF(Distance_Matrix!$E$9:$DQ$9,2)=0,1E+099,SUMIF(Distance_Matrix!$E$9:$DQ$9,2,Distance_Matrix!$E$108:$DQ$108)/COUNTIF(Distance_Matrix!$E$9:$DQ$9,2))),IF(3=$E117,1E+099,IF(COUNTIF(Distance_Matrix!$E$9:$DQ$9,3)=0,1E+099,SUMIF(Distance_Matrix!$E$9:$DQ$9,3,Distance_Matrix!$E$108:$DQ$108)/COUNTIF(Distance_Matrix!$E$9:$DQ$9,3))))</f>
        <v>2.2776492207333</v>
      </c>
      <c r="J117" s="17" t="n">
        <f aca="false">IF(COUNTIF(Distance_Matrix!$E$9:$DQ$9,$E117)&lt;=1,0,(I117-H117)/MAX(H117,I117))</f>
        <v>0.579910847076755</v>
      </c>
      <c r="X117" s="17" t="n">
        <f aca="false">SQRT(($B117-X$16)^2+($C117-X$17)^2+($D117-X$18)^2)</f>
        <v>7.1703290216323</v>
      </c>
      <c r="Y117" s="17" t="n">
        <f aca="false">SQRT(($B117-Y$16)^2+($C117-Y$17)^2+($D117-Y$18)^2)</f>
        <v>1.34748674660483</v>
      </c>
      <c r="Z117" s="17" t="n">
        <f aca="false">SQRT(($B117-Z$16)^2+($C117-Z$17)^2+($D117-Z$18)^2)</f>
        <v>3.03708367541972</v>
      </c>
      <c r="AA117" s="63" t="n">
        <f aca="false">MATCH(MIN(X117:Z117),X117:Z117,0)</f>
        <v>2</v>
      </c>
      <c r="AC117" s="17" t="n">
        <f aca="false">SQRT(($B117-AC$16)^2+($C117-AC$17)^2+($D117-AC$18)^2)</f>
        <v>6.16209218071299</v>
      </c>
      <c r="AD117" s="17" t="n">
        <f aca="false">SQRT(($B117-AD$16)^2+($C117-AD$17)^2+($D117-AD$18)^2)</f>
        <v>0.510050908459169</v>
      </c>
      <c r="AE117" s="17" t="n">
        <f aca="false">SQRT(($B117-AE$16)^2+($C117-AE$17)^2+($D117-AE$18)^2)</f>
        <v>2.04345950062991</v>
      </c>
      <c r="AF117" s="63" t="n">
        <f aca="false">MATCH(MIN(AC117:AE117),AC117:AE117,0)</f>
        <v>2</v>
      </c>
      <c r="AH117" s="17" t="n">
        <f aca="false">SQRT(($B117-AH$16)^2+($C117-AH$17)^2+($D117-AH$18)^2)</f>
        <v>5.53391388416087</v>
      </c>
      <c r="AI117" s="17" t="n">
        <f aca="false">SQRT(($B117-AI$16)^2+($C117-AI$17)^2+($D117-AI$18)^2)</f>
        <v>0.543880486816424</v>
      </c>
      <c r="AJ117" s="17" t="n">
        <f aca="false">SQRT(($B117-AJ$16)^2+($C117-AJ$17)^2+($D117-AJ$18)^2)</f>
        <v>2.13197243862818</v>
      </c>
      <c r="AK117" s="63" t="n">
        <f aca="false">MATCH(MIN(AH117:AJ117),AH117:AJ117,0)</f>
        <v>2</v>
      </c>
      <c r="AM117" s="17" t="n">
        <f aca="false">SQRT(($B117-AM$16)^2+($C117-AM$17)^2+($D117-AM$18)^2)</f>
        <v>5.53391388416087</v>
      </c>
      <c r="AN117" s="17" t="n">
        <f aca="false">SQRT(($B117-AN$16)^2+($C117-AN$17)^2+($D117-AN$18)^2)</f>
        <v>0.540759097162202</v>
      </c>
      <c r="AO117" s="17" t="n">
        <f aca="false">SQRT(($B117-AO$16)^2+($C117-AO$17)^2+($D117-AO$18)^2)</f>
        <v>2.15567907132627</v>
      </c>
      <c r="AP117" s="63" t="n">
        <f aca="false">MATCH(MIN(AM117:AO117),AM117:AO117,0)</f>
        <v>2</v>
      </c>
      <c r="AR117" s="17" t="n">
        <f aca="false">SQRT(($B117-AR$16)^2+($C117-AR$17)^2+($D117-AR$18)^2)</f>
        <v>5.53391388416087</v>
      </c>
      <c r="AS117" s="17" t="n">
        <f aca="false">SQRT(($B117-AS$16)^2+($C117-AS$17)^2+($D117-AS$18)^2)</f>
        <v>0.540759097162202</v>
      </c>
      <c r="AT117" s="17" t="n">
        <f aca="false">SQRT(($B117-AT$16)^2+($C117-AT$17)^2+($D117-AT$18)^2)</f>
        <v>2.15567907132627</v>
      </c>
      <c r="AU117" s="63" t="n">
        <f aca="false">MATCH(MIN(AR117:AT117),AR117:AT117,0)</f>
        <v>2</v>
      </c>
      <c r="AW117" s="17" t="n">
        <f aca="false">SQRT(($B117-AW$16)^2+($C117-AW$17)^2+($D117-AW$18)^2)</f>
        <v>5.53391388416087</v>
      </c>
      <c r="AX117" s="17" t="n">
        <f aca="false">SQRT(($B117-AX$16)^2+($C117-AX$17)^2+($D117-AX$18)^2)</f>
        <v>0.540759097162202</v>
      </c>
      <c r="AY117" s="17" t="n">
        <f aca="false">SQRT(($B117-AY$16)^2+($C117-AY$17)^2+($D117-AY$18)^2)</f>
        <v>2.15567907132627</v>
      </c>
      <c r="AZ117" s="63" t="n">
        <f aca="false">MATCH(MIN(AW117:AY117),AW117:AY117,0)</f>
        <v>2</v>
      </c>
      <c r="BB117" s="17" t="n">
        <f aca="false">SQRT(($B117-BB$16)^2+($C117-BB$17)^2+($D117-BB$18)^2)</f>
        <v>5.53391388416087</v>
      </c>
      <c r="BC117" s="17" t="n">
        <f aca="false">SQRT(($B117-BC$16)^2+($C117-BC$17)^2+($D117-BC$18)^2)</f>
        <v>0.540759097162202</v>
      </c>
      <c r="BD117" s="17" t="n">
        <f aca="false">SQRT(($B117-BD$16)^2+($C117-BD$17)^2+($D117-BD$18)^2)</f>
        <v>2.15567907132627</v>
      </c>
      <c r="BE117" s="63" t="n">
        <f aca="false">MATCH(MIN(BB117:BD117),BB117:BD117,0)</f>
        <v>2</v>
      </c>
      <c r="BG117" s="17" t="n">
        <f aca="false">SQRT(($B117-BG$16)^2+($C117-BG$17)^2+($D117-BG$18)^2)</f>
        <v>5.53391388416087</v>
      </c>
      <c r="BH117" s="17" t="n">
        <f aca="false">SQRT(($B117-BH$16)^2+($C117-BH$17)^2+($D117-BH$18)^2)</f>
        <v>0.540759097162202</v>
      </c>
      <c r="BI117" s="17" t="n">
        <f aca="false">SQRT(($B117-BI$16)^2+($C117-BI$17)^2+($D117-BI$18)^2)</f>
        <v>2.15567907132627</v>
      </c>
      <c r="BJ117" s="63" t="n">
        <f aca="false">MATCH(MIN(BG117:BI117),BG117:BI117,0)</f>
        <v>2</v>
      </c>
      <c r="BL117" s="17" t="n">
        <f aca="false">SQRT(($B117-BL$16)^2+($C117-BL$17)^2+($D117-BL$18)^2)</f>
        <v>5.53391388416087</v>
      </c>
      <c r="BM117" s="17" t="n">
        <f aca="false">SQRT(($B117-BM$16)^2+($C117-BM$17)^2+($D117-BM$18)^2)</f>
        <v>0.540759097162202</v>
      </c>
      <c r="BN117" s="17" t="n">
        <f aca="false">SQRT(($B117-BN$16)^2+($C117-BN$17)^2+($D117-BN$18)^2)</f>
        <v>2.15567907132627</v>
      </c>
      <c r="BO117" s="63" t="n">
        <f aca="false">MATCH(MIN(BL117:BN117),BL117:BN117,0)</f>
        <v>2</v>
      </c>
      <c r="BQ117" s="17" t="n">
        <f aca="false">SQRT(($B117-BQ$16)^2+($C117-BQ$17)^2+($D117-BQ$18)^2)</f>
        <v>5.53391388416087</v>
      </c>
      <c r="BR117" s="17" t="n">
        <f aca="false">SQRT(($B117-BR$16)^2+($C117-BR$17)^2+($D117-BR$18)^2)</f>
        <v>0.540759097162202</v>
      </c>
      <c r="BS117" s="17" t="n">
        <f aca="false">SQRT(($B117-BS$16)^2+($C117-BS$17)^2+($D117-BS$18)^2)</f>
        <v>2.15567907132627</v>
      </c>
      <c r="BT117" s="63" t="n">
        <f aca="false">MATCH(MIN(BQ117:BS117),BQ117:BS117,0)</f>
        <v>2</v>
      </c>
      <c r="BV117" s="17" t="n">
        <f aca="false">SQRT(($B117-BV$16)^2+($C117-BV$17)^2+($D117-BV$18)^2)</f>
        <v>5.53391388416087</v>
      </c>
      <c r="BW117" s="17" t="n">
        <f aca="false">SQRT(($B117-BW$16)^2+($C117-BW$17)^2+($D117-BW$18)^2)</f>
        <v>0.540759097162202</v>
      </c>
      <c r="BX117" s="17" t="n">
        <f aca="false">SQRT(($B117-BX$16)^2+($C117-BX$17)^2+($D117-BX$18)^2)</f>
        <v>2.15567907132627</v>
      </c>
      <c r="BY117" s="63" t="n">
        <f aca="false">MATCH(MIN(BV117:BX117),BV117:BX117,0)</f>
        <v>2</v>
      </c>
      <c r="CA117" s="17" t="n">
        <f aca="false">SQRT(($B117-CA$16)^2+($C117-CA$17)^2+($D117-CA$18)^2)</f>
        <v>5.53391388416087</v>
      </c>
      <c r="CB117" s="17" t="n">
        <f aca="false">SQRT(($B117-CB$16)^2+($C117-CB$17)^2+($D117-CB$18)^2)</f>
        <v>0.540759097162202</v>
      </c>
      <c r="CC117" s="17" t="n">
        <f aca="false">SQRT(($B117-CC$16)^2+($C117-CC$17)^2+($D117-CC$18)^2)</f>
        <v>2.15567907132627</v>
      </c>
      <c r="CD117" s="63" t="n">
        <f aca="false">MATCH(MIN(CA117:CC117),CA117:CC117,0)</f>
        <v>2</v>
      </c>
    </row>
    <row r="118" customFormat="false" ht="15" hidden="false" customHeight="false" outlineLevel="0" collapsed="false">
      <c r="A118" s="36" t="str">
        <f aca="false">KMeans_Data!A100</f>
        <v>Tando Allahyar</v>
      </c>
      <c r="B118" s="17" t="n">
        <f aca="false">KMeans_Data!H100</f>
        <v>-0.881311477972984</v>
      </c>
      <c r="C118" s="17" t="n">
        <f aca="false">KMeans_Data!I100</f>
        <v>-0.672650545388274</v>
      </c>
      <c r="D118" s="17" t="n">
        <f aca="false">KMeans_Data!J100</f>
        <v>0.265159896369606</v>
      </c>
      <c r="E118" s="63" t="n">
        <f aca="false">CD118</f>
        <v>2</v>
      </c>
      <c r="F118" s="38" t="n">
        <f aca="false">($B118-INDEX($L$16:$N$16,E118))^2+($C118-INDEX($L$17:$N$17,E118))^2+($D118-INDEX($L$18:$N$18,E118))^2</f>
        <v>1.07551997757637</v>
      </c>
      <c r="G118" s="12" t="str">
        <f aca="false">INDEX($M$5:$M$7,E118)</f>
        <v>Low burden</v>
      </c>
      <c r="H118" s="17" t="n">
        <f aca="false">IF(COUNTIF(Distance_Matrix!$E$9:$DQ$9,$E118)&lt;=1,0,SUMIF(Distance_Matrix!$E$9:$DQ$9,$E118,Distance_Matrix!$E$109:$DQ$109)/(COUNTIF(Distance_Matrix!$E$9:$DQ$9,$E118)-1))</f>
        <v>1.26562715307716</v>
      </c>
      <c r="I118" s="17" t="n">
        <f aca="false">MIN(IF(1=$E118,1E+099,IF(COUNTIF(Distance_Matrix!$E$9:$DQ$9,1)=0,1E+099,SUMIF(Distance_Matrix!$E$9:$DQ$9,1,Distance_Matrix!$E$109:$DQ$109)/COUNTIF(Distance_Matrix!$E$9:$DQ$9,1))),IF(2=$E118,1E+099,IF(COUNTIF(Distance_Matrix!$E$9:$DQ$9,2)=0,1E+099,SUMIF(Distance_Matrix!$E$9:$DQ$9,2,Distance_Matrix!$E$109:$DQ$109)/COUNTIF(Distance_Matrix!$E$9:$DQ$9,2))),IF(3=$E118,1E+099,IF(COUNTIF(Distance_Matrix!$E$9:$DQ$9,3)=0,1E+099,SUMIF(Distance_Matrix!$E$9:$DQ$9,3,Distance_Matrix!$E$109:$DQ$109)/COUNTIF(Distance_Matrix!$E$9:$DQ$9,3))))</f>
        <v>1.95725299860457</v>
      </c>
      <c r="J118" s="17" t="n">
        <f aca="false">IF(COUNTIF(Distance_Matrix!$E$9:$DQ$9,$E118)&lt;=1,0,(I118-H118)/MAX(H118,I118))</f>
        <v>0.353365582283184</v>
      </c>
      <c r="X118" s="17" t="n">
        <f aca="false">SQRT(($B118-X$16)^2+($C118-X$17)^2+($D118-X$18)^2)</f>
        <v>6.95650104174171</v>
      </c>
      <c r="Y118" s="17" t="n">
        <f aca="false">SQRT(($B118-Y$16)^2+($C118-Y$17)^2+($D118-Y$18)^2)</f>
        <v>1.8511061685766</v>
      </c>
      <c r="Z118" s="17" t="n">
        <f aca="false">SQRT(($B118-Z$16)^2+($C118-Z$17)^2+($D118-Z$18)^2)</f>
        <v>2.49782531278287</v>
      </c>
      <c r="AA118" s="63" t="n">
        <f aca="false">MATCH(MIN(X118:Z118),X118:Z118,0)</f>
        <v>2</v>
      </c>
      <c r="AC118" s="17" t="n">
        <f aca="false">SQRT(($B118-AC$16)^2+($C118-AC$17)^2+($D118-AC$18)^2)</f>
        <v>6.00564092710116</v>
      </c>
      <c r="AD118" s="17" t="n">
        <f aca="false">SQRT(($B118-AD$16)^2+($C118-AD$17)^2+($D118-AD$18)^2)</f>
        <v>1.09820811030835</v>
      </c>
      <c r="AE118" s="17" t="n">
        <f aca="false">SQRT(($B118-AE$16)^2+($C118-AE$17)^2+($D118-AE$18)^2)</f>
        <v>1.75640929596979</v>
      </c>
      <c r="AF118" s="63" t="n">
        <f aca="false">MATCH(MIN(AC118:AE118),AC118:AE118,0)</f>
        <v>2</v>
      </c>
      <c r="AH118" s="17" t="n">
        <f aca="false">SQRT(($B118-AH$16)^2+($C118-AH$17)^2+($D118-AH$18)^2)</f>
        <v>5.37661818024854</v>
      </c>
      <c r="AI118" s="17" t="n">
        <f aca="false">SQRT(($B118-AI$16)^2+($C118-AI$17)^2+($D118-AI$18)^2)</f>
        <v>1.04966625373449</v>
      </c>
      <c r="AJ118" s="17" t="n">
        <f aca="false">SQRT(($B118-AJ$16)^2+($C118-AJ$17)^2+($D118-AJ$18)^2)</f>
        <v>1.819147281483</v>
      </c>
      <c r="AK118" s="63" t="n">
        <f aca="false">MATCH(MIN(AH118:AJ118),AH118:AJ118,0)</f>
        <v>2</v>
      </c>
      <c r="AM118" s="17" t="n">
        <f aca="false">SQRT(($B118-AM$16)^2+($C118-AM$17)^2+($D118-AM$18)^2)</f>
        <v>5.37661818024854</v>
      </c>
      <c r="AN118" s="17" t="n">
        <f aca="false">SQRT(($B118-AN$16)^2+($C118-AN$17)^2+($D118-AN$18)^2)</f>
        <v>1.03707279280501</v>
      </c>
      <c r="AO118" s="17" t="n">
        <f aca="false">SQRT(($B118-AO$16)^2+($C118-AO$17)^2+($D118-AO$18)^2)</f>
        <v>1.84348822726282</v>
      </c>
      <c r="AP118" s="63" t="n">
        <f aca="false">MATCH(MIN(AM118:AO118),AM118:AO118,0)</f>
        <v>2</v>
      </c>
      <c r="AR118" s="17" t="n">
        <f aca="false">SQRT(($B118-AR$16)^2+($C118-AR$17)^2+($D118-AR$18)^2)</f>
        <v>5.37661818024854</v>
      </c>
      <c r="AS118" s="17" t="n">
        <f aca="false">SQRT(($B118-AS$16)^2+($C118-AS$17)^2+($D118-AS$18)^2)</f>
        <v>1.03707279280501</v>
      </c>
      <c r="AT118" s="17" t="n">
        <f aca="false">SQRT(($B118-AT$16)^2+($C118-AT$17)^2+($D118-AT$18)^2)</f>
        <v>1.84348822726282</v>
      </c>
      <c r="AU118" s="63" t="n">
        <f aca="false">MATCH(MIN(AR118:AT118),AR118:AT118,0)</f>
        <v>2</v>
      </c>
      <c r="AW118" s="17" t="n">
        <f aca="false">SQRT(($B118-AW$16)^2+($C118-AW$17)^2+($D118-AW$18)^2)</f>
        <v>5.37661818024854</v>
      </c>
      <c r="AX118" s="17" t="n">
        <f aca="false">SQRT(($B118-AX$16)^2+($C118-AX$17)^2+($D118-AX$18)^2)</f>
        <v>1.03707279280501</v>
      </c>
      <c r="AY118" s="17" t="n">
        <f aca="false">SQRT(($B118-AY$16)^2+($C118-AY$17)^2+($D118-AY$18)^2)</f>
        <v>1.84348822726282</v>
      </c>
      <c r="AZ118" s="63" t="n">
        <f aca="false">MATCH(MIN(AW118:AY118),AW118:AY118,0)</f>
        <v>2</v>
      </c>
      <c r="BB118" s="17" t="n">
        <f aca="false">SQRT(($B118-BB$16)^2+($C118-BB$17)^2+($D118-BB$18)^2)</f>
        <v>5.37661818024854</v>
      </c>
      <c r="BC118" s="17" t="n">
        <f aca="false">SQRT(($B118-BC$16)^2+($C118-BC$17)^2+($D118-BC$18)^2)</f>
        <v>1.03707279280501</v>
      </c>
      <c r="BD118" s="17" t="n">
        <f aca="false">SQRT(($B118-BD$16)^2+($C118-BD$17)^2+($D118-BD$18)^2)</f>
        <v>1.84348822726282</v>
      </c>
      <c r="BE118" s="63" t="n">
        <f aca="false">MATCH(MIN(BB118:BD118),BB118:BD118,0)</f>
        <v>2</v>
      </c>
      <c r="BG118" s="17" t="n">
        <f aca="false">SQRT(($B118-BG$16)^2+($C118-BG$17)^2+($D118-BG$18)^2)</f>
        <v>5.37661818024854</v>
      </c>
      <c r="BH118" s="17" t="n">
        <f aca="false">SQRT(($B118-BH$16)^2+($C118-BH$17)^2+($D118-BH$18)^2)</f>
        <v>1.03707279280501</v>
      </c>
      <c r="BI118" s="17" t="n">
        <f aca="false">SQRT(($B118-BI$16)^2+($C118-BI$17)^2+($D118-BI$18)^2)</f>
        <v>1.84348822726282</v>
      </c>
      <c r="BJ118" s="63" t="n">
        <f aca="false">MATCH(MIN(BG118:BI118),BG118:BI118,0)</f>
        <v>2</v>
      </c>
      <c r="BL118" s="17" t="n">
        <f aca="false">SQRT(($B118-BL$16)^2+($C118-BL$17)^2+($D118-BL$18)^2)</f>
        <v>5.37661818024854</v>
      </c>
      <c r="BM118" s="17" t="n">
        <f aca="false">SQRT(($B118-BM$16)^2+($C118-BM$17)^2+($D118-BM$18)^2)</f>
        <v>1.03707279280501</v>
      </c>
      <c r="BN118" s="17" t="n">
        <f aca="false">SQRT(($B118-BN$16)^2+($C118-BN$17)^2+($D118-BN$18)^2)</f>
        <v>1.84348822726282</v>
      </c>
      <c r="BO118" s="63" t="n">
        <f aca="false">MATCH(MIN(BL118:BN118),BL118:BN118,0)</f>
        <v>2</v>
      </c>
      <c r="BQ118" s="17" t="n">
        <f aca="false">SQRT(($B118-BQ$16)^2+($C118-BQ$17)^2+($D118-BQ$18)^2)</f>
        <v>5.37661818024854</v>
      </c>
      <c r="BR118" s="17" t="n">
        <f aca="false">SQRT(($B118-BR$16)^2+($C118-BR$17)^2+($D118-BR$18)^2)</f>
        <v>1.03707279280501</v>
      </c>
      <c r="BS118" s="17" t="n">
        <f aca="false">SQRT(($B118-BS$16)^2+($C118-BS$17)^2+($D118-BS$18)^2)</f>
        <v>1.84348822726282</v>
      </c>
      <c r="BT118" s="63" t="n">
        <f aca="false">MATCH(MIN(BQ118:BS118),BQ118:BS118,0)</f>
        <v>2</v>
      </c>
      <c r="BV118" s="17" t="n">
        <f aca="false">SQRT(($B118-BV$16)^2+($C118-BV$17)^2+($D118-BV$18)^2)</f>
        <v>5.37661818024854</v>
      </c>
      <c r="BW118" s="17" t="n">
        <f aca="false">SQRT(($B118-BW$16)^2+($C118-BW$17)^2+($D118-BW$18)^2)</f>
        <v>1.03707279280501</v>
      </c>
      <c r="BX118" s="17" t="n">
        <f aca="false">SQRT(($B118-BX$16)^2+($C118-BX$17)^2+($D118-BX$18)^2)</f>
        <v>1.84348822726282</v>
      </c>
      <c r="BY118" s="63" t="n">
        <f aca="false">MATCH(MIN(BV118:BX118),BV118:BX118,0)</f>
        <v>2</v>
      </c>
      <c r="CA118" s="17" t="n">
        <f aca="false">SQRT(($B118-CA$16)^2+($C118-CA$17)^2+($D118-CA$18)^2)</f>
        <v>5.37661818024854</v>
      </c>
      <c r="CB118" s="17" t="n">
        <f aca="false">SQRT(($B118-CB$16)^2+($C118-CB$17)^2+($D118-CB$18)^2)</f>
        <v>1.03707279280501</v>
      </c>
      <c r="CC118" s="17" t="n">
        <f aca="false">SQRT(($B118-CC$16)^2+($C118-CC$17)^2+($D118-CC$18)^2)</f>
        <v>1.84348822726282</v>
      </c>
      <c r="CD118" s="63" t="n">
        <f aca="false">MATCH(MIN(CA118:CC118),CA118:CC118,0)</f>
        <v>2</v>
      </c>
    </row>
    <row r="119" customFormat="false" ht="15" hidden="false" customHeight="false" outlineLevel="0" collapsed="false">
      <c r="A119" s="36" t="str">
        <f aca="false">KMeans_Data!A101</f>
        <v>Mirpur</v>
      </c>
      <c r="B119" s="17" t="n">
        <f aca="false">KMeans_Data!H101</f>
        <v>-0.881311477972984</v>
      </c>
      <c r="C119" s="17" t="n">
        <f aca="false">KMeans_Data!I101</f>
        <v>-0.672650545388274</v>
      </c>
      <c r="D119" s="17" t="n">
        <f aca="false">KMeans_Data!J101</f>
        <v>-1.14564411633355</v>
      </c>
      <c r="E119" s="63" t="n">
        <f aca="false">CD119</f>
        <v>2</v>
      </c>
      <c r="F119" s="38" t="n">
        <f aca="false">($B119-INDEX($L$16:$N$16,E119))^2+($C119-INDEX($L$17:$N$17,E119))^2+($D119-INDEX($L$18:$N$18,E119))^2</f>
        <v>0.225089333937342</v>
      </c>
      <c r="G119" s="12" t="str">
        <f aca="false">INDEX($M$5:$M$7,E119)</f>
        <v>Low burden</v>
      </c>
      <c r="H119" s="17" t="n">
        <f aca="false">IF(COUNTIF(Distance_Matrix!$E$9:$DQ$9,$E119)&lt;=1,0,SUMIF(Distance_Matrix!$E$9:$DQ$9,$E119,Distance_Matrix!$E$110:$DQ$110)/(COUNTIF(Distance_Matrix!$E$9:$DQ$9,$E119)-1))</f>
        <v>0.859240894985265</v>
      </c>
      <c r="I119" s="17" t="n">
        <f aca="false">MIN(IF(1=$E119,1E+099,IF(COUNTIF(Distance_Matrix!$E$9:$DQ$9,1)=0,1E+099,SUMIF(Distance_Matrix!$E$9:$DQ$9,1,Distance_Matrix!$E$110:$DQ$110)/COUNTIF(Distance_Matrix!$E$9:$DQ$9,1))),IF(2=$E119,1E+099,IF(COUNTIF(Distance_Matrix!$E$9:$DQ$9,2)=0,1E+099,SUMIF(Distance_Matrix!$E$9:$DQ$9,2,Distance_Matrix!$E$110:$DQ$110)/COUNTIF(Distance_Matrix!$E$9:$DQ$9,2))),IF(3=$E119,1E+099,IF(COUNTIF(Distance_Matrix!$E$9:$DQ$9,3)=0,1E+099,SUMIF(Distance_Matrix!$E$9:$DQ$9,3,Distance_Matrix!$E$110:$DQ$110)/COUNTIF(Distance_Matrix!$E$9:$DQ$9,3))))</f>
        <v>2.6659078830739</v>
      </c>
      <c r="J119" s="17" t="n">
        <f aca="false">IF(COUNTIF(Distance_Matrix!$E$9:$DQ$9,$E119)&lt;=1,0,(I119-H119)/MAX(H119,I119))</f>
        <v>0.677692953893618</v>
      </c>
      <c r="X119" s="17" t="n">
        <f aca="false">SQRT(($B119-X$16)^2+($C119-X$17)^2+($D119-X$18)^2)</f>
        <v>7.66896199778013</v>
      </c>
      <c r="Y119" s="17" t="n">
        <f aca="false">SQRT(($B119-Y$16)^2+($C119-Y$17)^2+($D119-Y$18)^2)</f>
        <v>1.19842650383034</v>
      </c>
      <c r="Z119" s="17" t="n">
        <f aca="false">SQRT(($B119-Z$16)^2+($C119-Z$17)^2+($D119-Z$18)^2)</f>
        <v>3.41031193536842</v>
      </c>
      <c r="AA119" s="63" t="n">
        <f aca="false">MATCH(MIN(X119:Z119),X119:Z119,0)</f>
        <v>2</v>
      </c>
      <c r="AC119" s="17" t="n">
        <f aca="false">SQRT(($B119-AC$16)^2+($C119-AC$17)^2+($D119-AC$18)^2)</f>
        <v>6.6577392498362</v>
      </c>
      <c r="AD119" s="17" t="n">
        <f aca="false">SQRT(($B119-AD$16)^2+($C119-AD$17)^2+($D119-AD$18)^2)</f>
        <v>0.341221046548889</v>
      </c>
      <c r="AE119" s="17" t="n">
        <f aca="false">SQRT(($B119-AE$16)^2+($C119-AE$17)^2+($D119-AE$18)^2)</f>
        <v>2.44657718499254</v>
      </c>
      <c r="AF119" s="63" t="n">
        <f aca="false">MATCH(MIN(AC119:AE119),AC119:AE119,0)</f>
        <v>2</v>
      </c>
      <c r="AH119" s="17" t="n">
        <f aca="false">SQRT(($B119-AH$16)^2+($C119-AH$17)^2+($D119-AH$18)^2)</f>
        <v>6.02527055805029</v>
      </c>
      <c r="AI119" s="17" t="n">
        <f aca="false">SQRT(($B119-AI$16)^2+($C119-AI$17)^2+($D119-AI$18)^2)</f>
        <v>0.45965642855728</v>
      </c>
      <c r="AJ119" s="17" t="n">
        <f aca="false">SQRT(($B119-AJ$16)^2+($C119-AJ$17)^2+($D119-AJ$18)^2)</f>
        <v>2.5488237499609</v>
      </c>
      <c r="AK119" s="63" t="n">
        <f aca="false">MATCH(MIN(AH119:AJ119),AH119:AJ119,0)</f>
        <v>2</v>
      </c>
      <c r="AM119" s="17" t="n">
        <f aca="false">SQRT(($B119-AM$16)^2+($C119-AM$17)^2+($D119-AM$18)^2)</f>
        <v>6.02527055805029</v>
      </c>
      <c r="AN119" s="17" t="n">
        <f aca="false">SQRT(($B119-AN$16)^2+($C119-AN$17)^2+($D119-AN$18)^2)</f>
        <v>0.474435805918295</v>
      </c>
      <c r="AO119" s="17" t="n">
        <f aca="false">SQRT(($B119-AO$16)^2+($C119-AO$17)^2+($D119-AO$18)^2)</f>
        <v>2.5725466066417</v>
      </c>
      <c r="AP119" s="63" t="n">
        <f aca="false">MATCH(MIN(AM119:AO119),AM119:AO119,0)</f>
        <v>2</v>
      </c>
      <c r="AR119" s="17" t="n">
        <f aca="false">SQRT(($B119-AR$16)^2+($C119-AR$17)^2+($D119-AR$18)^2)</f>
        <v>6.02527055805029</v>
      </c>
      <c r="AS119" s="17" t="n">
        <f aca="false">SQRT(($B119-AS$16)^2+($C119-AS$17)^2+($D119-AS$18)^2)</f>
        <v>0.474435805918295</v>
      </c>
      <c r="AT119" s="17" t="n">
        <f aca="false">SQRT(($B119-AT$16)^2+($C119-AT$17)^2+($D119-AT$18)^2)</f>
        <v>2.5725466066417</v>
      </c>
      <c r="AU119" s="63" t="n">
        <f aca="false">MATCH(MIN(AR119:AT119),AR119:AT119,0)</f>
        <v>2</v>
      </c>
      <c r="AW119" s="17" t="n">
        <f aca="false">SQRT(($B119-AW$16)^2+($C119-AW$17)^2+($D119-AW$18)^2)</f>
        <v>6.02527055805029</v>
      </c>
      <c r="AX119" s="17" t="n">
        <f aca="false">SQRT(($B119-AX$16)^2+($C119-AX$17)^2+($D119-AX$18)^2)</f>
        <v>0.474435805918295</v>
      </c>
      <c r="AY119" s="17" t="n">
        <f aca="false">SQRT(($B119-AY$16)^2+($C119-AY$17)^2+($D119-AY$18)^2)</f>
        <v>2.5725466066417</v>
      </c>
      <c r="AZ119" s="63" t="n">
        <f aca="false">MATCH(MIN(AW119:AY119),AW119:AY119,0)</f>
        <v>2</v>
      </c>
      <c r="BB119" s="17" t="n">
        <f aca="false">SQRT(($B119-BB$16)^2+($C119-BB$17)^2+($D119-BB$18)^2)</f>
        <v>6.02527055805029</v>
      </c>
      <c r="BC119" s="17" t="n">
        <f aca="false">SQRT(($B119-BC$16)^2+($C119-BC$17)^2+($D119-BC$18)^2)</f>
        <v>0.474435805918295</v>
      </c>
      <c r="BD119" s="17" t="n">
        <f aca="false">SQRT(($B119-BD$16)^2+($C119-BD$17)^2+($D119-BD$18)^2)</f>
        <v>2.5725466066417</v>
      </c>
      <c r="BE119" s="63" t="n">
        <f aca="false">MATCH(MIN(BB119:BD119),BB119:BD119,0)</f>
        <v>2</v>
      </c>
      <c r="BG119" s="17" t="n">
        <f aca="false">SQRT(($B119-BG$16)^2+($C119-BG$17)^2+($D119-BG$18)^2)</f>
        <v>6.02527055805029</v>
      </c>
      <c r="BH119" s="17" t="n">
        <f aca="false">SQRT(($B119-BH$16)^2+($C119-BH$17)^2+($D119-BH$18)^2)</f>
        <v>0.474435805918295</v>
      </c>
      <c r="BI119" s="17" t="n">
        <f aca="false">SQRT(($B119-BI$16)^2+($C119-BI$17)^2+($D119-BI$18)^2)</f>
        <v>2.5725466066417</v>
      </c>
      <c r="BJ119" s="63" t="n">
        <f aca="false">MATCH(MIN(BG119:BI119),BG119:BI119,0)</f>
        <v>2</v>
      </c>
      <c r="BL119" s="17" t="n">
        <f aca="false">SQRT(($B119-BL$16)^2+($C119-BL$17)^2+($D119-BL$18)^2)</f>
        <v>6.02527055805029</v>
      </c>
      <c r="BM119" s="17" t="n">
        <f aca="false">SQRT(($B119-BM$16)^2+($C119-BM$17)^2+($D119-BM$18)^2)</f>
        <v>0.474435805918295</v>
      </c>
      <c r="BN119" s="17" t="n">
        <f aca="false">SQRT(($B119-BN$16)^2+($C119-BN$17)^2+($D119-BN$18)^2)</f>
        <v>2.5725466066417</v>
      </c>
      <c r="BO119" s="63" t="n">
        <f aca="false">MATCH(MIN(BL119:BN119),BL119:BN119,0)</f>
        <v>2</v>
      </c>
      <c r="BQ119" s="17" t="n">
        <f aca="false">SQRT(($B119-BQ$16)^2+($C119-BQ$17)^2+($D119-BQ$18)^2)</f>
        <v>6.02527055805029</v>
      </c>
      <c r="BR119" s="17" t="n">
        <f aca="false">SQRT(($B119-BR$16)^2+($C119-BR$17)^2+($D119-BR$18)^2)</f>
        <v>0.474435805918295</v>
      </c>
      <c r="BS119" s="17" t="n">
        <f aca="false">SQRT(($B119-BS$16)^2+($C119-BS$17)^2+($D119-BS$18)^2)</f>
        <v>2.5725466066417</v>
      </c>
      <c r="BT119" s="63" t="n">
        <f aca="false">MATCH(MIN(BQ119:BS119),BQ119:BS119,0)</f>
        <v>2</v>
      </c>
      <c r="BV119" s="17" t="n">
        <f aca="false">SQRT(($B119-BV$16)^2+($C119-BV$17)^2+($D119-BV$18)^2)</f>
        <v>6.02527055805029</v>
      </c>
      <c r="BW119" s="17" t="n">
        <f aca="false">SQRT(($B119-BW$16)^2+($C119-BW$17)^2+($D119-BW$18)^2)</f>
        <v>0.474435805918295</v>
      </c>
      <c r="BX119" s="17" t="n">
        <f aca="false">SQRT(($B119-BX$16)^2+($C119-BX$17)^2+($D119-BX$18)^2)</f>
        <v>2.5725466066417</v>
      </c>
      <c r="BY119" s="63" t="n">
        <f aca="false">MATCH(MIN(BV119:BX119),BV119:BX119,0)</f>
        <v>2</v>
      </c>
      <c r="CA119" s="17" t="n">
        <f aca="false">SQRT(($B119-CA$16)^2+($C119-CA$17)^2+($D119-CA$18)^2)</f>
        <v>6.02527055805029</v>
      </c>
      <c r="CB119" s="17" t="n">
        <f aca="false">SQRT(($B119-CB$16)^2+($C119-CB$17)^2+($D119-CB$18)^2)</f>
        <v>0.474435805918295</v>
      </c>
      <c r="CC119" s="17" t="n">
        <f aca="false">SQRT(($B119-CC$16)^2+($C119-CC$17)^2+($D119-CC$18)^2)</f>
        <v>2.5725466066417</v>
      </c>
      <c r="CD119" s="63" t="n">
        <f aca="false">MATCH(MIN(CA119:CC119),CA119:CC119,0)</f>
        <v>2</v>
      </c>
    </row>
    <row r="120" customFormat="false" ht="15" hidden="false" customHeight="false" outlineLevel="0" collapsed="false">
      <c r="A120" s="36" t="str">
        <f aca="false">KMeans_Data!A102</f>
        <v>Tank</v>
      </c>
      <c r="B120" s="17" t="n">
        <f aca="false">KMeans_Data!H102</f>
        <v>-0.936148467409663</v>
      </c>
      <c r="C120" s="17" t="n">
        <f aca="false">KMeans_Data!I102</f>
        <v>-0.672650545388274</v>
      </c>
      <c r="D120" s="17" t="n">
        <f aca="false">KMeans_Data!J102</f>
        <v>-0.0344812518432112</v>
      </c>
      <c r="E120" s="63" t="n">
        <f aca="false">CD120</f>
        <v>2</v>
      </c>
      <c r="F120" s="38" t="n">
        <f aca="false">($B120-INDEX($L$16:$N$16,E120))^2+($C120-INDEX($L$17:$N$17,E120))^2+($D120-INDEX($L$18:$N$18,E120))^2</f>
        <v>0.591675642103954</v>
      </c>
      <c r="G120" s="12" t="str">
        <f aca="false">INDEX($M$5:$M$7,E120)</f>
        <v>Low burden</v>
      </c>
      <c r="H120" s="17" t="n">
        <f aca="false">IF(COUNTIF(Distance_Matrix!$E$9:$DQ$9,$E120)&lt;=1,0,SUMIF(Distance_Matrix!$E$9:$DQ$9,$E120,Distance_Matrix!$E$111:$DQ$111)/(COUNTIF(Distance_Matrix!$E$9:$DQ$9,$E120)-1))</f>
        <v>1.06976298949225</v>
      </c>
      <c r="I120" s="17" t="n">
        <f aca="false">MIN(IF(1=$E120,1E+099,IF(COUNTIF(Distance_Matrix!$E$9:$DQ$9,1)=0,1E+099,SUMIF(Distance_Matrix!$E$9:$DQ$9,1,Distance_Matrix!$E$111:$DQ$111)/COUNTIF(Distance_Matrix!$E$9:$DQ$9,1))),IF(2=$E120,1E+099,IF(COUNTIF(Distance_Matrix!$E$9:$DQ$9,2)=0,1E+099,SUMIF(Distance_Matrix!$E$9:$DQ$9,2,Distance_Matrix!$E$111:$DQ$111)/COUNTIF(Distance_Matrix!$E$9:$DQ$9,2))),IF(3=$E120,1E+099,IF(COUNTIF(Distance_Matrix!$E$9:$DQ$9,3)=0,1E+099,SUMIF(Distance_Matrix!$E$9:$DQ$9,3,Distance_Matrix!$E$111:$DQ$111)/COUNTIF(Distance_Matrix!$E$9:$DQ$9,3))))</f>
        <v>2.08433019540841</v>
      </c>
      <c r="J120" s="17" t="n">
        <f aca="false">IF(COUNTIF(Distance_Matrix!$E$9:$DQ$9,$E120)&lt;=1,0,(I120-H120)/MAX(H120,I120))</f>
        <v>0.486759347511809</v>
      </c>
      <c r="X120" s="17" t="n">
        <f aca="false">SQRT(($B120-X$16)^2+($C120-X$17)^2+($D120-X$18)^2)</f>
        <v>7.12262940672578</v>
      </c>
      <c r="Y120" s="17" t="n">
        <f aca="false">SQRT(($B120-Y$16)^2+($C120-Y$17)^2+($D120-Y$18)^2)</f>
        <v>1.59451556557266</v>
      </c>
      <c r="Z120" s="17" t="n">
        <f aca="false">SQRT(($B120-Z$16)^2+($C120-Z$17)^2+($D120-Z$18)^2)</f>
        <v>2.69529791351475</v>
      </c>
      <c r="AA120" s="63" t="n">
        <f aca="false">MATCH(MIN(X120:Z120),X120:Z120,0)</f>
        <v>2</v>
      </c>
      <c r="AC120" s="17" t="n">
        <f aca="false">SQRT(($B120-AC$16)^2+($C120-AC$17)^2+($D120-AC$18)^2)</f>
        <v>6.15599974084581</v>
      </c>
      <c r="AD120" s="17" t="n">
        <f aca="false">SQRT(($B120-AD$16)^2+($C120-AD$17)^2+($D120-AD$18)^2)</f>
        <v>0.810873066928564</v>
      </c>
      <c r="AE120" s="17" t="n">
        <f aca="false">SQRT(($B120-AE$16)^2+($C120-AE$17)^2+($D120-AE$18)^2)</f>
        <v>1.87713286671232</v>
      </c>
      <c r="AF120" s="63" t="n">
        <f aca="false">MATCH(MIN(AC120:AE120),AC120:AE120,0)</f>
        <v>2</v>
      </c>
      <c r="AH120" s="17" t="n">
        <f aca="false">SQRT(($B120-AH$16)^2+($C120-AH$17)^2+($D120-AH$18)^2)</f>
        <v>5.52429971372823</v>
      </c>
      <c r="AI120" s="17" t="n">
        <f aca="false">SQRT(($B120-AI$16)^2+($C120-AI$17)^2+($D120-AI$18)^2)</f>
        <v>0.780402924240681</v>
      </c>
      <c r="AJ120" s="17" t="n">
        <f aca="false">SQRT(($B120-AJ$16)^2+($C120-AJ$17)^2+($D120-AJ$18)^2)</f>
        <v>1.95156498095151</v>
      </c>
      <c r="AK120" s="63" t="n">
        <f aca="false">MATCH(MIN(AH120:AJ120),AH120:AJ120,0)</f>
        <v>2</v>
      </c>
      <c r="AM120" s="17" t="n">
        <f aca="false">SQRT(($B120-AM$16)^2+($C120-AM$17)^2+($D120-AM$18)^2)</f>
        <v>5.52429971372823</v>
      </c>
      <c r="AN120" s="17" t="n">
        <f aca="false">SQRT(($B120-AN$16)^2+($C120-AN$17)^2+($D120-AN$18)^2)</f>
        <v>0.769204551536166</v>
      </c>
      <c r="AO120" s="17" t="n">
        <f aca="false">SQRT(($B120-AO$16)^2+($C120-AO$17)^2+($D120-AO$18)^2)</f>
        <v>1.97654005630065</v>
      </c>
      <c r="AP120" s="63" t="n">
        <f aca="false">MATCH(MIN(AM120:AO120),AM120:AO120,0)</f>
        <v>2</v>
      </c>
      <c r="AR120" s="17" t="n">
        <f aca="false">SQRT(($B120-AR$16)^2+($C120-AR$17)^2+($D120-AR$18)^2)</f>
        <v>5.52429971372823</v>
      </c>
      <c r="AS120" s="17" t="n">
        <f aca="false">SQRT(($B120-AS$16)^2+($C120-AS$17)^2+($D120-AS$18)^2)</f>
        <v>0.769204551536166</v>
      </c>
      <c r="AT120" s="17" t="n">
        <f aca="false">SQRT(($B120-AT$16)^2+($C120-AT$17)^2+($D120-AT$18)^2)</f>
        <v>1.97654005630065</v>
      </c>
      <c r="AU120" s="63" t="n">
        <f aca="false">MATCH(MIN(AR120:AT120),AR120:AT120,0)</f>
        <v>2</v>
      </c>
      <c r="AW120" s="17" t="n">
        <f aca="false">SQRT(($B120-AW$16)^2+($C120-AW$17)^2+($D120-AW$18)^2)</f>
        <v>5.52429971372823</v>
      </c>
      <c r="AX120" s="17" t="n">
        <f aca="false">SQRT(($B120-AX$16)^2+($C120-AX$17)^2+($D120-AX$18)^2)</f>
        <v>0.769204551536166</v>
      </c>
      <c r="AY120" s="17" t="n">
        <f aca="false">SQRT(($B120-AY$16)^2+($C120-AY$17)^2+($D120-AY$18)^2)</f>
        <v>1.97654005630065</v>
      </c>
      <c r="AZ120" s="63" t="n">
        <f aca="false">MATCH(MIN(AW120:AY120),AW120:AY120,0)</f>
        <v>2</v>
      </c>
      <c r="BB120" s="17" t="n">
        <f aca="false">SQRT(($B120-BB$16)^2+($C120-BB$17)^2+($D120-BB$18)^2)</f>
        <v>5.52429971372823</v>
      </c>
      <c r="BC120" s="17" t="n">
        <f aca="false">SQRT(($B120-BC$16)^2+($C120-BC$17)^2+($D120-BC$18)^2)</f>
        <v>0.769204551536166</v>
      </c>
      <c r="BD120" s="17" t="n">
        <f aca="false">SQRT(($B120-BD$16)^2+($C120-BD$17)^2+($D120-BD$18)^2)</f>
        <v>1.97654005630065</v>
      </c>
      <c r="BE120" s="63" t="n">
        <f aca="false">MATCH(MIN(BB120:BD120),BB120:BD120,0)</f>
        <v>2</v>
      </c>
      <c r="BG120" s="17" t="n">
        <f aca="false">SQRT(($B120-BG$16)^2+($C120-BG$17)^2+($D120-BG$18)^2)</f>
        <v>5.52429971372823</v>
      </c>
      <c r="BH120" s="17" t="n">
        <f aca="false">SQRT(($B120-BH$16)^2+($C120-BH$17)^2+($D120-BH$18)^2)</f>
        <v>0.769204551536166</v>
      </c>
      <c r="BI120" s="17" t="n">
        <f aca="false">SQRT(($B120-BI$16)^2+($C120-BI$17)^2+($D120-BI$18)^2)</f>
        <v>1.97654005630065</v>
      </c>
      <c r="BJ120" s="63" t="n">
        <f aca="false">MATCH(MIN(BG120:BI120),BG120:BI120,0)</f>
        <v>2</v>
      </c>
      <c r="BL120" s="17" t="n">
        <f aca="false">SQRT(($B120-BL$16)^2+($C120-BL$17)^2+($D120-BL$18)^2)</f>
        <v>5.52429971372823</v>
      </c>
      <c r="BM120" s="17" t="n">
        <f aca="false">SQRT(($B120-BM$16)^2+($C120-BM$17)^2+($D120-BM$18)^2)</f>
        <v>0.769204551536166</v>
      </c>
      <c r="BN120" s="17" t="n">
        <f aca="false">SQRT(($B120-BN$16)^2+($C120-BN$17)^2+($D120-BN$18)^2)</f>
        <v>1.97654005630065</v>
      </c>
      <c r="BO120" s="63" t="n">
        <f aca="false">MATCH(MIN(BL120:BN120),BL120:BN120,0)</f>
        <v>2</v>
      </c>
      <c r="BQ120" s="17" t="n">
        <f aca="false">SQRT(($B120-BQ$16)^2+($C120-BQ$17)^2+($D120-BQ$18)^2)</f>
        <v>5.52429971372823</v>
      </c>
      <c r="BR120" s="17" t="n">
        <f aca="false">SQRT(($B120-BR$16)^2+($C120-BR$17)^2+($D120-BR$18)^2)</f>
        <v>0.769204551536166</v>
      </c>
      <c r="BS120" s="17" t="n">
        <f aca="false">SQRT(($B120-BS$16)^2+($C120-BS$17)^2+($D120-BS$18)^2)</f>
        <v>1.97654005630065</v>
      </c>
      <c r="BT120" s="63" t="n">
        <f aca="false">MATCH(MIN(BQ120:BS120),BQ120:BS120,0)</f>
        <v>2</v>
      </c>
      <c r="BV120" s="17" t="n">
        <f aca="false">SQRT(($B120-BV$16)^2+($C120-BV$17)^2+($D120-BV$18)^2)</f>
        <v>5.52429971372823</v>
      </c>
      <c r="BW120" s="17" t="n">
        <f aca="false">SQRT(($B120-BW$16)^2+($C120-BW$17)^2+($D120-BW$18)^2)</f>
        <v>0.769204551536166</v>
      </c>
      <c r="BX120" s="17" t="n">
        <f aca="false">SQRT(($B120-BX$16)^2+($C120-BX$17)^2+($D120-BX$18)^2)</f>
        <v>1.97654005630065</v>
      </c>
      <c r="BY120" s="63" t="n">
        <f aca="false">MATCH(MIN(BV120:BX120),BV120:BX120,0)</f>
        <v>2</v>
      </c>
      <c r="CA120" s="17" t="n">
        <f aca="false">SQRT(($B120-CA$16)^2+($C120-CA$17)^2+($D120-CA$18)^2)</f>
        <v>5.52429971372823</v>
      </c>
      <c r="CB120" s="17" t="n">
        <f aca="false">SQRT(($B120-CB$16)^2+($C120-CB$17)^2+($D120-CB$18)^2)</f>
        <v>0.769204551536166</v>
      </c>
      <c r="CC120" s="17" t="n">
        <f aca="false">SQRT(($B120-CC$16)^2+($C120-CC$17)^2+($D120-CC$18)^2)</f>
        <v>1.97654005630065</v>
      </c>
      <c r="CD120" s="63" t="n">
        <f aca="false">MATCH(MIN(CA120:CC120),CA120:CC120,0)</f>
        <v>2</v>
      </c>
    </row>
    <row r="121" customFormat="false" ht="15" hidden="false" customHeight="false" outlineLevel="0" collapsed="false">
      <c r="A121" s="36" t="str">
        <f aca="false">KMeans_Data!A103</f>
        <v>Sahiwal</v>
      </c>
      <c r="B121" s="17" t="n">
        <f aca="false">KMeans_Data!H103</f>
        <v>-0.936148467409663</v>
      </c>
      <c r="C121" s="17" t="n">
        <f aca="false">KMeans_Data!I103</f>
        <v>-0.672650545388274</v>
      </c>
      <c r="D121" s="17" t="n">
        <f aca="false">KMeans_Data!J103</f>
        <v>-1.14564411633355</v>
      </c>
      <c r="E121" s="63" t="n">
        <f aca="false">CD121</f>
        <v>2</v>
      </c>
      <c r="F121" s="38" t="n">
        <f aca="false">($B121-INDEX($L$16:$N$16,E121))^2+($C121-INDEX($L$17:$N$17,E121))^2+($D121-INDEX($L$18:$N$18,E121))^2</f>
        <v>0.254818371162004</v>
      </c>
      <c r="G121" s="12" t="str">
        <f aca="false">INDEX($M$5:$M$7,E121)</f>
        <v>Low burden</v>
      </c>
      <c r="H121" s="17" t="n">
        <f aca="false">IF(COUNTIF(Distance_Matrix!$E$9:$DQ$9,$E121)&lt;=1,0,SUMIF(Distance_Matrix!$E$9:$DQ$9,$E121,Distance_Matrix!$E$112:$DQ$112)/(COUNTIF(Distance_Matrix!$E$9:$DQ$9,$E121)-1))</f>
        <v>0.870707231968119</v>
      </c>
      <c r="I121" s="17" t="n">
        <f aca="false">MIN(IF(1=$E121,1E+099,IF(COUNTIF(Distance_Matrix!$E$9:$DQ$9,1)=0,1E+099,SUMIF(Distance_Matrix!$E$9:$DQ$9,1,Distance_Matrix!$E$112:$DQ$112)/COUNTIF(Distance_Matrix!$E$9:$DQ$9,1))),IF(2=$E121,1E+099,IF(COUNTIF(Distance_Matrix!$E$9:$DQ$9,2)=0,1E+099,SUMIF(Distance_Matrix!$E$9:$DQ$9,2,Distance_Matrix!$E$112:$DQ$112)/COUNTIF(Distance_Matrix!$E$9:$DQ$9,2))),IF(3=$E121,1E+099,IF(COUNTIF(Distance_Matrix!$E$9:$DQ$9,3)=0,1E+099,SUMIF(Distance_Matrix!$E$9:$DQ$9,3,Distance_Matrix!$E$112:$DQ$112)/COUNTIF(Distance_Matrix!$E$9:$DQ$9,3))))</f>
        <v>2.69510224717114</v>
      </c>
      <c r="J121" s="17" t="n">
        <f aca="false">IF(COUNTIF(Distance_Matrix!$E$9:$DQ$9,$E121)&lt;=1,0,(I121-H121)/MAX(H121,I121))</f>
        <v>0.6769297963066</v>
      </c>
      <c r="X121" s="17" t="n">
        <f aca="false">SQRT(($B121-X$16)^2+($C121-X$17)^2+($D121-X$18)^2)</f>
        <v>7.69881475468762</v>
      </c>
      <c r="Y121" s="17" t="n">
        <f aca="false">SQRT(($B121-Y$16)^2+($C121-Y$17)^2+($D121-Y$18)^2)</f>
        <v>1.14358951439366</v>
      </c>
      <c r="Z121" s="17" t="n">
        <f aca="false">SQRT(($B121-Z$16)^2+($C121-Z$17)^2+($D121-Z$18)^2)</f>
        <v>3.44146195541105</v>
      </c>
      <c r="AA121" s="63" t="n">
        <f aca="false">MATCH(MIN(X121:Z121),X121:Z121,0)</f>
        <v>2</v>
      </c>
      <c r="AC121" s="17" t="n">
        <f aca="false">SQRT(($B121-AC$16)^2+($C121-AC$17)^2+($D121-AC$18)^2)</f>
        <v>6.68828688936163</v>
      </c>
      <c r="AD121" s="17" t="n">
        <f aca="false">SQRT(($B121-AD$16)^2+($C121-AD$17)^2+($D121-AD$18)^2)</f>
        <v>0.363679428461371</v>
      </c>
      <c r="AE121" s="17" t="n">
        <f aca="false">SQRT(($B121-AE$16)^2+($C121-AE$17)^2+($D121-AE$18)^2)</f>
        <v>2.47815444877336</v>
      </c>
      <c r="AF121" s="63" t="n">
        <f aca="false">MATCH(MIN(AC121:AE121),AC121:AE121,0)</f>
        <v>2</v>
      </c>
      <c r="AH121" s="17" t="n">
        <f aca="false">SQRT(($B121-AH$16)^2+($C121-AH$17)^2+($D121-AH$18)^2)</f>
        <v>6.05606224924065</v>
      </c>
      <c r="AI121" s="17" t="n">
        <f aca="false">SQRT(($B121-AI$16)^2+($C121-AI$17)^2+($D121-AI$18)^2)</f>
        <v>0.490510407791768</v>
      </c>
      <c r="AJ121" s="17" t="n">
        <f aca="false">SQRT(($B121-AJ$16)^2+($C121-AJ$17)^2+($D121-AJ$18)^2)</f>
        <v>2.57911418147742</v>
      </c>
      <c r="AK121" s="63" t="n">
        <f aca="false">MATCH(MIN(AH121:AJ121),AH121:AJ121,0)</f>
        <v>2</v>
      </c>
      <c r="AM121" s="17" t="n">
        <f aca="false">SQRT(($B121-AM$16)^2+($C121-AM$17)^2+($D121-AM$18)^2)</f>
        <v>6.05606224924065</v>
      </c>
      <c r="AN121" s="17" t="n">
        <f aca="false">SQRT(($B121-AN$16)^2+($C121-AN$17)^2+($D121-AN$18)^2)</f>
        <v>0.504795375535478</v>
      </c>
      <c r="AO121" s="17" t="n">
        <f aca="false">SQRT(($B121-AO$16)^2+($C121-AO$17)^2+($D121-AO$18)^2)</f>
        <v>2.60296123212434</v>
      </c>
      <c r="AP121" s="63" t="n">
        <f aca="false">MATCH(MIN(AM121:AO121),AM121:AO121,0)</f>
        <v>2</v>
      </c>
      <c r="AR121" s="17" t="n">
        <f aca="false">SQRT(($B121-AR$16)^2+($C121-AR$17)^2+($D121-AR$18)^2)</f>
        <v>6.05606224924065</v>
      </c>
      <c r="AS121" s="17" t="n">
        <f aca="false">SQRT(($B121-AS$16)^2+($C121-AS$17)^2+($D121-AS$18)^2)</f>
        <v>0.504795375535478</v>
      </c>
      <c r="AT121" s="17" t="n">
        <f aca="false">SQRT(($B121-AT$16)^2+($C121-AT$17)^2+($D121-AT$18)^2)</f>
        <v>2.60296123212434</v>
      </c>
      <c r="AU121" s="63" t="n">
        <f aca="false">MATCH(MIN(AR121:AT121),AR121:AT121,0)</f>
        <v>2</v>
      </c>
      <c r="AW121" s="17" t="n">
        <f aca="false">SQRT(($B121-AW$16)^2+($C121-AW$17)^2+($D121-AW$18)^2)</f>
        <v>6.05606224924065</v>
      </c>
      <c r="AX121" s="17" t="n">
        <f aca="false">SQRT(($B121-AX$16)^2+($C121-AX$17)^2+($D121-AX$18)^2)</f>
        <v>0.504795375535478</v>
      </c>
      <c r="AY121" s="17" t="n">
        <f aca="false">SQRT(($B121-AY$16)^2+($C121-AY$17)^2+($D121-AY$18)^2)</f>
        <v>2.60296123212434</v>
      </c>
      <c r="AZ121" s="63" t="n">
        <f aca="false">MATCH(MIN(AW121:AY121),AW121:AY121,0)</f>
        <v>2</v>
      </c>
      <c r="BB121" s="17" t="n">
        <f aca="false">SQRT(($B121-BB$16)^2+($C121-BB$17)^2+($D121-BB$18)^2)</f>
        <v>6.05606224924065</v>
      </c>
      <c r="BC121" s="17" t="n">
        <f aca="false">SQRT(($B121-BC$16)^2+($C121-BC$17)^2+($D121-BC$18)^2)</f>
        <v>0.504795375535478</v>
      </c>
      <c r="BD121" s="17" t="n">
        <f aca="false">SQRT(($B121-BD$16)^2+($C121-BD$17)^2+($D121-BD$18)^2)</f>
        <v>2.60296123212434</v>
      </c>
      <c r="BE121" s="63" t="n">
        <f aca="false">MATCH(MIN(BB121:BD121),BB121:BD121,0)</f>
        <v>2</v>
      </c>
      <c r="BG121" s="17" t="n">
        <f aca="false">SQRT(($B121-BG$16)^2+($C121-BG$17)^2+($D121-BG$18)^2)</f>
        <v>6.05606224924065</v>
      </c>
      <c r="BH121" s="17" t="n">
        <f aca="false">SQRT(($B121-BH$16)^2+($C121-BH$17)^2+($D121-BH$18)^2)</f>
        <v>0.504795375535478</v>
      </c>
      <c r="BI121" s="17" t="n">
        <f aca="false">SQRT(($B121-BI$16)^2+($C121-BI$17)^2+($D121-BI$18)^2)</f>
        <v>2.60296123212434</v>
      </c>
      <c r="BJ121" s="63" t="n">
        <f aca="false">MATCH(MIN(BG121:BI121),BG121:BI121,0)</f>
        <v>2</v>
      </c>
      <c r="BL121" s="17" t="n">
        <f aca="false">SQRT(($B121-BL$16)^2+($C121-BL$17)^2+($D121-BL$18)^2)</f>
        <v>6.05606224924065</v>
      </c>
      <c r="BM121" s="17" t="n">
        <f aca="false">SQRT(($B121-BM$16)^2+($C121-BM$17)^2+($D121-BM$18)^2)</f>
        <v>0.504795375535478</v>
      </c>
      <c r="BN121" s="17" t="n">
        <f aca="false">SQRT(($B121-BN$16)^2+($C121-BN$17)^2+($D121-BN$18)^2)</f>
        <v>2.60296123212434</v>
      </c>
      <c r="BO121" s="63" t="n">
        <f aca="false">MATCH(MIN(BL121:BN121),BL121:BN121,0)</f>
        <v>2</v>
      </c>
      <c r="BQ121" s="17" t="n">
        <f aca="false">SQRT(($B121-BQ$16)^2+($C121-BQ$17)^2+($D121-BQ$18)^2)</f>
        <v>6.05606224924065</v>
      </c>
      <c r="BR121" s="17" t="n">
        <f aca="false">SQRT(($B121-BR$16)^2+($C121-BR$17)^2+($D121-BR$18)^2)</f>
        <v>0.504795375535478</v>
      </c>
      <c r="BS121" s="17" t="n">
        <f aca="false">SQRT(($B121-BS$16)^2+($C121-BS$17)^2+($D121-BS$18)^2)</f>
        <v>2.60296123212434</v>
      </c>
      <c r="BT121" s="63" t="n">
        <f aca="false">MATCH(MIN(BQ121:BS121),BQ121:BS121,0)</f>
        <v>2</v>
      </c>
      <c r="BV121" s="17" t="n">
        <f aca="false">SQRT(($B121-BV$16)^2+($C121-BV$17)^2+($D121-BV$18)^2)</f>
        <v>6.05606224924065</v>
      </c>
      <c r="BW121" s="17" t="n">
        <f aca="false">SQRT(($B121-BW$16)^2+($C121-BW$17)^2+($D121-BW$18)^2)</f>
        <v>0.504795375535478</v>
      </c>
      <c r="BX121" s="17" t="n">
        <f aca="false">SQRT(($B121-BX$16)^2+($C121-BX$17)^2+($D121-BX$18)^2)</f>
        <v>2.60296123212434</v>
      </c>
      <c r="BY121" s="63" t="n">
        <f aca="false">MATCH(MIN(BV121:BX121),BV121:BX121,0)</f>
        <v>2</v>
      </c>
      <c r="CA121" s="17" t="n">
        <f aca="false">SQRT(($B121-CA$16)^2+($C121-CA$17)^2+($D121-CA$18)^2)</f>
        <v>6.05606224924065</v>
      </c>
      <c r="CB121" s="17" t="n">
        <f aca="false">SQRT(($B121-CB$16)^2+($C121-CB$17)^2+($D121-CB$18)^2)</f>
        <v>0.504795375535478</v>
      </c>
      <c r="CC121" s="17" t="n">
        <f aca="false">SQRT(($B121-CC$16)^2+($C121-CC$17)^2+($D121-CC$18)^2)</f>
        <v>2.60296123212434</v>
      </c>
      <c r="CD121" s="63" t="n">
        <f aca="false">MATCH(MIN(CA121:CC121),CA121:CC121,0)</f>
        <v>2</v>
      </c>
    </row>
    <row r="122" customFormat="false" ht="15" hidden="false" customHeight="false" outlineLevel="0" collapsed="false">
      <c r="A122" s="36" t="str">
        <f aca="false">KMeans_Data!A104</f>
        <v>Chiniot</v>
      </c>
      <c r="B122" s="17" t="n">
        <f aca="false">KMeans_Data!H104</f>
        <v>-0.936148467409663</v>
      </c>
      <c r="C122" s="17" t="n">
        <f aca="false">KMeans_Data!I104</f>
        <v>-0.672650545388274</v>
      </c>
      <c r="D122" s="17" t="n">
        <f aca="false">KMeans_Data!J104</f>
        <v>-1.14564411633355</v>
      </c>
      <c r="E122" s="63" t="n">
        <f aca="false">CD122</f>
        <v>2</v>
      </c>
      <c r="F122" s="38" t="n">
        <f aca="false">($B122-INDEX($L$16:$N$16,E122))^2+($C122-INDEX($L$17:$N$17,E122))^2+($D122-INDEX($L$18:$N$18,E122))^2</f>
        <v>0.254818371162004</v>
      </c>
      <c r="G122" s="12" t="str">
        <f aca="false">INDEX($M$5:$M$7,E122)</f>
        <v>Low burden</v>
      </c>
      <c r="H122" s="17" t="n">
        <f aca="false">IF(COUNTIF(Distance_Matrix!$E$9:$DQ$9,$E122)&lt;=1,0,SUMIF(Distance_Matrix!$E$9:$DQ$9,$E122,Distance_Matrix!$E$113:$DQ$113)/(COUNTIF(Distance_Matrix!$E$9:$DQ$9,$E122)-1))</f>
        <v>0.870707231968119</v>
      </c>
      <c r="I122" s="17" t="n">
        <f aca="false">MIN(IF(1=$E122,1E+099,IF(COUNTIF(Distance_Matrix!$E$9:$DQ$9,1)=0,1E+099,SUMIF(Distance_Matrix!$E$9:$DQ$9,1,Distance_Matrix!$E$113:$DQ$113)/COUNTIF(Distance_Matrix!$E$9:$DQ$9,1))),IF(2=$E122,1E+099,IF(COUNTIF(Distance_Matrix!$E$9:$DQ$9,2)=0,1E+099,SUMIF(Distance_Matrix!$E$9:$DQ$9,2,Distance_Matrix!$E$113:$DQ$113)/COUNTIF(Distance_Matrix!$E$9:$DQ$9,2))),IF(3=$E122,1E+099,IF(COUNTIF(Distance_Matrix!$E$9:$DQ$9,3)=0,1E+099,SUMIF(Distance_Matrix!$E$9:$DQ$9,3,Distance_Matrix!$E$113:$DQ$113)/COUNTIF(Distance_Matrix!$E$9:$DQ$9,3))))</f>
        <v>2.69510224717114</v>
      </c>
      <c r="J122" s="17" t="n">
        <f aca="false">IF(COUNTIF(Distance_Matrix!$E$9:$DQ$9,$E122)&lt;=1,0,(I122-H122)/MAX(H122,I122))</f>
        <v>0.6769297963066</v>
      </c>
      <c r="X122" s="17" t="n">
        <f aca="false">SQRT(($B122-X$16)^2+($C122-X$17)^2+($D122-X$18)^2)</f>
        <v>7.69881475468762</v>
      </c>
      <c r="Y122" s="17" t="n">
        <f aca="false">SQRT(($B122-Y$16)^2+($C122-Y$17)^2+($D122-Y$18)^2)</f>
        <v>1.14358951439366</v>
      </c>
      <c r="Z122" s="17" t="n">
        <f aca="false">SQRT(($B122-Z$16)^2+($C122-Z$17)^2+($D122-Z$18)^2)</f>
        <v>3.44146195541105</v>
      </c>
      <c r="AA122" s="63" t="n">
        <f aca="false">MATCH(MIN(X122:Z122),X122:Z122,0)</f>
        <v>2</v>
      </c>
      <c r="AC122" s="17" t="n">
        <f aca="false">SQRT(($B122-AC$16)^2+($C122-AC$17)^2+($D122-AC$18)^2)</f>
        <v>6.68828688936163</v>
      </c>
      <c r="AD122" s="17" t="n">
        <f aca="false">SQRT(($B122-AD$16)^2+($C122-AD$17)^2+($D122-AD$18)^2)</f>
        <v>0.363679428461371</v>
      </c>
      <c r="AE122" s="17" t="n">
        <f aca="false">SQRT(($B122-AE$16)^2+($C122-AE$17)^2+($D122-AE$18)^2)</f>
        <v>2.47815444877336</v>
      </c>
      <c r="AF122" s="63" t="n">
        <f aca="false">MATCH(MIN(AC122:AE122),AC122:AE122,0)</f>
        <v>2</v>
      </c>
      <c r="AH122" s="17" t="n">
        <f aca="false">SQRT(($B122-AH$16)^2+($C122-AH$17)^2+($D122-AH$18)^2)</f>
        <v>6.05606224924065</v>
      </c>
      <c r="AI122" s="17" t="n">
        <f aca="false">SQRT(($B122-AI$16)^2+($C122-AI$17)^2+($D122-AI$18)^2)</f>
        <v>0.490510407791768</v>
      </c>
      <c r="AJ122" s="17" t="n">
        <f aca="false">SQRT(($B122-AJ$16)^2+($C122-AJ$17)^2+($D122-AJ$18)^2)</f>
        <v>2.57911418147742</v>
      </c>
      <c r="AK122" s="63" t="n">
        <f aca="false">MATCH(MIN(AH122:AJ122),AH122:AJ122,0)</f>
        <v>2</v>
      </c>
      <c r="AM122" s="17" t="n">
        <f aca="false">SQRT(($B122-AM$16)^2+($C122-AM$17)^2+($D122-AM$18)^2)</f>
        <v>6.05606224924065</v>
      </c>
      <c r="AN122" s="17" t="n">
        <f aca="false">SQRT(($B122-AN$16)^2+($C122-AN$17)^2+($D122-AN$18)^2)</f>
        <v>0.504795375535478</v>
      </c>
      <c r="AO122" s="17" t="n">
        <f aca="false">SQRT(($B122-AO$16)^2+($C122-AO$17)^2+($D122-AO$18)^2)</f>
        <v>2.60296123212434</v>
      </c>
      <c r="AP122" s="63" t="n">
        <f aca="false">MATCH(MIN(AM122:AO122),AM122:AO122,0)</f>
        <v>2</v>
      </c>
      <c r="AR122" s="17" t="n">
        <f aca="false">SQRT(($B122-AR$16)^2+($C122-AR$17)^2+($D122-AR$18)^2)</f>
        <v>6.05606224924065</v>
      </c>
      <c r="AS122" s="17" t="n">
        <f aca="false">SQRT(($B122-AS$16)^2+($C122-AS$17)^2+($D122-AS$18)^2)</f>
        <v>0.504795375535478</v>
      </c>
      <c r="AT122" s="17" t="n">
        <f aca="false">SQRT(($B122-AT$16)^2+($C122-AT$17)^2+($D122-AT$18)^2)</f>
        <v>2.60296123212434</v>
      </c>
      <c r="AU122" s="63" t="n">
        <f aca="false">MATCH(MIN(AR122:AT122),AR122:AT122,0)</f>
        <v>2</v>
      </c>
      <c r="AW122" s="17" t="n">
        <f aca="false">SQRT(($B122-AW$16)^2+($C122-AW$17)^2+($D122-AW$18)^2)</f>
        <v>6.05606224924065</v>
      </c>
      <c r="AX122" s="17" t="n">
        <f aca="false">SQRT(($B122-AX$16)^2+($C122-AX$17)^2+($D122-AX$18)^2)</f>
        <v>0.504795375535478</v>
      </c>
      <c r="AY122" s="17" t="n">
        <f aca="false">SQRT(($B122-AY$16)^2+($C122-AY$17)^2+($D122-AY$18)^2)</f>
        <v>2.60296123212434</v>
      </c>
      <c r="AZ122" s="63" t="n">
        <f aca="false">MATCH(MIN(AW122:AY122),AW122:AY122,0)</f>
        <v>2</v>
      </c>
      <c r="BB122" s="17" t="n">
        <f aca="false">SQRT(($B122-BB$16)^2+($C122-BB$17)^2+($D122-BB$18)^2)</f>
        <v>6.05606224924065</v>
      </c>
      <c r="BC122" s="17" t="n">
        <f aca="false">SQRT(($B122-BC$16)^2+($C122-BC$17)^2+($D122-BC$18)^2)</f>
        <v>0.504795375535478</v>
      </c>
      <c r="BD122" s="17" t="n">
        <f aca="false">SQRT(($B122-BD$16)^2+($C122-BD$17)^2+($D122-BD$18)^2)</f>
        <v>2.60296123212434</v>
      </c>
      <c r="BE122" s="63" t="n">
        <f aca="false">MATCH(MIN(BB122:BD122),BB122:BD122,0)</f>
        <v>2</v>
      </c>
      <c r="BG122" s="17" t="n">
        <f aca="false">SQRT(($B122-BG$16)^2+($C122-BG$17)^2+($D122-BG$18)^2)</f>
        <v>6.05606224924065</v>
      </c>
      <c r="BH122" s="17" t="n">
        <f aca="false">SQRT(($B122-BH$16)^2+($C122-BH$17)^2+($D122-BH$18)^2)</f>
        <v>0.504795375535478</v>
      </c>
      <c r="BI122" s="17" t="n">
        <f aca="false">SQRT(($B122-BI$16)^2+($C122-BI$17)^2+($D122-BI$18)^2)</f>
        <v>2.60296123212434</v>
      </c>
      <c r="BJ122" s="63" t="n">
        <f aca="false">MATCH(MIN(BG122:BI122),BG122:BI122,0)</f>
        <v>2</v>
      </c>
      <c r="BL122" s="17" t="n">
        <f aca="false">SQRT(($B122-BL$16)^2+($C122-BL$17)^2+($D122-BL$18)^2)</f>
        <v>6.05606224924065</v>
      </c>
      <c r="BM122" s="17" t="n">
        <f aca="false">SQRT(($B122-BM$16)^2+($C122-BM$17)^2+($D122-BM$18)^2)</f>
        <v>0.504795375535478</v>
      </c>
      <c r="BN122" s="17" t="n">
        <f aca="false">SQRT(($B122-BN$16)^2+($C122-BN$17)^2+($D122-BN$18)^2)</f>
        <v>2.60296123212434</v>
      </c>
      <c r="BO122" s="63" t="n">
        <f aca="false">MATCH(MIN(BL122:BN122),BL122:BN122,0)</f>
        <v>2</v>
      </c>
      <c r="BQ122" s="17" t="n">
        <f aca="false">SQRT(($B122-BQ$16)^2+($C122-BQ$17)^2+($D122-BQ$18)^2)</f>
        <v>6.05606224924065</v>
      </c>
      <c r="BR122" s="17" t="n">
        <f aca="false">SQRT(($B122-BR$16)^2+($C122-BR$17)^2+($D122-BR$18)^2)</f>
        <v>0.504795375535478</v>
      </c>
      <c r="BS122" s="17" t="n">
        <f aca="false">SQRT(($B122-BS$16)^2+($C122-BS$17)^2+($D122-BS$18)^2)</f>
        <v>2.60296123212434</v>
      </c>
      <c r="BT122" s="63" t="n">
        <f aca="false">MATCH(MIN(BQ122:BS122),BQ122:BS122,0)</f>
        <v>2</v>
      </c>
      <c r="BV122" s="17" t="n">
        <f aca="false">SQRT(($B122-BV$16)^2+($C122-BV$17)^2+($D122-BV$18)^2)</f>
        <v>6.05606224924065</v>
      </c>
      <c r="BW122" s="17" t="n">
        <f aca="false">SQRT(($B122-BW$16)^2+($C122-BW$17)^2+($D122-BW$18)^2)</f>
        <v>0.504795375535478</v>
      </c>
      <c r="BX122" s="17" t="n">
        <f aca="false">SQRT(($B122-BX$16)^2+($C122-BX$17)^2+($D122-BX$18)^2)</f>
        <v>2.60296123212434</v>
      </c>
      <c r="BY122" s="63" t="n">
        <f aca="false">MATCH(MIN(BV122:BX122),BV122:BX122,0)</f>
        <v>2</v>
      </c>
      <c r="CA122" s="17" t="n">
        <f aca="false">SQRT(($B122-CA$16)^2+($C122-CA$17)^2+($D122-CA$18)^2)</f>
        <v>6.05606224924065</v>
      </c>
      <c r="CB122" s="17" t="n">
        <f aca="false">SQRT(($B122-CB$16)^2+($C122-CB$17)^2+($D122-CB$18)^2)</f>
        <v>0.504795375535478</v>
      </c>
      <c r="CC122" s="17" t="n">
        <f aca="false">SQRT(($B122-CC$16)^2+($C122-CC$17)^2+($D122-CC$18)^2)</f>
        <v>2.60296123212434</v>
      </c>
      <c r="CD122" s="63" t="n">
        <f aca="false">MATCH(MIN(CA122:CC122),CA122:CC122,0)</f>
        <v>2</v>
      </c>
    </row>
    <row r="123" customFormat="false" ht="15" hidden="false" customHeight="false" outlineLevel="0" collapsed="false">
      <c r="A123" s="36" t="str">
        <f aca="false">KMeans_Data!A105</f>
        <v>South Waziristan</v>
      </c>
      <c r="B123" s="17" t="n">
        <f aca="false">KMeans_Data!H105</f>
        <v>-0.936148467409663</v>
      </c>
      <c r="C123" s="17" t="n">
        <f aca="false">KMeans_Data!I105</f>
        <v>-0.672650545388274</v>
      </c>
      <c r="D123" s="17" t="n">
        <f aca="false">KMeans_Data!J105</f>
        <v>-0.503247915463979</v>
      </c>
      <c r="E123" s="63" t="n">
        <f aca="false">CD123</f>
        <v>2</v>
      </c>
      <c r="F123" s="38" t="n">
        <f aca="false">($B123-INDEX($L$16:$N$16,E123))^2+($C123-INDEX($L$17:$N$17,E123))^2+($D123-INDEX($L$18:$N$18,E123))^2</f>
        <v>0.148431624395222</v>
      </c>
      <c r="G123" s="12" t="str">
        <f aca="false">INDEX($M$5:$M$7,E123)</f>
        <v>Low burden</v>
      </c>
      <c r="H123" s="17" t="n">
        <f aca="false">IF(COUNTIF(Distance_Matrix!$E$9:$DQ$9,$E123)&lt;=1,0,SUMIF(Distance_Matrix!$E$9:$DQ$9,$E123,Distance_Matrix!$E$114:$DQ$114)/(COUNTIF(Distance_Matrix!$E$9:$DQ$9,$E123)-1))</f>
        <v>0.858100025346721</v>
      </c>
      <c r="I123" s="17" t="n">
        <f aca="false">MIN(IF(1=$E123,1E+099,IF(COUNTIF(Distance_Matrix!$E$9:$DQ$9,1)=0,1E+099,SUMIF(Distance_Matrix!$E$9:$DQ$9,1,Distance_Matrix!$E$114:$DQ$114)/COUNTIF(Distance_Matrix!$E$9:$DQ$9,1))),IF(2=$E123,1E+099,IF(COUNTIF(Distance_Matrix!$E$9:$DQ$9,2)=0,1E+099,SUMIF(Distance_Matrix!$E$9:$DQ$9,2,Distance_Matrix!$E$114:$DQ$114)/COUNTIF(Distance_Matrix!$E$9:$DQ$9,2))),IF(3=$E123,1E+099,IF(COUNTIF(Distance_Matrix!$E$9:$DQ$9,3)=0,1E+099,SUMIF(Distance_Matrix!$E$9:$DQ$9,3,Distance_Matrix!$E$114:$DQ$114)/COUNTIF(Distance_Matrix!$E$9:$DQ$9,3))))</f>
        <v>2.29632725423753</v>
      </c>
      <c r="J123" s="17" t="n">
        <f aca="false">IF(COUNTIF(Distance_Matrix!$E$9:$DQ$9,$E123)&lt;=1,0,(I123-H123)/MAX(H123,I123))</f>
        <v>0.626316317169853</v>
      </c>
      <c r="X123" s="17" t="n">
        <f aca="false">SQRT(($B123-X$16)^2+($C123-X$17)^2+($D123-X$18)^2)</f>
        <v>7.35074458018159</v>
      </c>
      <c r="Y123" s="17" t="n">
        <f aca="false">SQRT(($B123-Y$16)^2+($C123-Y$17)^2+($D123-Y$18)^2)</f>
        <v>1.31166682367238</v>
      </c>
      <c r="Z123" s="17" t="n">
        <f aca="false">SQRT(($B123-Z$16)^2+($C123-Z$17)^2+($D123-Z$18)^2)</f>
        <v>2.98249119106413</v>
      </c>
      <c r="AA123" s="63" t="n">
        <f aca="false">MATCH(MIN(X123:Z123),X123:Z123,0)</f>
        <v>2</v>
      </c>
      <c r="AC123" s="17" t="n">
        <f aca="false">SQRT(($B123-AC$16)^2+($C123-AC$17)^2+($D123-AC$18)^2)</f>
        <v>6.36234725738796</v>
      </c>
      <c r="AD123" s="17" t="n">
        <f aca="false">SQRT(($B123-AD$16)^2+($C123-AD$17)^2+($D123-AD$18)^2)</f>
        <v>0.367141379775099</v>
      </c>
      <c r="AE123" s="17" t="n">
        <f aca="false">SQRT(($B123-AE$16)^2+($C123-AE$17)^2+($D123-AE$18)^2)</f>
        <v>2.08009394975575</v>
      </c>
      <c r="AF123" s="63" t="n">
        <f aca="false">MATCH(MIN(AC123:AE123),AC123:AE123,0)</f>
        <v>2</v>
      </c>
      <c r="AH123" s="17" t="n">
        <f aca="false">SQRT(($B123-AH$16)^2+($C123-AH$17)^2+($D123-AH$18)^2)</f>
        <v>5.72840572200703</v>
      </c>
      <c r="AI123" s="17" t="n">
        <f aca="false">SQRT(($B123-AI$16)^2+($C123-AI$17)^2+($D123-AI$18)^2)</f>
        <v>0.390468744769474</v>
      </c>
      <c r="AJ123" s="17" t="n">
        <f aca="false">SQRT(($B123-AJ$16)^2+($C123-AJ$17)^2+($D123-AJ$18)^2)</f>
        <v>2.16954923520086</v>
      </c>
      <c r="AK123" s="63" t="n">
        <f aca="false">MATCH(MIN(AH123:AJ123),AH123:AJ123,0)</f>
        <v>2</v>
      </c>
      <c r="AM123" s="17" t="n">
        <f aca="false">SQRT(($B123-AM$16)^2+($C123-AM$17)^2+($D123-AM$18)^2)</f>
        <v>5.72840572200703</v>
      </c>
      <c r="AN123" s="17" t="n">
        <f aca="false">SQRT(($B123-AN$16)^2+($C123-AN$17)^2+($D123-AN$18)^2)</f>
        <v>0.385268249918446</v>
      </c>
      <c r="AO123" s="17" t="n">
        <f aca="false">SQRT(($B123-AO$16)^2+($C123-AO$17)^2+($D123-AO$18)^2)</f>
        <v>2.19449189877642</v>
      </c>
      <c r="AP123" s="63" t="n">
        <f aca="false">MATCH(MIN(AM123:AO123),AM123:AO123,0)</f>
        <v>2</v>
      </c>
      <c r="AR123" s="17" t="n">
        <f aca="false">SQRT(($B123-AR$16)^2+($C123-AR$17)^2+($D123-AR$18)^2)</f>
        <v>5.72840572200703</v>
      </c>
      <c r="AS123" s="17" t="n">
        <f aca="false">SQRT(($B123-AS$16)^2+($C123-AS$17)^2+($D123-AS$18)^2)</f>
        <v>0.385268249918446</v>
      </c>
      <c r="AT123" s="17" t="n">
        <f aca="false">SQRT(($B123-AT$16)^2+($C123-AT$17)^2+($D123-AT$18)^2)</f>
        <v>2.19449189877642</v>
      </c>
      <c r="AU123" s="63" t="n">
        <f aca="false">MATCH(MIN(AR123:AT123),AR123:AT123,0)</f>
        <v>2</v>
      </c>
      <c r="AW123" s="17" t="n">
        <f aca="false">SQRT(($B123-AW$16)^2+($C123-AW$17)^2+($D123-AW$18)^2)</f>
        <v>5.72840572200703</v>
      </c>
      <c r="AX123" s="17" t="n">
        <f aca="false">SQRT(($B123-AX$16)^2+($C123-AX$17)^2+($D123-AX$18)^2)</f>
        <v>0.385268249918446</v>
      </c>
      <c r="AY123" s="17" t="n">
        <f aca="false">SQRT(($B123-AY$16)^2+($C123-AY$17)^2+($D123-AY$18)^2)</f>
        <v>2.19449189877642</v>
      </c>
      <c r="AZ123" s="63" t="n">
        <f aca="false">MATCH(MIN(AW123:AY123),AW123:AY123,0)</f>
        <v>2</v>
      </c>
      <c r="BB123" s="17" t="n">
        <f aca="false">SQRT(($B123-BB$16)^2+($C123-BB$17)^2+($D123-BB$18)^2)</f>
        <v>5.72840572200703</v>
      </c>
      <c r="BC123" s="17" t="n">
        <f aca="false">SQRT(($B123-BC$16)^2+($C123-BC$17)^2+($D123-BC$18)^2)</f>
        <v>0.385268249918446</v>
      </c>
      <c r="BD123" s="17" t="n">
        <f aca="false">SQRT(($B123-BD$16)^2+($C123-BD$17)^2+($D123-BD$18)^2)</f>
        <v>2.19449189877642</v>
      </c>
      <c r="BE123" s="63" t="n">
        <f aca="false">MATCH(MIN(BB123:BD123),BB123:BD123,0)</f>
        <v>2</v>
      </c>
      <c r="BG123" s="17" t="n">
        <f aca="false">SQRT(($B123-BG$16)^2+($C123-BG$17)^2+($D123-BG$18)^2)</f>
        <v>5.72840572200703</v>
      </c>
      <c r="BH123" s="17" t="n">
        <f aca="false">SQRT(($B123-BH$16)^2+($C123-BH$17)^2+($D123-BH$18)^2)</f>
        <v>0.385268249918446</v>
      </c>
      <c r="BI123" s="17" t="n">
        <f aca="false">SQRT(($B123-BI$16)^2+($C123-BI$17)^2+($D123-BI$18)^2)</f>
        <v>2.19449189877642</v>
      </c>
      <c r="BJ123" s="63" t="n">
        <f aca="false">MATCH(MIN(BG123:BI123),BG123:BI123,0)</f>
        <v>2</v>
      </c>
      <c r="BL123" s="17" t="n">
        <f aca="false">SQRT(($B123-BL$16)^2+($C123-BL$17)^2+($D123-BL$18)^2)</f>
        <v>5.72840572200703</v>
      </c>
      <c r="BM123" s="17" t="n">
        <f aca="false">SQRT(($B123-BM$16)^2+($C123-BM$17)^2+($D123-BM$18)^2)</f>
        <v>0.385268249918446</v>
      </c>
      <c r="BN123" s="17" t="n">
        <f aca="false">SQRT(($B123-BN$16)^2+($C123-BN$17)^2+($D123-BN$18)^2)</f>
        <v>2.19449189877642</v>
      </c>
      <c r="BO123" s="63" t="n">
        <f aca="false">MATCH(MIN(BL123:BN123),BL123:BN123,0)</f>
        <v>2</v>
      </c>
      <c r="BQ123" s="17" t="n">
        <f aca="false">SQRT(($B123-BQ$16)^2+($C123-BQ$17)^2+($D123-BQ$18)^2)</f>
        <v>5.72840572200703</v>
      </c>
      <c r="BR123" s="17" t="n">
        <f aca="false">SQRT(($B123-BR$16)^2+($C123-BR$17)^2+($D123-BR$18)^2)</f>
        <v>0.385268249918446</v>
      </c>
      <c r="BS123" s="17" t="n">
        <f aca="false">SQRT(($B123-BS$16)^2+($C123-BS$17)^2+($D123-BS$18)^2)</f>
        <v>2.19449189877642</v>
      </c>
      <c r="BT123" s="63" t="n">
        <f aca="false">MATCH(MIN(BQ123:BS123),BQ123:BS123,0)</f>
        <v>2</v>
      </c>
      <c r="BV123" s="17" t="n">
        <f aca="false">SQRT(($B123-BV$16)^2+($C123-BV$17)^2+($D123-BV$18)^2)</f>
        <v>5.72840572200703</v>
      </c>
      <c r="BW123" s="17" t="n">
        <f aca="false">SQRT(($B123-BW$16)^2+($C123-BW$17)^2+($D123-BW$18)^2)</f>
        <v>0.385268249918446</v>
      </c>
      <c r="BX123" s="17" t="n">
        <f aca="false">SQRT(($B123-BX$16)^2+($C123-BX$17)^2+($D123-BX$18)^2)</f>
        <v>2.19449189877642</v>
      </c>
      <c r="BY123" s="63" t="n">
        <f aca="false">MATCH(MIN(BV123:BX123),BV123:BX123,0)</f>
        <v>2</v>
      </c>
      <c r="CA123" s="17" t="n">
        <f aca="false">SQRT(($B123-CA$16)^2+($C123-CA$17)^2+($D123-CA$18)^2)</f>
        <v>5.72840572200703</v>
      </c>
      <c r="CB123" s="17" t="n">
        <f aca="false">SQRT(($B123-CB$16)^2+($C123-CB$17)^2+($D123-CB$18)^2)</f>
        <v>0.385268249918446</v>
      </c>
      <c r="CC123" s="17" t="n">
        <f aca="false">SQRT(($B123-CC$16)^2+($C123-CC$17)^2+($D123-CC$18)^2)</f>
        <v>2.19449189877642</v>
      </c>
      <c r="CD123" s="63" t="n">
        <f aca="false">MATCH(MIN(CA123:CC123),CA123:CC123,0)</f>
        <v>2</v>
      </c>
    </row>
    <row r="124" customFormat="false" ht="15" hidden="false" customHeight="false" outlineLevel="0" collapsed="false">
      <c r="A124" s="36" t="str">
        <f aca="false">KMeans_Data!A106</f>
        <v>Toba Tek Singh</v>
      </c>
      <c r="B124" s="17" t="n">
        <f aca="false">KMeans_Data!H106</f>
        <v>-0.997451006048382</v>
      </c>
      <c r="C124" s="17" t="n">
        <f aca="false">KMeans_Data!I106</f>
        <v>-0.672650545388274</v>
      </c>
      <c r="D124" s="17" t="n">
        <f aca="false">KMeans_Data!J106</f>
        <v>-1.14564411633355</v>
      </c>
      <c r="E124" s="63" t="n">
        <f aca="false">CD124</f>
        <v>2</v>
      </c>
      <c r="F124" s="38" t="n">
        <f aca="false">($B124-INDEX($L$16:$N$16,E124))^2+($C124-INDEX($L$17:$N$17,E124))^2+($D124-INDEX($L$18:$N$18,E124))^2</f>
        <v>0.29517225515483</v>
      </c>
      <c r="G124" s="12" t="str">
        <f aca="false">INDEX($M$5:$M$7,E124)</f>
        <v>Low burden</v>
      </c>
      <c r="H124" s="17" t="n">
        <f aca="false">IF(COUNTIF(Distance_Matrix!$E$9:$DQ$9,$E124)&lt;=1,0,SUMIF(Distance_Matrix!$E$9:$DQ$9,$E124,Distance_Matrix!$E$115:$DQ$115)/(COUNTIF(Distance_Matrix!$E$9:$DQ$9,$E124)-1))</f>
        <v>0.88880405353997</v>
      </c>
      <c r="I124" s="17" t="n">
        <f aca="false">MIN(IF(1=$E124,1E+099,IF(COUNTIF(Distance_Matrix!$E$9:$DQ$9,1)=0,1E+099,SUMIF(Distance_Matrix!$E$9:$DQ$9,1,Distance_Matrix!$E$115:$DQ$115)/COUNTIF(Distance_Matrix!$E$9:$DQ$9,1))),IF(2=$E124,1E+099,IF(COUNTIF(Distance_Matrix!$E$9:$DQ$9,2)=0,1E+099,SUMIF(Distance_Matrix!$E$9:$DQ$9,2,Distance_Matrix!$E$115:$DQ$115)/COUNTIF(Distance_Matrix!$E$9:$DQ$9,2))),IF(3=$E124,1E+099,IF(COUNTIF(Distance_Matrix!$E$9:$DQ$9,3)=0,1E+099,SUMIF(Distance_Matrix!$E$9:$DQ$9,3,Distance_Matrix!$E$115:$DQ$115)/COUNTIF(Distance_Matrix!$E$9:$DQ$9,3))))</f>
        <v>2.72871091108396</v>
      </c>
      <c r="J124" s="17" t="n">
        <f aca="false">IF(COUNTIF(Distance_Matrix!$E$9:$DQ$9,$E124)&lt;=1,0,(I124-H124)/MAX(H124,I124))</f>
        <v>0.674276945230926</v>
      </c>
      <c r="X124" s="17" t="n">
        <f aca="false">SQRT(($B124-X$16)^2+($C124-X$17)^2+($D124-X$18)^2)</f>
        <v>7.73251123919131</v>
      </c>
      <c r="Y124" s="17" t="n">
        <f aca="false">SQRT(($B124-Y$16)^2+($C124-Y$17)^2+($D124-Y$18)^2)</f>
        <v>1.08228697575494</v>
      </c>
      <c r="Z124" s="17" t="n">
        <f aca="false">SQRT(($B124-Z$16)^2+($C124-Z$17)^2+($D124-Z$18)^2)</f>
        <v>3.47697824473286</v>
      </c>
      <c r="AA124" s="63" t="n">
        <f aca="false">MATCH(MIN(X124:Z124),X124:Z124,0)</f>
        <v>2</v>
      </c>
      <c r="AC124" s="17" t="n">
        <f aca="false">SQRT(($B124-AC$16)^2+($C124-AC$17)^2+($D124-AC$18)^2)</f>
        <v>6.7228014513887</v>
      </c>
      <c r="AD124" s="17" t="n">
        <f aca="false">SQRT(($B124-AD$16)^2+($C124-AD$17)^2+($D124-AD$18)^2)</f>
        <v>0.396332993872378</v>
      </c>
      <c r="AE124" s="17" t="n">
        <f aca="false">SQRT(($B124-AE$16)^2+($C124-AE$17)^2+($D124-AE$18)^2)</f>
        <v>2.51440132160425</v>
      </c>
      <c r="AF124" s="63" t="n">
        <f aca="false">MATCH(MIN(AC124:AE124),AC124:AE124,0)</f>
        <v>2</v>
      </c>
      <c r="AH124" s="17" t="n">
        <f aca="false">SQRT(($B124-AH$16)^2+($C124-AH$17)^2+($D124-AH$18)^2)</f>
        <v>6.09088461991299</v>
      </c>
      <c r="AI124" s="17" t="n">
        <f aca="false">SQRT(($B124-AI$16)^2+($C124-AI$17)^2+($D124-AI$18)^2)</f>
        <v>0.52961597983248</v>
      </c>
      <c r="AJ124" s="17" t="n">
        <f aca="false">SQRT(($B124-AJ$16)^2+($C124-AJ$17)^2+($D124-AJ$18)^2)</f>
        <v>2.61392251758763</v>
      </c>
      <c r="AK124" s="63" t="n">
        <f aca="false">MATCH(MIN(AH124:AJ124),AH124:AJ124,0)</f>
        <v>2</v>
      </c>
      <c r="AM124" s="17" t="n">
        <f aca="false">SQRT(($B124-AM$16)^2+($C124-AM$17)^2+($D124-AM$18)^2)</f>
        <v>6.09088461991299</v>
      </c>
      <c r="AN124" s="17" t="n">
        <f aca="false">SQRT(($B124-AN$16)^2+($C124-AN$17)^2+($D124-AN$18)^2)</f>
        <v>0.54329757514168</v>
      </c>
      <c r="AO124" s="17" t="n">
        <f aca="false">SQRT(($B124-AO$16)^2+($C124-AO$17)^2+($D124-AO$18)^2)</f>
        <v>2.63789641546184</v>
      </c>
      <c r="AP124" s="63" t="n">
        <f aca="false">MATCH(MIN(AM124:AO124),AM124:AO124,0)</f>
        <v>2</v>
      </c>
      <c r="AR124" s="17" t="n">
        <f aca="false">SQRT(($B124-AR$16)^2+($C124-AR$17)^2+($D124-AR$18)^2)</f>
        <v>6.09088461991299</v>
      </c>
      <c r="AS124" s="17" t="n">
        <f aca="false">SQRT(($B124-AS$16)^2+($C124-AS$17)^2+($D124-AS$18)^2)</f>
        <v>0.54329757514168</v>
      </c>
      <c r="AT124" s="17" t="n">
        <f aca="false">SQRT(($B124-AT$16)^2+($C124-AT$17)^2+($D124-AT$18)^2)</f>
        <v>2.63789641546184</v>
      </c>
      <c r="AU124" s="63" t="n">
        <f aca="false">MATCH(MIN(AR124:AT124),AR124:AT124,0)</f>
        <v>2</v>
      </c>
      <c r="AW124" s="17" t="n">
        <f aca="false">SQRT(($B124-AW$16)^2+($C124-AW$17)^2+($D124-AW$18)^2)</f>
        <v>6.09088461991299</v>
      </c>
      <c r="AX124" s="17" t="n">
        <f aca="false">SQRT(($B124-AX$16)^2+($C124-AX$17)^2+($D124-AX$18)^2)</f>
        <v>0.54329757514168</v>
      </c>
      <c r="AY124" s="17" t="n">
        <f aca="false">SQRT(($B124-AY$16)^2+($C124-AY$17)^2+($D124-AY$18)^2)</f>
        <v>2.63789641546184</v>
      </c>
      <c r="AZ124" s="63" t="n">
        <f aca="false">MATCH(MIN(AW124:AY124),AW124:AY124,0)</f>
        <v>2</v>
      </c>
      <c r="BB124" s="17" t="n">
        <f aca="false">SQRT(($B124-BB$16)^2+($C124-BB$17)^2+($D124-BB$18)^2)</f>
        <v>6.09088461991299</v>
      </c>
      <c r="BC124" s="17" t="n">
        <f aca="false">SQRT(($B124-BC$16)^2+($C124-BC$17)^2+($D124-BC$18)^2)</f>
        <v>0.54329757514168</v>
      </c>
      <c r="BD124" s="17" t="n">
        <f aca="false">SQRT(($B124-BD$16)^2+($C124-BD$17)^2+($D124-BD$18)^2)</f>
        <v>2.63789641546184</v>
      </c>
      <c r="BE124" s="63" t="n">
        <f aca="false">MATCH(MIN(BB124:BD124),BB124:BD124,0)</f>
        <v>2</v>
      </c>
      <c r="BG124" s="17" t="n">
        <f aca="false">SQRT(($B124-BG$16)^2+($C124-BG$17)^2+($D124-BG$18)^2)</f>
        <v>6.09088461991299</v>
      </c>
      <c r="BH124" s="17" t="n">
        <f aca="false">SQRT(($B124-BH$16)^2+($C124-BH$17)^2+($D124-BH$18)^2)</f>
        <v>0.54329757514168</v>
      </c>
      <c r="BI124" s="17" t="n">
        <f aca="false">SQRT(($B124-BI$16)^2+($C124-BI$17)^2+($D124-BI$18)^2)</f>
        <v>2.63789641546184</v>
      </c>
      <c r="BJ124" s="63" t="n">
        <f aca="false">MATCH(MIN(BG124:BI124),BG124:BI124,0)</f>
        <v>2</v>
      </c>
      <c r="BL124" s="17" t="n">
        <f aca="false">SQRT(($B124-BL$16)^2+($C124-BL$17)^2+($D124-BL$18)^2)</f>
        <v>6.09088461991299</v>
      </c>
      <c r="BM124" s="17" t="n">
        <f aca="false">SQRT(($B124-BM$16)^2+($C124-BM$17)^2+($D124-BM$18)^2)</f>
        <v>0.54329757514168</v>
      </c>
      <c r="BN124" s="17" t="n">
        <f aca="false">SQRT(($B124-BN$16)^2+($C124-BN$17)^2+($D124-BN$18)^2)</f>
        <v>2.63789641546184</v>
      </c>
      <c r="BO124" s="63" t="n">
        <f aca="false">MATCH(MIN(BL124:BN124),BL124:BN124,0)</f>
        <v>2</v>
      </c>
      <c r="BQ124" s="17" t="n">
        <f aca="false">SQRT(($B124-BQ$16)^2+($C124-BQ$17)^2+($D124-BQ$18)^2)</f>
        <v>6.09088461991299</v>
      </c>
      <c r="BR124" s="17" t="n">
        <f aca="false">SQRT(($B124-BR$16)^2+($C124-BR$17)^2+($D124-BR$18)^2)</f>
        <v>0.54329757514168</v>
      </c>
      <c r="BS124" s="17" t="n">
        <f aca="false">SQRT(($B124-BS$16)^2+($C124-BS$17)^2+($D124-BS$18)^2)</f>
        <v>2.63789641546184</v>
      </c>
      <c r="BT124" s="63" t="n">
        <f aca="false">MATCH(MIN(BQ124:BS124),BQ124:BS124,0)</f>
        <v>2</v>
      </c>
      <c r="BV124" s="17" t="n">
        <f aca="false">SQRT(($B124-BV$16)^2+($C124-BV$17)^2+($D124-BV$18)^2)</f>
        <v>6.09088461991299</v>
      </c>
      <c r="BW124" s="17" t="n">
        <f aca="false">SQRT(($B124-BW$16)^2+($C124-BW$17)^2+($D124-BW$18)^2)</f>
        <v>0.54329757514168</v>
      </c>
      <c r="BX124" s="17" t="n">
        <f aca="false">SQRT(($B124-BX$16)^2+($C124-BX$17)^2+($D124-BX$18)^2)</f>
        <v>2.63789641546184</v>
      </c>
      <c r="BY124" s="63" t="n">
        <f aca="false">MATCH(MIN(BV124:BX124),BV124:BX124,0)</f>
        <v>2</v>
      </c>
      <c r="CA124" s="17" t="n">
        <f aca="false">SQRT(($B124-CA$16)^2+($C124-CA$17)^2+($D124-CA$18)^2)</f>
        <v>6.09088461991299</v>
      </c>
      <c r="CB124" s="17" t="n">
        <f aca="false">SQRT(($B124-CB$16)^2+($C124-CB$17)^2+($D124-CB$18)^2)</f>
        <v>0.54329757514168</v>
      </c>
      <c r="CC124" s="17" t="n">
        <f aca="false">SQRT(($B124-CC$16)^2+($C124-CC$17)^2+($D124-CC$18)^2)</f>
        <v>2.63789641546184</v>
      </c>
      <c r="CD124" s="63" t="n">
        <f aca="false">MATCH(MIN(CA124:CC124),CA124:CC124,0)</f>
        <v>2</v>
      </c>
    </row>
    <row r="125" customFormat="false" ht="15" hidden="false" customHeight="false" outlineLevel="0" collapsed="false">
      <c r="A125" s="36" t="str">
        <f aca="false">KMeans_Data!A107</f>
        <v>Khanewal</v>
      </c>
      <c r="B125" s="17" t="n">
        <f aca="false">KMeans_Data!H107</f>
        <v>-0.997451006048382</v>
      </c>
      <c r="C125" s="17" t="n">
        <f aca="false">KMeans_Data!I107</f>
        <v>-0.672650545388274</v>
      </c>
      <c r="D125" s="17" t="n">
        <f aca="false">KMeans_Data!J107</f>
        <v>-1.14564411633355</v>
      </c>
      <c r="E125" s="63" t="n">
        <f aca="false">CD125</f>
        <v>2</v>
      </c>
      <c r="F125" s="38" t="n">
        <f aca="false">($B125-INDEX($L$16:$N$16,E125))^2+($C125-INDEX($L$17:$N$17,E125))^2+($D125-INDEX($L$18:$N$18,E125))^2</f>
        <v>0.29517225515483</v>
      </c>
      <c r="G125" s="12" t="str">
        <f aca="false">INDEX($M$5:$M$7,E125)</f>
        <v>Low burden</v>
      </c>
      <c r="H125" s="17" t="n">
        <f aca="false">IF(COUNTIF(Distance_Matrix!$E$9:$DQ$9,$E125)&lt;=1,0,SUMIF(Distance_Matrix!$E$9:$DQ$9,$E125,Distance_Matrix!$E$116:$DQ$116)/(COUNTIF(Distance_Matrix!$E$9:$DQ$9,$E125)-1))</f>
        <v>0.88880405353997</v>
      </c>
      <c r="I125" s="17" t="n">
        <f aca="false">MIN(IF(1=$E125,1E+099,IF(COUNTIF(Distance_Matrix!$E$9:$DQ$9,1)=0,1E+099,SUMIF(Distance_Matrix!$E$9:$DQ$9,1,Distance_Matrix!$E$116:$DQ$116)/COUNTIF(Distance_Matrix!$E$9:$DQ$9,1))),IF(2=$E125,1E+099,IF(COUNTIF(Distance_Matrix!$E$9:$DQ$9,2)=0,1E+099,SUMIF(Distance_Matrix!$E$9:$DQ$9,2,Distance_Matrix!$E$116:$DQ$116)/COUNTIF(Distance_Matrix!$E$9:$DQ$9,2))),IF(3=$E125,1E+099,IF(COUNTIF(Distance_Matrix!$E$9:$DQ$9,3)=0,1E+099,SUMIF(Distance_Matrix!$E$9:$DQ$9,3,Distance_Matrix!$E$116:$DQ$116)/COUNTIF(Distance_Matrix!$E$9:$DQ$9,3))))</f>
        <v>2.72871091108396</v>
      </c>
      <c r="J125" s="17" t="n">
        <f aca="false">IF(COUNTIF(Distance_Matrix!$E$9:$DQ$9,$E125)&lt;=1,0,(I125-H125)/MAX(H125,I125))</f>
        <v>0.674276945230926</v>
      </c>
      <c r="X125" s="17" t="n">
        <f aca="false">SQRT(($B125-X$16)^2+($C125-X$17)^2+($D125-X$18)^2)</f>
        <v>7.73251123919131</v>
      </c>
      <c r="Y125" s="17" t="n">
        <f aca="false">SQRT(($B125-Y$16)^2+($C125-Y$17)^2+($D125-Y$18)^2)</f>
        <v>1.08228697575494</v>
      </c>
      <c r="Z125" s="17" t="n">
        <f aca="false">SQRT(($B125-Z$16)^2+($C125-Z$17)^2+($D125-Z$18)^2)</f>
        <v>3.47697824473286</v>
      </c>
      <c r="AA125" s="63" t="n">
        <f aca="false">MATCH(MIN(X125:Z125),X125:Z125,0)</f>
        <v>2</v>
      </c>
      <c r="AC125" s="17" t="n">
        <f aca="false">SQRT(($B125-AC$16)^2+($C125-AC$17)^2+($D125-AC$18)^2)</f>
        <v>6.7228014513887</v>
      </c>
      <c r="AD125" s="17" t="n">
        <f aca="false">SQRT(($B125-AD$16)^2+($C125-AD$17)^2+($D125-AD$18)^2)</f>
        <v>0.396332993872378</v>
      </c>
      <c r="AE125" s="17" t="n">
        <f aca="false">SQRT(($B125-AE$16)^2+($C125-AE$17)^2+($D125-AE$18)^2)</f>
        <v>2.51440132160425</v>
      </c>
      <c r="AF125" s="63" t="n">
        <f aca="false">MATCH(MIN(AC125:AE125),AC125:AE125,0)</f>
        <v>2</v>
      </c>
      <c r="AH125" s="17" t="n">
        <f aca="false">SQRT(($B125-AH$16)^2+($C125-AH$17)^2+($D125-AH$18)^2)</f>
        <v>6.09088461991299</v>
      </c>
      <c r="AI125" s="17" t="n">
        <f aca="false">SQRT(($B125-AI$16)^2+($C125-AI$17)^2+($D125-AI$18)^2)</f>
        <v>0.52961597983248</v>
      </c>
      <c r="AJ125" s="17" t="n">
        <f aca="false">SQRT(($B125-AJ$16)^2+($C125-AJ$17)^2+($D125-AJ$18)^2)</f>
        <v>2.61392251758763</v>
      </c>
      <c r="AK125" s="63" t="n">
        <f aca="false">MATCH(MIN(AH125:AJ125),AH125:AJ125,0)</f>
        <v>2</v>
      </c>
      <c r="AM125" s="17" t="n">
        <f aca="false">SQRT(($B125-AM$16)^2+($C125-AM$17)^2+($D125-AM$18)^2)</f>
        <v>6.09088461991299</v>
      </c>
      <c r="AN125" s="17" t="n">
        <f aca="false">SQRT(($B125-AN$16)^2+($C125-AN$17)^2+($D125-AN$18)^2)</f>
        <v>0.54329757514168</v>
      </c>
      <c r="AO125" s="17" t="n">
        <f aca="false">SQRT(($B125-AO$16)^2+($C125-AO$17)^2+($D125-AO$18)^2)</f>
        <v>2.63789641546184</v>
      </c>
      <c r="AP125" s="63" t="n">
        <f aca="false">MATCH(MIN(AM125:AO125),AM125:AO125,0)</f>
        <v>2</v>
      </c>
      <c r="AR125" s="17" t="n">
        <f aca="false">SQRT(($B125-AR$16)^2+($C125-AR$17)^2+($D125-AR$18)^2)</f>
        <v>6.09088461991299</v>
      </c>
      <c r="AS125" s="17" t="n">
        <f aca="false">SQRT(($B125-AS$16)^2+($C125-AS$17)^2+($D125-AS$18)^2)</f>
        <v>0.54329757514168</v>
      </c>
      <c r="AT125" s="17" t="n">
        <f aca="false">SQRT(($B125-AT$16)^2+($C125-AT$17)^2+($D125-AT$18)^2)</f>
        <v>2.63789641546184</v>
      </c>
      <c r="AU125" s="63" t="n">
        <f aca="false">MATCH(MIN(AR125:AT125),AR125:AT125,0)</f>
        <v>2</v>
      </c>
      <c r="AW125" s="17" t="n">
        <f aca="false">SQRT(($B125-AW$16)^2+($C125-AW$17)^2+($D125-AW$18)^2)</f>
        <v>6.09088461991299</v>
      </c>
      <c r="AX125" s="17" t="n">
        <f aca="false">SQRT(($B125-AX$16)^2+($C125-AX$17)^2+($D125-AX$18)^2)</f>
        <v>0.54329757514168</v>
      </c>
      <c r="AY125" s="17" t="n">
        <f aca="false">SQRT(($B125-AY$16)^2+($C125-AY$17)^2+($D125-AY$18)^2)</f>
        <v>2.63789641546184</v>
      </c>
      <c r="AZ125" s="63" t="n">
        <f aca="false">MATCH(MIN(AW125:AY125),AW125:AY125,0)</f>
        <v>2</v>
      </c>
      <c r="BB125" s="17" t="n">
        <f aca="false">SQRT(($B125-BB$16)^2+($C125-BB$17)^2+($D125-BB$18)^2)</f>
        <v>6.09088461991299</v>
      </c>
      <c r="BC125" s="17" t="n">
        <f aca="false">SQRT(($B125-BC$16)^2+($C125-BC$17)^2+($D125-BC$18)^2)</f>
        <v>0.54329757514168</v>
      </c>
      <c r="BD125" s="17" t="n">
        <f aca="false">SQRT(($B125-BD$16)^2+($C125-BD$17)^2+($D125-BD$18)^2)</f>
        <v>2.63789641546184</v>
      </c>
      <c r="BE125" s="63" t="n">
        <f aca="false">MATCH(MIN(BB125:BD125),BB125:BD125,0)</f>
        <v>2</v>
      </c>
      <c r="BG125" s="17" t="n">
        <f aca="false">SQRT(($B125-BG$16)^2+($C125-BG$17)^2+($D125-BG$18)^2)</f>
        <v>6.09088461991299</v>
      </c>
      <c r="BH125" s="17" t="n">
        <f aca="false">SQRT(($B125-BH$16)^2+($C125-BH$17)^2+($D125-BH$18)^2)</f>
        <v>0.54329757514168</v>
      </c>
      <c r="BI125" s="17" t="n">
        <f aca="false">SQRT(($B125-BI$16)^2+($C125-BI$17)^2+($D125-BI$18)^2)</f>
        <v>2.63789641546184</v>
      </c>
      <c r="BJ125" s="63" t="n">
        <f aca="false">MATCH(MIN(BG125:BI125),BG125:BI125,0)</f>
        <v>2</v>
      </c>
      <c r="BL125" s="17" t="n">
        <f aca="false">SQRT(($B125-BL$16)^2+($C125-BL$17)^2+($D125-BL$18)^2)</f>
        <v>6.09088461991299</v>
      </c>
      <c r="BM125" s="17" t="n">
        <f aca="false">SQRT(($B125-BM$16)^2+($C125-BM$17)^2+($D125-BM$18)^2)</f>
        <v>0.54329757514168</v>
      </c>
      <c r="BN125" s="17" t="n">
        <f aca="false">SQRT(($B125-BN$16)^2+($C125-BN$17)^2+($D125-BN$18)^2)</f>
        <v>2.63789641546184</v>
      </c>
      <c r="BO125" s="63" t="n">
        <f aca="false">MATCH(MIN(BL125:BN125),BL125:BN125,0)</f>
        <v>2</v>
      </c>
      <c r="BQ125" s="17" t="n">
        <f aca="false">SQRT(($B125-BQ$16)^2+($C125-BQ$17)^2+($D125-BQ$18)^2)</f>
        <v>6.09088461991299</v>
      </c>
      <c r="BR125" s="17" t="n">
        <f aca="false">SQRT(($B125-BR$16)^2+($C125-BR$17)^2+($D125-BR$18)^2)</f>
        <v>0.54329757514168</v>
      </c>
      <c r="BS125" s="17" t="n">
        <f aca="false">SQRT(($B125-BS$16)^2+($C125-BS$17)^2+($D125-BS$18)^2)</f>
        <v>2.63789641546184</v>
      </c>
      <c r="BT125" s="63" t="n">
        <f aca="false">MATCH(MIN(BQ125:BS125),BQ125:BS125,0)</f>
        <v>2</v>
      </c>
      <c r="BV125" s="17" t="n">
        <f aca="false">SQRT(($B125-BV$16)^2+($C125-BV$17)^2+($D125-BV$18)^2)</f>
        <v>6.09088461991299</v>
      </c>
      <c r="BW125" s="17" t="n">
        <f aca="false">SQRT(($B125-BW$16)^2+($C125-BW$17)^2+($D125-BW$18)^2)</f>
        <v>0.54329757514168</v>
      </c>
      <c r="BX125" s="17" t="n">
        <f aca="false">SQRT(($B125-BX$16)^2+($C125-BX$17)^2+($D125-BX$18)^2)</f>
        <v>2.63789641546184</v>
      </c>
      <c r="BY125" s="63" t="n">
        <f aca="false">MATCH(MIN(BV125:BX125),BV125:BX125,0)</f>
        <v>2</v>
      </c>
      <c r="CA125" s="17" t="n">
        <f aca="false">SQRT(($B125-CA$16)^2+($C125-CA$17)^2+($D125-CA$18)^2)</f>
        <v>6.09088461991299</v>
      </c>
      <c r="CB125" s="17" t="n">
        <f aca="false">SQRT(($B125-CB$16)^2+($C125-CB$17)^2+($D125-CB$18)^2)</f>
        <v>0.54329757514168</v>
      </c>
      <c r="CC125" s="17" t="n">
        <f aca="false">SQRT(($B125-CC$16)^2+($C125-CC$17)^2+($D125-CC$18)^2)</f>
        <v>2.63789641546184</v>
      </c>
      <c r="CD125" s="63" t="n">
        <f aca="false">MATCH(MIN(CA125:CC125),CA125:CC125,0)</f>
        <v>2</v>
      </c>
    </row>
    <row r="126" customFormat="false" ht="15" hidden="false" customHeight="false" outlineLevel="0" collapsed="false">
      <c r="A126" s="36" t="str">
        <f aca="false">KMeans_Data!A108</f>
        <v>Tharparkar</v>
      </c>
      <c r="B126" s="17" t="n">
        <f aca="false">KMeans_Data!H108</f>
        <v>-0.997451006048382</v>
      </c>
      <c r="C126" s="17" t="n">
        <f aca="false">KMeans_Data!I108</f>
        <v>-0.672650545388274</v>
      </c>
      <c r="D126" s="17" t="n">
        <f aca="false">KMeans_Data!J108</f>
        <v>-0.636557171841548</v>
      </c>
      <c r="E126" s="63" t="n">
        <f aca="false">CD126</f>
        <v>2</v>
      </c>
      <c r="F126" s="38" t="n">
        <f aca="false">($B126-INDEX($L$16:$N$16,E126))^2+($C126-INDEX($L$17:$N$17,E126))^2+($D126-INDEX($L$18:$N$18,E126))^2</f>
        <v>0.142996751053538</v>
      </c>
      <c r="G126" s="12" t="str">
        <f aca="false">INDEX($M$5:$M$7,E126)</f>
        <v>Low burden</v>
      </c>
      <c r="H126" s="17" t="n">
        <f aca="false">IF(COUNTIF(Distance_Matrix!$E$9:$DQ$9,$E126)&lt;=1,0,SUMIF(Distance_Matrix!$E$9:$DQ$9,$E126,Distance_Matrix!$E$117:$DQ$117)/(COUNTIF(Distance_Matrix!$E$9:$DQ$9,$E126)-1))</f>
        <v>0.851745029112207</v>
      </c>
      <c r="I126" s="17" t="n">
        <f aca="false">MIN(IF(1=$E126,1E+099,IF(COUNTIF(Distance_Matrix!$E$9:$DQ$9,1)=0,1E+099,SUMIF(Distance_Matrix!$E$9:$DQ$9,1,Distance_Matrix!$E$117:$DQ$117)/COUNTIF(Distance_Matrix!$E$9:$DQ$9,1))),IF(2=$E126,1E+099,IF(COUNTIF(Distance_Matrix!$E$9:$DQ$9,2)=0,1E+099,SUMIF(Distance_Matrix!$E$9:$DQ$9,2,Distance_Matrix!$E$117:$DQ$117)/COUNTIF(Distance_Matrix!$E$9:$DQ$9,2))),IF(3=$E126,1E+099,IF(COUNTIF(Distance_Matrix!$E$9:$DQ$9,3)=0,1E+099,SUMIF(Distance_Matrix!$E$9:$DQ$9,3,Distance_Matrix!$E$117:$DQ$117)/COUNTIF(Distance_Matrix!$E$9:$DQ$9,3))))</f>
        <v>2.4087045387702</v>
      </c>
      <c r="J126" s="17" t="n">
        <f aca="false">IF(COUNTIF(Distance_Matrix!$E$9:$DQ$9,$E126)&lt;=1,0,(I126-H126)/MAX(H126,I126))</f>
        <v>0.646388747394033</v>
      </c>
      <c r="X126" s="17" t="n">
        <f aca="false">SQRT(($B126-X$16)^2+($C126-X$17)^2+($D126-X$18)^2)</f>
        <v>7.45470370665017</v>
      </c>
      <c r="Y126" s="17" t="n">
        <f aca="false">SQRT(($B126-Y$16)^2+($C126-Y$17)^2+($D126-Y$18)^2)</f>
        <v>1.19604122627148</v>
      </c>
      <c r="Z126" s="17" t="n">
        <f aca="false">SQRT(($B126-Z$16)^2+($C126-Z$17)^2+($D126-Z$18)^2)</f>
        <v>3.11206598507103</v>
      </c>
      <c r="AA126" s="63" t="n">
        <f aca="false">MATCH(MIN(X126:Z126),X126:Z126,0)</f>
        <v>2</v>
      </c>
      <c r="AC126" s="17" t="n">
        <f aca="false">SQRT(($B126-AC$16)^2+($C126-AC$17)^2+($D126-AC$18)^2)</f>
        <v>6.46198118904079</v>
      </c>
      <c r="AD126" s="17" t="n">
        <f aca="false">SQRT(($B126-AD$16)^2+($C126-AD$17)^2+($D126-AD$18)^2)</f>
        <v>0.302024618106816</v>
      </c>
      <c r="AE126" s="17" t="n">
        <f aca="false">SQRT(($B126-AE$16)^2+($C126-AE$17)^2+($D126-AE$18)^2)</f>
        <v>2.19463517663825</v>
      </c>
      <c r="AF126" s="63" t="n">
        <f aca="false">MATCH(MIN(AC126:AE126),AC126:AE126,0)</f>
        <v>2</v>
      </c>
      <c r="AH126" s="17" t="n">
        <f aca="false">SQRT(($B126-AH$16)^2+($C126-AH$17)^2+($D126-AH$18)^2)</f>
        <v>5.82846763751503</v>
      </c>
      <c r="AI126" s="17" t="n">
        <f aca="false">SQRT(($B126-AI$16)^2+($C126-AI$17)^2+($D126-AI$18)^2)</f>
        <v>0.377865122262778</v>
      </c>
      <c r="AJ126" s="17" t="n">
        <f aca="false">SQRT(($B126-AJ$16)^2+($C126-AJ$17)^2+($D126-AJ$18)^2)</f>
        <v>2.2854844509931</v>
      </c>
      <c r="AK126" s="63" t="n">
        <f aca="false">MATCH(MIN(AH126:AJ126),AH126:AJ126,0)</f>
        <v>2</v>
      </c>
      <c r="AM126" s="17" t="n">
        <f aca="false">SQRT(($B126-AM$16)^2+($C126-AM$17)^2+($D126-AM$18)^2)</f>
        <v>5.82846763751503</v>
      </c>
      <c r="AN126" s="17" t="n">
        <f aca="false">SQRT(($B126-AN$16)^2+($C126-AN$17)^2+($D126-AN$18)^2)</f>
        <v>0.378149112194565</v>
      </c>
      <c r="AO126" s="17" t="n">
        <f aca="false">SQRT(($B126-AO$16)^2+($C126-AO$17)^2+($D126-AO$18)^2)</f>
        <v>2.3103409589562</v>
      </c>
      <c r="AP126" s="63" t="n">
        <f aca="false">MATCH(MIN(AM126:AO126),AM126:AO126,0)</f>
        <v>2</v>
      </c>
      <c r="AR126" s="17" t="n">
        <f aca="false">SQRT(($B126-AR$16)^2+($C126-AR$17)^2+($D126-AR$18)^2)</f>
        <v>5.82846763751503</v>
      </c>
      <c r="AS126" s="17" t="n">
        <f aca="false">SQRT(($B126-AS$16)^2+($C126-AS$17)^2+($D126-AS$18)^2)</f>
        <v>0.378149112194565</v>
      </c>
      <c r="AT126" s="17" t="n">
        <f aca="false">SQRT(($B126-AT$16)^2+($C126-AT$17)^2+($D126-AT$18)^2)</f>
        <v>2.3103409589562</v>
      </c>
      <c r="AU126" s="63" t="n">
        <f aca="false">MATCH(MIN(AR126:AT126),AR126:AT126,0)</f>
        <v>2</v>
      </c>
      <c r="AW126" s="17" t="n">
        <f aca="false">SQRT(($B126-AW$16)^2+($C126-AW$17)^2+($D126-AW$18)^2)</f>
        <v>5.82846763751503</v>
      </c>
      <c r="AX126" s="17" t="n">
        <f aca="false">SQRT(($B126-AX$16)^2+($C126-AX$17)^2+($D126-AX$18)^2)</f>
        <v>0.378149112194565</v>
      </c>
      <c r="AY126" s="17" t="n">
        <f aca="false">SQRT(($B126-AY$16)^2+($C126-AY$17)^2+($D126-AY$18)^2)</f>
        <v>2.3103409589562</v>
      </c>
      <c r="AZ126" s="63" t="n">
        <f aca="false">MATCH(MIN(AW126:AY126),AW126:AY126,0)</f>
        <v>2</v>
      </c>
      <c r="BB126" s="17" t="n">
        <f aca="false">SQRT(($B126-BB$16)^2+($C126-BB$17)^2+($D126-BB$18)^2)</f>
        <v>5.82846763751503</v>
      </c>
      <c r="BC126" s="17" t="n">
        <f aca="false">SQRT(($B126-BC$16)^2+($C126-BC$17)^2+($D126-BC$18)^2)</f>
        <v>0.378149112194565</v>
      </c>
      <c r="BD126" s="17" t="n">
        <f aca="false">SQRT(($B126-BD$16)^2+($C126-BD$17)^2+($D126-BD$18)^2)</f>
        <v>2.3103409589562</v>
      </c>
      <c r="BE126" s="63" t="n">
        <f aca="false">MATCH(MIN(BB126:BD126),BB126:BD126,0)</f>
        <v>2</v>
      </c>
      <c r="BG126" s="17" t="n">
        <f aca="false">SQRT(($B126-BG$16)^2+($C126-BG$17)^2+($D126-BG$18)^2)</f>
        <v>5.82846763751503</v>
      </c>
      <c r="BH126" s="17" t="n">
        <f aca="false">SQRT(($B126-BH$16)^2+($C126-BH$17)^2+($D126-BH$18)^2)</f>
        <v>0.378149112194565</v>
      </c>
      <c r="BI126" s="17" t="n">
        <f aca="false">SQRT(($B126-BI$16)^2+($C126-BI$17)^2+($D126-BI$18)^2)</f>
        <v>2.3103409589562</v>
      </c>
      <c r="BJ126" s="63" t="n">
        <f aca="false">MATCH(MIN(BG126:BI126),BG126:BI126,0)</f>
        <v>2</v>
      </c>
      <c r="BL126" s="17" t="n">
        <f aca="false">SQRT(($B126-BL$16)^2+($C126-BL$17)^2+($D126-BL$18)^2)</f>
        <v>5.82846763751503</v>
      </c>
      <c r="BM126" s="17" t="n">
        <f aca="false">SQRT(($B126-BM$16)^2+($C126-BM$17)^2+($D126-BM$18)^2)</f>
        <v>0.378149112194565</v>
      </c>
      <c r="BN126" s="17" t="n">
        <f aca="false">SQRT(($B126-BN$16)^2+($C126-BN$17)^2+($D126-BN$18)^2)</f>
        <v>2.3103409589562</v>
      </c>
      <c r="BO126" s="63" t="n">
        <f aca="false">MATCH(MIN(BL126:BN126),BL126:BN126,0)</f>
        <v>2</v>
      </c>
      <c r="BQ126" s="17" t="n">
        <f aca="false">SQRT(($B126-BQ$16)^2+($C126-BQ$17)^2+($D126-BQ$18)^2)</f>
        <v>5.82846763751503</v>
      </c>
      <c r="BR126" s="17" t="n">
        <f aca="false">SQRT(($B126-BR$16)^2+($C126-BR$17)^2+($D126-BR$18)^2)</f>
        <v>0.378149112194565</v>
      </c>
      <c r="BS126" s="17" t="n">
        <f aca="false">SQRT(($B126-BS$16)^2+($C126-BS$17)^2+($D126-BS$18)^2)</f>
        <v>2.3103409589562</v>
      </c>
      <c r="BT126" s="63" t="n">
        <f aca="false">MATCH(MIN(BQ126:BS126),BQ126:BS126,0)</f>
        <v>2</v>
      </c>
      <c r="BV126" s="17" t="n">
        <f aca="false">SQRT(($B126-BV$16)^2+($C126-BV$17)^2+($D126-BV$18)^2)</f>
        <v>5.82846763751503</v>
      </c>
      <c r="BW126" s="17" t="n">
        <f aca="false">SQRT(($B126-BW$16)^2+($C126-BW$17)^2+($D126-BW$18)^2)</f>
        <v>0.378149112194565</v>
      </c>
      <c r="BX126" s="17" t="n">
        <f aca="false">SQRT(($B126-BX$16)^2+($C126-BX$17)^2+($D126-BX$18)^2)</f>
        <v>2.3103409589562</v>
      </c>
      <c r="BY126" s="63" t="n">
        <f aca="false">MATCH(MIN(BV126:BX126),BV126:BX126,0)</f>
        <v>2</v>
      </c>
      <c r="CA126" s="17" t="n">
        <f aca="false">SQRT(($B126-CA$16)^2+($C126-CA$17)^2+($D126-CA$18)^2)</f>
        <v>5.82846763751503</v>
      </c>
      <c r="CB126" s="17" t="n">
        <f aca="false">SQRT(($B126-CB$16)^2+($C126-CB$17)^2+($D126-CB$18)^2)</f>
        <v>0.378149112194565</v>
      </c>
      <c r="CC126" s="17" t="n">
        <f aca="false">SQRT(($B126-CC$16)^2+($C126-CC$17)^2+($D126-CC$18)^2)</f>
        <v>2.3103409589562</v>
      </c>
      <c r="CD126" s="63" t="n">
        <f aca="false">MATCH(MIN(CA126:CC126),CA126:CC126,0)</f>
        <v>2</v>
      </c>
    </row>
    <row r="127" customFormat="false" ht="15" hidden="false" customHeight="false" outlineLevel="0" collapsed="false">
      <c r="A127" s="36" t="str">
        <f aca="false">KMeans_Data!A109</f>
        <v>Chakwal</v>
      </c>
      <c r="B127" s="17" t="n">
        <f aca="false">KMeans_Data!H109</f>
        <v>-1.14718089935485</v>
      </c>
      <c r="C127" s="17" t="n">
        <f aca="false">KMeans_Data!I109</f>
        <v>-0.672650545388274</v>
      </c>
      <c r="D127" s="17" t="n">
        <f aca="false">KMeans_Data!J109</f>
        <v>-0.824446015898766</v>
      </c>
      <c r="E127" s="63" t="n">
        <f aca="false">CD127</f>
        <v>2</v>
      </c>
      <c r="F127" s="38" t="n">
        <f aca="false">($B127-INDEX($L$16:$N$16,E127))^2+($C127-INDEX($L$17:$N$17,E127))^2+($D127-INDEX($L$18:$N$18,E127))^2</f>
        <v>0.268971862077584</v>
      </c>
      <c r="G127" s="12" t="str">
        <f aca="false">INDEX($M$5:$M$7,E127)</f>
        <v>Low burden</v>
      </c>
      <c r="H127" s="17" t="n">
        <f aca="false">IF(COUNTIF(Distance_Matrix!$E$9:$DQ$9,$E127)&lt;=1,0,SUMIF(Distance_Matrix!$E$9:$DQ$9,$E127,Distance_Matrix!$E$118:$DQ$118)/(COUNTIF(Distance_Matrix!$E$9:$DQ$9,$E127)-1))</f>
        <v>0.896709463527448</v>
      </c>
      <c r="I127" s="17" t="n">
        <f aca="false">MIN(IF(1=$E127,1E+099,IF(COUNTIF(Distance_Matrix!$E$9:$DQ$9,1)=0,1E+099,SUMIF(Distance_Matrix!$E$9:$DQ$9,1,Distance_Matrix!$E$118:$DQ$118)/COUNTIF(Distance_Matrix!$E$9:$DQ$9,1))),IF(2=$E127,1E+099,IF(COUNTIF(Distance_Matrix!$E$9:$DQ$9,2)=0,1E+099,SUMIF(Distance_Matrix!$E$9:$DQ$9,2,Distance_Matrix!$E$118:$DQ$118)/COUNTIF(Distance_Matrix!$E$9:$DQ$9,2))),IF(3=$E127,1E+099,IF(COUNTIF(Distance_Matrix!$E$9:$DQ$9,3)=0,1E+099,SUMIF(Distance_Matrix!$E$9:$DQ$9,3,Distance_Matrix!$E$118:$DQ$118)/COUNTIF(Distance_Matrix!$E$9:$DQ$9,3))))</f>
        <v>2.6129759065949</v>
      </c>
      <c r="J127" s="17" t="n">
        <f aca="false">IF(COUNTIF(Distance_Matrix!$E$9:$DQ$9,$E127)&lt;=1,0,(I127-H127)/MAX(H127,I127))</f>
        <v>0.656824442481754</v>
      </c>
      <c r="X127" s="17" t="n">
        <f aca="false">SQRT(($B127-X$16)^2+($C127-X$17)^2+($D127-X$18)^2)</f>
        <v>7.64009488075629</v>
      </c>
      <c r="Y127" s="17" t="n">
        <f aca="false">SQRT(($B127-Y$16)^2+($C127-Y$17)^2+($D127-Y$18)^2)</f>
        <v>0.986321920950627</v>
      </c>
      <c r="Z127" s="17" t="n">
        <f aca="false">SQRT(($B127-Z$16)^2+($C127-Z$17)^2+($D127-Z$18)^2)</f>
        <v>3.33822742432139</v>
      </c>
      <c r="AA127" s="63" t="n">
        <f aca="false">MATCH(MIN(X127:Z127),X127:Z127,0)</f>
        <v>2</v>
      </c>
      <c r="AC127" s="17" t="n">
        <f aca="false">SQRT(($B127-AC$16)^2+($C127-AC$17)^2+($D127-AC$18)^2)</f>
        <v>6.64290575873722</v>
      </c>
      <c r="AD127" s="17" t="n">
        <f aca="false">SQRT(($B127-AD$16)^2+($C127-AD$17)^2+($D127-AD$18)^2)</f>
        <v>0.383913652582979</v>
      </c>
      <c r="AE127" s="17" t="n">
        <f aca="false">SQRT(($B127-AE$16)^2+($C127-AE$17)^2+($D127-AE$18)^2)</f>
        <v>2.40528909097694</v>
      </c>
      <c r="AF127" s="63" t="n">
        <f aca="false">MATCH(MIN(AC127:AE127),AC127:AE127,0)</f>
        <v>2</v>
      </c>
      <c r="AH127" s="17" t="n">
        <f aca="false">SQRT(($B127-AH$16)^2+($C127-AH$17)^2+($D127-AH$18)^2)</f>
        <v>6.01080755611369</v>
      </c>
      <c r="AI127" s="17" t="n">
        <f aca="false">SQRT(($B127-AI$16)^2+($C127-AI$17)^2+($D127-AI$18)^2)</f>
        <v>0.512144652977285</v>
      </c>
      <c r="AJ127" s="17" t="n">
        <f aca="false">SQRT(($B127-AJ$16)^2+($C127-AJ$17)^2+($D127-AJ$18)^2)</f>
        <v>2.49601314153203</v>
      </c>
      <c r="AK127" s="63" t="n">
        <f aca="false">MATCH(MIN(AH127:AJ127),AH127:AJ127,0)</f>
        <v>2</v>
      </c>
      <c r="AM127" s="17" t="n">
        <f aca="false">SQRT(($B127-AM$16)^2+($C127-AM$17)^2+($D127-AM$18)^2)</f>
        <v>6.01080755611369</v>
      </c>
      <c r="AN127" s="17" t="n">
        <f aca="false">SQRT(($B127-AN$16)^2+($C127-AN$17)^2+($D127-AN$18)^2)</f>
        <v>0.518624972477786</v>
      </c>
      <c r="AO127" s="17" t="n">
        <f aca="false">SQRT(($B127-AO$16)^2+($C127-AO$17)^2+($D127-AO$18)^2)</f>
        <v>2.52077653979628</v>
      </c>
      <c r="AP127" s="63" t="n">
        <f aca="false">MATCH(MIN(AM127:AO127),AM127:AO127,0)</f>
        <v>2</v>
      </c>
      <c r="AR127" s="17" t="n">
        <f aca="false">SQRT(($B127-AR$16)^2+($C127-AR$17)^2+($D127-AR$18)^2)</f>
        <v>6.01080755611369</v>
      </c>
      <c r="AS127" s="17" t="n">
        <f aca="false">SQRT(($B127-AS$16)^2+($C127-AS$17)^2+($D127-AS$18)^2)</f>
        <v>0.518624972477786</v>
      </c>
      <c r="AT127" s="17" t="n">
        <f aca="false">SQRT(($B127-AT$16)^2+($C127-AT$17)^2+($D127-AT$18)^2)</f>
        <v>2.52077653979628</v>
      </c>
      <c r="AU127" s="63" t="n">
        <f aca="false">MATCH(MIN(AR127:AT127),AR127:AT127,0)</f>
        <v>2</v>
      </c>
      <c r="AW127" s="17" t="n">
        <f aca="false">SQRT(($B127-AW$16)^2+($C127-AW$17)^2+($D127-AW$18)^2)</f>
        <v>6.01080755611369</v>
      </c>
      <c r="AX127" s="17" t="n">
        <f aca="false">SQRT(($B127-AX$16)^2+($C127-AX$17)^2+($D127-AX$18)^2)</f>
        <v>0.518624972477786</v>
      </c>
      <c r="AY127" s="17" t="n">
        <f aca="false">SQRT(($B127-AY$16)^2+($C127-AY$17)^2+($D127-AY$18)^2)</f>
        <v>2.52077653979628</v>
      </c>
      <c r="AZ127" s="63" t="n">
        <f aca="false">MATCH(MIN(AW127:AY127),AW127:AY127,0)</f>
        <v>2</v>
      </c>
      <c r="BB127" s="17" t="n">
        <f aca="false">SQRT(($B127-BB$16)^2+($C127-BB$17)^2+($D127-BB$18)^2)</f>
        <v>6.01080755611369</v>
      </c>
      <c r="BC127" s="17" t="n">
        <f aca="false">SQRT(($B127-BC$16)^2+($C127-BC$17)^2+($D127-BC$18)^2)</f>
        <v>0.518624972477786</v>
      </c>
      <c r="BD127" s="17" t="n">
        <f aca="false">SQRT(($B127-BD$16)^2+($C127-BD$17)^2+($D127-BD$18)^2)</f>
        <v>2.52077653979628</v>
      </c>
      <c r="BE127" s="63" t="n">
        <f aca="false">MATCH(MIN(BB127:BD127),BB127:BD127,0)</f>
        <v>2</v>
      </c>
      <c r="BG127" s="17" t="n">
        <f aca="false">SQRT(($B127-BG$16)^2+($C127-BG$17)^2+($D127-BG$18)^2)</f>
        <v>6.01080755611369</v>
      </c>
      <c r="BH127" s="17" t="n">
        <f aca="false">SQRT(($B127-BH$16)^2+($C127-BH$17)^2+($D127-BH$18)^2)</f>
        <v>0.518624972477786</v>
      </c>
      <c r="BI127" s="17" t="n">
        <f aca="false">SQRT(($B127-BI$16)^2+($C127-BI$17)^2+($D127-BI$18)^2)</f>
        <v>2.52077653979628</v>
      </c>
      <c r="BJ127" s="63" t="n">
        <f aca="false">MATCH(MIN(BG127:BI127),BG127:BI127,0)</f>
        <v>2</v>
      </c>
      <c r="BL127" s="17" t="n">
        <f aca="false">SQRT(($B127-BL$16)^2+($C127-BL$17)^2+($D127-BL$18)^2)</f>
        <v>6.01080755611369</v>
      </c>
      <c r="BM127" s="17" t="n">
        <f aca="false">SQRT(($B127-BM$16)^2+($C127-BM$17)^2+($D127-BM$18)^2)</f>
        <v>0.518624972477786</v>
      </c>
      <c r="BN127" s="17" t="n">
        <f aca="false">SQRT(($B127-BN$16)^2+($C127-BN$17)^2+($D127-BN$18)^2)</f>
        <v>2.52077653979628</v>
      </c>
      <c r="BO127" s="63" t="n">
        <f aca="false">MATCH(MIN(BL127:BN127),BL127:BN127,0)</f>
        <v>2</v>
      </c>
      <c r="BQ127" s="17" t="n">
        <f aca="false">SQRT(($B127-BQ$16)^2+($C127-BQ$17)^2+($D127-BQ$18)^2)</f>
        <v>6.01080755611369</v>
      </c>
      <c r="BR127" s="17" t="n">
        <f aca="false">SQRT(($B127-BR$16)^2+($C127-BR$17)^2+($D127-BR$18)^2)</f>
        <v>0.518624972477786</v>
      </c>
      <c r="BS127" s="17" t="n">
        <f aca="false">SQRT(($B127-BS$16)^2+($C127-BS$17)^2+($D127-BS$18)^2)</f>
        <v>2.52077653979628</v>
      </c>
      <c r="BT127" s="63" t="n">
        <f aca="false">MATCH(MIN(BQ127:BS127),BQ127:BS127,0)</f>
        <v>2</v>
      </c>
      <c r="BV127" s="17" t="n">
        <f aca="false">SQRT(($B127-BV$16)^2+($C127-BV$17)^2+($D127-BV$18)^2)</f>
        <v>6.01080755611369</v>
      </c>
      <c r="BW127" s="17" t="n">
        <f aca="false">SQRT(($B127-BW$16)^2+($C127-BW$17)^2+($D127-BW$18)^2)</f>
        <v>0.518624972477786</v>
      </c>
      <c r="BX127" s="17" t="n">
        <f aca="false">SQRT(($B127-BX$16)^2+($C127-BX$17)^2+($D127-BX$18)^2)</f>
        <v>2.52077653979628</v>
      </c>
      <c r="BY127" s="63" t="n">
        <f aca="false">MATCH(MIN(BV127:BX127),BV127:BX127,0)</f>
        <v>2</v>
      </c>
      <c r="CA127" s="17" t="n">
        <f aca="false">SQRT(($B127-CA$16)^2+($C127-CA$17)^2+($D127-CA$18)^2)</f>
        <v>6.01080755611369</v>
      </c>
      <c r="CB127" s="17" t="n">
        <f aca="false">SQRT(($B127-CB$16)^2+($C127-CB$17)^2+($D127-CB$18)^2)</f>
        <v>0.518624972477786</v>
      </c>
      <c r="CC127" s="17" t="n">
        <f aca="false">SQRT(($B127-CC$16)^2+($C127-CC$17)^2+($D127-CC$18)^2)</f>
        <v>2.52077653979628</v>
      </c>
      <c r="CD127" s="63" t="n">
        <f aca="false">MATCH(MIN(CA127:CC127),CA127:CC127,0)</f>
        <v>2</v>
      </c>
    </row>
    <row r="128" customFormat="false" ht="15" hidden="false" customHeight="false" outlineLevel="0" collapsed="false">
      <c r="A128" s="36" t="str">
        <f aca="false">KMeans_Data!A110</f>
        <v>Pishin</v>
      </c>
      <c r="B128" s="17" t="n">
        <f aca="false">KMeans_Data!H110</f>
        <v>-1.35821333130003</v>
      </c>
      <c r="C128" s="17" t="n">
        <f aca="false">KMeans_Data!I110</f>
        <v>-0.672650545388274</v>
      </c>
      <c r="D128" s="17" t="n">
        <f aca="false">KMeans_Data!J110</f>
        <v>-1.14564411633355</v>
      </c>
      <c r="E128" s="63" t="n">
        <f aca="false">CD128</f>
        <v>2</v>
      </c>
      <c r="F128" s="38" t="n">
        <f aca="false">($B128-INDEX($L$16:$N$16,E128))^2+($C128-INDEX($L$17:$N$17,E128))^2+($D128-INDEX($L$18:$N$18,E128))^2</f>
        <v>0.684917913871175</v>
      </c>
      <c r="G128" s="12" t="str">
        <f aca="false">INDEX($M$5:$M$7,E128)</f>
        <v>Low burden</v>
      </c>
      <c r="H128" s="17" t="n">
        <f aca="false">IF(COUNTIF(Distance_Matrix!$E$9:$DQ$9,$E128)&lt;=1,0,SUMIF(Distance_Matrix!$E$9:$DQ$9,$E128,Distance_Matrix!$E$119:$DQ$119)/(COUNTIF(Distance_Matrix!$E$9:$DQ$9,$E128)-1))</f>
        <v>1.04369376772433</v>
      </c>
      <c r="I128" s="17" t="n">
        <f aca="false">MIN(IF(1=$E128,1E+099,IF(COUNTIF(Distance_Matrix!$E$9:$DQ$9,1)=0,1E+099,SUMIF(Distance_Matrix!$E$9:$DQ$9,1,Distance_Matrix!$E$119:$DQ$119)/COUNTIF(Distance_Matrix!$E$9:$DQ$9,1))),IF(2=$E128,1E+099,IF(COUNTIF(Distance_Matrix!$E$9:$DQ$9,2)=0,1E+099,SUMIF(Distance_Matrix!$E$9:$DQ$9,2,Distance_Matrix!$E$119:$DQ$119)/COUNTIF(Distance_Matrix!$E$9:$DQ$9,2))),IF(3=$E128,1E+099,IF(COUNTIF(Distance_Matrix!$E$9:$DQ$9,3)=0,1E+099,SUMIF(Distance_Matrix!$E$9:$DQ$9,3,Distance_Matrix!$E$119:$DQ$119)/COUNTIF(Distance_Matrix!$E$9:$DQ$9,3))))</f>
        <v>2.94528408509396</v>
      </c>
      <c r="J128" s="17" t="n">
        <f aca="false">IF(COUNTIF(Distance_Matrix!$E$9:$DQ$9,$E128)&lt;=1,0,(I128-H128)/MAX(H128,I128))</f>
        <v>0.645639015602451</v>
      </c>
      <c r="X128" s="17" t="n">
        <f aca="false">SQRT(($B128-X$16)^2+($C128-X$17)^2+($D128-X$18)^2)</f>
        <v>7.93750965384981</v>
      </c>
      <c r="Y128" s="17" t="n">
        <f aca="false">SQRT(($B128-Y$16)^2+($C128-Y$17)^2+($D128-Y$18)^2)</f>
        <v>0.721524650503296</v>
      </c>
      <c r="Z128" s="17" t="n">
        <f aca="false">SQRT(($B128-Z$16)^2+($C128-Z$17)^2+($D128-Z$18)^2)</f>
        <v>3.6996860383442</v>
      </c>
      <c r="AA128" s="63" t="n">
        <f aca="false">MATCH(MIN(X128:Z128),X128:Z128,0)</f>
        <v>2</v>
      </c>
      <c r="AC128" s="17" t="n">
        <f aca="false">SQRT(($B128-AC$16)^2+($C128-AC$17)^2+($D128-AC$18)^2)</f>
        <v>6.93342174034202</v>
      </c>
      <c r="AD128" s="17" t="n">
        <f aca="false">SQRT(($B128-AD$16)^2+($C128-AD$17)^2+($D128-AD$18)^2)</f>
        <v>0.674827686633613</v>
      </c>
      <c r="AE128" s="17" t="n">
        <f aca="false">SQRT(($B128-AE$16)^2+($C128-AE$17)^2+($D128-AE$18)^2)</f>
        <v>2.74580520005446</v>
      </c>
      <c r="AF128" s="63" t="n">
        <f aca="false">MATCH(MIN(AC128:AE128),AC128:AE128,0)</f>
        <v>2</v>
      </c>
      <c r="AH128" s="17" t="n">
        <f aca="false">SQRT(($B128-AH$16)^2+($C128-AH$17)^2+($D128-AH$18)^2)</f>
        <v>6.30399783085743</v>
      </c>
      <c r="AI128" s="17" t="n">
        <f aca="false">SQRT(($B128-AI$16)^2+($C128-AI$17)^2+($D128-AI$18)^2)</f>
        <v>0.817021581487189</v>
      </c>
      <c r="AJ128" s="17" t="n">
        <f aca="false">SQRT(($B128-AJ$16)^2+($C128-AJ$17)^2+($D128-AJ$18)^2)</f>
        <v>2.83700989345328</v>
      </c>
      <c r="AK128" s="63" t="n">
        <f aca="false">MATCH(MIN(AH128:AJ128),AH128:AJ128,0)</f>
        <v>2</v>
      </c>
      <c r="AM128" s="17" t="n">
        <f aca="false">SQRT(($B128-AM$16)^2+($C128-AM$17)^2+($D128-AM$18)^2)</f>
        <v>6.30399783085743</v>
      </c>
      <c r="AN128" s="17" t="n">
        <f aca="false">SQRT(($B128-AN$16)^2+($C128-AN$17)^2+($D128-AN$18)^2)</f>
        <v>0.827597676332634</v>
      </c>
      <c r="AO128" s="17" t="n">
        <f aca="false">SQRT(($B128-AO$16)^2+($C128-AO$17)^2+($D128-AO$18)^2)</f>
        <v>2.86151006419521</v>
      </c>
      <c r="AP128" s="63" t="n">
        <f aca="false">MATCH(MIN(AM128:AO128),AM128:AO128,0)</f>
        <v>2</v>
      </c>
      <c r="AR128" s="17" t="n">
        <f aca="false">SQRT(($B128-AR$16)^2+($C128-AR$17)^2+($D128-AR$18)^2)</f>
        <v>6.30399783085743</v>
      </c>
      <c r="AS128" s="17" t="n">
        <f aca="false">SQRT(($B128-AS$16)^2+($C128-AS$17)^2+($D128-AS$18)^2)</f>
        <v>0.827597676332634</v>
      </c>
      <c r="AT128" s="17" t="n">
        <f aca="false">SQRT(($B128-AT$16)^2+($C128-AT$17)^2+($D128-AT$18)^2)</f>
        <v>2.86151006419521</v>
      </c>
      <c r="AU128" s="63" t="n">
        <f aca="false">MATCH(MIN(AR128:AT128),AR128:AT128,0)</f>
        <v>2</v>
      </c>
      <c r="AW128" s="17" t="n">
        <f aca="false">SQRT(($B128-AW$16)^2+($C128-AW$17)^2+($D128-AW$18)^2)</f>
        <v>6.30399783085743</v>
      </c>
      <c r="AX128" s="17" t="n">
        <f aca="false">SQRT(($B128-AX$16)^2+($C128-AX$17)^2+($D128-AX$18)^2)</f>
        <v>0.827597676332634</v>
      </c>
      <c r="AY128" s="17" t="n">
        <f aca="false">SQRT(($B128-AY$16)^2+($C128-AY$17)^2+($D128-AY$18)^2)</f>
        <v>2.86151006419521</v>
      </c>
      <c r="AZ128" s="63" t="n">
        <f aca="false">MATCH(MIN(AW128:AY128),AW128:AY128,0)</f>
        <v>2</v>
      </c>
      <c r="BB128" s="17" t="n">
        <f aca="false">SQRT(($B128-BB$16)^2+($C128-BB$17)^2+($D128-BB$18)^2)</f>
        <v>6.30399783085743</v>
      </c>
      <c r="BC128" s="17" t="n">
        <f aca="false">SQRT(($B128-BC$16)^2+($C128-BC$17)^2+($D128-BC$18)^2)</f>
        <v>0.827597676332634</v>
      </c>
      <c r="BD128" s="17" t="n">
        <f aca="false">SQRT(($B128-BD$16)^2+($C128-BD$17)^2+($D128-BD$18)^2)</f>
        <v>2.86151006419521</v>
      </c>
      <c r="BE128" s="63" t="n">
        <f aca="false">MATCH(MIN(BB128:BD128),BB128:BD128,0)</f>
        <v>2</v>
      </c>
      <c r="BG128" s="17" t="n">
        <f aca="false">SQRT(($B128-BG$16)^2+($C128-BG$17)^2+($D128-BG$18)^2)</f>
        <v>6.30399783085743</v>
      </c>
      <c r="BH128" s="17" t="n">
        <f aca="false">SQRT(($B128-BH$16)^2+($C128-BH$17)^2+($D128-BH$18)^2)</f>
        <v>0.827597676332634</v>
      </c>
      <c r="BI128" s="17" t="n">
        <f aca="false">SQRT(($B128-BI$16)^2+($C128-BI$17)^2+($D128-BI$18)^2)</f>
        <v>2.86151006419521</v>
      </c>
      <c r="BJ128" s="63" t="n">
        <f aca="false">MATCH(MIN(BG128:BI128),BG128:BI128,0)</f>
        <v>2</v>
      </c>
      <c r="BL128" s="17" t="n">
        <f aca="false">SQRT(($B128-BL$16)^2+($C128-BL$17)^2+($D128-BL$18)^2)</f>
        <v>6.30399783085743</v>
      </c>
      <c r="BM128" s="17" t="n">
        <f aca="false">SQRT(($B128-BM$16)^2+($C128-BM$17)^2+($D128-BM$18)^2)</f>
        <v>0.827597676332634</v>
      </c>
      <c r="BN128" s="17" t="n">
        <f aca="false">SQRT(($B128-BN$16)^2+($C128-BN$17)^2+($D128-BN$18)^2)</f>
        <v>2.86151006419521</v>
      </c>
      <c r="BO128" s="63" t="n">
        <f aca="false">MATCH(MIN(BL128:BN128),BL128:BN128,0)</f>
        <v>2</v>
      </c>
      <c r="BQ128" s="17" t="n">
        <f aca="false">SQRT(($B128-BQ$16)^2+($C128-BQ$17)^2+($D128-BQ$18)^2)</f>
        <v>6.30399783085743</v>
      </c>
      <c r="BR128" s="17" t="n">
        <f aca="false">SQRT(($B128-BR$16)^2+($C128-BR$17)^2+($D128-BR$18)^2)</f>
        <v>0.827597676332634</v>
      </c>
      <c r="BS128" s="17" t="n">
        <f aca="false">SQRT(($B128-BS$16)^2+($C128-BS$17)^2+($D128-BS$18)^2)</f>
        <v>2.86151006419521</v>
      </c>
      <c r="BT128" s="63" t="n">
        <f aca="false">MATCH(MIN(BQ128:BS128),BQ128:BS128,0)</f>
        <v>2</v>
      </c>
      <c r="BV128" s="17" t="n">
        <f aca="false">SQRT(($B128-BV$16)^2+($C128-BV$17)^2+($D128-BV$18)^2)</f>
        <v>6.30399783085743</v>
      </c>
      <c r="BW128" s="17" t="n">
        <f aca="false">SQRT(($B128-BW$16)^2+($C128-BW$17)^2+($D128-BW$18)^2)</f>
        <v>0.827597676332634</v>
      </c>
      <c r="BX128" s="17" t="n">
        <f aca="false">SQRT(($B128-BX$16)^2+($C128-BX$17)^2+($D128-BX$18)^2)</f>
        <v>2.86151006419521</v>
      </c>
      <c r="BY128" s="63" t="n">
        <f aca="false">MATCH(MIN(BV128:BX128),BV128:BX128,0)</f>
        <v>2</v>
      </c>
      <c r="CA128" s="17" t="n">
        <f aca="false">SQRT(($B128-CA$16)^2+($C128-CA$17)^2+($D128-CA$18)^2)</f>
        <v>6.30399783085743</v>
      </c>
      <c r="CB128" s="17" t="n">
        <f aca="false">SQRT(($B128-CB$16)^2+($C128-CB$17)^2+($D128-CB$18)^2)</f>
        <v>0.827597676332634</v>
      </c>
      <c r="CC128" s="17" t="n">
        <f aca="false">SQRT(($B128-CC$16)^2+($C128-CC$17)^2+($D128-CC$18)^2)</f>
        <v>2.86151006419521</v>
      </c>
      <c r="CD128" s="63" t="n">
        <f aca="false">MATCH(MIN(CA128:CC128),CA128:CC128,0)</f>
        <v>2</v>
      </c>
    </row>
    <row r="129" customFormat="false" ht="15" hidden="false" customHeight="false" outlineLevel="0" collapsed="false">
      <c r="A129" s="36" t="str">
        <f aca="false">KMeans_Data!A111</f>
        <v>Kohistan Lower</v>
      </c>
      <c r="B129" s="17" t="n">
        <f aca="false">KMeans_Data!H111</f>
        <v>-1.50794322460649</v>
      </c>
      <c r="C129" s="17" t="n">
        <f aca="false">KMeans_Data!I111</f>
        <v>-0.672650545388274</v>
      </c>
      <c r="D129" s="17" t="n">
        <f aca="false">KMeans_Data!J111</f>
        <v>-1.14564411633355</v>
      </c>
      <c r="E129" s="63" t="n">
        <f aca="false">CD129</f>
        <v>2</v>
      </c>
      <c r="F129" s="38" t="n">
        <f aca="false">($B129-INDEX($L$16:$N$16,E129))^2+($C129-INDEX($L$17:$N$17,E129))^2+($D129-INDEX($L$18:$N$18,E129))^2</f>
        <v>0.923112922838079</v>
      </c>
      <c r="G129" s="12" t="str">
        <f aca="false">INDEX($M$5:$M$7,E129)</f>
        <v>Low burden</v>
      </c>
      <c r="H129" s="17" t="n">
        <f aca="false">IF(COUNTIF(Distance_Matrix!$E$9:$DQ$9,$E129)&lt;=1,0,SUMIF(Distance_Matrix!$E$9:$DQ$9,$E129,Distance_Matrix!$E$120:$DQ$120)/(COUNTIF(Distance_Matrix!$E$9:$DQ$9,$E129)-1))</f>
        <v>1.12250950262165</v>
      </c>
      <c r="I129" s="17" t="n">
        <f aca="false">MIN(IF(1=$E129,1E+099,IF(COUNTIF(Distance_Matrix!$E$9:$DQ$9,1)=0,1E+099,SUMIF(Distance_Matrix!$E$9:$DQ$9,1,Distance_Matrix!$E$120:$DQ$120)/COUNTIF(Distance_Matrix!$E$9:$DQ$9,1))),IF(2=$E129,1E+099,IF(COUNTIF(Distance_Matrix!$E$9:$DQ$9,2)=0,1E+099,SUMIF(Distance_Matrix!$E$9:$DQ$9,2,Distance_Matrix!$E$120:$DQ$120)/COUNTIF(Distance_Matrix!$E$9:$DQ$9,2))),IF(3=$E129,1E+099,IF(COUNTIF(Distance_Matrix!$E$9:$DQ$9,3)=0,1E+099,SUMIF(Distance_Matrix!$E$9:$DQ$9,3,Distance_Matrix!$E$120:$DQ$120)/COUNTIF(Distance_Matrix!$E$9:$DQ$9,3))))</f>
        <v>3.04347389960098</v>
      </c>
      <c r="J129" s="17" t="n">
        <f aca="false">IF(COUNTIF(Distance_Matrix!$E$9:$DQ$9,$E129)&lt;=1,0,(I129-H129)/MAX(H129,I129))</f>
        <v>0.631174920616596</v>
      </c>
      <c r="X129" s="17" t="n">
        <f aca="false">SQRT(($B129-X$16)^2+($C129-X$17)^2+($D129-X$18)^2)</f>
        <v>8.02581663311103</v>
      </c>
      <c r="Y129" s="17" t="n">
        <f aca="false">SQRT(($B129-Y$16)^2+($C129-Y$17)^2+($D129-Y$18)^2)</f>
        <v>0.571794757196831</v>
      </c>
      <c r="Z129" s="17" t="n">
        <f aca="false">SQRT(($B129-Z$16)^2+($C129-Z$17)^2+($D129-Z$18)^2)</f>
        <v>3.79835053358808</v>
      </c>
      <c r="AA129" s="63" t="n">
        <f aca="false">MATCH(MIN(X129:Z129),X129:Z129,0)</f>
        <v>2</v>
      </c>
      <c r="AC129" s="17" t="n">
        <f aca="false">SQRT(($B129-AC$16)^2+($C129-AC$17)^2+($D129-AC$18)^2)</f>
        <v>7.02442425172238</v>
      </c>
      <c r="AD129" s="17" t="n">
        <f aca="false">SQRT(($B129-AD$16)^2+($C129-AD$17)^2+($D129-AD$18)^2)</f>
        <v>0.809715538252297</v>
      </c>
      <c r="AE129" s="17" t="n">
        <f aca="false">SQRT(($B129-AE$16)^2+($C129-AE$17)^2+($D129-AE$18)^2)</f>
        <v>2.84975071654991</v>
      </c>
      <c r="AF129" s="63" t="n">
        <f aca="false">MATCH(MIN(AC129:AE129),AC129:AE129,0)</f>
        <v>2</v>
      </c>
      <c r="AH129" s="17" t="n">
        <f aca="false">SQRT(($B129-AH$16)^2+($C129-AH$17)^2+($D129-AH$18)^2)</f>
        <v>6.39633892387153</v>
      </c>
      <c r="AI129" s="17" t="n">
        <f aca="false">SQRT(($B129-AI$16)^2+($C129-AI$17)^2+($D129-AI$18)^2)</f>
        <v>0.951100763594999</v>
      </c>
      <c r="AJ129" s="17" t="n">
        <f aca="false">SQRT(($B129-AJ$16)^2+($C129-AJ$17)^2+($D129-AJ$18)^2)</f>
        <v>2.93764546491406</v>
      </c>
      <c r="AK129" s="63" t="n">
        <f aca="false">MATCH(MIN(AH129:AJ129),AH129:AJ129,0)</f>
        <v>2</v>
      </c>
      <c r="AM129" s="17" t="n">
        <f aca="false">SQRT(($B129-AM$16)^2+($C129-AM$17)^2+($D129-AM$18)^2)</f>
        <v>6.39633892387153</v>
      </c>
      <c r="AN129" s="17" t="n">
        <f aca="false">SQRT(($B129-AN$16)^2+($C129-AN$17)^2+($D129-AN$18)^2)</f>
        <v>0.96078765751756</v>
      </c>
      <c r="AO129" s="17" t="n">
        <f aca="false">SQRT(($B129-AO$16)^2+($C129-AO$17)^2+($D129-AO$18)^2)</f>
        <v>2.96227361702217</v>
      </c>
      <c r="AP129" s="63" t="n">
        <f aca="false">MATCH(MIN(AM129:AO129),AM129:AO129,0)</f>
        <v>2</v>
      </c>
      <c r="AR129" s="17" t="n">
        <f aca="false">SQRT(($B129-AR$16)^2+($C129-AR$17)^2+($D129-AR$18)^2)</f>
        <v>6.39633892387153</v>
      </c>
      <c r="AS129" s="17" t="n">
        <f aca="false">SQRT(($B129-AS$16)^2+($C129-AS$17)^2+($D129-AS$18)^2)</f>
        <v>0.96078765751756</v>
      </c>
      <c r="AT129" s="17" t="n">
        <f aca="false">SQRT(($B129-AT$16)^2+($C129-AT$17)^2+($D129-AT$18)^2)</f>
        <v>2.96227361702217</v>
      </c>
      <c r="AU129" s="63" t="n">
        <f aca="false">MATCH(MIN(AR129:AT129),AR129:AT129,0)</f>
        <v>2</v>
      </c>
      <c r="AW129" s="17" t="n">
        <f aca="false">SQRT(($B129-AW$16)^2+($C129-AW$17)^2+($D129-AW$18)^2)</f>
        <v>6.39633892387153</v>
      </c>
      <c r="AX129" s="17" t="n">
        <f aca="false">SQRT(($B129-AX$16)^2+($C129-AX$17)^2+($D129-AX$18)^2)</f>
        <v>0.96078765751756</v>
      </c>
      <c r="AY129" s="17" t="n">
        <f aca="false">SQRT(($B129-AY$16)^2+($C129-AY$17)^2+($D129-AY$18)^2)</f>
        <v>2.96227361702217</v>
      </c>
      <c r="AZ129" s="63" t="n">
        <f aca="false">MATCH(MIN(AW129:AY129),AW129:AY129,0)</f>
        <v>2</v>
      </c>
      <c r="BB129" s="17" t="n">
        <f aca="false">SQRT(($B129-BB$16)^2+($C129-BB$17)^2+($D129-BB$18)^2)</f>
        <v>6.39633892387153</v>
      </c>
      <c r="BC129" s="17" t="n">
        <f aca="false">SQRT(($B129-BC$16)^2+($C129-BC$17)^2+($D129-BC$18)^2)</f>
        <v>0.96078765751756</v>
      </c>
      <c r="BD129" s="17" t="n">
        <f aca="false">SQRT(($B129-BD$16)^2+($C129-BD$17)^2+($D129-BD$18)^2)</f>
        <v>2.96227361702217</v>
      </c>
      <c r="BE129" s="63" t="n">
        <f aca="false">MATCH(MIN(BB129:BD129),BB129:BD129,0)</f>
        <v>2</v>
      </c>
      <c r="BG129" s="17" t="n">
        <f aca="false">SQRT(($B129-BG$16)^2+($C129-BG$17)^2+($D129-BG$18)^2)</f>
        <v>6.39633892387153</v>
      </c>
      <c r="BH129" s="17" t="n">
        <f aca="false">SQRT(($B129-BH$16)^2+($C129-BH$17)^2+($D129-BH$18)^2)</f>
        <v>0.96078765751756</v>
      </c>
      <c r="BI129" s="17" t="n">
        <f aca="false">SQRT(($B129-BI$16)^2+($C129-BI$17)^2+($D129-BI$18)^2)</f>
        <v>2.96227361702217</v>
      </c>
      <c r="BJ129" s="63" t="n">
        <f aca="false">MATCH(MIN(BG129:BI129),BG129:BI129,0)</f>
        <v>2</v>
      </c>
      <c r="BL129" s="17" t="n">
        <f aca="false">SQRT(($B129-BL$16)^2+($C129-BL$17)^2+($D129-BL$18)^2)</f>
        <v>6.39633892387153</v>
      </c>
      <c r="BM129" s="17" t="n">
        <f aca="false">SQRT(($B129-BM$16)^2+($C129-BM$17)^2+($D129-BM$18)^2)</f>
        <v>0.96078765751756</v>
      </c>
      <c r="BN129" s="17" t="n">
        <f aca="false">SQRT(($B129-BN$16)^2+($C129-BN$17)^2+($D129-BN$18)^2)</f>
        <v>2.96227361702217</v>
      </c>
      <c r="BO129" s="63" t="n">
        <f aca="false">MATCH(MIN(BL129:BN129),BL129:BN129,0)</f>
        <v>2</v>
      </c>
      <c r="BQ129" s="17" t="n">
        <f aca="false">SQRT(($B129-BQ$16)^2+($C129-BQ$17)^2+($D129-BQ$18)^2)</f>
        <v>6.39633892387153</v>
      </c>
      <c r="BR129" s="17" t="n">
        <f aca="false">SQRT(($B129-BR$16)^2+($C129-BR$17)^2+($D129-BR$18)^2)</f>
        <v>0.96078765751756</v>
      </c>
      <c r="BS129" s="17" t="n">
        <f aca="false">SQRT(($B129-BS$16)^2+($C129-BS$17)^2+($D129-BS$18)^2)</f>
        <v>2.96227361702217</v>
      </c>
      <c r="BT129" s="63" t="n">
        <f aca="false">MATCH(MIN(BQ129:BS129),BQ129:BS129,0)</f>
        <v>2</v>
      </c>
      <c r="BV129" s="17" t="n">
        <f aca="false">SQRT(($B129-BV$16)^2+($C129-BV$17)^2+($D129-BV$18)^2)</f>
        <v>6.39633892387153</v>
      </c>
      <c r="BW129" s="17" t="n">
        <f aca="false">SQRT(($B129-BW$16)^2+($C129-BW$17)^2+($D129-BW$18)^2)</f>
        <v>0.96078765751756</v>
      </c>
      <c r="BX129" s="17" t="n">
        <f aca="false">SQRT(($B129-BX$16)^2+($C129-BX$17)^2+($D129-BX$18)^2)</f>
        <v>2.96227361702217</v>
      </c>
      <c r="BY129" s="63" t="n">
        <f aca="false">MATCH(MIN(BV129:BX129),BV129:BX129,0)</f>
        <v>2</v>
      </c>
      <c r="CA129" s="17" t="n">
        <f aca="false">SQRT(($B129-CA$16)^2+($C129-CA$17)^2+($D129-CA$18)^2)</f>
        <v>6.39633892387153</v>
      </c>
      <c r="CB129" s="17" t="n">
        <f aca="false">SQRT(($B129-CB$16)^2+($C129-CB$17)^2+($D129-CB$18)^2)</f>
        <v>0.96078765751756</v>
      </c>
      <c r="CC129" s="17" t="n">
        <f aca="false">SQRT(($B129-CC$16)^2+($C129-CC$17)^2+($D129-CC$18)^2)</f>
        <v>2.96227361702217</v>
      </c>
      <c r="CD129" s="63" t="n">
        <f aca="false">MATCH(MIN(CA129:CC129),CA129:CC129,0)</f>
        <v>2</v>
      </c>
    </row>
    <row r="130" customFormat="false" ht="15" hidden="false" customHeight="false" outlineLevel="0" collapsed="false">
      <c r="A130" s="36" t="str">
        <f aca="false">KMeans_Data!A112</f>
        <v>Bhambore</v>
      </c>
      <c r="B130" s="17" t="n">
        <f aca="false">KMeans_Data!H112</f>
        <v>-1.50794322460649</v>
      </c>
      <c r="C130" s="17" t="n">
        <f aca="false">KMeans_Data!I112</f>
        <v>-0.672650545388274</v>
      </c>
      <c r="D130" s="17" t="n">
        <f aca="false">KMeans_Data!J112</f>
        <v>-1.14564411633355</v>
      </c>
      <c r="E130" s="63" t="n">
        <f aca="false">CD130</f>
        <v>2</v>
      </c>
      <c r="F130" s="38" t="n">
        <f aca="false">($B130-INDEX($L$16:$N$16,E130))^2+($C130-INDEX($L$17:$N$17,E130))^2+($D130-INDEX($L$18:$N$18,E130))^2</f>
        <v>0.923112922838079</v>
      </c>
      <c r="G130" s="12" t="str">
        <f aca="false">INDEX($M$5:$M$7,E130)</f>
        <v>Low burden</v>
      </c>
      <c r="H130" s="17" t="n">
        <f aca="false">IF(COUNTIF(Distance_Matrix!$E$9:$DQ$9,$E130)&lt;=1,0,SUMIF(Distance_Matrix!$E$9:$DQ$9,$E130,Distance_Matrix!$E$121:$DQ$121)/(COUNTIF(Distance_Matrix!$E$9:$DQ$9,$E130)-1))</f>
        <v>1.12250950262165</v>
      </c>
      <c r="I130" s="17" t="n">
        <f aca="false">MIN(IF(1=$E130,1E+099,IF(COUNTIF(Distance_Matrix!$E$9:$DQ$9,1)=0,1E+099,SUMIF(Distance_Matrix!$E$9:$DQ$9,1,Distance_Matrix!$E$121:$DQ$121)/COUNTIF(Distance_Matrix!$E$9:$DQ$9,1))),IF(2=$E130,1E+099,IF(COUNTIF(Distance_Matrix!$E$9:$DQ$9,2)=0,1E+099,SUMIF(Distance_Matrix!$E$9:$DQ$9,2,Distance_Matrix!$E$121:$DQ$121)/COUNTIF(Distance_Matrix!$E$9:$DQ$9,2))),IF(3=$E130,1E+099,IF(COUNTIF(Distance_Matrix!$E$9:$DQ$9,3)=0,1E+099,SUMIF(Distance_Matrix!$E$9:$DQ$9,3,Distance_Matrix!$E$121:$DQ$121)/COUNTIF(Distance_Matrix!$E$9:$DQ$9,3))))</f>
        <v>3.04347389960098</v>
      </c>
      <c r="J130" s="17" t="n">
        <f aca="false">IF(COUNTIF(Distance_Matrix!$E$9:$DQ$9,$E130)&lt;=1,0,(I130-H130)/MAX(H130,I130))</f>
        <v>0.631174920616596</v>
      </c>
      <c r="X130" s="17" t="n">
        <f aca="false">SQRT(($B130-X$16)^2+($C130-X$17)^2+($D130-X$18)^2)</f>
        <v>8.02581663311103</v>
      </c>
      <c r="Y130" s="17" t="n">
        <f aca="false">SQRT(($B130-Y$16)^2+($C130-Y$17)^2+($D130-Y$18)^2)</f>
        <v>0.571794757196831</v>
      </c>
      <c r="Z130" s="17" t="n">
        <f aca="false">SQRT(($B130-Z$16)^2+($C130-Z$17)^2+($D130-Z$18)^2)</f>
        <v>3.79835053358808</v>
      </c>
      <c r="AA130" s="63" t="n">
        <f aca="false">MATCH(MIN(X130:Z130),X130:Z130,0)</f>
        <v>2</v>
      </c>
      <c r="AC130" s="17" t="n">
        <f aca="false">SQRT(($B130-AC$16)^2+($C130-AC$17)^2+($D130-AC$18)^2)</f>
        <v>7.02442425172238</v>
      </c>
      <c r="AD130" s="17" t="n">
        <f aca="false">SQRT(($B130-AD$16)^2+($C130-AD$17)^2+($D130-AD$18)^2)</f>
        <v>0.809715538252297</v>
      </c>
      <c r="AE130" s="17" t="n">
        <f aca="false">SQRT(($B130-AE$16)^2+($C130-AE$17)^2+($D130-AE$18)^2)</f>
        <v>2.84975071654991</v>
      </c>
      <c r="AF130" s="63" t="n">
        <f aca="false">MATCH(MIN(AC130:AE130),AC130:AE130,0)</f>
        <v>2</v>
      </c>
      <c r="AH130" s="17" t="n">
        <f aca="false">SQRT(($B130-AH$16)^2+($C130-AH$17)^2+($D130-AH$18)^2)</f>
        <v>6.39633892387153</v>
      </c>
      <c r="AI130" s="17" t="n">
        <f aca="false">SQRT(($B130-AI$16)^2+($C130-AI$17)^2+($D130-AI$18)^2)</f>
        <v>0.951100763594999</v>
      </c>
      <c r="AJ130" s="17" t="n">
        <f aca="false">SQRT(($B130-AJ$16)^2+($C130-AJ$17)^2+($D130-AJ$18)^2)</f>
        <v>2.93764546491406</v>
      </c>
      <c r="AK130" s="63" t="n">
        <f aca="false">MATCH(MIN(AH130:AJ130),AH130:AJ130,0)</f>
        <v>2</v>
      </c>
      <c r="AM130" s="17" t="n">
        <f aca="false">SQRT(($B130-AM$16)^2+($C130-AM$17)^2+($D130-AM$18)^2)</f>
        <v>6.39633892387153</v>
      </c>
      <c r="AN130" s="17" t="n">
        <f aca="false">SQRT(($B130-AN$16)^2+($C130-AN$17)^2+($D130-AN$18)^2)</f>
        <v>0.96078765751756</v>
      </c>
      <c r="AO130" s="17" t="n">
        <f aca="false">SQRT(($B130-AO$16)^2+($C130-AO$17)^2+($D130-AO$18)^2)</f>
        <v>2.96227361702217</v>
      </c>
      <c r="AP130" s="63" t="n">
        <f aca="false">MATCH(MIN(AM130:AO130),AM130:AO130,0)</f>
        <v>2</v>
      </c>
      <c r="AR130" s="17" t="n">
        <f aca="false">SQRT(($B130-AR$16)^2+($C130-AR$17)^2+($D130-AR$18)^2)</f>
        <v>6.39633892387153</v>
      </c>
      <c r="AS130" s="17" t="n">
        <f aca="false">SQRT(($B130-AS$16)^2+($C130-AS$17)^2+($D130-AS$18)^2)</f>
        <v>0.96078765751756</v>
      </c>
      <c r="AT130" s="17" t="n">
        <f aca="false">SQRT(($B130-AT$16)^2+($C130-AT$17)^2+($D130-AT$18)^2)</f>
        <v>2.96227361702217</v>
      </c>
      <c r="AU130" s="63" t="n">
        <f aca="false">MATCH(MIN(AR130:AT130),AR130:AT130,0)</f>
        <v>2</v>
      </c>
      <c r="AW130" s="17" t="n">
        <f aca="false">SQRT(($B130-AW$16)^2+($C130-AW$17)^2+($D130-AW$18)^2)</f>
        <v>6.39633892387153</v>
      </c>
      <c r="AX130" s="17" t="n">
        <f aca="false">SQRT(($B130-AX$16)^2+($C130-AX$17)^2+($D130-AX$18)^2)</f>
        <v>0.96078765751756</v>
      </c>
      <c r="AY130" s="17" t="n">
        <f aca="false">SQRT(($B130-AY$16)^2+($C130-AY$17)^2+($D130-AY$18)^2)</f>
        <v>2.96227361702217</v>
      </c>
      <c r="AZ130" s="63" t="n">
        <f aca="false">MATCH(MIN(AW130:AY130),AW130:AY130,0)</f>
        <v>2</v>
      </c>
      <c r="BB130" s="17" t="n">
        <f aca="false">SQRT(($B130-BB$16)^2+($C130-BB$17)^2+($D130-BB$18)^2)</f>
        <v>6.39633892387153</v>
      </c>
      <c r="BC130" s="17" t="n">
        <f aca="false">SQRT(($B130-BC$16)^2+($C130-BC$17)^2+($D130-BC$18)^2)</f>
        <v>0.96078765751756</v>
      </c>
      <c r="BD130" s="17" t="n">
        <f aca="false">SQRT(($B130-BD$16)^2+($C130-BD$17)^2+($D130-BD$18)^2)</f>
        <v>2.96227361702217</v>
      </c>
      <c r="BE130" s="63" t="n">
        <f aca="false">MATCH(MIN(BB130:BD130),BB130:BD130,0)</f>
        <v>2</v>
      </c>
      <c r="BG130" s="17" t="n">
        <f aca="false">SQRT(($B130-BG$16)^2+($C130-BG$17)^2+($D130-BG$18)^2)</f>
        <v>6.39633892387153</v>
      </c>
      <c r="BH130" s="17" t="n">
        <f aca="false">SQRT(($B130-BH$16)^2+($C130-BH$17)^2+($D130-BH$18)^2)</f>
        <v>0.96078765751756</v>
      </c>
      <c r="BI130" s="17" t="n">
        <f aca="false">SQRT(($B130-BI$16)^2+($C130-BI$17)^2+($D130-BI$18)^2)</f>
        <v>2.96227361702217</v>
      </c>
      <c r="BJ130" s="63" t="n">
        <f aca="false">MATCH(MIN(BG130:BI130),BG130:BI130,0)</f>
        <v>2</v>
      </c>
      <c r="BL130" s="17" t="n">
        <f aca="false">SQRT(($B130-BL$16)^2+($C130-BL$17)^2+($D130-BL$18)^2)</f>
        <v>6.39633892387153</v>
      </c>
      <c r="BM130" s="17" t="n">
        <f aca="false">SQRT(($B130-BM$16)^2+($C130-BM$17)^2+($D130-BM$18)^2)</f>
        <v>0.96078765751756</v>
      </c>
      <c r="BN130" s="17" t="n">
        <f aca="false">SQRT(($B130-BN$16)^2+($C130-BN$17)^2+($D130-BN$18)^2)</f>
        <v>2.96227361702217</v>
      </c>
      <c r="BO130" s="63" t="n">
        <f aca="false">MATCH(MIN(BL130:BN130),BL130:BN130,0)</f>
        <v>2</v>
      </c>
      <c r="BQ130" s="17" t="n">
        <f aca="false">SQRT(($B130-BQ$16)^2+($C130-BQ$17)^2+($D130-BQ$18)^2)</f>
        <v>6.39633892387153</v>
      </c>
      <c r="BR130" s="17" t="n">
        <f aca="false">SQRT(($B130-BR$16)^2+($C130-BR$17)^2+($D130-BR$18)^2)</f>
        <v>0.96078765751756</v>
      </c>
      <c r="BS130" s="17" t="n">
        <f aca="false">SQRT(($B130-BS$16)^2+($C130-BS$17)^2+($D130-BS$18)^2)</f>
        <v>2.96227361702217</v>
      </c>
      <c r="BT130" s="63" t="n">
        <f aca="false">MATCH(MIN(BQ130:BS130),BQ130:BS130,0)</f>
        <v>2</v>
      </c>
      <c r="BV130" s="17" t="n">
        <f aca="false">SQRT(($B130-BV$16)^2+($C130-BV$17)^2+($D130-BV$18)^2)</f>
        <v>6.39633892387153</v>
      </c>
      <c r="BW130" s="17" t="n">
        <f aca="false">SQRT(($B130-BW$16)^2+($C130-BW$17)^2+($D130-BW$18)^2)</f>
        <v>0.96078765751756</v>
      </c>
      <c r="BX130" s="17" t="n">
        <f aca="false">SQRT(($B130-BX$16)^2+($C130-BX$17)^2+($D130-BX$18)^2)</f>
        <v>2.96227361702217</v>
      </c>
      <c r="BY130" s="63" t="n">
        <f aca="false">MATCH(MIN(BV130:BX130),BV130:BX130,0)</f>
        <v>2</v>
      </c>
      <c r="CA130" s="17" t="n">
        <f aca="false">SQRT(($B130-CA$16)^2+($C130-CA$17)^2+($D130-CA$18)^2)</f>
        <v>6.39633892387153</v>
      </c>
      <c r="CB130" s="17" t="n">
        <f aca="false">SQRT(($B130-CB$16)^2+($C130-CB$17)^2+($D130-CB$18)^2)</f>
        <v>0.96078765751756</v>
      </c>
      <c r="CC130" s="17" t="n">
        <f aca="false">SQRT(($B130-CC$16)^2+($C130-CC$17)^2+($D130-CC$18)^2)</f>
        <v>2.96227361702217</v>
      </c>
      <c r="CD130" s="63" t="n">
        <f aca="false">MATCH(MIN(CA130:CC130),CA130:CC130,0)</f>
        <v>2</v>
      </c>
    </row>
    <row r="131" customFormat="false" ht="15" hidden="false" customHeight="false" outlineLevel="0" collapsed="false">
      <c r="A131" s="36" t="str">
        <f aca="false">KMeans_Data!A113</f>
        <v>Jhang</v>
      </c>
      <c r="B131" s="17" t="n">
        <f aca="false">KMeans_Data!H113</f>
        <v>-1.50794322460649</v>
      </c>
      <c r="C131" s="17" t="n">
        <f aca="false">KMeans_Data!I113</f>
        <v>-0.672650545388274</v>
      </c>
      <c r="D131" s="17" t="n">
        <f aca="false">KMeans_Data!J113</f>
        <v>-1.14564411633355</v>
      </c>
      <c r="E131" s="63" t="n">
        <f aca="false">CD131</f>
        <v>2</v>
      </c>
      <c r="F131" s="38" t="n">
        <f aca="false">($B131-INDEX($L$16:$N$16,E131))^2+($C131-INDEX($L$17:$N$17,E131))^2+($D131-INDEX($L$18:$N$18,E131))^2</f>
        <v>0.923112922838079</v>
      </c>
      <c r="G131" s="12" t="str">
        <f aca="false">INDEX($M$5:$M$7,E131)</f>
        <v>Low burden</v>
      </c>
      <c r="H131" s="17" t="n">
        <f aca="false">IF(COUNTIF(Distance_Matrix!$E$9:$DQ$9,$E131)&lt;=1,0,SUMIF(Distance_Matrix!$E$9:$DQ$9,$E131,Distance_Matrix!$E$122:$DQ$122)/(COUNTIF(Distance_Matrix!$E$9:$DQ$9,$E131)-1))</f>
        <v>1.12250950262165</v>
      </c>
      <c r="I131" s="17" t="n">
        <f aca="false">MIN(IF(1=$E131,1E+099,IF(COUNTIF(Distance_Matrix!$E$9:$DQ$9,1)=0,1E+099,SUMIF(Distance_Matrix!$E$9:$DQ$9,1,Distance_Matrix!$E$122:$DQ$122)/COUNTIF(Distance_Matrix!$E$9:$DQ$9,1))),IF(2=$E131,1E+099,IF(COUNTIF(Distance_Matrix!$E$9:$DQ$9,2)=0,1E+099,SUMIF(Distance_Matrix!$E$9:$DQ$9,2,Distance_Matrix!$E$122:$DQ$122)/COUNTIF(Distance_Matrix!$E$9:$DQ$9,2))),IF(3=$E131,1E+099,IF(COUNTIF(Distance_Matrix!$E$9:$DQ$9,3)=0,1E+099,SUMIF(Distance_Matrix!$E$9:$DQ$9,3,Distance_Matrix!$E$122:$DQ$122)/COUNTIF(Distance_Matrix!$E$9:$DQ$9,3))))</f>
        <v>3.04347389960098</v>
      </c>
      <c r="J131" s="17" t="n">
        <f aca="false">IF(COUNTIF(Distance_Matrix!$E$9:$DQ$9,$E131)&lt;=1,0,(I131-H131)/MAX(H131,I131))</f>
        <v>0.631174920616596</v>
      </c>
      <c r="X131" s="17" t="n">
        <f aca="false">SQRT(($B131-X$16)^2+($C131-X$17)^2+($D131-X$18)^2)</f>
        <v>8.02581663311103</v>
      </c>
      <c r="Y131" s="17" t="n">
        <f aca="false">SQRT(($B131-Y$16)^2+($C131-Y$17)^2+($D131-Y$18)^2)</f>
        <v>0.571794757196831</v>
      </c>
      <c r="Z131" s="17" t="n">
        <f aca="false">SQRT(($B131-Z$16)^2+($C131-Z$17)^2+($D131-Z$18)^2)</f>
        <v>3.79835053358808</v>
      </c>
      <c r="AA131" s="63" t="n">
        <f aca="false">MATCH(MIN(X131:Z131),X131:Z131,0)</f>
        <v>2</v>
      </c>
      <c r="AC131" s="17" t="n">
        <f aca="false">SQRT(($B131-AC$16)^2+($C131-AC$17)^2+($D131-AC$18)^2)</f>
        <v>7.02442425172238</v>
      </c>
      <c r="AD131" s="17" t="n">
        <f aca="false">SQRT(($B131-AD$16)^2+($C131-AD$17)^2+($D131-AD$18)^2)</f>
        <v>0.809715538252297</v>
      </c>
      <c r="AE131" s="17" t="n">
        <f aca="false">SQRT(($B131-AE$16)^2+($C131-AE$17)^2+($D131-AE$18)^2)</f>
        <v>2.84975071654991</v>
      </c>
      <c r="AF131" s="63" t="n">
        <f aca="false">MATCH(MIN(AC131:AE131),AC131:AE131,0)</f>
        <v>2</v>
      </c>
      <c r="AH131" s="17" t="n">
        <f aca="false">SQRT(($B131-AH$16)^2+($C131-AH$17)^2+($D131-AH$18)^2)</f>
        <v>6.39633892387153</v>
      </c>
      <c r="AI131" s="17" t="n">
        <f aca="false">SQRT(($B131-AI$16)^2+($C131-AI$17)^2+($D131-AI$18)^2)</f>
        <v>0.951100763594999</v>
      </c>
      <c r="AJ131" s="17" t="n">
        <f aca="false">SQRT(($B131-AJ$16)^2+($C131-AJ$17)^2+($D131-AJ$18)^2)</f>
        <v>2.93764546491406</v>
      </c>
      <c r="AK131" s="63" t="n">
        <f aca="false">MATCH(MIN(AH131:AJ131),AH131:AJ131,0)</f>
        <v>2</v>
      </c>
      <c r="AM131" s="17" t="n">
        <f aca="false">SQRT(($B131-AM$16)^2+($C131-AM$17)^2+($D131-AM$18)^2)</f>
        <v>6.39633892387153</v>
      </c>
      <c r="AN131" s="17" t="n">
        <f aca="false">SQRT(($B131-AN$16)^2+($C131-AN$17)^2+($D131-AN$18)^2)</f>
        <v>0.96078765751756</v>
      </c>
      <c r="AO131" s="17" t="n">
        <f aca="false">SQRT(($B131-AO$16)^2+($C131-AO$17)^2+($D131-AO$18)^2)</f>
        <v>2.96227361702217</v>
      </c>
      <c r="AP131" s="63" t="n">
        <f aca="false">MATCH(MIN(AM131:AO131),AM131:AO131,0)</f>
        <v>2</v>
      </c>
      <c r="AR131" s="17" t="n">
        <f aca="false">SQRT(($B131-AR$16)^2+($C131-AR$17)^2+($D131-AR$18)^2)</f>
        <v>6.39633892387153</v>
      </c>
      <c r="AS131" s="17" t="n">
        <f aca="false">SQRT(($B131-AS$16)^2+($C131-AS$17)^2+($D131-AS$18)^2)</f>
        <v>0.96078765751756</v>
      </c>
      <c r="AT131" s="17" t="n">
        <f aca="false">SQRT(($B131-AT$16)^2+($C131-AT$17)^2+($D131-AT$18)^2)</f>
        <v>2.96227361702217</v>
      </c>
      <c r="AU131" s="63" t="n">
        <f aca="false">MATCH(MIN(AR131:AT131),AR131:AT131,0)</f>
        <v>2</v>
      </c>
      <c r="AW131" s="17" t="n">
        <f aca="false">SQRT(($B131-AW$16)^2+($C131-AW$17)^2+($D131-AW$18)^2)</f>
        <v>6.39633892387153</v>
      </c>
      <c r="AX131" s="17" t="n">
        <f aca="false">SQRT(($B131-AX$16)^2+($C131-AX$17)^2+($D131-AX$18)^2)</f>
        <v>0.96078765751756</v>
      </c>
      <c r="AY131" s="17" t="n">
        <f aca="false">SQRT(($B131-AY$16)^2+($C131-AY$17)^2+($D131-AY$18)^2)</f>
        <v>2.96227361702217</v>
      </c>
      <c r="AZ131" s="63" t="n">
        <f aca="false">MATCH(MIN(AW131:AY131),AW131:AY131,0)</f>
        <v>2</v>
      </c>
      <c r="BB131" s="17" t="n">
        <f aca="false">SQRT(($B131-BB$16)^2+($C131-BB$17)^2+($D131-BB$18)^2)</f>
        <v>6.39633892387153</v>
      </c>
      <c r="BC131" s="17" t="n">
        <f aca="false">SQRT(($B131-BC$16)^2+($C131-BC$17)^2+($D131-BC$18)^2)</f>
        <v>0.96078765751756</v>
      </c>
      <c r="BD131" s="17" t="n">
        <f aca="false">SQRT(($B131-BD$16)^2+($C131-BD$17)^2+($D131-BD$18)^2)</f>
        <v>2.96227361702217</v>
      </c>
      <c r="BE131" s="63" t="n">
        <f aca="false">MATCH(MIN(BB131:BD131),BB131:BD131,0)</f>
        <v>2</v>
      </c>
      <c r="BG131" s="17" t="n">
        <f aca="false">SQRT(($B131-BG$16)^2+($C131-BG$17)^2+($D131-BG$18)^2)</f>
        <v>6.39633892387153</v>
      </c>
      <c r="BH131" s="17" t="n">
        <f aca="false">SQRT(($B131-BH$16)^2+($C131-BH$17)^2+($D131-BH$18)^2)</f>
        <v>0.96078765751756</v>
      </c>
      <c r="BI131" s="17" t="n">
        <f aca="false">SQRT(($B131-BI$16)^2+($C131-BI$17)^2+($D131-BI$18)^2)</f>
        <v>2.96227361702217</v>
      </c>
      <c r="BJ131" s="63" t="n">
        <f aca="false">MATCH(MIN(BG131:BI131),BG131:BI131,0)</f>
        <v>2</v>
      </c>
      <c r="BL131" s="17" t="n">
        <f aca="false">SQRT(($B131-BL$16)^2+($C131-BL$17)^2+($D131-BL$18)^2)</f>
        <v>6.39633892387153</v>
      </c>
      <c r="BM131" s="17" t="n">
        <f aca="false">SQRT(($B131-BM$16)^2+($C131-BM$17)^2+($D131-BM$18)^2)</f>
        <v>0.96078765751756</v>
      </c>
      <c r="BN131" s="17" t="n">
        <f aca="false">SQRT(($B131-BN$16)^2+($C131-BN$17)^2+($D131-BN$18)^2)</f>
        <v>2.96227361702217</v>
      </c>
      <c r="BO131" s="63" t="n">
        <f aca="false">MATCH(MIN(BL131:BN131),BL131:BN131,0)</f>
        <v>2</v>
      </c>
      <c r="BQ131" s="17" t="n">
        <f aca="false">SQRT(($B131-BQ$16)^2+($C131-BQ$17)^2+($D131-BQ$18)^2)</f>
        <v>6.39633892387153</v>
      </c>
      <c r="BR131" s="17" t="n">
        <f aca="false">SQRT(($B131-BR$16)^2+($C131-BR$17)^2+($D131-BR$18)^2)</f>
        <v>0.96078765751756</v>
      </c>
      <c r="BS131" s="17" t="n">
        <f aca="false">SQRT(($B131-BS$16)^2+($C131-BS$17)^2+($D131-BS$18)^2)</f>
        <v>2.96227361702217</v>
      </c>
      <c r="BT131" s="63" t="n">
        <f aca="false">MATCH(MIN(BQ131:BS131),BQ131:BS131,0)</f>
        <v>2</v>
      </c>
      <c r="BV131" s="17" t="n">
        <f aca="false">SQRT(($B131-BV$16)^2+($C131-BV$17)^2+($D131-BV$18)^2)</f>
        <v>6.39633892387153</v>
      </c>
      <c r="BW131" s="17" t="n">
        <f aca="false">SQRT(($B131-BW$16)^2+($C131-BW$17)^2+($D131-BW$18)^2)</f>
        <v>0.96078765751756</v>
      </c>
      <c r="BX131" s="17" t="n">
        <f aca="false">SQRT(($B131-BX$16)^2+($C131-BX$17)^2+($D131-BX$18)^2)</f>
        <v>2.96227361702217</v>
      </c>
      <c r="BY131" s="63" t="n">
        <f aca="false">MATCH(MIN(BV131:BX131),BV131:BX131,0)</f>
        <v>2</v>
      </c>
      <c r="CA131" s="17" t="n">
        <f aca="false">SQRT(($B131-CA$16)^2+($C131-CA$17)^2+($D131-CA$18)^2)</f>
        <v>6.39633892387153</v>
      </c>
      <c r="CB131" s="17" t="n">
        <f aca="false">SQRT(($B131-CB$16)^2+($C131-CB$17)^2+($D131-CB$18)^2)</f>
        <v>0.96078765751756</v>
      </c>
      <c r="CC131" s="17" t="n">
        <f aca="false">SQRT(($B131-CC$16)^2+($C131-CC$17)^2+($D131-CC$18)^2)</f>
        <v>2.96227361702217</v>
      </c>
      <c r="CD131" s="63" t="n">
        <f aca="false">MATCH(MIN(CA131:CC131),CA131:CC131,0)</f>
        <v>2</v>
      </c>
    </row>
    <row r="132" customFormat="false" ht="15" hidden="false" customHeight="false" outlineLevel="0" collapsed="false">
      <c r="A132" s="36" t="str">
        <f aca="false">KMeans_Data!A114</f>
        <v>Tor Ghar</v>
      </c>
      <c r="B132" s="17" t="n">
        <f aca="false">KMeans_Data!H114</f>
        <v>-1.50794322460649</v>
      </c>
      <c r="C132" s="17" t="n">
        <f aca="false">KMeans_Data!I114</f>
        <v>-0.672650545388274</v>
      </c>
      <c r="D132" s="17" t="n">
        <f aca="false">KMeans_Data!J114</f>
        <v>-1.14564411633355</v>
      </c>
      <c r="E132" s="63" t="n">
        <f aca="false">CD132</f>
        <v>2</v>
      </c>
      <c r="F132" s="38" t="n">
        <f aca="false">($B132-INDEX($L$16:$N$16,E132))^2+($C132-INDEX($L$17:$N$17,E132))^2+($D132-INDEX($L$18:$N$18,E132))^2</f>
        <v>0.923112922838079</v>
      </c>
      <c r="G132" s="12" t="str">
        <f aca="false">INDEX($M$5:$M$7,E132)</f>
        <v>Low burden</v>
      </c>
      <c r="H132" s="17" t="n">
        <f aca="false">IF(COUNTIF(Distance_Matrix!$E$9:$DQ$9,$E132)&lt;=1,0,SUMIF(Distance_Matrix!$E$9:$DQ$9,$E132,Distance_Matrix!$E$123:$DQ$123)/(COUNTIF(Distance_Matrix!$E$9:$DQ$9,$E132)-1))</f>
        <v>1.12250950262165</v>
      </c>
      <c r="I132" s="17" t="n">
        <f aca="false">MIN(IF(1=$E132,1E+099,IF(COUNTIF(Distance_Matrix!$E$9:$DQ$9,1)=0,1E+099,SUMIF(Distance_Matrix!$E$9:$DQ$9,1,Distance_Matrix!$E$123:$DQ$123)/COUNTIF(Distance_Matrix!$E$9:$DQ$9,1))),IF(2=$E132,1E+099,IF(COUNTIF(Distance_Matrix!$E$9:$DQ$9,2)=0,1E+099,SUMIF(Distance_Matrix!$E$9:$DQ$9,2,Distance_Matrix!$E$123:$DQ$123)/COUNTIF(Distance_Matrix!$E$9:$DQ$9,2))),IF(3=$E132,1E+099,IF(COUNTIF(Distance_Matrix!$E$9:$DQ$9,3)=0,1E+099,SUMIF(Distance_Matrix!$E$9:$DQ$9,3,Distance_Matrix!$E$123:$DQ$123)/COUNTIF(Distance_Matrix!$E$9:$DQ$9,3))))</f>
        <v>3.04347389960098</v>
      </c>
      <c r="J132" s="17" t="n">
        <f aca="false">IF(COUNTIF(Distance_Matrix!$E$9:$DQ$9,$E132)&lt;=1,0,(I132-H132)/MAX(H132,I132))</f>
        <v>0.631174920616596</v>
      </c>
      <c r="X132" s="17" t="n">
        <f aca="false">SQRT(($B132-X$16)^2+($C132-X$17)^2+($D132-X$18)^2)</f>
        <v>8.02581663311103</v>
      </c>
      <c r="Y132" s="17" t="n">
        <f aca="false">SQRT(($B132-Y$16)^2+($C132-Y$17)^2+($D132-Y$18)^2)</f>
        <v>0.571794757196831</v>
      </c>
      <c r="Z132" s="17" t="n">
        <f aca="false">SQRT(($B132-Z$16)^2+($C132-Z$17)^2+($D132-Z$18)^2)</f>
        <v>3.79835053358808</v>
      </c>
      <c r="AA132" s="63" t="n">
        <f aca="false">MATCH(MIN(X132:Z132),X132:Z132,0)</f>
        <v>2</v>
      </c>
      <c r="AC132" s="17" t="n">
        <f aca="false">SQRT(($B132-AC$16)^2+($C132-AC$17)^2+($D132-AC$18)^2)</f>
        <v>7.02442425172238</v>
      </c>
      <c r="AD132" s="17" t="n">
        <f aca="false">SQRT(($B132-AD$16)^2+($C132-AD$17)^2+($D132-AD$18)^2)</f>
        <v>0.809715538252297</v>
      </c>
      <c r="AE132" s="17" t="n">
        <f aca="false">SQRT(($B132-AE$16)^2+($C132-AE$17)^2+($D132-AE$18)^2)</f>
        <v>2.84975071654991</v>
      </c>
      <c r="AF132" s="63" t="n">
        <f aca="false">MATCH(MIN(AC132:AE132),AC132:AE132,0)</f>
        <v>2</v>
      </c>
      <c r="AH132" s="17" t="n">
        <f aca="false">SQRT(($B132-AH$16)^2+($C132-AH$17)^2+($D132-AH$18)^2)</f>
        <v>6.39633892387153</v>
      </c>
      <c r="AI132" s="17" t="n">
        <f aca="false">SQRT(($B132-AI$16)^2+($C132-AI$17)^2+($D132-AI$18)^2)</f>
        <v>0.951100763594999</v>
      </c>
      <c r="AJ132" s="17" t="n">
        <f aca="false">SQRT(($B132-AJ$16)^2+($C132-AJ$17)^2+($D132-AJ$18)^2)</f>
        <v>2.93764546491406</v>
      </c>
      <c r="AK132" s="63" t="n">
        <f aca="false">MATCH(MIN(AH132:AJ132),AH132:AJ132,0)</f>
        <v>2</v>
      </c>
      <c r="AM132" s="17" t="n">
        <f aca="false">SQRT(($B132-AM$16)^2+($C132-AM$17)^2+($D132-AM$18)^2)</f>
        <v>6.39633892387153</v>
      </c>
      <c r="AN132" s="17" t="n">
        <f aca="false">SQRT(($B132-AN$16)^2+($C132-AN$17)^2+($D132-AN$18)^2)</f>
        <v>0.96078765751756</v>
      </c>
      <c r="AO132" s="17" t="n">
        <f aca="false">SQRT(($B132-AO$16)^2+($C132-AO$17)^2+($D132-AO$18)^2)</f>
        <v>2.96227361702217</v>
      </c>
      <c r="AP132" s="63" t="n">
        <f aca="false">MATCH(MIN(AM132:AO132),AM132:AO132,0)</f>
        <v>2</v>
      </c>
      <c r="AR132" s="17" t="n">
        <f aca="false">SQRT(($B132-AR$16)^2+($C132-AR$17)^2+($D132-AR$18)^2)</f>
        <v>6.39633892387153</v>
      </c>
      <c r="AS132" s="17" t="n">
        <f aca="false">SQRT(($B132-AS$16)^2+($C132-AS$17)^2+($D132-AS$18)^2)</f>
        <v>0.96078765751756</v>
      </c>
      <c r="AT132" s="17" t="n">
        <f aca="false">SQRT(($B132-AT$16)^2+($C132-AT$17)^2+($D132-AT$18)^2)</f>
        <v>2.96227361702217</v>
      </c>
      <c r="AU132" s="63" t="n">
        <f aca="false">MATCH(MIN(AR132:AT132),AR132:AT132,0)</f>
        <v>2</v>
      </c>
      <c r="AW132" s="17" t="n">
        <f aca="false">SQRT(($B132-AW$16)^2+($C132-AW$17)^2+($D132-AW$18)^2)</f>
        <v>6.39633892387153</v>
      </c>
      <c r="AX132" s="17" t="n">
        <f aca="false">SQRT(($B132-AX$16)^2+($C132-AX$17)^2+($D132-AX$18)^2)</f>
        <v>0.96078765751756</v>
      </c>
      <c r="AY132" s="17" t="n">
        <f aca="false">SQRT(($B132-AY$16)^2+($C132-AY$17)^2+($D132-AY$18)^2)</f>
        <v>2.96227361702217</v>
      </c>
      <c r="AZ132" s="63" t="n">
        <f aca="false">MATCH(MIN(AW132:AY132),AW132:AY132,0)</f>
        <v>2</v>
      </c>
      <c r="BB132" s="17" t="n">
        <f aca="false">SQRT(($B132-BB$16)^2+($C132-BB$17)^2+($D132-BB$18)^2)</f>
        <v>6.39633892387153</v>
      </c>
      <c r="BC132" s="17" t="n">
        <f aca="false">SQRT(($B132-BC$16)^2+($C132-BC$17)^2+($D132-BC$18)^2)</f>
        <v>0.96078765751756</v>
      </c>
      <c r="BD132" s="17" t="n">
        <f aca="false">SQRT(($B132-BD$16)^2+($C132-BD$17)^2+($D132-BD$18)^2)</f>
        <v>2.96227361702217</v>
      </c>
      <c r="BE132" s="63" t="n">
        <f aca="false">MATCH(MIN(BB132:BD132),BB132:BD132,0)</f>
        <v>2</v>
      </c>
      <c r="BG132" s="17" t="n">
        <f aca="false">SQRT(($B132-BG$16)^2+($C132-BG$17)^2+($D132-BG$18)^2)</f>
        <v>6.39633892387153</v>
      </c>
      <c r="BH132" s="17" t="n">
        <f aca="false">SQRT(($B132-BH$16)^2+($C132-BH$17)^2+($D132-BH$18)^2)</f>
        <v>0.96078765751756</v>
      </c>
      <c r="BI132" s="17" t="n">
        <f aca="false">SQRT(($B132-BI$16)^2+($C132-BI$17)^2+($D132-BI$18)^2)</f>
        <v>2.96227361702217</v>
      </c>
      <c r="BJ132" s="63" t="n">
        <f aca="false">MATCH(MIN(BG132:BI132),BG132:BI132,0)</f>
        <v>2</v>
      </c>
      <c r="BL132" s="17" t="n">
        <f aca="false">SQRT(($B132-BL$16)^2+($C132-BL$17)^2+($D132-BL$18)^2)</f>
        <v>6.39633892387153</v>
      </c>
      <c r="BM132" s="17" t="n">
        <f aca="false">SQRT(($B132-BM$16)^2+($C132-BM$17)^2+($D132-BM$18)^2)</f>
        <v>0.96078765751756</v>
      </c>
      <c r="BN132" s="17" t="n">
        <f aca="false">SQRT(($B132-BN$16)^2+($C132-BN$17)^2+($D132-BN$18)^2)</f>
        <v>2.96227361702217</v>
      </c>
      <c r="BO132" s="63" t="n">
        <f aca="false">MATCH(MIN(BL132:BN132),BL132:BN132,0)</f>
        <v>2</v>
      </c>
      <c r="BQ132" s="17" t="n">
        <f aca="false">SQRT(($B132-BQ$16)^2+($C132-BQ$17)^2+($D132-BQ$18)^2)</f>
        <v>6.39633892387153</v>
      </c>
      <c r="BR132" s="17" t="n">
        <f aca="false">SQRT(($B132-BR$16)^2+($C132-BR$17)^2+($D132-BR$18)^2)</f>
        <v>0.96078765751756</v>
      </c>
      <c r="BS132" s="17" t="n">
        <f aca="false">SQRT(($B132-BS$16)^2+($C132-BS$17)^2+($D132-BS$18)^2)</f>
        <v>2.96227361702217</v>
      </c>
      <c r="BT132" s="63" t="n">
        <f aca="false">MATCH(MIN(BQ132:BS132),BQ132:BS132,0)</f>
        <v>2</v>
      </c>
      <c r="BV132" s="17" t="n">
        <f aca="false">SQRT(($B132-BV$16)^2+($C132-BV$17)^2+($D132-BV$18)^2)</f>
        <v>6.39633892387153</v>
      </c>
      <c r="BW132" s="17" t="n">
        <f aca="false">SQRT(($B132-BW$16)^2+($C132-BW$17)^2+($D132-BW$18)^2)</f>
        <v>0.96078765751756</v>
      </c>
      <c r="BX132" s="17" t="n">
        <f aca="false">SQRT(($B132-BX$16)^2+($C132-BX$17)^2+($D132-BX$18)^2)</f>
        <v>2.96227361702217</v>
      </c>
      <c r="BY132" s="63" t="n">
        <f aca="false">MATCH(MIN(BV132:BX132),BV132:BX132,0)</f>
        <v>2</v>
      </c>
      <c r="CA132" s="17" t="n">
        <f aca="false">SQRT(($B132-CA$16)^2+($C132-CA$17)^2+($D132-CA$18)^2)</f>
        <v>6.39633892387153</v>
      </c>
      <c r="CB132" s="17" t="n">
        <f aca="false">SQRT(($B132-CB$16)^2+($C132-CB$17)^2+($D132-CB$18)^2)</f>
        <v>0.96078765751756</v>
      </c>
      <c r="CC132" s="17" t="n">
        <f aca="false">SQRT(($B132-CC$16)^2+($C132-CC$17)^2+($D132-CC$18)^2)</f>
        <v>2.96227361702217</v>
      </c>
      <c r="CD132" s="63" t="n">
        <f aca="false">MATCH(MIN(CA132:CC132),CA132:CC132,0)</f>
        <v>2</v>
      </c>
    </row>
    <row r="133" customFormat="false" ht="15" hidden="false" customHeight="false" outlineLevel="0" collapsed="false">
      <c r="A133" s="36" t="str">
        <f aca="false">KMeans_Data!A115</f>
        <v>Trarkhel</v>
      </c>
      <c r="B133" s="17" t="n">
        <f aca="false">KMeans_Data!H115</f>
        <v>-1.71897565655168</v>
      </c>
      <c r="C133" s="17" t="n">
        <f aca="false">KMeans_Data!I115</f>
        <v>-0.672650545388274</v>
      </c>
      <c r="D133" s="17" t="n">
        <f aca="false">KMeans_Data!J115</f>
        <v>-1.14564411633355</v>
      </c>
      <c r="E133" s="63" t="n">
        <f aca="false">CD133</f>
        <v>2</v>
      </c>
      <c r="F133" s="38" t="n">
        <f aca="false">($B133-INDEX($L$16:$N$16,E133))^2+($C133-INDEX($L$17:$N$17,E133))^2+($D133-INDEX($L$18:$N$18,E133))^2</f>
        <v>1.33496248322947</v>
      </c>
      <c r="G133" s="12" t="str">
        <f aca="false">INDEX($M$5:$M$7,E133)</f>
        <v>Low burden</v>
      </c>
      <c r="H133" s="17" t="n">
        <f aca="false">IF(COUNTIF(Distance_Matrix!$E$9:$DQ$9,$E133)&lt;=1,0,SUMIF(Distance_Matrix!$E$9:$DQ$9,$E133,Distance_Matrix!$E$124:$DQ$124)/(COUNTIF(Distance_Matrix!$E$9:$DQ$9,$E133)-1))</f>
        <v>1.26689269917068</v>
      </c>
      <c r="I133" s="17" t="n">
        <f aca="false">MIN(IF(1=$E133,1E+099,IF(COUNTIF(Distance_Matrix!$E$9:$DQ$9,1)=0,1E+099,SUMIF(Distance_Matrix!$E$9:$DQ$9,1,Distance_Matrix!$E$124:$DQ$124)/COUNTIF(Distance_Matrix!$E$9:$DQ$9,1))),IF(2=$E133,1E+099,IF(COUNTIF(Distance_Matrix!$E$9:$DQ$9,2)=0,1E+099,SUMIF(Distance_Matrix!$E$9:$DQ$9,2,Distance_Matrix!$E$124:$DQ$124)/COUNTIF(Distance_Matrix!$E$9:$DQ$9,2))),IF(3=$E133,1E+099,IF(COUNTIF(Distance_Matrix!$E$9:$DQ$9,3)=0,1E+099,SUMIF(Distance_Matrix!$E$9:$DQ$9,3,Distance_Matrix!$E$124:$DQ$124)/COUNTIF(Distance_Matrix!$E$9:$DQ$9,3))))</f>
        <v>3.18886004006106</v>
      </c>
      <c r="J133" s="17" t="n">
        <f aca="false">IF(COUNTIF(Distance_Matrix!$E$9:$DQ$9,$E133)&lt;=1,0,(I133-H133)/MAX(H133,I133))</f>
        <v>0.602712981048107</v>
      </c>
      <c r="X133" s="17" t="n">
        <f aca="false">SQRT(($B133-X$16)^2+($C133-X$17)^2+($D133-X$18)^2)</f>
        <v>8.15332373062299</v>
      </c>
      <c r="Y133" s="17" t="n">
        <f aca="false">SQRT(($B133-Y$16)^2+($C133-Y$17)^2+($D133-Y$18)^2)</f>
        <v>0.360762325251648</v>
      </c>
      <c r="Z133" s="17" t="n">
        <f aca="false">SQRT(($B133-Z$16)^2+($C133-Z$17)^2+($D133-Z$18)^2)</f>
        <v>3.94287645773164</v>
      </c>
      <c r="AA133" s="63" t="n">
        <f aca="false">MATCH(MIN(X133:Z133),X133:Z133,0)</f>
        <v>2</v>
      </c>
      <c r="AC133" s="17" t="n">
        <f aca="false">SQRT(($B133-AC$16)^2+($C133-AC$17)^2+($D133-AC$18)^2)</f>
        <v>7.15604035865804</v>
      </c>
      <c r="AD133" s="17" t="n">
        <f aca="false">SQRT(($B133-AD$16)^2+($C133-AD$17)^2+($D133-AD$18)^2)</f>
        <v>1.00697759751876</v>
      </c>
      <c r="AE133" s="17" t="n">
        <f aca="false">SQRT(($B133-AE$16)^2+($C133-AE$17)^2+($D133-AE$18)^2)</f>
        <v>3.00282821650673</v>
      </c>
      <c r="AF133" s="63" t="n">
        <f aca="false">MATCH(MIN(AC133:AE133),AC133:AE133,0)</f>
        <v>2</v>
      </c>
      <c r="AH133" s="17" t="n">
        <f aca="false">SQRT(($B133-AH$16)^2+($C133-AH$17)^2+($D133-AH$18)^2)</f>
        <v>6.53009959805052</v>
      </c>
      <c r="AI133" s="17" t="n">
        <f aca="false">SQRT(($B133-AI$16)^2+($C133-AI$17)^2+($D133-AI$18)^2)</f>
        <v>1.14667098758959</v>
      </c>
      <c r="AJ133" s="17" t="n">
        <f aca="false">SQRT(($B133-AJ$16)^2+($C133-AJ$17)^2+($D133-AJ$18)^2)</f>
        <v>3.08625310915905</v>
      </c>
      <c r="AK133" s="63" t="n">
        <f aca="false">MATCH(MIN(AH133:AJ133),AH133:AJ133,0)</f>
        <v>2</v>
      </c>
      <c r="AM133" s="17" t="n">
        <f aca="false">SQRT(($B133-AM$16)^2+($C133-AM$17)^2+($D133-AM$18)^2)</f>
        <v>6.53009959805052</v>
      </c>
      <c r="AN133" s="17" t="n">
        <f aca="false">SQRT(($B133-AN$16)^2+($C133-AN$17)^2+($D133-AN$18)^2)</f>
        <v>1.15540576562066</v>
      </c>
      <c r="AO133" s="17" t="n">
        <f aca="false">SQRT(($B133-AO$16)^2+($C133-AO$17)^2+($D133-AO$18)^2)</f>
        <v>3.11099358837599</v>
      </c>
      <c r="AP133" s="63" t="n">
        <f aca="false">MATCH(MIN(AM133:AO133),AM133:AO133,0)</f>
        <v>2</v>
      </c>
      <c r="AR133" s="17" t="n">
        <f aca="false">SQRT(($B133-AR$16)^2+($C133-AR$17)^2+($D133-AR$18)^2)</f>
        <v>6.53009959805052</v>
      </c>
      <c r="AS133" s="17" t="n">
        <f aca="false">SQRT(($B133-AS$16)^2+($C133-AS$17)^2+($D133-AS$18)^2)</f>
        <v>1.15540576562066</v>
      </c>
      <c r="AT133" s="17" t="n">
        <f aca="false">SQRT(($B133-AT$16)^2+($C133-AT$17)^2+($D133-AT$18)^2)</f>
        <v>3.11099358837599</v>
      </c>
      <c r="AU133" s="63" t="n">
        <f aca="false">MATCH(MIN(AR133:AT133),AR133:AT133,0)</f>
        <v>2</v>
      </c>
      <c r="AW133" s="17" t="n">
        <f aca="false">SQRT(($B133-AW$16)^2+($C133-AW$17)^2+($D133-AW$18)^2)</f>
        <v>6.53009959805052</v>
      </c>
      <c r="AX133" s="17" t="n">
        <f aca="false">SQRT(($B133-AX$16)^2+($C133-AX$17)^2+($D133-AX$18)^2)</f>
        <v>1.15540576562066</v>
      </c>
      <c r="AY133" s="17" t="n">
        <f aca="false">SQRT(($B133-AY$16)^2+($C133-AY$17)^2+($D133-AY$18)^2)</f>
        <v>3.11099358837599</v>
      </c>
      <c r="AZ133" s="63" t="n">
        <f aca="false">MATCH(MIN(AW133:AY133),AW133:AY133,0)</f>
        <v>2</v>
      </c>
      <c r="BB133" s="17" t="n">
        <f aca="false">SQRT(($B133-BB$16)^2+($C133-BB$17)^2+($D133-BB$18)^2)</f>
        <v>6.53009959805052</v>
      </c>
      <c r="BC133" s="17" t="n">
        <f aca="false">SQRT(($B133-BC$16)^2+($C133-BC$17)^2+($D133-BC$18)^2)</f>
        <v>1.15540576562066</v>
      </c>
      <c r="BD133" s="17" t="n">
        <f aca="false">SQRT(($B133-BD$16)^2+($C133-BD$17)^2+($D133-BD$18)^2)</f>
        <v>3.11099358837599</v>
      </c>
      <c r="BE133" s="63" t="n">
        <f aca="false">MATCH(MIN(BB133:BD133),BB133:BD133,0)</f>
        <v>2</v>
      </c>
      <c r="BG133" s="17" t="n">
        <f aca="false">SQRT(($B133-BG$16)^2+($C133-BG$17)^2+($D133-BG$18)^2)</f>
        <v>6.53009959805052</v>
      </c>
      <c r="BH133" s="17" t="n">
        <f aca="false">SQRT(($B133-BH$16)^2+($C133-BH$17)^2+($D133-BH$18)^2)</f>
        <v>1.15540576562066</v>
      </c>
      <c r="BI133" s="17" t="n">
        <f aca="false">SQRT(($B133-BI$16)^2+($C133-BI$17)^2+($D133-BI$18)^2)</f>
        <v>3.11099358837599</v>
      </c>
      <c r="BJ133" s="63" t="n">
        <f aca="false">MATCH(MIN(BG133:BI133),BG133:BI133,0)</f>
        <v>2</v>
      </c>
      <c r="BL133" s="17" t="n">
        <f aca="false">SQRT(($B133-BL$16)^2+($C133-BL$17)^2+($D133-BL$18)^2)</f>
        <v>6.53009959805052</v>
      </c>
      <c r="BM133" s="17" t="n">
        <f aca="false">SQRT(($B133-BM$16)^2+($C133-BM$17)^2+($D133-BM$18)^2)</f>
        <v>1.15540576562066</v>
      </c>
      <c r="BN133" s="17" t="n">
        <f aca="false">SQRT(($B133-BN$16)^2+($C133-BN$17)^2+($D133-BN$18)^2)</f>
        <v>3.11099358837599</v>
      </c>
      <c r="BO133" s="63" t="n">
        <f aca="false">MATCH(MIN(BL133:BN133),BL133:BN133,0)</f>
        <v>2</v>
      </c>
      <c r="BQ133" s="17" t="n">
        <f aca="false">SQRT(($B133-BQ$16)^2+($C133-BQ$17)^2+($D133-BQ$18)^2)</f>
        <v>6.53009959805052</v>
      </c>
      <c r="BR133" s="17" t="n">
        <f aca="false">SQRT(($B133-BR$16)^2+($C133-BR$17)^2+($D133-BR$18)^2)</f>
        <v>1.15540576562066</v>
      </c>
      <c r="BS133" s="17" t="n">
        <f aca="false">SQRT(($B133-BS$16)^2+($C133-BS$17)^2+($D133-BS$18)^2)</f>
        <v>3.11099358837599</v>
      </c>
      <c r="BT133" s="63" t="n">
        <f aca="false">MATCH(MIN(BQ133:BS133),BQ133:BS133,0)</f>
        <v>2</v>
      </c>
      <c r="BV133" s="17" t="n">
        <f aca="false">SQRT(($B133-BV$16)^2+($C133-BV$17)^2+($D133-BV$18)^2)</f>
        <v>6.53009959805052</v>
      </c>
      <c r="BW133" s="17" t="n">
        <f aca="false">SQRT(($B133-BW$16)^2+($C133-BW$17)^2+($D133-BW$18)^2)</f>
        <v>1.15540576562066</v>
      </c>
      <c r="BX133" s="17" t="n">
        <f aca="false">SQRT(($B133-BX$16)^2+($C133-BX$17)^2+($D133-BX$18)^2)</f>
        <v>3.11099358837599</v>
      </c>
      <c r="BY133" s="63" t="n">
        <f aca="false">MATCH(MIN(BV133:BX133),BV133:BX133,0)</f>
        <v>2</v>
      </c>
      <c r="CA133" s="17" t="n">
        <f aca="false">SQRT(($B133-CA$16)^2+($C133-CA$17)^2+($D133-CA$18)^2)</f>
        <v>6.53009959805052</v>
      </c>
      <c r="CB133" s="17" t="n">
        <f aca="false">SQRT(($B133-CB$16)^2+($C133-CB$17)^2+($D133-CB$18)^2)</f>
        <v>1.15540576562066</v>
      </c>
      <c r="CC133" s="17" t="n">
        <f aca="false">SQRT(($B133-CC$16)^2+($C133-CC$17)^2+($D133-CC$18)^2)</f>
        <v>3.11099358837599</v>
      </c>
      <c r="CD133" s="63" t="n">
        <f aca="false">MATCH(MIN(CA133:CC133),CA133:CC133,0)</f>
        <v>2</v>
      </c>
    </row>
    <row r="134" customFormat="false" ht="15" hidden="false" customHeight="false" outlineLevel="0" collapsed="false">
      <c r="A134" s="36" t="str">
        <f aca="false">KMeans_Data!A116</f>
        <v>Kohistan Upper</v>
      </c>
      <c r="B134" s="17" t="n">
        <f aca="false">KMeans_Data!H116</f>
        <v>-1.71897565655168</v>
      </c>
      <c r="C134" s="17" t="n">
        <f aca="false">KMeans_Data!I116</f>
        <v>-0.672650545388274</v>
      </c>
      <c r="D134" s="17" t="n">
        <f aca="false">KMeans_Data!J116</f>
        <v>-1.14564411633355</v>
      </c>
      <c r="E134" s="63" t="n">
        <f aca="false">CD134</f>
        <v>2</v>
      </c>
      <c r="F134" s="38" t="n">
        <f aca="false">($B134-INDEX($L$16:$N$16,E134))^2+($C134-INDEX($L$17:$N$17,E134))^2+($D134-INDEX($L$18:$N$18,E134))^2</f>
        <v>1.33496248322947</v>
      </c>
      <c r="G134" s="12" t="str">
        <f aca="false">INDEX($M$5:$M$7,E134)</f>
        <v>Low burden</v>
      </c>
      <c r="H134" s="17" t="n">
        <f aca="false">IF(COUNTIF(Distance_Matrix!$E$9:$DQ$9,$E134)&lt;=1,0,SUMIF(Distance_Matrix!$E$9:$DQ$9,$E134,Distance_Matrix!$E$125:$DQ$125)/(COUNTIF(Distance_Matrix!$E$9:$DQ$9,$E134)-1))</f>
        <v>1.26689269917068</v>
      </c>
      <c r="I134" s="17" t="n">
        <f aca="false">MIN(IF(1=$E134,1E+099,IF(COUNTIF(Distance_Matrix!$E$9:$DQ$9,1)=0,1E+099,SUMIF(Distance_Matrix!$E$9:$DQ$9,1,Distance_Matrix!$E$125:$DQ$125)/COUNTIF(Distance_Matrix!$E$9:$DQ$9,1))),IF(2=$E134,1E+099,IF(COUNTIF(Distance_Matrix!$E$9:$DQ$9,2)=0,1E+099,SUMIF(Distance_Matrix!$E$9:$DQ$9,2,Distance_Matrix!$E$125:$DQ$125)/COUNTIF(Distance_Matrix!$E$9:$DQ$9,2))),IF(3=$E134,1E+099,IF(COUNTIF(Distance_Matrix!$E$9:$DQ$9,3)=0,1E+099,SUMIF(Distance_Matrix!$E$9:$DQ$9,3,Distance_Matrix!$E$125:$DQ$125)/COUNTIF(Distance_Matrix!$E$9:$DQ$9,3))))</f>
        <v>3.18886004006106</v>
      </c>
      <c r="J134" s="17" t="n">
        <f aca="false">IF(COUNTIF(Distance_Matrix!$E$9:$DQ$9,$E134)&lt;=1,0,(I134-H134)/MAX(H134,I134))</f>
        <v>0.602712981048107</v>
      </c>
      <c r="X134" s="17" t="n">
        <f aca="false">SQRT(($B134-X$16)^2+($C134-X$17)^2+($D134-X$18)^2)</f>
        <v>8.15332373062299</v>
      </c>
      <c r="Y134" s="17" t="n">
        <f aca="false">SQRT(($B134-Y$16)^2+($C134-Y$17)^2+($D134-Y$18)^2)</f>
        <v>0.360762325251648</v>
      </c>
      <c r="Z134" s="17" t="n">
        <f aca="false">SQRT(($B134-Z$16)^2+($C134-Z$17)^2+($D134-Z$18)^2)</f>
        <v>3.94287645773164</v>
      </c>
      <c r="AA134" s="63" t="n">
        <f aca="false">MATCH(MIN(X134:Z134),X134:Z134,0)</f>
        <v>2</v>
      </c>
      <c r="AC134" s="17" t="n">
        <f aca="false">SQRT(($B134-AC$16)^2+($C134-AC$17)^2+($D134-AC$18)^2)</f>
        <v>7.15604035865804</v>
      </c>
      <c r="AD134" s="17" t="n">
        <f aca="false">SQRT(($B134-AD$16)^2+($C134-AD$17)^2+($D134-AD$18)^2)</f>
        <v>1.00697759751876</v>
      </c>
      <c r="AE134" s="17" t="n">
        <f aca="false">SQRT(($B134-AE$16)^2+($C134-AE$17)^2+($D134-AE$18)^2)</f>
        <v>3.00282821650673</v>
      </c>
      <c r="AF134" s="63" t="n">
        <f aca="false">MATCH(MIN(AC134:AE134),AC134:AE134,0)</f>
        <v>2</v>
      </c>
      <c r="AH134" s="17" t="n">
        <f aca="false">SQRT(($B134-AH$16)^2+($C134-AH$17)^2+($D134-AH$18)^2)</f>
        <v>6.53009959805052</v>
      </c>
      <c r="AI134" s="17" t="n">
        <f aca="false">SQRT(($B134-AI$16)^2+($C134-AI$17)^2+($D134-AI$18)^2)</f>
        <v>1.14667098758959</v>
      </c>
      <c r="AJ134" s="17" t="n">
        <f aca="false">SQRT(($B134-AJ$16)^2+($C134-AJ$17)^2+($D134-AJ$18)^2)</f>
        <v>3.08625310915905</v>
      </c>
      <c r="AK134" s="63" t="n">
        <f aca="false">MATCH(MIN(AH134:AJ134),AH134:AJ134,0)</f>
        <v>2</v>
      </c>
      <c r="AM134" s="17" t="n">
        <f aca="false">SQRT(($B134-AM$16)^2+($C134-AM$17)^2+($D134-AM$18)^2)</f>
        <v>6.53009959805052</v>
      </c>
      <c r="AN134" s="17" t="n">
        <f aca="false">SQRT(($B134-AN$16)^2+($C134-AN$17)^2+($D134-AN$18)^2)</f>
        <v>1.15540576562066</v>
      </c>
      <c r="AO134" s="17" t="n">
        <f aca="false">SQRT(($B134-AO$16)^2+($C134-AO$17)^2+($D134-AO$18)^2)</f>
        <v>3.11099358837599</v>
      </c>
      <c r="AP134" s="63" t="n">
        <f aca="false">MATCH(MIN(AM134:AO134),AM134:AO134,0)</f>
        <v>2</v>
      </c>
      <c r="AR134" s="17" t="n">
        <f aca="false">SQRT(($B134-AR$16)^2+($C134-AR$17)^2+($D134-AR$18)^2)</f>
        <v>6.53009959805052</v>
      </c>
      <c r="AS134" s="17" t="n">
        <f aca="false">SQRT(($B134-AS$16)^2+($C134-AS$17)^2+($D134-AS$18)^2)</f>
        <v>1.15540576562066</v>
      </c>
      <c r="AT134" s="17" t="n">
        <f aca="false">SQRT(($B134-AT$16)^2+($C134-AT$17)^2+($D134-AT$18)^2)</f>
        <v>3.11099358837599</v>
      </c>
      <c r="AU134" s="63" t="n">
        <f aca="false">MATCH(MIN(AR134:AT134),AR134:AT134,0)</f>
        <v>2</v>
      </c>
      <c r="AW134" s="17" t="n">
        <f aca="false">SQRT(($B134-AW$16)^2+($C134-AW$17)^2+($D134-AW$18)^2)</f>
        <v>6.53009959805052</v>
      </c>
      <c r="AX134" s="17" t="n">
        <f aca="false">SQRT(($B134-AX$16)^2+($C134-AX$17)^2+($D134-AX$18)^2)</f>
        <v>1.15540576562066</v>
      </c>
      <c r="AY134" s="17" t="n">
        <f aca="false">SQRT(($B134-AY$16)^2+($C134-AY$17)^2+($D134-AY$18)^2)</f>
        <v>3.11099358837599</v>
      </c>
      <c r="AZ134" s="63" t="n">
        <f aca="false">MATCH(MIN(AW134:AY134),AW134:AY134,0)</f>
        <v>2</v>
      </c>
      <c r="BB134" s="17" t="n">
        <f aca="false">SQRT(($B134-BB$16)^2+($C134-BB$17)^2+($D134-BB$18)^2)</f>
        <v>6.53009959805052</v>
      </c>
      <c r="BC134" s="17" t="n">
        <f aca="false">SQRT(($B134-BC$16)^2+($C134-BC$17)^2+($D134-BC$18)^2)</f>
        <v>1.15540576562066</v>
      </c>
      <c r="BD134" s="17" t="n">
        <f aca="false">SQRT(($B134-BD$16)^2+($C134-BD$17)^2+($D134-BD$18)^2)</f>
        <v>3.11099358837599</v>
      </c>
      <c r="BE134" s="63" t="n">
        <f aca="false">MATCH(MIN(BB134:BD134),BB134:BD134,0)</f>
        <v>2</v>
      </c>
      <c r="BG134" s="17" t="n">
        <f aca="false">SQRT(($B134-BG$16)^2+($C134-BG$17)^2+($D134-BG$18)^2)</f>
        <v>6.53009959805052</v>
      </c>
      <c r="BH134" s="17" t="n">
        <f aca="false">SQRT(($B134-BH$16)^2+($C134-BH$17)^2+($D134-BH$18)^2)</f>
        <v>1.15540576562066</v>
      </c>
      <c r="BI134" s="17" t="n">
        <f aca="false">SQRT(($B134-BI$16)^2+($C134-BI$17)^2+($D134-BI$18)^2)</f>
        <v>3.11099358837599</v>
      </c>
      <c r="BJ134" s="63" t="n">
        <f aca="false">MATCH(MIN(BG134:BI134),BG134:BI134,0)</f>
        <v>2</v>
      </c>
      <c r="BL134" s="17" t="n">
        <f aca="false">SQRT(($B134-BL$16)^2+($C134-BL$17)^2+($D134-BL$18)^2)</f>
        <v>6.53009959805052</v>
      </c>
      <c r="BM134" s="17" t="n">
        <f aca="false">SQRT(($B134-BM$16)^2+($C134-BM$17)^2+($D134-BM$18)^2)</f>
        <v>1.15540576562066</v>
      </c>
      <c r="BN134" s="17" t="n">
        <f aca="false">SQRT(($B134-BN$16)^2+($C134-BN$17)^2+($D134-BN$18)^2)</f>
        <v>3.11099358837599</v>
      </c>
      <c r="BO134" s="63" t="n">
        <f aca="false">MATCH(MIN(BL134:BN134),BL134:BN134,0)</f>
        <v>2</v>
      </c>
      <c r="BQ134" s="17" t="n">
        <f aca="false">SQRT(($B134-BQ$16)^2+($C134-BQ$17)^2+($D134-BQ$18)^2)</f>
        <v>6.53009959805052</v>
      </c>
      <c r="BR134" s="17" t="n">
        <f aca="false">SQRT(($B134-BR$16)^2+($C134-BR$17)^2+($D134-BR$18)^2)</f>
        <v>1.15540576562066</v>
      </c>
      <c r="BS134" s="17" t="n">
        <f aca="false">SQRT(($B134-BS$16)^2+($C134-BS$17)^2+($D134-BS$18)^2)</f>
        <v>3.11099358837599</v>
      </c>
      <c r="BT134" s="63" t="n">
        <f aca="false">MATCH(MIN(BQ134:BS134),BQ134:BS134,0)</f>
        <v>2</v>
      </c>
      <c r="BV134" s="17" t="n">
        <f aca="false">SQRT(($B134-BV$16)^2+($C134-BV$17)^2+($D134-BV$18)^2)</f>
        <v>6.53009959805052</v>
      </c>
      <c r="BW134" s="17" t="n">
        <f aca="false">SQRT(($B134-BW$16)^2+($C134-BW$17)^2+($D134-BW$18)^2)</f>
        <v>1.15540576562066</v>
      </c>
      <c r="BX134" s="17" t="n">
        <f aca="false">SQRT(($B134-BX$16)^2+($C134-BX$17)^2+($D134-BX$18)^2)</f>
        <v>3.11099358837599</v>
      </c>
      <c r="BY134" s="63" t="n">
        <f aca="false">MATCH(MIN(BV134:BX134),BV134:BX134,0)</f>
        <v>2</v>
      </c>
      <c r="CA134" s="17" t="n">
        <f aca="false">SQRT(($B134-CA$16)^2+($C134-CA$17)^2+($D134-CA$18)^2)</f>
        <v>6.53009959805052</v>
      </c>
      <c r="CB134" s="17" t="n">
        <f aca="false">SQRT(($B134-CB$16)^2+($C134-CB$17)^2+($D134-CB$18)^2)</f>
        <v>1.15540576562066</v>
      </c>
      <c r="CC134" s="17" t="n">
        <f aca="false">SQRT(($B134-CC$16)^2+($C134-CC$17)^2+($D134-CC$18)^2)</f>
        <v>3.11099358837599</v>
      </c>
      <c r="CD134" s="63" t="n">
        <f aca="false">MATCH(MIN(CA134:CC134),CA134:CC134,0)</f>
        <v>2</v>
      </c>
    </row>
    <row r="135" customFormat="false" ht="15" hidden="false" customHeight="false" outlineLevel="0" collapsed="false">
      <c r="A135" s="36" t="str">
        <f aca="false">KMeans_Data!A117</f>
        <v>Okara</v>
      </c>
      <c r="B135" s="17" t="n">
        <f aca="false">KMeans_Data!H117</f>
        <v>-1.71897565655168</v>
      </c>
      <c r="C135" s="17" t="n">
        <f aca="false">KMeans_Data!I117</f>
        <v>-0.672650545388274</v>
      </c>
      <c r="D135" s="17" t="n">
        <f aca="false">KMeans_Data!J117</f>
        <v>-1.14564411633355</v>
      </c>
      <c r="E135" s="63" t="n">
        <f aca="false">CD135</f>
        <v>2</v>
      </c>
      <c r="F135" s="38" t="n">
        <f aca="false">($B135-INDEX($L$16:$N$16,E135))^2+($C135-INDEX($L$17:$N$17,E135))^2+($D135-INDEX($L$18:$N$18,E135))^2</f>
        <v>1.33496248322947</v>
      </c>
      <c r="G135" s="12" t="str">
        <f aca="false">INDEX($M$5:$M$7,E135)</f>
        <v>Low burden</v>
      </c>
      <c r="H135" s="17" t="n">
        <f aca="false">IF(COUNTIF(Distance_Matrix!$E$9:$DQ$9,$E135)&lt;=1,0,SUMIF(Distance_Matrix!$E$9:$DQ$9,$E135,Distance_Matrix!$E$126:$DQ$126)/(COUNTIF(Distance_Matrix!$E$9:$DQ$9,$E135)-1))</f>
        <v>1.26689269917068</v>
      </c>
      <c r="I135" s="17" t="n">
        <f aca="false">MIN(IF(1=$E135,1E+099,IF(COUNTIF(Distance_Matrix!$E$9:$DQ$9,1)=0,1E+099,SUMIF(Distance_Matrix!$E$9:$DQ$9,1,Distance_Matrix!$E$126:$DQ$126)/COUNTIF(Distance_Matrix!$E$9:$DQ$9,1))),IF(2=$E135,1E+099,IF(COUNTIF(Distance_Matrix!$E$9:$DQ$9,2)=0,1E+099,SUMIF(Distance_Matrix!$E$9:$DQ$9,2,Distance_Matrix!$E$126:$DQ$126)/COUNTIF(Distance_Matrix!$E$9:$DQ$9,2))),IF(3=$E135,1E+099,IF(COUNTIF(Distance_Matrix!$E$9:$DQ$9,3)=0,1E+099,SUMIF(Distance_Matrix!$E$9:$DQ$9,3,Distance_Matrix!$E$126:$DQ$126)/COUNTIF(Distance_Matrix!$E$9:$DQ$9,3))))</f>
        <v>3.18886004006106</v>
      </c>
      <c r="J135" s="17" t="n">
        <f aca="false">IF(COUNTIF(Distance_Matrix!$E$9:$DQ$9,$E135)&lt;=1,0,(I135-H135)/MAX(H135,I135))</f>
        <v>0.602712981048107</v>
      </c>
      <c r="X135" s="17" t="n">
        <f aca="false">SQRT(($B135-X$16)^2+($C135-X$17)^2+($D135-X$18)^2)</f>
        <v>8.15332373062299</v>
      </c>
      <c r="Y135" s="17" t="n">
        <f aca="false">SQRT(($B135-Y$16)^2+($C135-Y$17)^2+($D135-Y$18)^2)</f>
        <v>0.360762325251648</v>
      </c>
      <c r="Z135" s="17" t="n">
        <f aca="false">SQRT(($B135-Z$16)^2+($C135-Z$17)^2+($D135-Z$18)^2)</f>
        <v>3.94287645773164</v>
      </c>
      <c r="AA135" s="63" t="n">
        <f aca="false">MATCH(MIN(X135:Z135),X135:Z135,0)</f>
        <v>2</v>
      </c>
      <c r="AC135" s="17" t="n">
        <f aca="false">SQRT(($B135-AC$16)^2+($C135-AC$17)^2+($D135-AC$18)^2)</f>
        <v>7.15604035865804</v>
      </c>
      <c r="AD135" s="17" t="n">
        <f aca="false">SQRT(($B135-AD$16)^2+($C135-AD$17)^2+($D135-AD$18)^2)</f>
        <v>1.00697759751876</v>
      </c>
      <c r="AE135" s="17" t="n">
        <f aca="false">SQRT(($B135-AE$16)^2+($C135-AE$17)^2+($D135-AE$18)^2)</f>
        <v>3.00282821650673</v>
      </c>
      <c r="AF135" s="63" t="n">
        <f aca="false">MATCH(MIN(AC135:AE135),AC135:AE135,0)</f>
        <v>2</v>
      </c>
      <c r="AH135" s="17" t="n">
        <f aca="false">SQRT(($B135-AH$16)^2+($C135-AH$17)^2+($D135-AH$18)^2)</f>
        <v>6.53009959805052</v>
      </c>
      <c r="AI135" s="17" t="n">
        <f aca="false">SQRT(($B135-AI$16)^2+($C135-AI$17)^2+($D135-AI$18)^2)</f>
        <v>1.14667098758959</v>
      </c>
      <c r="AJ135" s="17" t="n">
        <f aca="false">SQRT(($B135-AJ$16)^2+($C135-AJ$17)^2+($D135-AJ$18)^2)</f>
        <v>3.08625310915905</v>
      </c>
      <c r="AK135" s="63" t="n">
        <f aca="false">MATCH(MIN(AH135:AJ135),AH135:AJ135,0)</f>
        <v>2</v>
      </c>
      <c r="AM135" s="17" t="n">
        <f aca="false">SQRT(($B135-AM$16)^2+($C135-AM$17)^2+($D135-AM$18)^2)</f>
        <v>6.53009959805052</v>
      </c>
      <c r="AN135" s="17" t="n">
        <f aca="false">SQRT(($B135-AN$16)^2+($C135-AN$17)^2+($D135-AN$18)^2)</f>
        <v>1.15540576562066</v>
      </c>
      <c r="AO135" s="17" t="n">
        <f aca="false">SQRT(($B135-AO$16)^2+($C135-AO$17)^2+($D135-AO$18)^2)</f>
        <v>3.11099358837599</v>
      </c>
      <c r="AP135" s="63" t="n">
        <f aca="false">MATCH(MIN(AM135:AO135),AM135:AO135,0)</f>
        <v>2</v>
      </c>
      <c r="AR135" s="17" t="n">
        <f aca="false">SQRT(($B135-AR$16)^2+($C135-AR$17)^2+($D135-AR$18)^2)</f>
        <v>6.53009959805052</v>
      </c>
      <c r="AS135" s="17" t="n">
        <f aca="false">SQRT(($B135-AS$16)^2+($C135-AS$17)^2+($D135-AS$18)^2)</f>
        <v>1.15540576562066</v>
      </c>
      <c r="AT135" s="17" t="n">
        <f aca="false">SQRT(($B135-AT$16)^2+($C135-AT$17)^2+($D135-AT$18)^2)</f>
        <v>3.11099358837599</v>
      </c>
      <c r="AU135" s="63" t="n">
        <f aca="false">MATCH(MIN(AR135:AT135),AR135:AT135,0)</f>
        <v>2</v>
      </c>
      <c r="AW135" s="17" t="n">
        <f aca="false">SQRT(($B135-AW$16)^2+($C135-AW$17)^2+($D135-AW$18)^2)</f>
        <v>6.53009959805052</v>
      </c>
      <c r="AX135" s="17" t="n">
        <f aca="false">SQRT(($B135-AX$16)^2+($C135-AX$17)^2+($D135-AX$18)^2)</f>
        <v>1.15540576562066</v>
      </c>
      <c r="AY135" s="17" t="n">
        <f aca="false">SQRT(($B135-AY$16)^2+($C135-AY$17)^2+($D135-AY$18)^2)</f>
        <v>3.11099358837599</v>
      </c>
      <c r="AZ135" s="63" t="n">
        <f aca="false">MATCH(MIN(AW135:AY135),AW135:AY135,0)</f>
        <v>2</v>
      </c>
      <c r="BB135" s="17" t="n">
        <f aca="false">SQRT(($B135-BB$16)^2+($C135-BB$17)^2+($D135-BB$18)^2)</f>
        <v>6.53009959805052</v>
      </c>
      <c r="BC135" s="17" t="n">
        <f aca="false">SQRT(($B135-BC$16)^2+($C135-BC$17)^2+($D135-BC$18)^2)</f>
        <v>1.15540576562066</v>
      </c>
      <c r="BD135" s="17" t="n">
        <f aca="false">SQRT(($B135-BD$16)^2+($C135-BD$17)^2+($D135-BD$18)^2)</f>
        <v>3.11099358837599</v>
      </c>
      <c r="BE135" s="63" t="n">
        <f aca="false">MATCH(MIN(BB135:BD135),BB135:BD135,0)</f>
        <v>2</v>
      </c>
      <c r="BG135" s="17" t="n">
        <f aca="false">SQRT(($B135-BG$16)^2+($C135-BG$17)^2+($D135-BG$18)^2)</f>
        <v>6.53009959805052</v>
      </c>
      <c r="BH135" s="17" t="n">
        <f aca="false">SQRT(($B135-BH$16)^2+($C135-BH$17)^2+($D135-BH$18)^2)</f>
        <v>1.15540576562066</v>
      </c>
      <c r="BI135" s="17" t="n">
        <f aca="false">SQRT(($B135-BI$16)^2+($C135-BI$17)^2+($D135-BI$18)^2)</f>
        <v>3.11099358837599</v>
      </c>
      <c r="BJ135" s="63" t="n">
        <f aca="false">MATCH(MIN(BG135:BI135),BG135:BI135,0)</f>
        <v>2</v>
      </c>
      <c r="BL135" s="17" t="n">
        <f aca="false">SQRT(($B135-BL$16)^2+($C135-BL$17)^2+($D135-BL$18)^2)</f>
        <v>6.53009959805052</v>
      </c>
      <c r="BM135" s="17" t="n">
        <f aca="false">SQRT(($B135-BM$16)^2+($C135-BM$17)^2+($D135-BM$18)^2)</f>
        <v>1.15540576562066</v>
      </c>
      <c r="BN135" s="17" t="n">
        <f aca="false">SQRT(($B135-BN$16)^2+($C135-BN$17)^2+($D135-BN$18)^2)</f>
        <v>3.11099358837599</v>
      </c>
      <c r="BO135" s="63" t="n">
        <f aca="false">MATCH(MIN(BL135:BN135),BL135:BN135,0)</f>
        <v>2</v>
      </c>
      <c r="BQ135" s="17" t="n">
        <f aca="false">SQRT(($B135-BQ$16)^2+($C135-BQ$17)^2+($D135-BQ$18)^2)</f>
        <v>6.53009959805052</v>
      </c>
      <c r="BR135" s="17" t="n">
        <f aca="false">SQRT(($B135-BR$16)^2+($C135-BR$17)^2+($D135-BR$18)^2)</f>
        <v>1.15540576562066</v>
      </c>
      <c r="BS135" s="17" t="n">
        <f aca="false">SQRT(($B135-BS$16)^2+($C135-BS$17)^2+($D135-BS$18)^2)</f>
        <v>3.11099358837599</v>
      </c>
      <c r="BT135" s="63" t="n">
        <f aca="false">MATCH(MIN(BQ135:BS135),BQ135:BS135,0)</f>
        <v>2</v>
      </c>
      <c r="BV135" s="17" t="n">
        <f aca="false">SQRT(($B135-BV$16)^2+($C135-BV$17)^2+($D135-BV$18)^2)</f>
        <v>6.53009959805052</v>
      </c>
      <c r="BW135" s="17" t="n">
        <f aca="false">SQRT(($B135-BW$16)^2+($C135-BW$17)^2+($D135-BW$18)^2)</f>
        <v>1.15540576562066</v>
      </c>
      <c r="BX135" s="17" t="n">
        <f aca="false">SQRT(($B135-BX$16)^2+($C135-BX$17)^2+($D135-BX$18)^2)</f>
        <v>3.11099358837599</v>
      </c>
      <c r="BY135" s="63" t="n">
        <f aca="false">MATCH(MIN(BV135:BX135),BV135:BX135,0)</f>
        <v>2</v>
      </c>
      <c r="CA135" s="17" t="n">
        <f aca="false">SQRT(($B135-CA$16)^2+($C135-CA$17)^2+($D135-CA$18)^2)</f>
        <v>6.53009959805052</v>
      </c>
      <c r="CB135" s="17" t="n">
        <f aca="false">SQRT(($B135-CB$16)^2+($C135-CB$17)^2+($D135-CB$18)^2)</f>
        <v>1.15540576562066</v>
      </c>
      <c r="CC135" s="17" t="n">
        <f aca="false">SQRT(($B135-CC$16)^2+($C135-CC$17)^2+($D135-CC$18)^2)</f>
        <v>3.11099358837599</v>
      </c>
      <c r="CD135" s="63" t="n">
        <f aca="false">MATCH(MIN(CA135:CC135),CA135:CC135,0)</f>
        <v>2</v>
      </c>
    </row>
    <row r="136" customFormat="false" ht="15" hidden="false" customHeight="false" outlineLevel="0" collapsed="false">
      <c r="A136" s="36" t="str">
        <f aca="false">KMeans_Data!A118</f>
        <v>Ziarat</v>
      </c>
      <c r="B136" s="17" t="n">
        <f aca="false">KMeans_Data!H118</f>
        <v>-1.71897565655168</v>
      </c>
      <c r="C136" s="17" t="n">
        <f aca="false">KMeans_Data!I118</f>
        <v>-0.672650545388274</v>
      </c>
      <c r="D136" s="17" t="n">
        <f aca="false">KMeans_Data!J118</f>
        <v>-1.14564411633355</v>
      </c>
      <c r="E136" s="63" t="n">
        <f aca="false">CD136</f>
        <v>2</v>
      </c>
      <c r="F136" s="38" t="n">
        <f aca="false">($B136-INDEX($L$16:$N$16,E136))^2+($C136-INDEX($L$17:$N$17,E136))^2+($D136-INDEX($L$18:$N$18,E136))^2</f>
        <v>1.33496248322947</v>
      </c>
      <c r="G136" s="12" t="str">
        <f aca="false">INDEX($M$5:$M$7,E136)</f>
        <v>Low burden</v>
      </c>
      <c r="H136" s="17" t="n">
        <f aca="false">IF(COUNTIF(Distance_Matrix!$E$9:$DQ$9,$E136)&lt;=1,0,SUMIF(Distance_Matrix!$E$9:$DQ$9,$E136,Distance_Matrix!$E$127:$DQ$127)/(COUNTIF(Distance_Matrix!$E$9:$DQ$9,$E136)-1))</f>
        <v>1.26689269917068</v>
      </c>
      <c r="I136" s="17" t="n">
        <f aca="false">MIN(IF(1=$E136,1E+099,IF(COUNTIF(Distance_Matrix!$E$9:$DQ$9,1)=0,1E+099,SUMIF(Distance_Matrix!$E$9:$DQ$9,1,Distance_Matrix!$E$127:$DQ$127)/COUNTIF(Distance_Matrix!$E$9:$DQ$9,1))),IF(2=$E136,1E+099,IF(COUNTIF(Distance_Matrix!$E$9:$DQ$9,2)=0,1E+099,SUMIF(Distance_Matrix!$E$9:$DQ$9,2,Distance_Matrix!$E$127:$DQ$127)/COUNTIF(Distance_Matrix!$E$9:$DQ$9,2))),IF(3=$E136,1E+099,IF(COUNTIF(Distance_Matrix!$E$9:$DQ$9,3)=0,1E+099,SUMIF(Distance_Matrix!$E$9:$DQ$9,3,Distance_Matrix!$E$127:$DQ$127)/COUNTIF(Distance_Matrix!$E$9:$DQ$9,3))))</f>
        <v>3.18886004006106</v>
      </c>
      <c r="J136" s="17" t="n">
        <f aca="false">IF(COUNTIF(Distance_Matrix!$E$9:$DQ$9,$E136)&lt;=1,0,(I136-H136)/MAX(H136,I136))</f>
        <v>0.602712981048107</v>
      </c>
      <c r="X136" s="17" t="n">
        <f aca="false">SQRT(($B136-X$16)^2+($C136-X$17)^2+($D136-X$18)^2)</f>
        <v>8.15332373062299</v>
      </c>
      <c r="Y136" s="17" t="n">
        <f aca="false">SQRT(($B136-Y$16)^2+($C136-Y$17)^2+($D136-Y$18)^2)</f>
        <v>0.360762325251648</v>
      </c>
      <c r="Z136" s="17" t="n">
        <f aca="false">SQRT(($B136-Z$16)^2+($C136-Z$17)^2+($D136-Z$18)^2)</f>
        <v>3.94287645773164</v>
      </c>
      <c r="AA136" s="63" t="n">
        <f aca="false">MATCH(MIN(X136:Z136),X136:Z136,0)</f>
        <v>2</v>
      </c>
      <c r="AC136" s="17" t="n">
        <f aca="false">SQRT(($B136-AC$16)^2+($C136-AC$17)^2+($D136-AC$18)^2)</f>
        <v>7.15604035865804</v>
      </c>
      <c r="AD136" s="17" t="n">
        <f aca="false">SQRT(($B136-AD$16)^2+($C136-AD$17)^2+($D136-AD$18)^2)</f>
        <v>1.00697759751876</v>
      </c>
      <c r="AE136" s="17" t="n">
        <f aca="false">SQRT(($B136-AE$16)^2+($C136-AE$17)^2+($D136-AE$18)^2)</f>
        <v>3.00282821650673</v>
      </c>
      <c r="AF136" s="63" t="n">
        <f aca="false">MATCH(MIN(AC136:AE136),AC136:AE136,0)</f>
        <v>2</v>
      </c>
      <c r="AH136" s="17" t="n">
        <f aca="false">SQRT(($B136-AH$16)^2+($C136-AH$17)^2+($D136-AH$18)^2)</f>
        <v>6.53009959805052</v>
      </c>
      <c r="AI136" s="17" t="n">
        <f aca="false">SQRT(($B136-AI$16)^2+($C136-AI$17)^2+($D136-AI$18)^2)</f>
        <v>1.14667098758959</v>
      </c>
      <c r="AJ136" s="17" t="n">
        <f aca="false">SQRT(($B136-AJ$16)^2+($C136-AJ$17)^2+($D136-AJ$18)^2)</f>
        <v>3.08625310915905</v>
      </c>
      <c r="AK136" s="63" t="n">
        <f aca="false">MATCH(MIN(AH136:AJ136),AH136:AJ136,0)</f>
        <v>2</v>
      </c>
      <c r="AM136" s="17" t="n">
        <f aca="false">SQRT(($B136-AM$16)^2+($C136-AM$17)^2+($D136-AM$18)^2)</f>
        <v>6.53009959805052</v>
      </c>
      <c r="AN136" s="17" t="n">
        <f aca="false">SQRT(($B136-AN$16)^2+($C136-AN$17)^2+($D136-AN$18)^2)</f>
        <v>1.15540576562066</v>
      </c>
      <c r="AO136" s="17" t="n">
        <f aca="false">SQRT(($B136-AO$16)^2+($C136-AO$17)^2+($D136-AO$18)^2)</f>
        <v>3.11099358837599</v>
      </c>
      <c r="AP136" s="63" t="n">
        <f aca="false">MATCH(MIN(AM136:AO136),AM136:AO136,0)</f>
        <v>2</v>
      </c>
      <c r="AR136" s="17" t="n">
        <f aca="false">SQRT(($B136-AR$16)^2+($C136-AR$17)^2+($D136-AR$18)^2)</f>
        <v>6.53009959805052</v>
      </c>
      <c r="AS136" s="17" t="n">
        <f aca="false">SQRT(($B136-AS$16)^2+($C136-AS$17)^2+($D136-AS$18)^2)</f>
        <v>1.15540576562066</v>
      </c>
      <c r="AT136" s="17" t="n">
        <f aca="false">SQRT(($B136-AT$16)^2+($C136-AT$17)^2+($D136-AT$18)^2)</f>
        <v>3.11099358837599</v>
      </c>
      <c r="AU136" s="63" t="n">
        <f aca="false">MATCH(MIN(AR136:AT136),AR136:AT136,0)</f>
        <v>2</v>
      </c>
      <c r="AW136" s="17" t="n">
        <f aca="false">SQRT(($B136-AW$16)^2+($C136-AW$17)^2+($D136-AW$18)^2)</f>
        <v>6.53009959805052</v>
      </c>
      <c r="AX136" s="17" t="n">
        <f aca="false">SQRT(($B136-AX$16)^2+($C136-AX$17)^2+($D136-AX$18)^2)</f>
        <v>1.15540576562066</v>
      </c>
      <c r="AY136" s="17" t="n">
        <f aca="false">SQRT(($B136-AY$16)^2+($C136-AY$17)^2+($D136-AY$18)^2)</f>
        <v>3.11099358837599</v>
      </c>
      <c r="AZ136" s="63" t="n">
        <f aca="false">MATCH(MIN(AW136:AY136),AW136:AY136,0)</f>
        <v>2</v>
      </c>
      <c r="BB136" s="17" t="n">
        <f aca="false">SQRT(($B136-BB$16)^2+($C136-BB$17)^2+($D136-BB$18)^2)</f>
        <v>6.53009959805052</v>
      </c>
      <c r="BC136" s="17" t="n">
        <f aca="false">SQRT(($B136-BC$16)^2+($C136-BC$17)^2+($D136-BC$18)^2)</f>
        <v>1.15540576562066</v>
      </c>
      <c r="BD136" s="17" t="n">
        <f aca="false">SQRT(($B136-BD$16)^2+($C136-BD$17)^2+($D136-BD$18)^2)</f>
        <v>3.11099358837599</v>
      </c>
      <c r="BE136" s="63" t="n">
        <f aca="false">MATCH(MIN(BB136:BD136),BB136:BD136,0)</f>
        <v>2</v>
      </c>
      <c r="BG136" s="17" t="n">
        <f aca="false">SQRT(($B136-BG$16)^2+($C136-BG$17)^2+($D136-BG$18)^2)</f>
        <v>6.53009959805052</v>
      </c>
      <c r="BH136" s="17" t="n">
        <f aca="false">SQRT(($B136-BH$16)^2+($C136-BH$17)^2+($D136-BH$18)^2)</f>
        <v>1.15540576562066</v>
      </c>
      <c r="BI136" s="17" t="n">
        <f aca="false">SQRT(($B136-BI$16)^2+($C136-BI$17)^2+($D136-BI$18)^2)</f>
        <v>3.11099358837599</v>
      </c>
      <c r="BJ136" s="63" t="n">
        <f aca="false">MATCH(MIN(BG136:BI136),BG136:BI136,0)</f>
        <v>2</v>
      </c>
      <c r="BL136" s="17" t="n">
        <f aca="false">SQRT(($B136-BL$16)^2+($C136-BL$17)^2+($D136-BL$18)^2)</f>
        <v>6.53009959805052</v>
      </c>
      <c r="BM136" s="17" t="n">
        <f aca="false">SQRT(($B136-BM$16)^2+($C136-BM$17)^2+($D136-BM$18)^2)</f>
        <v>1.15540576562066</v>
      </c>
      <c r="BN136" s="17" t="n">
        <f aca="false">SQRT(($B136-BN$16)^2+($C136-BN$17)^2+($D136-BN$18)^2)</f>
        <v>3.11099358837599</v>
      </c>
      <c r="BO136" s="63" t="n">
        <f aca="false">MATCH(MIN(BL136:BN136),BL136:BN136,0)</f>
        <v>2</v>
      </c>
      <c r="BQ136" s="17" t="n">
        <f aca="false">SQRT(($B136-BQ$16)^2+($C136-BQ$17)^2+($D136-BQ$18)^2)</f>
        <v>6.53009959805052</v>
      </c>
      <c r="BR136" s="17" t="n">
        <f aca="false">SQRT(($B136-BR$16)^2+($C136-BR$17)^2+($D136-BR$18)^2)</f>
        <v>1.15540576562066</v>
      </c>
      <c r="BS136" s="17" t="n">
        <f aca="false">SQRT(($B136-BS$16)^2+($C136-BS$17)^2+($D136-BS$18)^2)</f>
        <v>3.11099358837599</v>
      </c>
      <c r="BT136" s="63" t="n">
        <f aca="false">MATCH(MIN(BQ136:BS136),BQ136:BS136,0)</f>
        <v>2</v>
      </c>
      <c r="BV136" s="17" t="n">
        <f aca="false">SQRT(($B136-BV$16)^2+($C136-BV$17)^2+($D136-BV$18)^2)</f>
        <v>6.53009959805052</v>
      </c>
      <c r="BW136" s="17" t="n">
        <f aca="false">SQRT(($B136-BW$16)^2+($C136-BW$17)^2+($D136-BW$18)^2)</f>
        <v>1.15540576562066</v>
      </c>
      <c r="BX136" s="17" t="n">
        <f aca="false">SQRT(($B136-BX$16)^2+($C136-BX$17)^2+($D136-BX$18)^2)</f>
        <v>3.11099358837599</v>
      </c>
      <c r="BY136" s="63" t="n">
        <f aca="false">MATCH(MIN(BV136:BX136),BV136:BX136,0)</f>
        <v>2</v>
      </c>
      <c r="CA136" s="17" t="n">
        <f aca="false">SQRT(($B136-CA$16)^2+($C136-CA$17)^2+($D136-CA$18)^2)</f>
        <v>6.53009959805052</v>
      </c>
      <c r="CB136" s="17" t="n">
        <f aca="false">SQRT(($B136-CB$16)^2+($C136-CB$17)^2+($D136-CB$18)^2)</f>
        <v>1.15540576562066</v>
      </c>
      <c r="CC136" s="17" t="n">
        <f aca="false">SQRT(($B136-CC$16)^2+($C136-CC$17)^2+($D136-CC$18)^2)</f>
        <v>3.11099358837599</v>
      </c>
      <c r="CD136" s="63" t="n">
        <f aca="false">MATCH(MIN(CA136:CC136),CA136:CC136,0)</f>
        <v>2</v>
      </c>
    </row>
    <row r="137" customFormat="false" ht="15" hidden="false" customHeight="false" outlineLevel="0" collapsed="false">
      <c r="A137" s="36" t="str">
        <f aca="false">KMeans_Data!A119</f>
        <v>Pakpatan</v>
      </c>
      <c r="B137" s="17" t="n">
        <f aca="false">KMeans_Data!H119</f>
        <v>-1.71897565655168</v>
      </c>
      <c r="C137" s="17" t="n">
        <f aca="false">KMeans_Data!I119</f>
        <v>-0.672650545388274</v>
      </c>
      <c r="D137" s="17" t="n">
        <f aca="false">KMeans_Data!J119</f>
        <v>-1.14564411633355</v>
      </c>
      <c r="E137" s="63" t="n">
        <f aca="false">CD137</f>
        <v>2</v>
      </c>
      <c r="F137" s="38" t="n">
        <f aca="false">($B137-INDEX($L$16:$N$16,E137))^2+($C137-INDEX($L$17:$N$17,E137))^2+($D137-INDEX($L$18:$N$18,E137))^2</f>
        <v>1.33496248322947</v>
      </c>
      <c r="G137" s="12" t="str">
        <f aca="false">INDEX($M$5:$M$7,E137)</f>
        <v>Low burden</v>
      </c>
      <c r="H137" s="17" t="n">
        <f aca="false">IF(COUNTIF(Distance_Matrix!$E$9:$DQ$9,$E137)&lt;=1,0,SUMIF(Distance_Matrix!$E$9:$DQ$9,$E137,Distance_Matrix!$E$128:$DQ$128)/(COUNTIF(Distance_Matrix!$E$9:$DQ$9,$E137)-1))</f>
        <v>1.26689269917068</v>
      </c>
      <c r="I137" s="17" t="n">
        <f aca="false">MIN(IF(1=$E137,1E+099,IF(COUNTIF(Distance_Matrix!$E$9:$DQ$9,1)=0,1E+099,SUMIF(Distance_Matrix!$E$9:$DQ$9,1,Distance_Matrix!$E$128:$DQ$128)/COUNTIF(Distance_Matrix!$E$9:$DQ$9,1))),IF(2=$E137,1E+099,IF(COUNTIF(Distance_Matrix!$E$9:$DQ$9,2)=0,1E+099,SUMIF(Distance_Matrix!$E$9:$DQ$9,2,Distance_Matrix!$E$128:$DQ$128)/COUNTIF(Distance_Matrix!$E$9:$DQ$9,2))),IF(3=$E137,1E+099,IF(COUNTIF(Distance_Matrix!$E$9:$DQ$9,3)=0,1E+099,SUMIF(Distance_Matrix!$E$9:$DQ$9,3,Distance_Matrix!$E$128:$DQ$128)/COUNTIF(Distance_Matrix!$E$9:$DQ$9,3))))</f>
        <v>3.18886004006106</v>
      </c>
      <c r="J137" s="17" t="n">
        <f aca="false">IF(COUNTIF(Distance_Matrix!$E$9:$DQ$9,$E137)&lt;=1,0,(I137-H137)/MAX(H137,I137))</f>
        <v>0.602712981048107</v>
      </c>
      <c r="X137" s="17" t="n">
        <f aca="false">SQRT(($B137-X$16)^2+($C137-X$17)^2+($D137-X$18)^2)</f>
        <v>8.15332373062299</v>
      </c>
      <c r="Y137" s="17" t="n">
        <f aca="false">SQRT(($B137-Y$16)^2+($C137-Y$17)^2+($D137-Y$18)^2)</f>
        <v>0.360762325251648</v>
      </c>
      <c r="Z137" s="17" t="n">
        <f aca="false">SQRT(($B137-Z$16)^2+($C137-Z$17)^2+($D137-Z$18)^2)</f>
        <v>3.94287645773164</v>
      </c>
      <c r="AA137" s="63" t="n">
        <f aca="false">MATCH(MIN(X137:Z137),X137:Z137,0)</f>
        <v>2</v>
      </c>
      <c r="AC137" s="17" t="n">
        <f aca="false">SQRT(($B137-AC$16)^2+($C137-AC$17)^2+($D137-AC$18)^2)</f>
        <v>7.15604035865804</v>
      </c>
      <c r="AD137" s="17" t="n">
        <f aca="false">SQRT(($B137-AD$16)^2+($C137-AD$17)^2+($D137-AD$18)^2)</f>
        <v>1.00697759751876</v>
      </c>
      <c r="AE137" s="17" t="n">
        <f aca="false">SQRT(($B137-AE$16)^2+($C137-AE$17)^2+($D137-AE$18)^2)</f>
        <v>3.00282821650673</v>
      </c>
      <c r="AF137" s="63" t="n">
        <f aca="false">MATCH(MIN(AC137:AE137),AC137:AE137,0)</f>
        <v>2</v>
      </c>
      <c r="AH137" s="17" t="n">
        <f aca="false">SQRT(($B137-AH$16)^2+($C137-AH$17)^2+($D137-AH$18)^2)</f>
        <v>6.53009959805052</v>
      </c>
      <c r="AI137" s="17" t="n">
        <f aca="false">SQRT(($B137-AI$16)^2+($C137-AI$17)^2+($D137-AI$18)^2)</f>
        <v>1.14667098758959</v>
      </c>
      <c r="AJ137" s="17" t="n">
        <f aca="false">SQRT(($B137-AJ$16)^2+($C137-AJ$17)^2+($D137-AJ$18)^2)</f>
        <v>3.08625310915905</v>
      </c>
      <c r="AK137" s="63" t="n">
        <f aca="false">MATCH(MIN(AH137:AJ137),AH137:AJ137,0)</f>
        <v>2</v>
      </c>
      <c r="AM137" s="17" t="n">
        <f aca="false">SQRT(($B137-AM$16)^2+($C137-AM$17)^2+($D137-AM$18)^2)</f>
        <v>6.53009959805052</v>
      </c>
      <c r="AN137" s="17" t="n">
        <f aca="false">SQRT(($B137-AN$16)^2+($C137-AN$17)^2+($D137-AN$18)^2)</f>
        <v>1.15540576562066</v>
      </c>
      <c r="AO137" s="17" t="n">
        <f aca="false">SQRT(($B137-AO$16)^2+($C137-AO$17)^2+($D137-AO$18)^2)</f>
        <v>3.11099358837599</v>
      </c>
      <c r="AP137" s="63" t="n">
        <f aca="false">MATCH(MIN(AM137:AO137),AM137:AO137,0)</f>
        <v>2</v>
      </c>
      <c r="AR137" s="17" t="n">
        <f aca="false">SQRT(($B137-AR$16)^2+($C137-AR$17)^2+($D137-AR$18)^2)</f>
        <v>6.53009959805052</v>
      </c>
      <c r="AS137" s="17" t="n">
        <f aca="false">SQRT(($B137-AS$16)^2+($C137-AS$17)^2+($D137-AS$18)^2)</f>
        <v>1.15540576562066</v>
      </c>
      <c r="AT137" s="17" t="n">
        <f aca="false">SQRT(($B137-AT$16)^2+($C137-AT$17)^2+($D137-AT$18)^2)</f>
        <v>3.11099358837599</v>
      </c>
      <c r="AU137" s="63" t="n">
        <f aca="false">MATCH(MIN(AR137:AT137),AR137:AT137,0)</f>
        <v>2</v>
      </c>
      <c r="AW137" s="17" t="n">
        <f aca="false">SQRT(($B137-AW$16)^2+($C137-AW$17)^2+($D137-AW$18)^2)</f>
        <v>6.53009959805052</v>
      </c>
      <c r="AX137" s="17" t="n">
        <f aca="false">SQRT(($B137-AX$16)^2+($C137-AX$17)^2+($D137-AX$18)^2)</f>
        <v>1.15540576562066</v>
      </c>
      <c r="AY137" s="17" t="n">
        <f aca="false">SQRT(($B137-AY$16)^2+($C137-AY$17)^2+($D137-AY$18)^2)</f>
        <v>3.11099358837599</v>
      </c>
      <c r="AZ137" s="63" t="n">
        <f aca="false">MATCH(MIN(AW137:AY137),AW137:AY137,0)</f>
        <v>2</v>
      </c>
      <c r="BB137" s="17" t="n">
        <f aca="false">SQRT(($B137-BB$16)^2+($C137-BB$17)^2+($D137-BB$18)^2)</f>
        <v>6.53009959805052</v>
      </c>
      <c r="BC137" s="17" t="n">
        <f aca="false">SQRT(($B137-BC$16)^2+($C137-BC$17)^2+($D137-BC$18)^2)</f>
        <v>1.15540576562066</v>
      </c>
      <c r="BD137" s="17" t="n">
        <f aca="false">SQRT(($B137-BD$16)^2+($C137-BD$17)^2+($D137-BD$18)^2)</f>
        <v>3.11099358837599</v>
      </c>
      <c r="BE137" s="63" t="n">
        <f aca="false">MATCH(MIN(BB137:BD137),BB137:BD137,0)</f>
        <v>2</v>
      </c>
      <c r="BG137" s="17" t="n">
        <f aca="false">SQRT(($B137-BG$16)^2+($C137-BG$17)^2+($D137-BG$18)^2)</f>
        <v>6.53009959805052</v>
      </c>
      <c r="BH137" s="17" t="n">
        <f aca="false">SQRT(($B137-BH$16)^2+($C137-BH$17)^2+($D137-BH$18)^2)</f>
        <v>1.15540576562066</v>
      </c>
      <c r="BI137" s="17" t="n">
        <f aca="false">SQRT(($B137-BI$16)^2+($C137-BI$17)^2+($D137-BI$18)^2)</f>
        <v>3.11099358837599</v>
      </c>
      <c r="BJ137" s="63" t="n">
        <f aca="false">MATCH(MIN(BG137:BI137),BG137:BI137,0)</f>
        <v>2</v>
      </c>
      <c r="BL137" s="17" t="n">
        <f aca="false">SQRT(($B137-BL$16)^2+($C137-BL$17)^2+($D137-BL$18)^2)</f>
        <v>6.53009959805052</v>
      </c>
      <c r="BM137" s="17" t="n">
        <f aca="false">SQRT(($B137-BM$16)^2+($C137-BM$17)^2+($D137-BM$18)^2)</f>
        <v>1.15540576562066</v>
      </c>
      <c r="BN137" s="17" t="n">
        <f aca="false">SQRT(($B137-BN$16)^2+($C137-BN$17)^2+($D137-BN$18)^2)</f>
        <v>3.11099358837599</v>
      </c>
      <c r="BO137" s="63" t="n">
        <f aca="false">MATCH(MIN(BL137:BN137),BL137:BN137,0)</f>
        <v>2</v>
      </c>
      <c r="BQ137" s="17" t="n">
        <f aca="false">SQRT(($B137-BQ$16)^2+($C137-BQ$17)^2+($D137-BQ$18)^2)</f>
        <v>6.53009959805052</v>
      </c>
      <c r="BR137" s="17" t="n">
        <f aca="false">SQRT(($B137-BR$16)^2+($C137-BR$17)^2+($D137-BR$18)^2)</f>
        <v>1.15540576562066</v>
      </c>
      <c r="BS137" s="17" t="n">
        <f aca="false">SQRT(($B137-BS$16)^2+($C137-BS$17)^2+($D137-BS$18)^2)</f>
        <v>3.11099358837599</v>
      </c>
      <c r="BT137" s="63" t="n">
        <f aca="false">MATCH(MIN(BQ137:BS137),BQ137:BS137,0)</f>
        <v>2</v>
      </c>
      <c r="BV137" s="17" t="n">
        <f aca="false">SQRT(($B137-BV$16)^2+($C137-BV$17)^2+($D137-BV$18)^2)</f>
        <v>6.53009959805052</v>
      </c>
      <c r="BW137" s="17" t="n">
        <f aca="false">SQRT(($B137-BW$16)^2+($C137-BW$17)^2+($D137-BW$18)^2)</f>
        <v>1.15540576562066</v>
      </c>
      <c r="BX137" s="17" t="n">
        <f aca="false">SQRT(($B137-BX$16)^2+($C137-BX$17)^2+($D137-BX$18)^2)</f>
        <v>3.11099358837599</v>
      </c>
      <c r="BY137" s="63" t="n">
        <f aca="false">MATCH(MIN(BV137:BX137),BV137:BX137,0)</f>
        <v>2</v>
      </c>
      <c r="CA137" s="17" t="n">
        <f aca="false">SQRT(($B137-CA$16)^2+($C137-CA$17)^2+($D137-CA$18)^2)</f>
        <v>6.53009959805052</v>
      </c>
      <c r="CB137" s="17" t="n">
        <f aca="false">SQRT(($B137-CB$16)^2+($C137-CB$17)^2+($D137-CB$18)^2)</f>
        <v>1.15540576562066</v>
      </c>
      <c r="CC137" s="17" t="n">
        <f aca="false">SQRT(($B137-CC$16)^2+($C137-CC$17)^2+($D137-CC$18)^2)</f>
        <v>3.11099358837599</v>
      </c>
      <c r="CD137" s="63" t="n">
        <f aca="false">MATCH(MIN(CA137:CC137),CA137:CC137,0)</f>
        <v>2</v>
      </c>
    </row>
    <row r="138" customFormat="false" ht="15" hidden="false" customHeight="false" outlineLevel="0" collapsed="false">
      <c r="A138" s="36" t="str">
        <f aca="false">KMeans_Data!A120</f>
        <v>Chitral</v>
      </c>
      <c r="B138" s="17" t="n">
        <f aca="false">KMeans_Data!H120</f>
        <v>-2.07973798180332</v>
      </c>
      <c r="C138" s="17" t="n">
        <f aca="false">KMeans_Data!I120</f>
        <v>-0.672650545388274</v>
      </c>
      <c r="D138" s="17" t="n">
        <f aca="false">KMeans_Data!J120</f>
        <v>-1.14564411633355</v>
      </c>
      <c r="E138" s="63" t="n">
        <f aca="false">CD138</f>
        <v>2</v>
      </c>
      <c r="F138" s="38" t="n">
        <f aca="false">($B138-INDEX($L$16:$N$16,E138))^2+($C138-INDEX($L$17:$N$17,E138))^2+($D138-INDEX($L$18:$N$18,E138))^2</f>
        <v>2.24530596322972</v>
      </c>
      <c r="G138" s="12" t="str">
        <f aca="false">INDEX($M$5:$M$7,E138)</f>
        <v>Low burden</v>
      </c>
      <c r="H138" s="17" t="n">
        <f aca="false">IF(COUNTIF(Distance_Matrix!$E$9:$DQ$9,$E138)&lt;=1,0,SUMIF(Distance_Matrix!$E$9:$DQ$9,$E138,Distance_Matrix!$E$129:$DQ$129)/(COUNTIF(Distance_Matrix!$E$9:$DQ$9,$E138)-1))</f>
        <v>1.58271507704176</v>
      </c>
      <c r="I138" s="17" t="n">
        <f aca="false">MIN(IF(1=$E138,1E+099,IF(COUNTIF(Distance_Matrix!$E$9:$DQ$9,1)=0,1E+099,SUMIF(Distance_Matrix!$E$9:$DQ$9,1,Distance_Matrix!$E$129:$DQ$129)/COUNTIF(Distance_Matrix!$E$9:$DQ$9,1))),IF(2=$E138,1E+099,IF(COUNTIF(Distance_Matrix!$E$9:$DQ$9,2)=0,1E+099,SUMIF(Distance_Matrix!$E$9:$DQ$9,2,Distance_Matrix!$E$129:$DQ$129)/COUNTIF(Distance_Matrix!$E$9:$DQ$9,2))),IF(3=$E138,1E+099,IF(COUNTIF(Distance_Matrix!$E$9:$DQ$9,3)=0,1E+099,SUMIF(Distance_Matrix!$E$9:$DQ$9,3,Distance_Matrix!$E$129:$DQ$129)/COUNTIF(Distance_Matrix!$E$9:$DQ$9,3))))</f>
        <v>3.45345062709309</v>
      </c>
      <c r="J138" s="17" t="n">
        <f aca="false">IF(COUNTIF(Distance_Matrix!$E$9:$DQ$9,$E138)&lt;=1,0,(I138-H138)/MAX(H138,I138))</f>
        <v>0.541700389568334</v>
      </c>
      <c r="X138" s="17" t="n">
        <f aca="false">SQRT(($B138-X$16)^2+($C138-X$17)^2+($D138-X$18)^2)</f>
        <v>8.37911780072121</v>
      </c>
      <c r="Y138" s="17" t="n">
        <f aca="false">SQRT(($B138-Y$16)^2+($C138-Y$17)^2+($D138-Y$18)^2)</f>
        <v>0</v>
      </c>
      <c r="Z138" s="17" t="n">
        <f aca="false">SQRT(($B138-Z$16)^2+($C138-Z$17)^2+($D138-Z$18)^2)</f>
        <v>4.20299555676564</v>
      </c>
      <c r="AA138" s="63" t="n">
        <f aca="false">MATCH(MIN(X138:Z138),X138:Z138,0)</f>
        <v>2</v>
      </c>
      <c r="AC138" s="17" t="n">
        <f aca="false">SQRT(($B138-AC$16)^2+($C138-AC$17)^2+($D138-AC$18)^2)</f>
        <v>7.38957299921179</v>
      </c>
      <c r="AD138" s="17" t="n">
        <f aca="false">SQRT(($B138-AD$16)^2+($C138-AD$17)^2+($D138-AD$18)^2)</f>
        <v>1.35385164172593</v>
      </c>
      <c r="AE138" s="17" t="n">
        <f aca="false">SQRT(($B138-AE$16)^2+($C138-AE$17)^2+($D138-AE$18)^2)</f>
        <v>3.27945228806485</v>
      </c>
      <c r="AF138" s="63" t="n">
        <f aca="false">MATCH(MIN(AC138:AE138),AC138:AE138,0)</f>
        <v>2</v>
      </c>
      <c r="AH138" s="17" t="n">
        <f aca="false">SQRT(($B138-AH$16)^2+($C138-AH$17)^2+($D138-AH$18)^2)</f>
        <v>6.76788828070514</v>
      </c>
      <c r="AI138" s="17" t="n">
        <f aca="false">SQRT(($B138-AI$16)^2+($C138-AI$17)^2+($D138-AI$18)^2)</f>
        <v>1.49079956854887</v>
      </c>
      <c r="AJ138" s="17" t="n">
        <f aca="false">SQRT(($B138-AJ$16)^2+($C138-AJ$17)^2+($D138-AJ$18)^2)</f>
        <v>3.35582929879902</v>
      </c>
      <c r="AK138" s="63" t="n">
        <f aca="false">MATCH(MIN(AH138:AJ138),AH138:AJ138,0)</f>
        <v>2</v>
      </c>
      <c r="AM138" s="17" t="n">
        <f aca="false">SQRT(($B138-AM$16)^2+($C138-AM$17)^2+($D138-AM$18)^2)</f>
        <v>6.76788828070514</v>
      </c>
      <c r="AN138" s="17" t="n">
        <f aca="false">SQRT(($B138-AN$16)^2+($C138-AN$17)^2+($D138-AN$18)^2)</f>
        <v>1.49843450415082</v>
      </c>
      <c r="AO138" s="17" t="n">
        <f aca="false">SQRT(($B138-AO$16)^2+($C138-AO$17)^2+($D138-AO$18)^2)</f>
        <v>3.38062439158575</v>
      </c>
      <c r="AP138" s="63" t="n">
        <f aca="false">MATCH(MIN(AM138:AO138),AM138:AO138,0)</f>
        <v>2</v>
      </c>
      <c r="AR138" s="17" t="n">
        <f aca="false">SQRT(($B138-AR$16)^2+($C138-AR$17)^2+($D138-AR$18)^2)</f>
        <v>6.76788828070514</v>
      </c>
      <c r="AS138" s="17" t="n">
        <f aca="false">SQRT(($B138-AS$16)^2+($C138-AS$17)^2+($D138-AS$18)^2)</f>
        <v>1.49843450415082</v>
      </c>
      <c r="AT138" s="17" t="n">
        <f aca="false">SQRT(($B138-AT$16)^2+($C138-AT$17)^2+($D138-AT$18)^2)</f>
        <v>3.38062439158575</v>
      </c>
      <c r="AU138" s="63" t="n">
        <f aca="false">MATCH(MIN(AR138:AT138),AR138:AT138,0)</f>
        <v>2</v>
      </c>
      <c r="AW138" s="17" t="n">
        <f aca="false">SQRT(($B138-AW$16)^2+($C138-AW$17)^2+($D138-AW$18)^2)</f>
        <v>6.76788828070514</v>
      </c>
      <c r="AX138" s="17" t="n">
        <f aca="false">SQRT(($B138-AX$16)^2+($C138-AX$17)^2+($D138-AX$18)^2)</f>
        <v>1.49843450415082</v>
      </c>
      <c r="AY138" s="17" t="n">
        <f aca="false">SQRT(($B138-AY$16)^2+($C138-AY$17)^2+($D138-AY$18)^2)</f>
        <v>3.38062439158575</v>
      </c>
      <c r="AZ138" s="63" t="n">
        <f aca="false">MATCH(MIN(AW138:AY138),AW138:AY138,0)</f>
        <v>2</v>
      </c>
      <c r="BB138" s="17" t="n">
        <f aca="false">SQRT(($B138-BB$16)^2+($C138-BB$17)^2+($D138-BB$18)^2)</f>
        <v>6.76788828070514</v>
      </c>
      <c r="BC138" s="17" t="n">
        <f aca="false">SQRT(($B138-BC$16)^2+($C138-BC$17)^2+($D138-BC$18)^2)</f>
        <v>1.49843450415082</v>
      </c>
      <c r="BD138" s="17" t="n">
        <f aca="false">SQRT(($B138-BD$16)^2+($C138-BD$17)^2+($D138-BD$18)^2)</f>
        <v>3.38062439158575</v>
      </c>
      <c r="BE138" s="63" t="n">
        <f aca="false">MATCH(MIN(BB138:BD138),BB138:BD138,0)</f>
        <v>2</v>
      </c>
      <c r="BG138" s="17" t="n">
        <f aca="false">SQRT(($B138-BG$16)^2+($C138-BG$17)^2+($D138-BG$18)^2)</f>
        <v>6.76788828070514</v>
      </c>
      <c r="BH138" s="17" t="n">
        <f aca="false">SQRT(($B138-BH$16)^2+($C138-BH$17)^2+($D138-BH$18)^2)</f>
        <v>1.49843450415082</v>
      </c>
      <c r="BI138" s="17" t="n">
        <f aca="false">SQRT(($B138-BI$16)^2+($C138-BI$17)^2+($D138-BI$18)^2)</f>
        <v>3.38062439158575</v>
      </c>
      <c r="BJ138" s="63" t="n">
        <f aca="false">MATCH(MIN(BG138:BI138),BG138:BI138,0)</f>
        <v>2</v>
      </c>
      <c r="BL138" s="17" t="n">
        <f aca="false">SQRT(($B138-BL$16)^2+($C138-BL$17)^2+($D138-BL$18)^2)</f>
        <v>6.76788828070514</v>
      </c>
      <c r="BM138" s="17" t="n">
        <f aca="false">SQRT(($B138-BM$16)^2+($C138-BM$17)^2+($D138-BM$18)^2)</f>
        <v>1.49843450415082</v>
      </c>
      <c r="BN138" s="17" t="n">
        <f aca="false">SQRT(($B138-BN$16)^2+($C138-BN$17)^2+($D138-BN$18)^2)</f>
        <v>3.38062439158575</v>
      </c>
      <c r="BO138" s="63" t="n">
        <f aca="false">MATCH(MIN(BL138:BN138),BL138:BN138,0)</f>
        <v>2</v>
      </c>
      <c r="BQ138" s="17" t="n">
        <f aca="false">SQRT(($B138-BQ$16)^2+($C138-BQ$17)^2+($D138-BQ$18)^2)</f>
        <v>6.76788828070514</v>
      </c>
      <c r="BR138" s="17" t="n">
        <f aca="false">SQRT(($B138-BR$16)^2+($C138-BR$17)^2+($D138-BR$18)^2)</f>
        <v>1.49843450415082</v>
      </c>
      <c r="BS138" s="17" t="n">
        <f aca="false">SQRT(($B138-BS$16)^2+($C138-BS$17)^2+($D138-BS$18)^2)</f>
        <v>3.38062439158575</v>
      </c>
      <c r="BT138" s="63" t="n">
        <f aca="false">MATCH(MIN(BQ138:BS138),BQ138:BS138,0)</f>
        <v>2</v>
      </c>
      <c r="BV138" s="17" t="n">
        <f aca="false">SQRT(($B138-BV$16)^2+($C138-BV$17)^2+($D138-BV$18)^2)</f>
        <v>6.76788828070514</v>
      </c>
      <c r="BW138" s="17" t="n">
        <f aca="false">SQRT(($B138-BW$16)^2+($C138-BW$17)^2+($D138-BW$18)^2)</f>
        <v>1.49843450415082</v>
      </c>
      <c r="BX138" s="17" t="n">
        <f aca="false">SQRT(($B138-BX$16)^2+($C138-BX$17)^2+($D138-BX$18)^2)</f>
        <v>3.38062439158575</v>
      </c>
      <c r="BY138" s="63" t="n">
        <f aca="false">MATCH(MIN(BV138:BX138),BV138:BX138,0)</f>
        <v>2</v>
      </c>
      <c r="CA138" s="17" t="n">
        <f aca="false">SQRT(($B138-CA$16)^2+($C138-CA$17)^2+($D138-CA$18)^2)</f>
        <v>6.76788828070514</v>
      </c>
      <c r="CB138" s="17" t="n">
        <f aca="false">SQRT(($B138-CB$16)^2+($C138-CB$17)^2+($D138-CB$18)^2)</f>
        <v>1.49843450415082</v>
      </c>
      <c r="CC138" s="17" t="n">
        <f aca="false">SQRT(($B138-CC$16)^2+($C138-CC$17)^2+($D138-CC$18)^2)</f>
        <v>3.38062439158575</v>
      </c>
      <c r="CD138" s="63" t="n">
        <f aca="false">MATCH(MIN(CA138:CC138),CA138:CC138,0)</f>
        <v>2</v>
      </c>
    </row>
    <row r="139" customFormat="false" ht="15" hidden="false" customHeight="false" outlineLevel="0" collapsed="false">
      <c r="A139" s="36" t="str">
        <f aca="false">KMeans_Data!A121</f>
        <v>Kolai Pallas</v>
      </c>
      <c r="B139" s="17" t="n">
        <f aca="false">KMeans_Data!H121</f>
        <v>-2.07973798180332</v>
      </c>
      <c r="C139" s="17" t="n">
        <f aca="false">KMeans_Data!I121</f>
        <v>-0.672650545388274</v>
      </c>
      <c r="D139" s="17" t="n">
        <f aca="false">KMeans_Data!J121</f>
        <v>-1.14564411633355</v>
      </c>
      <c r="E139" s="63" t="n">
        <f aca="false">CD139</f>
        <v>2</v>
      </c>
      <c r="F139" s="38" t="n">
        <f aca="false">($B139-INDEX($L$16:$N$16,E139))^2+($C139-INDEX($L$17:$N$17,E139))^2+($D139-INDEX($L$18:$N$18,E139))^2</f>
        <v>2.24530596322972</v>
      </c>
      <c r="G139" s="12" t="str">
        <f aca="false">INDEX($M$5:$M$7,E139)</f>
        <v>Low burden</v>
      </c>
      <c r="H139" s="17" t="n">
        <f aca="false">IF(COUNTIF(Distance_Matrix!$E$9:$DQ$9,$E139)&lt;=1,0,SUMIF(Distance_Matrix!$E$9:$DQ$9,$E139,Distance_Matrix!$E$130:$DQ$130)/(COUNTIF(Distance_Matrix!$E$9:$DQ$9,$E139)-1))</f>
        <v>1.58271507704176</v>
      </c>
      <c r="I139" s="17" t="n">
        <f aca="false">MIN(IF(1=$E139,1E+099,IF(COUNTIF(Distance_Matrix!$E$9:$DQ$9,1)=0,1E+099,SUMIF(Distance_Matrix!$E$9:$DQ$9,1,Distance_Matrix!$E$130:$DQ$130)/COUNTIF(Distance_Matrix!$E$9:$DQ$9,1))),IF(2=$E139,1E+099,IF(COUNTIF(Distance_Matrix!$E$9:$DQ$9,2)=0,1E+099,SUMIF(Distance_Matrix!$E$9:$DQ$9,2,Distance_Matrix!$E$130:$DQ$130)/COUNTIF(Distance_Matrix!$E$9:$DQ$9,2))),IF(3=$E139,1E+099,IF(COUNTIF(Distance_Matrix!$E$9:$DQ$9,3)=0,1E+099,SUMIF(Distance_Matrix!$E$9:$DQ$9,3,Distance_Matrix!$E$130:$DQ$130)/COUNTIF(Distance_Matrix!$E$9:$DQ$9,3))))</f>
        <v>3.45345062709309</v>
      </c>
      <c r="J139" s="17" t="n">
        <f aca="false">IF(COUNTIF(Distance_Matrix!$E$9:$DQ$9,$E139)&lt;=1,0,(I139-H139)/MAX(H139,I139))</f>
        <v>0.541700389568334</v>
      </c>
      <c r="X139" s="17" t="n">
        <f aca="false">SQRT(($B139-X$16)^2+($C139-X$17)^2+($D139-X$18)^2)</f>
        <v>8.37911780072121</v>
      </c>
      <c r="Y139" s="17" t="n">
        <f aca="false">SQRT(($B139-Y$16)^2+($C139-Y$17)^2+($D139-Y$18)^2)</f>
        <v>0</v>
      </c>
      <c r="Z139" s="17" t="n">
        <f aca="false">SQRT(($B139-Z$16)^2+($C139-Z$17)^2+($D139-Z$18)^2)</f>
        <v>4.20299555676564</v>
      </c>
      <c r="AA139" s="63" t="n">
        <f aca="false">MATCH(MIN(X139:Z139),X139:Z139,0)</f>
        <v>2</v>
      </c>
      <c r="AC139" s="17" t="n">
        <f aca="false">SQRT(($B139-AC$16)^2+($C139-AC$17)^2+($D139-AC$18)^2)</f>
        <v>7.38957299921179</v>
      </c>
      <c r="AD139" s="17" t="n">
        <f aca="false">SQRT(($B139-AD$16)^2+($C139-AD$17)^2+($D139-AD$18)^2)</f>
        <v>1.35385164172593</v>
      </c>
      <c r="AE139" s="17" t="n">
        <f aca="false">SQRT(($B139-AE$16)^2+($C139-AE$17)^2+($D139-AE$18)^2)</f>
        <v>3.27945228806485</v>
      </c>
      <c r="AF139" s="63" t="n">
        <f aca="false">MATCH(MIN(AC139:AE139),AC139:AE139,0)</f>
        <v>2</v>
      </c>
      <c r="AH139" s="17" t="n">
        <f aca="false">SQRT(($B139-AH$16)^2+($C139-AH$17)^2+($D139-AH$18)^2)</f>
        <v>6.76788828070514</v>
      </c>
      <c r="AI139" s="17" t="n">
        <f aca="false">SQRT(($B139-AI$16)^2+($C139-AI$17)^2+($D139-AI$18)^2)</f>
        <v>1.49079956854887</v>
      </c>
      <c r="AJ139" s="17" t="n">
        <f aca="false">SQRT(($B139-AJ$16)^2+($C139-AJ$17)^2+($D139-AJ$18)^2)</f>
        <v>3.35582929879902</v>
      </c>
      <c r="AK139" s="63" t="n">
        <f aca="false">MATCH(MIN(AH139:AJ139),AH139:AJ139,0)</f>
        <v>2</v>
      </c>
      <c r="AM139" s="17" t="n">
        <f aca="false">SQRT(($B139-AM$16)^2+($C139-AM$17)^2+($D139-AM$18)^2)</f>
        <v>6.76788828070514</v>
      </c>
      <c r="AN139" s="17" t="n">
        <f aca="false">SQRT(($B139-AN$16)^2+($C139-AN$17)^2+($D139-AN$18)^2)</f>
        <v>1.49843450415082</v>
      </c>
      <c r="AO139" s="17" t="n">
        <f aca="false">SQRT(($B139-AO$16)^2+($C139-AO$17)^2+($D139-AO$18)^2)</f>
        <v>3.38062439158575</v>
      </c>
      <c r="AP139" s="63" t="n">
        <f aca="false">MATCH(MIN(AM139:AO139),AM139:AO139,0)</f>
        <v>2</v>
      </c>
      <c r="AR139" s="17" t="n">
        <f aca="false">SQRT(($B139-AR$16)^2+($C139-AR$17)^2+($D139-AR$18)^2)</f>
        <v>6.76788828070514</v>
      </c>
      <c r="AS139" s="17" t="n">
        <f aca="false">SQRT(($B139-AS$16)^2+($C139-AS$17)^2+($D139-AS$18)^2)</f>
        <v>1.49843450415082</v>
      </c>
      <c r="AT139" s="17" t="n">
        <f aca="false">SQRT(($B139-AT$16)^2+($C139-AT$17)^2+($D139-AT$18)^2)</f>
        <v>3.38062439158575</v>
      </c>
      <c r="AU139" s="63" t="n">
        <f aca="false">MATCH(MIN(AR139:AT139),AR139:AT139,0)</f>
        <v>2</v>
      </c>
      <c r="AW139" s="17" t="n">
        <f aca="false">SQRT(($B139-AW$16)^2+($C139-AW$17)^2+($D139-AW$18)^2)</f>
        <v>6.76788828070514</v>
      </c>
      <c r="AX139" s="17" t="n">
        <f aca="false">SQRT(($B139-AX$16)^2+($C139-AX$17)^2+($D139-AX$18)^2)</f>
        <v>1.49843450415082</v>
      </c>
      <c r="AY139" s="17" t="n">
        <f aca="false">SQRT(($B139-AY$16)^2+($C139-AY$17)^2+($D139-AY$18)^2)</f>
        <v>3.38062439158575</v>
      </c>
      <c r="AZ139" s="63" t="n">
        <f aca="false">MATCH(MIN(AW139:AY139),AW139:AY139,0)</f>
        <v>2</v>
      </c>
      <c r="BB139" s="17" t="n">
        <f aca="false">SQRT(($B139-BB$16)^2+($C139-BB$17)^2+($D139-BB$18)^2)</f>
        <v>6.76788828070514</v>
      </c>
      <c r="BC139" s="17" t="n">
        <f aca="false">SQRT(($B139-BC$16)^2+($C139-BC$17)^2+($D139-BC$18)^2)</f>
        <v>1.49843450415082</v>
      </c>
      <c r="BD139" s="17" t="n">
        <f aca="false">SQRT(($B139-BD$16)^2+($C139-BD$17)^2+($D139-BD$18)^2)</f>
        <v>3.38062439158575</v>
      </c>
      <c r="BE139" s="63" t="n">
        <f aca="false">MATCH(MIN(BB139:BD139),BB139:BD139,0)</f>
        <v>2</v>
      </c>
      <c r="BG139" s="17" t="n">
        <f aca="false">SQRT(($B139-BG$16)^2+($C139-BG$17)^2+($D139-BG$18)^2)</f>
        <v>6.76788828070514</v>
      </c>
      <c r="BH139" s="17" t="n">
        <f aca="false">SQRT(($B139-BH$16)^2+($C139-BH$17)^2+($D139-BH$18)^2)</f>
        <v>1.49843450415082</v>
      </c>
      <c r="BI139" s="17" t="n">
        <f aca="false">SQRT(($B139-BI$16)^2+($C139-BI$17)^2+($D139-BI$18)^2)</f>
        <v>3.38062439158575</v>
      </c>
      <c r="BJ139" s="63" t="n">
        <f aca="false">MATCH(MIN(BG139:BI139),BG139:BI139,0)</f>
        <v>2</v>
      </c>
      <c r="BL139" s="17" t="n">
        <f aca="false">SQRT(($B139-BL$16)^2+($C139-BL$17)^2+($D139-BL$18)^2)</f>
        <v>6.76788828070514</v>
      </c>
      <c r="BM139" s="17" t="n">
        <f aca="false">SQRT(($B139-BM$16)^2+($C139-BM$17)^2+($D139-BM$18)^2)</f>
        <v>1.49843450415082</v>
      </c>
      <c r="BN139" s="17" t="n">
        <f aca="false">SQRT(($B139-BN$16)^2+($C139-BN$17)^2+($D139-BN$18)^2)</f>
        <v>3.38062439158575</v>
      </c>
      <c r="BO139" s="63" t="n">
        <f aca="false">MATCH(MIN(BL139:BN139),BL139:BN139,0)</f>
        <v>2</v>
      </c>
      <c r="BQ139" s="17" t="n">
        <f aca="false">SQRT(($B139-BQ$16)^2+($C139-BQ$17)^2+($D139-BQ$18)^2)</f>
        <v>6.76788828070514</v>
      </c>
      <c r="BR139" s="17" t="n">
        <f aca="false">SQRT(($B139-BR$16)^2+($C139-BR$17)^2+($D139-BR$18)^2)</f>
        <v>1.49843450415082</v>
      </c>
      <c r="BS139" s="17" t="n">
        <f aca="false">SQRT(($B139-BS$16)^2+($C139-BS$17)^2+($D139-BS$18)^2)</f>
        <v>3.38062439158575</v>
      </c>
      <c r="BT139" s="63" t="n">
        <f aca="false">MATCH(MIN(BQ139:BS139),BQ139:BS139,0)</f>
        <v>2</v>
      </c>
      <c r="BV139" s="17" t="n">
        <f aca="false">SQRT(($B139-BV$16)^2+($C139-BV$17)^2+($D139-BV$18)^2)</f>
        <v>6.76788828070514</v>
      </c>
      <c r="BW139" s="17" t="n">
        <f aca="false">SQRT(($B139-BW$16)^2+($C139-BW$17)^2+($D139-BW$18)^2)</f>
        <v>1.49843450415082</v>
      </c>
      <c r="BX139" s="17" t="n">
        <f aca="false">SQRT(($B139-BX$16)^2+($C139-BX$17)^2+($D139-BX$18)^2)</f>
        <v>3.38062439158575</v>
      </c>
      <c r="BY139" s="63" t="n">
        <f aca="false">MATCH(MIN(BV139:BX139),BV139:BX139,0)</f>
        <v>2</v>
      </c>
      <c r="CA139" s="17" t="n">
        <f aca="false">SQRT(($B139-CA$16)^2+($C139-CA$17)^2+($D139-CA$18)^2)</f>
        <v>6.76788828070514</v>
      </c>
      <c r="CB139" s="17" t="n">
        <f aca="false">SQRT(($B139-CB$16)^2+($C139-CB$17)^2+($D139-CB$18)^2)</f>
        <v>1.49843450415082</v>
      </c>
      <c r="CC139" s="17" t="n">
        <f aca="false">SQRT(($B139-CC$16)^2+($C139-CC$17)^2+($D139-CC$18)^2)</f>
        <v>3.38062439158575</v>
      </c>
      <c r="CD139" s="63" t="n">
        <f aca="false">MATCH(MIN(CA139:CC139),CA139:CC139,0)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30"/>
  </cols>
  <sheetData>
    <row r="1" customFormat="false" ht="19.7" hidden="false" customHeight="false" outlineLevel="0" collapsed="false">
      <c r="A1" s="1" t="s">
        <v>743</v>
      </c>
    </row>
    <row r="2" customFormat="false" ht="15" hidden="false" customHeight="false" outlineLevel="0" collapsed="false">
      <c r="A2" s="2" t="s">
        <v>744</v>
      </c>
    </row>
    <row r="4" customFormat="false" ht="31.5" hidden="false" customHeight="true" outlineLevel="0" collapsed="false">
      <c r="A4" s="10"/>
      <c r="B4" s="10" t="s">
        <v>745</v>
      </c>
      <c r="C4" s="10" t="s">
        <v>746</v>
      </c>
      <c r="D4" s="10" t="s">
        <v>747</v>
      </c>
      <c r="E4" s="10" t="s">
        <v>748</v>
      </c>
      <c r="F4" s="10" t="s">
        <v>52</v>
      </c>
      <c r="G4" s="10" t="s">
        <v>749</v>
      </c>
    </row>
    <row r="5" customFormat="false" ht="15" hidden="false" customHeight="false" outlineLevel="0" collapsed="false">
      <c r="B5" s="63" t="n">
        <v>2</v>
      </c>
      <c r="C5" s="39" t="n">
        <f aca="false">Elbow_Engine!$L$13</f>
        <v>155.175467154469</v>
      </c>
      <c r="D5" s="39"/>
      <c r="E5" s="17" t="n">
        <f aca="false">AVERAGE(Elbow_Engine!$I$15:$I$131)</f>
        <v>0.505997255362314</v>
      </c>
      <c r="F5" s="12" t="str">
        <f aca="false">Elbow_Engine!$N$13</f>
        <v>Converged</v>
      </c>
      <c r="G5" s="12" t="str">
        <f aca="false">COUNTIF(Elbow_Engine!$E$15:$E$131,1)&amp;" / "&amp;COUNTIF(Elbow_Engine!$E$15:$E$131,2)</f>
        <v>35 / 82</v>
      </c>
    </row>
    <row r="6" customFormat="false" ht="15" hidden="false" customHeight="false" outlineLevel="0" collapsed="false">
      <c r="B6" s="63" t="n">
        <v>3</v>
      </c>
      <c r="C6" s="39" t="n">
        <f aca="false">KMeans_City!$L$21</f>
        <v>95.7075369840099</v>
      </c>
      <c r="D6" s="39" t="n">
        <f aca="false">C5-C6</f>
        <v>59.4679301704587</v>
      </c>
      <c r="E6" s="17" t="n">
        <f aca="false">AVERAGE(KMeans_City!$J$23:$J$139)</f>
        <v>0.478478714953263</v>
      </c>
      <c r="F6" s="12" t="str">
        <f aca="false">KMeans_City!$N$21</f>
        <v>Converged</v>
      </c>
      <c r="G6" s="12" t="str">
        <f aca="false">COUNTIF(KMeans_City!$E$23:$E$139,1)&amp;" / "&amp;COUNTIF(KMeans_City!$E$23:$E$139,2)&amp;" / "&amp;COUNTIF(KMeans_City!$E$23:$E$139,3)</f>
        <v>6 / 63 / 48</v>
      </c>
    </row>
    <row r="7" customFormat="false" ht="15" hidden="false" customHeight="false" outlineLevel="0" collapsed="false">
      <c r="B7" s="63" t="n">
        <v>4</v>
      </c>
      <c r="C7" s="39" t="n">
        <f aca="false">Elbow_Engine!$L$144</f>
        <v>68.9640650111767</v>
      </c>
      <c r="D7" s="39" t="n">
        <f aca="false">C6-C7</f>
        <v>26.7434719728332</v>
      </c>
      <c r="E7" s="17" t="n">
        <f aca="false">AVERAGE(Elbow_Engine!$I$146:$I$262)</f>
        <v>0.392445308067047</v>
      </c>
      <c r="F7" s="12" t="str">
        <f aca="false">Elbow_Engine!$N$144</f>
        <v>Converged</v>
      </c>
      <c r="G7" s="12" t="str">
        <f aca="false">COUNTIF(Elbow_Engine!$E$146:$E$262,1)&amp;" / "&amp;COUNTIF(Elbow_Engine!$E$146:$E$262,2)&amp;" / "&amp;COUNTIF(Elbow_Engine!$E$146:$E$262,3)&amp;" / "&amp;COUNTIF(Elbow_Engine!$E$146:$E$262,4)</f>
        <v>6 / 25 / 37 / 49</v>
      </c>
    </row>
    <row r="8" customFormat="false" ht="15" hidden="false" customHeight="false" outlineLevel="0" collapsed="false">
      <c r="B8" s="63" t="n">
        <v>5</v>
      </c>
      <c r="C8" s="39" t="n">
        <f aca="false">Elbow_Engine!$L$275</f>
        <v>61.8718529181339</v>
      </c>
      <c r="D8" s="39" t="n">
        <f aca="false">C7-C8</f>
        <v>7.09221209304278</v>
      </c>
      <c r="E8" s="17" t="n">
        <f aca="false">AVERAGE(Elbow_Engine!$I$277:$I$393)</f>
        <v>0.377613321861982</v>
      </c>
      <c r="F8" s="12" t="str">
        <f aca="false">Elbow_Engine!$N$275</f>
        <v>Converged</v>
      </c>
      <c r="G8" s="12" t="str">
        <f aca="false">COUNTIF(Elbow_Engine!$E$277:$E$393,1)&amp;" / "&amp;COUNTIF(Elbow_Engine!$E$277:$E$393,2)&amp;" / "&amp;COUNTIF(Elbow_Engine!$E$277:$E$393,3)&amp;" / "&amp;COUNTIF(Elbow_Engine!$E$277:$E$393,4)&amp;" / "&amp;COUNTIF(Elbow_Engine!$E$277:$E$393,5)</f>
        <v>2 / 25 / 36 / 49 / 5</v>
      </c>
    </row>
    <row r="9" customFormat="false" ht="15" hidden="false" customHeight="false" outlineLevel="0" collapsed="false">
      <c r="B9" s="63" t="n">
        <v>6</v>
      </c>
      <c r="C9" s="39" t="n">
        <f aca="false">Elbow_Engine!$L$406</f>
        <v>45.0019053896048</v>
      </c>
      <c r="D9" s="39" t="n">
        <f aca="false">C8-C9</f>
        <v>16.8699475285292</v>
      </c>
      <c r="E9" s="17" t="n">
        <f aca="false">AVERAGE(Elbow_Engine!$I$408:$I$524)</f>
        <v>0.409363509020428</v>
      </c>
      <c r="F9" s="12" t="str">
        <f aca="false">Elbow_Engine!$N$406</f>
        <v>Converged</v>
      </c>
      <c r="G9" s="12" t="str">
        <f aca="false">COUNTIF(Elbow_Engine!$E$408:$E$524,1)&amp;" / "&amp;COUNTIF(Elbow_Engine!$E$408:$E$524,2)&amp;" / "&amp;COUNTIF(Elbow_Engine!$E$408:$E$524,3)&amp;" / "&amp;COUNTIF(Elbow_Engine!$E$408:$E$524,4)&amp;" / "&amp;COUNTIF(Elbow_Engine!$E$408:$E$524,5)&amp;" / "&amp;COUNTIF(Elbow_Engine!$E$408:$E$524,6)</f>
        <v>2 / 27 / 29 / 23 / 4 / 32</v>
      </c>
    </row>
    <row r="11" customFormat="false" ht="15" hidden="false" customHeight="false" outlineLevel="0" collapsed="false">
      <c r="B11" s="20" t="s">
        <v>750</v>
      </c>
      <c r="C11" s="21" t="n">
        <f aca="false">INDEX(B5:B9,MATCH(MAX(E5:E9),E5:E9,0))</f>
        <v>2</v>
      </c>
    </row>
    <row r="13" customFormat="false" ht="15" hidden="false" customHeight="true" outlineLevel="0" collapsed="false">
      <c r="B13" s="19" t="s">
        <v>751</v>
      </c>
      <c r="C13" s="19"/>
      <c r="D13" s="19"/>
      <c r="E13" s="19"/>
      <c r="F13" s="19"/>
      <c r="G13" s="19"/>
    </row>
    <row r="14" customFormat="false" ht="15" hidden="false" customHeight="false" outlineLevel="0" collapsed="false">
      <c r="B14" s="19"/>
      <c r="C14" s="19"/>
      <c r="D14" s="19"/>
      <c r="E14" s="19"/>
      <c r="F14" s="19"/>
      <c r="G14" s="19"/>
    </row>
    <row r="15" customFormat="false" ht="15" hidden="false" customHeight="false" outlineLevel="0" collapsed="false">
      <c r="B15" s="19"/>
      <c r="C15" s="19"/>
      <c r="D15" s="19"/>
      <c r="E15" s="19"/>
      <c r="F15" s="19"/>
      <c r="G15" s="19"/>
    </row>
    <row r="16" customFormat="false" ht="15" hidden="false" customHeight="false" outlineLevel="0" collapsed="false">
      <c r="B16" s="19"/>
      <c r="C16" s="19"/>
      <c r="D16" s="19"/>
      <c r="E16" s="19"/>
      <c r="F16" s="19"/>
      <c r="G16" s="19"/>
    </row>
  </sheetData>
  <mergeCells count="1">
    <mergeCell ref="B13:G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DN5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10" min="7" style="0" width="10"/>
    <col collapsed="false" customWidth="true" hidden="false" outlineLevel="0" max="11" min="11" style="0" width="3"/>
    <col collapsed="false" customWidth="true" hidden="false" outlineLevel="0" max="17" min="12" style="0" width="10"/>
    <col collapsed="false" customWidth="true" hidden="false" outlineLevel="0" max="21" min="18" style="0" width="11"/>
    <col collapsed="false" customWidth="true" hidden="false" outlineLevel="0" max="23" min="23" style="0" width="13"/>
    <col collapsed="false" customWidth="true" hidden="false" outlineLevel="0" max="29" min="24" style="0" width="10"/>
    <col collapsed="false" customWidth="true" hidden="false" outlineLevel="0" max="30" min="30" style="0" width="9"/>
    <col collapsed="false" customWidth="true" hidden="false" outlineLevel="0" max="31" min="31" style="0" width="2"/>
    <col collapsed="false" customWidth="true" hidden="false" outlineLevel="0" max="37" min="32" style="0" width="10"/>
    <col collapsed="false" customWidth="true" hidden="false" outlineLevel="0" max="38" min="38" style="0" width="9"/>
    <col collapsed="false" customWidth="true" hidden="false" outlineLevel="0" max="39" min="39" style="0" width="2"/>
    <col collapsed="false" customWidth="true" hidden="false" outlineLevel="0" max="45" min="40" style="0" width="10"/>
    <col collapsed="false" customWidth="true" hidden="false" outlineLevel="0" max="46" min="46" style="0" width="9"/>
    <col collapsed="false" customWidth="true" hidden="false" outlineLevel="0" max="47" min="47" style="0" width="2"/>
    <col collapsed="false" customWidth="true" hidden="false" outlineLevel="0" max="53" min="48" style="0" width="10"/>
    <col collapsed="false" customWidth="true" hidden="false" outlineLevel="0" max="54" min="54" style="0" width="9"/>
    <col collapsed="false" customWidth="true" hidden="false" outlineLevel="0" max="55" min="55" style="0" width="2"/>
    <col collapsed="false" customWidth="true" hidden="false" outlineLevel="0" max="61" min="56" style="0" width="10"/>
    <col collapsed="false" customWidth="true" hidden="false" outlineLevel="0" max="62" min="62" style="0" width="9"/>
    <col collapsed="false" customWidth="true" hidden="false" outlineLevel="0" max="63" min="63" style="0" width="2"/>
    <col collapsed="false" customWidth="true" hidden="false" outlineLevel="0" max="69" min="64" style="0" width="10"/>
    <col collapsed="false" customWidth="true" hidden="false" outlineLevel="0" max="70" min="70" style="0" width="9"/>
    <col collapsed="false" customWidth="true" hidden="false" outlineLevel="0" max="71" min="71" style="0" width="2"/>
    <col collapsed="false" customWidth="true" hidden="false" outlineLevel="0" max="77" min="72" style="0" width="10"/>
    <col collapsed="false" customWidth="true" hidden="false" outlineLevel="0" max="78" min="78" style="0" width="9"/>
    <col collapsed="false" customWidth="true" hidden="false" outlineLevel="0" max="79" min="79" style="0" width="2"/>
    <col collapsed="false" customWidth="true" hidden="false" outlineLevel="0" max="85" min="80" style="0" width="10"/>
    <col collapsed="false" customWidth="true" hidden="false" outlineLevel="0" max="86" min="86" style="0" width="9"/>
    <col collapsed="false" customWidth="true" hidden="false" outlineLevel="0" max="87" min="87" style="0" width="2"/>
    <col collapsed="false" customWidth="true" hidden="false" outlineLevel="0" max="93" min="88" style="0" width="10"/>
    <col collapsed="false" customWidth="true" hidden="false" outlineLevel="0" max="94" min="94" style="0" width="9"/>
    <col collapsed="false" customWidth="true" hidden="false" outlineLevel="0" max="95" min="95" style="0" width="2"/>
    <col collapsed="false" customWidth="true" hidden="false" outlineLevel="0" max="101" min="96" style="0" width="10"/>
    <col collapsed="false" customWidth="true" hidden="false" outlineLevel="0" max="102" min="102" style="0" width="9"/>
    <col collapsed="false" customWidth="true" hidden="false" outlineLevel="0" max="103" min="103" style="0" width="2"/>
    <col collapsed="false" customWidth="true" hidden="false" outlineLevel="0" max="109" min="104" style="0" width="10"/>
    <col collapsed="false" customWidth="true" hidden="false" outlineLevel="0" max="110" min="110" style="0" width="9"/>
    <col collapsed="false" customWidth="true" hidden="false" outlineLevel="0" max="111" min="111" style="0" width="2"/>
    <col collapsed="false" customWidth="true" hidden="false" outlineLevel="0" max="117" min="112" style="0" width="10"/>
    <col collapsed="false" customWidth="true" hidden="false" outlineLevel="0" max="118" min="118" style="0" width="9"/>
    <col collapsed="false" customWidth="true" hidden="false" outlineLevel="0" max="119" min="119" style="0" width="2"/>
  </cols>
  <sheetData>
    <row r="1" customFormat="false" ht="19.7" hidden="false" customHeight="false" outlineLevel="0" collapsed="false">
      <c r="A1" s="1" t="s">
        <v>752</v>
      </c>
    </row>
    <row r="2" customFormat="false" ht="15" hidden="false" customHeight="false" outlineLevel="0" collapsed="false">
      <c r="A2" s="2" t="s">
        <v>753</v>
      </c>
    </row>
    <row r="4" customFormat="false" ht="15" hidden="false" customHeight="false" outlineLevel="0" collapsed="false">
      <c r="A4" s="68" t="s">
        <v>754</v>
      </c>
      <c r="B4" s="69"/>
    </row>
    <row r="5" customFormat="false" ht="15" hidden="false" customHeight="false" outlineLevel="0" collapsed="false">
      <c r="A5" s="48" t="s">
        <v>755</v>
      </c>
    </row>
    <row r="6" customFormat="false" ht="15" hidden="false" customHeight="false" outlineLevel="0" collapsed="false">
      <c r="A6" s="48" t="s">
        <v>714</v>
      </c>
      <c r="B6" s="32" t="s">
        <v>91</v>
      </c>
    </row>
    <row r="7" customFormat="false" ht="15" hidden="false" customHeight="false" outlineLevel="0" collapsed="false">
      <c r="A7" s="48" t="s">
        <v>715</v>
      </c>
      <c r="B7" s="32" t="s">
        <v>691</v>
      </c>
      <c r="L7" s="68" t="s">
        <v>718</v>
      </c>
      <c r="M7" s="69"/>
      <c r="X7" s="68" t="s">
        <v>719</v>
      </c>
      <c r="Y7" s="69"/>
      <c r="AB7" s="68" t="s">
        <v>720</v>
      </c>
      <c r="AC7" s="69"/>
      <c r="AF7" s="68" t="s">
        <v>721</v>
      </c>
      <c r="AG7" s="69"/>
      <c r="AJ7" s="68" t="s">
        <v>722</v>
      </c>
      <c r="AK7" s="69"/>
      <c r="AN7" s="68" t="s">
        <v>723</v>
      </c>
      <c r="AO7" s="69"/>
      <c r="AR7" s="68" t="s">
        <v>724</v>
      </c>
      <c r="AS7" s="69"/>
      <c r="AV7" s="68" t="s">
        <v>725</v>
      </c>
      <c r="AW7" s="69"/>
      <c r="AZ7" s="68" t="s">
        <v>726</v>
      </c>
      <c r="BA7" s="69"/>
      <c r="BD7" s="68" t="s">
        <v>727</v>
      </c>
      <c r="BE7" s="69"/>
      <c r="BH7" s="68" t="s">
        <v>728</v>
      </c>
      <c r="BI7" s="69"/>
      <c r="BL7" s="68" t="s">
        <v>729</v>
      </c>
      <c r="BM7" s="69"/>
      <c r="BP7" s="68" t="s">
        <v>730</v>
      </c>
      <c r="BQ7" s="69"/>
    </row>
    <row r="8" customFormat="false" ht="15" hidden="false" customHeight="false" outlineLevel="0" collapsed="false">
      <c r="K8" s="40" t="s">
        <v>701</v>
      </c>
      <c r="L8" s="17" t="n">
        <f aca="false">IFERROR(AVERAGEIF($E$15:$E$131,1,$B$15:$B$131),0)</f>
        <v>1.0407410901419</v>
      </c>
      <c r="M8" s="17" t="n">
        <f aca="false">IFERROR(AVERAGEIF($E$15:$E$131,2,$B$15:$B$131),0)</f>
        <v>-0.444218757987397</v>
      </c>
      <c r="W8" s="40" t="s">
        <v>701</v>
      </c>
      <c r="X8" s="17" t="n">
        <f aca="false">INDEX($B$15:$B$131,MATCH($B$6,$A$15:$A$131,0))</f>
        <v>3.2743087782752</v>
      </c>
      <c r="Y8" s="17" t="n">
        <f aca="false">INDEX($B$15:$B$131,MATCH($B$7,$A$15:$A$131,0))</f>
        <v>-2.07973798180332</v>
      </c>
      <c r="AB8" s="17" t="n">
        <f aca="false">IFERROR(AVERAGEIF($Z$15:$Z$131,1,$B$15:$B$131),X8)</f>
        <v>1.97426278474646</v>
      </c>
      <c r="AC8" s="17" t="n">
        <f aca="false">IFERROR(AVERAGEIF($Z$15:$Z$131,2,$B$15:$B$131),Y8)</f>
        <v>-0.18451054063051</v>
      </c>
      <c r="AF8" s="17" t="n">
        <f aca="false">IFERROR(AVERAGEIF($AD$15:$AD$131,1,$B$15:$B$131),AB8)</f>
        <v>1.61478230483317</v>
      </c>
      <c r="AG8" s="17" t="n">
        <f aca="false">IFERROR(AVERAGEIF($AD$15:$AD$131,2,$B$15:$B$131),AC8)</f>
        <v>-0.237467986004878</v>
      </c>
      <c r="AJ8" s="17" t="n">
        <f aca="false">IFERROR(AVERAGEIF($AH$15:$AH$131,1,$B$15:$B$131),AF8)</f>
        <v>1.22968680006068</v>
      </c>
      <c r="AK8" s="17" t="n">
        <f aca="false">IFERROR(AVERAGEIF($AH$15:$AH$131,2,$B$15:$B$131),AG8)</f>
        <v>-0.33415402175562</v>
      </c>
      <c r="AN8" s="17" t="n">
        <f aca="false">IFERROR(AVERAGEIF($AL$15:$AL$131,1,$B$15:$B$131),AJ8)</f>
        <v>1.1495863628478</v>
      </c>
      <c r="AO8" s="17" t="n">
        <f aca="false">IFERROR(AVERAGEIF($AL$15:$AL$131,2,$B$15:$B$131),AK8)</f>
        <v>-0.396409090637171</v>
      </c>
      <c r="AR8" s="17" t="n">
        <f aca="false">IFERROR(AVERAGEIF($AP$15:$AP$131,1,$B$15:$B$131),AN8)</f>
        <v>1.08871736477321</v>
      </c>
      <c r="AS8" s="17" t="n">
        <f aca="false">IFERROR(AVERAGEIF($AP$15:$AP$131,2,$B$15:$B$131),AO8)</f>
        <v>-0.427710393303759</v>
      </c>
      <c r="AV8" s="17" t="n">
        <f aca="false">IFERROR(AVERAGEIF($AT$15:$AT$131,1,$B$15:$B$131),AR8)</f>
        <v>1.0723317288407</v>
      </c>
      <c r="AW8" s="17" t="n">
        <f aca="false">IFERROR(AVERAGEIF($AT$15:$AT$131,2,$B$15:$B$131),AS8)</f>
        <v>-0.43926841904318</v>
      </c>
      <c r="AZ8" s="17" t="n">
        <f aca="false">IFERROR(AVERAGEIF($AX$15:$AX$131,1,$B$15:$B$131),AV8)</f>
        <v>1.0407410901419</v>
      </c>
      <c r="BA8" s="17" t="n">
        <f aca="false">IFERROR(AVERAGEIF($AX$15:$AX$131,2,$B$15:$B$131),AW8)</f>
        <v>-0.444218757987397</v>
      </c>
      <c r="BD8" s="17" t="n">
        <f aca="false">IFERROR(AVERAGEIF($BB$15:$BB$131,1,$B$15:$B$131),AZ8)</f>
        <v>1.0407410901419</v>
      </c>
      <c r="BE8" s="17" t="n">
        <f aca="false">IFERROR(AVERAGEIF($BB$15:$BB$131,2,$B$15:$B$131),BA8)</f>
        <v>-0.444218757987397</v>
      </c>
      <c r="BH8" s="17" t="n">
        <f aca="false">IFERROR(AVERAGEIF($BF$15:$BF$131,1,$B$15:$B$131),BD8)</f>
        <v>1.0407410901419</v>
      </c>
      <c r="BI8" s="17" t="n">
        <f aca="false">IFERROR(AVERAGEIF($BF$15:$BF$131,2,$B$15:$B$131),BE8)</f>
        <v>-0.444218757987397</v>
      </c>
      <c r="BL8" s="17" t="n">
        <f aca="false">IFERROR(AVERAGEIF($BJ$15:$BJ$131,1,$B$15:$B$131),BH8)</f>
        <v>1.0407410901419</v>
      </c>
      <c r="BM8" s="17" t="n">
        <f aca="false">IFERROR(AVERAGEIF($BJ$15:$BJ$131,2,$B$15:$B$131),BI8)</f>
        <v>-0.444218757987397</v>
      </c>
      <c r="BP8" s="17" t="n">
        <f aca="false">IFERROR(AVERAGEIF($BN$15:$BN$131,1,$B$15:$B$131),BL8)</f>
        <v>1.0407410901419</v>
      </c>
      <c r="BQ8" s="17" t="n">
        <f aca="false">IFERROR(AVERAGEIF($BN$15:$BN$131,2,$B$15:$B$131),BM8)</f>
        <v>-0.444218757987397</v>
      </c>
    </row>
    <row r="9" customFormat="false" ht="15" hidden="false" customHeight="false" outlineLevel="0" collapsed="false">
      <c r="K9" s="40" t="s">
        <v>702</v>
      </c>
      <c r="L9" s="17" t="n">
        <f aca="false">IFERROR(AVERAGEIF($E$15:$E$131,1,$C$15:$C$131),0)</f>
        <v>1.21176066728905</v>
      </c>
      <c r="M9" s="17" t="n">
        <f aca="false">IFERROR(AVERAGEIF($E$15:$E$131,2,$C$15:$C$131),0)</f>
        <v>-0.517214918964841</v>
      </c>
      <c r="W9" s="40" t="s">
        <v>702</v>
      </c>
      <c r="X9" s="17" t="n">
        <f aca="false">INDEX($C$15:$C$131,MATCH($B$6,$A$15:$A$131,0))</f>
        <v>4.03885179691129</v>
      </c>
      <c r="Y9" s="17" t="n">
        <f aca="false">INDEX($C$15:$C$131,MATCH($B$7,$A$15:$A$131,0))</f>
        <v>-0.672650545388274</v>
      </c>
      <c r="AB9" s="17" t="n">
        <f aca="false">IFERROR(AVERAGEIF($Z$15:$Z$131,1,$C$15:$C$131),X9)</f>
        <v>2.34907739706195</v>
      </c>
      <c r="AC9" s="17" t="n">
        <f aca="false">IFERROR(AVERAGEIF($Z$15:$Z$131,2,$C$15:$C$131),Y9)</f>
        <v>-0.219539943650649</v>
      </c>
      <c r="AF9" s="17" t="n">
        <f aca="false">IFERROR(AVERAGEIF($AD$15:$AD$131,1,$C$15:$C$131),AB9)</f>
        <v>1.97475659883129</v>
      </c>
      <c r="AG9" s="17" t="n">
        <f aca="false">IFERROR(AVERAGEIF($AD$15:$AD$131,2,$C$15:$C$131),AC9)</f>
        <v>-0.290405382181072</v>
      </c>
      <c r="AJ9" s="17" t="n">
        <f aca="false">IFERROR(AVERAGEIF($AH$15:$AH$131,1,$C$15:$C$131),AF9)</f>
        <v>1.55086457274366</v>
      </c>
      <c r="AK9" s="17" t="n">
        <f aca="false">IFERROR(AVERAGEIF($AH$15:$AH$131,2,$C$15:$C$131),AG9)</f>
        <v>-0.421430590419474</v>
      </c>
      <c r="AN9" s="17" t="n">
        <f aca="false">IFERROR(AVERAGEIF($AL$15:$AL$131,1,$C$15:$C$131),AJ9)</f>
        <v>1.35223821823533</v>
      </c>
      <c r="AO9" s="17" t="n">
        <f aca="false">IFERROR(AVERAGEIF($AL$15:$AL$131,2,$C$15:$C$131),AK9)</f>
        <v>-0.466289040770802</v>
      </c>
      <c r="AR9" s="17" t="n">
        <f aca="false">IFERROR(AVERAGEIF($AP$15:$AP$131,1,$C$15:$C$131),AN9)</f>
        <v>1.25712205126495</v>
      </c>
      <c r="AS9" s="17" t="n">
        <f aca="false">IFERROR(AVERAGEIF($AP$15:$AP$131,2,$C$15:$C$131),AO9)</f>
        <v>-0.493869377282657</v>
      </c>
      <c r="AV9" s="17" t="n">
        <f aca="false">IFERROR(AVERAGEIF($AT$15:$AT$131,1,$C$15:$C$131),AR9)</f>
        <v>1.23128564615507</v>
      </c>
      <c r="AW9" s="17" t="n">
        <f aca="false">IFERROR(AVERAGEIF($AT$15:$AT$131,2,$C$15:$C$131),AS9)</f>
        <v>-0.504382071918945</v>
      </c>
      <c r="AZ9" s="17" t="n">
        <f aca="false">IFERROR(AVERAGEIF($AX$15:$AX$131,1,$C$15:$C$131),AV9)</f>
        <v>1.21176066728905</v>
      </c>
      <c r="BA9" s="17" t="n">
        <f aca="false">IFERROR(AVERAGEIF($AX$15:$AX$131,2,$C$15:$C$131),AW9)</f>
        <v>-0.517214918964841</v>
      </c>
      <c r="BD9" s="17" t="n">
        <f aca="false">IFERROR(AVERAGEIF($BB$15:$BB$131,1,$C$15:$C$131),AZ9)</f>
        <v>1.21176066728905</v>
      </c>
      <c r="BE9" s="17" t="n">
        <f aca="false">IFERROR(AVERAGEIF($BB$15:$BB$131,2,$C$15:$C$131),BA9)</f>
        <v>-0.517214918964841</v>
      </c>
      <c r="BH9" s="17" t="n">
        <f aca="false">IFERROR(AVERAGEIF($BF$15:$BF$131,1,$C$15:$C$131),BD9)</f>
        <v>1.21176066728905</v>
      </c>
      <c r="BI9" s="17" t="n">
        <f aca="false">IFERROR(AVERAGEIF($BF$15:$BF$131,2,$C$15:$C$131),BE9)</f>
        <v>-0.517214918964841</v>
      </c>
      <c r="BL9" s="17" t="n">
        <f aca="false">IFERROR(AVERAGEIF($BJ$15:$BJ$131,1,$C$15:$C$131),BH9)</f>
        <v>1.21176066728905</v>
      </c>
      <c r="BM9" s="17" t="n">
        <f aca="false">IFERROR(AVERAGEIF($BJ$15:$BJ$131,2,$C$15:$C$131),BI9)</f>
        <v>-0.517214918964841</v>
      </c>
      <c r="BP9" s="17" t="n">
        <f aca="false">IFERROR(AVERAGEIF($BN$15:$BN$131,1,$C$15:$C$131),BL9)</f>
        <v>1.21176066728905</v>
      </c>
      <c r="BQ9" s="17" t="n">
        <f aca="false">IFERROR(AVERAGEIF($BN$15:$BN$131,2,$C$15:$C$131),BM9)</f>
        <v>-0.517214918964841</v>
      </c>
    </row>
    <row r="10" customFormat="false" ht="15" hidden="false" customHeight="false" outlineLevel="0" collapsed="false">
      <c r="K10" s="40" t="s">
        <v>703</v>
      </c>
      <c r="L10" s="17" t="n">
        <f aca="false">IFERROR(AVERAGEIF($E$15:$E$131,1,$D$15:$D$131),0)</f>
        <v>1.14441841352405</v>
      </c>
      <c r="M10" s="17" t="n">
        <f aca="false">IFERROR(AVERAGEIF($E$15:$E$131,2,$D$15:$D$131),0)</f>
        <v>-0.488471274065145</v>
      </c>
      <c r="W10" s="40" t="s">
        <v>703</v>
      </c>
      <c r="X10" s="17" t="n">
        <f aca="false">INDEX($D$15:$D$131,MATCH($B$6,$A$15:$A$131,0))</f>
        <v>3.25271285960204</v>
      </c>
      <c r="Y10" s="17" t="n">
        <f aca="false">INDEX($D$15:$D$131,MATCH($B$7,$A$15:$A$131,0))</f>
        <v>-1.14564411633355</v>
      </c>
      <c r="AB10" s="17" t="n">
        <f aca="false">IFERROR(AVERAGEIF($Z$15:$Z$131,1,$D$15:$D$131),X10)</f>
        <v>1.86600342969304</v>
      </c>
      <c r="AC10" s="17" t="n">
        <f aca="false">IFERROR(AVERAGEIF($Z$15:$Z$131,2,$D$15:$D$131),Y10)</f>
        <v>-0.174392843896546</v>
      </c>
      <c r="AF10" s="17" t="n">
        <f aca="false">IFERROR(AVERAGEIF($AD$15:$AD$131,1,$D$15:$D$131),AB10)</f>
        <v>1.53457353198571</v>
      </c>
      <c r="AG10" s="17" t="n">
        <f aca="false">IFERROR(AVERAGEIF($AD$15:$AD$131,2,$D$15:$D$131),AC10)</f>
        <v>-0.225672578233193</v>
      </c>
      <c r="AJ10" s="17" t="n">
        <f aca="false">IFERROR(AVERAGEIF($AH$15:$AH$131,1,$D$15:$D$131),AF10)</f>
        <v>1.30815141757979</v>
      </c>
      <c r="AK10" s="17" t="n">
        <f aca="false">IFERROR(AVERAGEIF($AH$15:$AH$131,2,$D$15:$D$131),AG10)</f>
        <v>-0.35547592869016</v>
      </c>
      <c r="AN10" s="17" t="n">
        <f aca="false">IFERROR(AVERAGEIF($AL$15:$AL$131,1,$D$15:$D$131),AJ10)</f>
        <v>1.24947282250431</v>
      </c>
      <c r="AO10" s="17" t="n">
        <f aca="false">IFERROR(AVERAGEIF($AL$15:$AL$131,2,$D$15:$D$131),AK10)</f>
        <v>-0.430852697415278</v>
      </c>
      <c r="AR10" s="17" t="n">
        <f aca="false">IFERROR(AVERAGEIF($AP$15:$AP$131,1,$D$15:$D$131),AN10)</f>
        <v>1.18988047816511</v>
      </c>
      <c r="AS10" s="17" t="n">
        <f aca="false">IFERROR(AVERAGEIF($AP$15:$AP$131,2,$D$15:$D$131),AO10)</f>
        <v>-0.467453044993437</v>
      </c>
      <c r="AV10" s="17" t="n">
        <f aca="false">IFERROR(AVERAGEIF($AT$15:$AT$131,1,$D$15:$D$131),AR10)</f>
        <v>1.16331684200119</v>
      </c>
      <c r="AW10" s="17" t="n">
        <f aca="false">IFERROR(AVERAGEIF($AT$15:$AT$131,2,$D$15:$D$131),AS10)</f>
        <v>-0.476539429253498</v>
      </c>
      <c r="AZ10" s="17" t="n">
        <f aca="false">IFERROR(AVERAGEIF($AX$15:$AX$131,1,$D$15:$D$131),AV10)</f>
        <v>1.14441841352405</v>
      </c>
      <c r="BA10" s="17" t="n">
        <f aca="false">IFERROR(AVERAGEIF($AX$15:$AX$131,2,$D$15:$D$131),AW10)</f>
        <v>-0.488471274065145</v>
      </c>
      <c r="BD10" s="17" t="n">
        <f aca="false">IFERROR(AVERAGEIF($BB$15:$BB$131,1,$D$15:$D$131),AZ10)</f>
        <v>1.14441841352405</v>
      </c>
      <c r="BE10" s="17" t="n">
        <f aca="false">IFERROR(AVERAGEIF($BB$15:$BB$131,2,$D$15:$D$131),BA10)</f>
        <v>-0.488471274065145</v>
      </c>
      <c r="BH10" s="17" t="n">
        <f aca="false">IFERROR(AVERAGEIF($BF$15:$BF$131,1,$D$15:$D$131),BD10)</f>
        <v>1.14441841352405</v>
      </c>
      <c r="BI10" s="17" t="n">
        <f aca="false">IFERROR(AVERAGEIF($BF$15:$BF$131,2,$D$15:$D$131),BE10)</f>
        <v>-0.488471274065145</v>
      </c>
      <c r="BL10" s="17" t="n">
        <f aca="false">IFERROR(AVERAGEIF($BJ$15:$BJ$131,1,$D$15:$D$131),BH10)</f>
        <v>1.14441841352405</v>
      </c>
      <c r="BM10" s="17" t="n">
        <f aca="false">IFERROR(AVERAGEIF($BJ$15:$BJ$131,2,$D$15:$D$131),BI10)</f>
        <v>-0.488471274065145</v>
      </c>
      <c r="BP10" s="17" t="n">
        <f aca="false">IFERROR(AVERAGEIF($BN$15:$BN$131,1,$D$15:$D$131),BL10)</f>
        <v>1.14441841352405</v>
      </c>
      <c r="BQ10" s="17" t="n">
        <f aca="false">IFERROR(AVERAGEIF($BN$15:$BN$131,2,$D$15:$D$131),BM10)</f>
        <v>-0.488471274065145</v>
      </c>
    </row>
    <row r="11" customFormat="false" ht="15" hidden="false" customHeight="false" outlineLevel="0" collapsed="false">
      <c r="K11" s="40" t="s">
        <v>731</v>
      </c>
      <c r="L11" s="15" t="n">
        <f aca="false">COUNTIF($E$15:$E$131,1)</f>
        <v>35</v>
      </c>
      <c r="M11" s="15" t="n">
        <f aca="false">COUNTIF($E$15:$E$131,2)</f>
        <v>82</v>
      </c>
      <c r="W11" s="40" t="s">
        <v>731</v>
      </c>
      <c r="X11" s="15" t="n">
        <f aca="false">COUNTIF($Z$15:$Z$131,1)</f>
        <v>10</v>
      </c>
      <c r="Y11" s="15" t="n">
        <f aca="false">COUNTIF($Z$15:$Z$131,2)</f>
        <v>107</v>
      </c>
      <c r="AB11" s="15" t="n">
        <f aca="false">COUNTIF($AD$15:$AD$131,1)</f>
        <v>15</v>
      </c>
      <c r="AC11" s="15" t="n">
        <f aca="false">COUNTIF($AD$15:$AD$131,2)</f>
        <v>102</v>
      </c>
      <c r="AF11" s="15" t="n">
        <f aca="false">COUNTIF($AH$15:$AH$131,1)</f>
        <v>25</v>
      </c>
      <c r="AG11" s="15" t="n">
        <f aca="false">COUNTIF($AH$15:$AH$131,2)</f>
        <v>92</v>
      </c>
      <c r="AJ11" s="15" t="n">
        <f aca="false">COUNTIF($AL$15:$AL$131,1)</f>
        <v>30</v>
      </c>
      <c r="AK11" s="15" t="n">
        <f aca="false">COUNTIF($AL$15:$AL$131,2)</f>
        <v>87</v>
      </c>
      <c r="AN11" s="15" t="n">
        <f aca="false">COUNTIF($AP$15:$AP$131,1)</f>
        <v>33</v>
      </c>
      <c r="AO11" s="15" t="n">
        <f aca="false">COUNTIF($AP$15:$AP$131,2)</f>
        <v>84</v>
      </c>
      <c r="AR11" s="15" t="n">
        <f aca="false">COUNTIF($AT$15:$AT$131,1)</f>
        <v>34</v>
      </c>
      <c r="AS11" s="15" t="n">
        <f aca="false">COUNTIF($AT$15:$AT$131,2)</f>
        <v>83</v>
      </c>
      <c r="AV11" s="15" t="n">
        <f aca="false">COUNTIF($AX$15:$AX$131,1)</f>
        <v>35</v>
      </c>
      <c r="AW11" s="15" t="n">
        <f aca="false">COUNTIF($AX$15:$AX$131,2)</f>
        <v>82</v>
      </c>
      <c r="AZ11" s="15" t="n">
        <f aca="false">COUNTIF($BB$15:$BB$131,1)</f>
        <v>35</v>
      </c>
      <c r="BA11" s="15" t="n">
        <f aca="false">COUNTIF($BB$15:$BB$131,2)</f>
        <v>82</v>
      </c>
      <c r="BD11" s="15" t="n">
        <f aca="false">COUNTIF($BF$15:$BF$131,1)</f>
        <v>35</v>
      </c>
      <c r="BE11" s="15" t="n">
        <f aca="false">COUNTIF($BF$15:$BF$131,2)</f>
        <v>82</v>
      </c>
      <c r="BH11" s="15" t="n">
        <f aca="false">COUNTIF($BJ$15:$BJ$131,1)</f>
        <v>35</v>
      </c>
      <c r="BI11" s="15" t="n">
        <f aca="false">COUNTIF($BJ$15:$BJ$131,2)</f>
        <v>82</v>
      </c>
      <c r="BL11" s="15" t="n">
        <f aca="false">COUNTIF($BN$15:$BN$131,1)</f>
        <v>35</v>
      </c>
      <c r="BM11" s="15" t="n">
        <f aca="false">COUNTIF($BN$15:$BN$131,2)</f>
        <v>82</v>
      </c>
      <c r="BP11" s="15" t="n">
        <f aca="false">COUNTIF($BR$15:$BR$131,1)</f>
        <v>35</v>
      </c>
      <c r="BQ11" s="15" t="n">
        <f aca="false">COUNTIF($BR$15:$BR$131,2)</f>
        <v>82</v>
      </c>
    </row>
    <row r="12" customFormat="false" ht="15" hidden="false" customHeight="false" outlineLevel="0" collapsed="false">
      <c r="K12" s="40" t="s">
        <v>732</v>
      </c>
      <c r="L12" s="17" t="n">
        <f aca="false">SUMIF($E$15:$E$131,1,$F$15:$F$131)</f>
        <v>70.5221658274635</v>
      </c>
      <c r="M12" s="17" t="n">
        <f aca="false">SUMIF($E$15:$E$131,2,$F$15:$F$131)</f>
        <v>84.6533013270052</v>
      </c>
      <c r="W12" s="40" t="s">
        <v>733</v>
      </c>
      <c r="Z12" s="12" t="s">
        <v>734</v>
      </c>
      <c r="AD12" s="15" t="n">
        <f aca="false">SUMPRODUCT(--($AD$15:$AD$131&lt;&gt;$Z$15:$Z$131))</f>
        <v>5</v>
      </c>
      <c r="AH12" s="15" t="n">
        <f aca="false">SUMPRODUCT(--($AH$15:$AH$131&lt;&gt;$AD$15:$AD$131))</f>
        <v>10</v>
      </c>
      <c r="AL12" s="15" t="n">
        <f aca="false">SUMPRODUCT(--($AL$15:$AL$131&lt;&gt;$AH$15:$AH$131))</f>
        <v>5</v>
      </c>
      <c r="AP12" s="15" t="n">
        <f aca="false">SUMPRODUCT(--($AP$15:$AP$131&lt;&gt;$AL$15:$AL$131))</f>
        <v>3</v>
      </c>
      <c r="AT12" s="15" t="n">
        <f aca="false">SUMPRODUCT(--($AT$15:$AT$131&lt;&gt;$AP$15:$AP$131))</f>
        <v>1</v>
      </c>
      <c r="AX12" s="15" t="n">
        <f aca="false">SUMPRODUCT(--($AX$15:$AX$131&lt;&gt;$AT$15:$AT$131))</f>
        <v>1</v>
      </c>
      <c r="BB12" s="15" t="n">
        <f aca="false">SUMPRODUCT(--($BB$15:$BB$131&lt;&gt;$AX$15:$AX$131))</f>
        <v>0</v>
      </c>
      <c r="BF12" s="15" t="n">
        <f aca="false">SUMPRODUCT(--($BF$15:$BF$131&lt;&gt;$BB$15:$BB$131))</f>
        <v>0</v>
      </c>
      <c r="BJ12" s="15" t="n">
        <f aca="false">SUMPRODUCT(--($BJ$15:$BJ$131&lt;&gt;$BF$15:$BF$131))</f>
        <v>0</v>
      </c>
      <c r="BN12" s="15" t="n">
        <f aca="false">SUMPRODUCT(--($BN$15:$BN$131&lt;&gt;$BJ$15:$BJ$131))</f>
        <v>0</v>
      </c>
      <c r="BR12" s="15" t="n">
        <f aca="false">SUMPRODUCT(--($BR$15:$BR$131&lt;&gt;$BN$15:$BN$131))</f>
        <v>0</v>
      </c>
    </row>
    <row r="13" customFormat="false" ht="15" hidden="false" customHeight="false" outlineLevel="0" collapsed="false">
      <c r="K13" s="40" t="s">
        <v>526</v>
      </c>
      <c r="L13" s="70" t="n">
        <f aca="false">SUM($F$15:$F$131)</f>
        <v>155.175467154469</v>
      </c>
      <c r="M13" s="40" t="s">
        <v>52</v>
      </c>
      <c r="N13" s="36" t="str">
        <f aca="false">IF(BR12=0,"Converged","Not converged: more iterations needed")</f>
        <v>Converged</v>
      </c>
    </row>
    <row r="14" customFormat="false" ht="31.5" hidden="false" customHeight="true" outlineLevel="0" collapsed="false">
      <c r="A14" s="10" t="s">
        <v>89</v>
      </c>
      <c r="B14" s="10" t="s">
        <v>701</v>
      </c>
      <c r="C14" s="10" t="s">
        <v>702</v>
      </c>
      <c r="D14" s="10" t="s">
        <v>703</v>
      </c>
      <c r="E14" s="10" t="s">
        <v>707</v>
      </c>
      <c r="F14" s="10" t="s">
        <v>756</v>
      </c>
      <c r="G14" s="10" t="s">
        <v>737</v>
      </c>
      <c r="H14" s="10" t="s">
        <v>738</v>
      </c>
      <c r="I14" s="10" t="s">
        <v>739</v>
      </c>
      <c r="X14" s="10" t="s">
        <v>740</v>
      </c>
      <c r="Y14" s="10" t="s">
        <v>741</v>
      </c>
      <c r="Z14" s="10" t="s">
        <v>707</v>
      </c>
      <c r="AB14" s="10" t="s">
        <v>740</v>
      </c>
      <c r="AC14" s="10" t="s">
        <v>741</v>
      </c>
      <c r="AD14" s="10" t="s">
        <v>707</v>
      </c>
      <c r="AF14" s="10" t="s">
        <v>740</v>
      </c>
      <c r="AG14" s="10" t="s">
        <v>741</v>
      </c>
      <c r="AH14" s="10" t="s">
        <v>707</v>
      </c>
      <c r="AJ14" s="10" t="s">
        <v>740</v>
      </c>
      <c r="AK14" s="10" t="s">
        <v>741</v>
      </c>
      <c r="AL14" s="10" t="s">
        <v>707</v>
      </c>
      <c r="AN14" s="10" t="s">
        <v>740</v>
      </c>
      <c r="AO14" s="10" t="s">
        <v>741</v>
      </c>
      <c r="AP14" s="10" t="s">
        <v>707</v>
      </c>
      <c r="AR14" s="10" t="s">
        <v>740</v>
      </c>
      <c r="AS14" s="10" t="s">
        <v>741</v>
      </c>
      <c r="AT14" s="10" t="s">
        <v>707</v>
      </c>
      <c r="AV14" s="10" t="s">
        <v>740</v>
      </c>
      <c r="AW14" s="10" t="s">
        <v>741</v>
      </c>
      <c r="AX14" s="10" t="s">
        <v>707</v>
      </c>
      <c r="AZ14" s="10" t="s">
        <v>740</v>
      </c>
      <c r="BA14" s="10" t="s">
        <v>741</v>
      </c>
      <c r="BB14" s="10" t="s">
        <v>707</v>
      </c>
      <c r="BD14" s="10" t="s">
        <v>740</v>
      </c>
      <c r="BE14" s="10" t="s">
        <v>741</v>
      </c>
      <c r="BF14" s="10" t="s">
        <v>707</v>
      </c>
      <c r="BH14" s="10" t="s">
        <v>740</v>
      </c>
      <c r="BI14" s="10" t="s">
        <v>741</v>
      </c>
      <c r="BJ14" s="10" t="s">
        <v>707</v>
      </c>
      <c r="BL14" s="10" t="s">
        <v>740</v>
      </c>
      <c r="BM14" s="10" t="s">
        <v>741</v>
      </c>
      <c r="BN14" s="10" t="s">
        <v>707</v>
      </c>
      <c r="BP14" s="10" t="s">
        <v>740</v>
      </c>
      <c r="BQ14" s="10" t="s">
        <v>741</v>
      </c>
      <c r="BR14" s="10" t="s">
        <v>707</v>
      </c>
    </row>
    <row r="15" customFormat="false" ht="15" hidden="false" customHeight="false" outlineLevel="0" collapsed="false">
      <c r="A15" s="36" t="str">
        <f aca="false">KMeans_Data!A5</f>
        <v>Karachi</v>
      </c>
      <c r="B15" s="17" t="n">
        <f aca="false">KMeans_Data!H5</f>
        <v>3.2743087782752</v>
      </c>
      <c r="C15" s="17" t="n">
        <f aca="false">KMeans_Data!I5</f>
        <v>4.03885179691129</v>
      </c>
      <c r="D15" s="17" t="n">
        <f aca="false">KMeans_Data!J5</f>
        <v>3.25271285960204</v>
      </c>
      <c r="E15" s="63" t="n">
        <f aca="false">BR15</f>
        <v>1</v>
      </c>
      <c r="F15" s="38" t="n">
        <f aca="false">($B15-INDEX($L$8:$M$8,E15))^2+($C15-INDEX($L$9:$M$9,E15))^2+($D15-INDEX($L$10:$M$10,E15))^2</f>
        <v>17.4261743440252</v>
      </c>
      <c r="G15" s="17" t="n">
        <f aca="false">IF(COUNTIF(Distance_Matrix!$E$8:$DQ$8,$E15)&lt;=1,0,SUMIF(Distance_Matrix!$E$8:$DQ$8,$E15,Distance_Matrix!$E$14:$DQ$14)/(COUNTIF(Distance_Matrix!$E$8:$DQ$8,$E15)-1))</f>
        <v>4.34217644986325</v>
      </c>
      <c r="H15" s="17" t="n">
        <f aca="false">MIN(IF(1=$E15,1E+099,IF(COUNTIF(Distance_Matrix!$E$8:$DQ$8,1)=0,1E+099,SUMIF(Distance_Matrix!$E$8:$DQ$8,1,Distance_Matrix!$E$14:$DQ$14)/COUNTIF(Distance_Matrix!$E$8:$DQ$8,1))),IF(2=$E15,1E+099,IF(COUNTIF(Distance_Matrix!$E$8:$DQ$8,2)=0,1E+099,SUMIF(Distance_Matrix!$E$8:$DQ$8,2,Distance_Matrix!$E$14:$DQ$14)/COUNTIF(Distance_Matrix!$E$8:$DQ$8,2))))</f>
        <v>7.00623165476516</v>
      </c>
      <c r="I15" s="17" t="n">
        <f aca="false">IF(COUNTIF(Distance_Matrix!$E$8:$DQ$8,$E15)&lt;=1,0,(H15-G15)/MAX(G15,H15))</f>
        <v>0.38024081077736</v>
      </c>
      <c r="X15" s="17" t="n">
        <f aca="false">SQRT(($B15-X$8)^2+($C15-X$9)^2+($D15-X$10)^2)</f>
        <v>0</v>
      </c>
      <c r="Y15" s="17" t="n">
        <f aca="false">SQRT(($B15-Y$8)^2+($C15-Y$9)^2+($D15-Y$10)^2)</f>
        <v>8.37911780072121</v>
      </c>
      <c r="Z15" s="63" t="n">
        <f aca="false">MATCH(MIN(X15:Y15),X15:Y15,0)</f>
        <v>1</v>
      </c>
      <c r="AB15" s="17" t="n">
        <f aca="false">SQRT(($B15-AB$8)^2+($C15-AB$9)^2+($D15-AB$10)^2)</f>
        <v>2.54330889800569</v>
      </c>
      <c r="AC15" s="17" t="n">
        <f aca="false">SQRT(($B15-AC$8)^2+($C15-AC$9)^2+($D15-AC$10)^2)</f>
        <v>6.46856899166068</v>
      </c>
      <c r="AD15" s="63" t="n">
        <f aca="false">MATCH(MIN(AB15:AC15),AB15:AC15,0)</f>
        <v>1</v>
      </c>
      <c r="AF15" s="17" t="n">
        <f aca="false">SQRT(($B15-AF$8)^2+($C15-AF$9)^2+($D15-AF$10)^2)</f>
        <v>3.15697954568822</v>
      </c>
      <c r="AG15" s="17" t="n">
        <f aca="false">SQRT(($B15-AG$8)^2+($C15-AG$9)^2+($D15-AG$10)^2)</f>
        <v>6.57070841074267</v>
      </c>
      <c r="AH15" s="63" t="n">
        <f aca="false">MATCH(MIN(AF15:AG15),AF15:AG15,0)</f>
        <v>1</v>
      </c>
      <c r="AJ15" s="17" t="n">
        <f aca="false">SQRT(($B15-AJ$8)^2+($C15-AJ$9)^2+($D15-AJ$10)^2)</f>
        <v>3.76189827922272</v>
      </c>
      <c r="AK15" s="17" t="n">
        <f aca="false">SQRT(($B15-AK$8)^2+($C15-AK$9)^2+($D15-AK$10)^2)</f>
        <v>6.77747365069735</v>
      </c>
      <c r="AL15" s="63" t="n">
        <f aca="false">MATCH(MIN(AJ15:AK15),AJ15:AK15,0)</f>
        <v>1</v>
      </c>
      <c r="AN15" s="17" t="n">
        <f aca="false">SQRT(($B15-AN$8)^2+($C15-AN$9)^2+($D15-AN$10)^2)</f>
        <v>3.9680358503896</v>
      </c>
      <c r="AO15" s="17" t="n">
        <f aca="false">SQRT(($B15-AO$8)^2+($C15-AO$9)^2+($D15-AO$10)^2)</f>
        <v>6.88034293137688</v>
      </c>
      <c r="AP15" s="63" t="n">
        <f aca="false">MATCH(MIN(AN15:AO15),AN15:AO15,0)</f>
        <v>1</v>
      </c>
      <c r="AR15" s="17" t="n">
        <f aca="false">SQRT(($B15-AR$8)^2+($C15-AR$9)^2+($D15-AR$10)^2)</f>
        <v>4.09513218815853</v>
      </c>
      <c r="AS15" s="17" t="n">
        <f aca="false">SQRT(($B15-AS$8)^2+($C15-AS$9)^2+($D15-AS$10)^2)</f>
        <v>6.93470558476992</v>
      </c>
      <c r="AT15" s="63" t="n">
        <f aca="false">MATCH(MIN(AR15:AS15),AR15:AS15,0)</f>
        <v>1</v>
      </c>
      <c r="AV15" s="17" t="n">
        <f aca="false">SQRT(($B15-AV$8)^2+($C15-AV$9)^2+($D15-AV$10)^2)</f>
        <v>4.13481636055033</v>
      </c>
      <c r="AW15" s="17" t="n">
        <f aca="false">SQRT(($B15-AW$8)^2+($C15-AW$9)^2+($D15-AW$10)^2)</f>
        <v>6.95262196737774</v>
      </c>
      <c r="AX15" s="63" t="n">
        <f aca="false">MATCH(MIN(AV15:AW15),AV15:AW15,0)</f>
        <v>1</v>
      </c>
      <c r="AZ15" s="17" t="n">
        <f aca="false">SQRT(($B15-AZ$8)^2+($C15-AZ$9)^2+($D15-AZ$10)^2)</f>
        <v>4.1744669532798</v>
      </c>
      <c r="BA15" s="17" t="n">
        <f aca="false">SQRT(($B15-BA$8)^2+($C15-BA$9)^2+($D15-BA$10)^2)</f>
        <v>6.97005377880692</v>
      </c>
      <c r="BB15" s="63" t="n">
        <f aca="false">MATCH(MIN(AZ15:BA15),AZ15:BA15,0)</f>
        <v>1</v>
      </c>
      <c r="BD15" s="17" t="n">
        <f aca="false">SQRT(($B15-BD$8)^2+($C15-BD$9)^2+($D15-BD$10)^2)</f>
        <v>4.1744669532798</v>
      </c>
      <c r="BE15" s="17" t="n">
        <f aca="false">SQRT(($B15-BE$8)^2+($C15-BE$9)^2+($D15-BE$10)^2)</f>
        <v>6.97005377880692</v>
      </c>
      <c r="BF15" s="63" t="n">
        <f aca="false">MATCH(MIN(BD15:BE15),BD15:BE15,0)</f>
        <v>1</v>
      </c>
      <c r="BH15" s="17" t="n">
        <f aca="false">SQRT(($B15-BH$8)^2+($C15-BH$9)^2+($D15-BH$10)^2)</f>
        <v>4.1744669532798</v>
      </c>
      <c r="BI15" s="17" t="n">
        <f aca="false">SQRT(($B15-BI$8)^2+($C15-BI$9)^2+($D15-BI$10)^2)</f>
        <v>6.97005377880692</v>
      </c>
      <c r="BJ15" s="63" t="n">
        <f aca="false">MATCH(MIN(BH15:BI15),BH15:BI15,0)</f>
        <v>1</v>
      </c>
      <c r="BL15" s="17" t="n">
        <f aca="false">SQRT(($B15-BL$8)^2+($C15-BL$9)^2+($D15-BL$10)^2)</f>
        <v>4.1744669532798</v>
      </c>
      <c r="BM15" s="17" t="n">
        <f aca="false">SQRT(($B15-BM$8)^2+($C15-BM$9)^2+($D15-BM$10)^2)</f>
        <v>6.97005377880692</v>
      </c>
      <c r="BN15" s="63" t="n">
        <f aca="false">MATCH(MIN(BL15:BM15),BL15:BM15,0)</f>
        <v>1</v>
      </c>
      <c r="BP15" s="17" t="n">
        <f aca="false">SQRT(($B15-BP$8)^2+($C15-BP$9)^2+($D15-BP$10)^2)</f>
        <v>4.1744669532798</v>
      </c>
      <c r="BQ15" s="17" t="n">
        <f aca="false">SQRT(($B15-BQ$8)^2+($C15-BQ$9)^2+($D15-BQ$10)^2)</f>
        <v>6.97005377880692</v>
      </c>
      <c r="BR15" s="63" t="n">
        <f aca="false">MATCH(MIN(BP15:BQ15),BP15:BQ15,0)</f>
        <v>1</v>
      </c>
    </row>
    <row r="16" customFormat="false" ht="15" hidden="false" customHeight="false" outlineLevel="0" collapsed="false">
      <c r="A16" s="36" t="str">
        <f aca="false">KMeans_Data!A6</f>
        <v>Lahore</v>
      </c>
      <c r="B16" s="17" t="n">
        <f aca="false">KMeans_Data!H6</f>
        <v>3.25015139617543</v>
      </c>
      <c r="C16" s="17" t="n">
        <f aca="false">KMeans_Data!I6</f>
        <v>4.15684103709117</v>
      </c>
      <c r="D16" s="17" t="n">
        <f aca="false">KMeans_Data!J6</f>
        <v>2.68051289882026</v>
      </c>
      <c r="E16" s="63" t="n">
        <f aca="false">BR16</f>
        <v>1</v>
      </c>
      <c r="F16" s="38" t="n">
        <f aca="false">($B16-INDEX($L$8:$M$8,E16))^2+($C16-INDEX($L$9:$M$9,E16))^2+($D16-INDEX($L$10:$M$10,E16))^2</f>
        <v>15.9145785527583</v>
      </c>
      <c r="G16" s="17" t="n">
        <f aca="false">IF(COUNTIF(Distance_Matrix!$E$8:$DQ$8,$E16)&lt;=1,0,SUMIF(Distance_Matrix!$E$8:$DQ$8,$E16,Distance_Matrix!$E$15:$DQ$15)/(COUNTIF(Distance_Matrix!$E$8:$DQ$8,$E16)-1))</f>
        <v>4.16068336986326</v>
      </c>
      <c r="H16" s="17" t="n">
        <f aca="false">MIN(IF(1=$E16,1E+099,IF(COUNTIF(Distance_Matrix!$E$8:$DQ$8,1)=0,1E+099,SUMIF(Distance_Matrix!$E$8:$DQ$8,1,Distance_Matrix!$E$15:$DQ$15)/COUNTIF(Distance_Matrix!$E$8:$DQ$8,1))),IF(2=$E16,1E+099,IF(COUNTIF(Distance_Matrix!$E$8:$DQ$8,2)=0,1E+099,SUMIF(Distance_Matrix!$E$8:$DQ$8,2,Distance_Matrix!$E$15:$DQ$15)/COUNTIF(Distance_Matrix!$E$8:$DQ$8,2))))</f>
        <v>6.78770172836193</v>
      </c>
      <c r="I16" s="17" t="n">
        <f aca="false">IF(COUNTIF(Distance_Matrix!$E$8:$DQ$8,$E16)&lt;=1,0,(H16-G16)/MAX(G16,H16))</f>
        <v>0.38702619290442</v>
      </c>
      <c r="X16" s="17" t="n">
        <f aca="false">SQRT(($B16-X$8)^2+($C16-X$9)^2+($D16-X$10)^2)</f>
        <v>0.584737406898874</v>
      </c>
      <c r="Y16" s="17" t="n">
        <f aca="false">SQRT(($B16-Y$8)^2+($C16-Y$9)^2+($D16-Y$10)^2)</f>
        <v>8.14685136916964</v>
      </c>
      <c r="Z16" s="63" t="n">
        <f aca="false">MATCH(MIN(X16:Y16),X16:Y16,0)</f>
        <v>1</v>
      </c>
      <c r="AB16" s="17" t="n">
        <f aca="false">SQRT(($B16-AB$8)^2+($C16-AB$9)^2+($D16-AB$10)^2)</f>
        <v>2.35782247047646</v>
      </c>
      <c r="AC16" s="17" t="n">
        <f aca="false">SQRT(($B16-AC$8)^2+($C16-AC$9)^2+($D16-AC$10)^2)</f>
        <v>6.25300726918973</v>
      </c>
      <c r="AD16" s="63" t="n">
        <f aca="false">MATCH(MIN(AB16:AC16),AB16:AC16,0)</f>
        <v>1</v>
      </c>
      <c r="AF16" s="17" t="n">
        <f aca="false">SQRT(($B16-AF$8)^2+($C16-AF$9)^2+($D16-AF$10)^2)</f>
        <v>2.95788802916451</v>
      </c>
      <c r="AG16" s="17" t="n">
        <f aca="false">SQRT(($B16-AG$8)^2+($C16-AG$9)^2+($D16-AG$10)^2)</f>
        <v>6.35510847238077</v>
      </c>
      <c r="AH16" s="63" t="n">
        <f aca="false">MATCH(MIN(AF16:AG16),AF16:AG16,0)</f>
        <v>1</v>
      </c>
      <c r="AJ16" s="17" t="n">
        <f aca="false">SQRT(($B16-AJ$8)^2+($C16-AJ$9)^2+($D16-AJ$10)^2)</f>
        <v>3.57166159540329</v>
      </c>
      <c r="AK16" s="17" t="n">
        <f aca="false">SQRT(($B16-AK$8)^2+($C16-AK$9)^2+($D16-AK$10)^2)</f>
        <v>6.5593478780323</v>
      </c>
      <c r="AL16" s="63" t="n">
        <f aca="false">MATCH(MIN(AJ16:AK16),AJ16:AK16,0)</f>
        <v>1</v>
      </c>
      <c r="AN16" s="17" t="n">
        <f aca="false">SQRT(($B16-AN$8)^2+($C16-AN$9)^2+($D16-AN$10)^2)</f>
        <v>3.78497637123341</v>
      </c>
      <c r="AO16" s="17" t="n">
        <f aca="false">SQRT(($B16-AO$8)^2+($C16-AO$9)^2+($D16-AO$10)^2)</f>
        <v>6.65967949485957</v>
      </c>
      <c r="AP16" s="63" t="n">
        <f aca="false">MATCH(MIN(AN16:AO16),AN16:AO16,0)</f>
        <v>1</v>
      </c>
      <c r="AR16" s="17" t="n">
        <f aca="false">SQRT(($B16-AR$8)^2+($C16-AR$9)^2+($D16-AR$10)^2)</f>
        <v>3.91179655431784</v>
      </c>
      <c r="AS16" s="17" t="n">
        <f aca="false">SQRT(($B16-AS$8)^2+($C16-AS$9)^2+($D16-AS$10)^2)</f>
        <v>6.71308157884939</v>
      </c>
      <c r="AT16" s="63" t="n">
        <f aca="false">MATCH(MIN(AR16:AS16),AR16:AS16,0)</f>
        <v>1</v>
      </c>
      <c r="AV16" s="17" t="n">
        <f aca="false">SQRT(($B16-AV$8)^2+($C16-AV$9)^2+($D16-AV$10)^2)</f>
        <v>3.95014641800687</v>
      </c>
      <c r="AW16" s="17" t="n">
        <f aca="false">SQRT(($B16-AW$8)^2+($C16-AW$9)^2+($D16-AW$10)^2)</f>
        <v>6.73095824137199</v>
      </c>
      <c r="AX16" s="63" t="n">
        <f aca="false">MATCH(MIN(AV16:AW16),AV16:AW16,0)</f>
        <v>1</v>
      </c>
      <c r="AZ16" s="17" t="n">
        <f aca="false">SQRT(($B16-AZ$8)^2+($C16-AZ$9)^2+($D16-AZ$10)^2)</f>
        <v>3.98930802931515</v>
      </c>
      <c r="BA16" s="17" t="n">
        <f aca="false">SQRT(($B16-BA$8)^2+($C16-BA$9)^2+($D16-BA$10)^2)</f>
        <v>6.74815757109375</v>
      </c>
      <c r="BB16" s="63" t="n">
        <f aca="false">MATCH(MIN(AZ16:BA16),AZ16:BA16,0)</f>
        <v>1</v>
      </c>
      <c r="BD16" s="17" t="n">
        <f aca="false">SQRT(($B16-BD$8)^2+($C16-BD$9)^2+($D16-BD$10)^2)</f>
        <v>3.98930802931515</v>
      </c>
      <c r="BE16" s="17" t="n">
        <f aca="false">SQRT(($B16-BE$8)^2+($C16-BE$9)^2+($D16-BE$10)^2)</f>
        <v>6.74815757109375</v>
      </c>
      <c r="BF16" s="63" t="n">
        <f aca="false">MATCH(MIN(BD16:BE16),BD16:BE16,0)</f>
        <v>1</v>
      </c>
      <c r="BH16" s="17" t="n">
        <f aca="false">SQRT(($B16-BH$8)^2+($C16-BH$9)^2+($D16-BH$10)^2)</f>
        <v>3.98930802931515</v>
      </c>
      <c r="BI16" s="17" t="n">
        <f aca="false">SQRT(($B16-BI$8)^2+($C16-BI$9)^2+($D16-BI$10)^2)</f>
        <v>6.74815757109375</v>
      </c>
      <c r="BJ16" s="63" t="n">
        <f aca="false">MATCH(MIN(BH16:BI16),BH16:BI16,0)</f>
        <v>1</v>
      </c>
      <c r="BL16" s="17" t="n">
        <f aca="false">SQRT(($B16-BL$8)^2+($C16-BL$9)^2+($D16-BL$10)^2)</f>
        <v>3.98930802931515</v>
      </c>
      <c r="BM16" s="17" t="n">
        <f aca="false">SQRT(($B16-BM$8)^2+($C16-BM$9)^2+($D16-BM$10)^2)</f>
        <v>6.74815757109375</v>
      </c>
      <c r="BN16" s="63" t="n">
        <f aca="false">MATCH(MIN(BL16:BM16),BL16:BM16,0)</f>
        <v>1</v>
      </c>
      <c r="BP16" s="17" t="n">
        <f aca="false">SQRT(($B16-BP$8)^2+($C16-BP$9)^2+($D16-BP$10)^2)</f>
        <v>3.98930802931515</v>
      </c>
      <c r="BQ16" s="17" t="n">
        <f aca="false">SQRT(($B16-BQ$8)^2+($C16-BQ$9)^2+($D16-BQ$10)^2)</f>
        <v>6.74815757109375</v>
      </c>
      <c r="BR16" s="63" t="n">
        <f aca="false">MATCH(MIN(BP16:BQ16),BP16:BQ16,0)</f>
        <v>1</v>
      </c>
    </row>
    <row r="17" customFormat="false" ht="15" hidden="false" customHeight="false" outlineLevel="0" collapsed="false">
      <c r="A17" s="36" t="str">
        <f aca="false">KMeans_Data!A7</f>
        <v>Quetta</v>
      </c>
      <c r="B17" s="17" t="n">
        <f aca="false">KMeans_Data!H7</f>
        <v>2.36453191227648</v>
      </c>
      <c r="C17" s="17" t="n">
        <f aca="false">KMeans_Data!I7</f>
        <v>2.29414072853602</v>
      </c>
      <c r="D17" s="17" t="n">
        <f aca="false">KMeans_Data!J7</f>
        <v>2.37235556681649</v>
      </c>
      <c r="E17" s="63" t="n">
        <f aca="false">BR17</f>
        <v>1</v>
      </c>
      <c r="F17" s="38" t="n">
        <f aca="false">($B17-INDEX($L$8:$M$8,E17))^2+($C17-INDEX($L$9:$M$9,E17))^2+($D17-INDEX($L$10:$M$10,E17))^2</f>
        <v>4.43179839018868</v>
      </c>
      <c r="G17" s="17" t="n">
        <f aca="false">IF(COUNTIF(Distance_Matrix!$E$8:$DQ$8,$E17)&lt;=1,0,SUMIF(Distance_Matrix!$E$8:$DQ$8,$E17,Distance_Matrix!$E$16:$DQ$16)/(COUNTIF(Distance_Matrix!$E$8:$DQ$8,$E17)-1))</f>
        <v>2.50208513510041</v>
      </c>
      <c r="H17" s="17" t="n">
        <f aca="false">MIN(IF(1=$E17,1E+099,IF(COUNTIF(Distance_Matrix!$E$8:$DQ$8,1)=0,1E+099,SUMIF(Distance_Matrix!$E$8:$DQ$8,1,Distance_Matrix!$E$16:$DQ$16)/COUNTIF(Distance_Matrix!$E$8:$DQ$8,1))),IF(2=$E17,1E+099,IF(COUNTIF(Distance_Matrix!$E$8:$DQ$8,2)=0,1E+099,SUMIF(Distance_Matrix!$E$8:$DQ$8,2,Distance_Matrix!$E$16:$DQ$16)/COUNTIF(Distance_Matrix!$E$8:$DQ$8,2))))</f>
        <v>4.94379356214376</v>
      </c>
      <c r="I17" s="17" t="n">
        <f aca="false">IF(COUNTIF(Distance_Matrix!$E$8:$DQ$8,$E17)&lt;=1,0,(H17-G17)/MAX(G17,H17))</f>
        <v>0.493893686366743</v>
      </c>
      <c r="X17" s="17" t="n">
        <f aca="false">SQRT(($B17-X$8)^2+($C17-X$9)^2+($D17-X$10)^2)</f>
        <v>2.15562975043914</v>
      </c>
      <c r="Y17" s="17" t="n">
        <f aca="false">SQRT(($B17-Y$8)^2+($C17-Y$9)^2+($D17-Y$10)^2)</f>
        <v>6.3976329314131</v>
      </c>
      <c r="Z17" s="63" t="n">
        <f aca="false">MATCH(MIN(X17:Y17),X17:Y17,0)</f>
        <v>1</v>
      </c>
      <c r="AB17" s="17" t="n">
        <f aca="false">SQRT(($B17-AB$8)^2+($C17-AB$9)^2+($D17-AB$10)^2)</f>
        <v>0.641654514689378</v>
      </c>
      <c r="AC17" s="17" t="n">
        <f aca="false">SQRT(($B17-AC$8)^2+($C17-AC$9)^2+($D17-AC$10)^2)</f>
        <v>4.3934195583755</v>
      </c>
      <c r="AD17" s="63" t="n">
        <f aca="false">MATCH(MIN(AB17:AC17),AB17:AC17,0)</f>
        <v>1</v>
      </c>
      <c r="AF17" s="17" t="n">
        <f aca="false">SQRT(($B17-AF$8)^2+($C17-AF$9)^2+($D17-AF$10)^2)</f>
        <v>1.16876406261223</v>
      </c>
      <c r="AG17" s="17" t="n">
        <f aca="false">SQRT(($B17-AG$8)^2+($C17-AG$9)^2+($D17-AG$10)^2)</f>
        <v>4.4944446054601</v>
      </c>
      <c r="AH17" s="63" t="n">
        <f aca="false">MATCH(MIN(AF17:AG17),AF17:AG17,0)</f>
        <v>1</v>
      </c>
      <c r="AJ17" s="17" t="n">
        <f aca="false">SQRT(($B17-AJ$8)^2+($C17-AJ$9)^2+($D17-AJ$10)^2)</f>
        <v>1.72419933410908</v>
      </c>
      <c r="AK17" s="17" t="n">
        <f aca="false">SQRT(($B17-AK$8)^2+($C17-AK$9)^2+($D17-AK$10)^2)</f>
        <v>4.70088268591703</v>
      </c>
      <c r="AL17" s="63" t="n">
        <f aca="false">MATCH(MIN(AJ17:AK17),AJ17:AK17,0)</f>
        <v>1</v>
      </c>
      <c r="AN17" s="17" t="n">
        <f aca="false">SQRT(($B17-AN$8)^2+($C17-AN$9)^2+($D17-AN$10)^2)</f>
        <v>1.90371707048642</v>
      </c>
      <c r="AO17" s="17" t="n">
        <f aca="false">SQRT(($B17-AO$8)^2+($C17-AO$9)^2+($D17-AO$10)^2)</f>
        <v>4.80632336672248</v>
      </c>
      <c r="AP17" s="63" t="n">
        <f aca="false">MATCH(MIN(AN17:AO17),AN17:AO17,0)</f>
        <v>1</v>
      </c>
      <c r="AR17" s="17" t="n">
        <f aca="false">SQRT(($B17-AR$8)^2+($C17-AR$9)^2+($D17-AR$10)^2)</f>
        <v>2.0251809380673</v>
      </c>
      <c r="AS17" s="17" t="n">
        <f aca="false">SQRT(($B17-AS$8)^2+($C17-AS$9)^2+($D17-AS$10)^2)</f>
        <v>4.86149466675929</v>
      </c>
      <c r="AT17" s="63" t="n">
        <f aca="false">MATCH(MIN(AR17:AS17),AR17:AS17,0)</f>
        <v>1</v>
      </c>
      <c r="AV17" s="17" t="n">
        <f aca="false">SQRT(($B17-AV$8)^2+($C17-AV$9)^2+($D17-AV$10)^2)</f>
        <v>2.06427151274185</v>
      </c>
      <c r="AW17" s="17" t="n">
        <f aca="false">SQRT(($B17-AW$8)^2+($C17-AW$9)^2+($D17-AW$10)^2)</f>
        <v>4.87947014144028</v>
      </c>
      <c r="AX17" s="63" t="n">
        <f aca="false">MATCH(MIN(AV17:AW17),AV17:AW17,0)</f>
        <v>1</v>
      </c>
      <c r="AZ17" s="17" t="n">
        <f aca="false">SQRT(($B17-AZ$8)^2+($C17-AZ$9)^2+($D17-AZ$10)^2)</f>
        <v>2.10518369511753</v>
      </c>
      <c r="BA17" s="17" t="n">
        <f aca="false">SQRT(($B17-BA$8)^2+($C17-BA$9)^2+($D17-BA$10)^2)</f>
        <v>4.89664488379049</v>
      </c>
      <c r="BB17" s="63" t="n">
        <f aca="false">MATCH(MIN(AZ17:BA17),AZ17:BA17,0)</f>
        <v>1</v>
      </c>
      <c r="BD17" s="17" t="n">
        <f aca="false">SQRT(($B17-BD$8)^2+($C17-BD$9)^2+($D17-BD$10)^2)</f>
        <v>2.10518369511753</v>
      </c>
      <c r="BE17" s="17" t="n">
        <f aca="false">SQRT(($B17-BE$8)^2+($C17-BE$9)^2+($D17-BE$10)^2)</f>
        <v>4.89664488379049</v>
      </c>
      <c r="BF17" s="63" t="n">
        <f aca="false">MATCH(MIN(BD17:BE17),BD17:BE17,0)</f>
        <v>1</v>
      </c>
      <c r="BH17" s="17" t="n">
        <f aca="false">SQRT(($B17-BH$8)^2+($C17-BH$9)^2+($D17-BH$10)^2)</f>
        <v>2.10518369511753</v>
      </c>
      <c r="BI17" s="17" t="n">
        <f aca="false">SQRT(($B17-BI$8)^2+($C17-BI$9)^2+($D17-BI$10)^2)</f>
        <v>4.89664488379049</v>
      </c>
      <c r="BJ17" s="63" t="n">
        <f aca="false">MATCH(MIN(BH17:BI17),BH17:BI17,0)</f>
        <v>1</v>
      </c>
      <c r="BL17" s="17" t="n">
        <f aca="false">SQRT(($B17-BL$8)^2+($C17-BL$9)^2+($D17-BL$10)^2)</f>
        <v>2.10518369511753</v>
      </c>
      <c r="BM17" s="17" t="n">
        <f aca="false">SQRT(($B17-BM$8)^2+($C17-BM$9)^2+($D17-BM$10)^2)</f>
        <v>4.89664488379049</v>
      </c>
      <c r="BN17" s="63" t="n">
        <f aca="false">MATCH(MIN(BL17:BM17),BL17:BM17,0)</f>
        <v>1</v>
      </c>
      <c r="BP17" s="17" t="n">
        <f aca="false">SQRT(($B17-BP$8)^2+($C17-BP$9)^2+($D17-BP$10)^2)</f>
        <v>2.10518369511753</v>
      </c>
      <c r="BQ17" s="17" t="n">
        <f aca="false">SQRT(($B17-BQ$8)^2+($C17-BQ$9)^2+($D17-BQ$10)^2)</f>
        <v>4.89664488379049</v>
      </c>
      <c r="BR17" s="63" t="n">
        <f aca="false">MATCH(MIN(BP17:BQ17),BP17:BQ17,0)</f>
        <v>1</v>
      </c>
    </row>
    <row r="18" customFormat="false" ht="15" hidden="false" customHeight="false" outlineLevel="0" collapsed="false">
      <c r="A18" s="36" t="str">
        <f aca="false">KMeans_Data!A8</f>
        <v>Peshawar</v>
      </c>
      <c r="B18" s="17" t="n">
        <f aca="false">KMeans_Data!H8</f>
        <v>2.345233823008</v>
      </c>
      <c r="C18" s="17" t="n">
        <f aca="false">KMeans_Data!I8</f>
        <v>3.56174892105073</v>
      </c>
      <c r="D18" s="17" t="n">
        <f aca="false">KMeans_Data!J8</f>
        <v>1.6399224296702</v>
      </c>
      <c r="E18" s="63" t="n">
        <f aca="false">BR18</f>
        <v>1</v>
      </c>
      <c r="F18" s="38" t="n">
        <f aca="false">($B18-INDEX($L$8:$M$8,E18))^2+($C18-INDEX($L$9:$M$9,E18))^2+($D18-INDEX($L$10:$M$10,E18))^2</f>
        <v>7.4696703129353</v>
      </c>
      <c r="G18" s="17" t="n">
        <f aca="false">IF(COUNTIF(Distance_Matrix!$E$8:$DQ$8,$E18)&lt;=1,0,SUMIF(Distance_Matrix!$E$8:$DQ$8,$E18,Distance_Matrix!$E$17:$DQ$17)/(COUNTIF(Distance_Matrix!$E$8:$DQ$8,$E18)-1))</f>
        <v>3.0361077260199</v>
      </c>
      <c r="H18" s="17" t="n">
        <f aca="false">MIN(IF(1=$E18,1E+099,IF(COUNTIF(Distance_Matrix!$E$8:$DQ$8,1)=0,1E+099,SUMIF(Distance_Matrix!$E$8:$DQ$8,1,Distance_Matrix!$E$17:$DQ$17)/COUNTIF(Distance_Matrix!$E$8:$DQ$8,1))),IF(2=$E18,1E+099,IF(COUNTIF(Distance_Matrix!$E$8:$DQ$8,2)=0,1E+099,SUMIF(Distance_Matrix!$E$8:$DQ$8,2,Distance_Matrix!$E$17:$DQ$17)/COUNTIF(Distance_Matrix!$E$8:$DQ$8,2))))</f>
        <v>5.43565282444267</v>
      </c>
      <c r="I18" s="17" t="n">
        <f aca="false">IF(COUNTIF(Distance_Matrix!$E$8:$DQ$8,$E18)&lt;=1,0,(H18-G18)/MAX(G18,H18))</f>
        <v>0.441445613971639</v>
      </c>
      <c r="X18" s="17" t="n">
        <f aca="false">SQRT(($B18-X$8)^2+($C18-X$9)^2+($D18-X$10)^2)</f>
        <v>1.92143186127921</v>
      </c>
      <c r="Y18" s="17" t="n">
        <f aca="false">SQRT(($B18-Y$8)^2+($C18-Y$9)^2+($D18-Y$10)^2)</f>
        <v>6.7282906668016</v>
      </c>
      <c r="Z18" s="63" t="n">
        <f aca="false">MATCH(MIN(X18:Y18),X18:Y18,0)</f>
        <v>1</v>
      </c>
      <c r="AB18" s="17" t="n">
        <f aca="false">SQRT(($B18-AB$8)^2+($C18-AB$9)^2+($D18-AB$10)^2)</f>
        <v>1.28813988172615</v>
      </c>
      <c r="AC18" s="17" t="n">
        <f aca="false">SQRT(($B18-AC$8)^2+($C18-AC$9)^2+($D18-AC$10)^2)</f>
        <v>4.89790689331403</v>
      </c>
      <c r="AD18" s="63" t="n">
        <f aca="false">MATCH(MIN(AB18:AC18),AB18:AC18,0)</f>
        <v>1</v>
      </c>
      <c r="AF18" s="17" t="n">
        <f aca="false">SQRT(($B18-AF$8)^2+($C18-AF$9)^2+($D18-AF$10)^2)</f>
        <v>1.75020068604452</v>
      </c>
      <c r="AG18" s="17" t="n">
        <f aca="false">SQRT(($B18-AG$8)^2+($C18-AG$9)^2+($D18-AG$10)^2)</f>
        <v>4.9989885120592</v>
      </c>
      <c r="AH18" s="63" t="n">
        <f aca="false">MATCH(MIN(AF18:AG18),AF18:AG18,0)</f>
        <v>1</v>
      </c>
      <c r="AJ18" s="17" t="n">
        <f aca="false">SQRT(($B18-AJ$8)^2+($C18-AJ$9)^2+($D18-AJ$10)^2)</f>
        <v>2.32339687249864</v>
      </c>
      <c r="AK18" s="17" t="n">
        <f aca="false">SQRT(($B18-AK$8)^2+($C18-AK$9)^2+($D18-AK$10)^2)</f>
        <v>5.19869722640301</v>
      </c>
      <c r="AL18" s="63" t="n">
        <f aca="false">MATCH(MIN(AJ18:AK18),AJ18:AK18,0)</f>
        <v>1</v>
      </c>
      <c r="AN18" s="17" t="n">
        <f aca="false">SQRT(($B18-AN$8)^2+($C18-AN$9)^2+($D18-AN$10)^2)</f>
        <v>2.54243216046749</v>
      </c>
      <c r="AO18" s="17" t="n">
        <f aca="false">SQRT(($B18-AO$8)^2+($C18-AO$9)^2+($D18-AO$10)^2)</f>
        <v>5.2943182105699</v>
      </c>
      <c r="AP18" s="63" t="n">
        <f aca="false">MATCH(MIN(AN18:AO18),AN18:AO18,0)</f>
        <v>1</v>
      </c>
      <c r="AR18" s="17" t="n">
        <f aca="false">SQRT(($B18-AR$8)^2+($C18-AR$9)^2+($D18-AR$10)^2)</f>
        <v>2.66320791093525</v>
      </c>
      <c r="AS18" s="17" t="n">
        <f aca="false">SQRT(($B18-AS$8)^2+($C18-AS$9)^2+($D18-AS$10)^2)</f>
        <v>5.34586670239422</v>
      </c>
      <c r="AT18" s="63" t="n">
        <f aca="false">MATCH(MIN(AR18:AS18),AR18:AS18,0)</f>
        <v>1</v>
      </c>
      <c r="AV18" s="17" t="n">
        <f aca="false">SQRT(($B18-AV$8)^2+($C18-AV$9)^2+($D18-AV$10)^2)</f>
        <v>2.69786799216905</v>
      </c>
      <c r="AW18" s="17" t="n">
        <f aca="false">SQRT(($B18-AW$8)^2+($C18-AW$9)^2+($D18-AW$10)^2)</f>
        <v>5.3634209967385</v>
      </c>
      <c r="AX18" s="63" t="n">
        <f aca="false">MATCH(MIN(AV18:AW18),AV18:AW18,0)</f>
        <v>1</v>
      </c>
      <c r="AZ18" s="17" t="n">
        <f aca="false">SQRT(($B18-AZ$8)^2+($C18-AZ$9)^2+($D18-AZ$10)^2)</f>
        <v>2.73306975998332</v>
      </c>
      <c r="BA18" s="17" t="n">
        <f aca="false">SQRT(($B18-BA$8)^2+($C18-BA$9)^2+($D18-BA$10)^2)</f>
        <v>5.38043227518726</v>
      </c>
      <c r="BB18" s="63" t="n">
        <f aca="false">MATCH(MIN(AZ18:BA18),AZ18:BA18,0)</f>
        <v>1</v>
      </c>
      <c r="BD18" s="17" t="n">
        <f aca="false">SQRT(($B18-BD$8)^2+($C18-BD$9)^2+($D18-BD$10)^2)</f>
        <v>2.73306975998332</v>
      </c>
      <c r="BE18" s="17" t="n">
        <f aca="false">SQRT(($B18-BE$8)^2+($C18-BE$9)^2+($D18-BE$10)^2)</f>
        <v>5.38043227518726</v>
      </c>
      <c r="BF18" s="63" t="n">
        <f aca="false">MATCH(MIN(BD18:BE18),BD18:BE18,0)</f>
        <v>1</v>
      </c>
      <c r="BH18" s="17" t="n">
        <f aca="false">SQRT(($B18-BH$8)^2+($C18-BH$9)^2+($D18-BH$10)^2)</f>
        <v>2.73306975998332</v>
      </c>
      <c r="BI18" s="17" t="n">
        <f aca="false">SQRT(($B18-BI$8)^2+($C18-BI$9)^2+($D18-BI$10)^2)</f>
        <v>5.38043227518726</v>
      </c>
      <c r="BJ18" s="63" t="n">
        <f aca="false">MATCH(MIN(BH18:BI18),BH18:BI18,0)</f>
        <v>1</v>
      </c>
      <c r="BL18" s="17" t="n">
        <f aca="false">SQRT(($B18-BL$8)^2+($C18-BL$9)^2+($D18-BL$10)^2)</f>
        <v>2.73306975998332</v>
      </c>
      <c r="BM18" s="17" t="n">
        <f aca="false">SQRT(($B18-BM$8)^2+($C18-BM$9)^2+($D18-BM$10)^2)</f>
        <v>5.38043227518726</v>
      </c>
      <c r="BN18" s="63" t="n">
        <f aca="false">MATCH(MIN(BL18:BM18),BL18:BM18,0)</f>
        <v>1</v>
      </c>
      <c r="BP18" s="17" t="n">
        <f aca="false">SQRT(($B18-BP$8)^2+($C18-BP$9)^2+($D18-BP$10)^2)</f>
        <v>2.73306975998332</v>
      </c>
      <c r="BQ18" s="17" t="n">
        <f aca="false">SQRT(($B18-BQ$8)^2+($C18-BQ$9)^2+($D18-BQ$10)^2)</f>
        <v>5.38043227518726</v>
      </c>
      <c r="BR18" s="63" t="n">
        <f aca="false">MATCH(MIN(BP18:BQ18),BP18:BQ18,0)</f>
        <v>1</v>
      </c>
    </row>
    <row r="19" customFormat="false" ht="15" hidden="false" customHeight="false" outlineLevel="0" collapsed="false">
      <c r="A19" s="36" t="str">
        <f aca="false">KMeans_Data!A9</f>
        <v>Islamabad</v>
      </c>
      <c r="B19" s="17" t="n">
        <f aca="false">KMeans_Data!H9</f>
        <v>2.1711238504828</v>
      </c>
      <c r="C19" s="17" t="n">
        <f aca="false">KMeans_Data!I9</f>
        <v>2.06578932043694</v>
      </c>
      <c r="D19" s="17" t="n">
        <f aca="false">KMeans_Data!J9</f>
        <v>1.69651676359603</v>
      </c>
      <c r="E19" s="63" t="n">
        <f aca="false">BR19</f>
        <v>1</v>
      </c>
      <c r="F19" s="38" t="n">
        <f aca="false">($B19-INDEX($L$8:$M$8,E19))^2+($C19-INDEX($L$9:$M$9,E19))^2+($D19-INDEX($L$10:$M$10,E19))^2</f>
        <v>2.31194271342572</v>
      </c>
      <c r="G19" s="17" t="n">
        <f aca="false">IF(COUNTIF(Distance_Matrix!$E$8:$DQ$8,$E19)&lt;=1,0,SUMIF(Distance_Matrix!$E$8:$DQ$8,$E19,Distance_Matrix!$E$18:$DQ$18)/(COUNTIF(Distance_Matrix!$E$8:$DQ$8,$E19)-1))</f>
        <v>2.03831187807242</v>
      </c>
      <c r="H19" s="17" t="n">
        <f aca="false">MIN(IF(1=$E19,1E+099,IF(COUNTIF(Distance_Matrix!$E$8:$DQ$8,1)=0,1E+099,SUMIF(Distance_Matrix!$E$8:$DQ$8,1,Distance_Matrix!$E$18:$DQ$18)/COUNTIF(Distance_Matrix!$E$8:$DQ$8,1))),IF(2=$E19,1E+099,IF(COUNTIF(Distance_Matrix!$E$8:$DQ$8,2)=0,1E+099,SUMIF(Distance_Matrix!$E$8:$DQ$8,2,Distance_Matrix!$E$18:$DQ$18)/COUNTIF(Distance_Matrix!$E$8:$DQ$8,2))))</f>
        <v>4.33300783479879</v>
      </c>
      <c r="I19" s="17" t="n">
        <f aca="false">IF(COUNTIF(Distance_Matrix!$E$8:$DQ$8,$E19)&lt;=1,0,(H19-G19)/MAX(G19,H19))</f>
        <v>0.529585000584917</v>
      </c>
      <c r="X19" s="17" t="n">
        <f aca="false">SQRT(($B19-X$8)^2+($C19-X$9)^2+($D19-X$10)^2)</f>
        <v>2.74440135734622</v>
      </c>
      <c r="Y19" s="17" t="n">
        <f aca="false">SQRT(($B19-Y$8)^2+($C19-Y$9)^2+($D19-Y$10)^2)</f>
        <v>5.80058252965424</v>
      </c>
      <c r="Z19" s="63" t="n">
        <f aca="false">MATCH(MIN(X19:Y19),X19:Y19,0)</f>
        <v>1</v>
      </c>
      <c r="AB19" s="17" t="n">
        <f aca="false">SQRT(($B19-AB$8)^2+($C19-AB$9)^2+($D19-AB$10)^2)</f>
        <v>0.384359393726004</v>
      </c>
      <c r="AC19" s="17" t="n">
        <f aca="false">SQRT(($B19-AC$8)^2+($C19-AC$9)^2+($D19-AC$10)^2)</f>
        <v>3.77783615172746</v>
      </c>
      <c r="AD19" s="63" t="n">
        <f aca="false">MATCH(MIN(AB19:AC19),AB19:AC19,0)</f>
        <v>1</v>
      </c>
      <c r="AF19" s="17" t="n">
        <f aca="false">SQRT(($B19-AF$8)^2+($C19-AF$9)^2+($D19-AF$10)^2)</f>
        <v>0.586539412216389</v>
      </c>
      <c r="AG19" s="17" t="n">
        <f aca="false">SQRT(($B19-AG$8)^2+($C19-AG$9)^2+($D19-AG$10)^2)</f>
        <v>3.87914681048323</v>
      </c>
      <c r="AH19" s="63" t="n">
        <f aca="false">MATCH(MIN(AF19:AG19),AF19:AG19,0)</f>
        <v>1</v>
      </c>
      <c r="AJ19" s="17" t="n">
        <f aca="false">SQRT(($B19-AJ$8)^2+($C19-AJ$9)^2+($D19-AJ$10)^2)</f>
        <v>1.14117433272958</v>
      </c>
      <c r="AK19" s="17" t="n">
        <f aca="false">SQRT(($B19-AK$8)^2+($C19-AK$9)^2+($D19-AK$10)^2)</f>
        <v>4.08330186384549</v>
      </c>
      <c r="AL19" s="63" t="n">
        <f aca="false">MATCH(MIN(AJ19:AK19),AJ19:AK19,0)</f>
        <v>1</v>
      </c>
      <c r="AN19" s="17" t="n">
        <f aca="false">SQRT(($B19-AN$8)^2+($C19-AN$9)^2+($D19-AN$10)^2)</f>
        <v>1.32383620564011</v>
      </c>
      <c r="AO19" s="17" t="n">
        <f aca="false">SQRT(($B19-AO$8)^2+($C19-AO$9)^2+($D19-AO$10)^2)</f>
        <v>4.1868063072796</v>
      </c>
      <c r="AP19" s="63" t="n">
        <f aca="false">MATCH(MIN(AN19:AO19),AN19:AO19,0)</f>
        <v>1</v>
      </c>
      <c r="AR19" s="17" t="n">
        <f aca="false">SQRT(($B19-AR$8)^2+($C19-AR$9)^2+($D19-AR$10)^2)</f>
        <v>1.44299233478614</v>
      </c>
      <c r="AS19" s="17" t="n">
        <f aca="false">SQRT(($B19-AS$8)^2+($C19-AS$9)^2+($D19-AS$10)^2)</f>
        <v>4.24129195033495</v>
      </c>
      <c r="AT19" s="63" t="n">
        <f aca="false">MATCH(MIN(AR19:AS19),AR19:AS19,0)</f>
        <v>1</v>
      </c>
      <c r="AV19" s="17" t="n">
        <f aca="false">SQRT(($B19-AV$8)^2+($C19-AV$9)^2+($D19-AV$10)^2)</f>
        <v>1.47920338877433</v>
      </c>
      <c r="AW19" s="17" t="n">
        <f aca="false">SQRT(($B19-AW$8)^2+($C19-AW$9)^2+($D19-AW$10)^2)</f>
        <v>4.25935464644203</v>
      </c>
      <c r="AX19" s="63" t="n">
        <f aca="false">MATCH(MIN(AV19:AW19),AV19:AW19,0)</f>
        <v>1</v>
      </c>
      <c r="AZ19" s="17" t="n">
        <f aca="false">SQRT(($B19-AZ$8)^2+($C19-AZ$9)^2+($D19-AZ$10)^2)</f>
        <v>1.52050738683695</v>
      </c>
      <c r="BA19" s="17" t="n">
        <f aca="false">SQRT(($B19-BA$8)^2+($C19-BA$9)^2+($D19-BA$10)^2)</f>
        <v>4.27622503911683</v>
      </c>
      <c r="BB19" s="63" t="n">
        <f aca="false">MATCH(MIN(AZ19:BA19),AZ19:BA19,0)</f>
        <v>1</v>
      </c>
      <c r="BD19" s="17" t="n">
        <f aca="false">SQRT(($B19-BD$8)^2+($C19-BD$9)^2+($D19-BD$10)^2)</f>
        <v>1.52050738683695</v>
      </c>
      <c r="BE19" s="17" t="n">
        <f aca="false">SQRT(($B19-BE$8)^2+($C19-BE$9)^2+($D19-BE$10)^2)</f>
        <v>4.27622503911683</v>
      </c>
      <c r="BF19" s="63" t="n">
        <f aca="false">MATCH(MIN(BD19:BE19),BD19:BE19,0)</f>
        <v>1</v>
      </c>
      <c r="BH19" s="17" t="n">
        <f aca="false">SQRT(($B19-BH$8)^2+($C19-BH$9)^2+($D19-BH$10)^2)</f>
        <v>1.52050738683695</v>
      </c>
      <c r="BI19" s="17" t="n">
        <f aca="false">SQRT(($B19-BI$8)^2+($C19-BI$9)^2+($D19-BI$10)^2)</f>
        <v>4.27622503911683</v>
      </c>
      <c r="BJ19" s="63" t="n">
        <f aca="false">MATCH(MIN(BH19:BI19),BH19:BI19,0)</f>
        <v>1</v>
      </c>
      <c r="BL19" s="17" t="n">
        <f aca="false">SQRT(($B19-BL$8)^2+($C19-BL$9)^2+($D19-BL$10)^2)</f>
        <v>1.52050738683695</v>
      </c>
      <c r="BM19" s="17" t="n">
        <f aca="false">SQRT(($B19-BM$8)^2+($C19-BM$9)^2+($D19-BM$10)^2)</f>
        <v>4.27622503911683</v>
      </c>
      <c r="BN19" s="63" t="n">
        <f aca="false">MATCH(MIN(BL19:BM19),BL19:BM19,0)</f>
        <v>1</v>
      </c>
      <c r="BP19" s="17" t="n">
        <f aca="false">SQRT(($B19-BP$8)^2+($C19-BP$9)^2+($D19-BP$10)^2)</f>
        <v>1.52050738683695</v>
      </c>
      <c r="BQ19" s="17" t="n">
        <f aca="false">SQRT(($B19-BQ$8)^2+($C19-BQ$9)^2+($D19-BQ$10)^2)</f>
        <v>4.27622503911683</v>
      </c>
      <c r="BR19" s="63" t="n">
        <f aca="false">MATCH(MIN(BP19:BQ19),BP19:BQ19,0)</f>
        <v>1</v>
      </c>
    </row>
    <row r="20" customFormat="false" ht="15" hidden="false" customHeight="false" outlineLevel="0" collapsed="false">
      <c r="A20" s="36" t="str">
        <f aca="false">KMeans_Data!A10</f>
        <v>Swat</v>
      </c>
      <c r="B20" s="17" t="n">
        <f aca="false">KMeans_Data!H10</f>
        <v>1.49375246664447</v>
      </c>
      <c r="C20" s="17" t="n">
        <f aca="false">KMeans_Data!I10</f>
        <v>2.23090597008422</v>
      </c>
      <c r="D20" s="17" t="n">
        <f aca="false">KMeans_Data!J10</f>
        <v>1.44343610510691</v>
      </c>
      <c r="E20" s="63" t="n">
        <f aca="false">BR20</f>
        <v>1</v>
      </c>
      <c r="F20" s="38" t="n">
        <f aca="false">($B20-INDEX($L$8:$M$8,E20))^2+($C20-INDEX($L$9:$M$9,E20))^2+($D20-INDEX($L$10:$M$10,E20))^2</f>
        <v>1.33328803532974</v>
      </c>
      <c r="G20" s="17" t="n">
        <f aca="false">IF(COUNTIF(Distance_Matrix!$E$8:$DQ$8,$E20)&lt;=1,0,SUMIF(Distance_Matrix!$E$8:$DQ$8,$E20,Distance_Matrix!$E$19:$DQ$19)/(COUNTIF(Distance_Matrix!$E$8:$DQ$8,$E20)-1))</f>
        <v>1.77063820342454</v>
      </c>
      <c r="H20" s="17" t="n">
        <f aca="false">MIN(IF(1=$E20,1E+099,IF(COUNTIF(Distance_Matrix!$E$8:$DQ$8,1)=0,1E+099,SUMIF(Distance_Matrix!$E$8:$DQ$8,1,Distance_Matrix!$E$19:$DQ$19)/COUNTIF(Distance_Matrix!$E$8:$DQ$8,1))),IF(2=$E20,1E+099,IF(COUNTIF(Distance_Matrix!$E$8:$DQ$8,2)=0,1E+099,SUMIF(Distance_Matrix!$E$8:$DQ$8,2,Distance_Matrix!$E$19:$DQ$19)/COUNTIF(Distance_Matrix!$E$8:$DQ$8,2))))</f>
        <v>3.95013062572845</v>
      </c>
      <c r="I20" s="17" t="n">
        <f aca="false">IF(COUNTIF(Distance_Matrix!$E$8:$DQ$8,$E20)&lt;=1,0,(H20-G20)/MAX(G20,H20))</f>
        <v>0.551751987164218</v>
      </c>
      <c r="X20" s="17" t="n">
        <f aca="false">SQRT(($B20-X$8)^2+($C20-X$9)^2+($D20-X$10)^2)</f>
        <v>3.11649342466592</v>
      </c>
      <c r="Y20" s="17" t="n">
        <f aca="false">SQRT(($B20-Y$8)^2+($C20-Y$9)^2+($D20-Y$10)^2)</f>
        <v>5.28240577925859</v>
      </c>
      <c r="Z20" s="63" t="n">
        <f aca="false">MATCH(MIN(X20:Y20),X20:Y20,0)</f>
        <v>1</v>
      </c>
      <c r="AB20" s="17" t="n">
        <f aca="false">SQRT(($B20-AB$8)^2+($C20-AB$9)^2+($D20-AB$10)^2)</f>
        <v>0.650705613748882</v>
      </c>
      <c r="AC20" s="17" t="n">
        <f aca="false">SQRT(($B20-AC$8)^2+($C20-AC$9)^2+($D20-AC$10)^2)</f>
        <v>3.38210325181849</v>
      </c>
      <c r="AD20" s="63" t="n">
        <f aca="false">MATCH(MIN(AB20:AC20),AB20:AC20,0)</f>
        <v>1</v>
      </c>
      <c r="AF20" s="17" t="n">
        <f aca="false">SQRT(($B20-AF$8)^2+($C20-AF$9)^2+($D20-AF$10)^2)</f>
        <v>0.297601667843688</v>
      </c>
      <c r="AG20" s="17" t="n">
        <f aca="false">SQRT(($B20-AG$8)^2+($C20-AG$9)^2+($D20-AG$10)^2)</f>
        <v>3.48425874290854</v>
      </c>
      <c r="AH20" s="63" t="n">
        <f aca="false">MATCH(MIN(AF20:AG20),AF20:AG20,0)</f>
        <v>1</v>
      </c>
      <c r="AJ20" s="17" t="n">
        <f aca="false">SQRT(($B20-AJ$8)^2+($C20-AJ$9)^2+($D20-AJ$10)^2)</f>
        <v>0.741949408682659</v>
      </c>
      <c r="AK20" s="17" t="n">
        <f aca="false">SQRT(($B20-AK$8)^2+($C20-AK$9)^2+($D20-AK$10)^2)</f>
        <v>3.68947365702204</v>
      </c>
      <c r="AL20" s="63" t="n">
        <f aca="false">MATCH(MIN(AJ20:AK20),AJ20:AK20,0)</f>
        <v>1</v>
      </c>
      <c r="AN20" s="17" t="n">
        <f aca="false">SQRT(($B20-AN$8)^2+($C20-AN$9)^2+($D20-AN$10)^2)</f>
        <v>0.963394560987215</v>
      </c>
      <c r="AO20" s="17" t="n">
        <f aca="false">SQRT(($B20-AO$8)^2+($C20-AO$9)^2+($D20-AO$10)^2)</f>
        <v>3.78952901486011</v>
      </c>
      <c r="AP20" s="63" t="n">
        <f aca="false">MATCH(MIN(AN20:AO20),AN20:AO20,0)</f>
        <v>1</v>
      </c>
      <c r="AR20" s="17" t="n">
        <f aca="false">SQRT(($B20-AR$8)^2+($C20-AR$9)^2+($D20-AR$10)^2)</f>
        <v>1.08471148710278</v>
      </c>
      <c r="AS20" s="17" t="n">
        <f aca="false">SQRT(($B20-AS$8)^2+($C20-AS$9)^2+($D20-AS$10)^2)</f>
        <v>3.84290483355364</v>
      </c>
      <c r="AT20" s="63" t="n">
        <f aca="false">MATCH(MIN(AR20:AS20),AR20:AS20,0)</f>
        <v>1</v>
      </c>
      <c r="AV20" s="17" t="n">
        <f aca="false">SQRT(($B20-AV$8)^2+($C20-AV$9)^2+($D20-AV$10)^2)</f>
        <v>1.1204030666801</v>
      </c>
      <c r="AW20" s="17" t="n">
        <f aca="false">SQRT(($B20-AW$8)^2+($C20-AW$9)^2+($D20-AW$10)^2)</f>
        <v>3.8606575178035</v>
      </c>
      <c r="AX20" s="63" t="n">
        <f aca="false">MATCH(MIN(AV20:AW20),AV20:AW20,0)</f>
        <v>1</v>
      </c>
      <c r="AZ20" s="17" t="n">
        <f aca="false">SQRT(($B20-AZ$8)^2+($C20-AZ$9)^2+($D20-AZ$10)^2)</f>
        <v>1.15468092360173</v>
      </c>
      <c r="BA20" s="17" t="n">
        <f aca="false">SQRT(($B20-BA$8)^2+($C20-BA$9)^2+($D20-BA$10)^2)</f>
        <v>3.87816541808474</v>
      </c>
      <c r="BB20" s="63" t="n">
        <f aca="false">MATCH(MIN(AZ20:BA20),AZ20:BA20,0)</f>
        <v>1</v>
      </c>
      <c r="BD20" s="17" t="n">
        <f aca="false">SQRT(($B20-BD$8)^2+($C20-BD$9)^2+($D20-BD$10)^2)</f>
        <v>1.15468092360173</v>
      </c>
      <c r="BE20" s="17" t="n">
        <f aca="false">SQRT(($B20-BE$8)^2+($C20-BE$9)^2+($D20-BE$10)^2)</f>
        <v>3.87816541808474</v>
      </c>
      <c r="BF20" s="63" t="n">
        <f aca="false">MATCH(MIN(BD20:BE20),BD20:BE20,0)</f>
        <v>1</v>
      </c>
      <c r="BH20" s="17" t="n">
        <f aca="false">SQRT(($B20-BH$8)^2+($C20-BH$9)^2+($D20-BH$10)^2)</f>
        <v>1.15468092360173</v>
      </c>
      <c r="BI20" s="17" t="n">
        <f aca="false">SQRT(($B20-BI$8)^2+($C20-BI$9)^2+($D20-BI$10)^2)</f>
        <v>3.87816541808474</v>
      </c>
      <c r="BJ20" s="63" t="n">
        <f aca="false">MATCH(MIN(BH20:BI20),BH20:BI20,0)</f>
        <v>1</v>
      </c>
      <c r="BL20" s="17" t="n">
        <f aca="false">SQRT(($B20-BL$8)^2+($C20-BL$9)^2+($D20-BL$10)^2)</f>
        <v>1.15468092360173</v>
      </c>
      <c r="BM20" s="17" t="n">
        <f aca="false">SQRT(($B20-BM$8)^2+($C20-BM$9)^2+($D20-BM$10)^2)</f>
        <v>3.87816541808474</v>
      </c>
      <c r="BN20" s="63" t="n">
        <f aca="false">MATCH(MIN(BL20:BM20),BL20:BM20,0)</f>
        <v>1</v>
      </c>
      <c r="BP20" s="17" t="n">
        <f aca="false">SQRT(($B20-BP$8)^2+($C20-BP$9)^2+($D20-BP$10)^2)</f>
        <v>1.15468092360173</v>
      </c>
      <c r="BQ20" s="17" t="n">
        <f aca="false">SQRT(($B20-BQ$8)^2+($C20-BQ$9)^2+($D20-BQ$10)^2)</f>
        <v>3.87816541808474</v>
      </c>
      <c r="BR20" s="63" t="n">
        <f aca="false">MATCH(MIN(BP20:BQ20),BP20:BQ20,0)</f>
        <v>1</v>
      </c>
    </row>
    <row r="21" customFormat="false" ht="15" hidden="false" customHeight="false" outlineLevel="0" collapsed="false">
      <c r="A21" s="36" t="str">
        <f aca="false">KMeans_Data!A11</f>
        <v>Multan</v>
      </c>
      <c r="B21" s="17" t="n">
        <f aca="false">KMeans_Data!H11</f>
        <v>1.339480128572</v>
      </c>
      <c r="C21" s="17" t="n">
        <f aca="false">KMeans_Data!I11</f>
        <v>0.160512589624996</v>
      </c>
      <c r="D21" s="17" t="n">
        <f aca="false">KMeans_Data!J11</f>
        <v>-0.824446015898766</v>
      </c>
      <c r="E21" s="63" t="n">
        <f aca="false">BR21</f>
        <v>2</v>
      </c>
      <c r="F21" s="38" t="n">
        <f aca="false">($B21-INDEX($L$8:$M$8,E21))^2+($C21-INDEX($L$9:$M$9,E21))^2+($D21-INDEX($L$10:$M$10,E21))^2</f>
        <v>3.75377532096278</v>
      </c>
      <c r="G21" s="17" t="n">
        <f aca="false">IF(COUNTIF(Distance_Matrix!$E$8:$DQ$8,$E21)&lt;=1,0,SUMIF(Distance_Matrix!$E$8:$DQ$8,$E21,Distance_Matrix!$E$20:$DQ$20)/(COUNTIF(Distance_Matrix!$E$8:$DQ$8,$E21)-1))</f>
        <v>2.11814005670211</v>
      </c>
      <c r="H21" s="17" t="n">
        <f aca="false">MIN(IF(1=$E21,1E+099,IF(COUNTIF(Distance_Matrix!$E$8:$DQ$8,1)=0,1E+099,SUMIF(Distance_Matrix!$E$8:$DQ$8,1,Distance_Matrix!$E$20:$DQ$20)/COUNTIF(Distance_Matrix!$E$8:$DQ$8,1))),IF(2=$E21,1E+099,IF(COUNTIF(Distance_Matrix!$E$8:$DQ$8,2)=0,1E+099,SUMIF(Distance_Matrix!$E$8:$DQ$8,2,Distance_Matrix!$E$20:$DQ$20)/COUNTIF(Distance_Matrix!$E$8:$DQ$8,2))))</f>
        <v>2.45782780517736</v>
      </c>
      <c r="I21" s="17" t="n">
        <f aca="false">IF(COUNTIF(Distance_Matrix!$E$8:$DQ$8,$E21)&lt;=1,0,(H21-G21)/MAX(G21,H21))</f>
        <v>0.138206487761145</v>
      </c>
      <c r="X21" s="17" t="n">
        <f aca="false">SQRT(($B21-X$8)^2+($C21-X$9)^2+($D21-X$10)^2)</f>
        <v>5.95048749318587</v>
      </c>
      <c r="Y21" s="17" t="n">
        <f aca="false">SQRT(($B21-Y$8)^2+($C21-Y$9)^2+($D21-Y$10)^2)</f>
        <v>3.53389042212498</v>
      </c>
      <c r="Z21" s="63" t="n">
        <f aca="false">MATCH(MIN(X21:Y21),X21:Y21,0)</f>
        <v>2</v>
      </c>
      <c r="AB21" s="17" t="n">
        <f aca="false">SQRT(($B21-AB$8)^2+($C21-AB$9)^2+($D21-AB$10)^2)</f>
        <v>3.52580248400513</v>
      </c>
      <c r="AC21" s="17" t="n">
        <f aca="false">SQRT(($B21-AC$8)^2+($C21-AC$9)^2+($D21-AC$10)^2)</f>
        <v>1.69986958743772</v>
      </c>
      <c r="AD21" s="63" t="n">
        <f aca="false">MATCH(MIN(AB21:AC21),AB21:AC21,0)</f>
        <v>2</v>
      </c>
      <c r="AF21" s="17" t="n">
        <f aca="false">SQRT(($B21-AF$8)^2+($C21-AF$9)^2+($D21-AF$10)^2)</f>
        <v>2.98868630680708</v>
      </c>
      <c r="AG21" s="17" t="n">
        <f aca="false">SQRT(($B21-AG$8)^2+($C21-AG$9)^2+($D21-AG$10)^2)</f>
        <v>1.74603035569806</v>
      </c>
      <c r="AH21" s="63" t="n">
        <f aca="false">MATCH(MIN(AF21:AG21),AF21:AG21,0)</f>
        <v>2</v>
      </c>
      <c r="AJ21" s="17" t="n">
        <f aca="false">SQRT(($B21-AJ$8)^2+($C21-AJ$9)^2+($D21-AJ$10)^2)</f>
        <v>2.54815718220578</v>
      </c>
      <c r="AK21" s="17" t="n">
        <f aca="false">SQRT(($B21-AK$8)^2+($C21-AK$9)^2+($D21-AK$10)^2)</f>
        <v>1.83293264378143</v>
      </c>
      <c r="AL21" s="63" t="n">
        <f aca="false">MATCH(MIN(AJ21:AK21),AJ21:AK21,0)</f>
        <v>2</v>
      </c>
      <c r="AN21" s="17" t="n">
        <f aca="false">SQRT(($B21-AN$8)^2+($C21-AN$9)^2+($D21-AN$10)^2)</f>
        <v>2.39946014020462</v>
      </c>
      <c r="AO21" s="17" t="n">
        <f aca="false">SQRT(($B21-AO$8)^2+($C21-AO$9)^2+($D21-AO$10)^2)</f>
        <v>1.88708965488879</v>
      </c>
      <c r="AP21" s="63" t="n">
        <f aca="false">MATCH(MIN(AN21:AO21),AN21:AO21,0)</f>
        <v>2</v>
      </c>
      <c r="AR21" s="17" t="n">
        <f aca="false">SQRT(($B21-AR$8)^2+($C21-AR$9)^2+($D21-AR$10)^2)</f>
        <v>2.30715094862775</v>
      </c>
      <c r="AS21" s="17" t="n">
        <f aca="false">SQRT(($B21-AS$8)^2+($C21-AS$9)^2+($D21-AS$10)^2)</f>
        <v>1.91797343060253</v>
      </c>
      <c r="AT21" s="63" t="n">
        <f aca="false">MATCH(MIN(AR21:AS21),AR21:AS21,0)</f>
        <v>2</v>
      </c>
      <c r="AV21" s="17" t="n">
        <f aca="false">SQRT(($B21-AV$8)^2+($C21-AV$9)^2+($D21-AV$10)^2)</f>
        <v>2.27357084457827</v>
      </c>
      <c r="AW21" s="17" t="n">
        <f aca="false">SQRT(($B21-AW$8)^2+($C21-AW$9)^2+($D21-AW$10)^2)</f>
        <v>1.93056217191364</v>
      </c>
      <c r="AX21" s="63" t="n">
        <f aca="false">MATCH(MIN(AV21:AW21),AV21:AW21,0)</f>
        <v>2</v>
      </c>
      <c r="AZ21" s="17" t="n">
        <f aca="false">SQRT(($B21-AZ$8)^2+($C21-AZ$9)^2+($D21-AZ$10)^2)</f>
        <v>2.2518425067755</v>
      </c>
      <c r="BA21" s="17" t="n">
        <f aca="false">SQRT(($B21-BA$8)^2+($C21-BA$9)^2+($D21-BA$10)^2)</f>
        <v>1.93746621156674</v>
      </c>
      <c r="BB21" s="63" t="n">
        <f aca="false">MATCH(MIN(AZ21:BA21),AZ21:BA21,0)</f>
        <v>2</v>
      </c>
      <c r="BD21" s="17" t="n">
        <f aca="false">SQRT(($B21-BD$8)^2+($C21-BD$9)^2+($D21-BD$10)^2)</f>
        <v>2.2518425067755</v>
      </c>
      <c r="BE21" s="17" t="n">
        <f aca="false">SQRT(($B21-BE$8)^2+($C21-BE$9)^2+($D21-BE$10)^2)</f>
        <v>1.93746621156674</v>
      </c>
      <c r="BF21" s="63" t="n">
        <f aca="false">MATCH(MIN(BD21:BE21),BD21:BE21,0)</f>
        <v>2</v>
      </c>
      <c r="BH21" s="17" t="n">
        <f aca="false">SQRT(($B21-BH$8)^2+($C21-BH$9)^2+($D21-BH$10)^2)</f>
        <v>2.2518425067755</v>
      </c>
      <c r="BI21" s="17" t="n">
        <f aca="false">SQRT(($B21-BI$8)^2+($C21-BI$9)^2+($D21-BI$10)^2)</f>
        <v>1.93746621156674</v>
      </c>
      <c r="BJ21" s="63" t="n">
        <f aca="false">MATCH(MIN(BH21:BI21),BH21:BI21,0)</f>
        <v>2</v>
      </c>
      <c r="BL21" s="17" t="n">
        <f aca="false">SQRT(($B21-BL$8)^2+($C21-BL$9)^2+($D21-BL$10)^2)</f>
        <v>2.2518425067755</v>
      </c>
      <c r="BM21" s="17" t="n">
        <f aca="false">SQRT(($B21-BM$8)^2+($C21-BM$9)^2+($D21-BM$10)^2)</f>
        <v>1.93746621156674</v>
      </c>
      <c r="BN21" s="63" t="n">
        <f aca="false">MATCH(MIN(BL21:BM21),BL21:BM21,0)</f>
        <v>2</v>
      </c>
      <c r="BP21" s="17" t="n">
        <f aca="false">SQRT(($B21-BP$8)^2+($C21-BP$9)^2+($D21-BP$10)^2)</f>
        <v>2.2518425067755</v>
      </c>
      <c r="BQ21" s="17" t="n">
        <f aca="false">SQRT(($B21-BQ$8)^2+($C21-BQ$9)^2+($D21-BQ$10)^2)</f>
        <v>1.93746621156674</v>
      </c>
      <c r="BR21" s="63" t="n">
        <f aca="false">MATCH(MIN(BP21:BQ21),BP21:BQ21,0)</f>
        <v>2</v>
      </c>
    </row>
    <row r="22" customFormat="false" ht="15" hidden="false" customHeight="false" outlineLevel="0" collapsed="false">
      <c r="A22" s="36" t="str">
        <f aca="false">KMeans_Data!A12</f>
        <v>Sukkur</v>
      </c>
      <c r="B22" s="17" t="n">
        <f aca="false">KMeans_Data!H12</f>
        <v>1.31634431892529</v>
      </c>
      <c r="C22" s="17" t="n">
        <f aca="false">KMeans_Data!I12</f>
        <v>0.686180001083741</v>
      </c>
      <c r="D22" s="17" t="n">
        <f aca="false">KMeans_Data!J12</f>
        <v>1.72384035190912</v>
      </c>
      <c r="E22" s="63" t="n">
        <f aca="false">BR22</f>
        <v>1</v>
      </c>
      <c r="F22" s="38" t="n">
        <f aca="false">($B22-INDEX($L$8:$M$8,E22))^2+($C22-INDEX($L$9:$M$9,E22))^2+($D22-INDEX($L$10:$M$10,E22))^2</f>
        <v>0.687921959086553</v>
      </c>
      <c r="G22" s="17" t="n">
        <f aca="false">IF(COUNTIF(Distance_Matrix!$E$8:$DQ$8,$E22)&lt;=1,0,SUMIF(Distance_Matrix!$E$8:$DQ$8,$E22,Distance_Matrix!$E$21:$DQ$21)/(COUNTIF(Distance_Matrix!$E$8:$DQ$8,$E22)-1))</f>
        <v>1.44554127831706</v>
      </c>
      <c r="H22" s="17" t="n">
        <f aca="false">MIN(IF(1=$E22,1E+099,IF(COUNTIF(Distance_Matrix!$E$8:$DQ$8,1)=0,1E+099,SUMIF(Distance_Matrix!$E$8:$DQ$8,1,Distance_Matrix!$E$21:$DQ$21)/COUNTIF(Distance_Matrix!$E$8:$DQ$8,1))),IF(2=$E22,1E+099,IF(COUNTIF(Distance_Matrix!$E$8:$DQ$8,2)=0,1E+099,SUMIF(Distance_Matrix!$E$8:$DQ$8,2,Distance_Matrix!$E$21:$DQ$21)/COUNTIF(Distance_Matrix!$E$8:$DQ$8,2))))</f>
        <v>3.138829953122</v>
      </c>
      <c r="I22" s="17" t="n">
        <f aca="false">IF(COUNTIF(Distance_Matrix!$E$8:$DQ$8,$E22)&lt;=1,0,(H22-G22)/MAX(G22,H22))</f>
        <v>0.539464928044518</v>
      </c>
      <c r="X22" s="17" t="n">
        <f aca="false">SQRT(($B22-X$8)^2+($C22-X$9)^2+($D22-X$10)^2)</f>
        <v>4.17270705171046</v>
      </c>
      <c r="Y22" s="17" t="n">
        <f aca="false">SQRT(($B22-Y$8)^2+($C22-Y$9)^2+($D22-Y$10)^2)</f>
        <v>4.64905759921659</v>
      </c>
      <c r="Z22" s="63" t="n">
        <f aca="false">MATCH(MIN(X22:Y22),X22:Y22,0)</f>
        <v>1</v>
      </c>
      <c r="AB22" s="17" t="n">
        <f aca="false">SQRT(($B22-AB$8)^2+($C22-AB$9)^2+($D22-AB$10)^2)</f>
        <v>1.79396064558412</v>
      </c>
      <c r="AC22" s="17" t="n">
        <f aca="false">SQRT(($B22-AC$8)^2+($C22-AC$9)^2+($D22-AC$10)^2)</f>
        <v>2.58383110775463</v>
      </c>
      <c r="AD22" s="63" t="n">
        <f aca="false">MATCH(MIN(AB22:AC22),AB22:AC22,0)</f>
        <v>1</v>
      </c>
      <c r="AF22" s="17" t="n">
        <f aca="false">SQRT(($B22-AF$8)^2+($C22-AF$9)^2+($D22-AF$10)^2)</f>
        <v>1.33615747904928</v>
      </c>
      <c r="AG22" s="17" t="n">
        <f aca="false">SQRT(($B22-AG$8)^2+($C22-AG$9)^2+($D22-AG$10)^2)</f>
        <v>2.6774339122658</v>
      </c>
      <c r="AH22" s="63" t="n">
        <f aca="false">MATCH(MIN(AF22:AG22),AF22:AG22,0)</f>
        <v>1</v>
      </c>
      <c r="AJ22" s="17" t="n">
        <f aca="false">SQRT(($B22-AJ$8)^2+($C22-AJ$9)^2+($D22-AJ$10)^2)</f>
        <v>0.963320416147362</v>
      </c>
      <c r="AK22" s="17" t="n">
        <f aca="false">SQRT(($B22-AK$8)^2+($C22-AK$9)^2+($D22-AK$10)^2)</f>
        <v>2.87654344479025</v>
      </c>
      <c r="AL22" s="63" t="n">
        <f aca="false">MATCH(MIN(AJ22:AK22),AJ22:AK22,0)</f>
        <v>1</v>
      </c>
      <c r="AN22" s="17" t="n">
        <f aca="false">SQRT(($B22-AN$8)^2+($C22-AN$9)^2+($D22-AN$10)^2)</f>
        <v>0.834545575450446</v>
      </c>
      <c r="AO22" s="17" t="n">
        <f aca="false">SQRT(($B22-AO$8)^2+($C22-AO$9)^2+($D22-AO$10)^2)</f>
        <v>2.98402601718012</v>
      </c>
      <c r="AP22" s="63" t="n">
        <f aca="false">MATCH(MIN(AN22:AO22),AN22:AO22,0)</f>
        <v>1</v>
      </c>
      <c r="AR22" s="17" t="n">
        <f aca="false">SQRT(($B22-AR$8)^2+($C22-AR$9)^2+($D22-AR$10)^2)</f>
        <v>0.814187940030056</v>
      </c>
      <c r="AS22" s="17" t="n">
        <f aca="false">SQRT(($B22-AS$8)^2+($C22-AS$9)^2+($D22-AS$10)^2)</f>
        <v>3.03908047375189</v>
      </c>
      <c r="AT22" s="63" t="n">
        <f aca="false">MATCH(MIN(AR22:AS22),AR22:AS22,0)</f>
        <v>1</v>
      </c>
      <c r="AV22" s="17" t="n">
        <f aca="false">SQRT(($B22-AV$8)^2+($C22-AV$9)^2+($D22-AV$10)^2)</f>
        <v>0.81906587864953</v>
      </c>
      <c r="AW22" s="17" t="n">
        <f aca="false">SQRT(($B22-AW$8)^2+($C22-AW$9)^2+($D22-AW$10)^2)</f>
        <v>3.05635163499536</v>
      </c>
      <c r="AX22" s="63" t="n">
        <f aca="false">MATCH(MIN(AV22:AW22),AV22:AW22,0)</f>
        <v>1</v>
      </c>
      <c r="AZ22" s="17" t="n">
        <f aca="false">SQRT(($B22-AZ$8)^2+($C22-AZ$9)^2+($D22-AZ$10)^2)</f>
        <v>0.829410609461052</v>
      </c>
      <c r="BA22" s="17" t="n">
        <f aca="false">SQRT(($B22-BA$8)^2+($C22-BA$9)^2+($D22-BA$10)^2)</f>
        <v>3.07279423518853</v>
      </c>
      <c r="BB22" s="63" t="n">
        <f aca="false">MATCH(MIN(AZ22:BA22),AZ22:BA22,0)</f>
        <v>1</v>
      </c>
      <c r="BD22" s="17" t="n">
        <f aca="false">SQRT(($B22-BD$8)^2+($C22-BD$9)^2+($D22-BD$10)^2)</f>
        <v>0.829410609461052</v>
      </c>
      <c r="BE22" s="17" t="n">
        <f aca="false">SQRT(($B22-BE$8)^2+($C22-BE$9)^2+($D22-BE$10)^2)</f>
        <v>3.07279423518853</v>
      </c>
      <c r="BF22" s="63" t="n">
        <f aca="false">MATCH(MIN(BD22:BE22),BD22:BE22,0)</f>
        <v>1</v>
      </c>
      <c r="BH22" s="17" t="n">
        <f aca="false">SQRT(($B22-BH$8)^2+($C22-BH$9)^2+($D22-BH$10)^2)</f>
        <v>0.829410609461052</v>
      </c>
      <c r="BI22" s="17" t="n">
        <f aca="false">SQRT(($B22-BI$8)^2+($C22-BI$9)^2+($D22-BI$10)^2)</f>
        <v>3.07279423518853</v>
      </c>
      <c r="BJ22" s="63" t="n">
        <f aca="false">MATCH(MIN(BH22:BI22),BH22:BI22,0)</f>
        <v>1</v>
      </c>
      <c r="BL22" s="17" t="n">
        <f aca="false">SQRT(($B22-BL$8)^2+($C22-BL$9)^2+($D22-BL$10)^2)</f>
        <v>0.829410609461052</v>
      </c>
      <c r="BM22" s="17" t="n">
        <f aca="false">SQRT(($B22-BM$8)^2+($C22-BM$9)^2+($D22-BM$10)^2)</f>
        <v>3.07279423518853</v>
      </c>
      <c r="BN22" s="63" t="n">
        <f aca="false">MATCH(MIN(BL22:BM22),BL22:BM22,0)</f>
        <v>1</v>
      </c>
      <c r="BP22" s="17" t="n">
        <f aca="false">SQRT(($B22-BP$8)^2+($C22-BP$9)^2+($D22-BP$10)^2)</f>
        <v>0.829410609461052</v>
      </c>
      <c r="BQ22" s="17" t="n">
        <f aca="false">SQRT(($B22-BQ$8)^2+($C22-BQ$9)^2+($D22-BQ$10)^2)</f>
        <v>3.07279423518853</v>
      </c>
      <c r="BR22" s="63" t="n">
        <f aca="false">MATCH(MIN(BP22:BQ22),BP22:BQ22,0)</f>
        <v>1</v>
      </c>
    </row>
    <row r="23" customFormat="false" ht="15" hidden="false" customHeight="false" outlineLevel="0" collapsed="false">
      <c r="A23" s="36" t="str">
        <f aca="false">KMeans_Data!A13</f>
        <v>Hyderabad</v>
      </c>
      <c r="B23" s="17" t="n">
        <f aca="false">KMeans_Data!H13</f>
        <v>1.25912764531491</v>
      </c>
      <c r="C23" s="17" t="n">
        <f aca="false">KMeans_Data!I13</f>
        <v>1.21184741254249</v>
      </c>
      <c r="D23" s="17" t="n">
        <f aca="false">KMeans_Data!J13</f>
        <v>1.69551048544459</v>
      </c>
      <c r="E23" s="63" t="n">
        <f aca="false">BR23</f>
        <v>1</v>
      </c>
      <c r="F23" s="38" t="n">
        <f aca="false">($B23-INDEX($L$8:$M$8,E23))^2+($C23-INDEX($L$9:$M$9,E23))^2+($D23-INDEX($L$10:$M$10,E23))^2</f>
        <v>0.351395166738745</v>
      </c>
      <c r="G23" s="17" t="n">
        <f aca="false">IF(COUNTIF(Distance_Matrix!$E$8:$DQ$8,$E23)&lt;=1,0,SUMIF(Distance_Matrix!$E$8:$DQ$8,$E23,Distance_Matrix!$E$22:$DQ$22)/(COUNTIF(Distance_Matrix!$E$8:$DQ$8,$E23)-1))</f>
        <v>1.3828262908711</v>
      </c>
      <c r="H23" s="17" t="n">
        <f aca="false">MIN(IF(1=$E23,1E+099,IF(COUNTIF(Distance_Matrix!$E$8:$DQ$8,1)=0,1E+099,SUMIF(Distance_Matrix!$E$8:$DQ$8,1,Distance_Matrix!$E$22:$DQ$22)/COUNTIF(Distance_Matrix!$E$8:$DQ$8,1))),IF(2=$E23,1E+099,IF(COUNTIF(Distance_Matrix!$E$8:$DQ$8,2)=0,1E+099,SUMIF(Distance_Matrix!$E$8:$DQ$8,2,Distance_Matrix!$E$22:$DQ$22)/COUNTIF(Distance_Matrix!$E$8:$DQ$8,2))))</f>
        <v>3.33488125643767</v>
      </c>
      <c r="I23" s="17" t="n">
        <f aca="false">IF(COUNTIF(Distance_Matrix!$E$8:$DQ$8,$E23)&lt;=1,0,(H23-G23)/MAX(G23,H23))</f>
        <v>0.585344669108777</v>
      </c>
      <c r="X23" s="17" t="n">
        <f aca="false">SQRT(($B23-X$8)^2+($C23-X$9)^2+($D23-X$10)^2)</f>
        <v>3.80496885952581</v>
      </c>
      <c r="Y23" s="17" t="n">
        <f aca="false">SQRT(($B23-Y$8)^2+($C23-Y$9)^2+($D23-Y$10)^2)</f>
        <v>4.77195093233386</v>
      </c>
      <c r="Z23" s="63" t="n">
        <f aca="false">MATCH(MIN(X23:Y23),X23:Y23,0)</f>
        <v>1</v>
      </c>
      <c r="AB23" s="17" t="n">
        <f aca="false">SQRT(($B23-AB$8)^2+($C23-AB$9)^2+($D23-AB$10)^2)</f>
        <v>1.35417065002105</v>
      </c>
      <c r="AC23" s="17" t="n">
        <f aca="false">SQRT(($B23-AC$8)^2+($C23-AC$9)^2+($D23-AC$10)^2)</f>
        <v>2.76215485381802</v>
      </c>
      <c r="AD23" s="63" t="n">
        <f aca="false">MATCH(MIN(AB23:AC23),AB23:AC23,0)</f>
        <v>1</v>
      </c>
      <c r="AF23" s="17" t="n">
        <f aca="false">SQRT(($B23-AF$8)^2+($C23-AF$9)^2+($D23-AF$10)^2)</f>
        <v>0.856983877531846</v>
      </c>
      <c r="AG23" s="17" t="n">
        <f aca="false">SQRT(($B23-AG$8)^2+($C23-AG$9)^2+($D23-AG$10)^2)</f>
        <v>2.86138188767291</v>
      </c>
      <c r="AH23" s="63" t="n">
        <f aca="false">MATCH(MIN(AF23:AG23),AF23:AG23,0)</f>
        <v>1</v>
      </c>
      <c r="AJ23" s="17" t="n">
        <f aca="false">SQRT(($B23-AJ$8)^2+($C23-AJ$9)^2+($D23-AJ$10)^2)</f>
        <v>0.515602992366458</v>
      </c>
      <c r="AK23" s="17" t="n">
        <f aca="false">SQRT(($B23-AK$8)^2+($C23-AK$9)^2+($D23-AK$10)^2)</f>
        <v>3.06801055678558</v>
      </c>
      <c r="AL23" s="63" t="n">
        <f aca="false">MATCH(MIN(AJ23:AK23),AJ23:AK23,0)</f>
        <v>1</v>
      </c>
      <c r="AN23" s="17" t="n">
        <f aca="false">SQRT(($B23-AN$8)^2+($C23-AN$9)^2+($D23-AN$10)^2)</f>
        <v>0.480269161667557</v>
      </c>
      <c r="AO23" s="17" t="n">
        <f aca="false">SQRT(($B23-AO$8)^2+($C23-AO$9)^2+($D23-AO$10)^2)</f>
        <v>3.17464395254771</v>
      </c>
      <c r="AP23" s="63" t="n">
        <f aca="false">MATCH(MIN(AN23:AO23),AN23:AO23,0)</f>
        <v>1</v>
      </c>
      <c r="AR23" s="17" t="n">
        <f aca="false">SQRT(($B23-AR$8)^2+($C23-AR$9)^2+($D23-AR$10)^2)</f>
        <v>0.535491513366177</v>
      </c>
      <c r="AS23" s="17" t="n">
        <f aca="false">SQRT(($B23-AS$8)^2+($C23-AS$9)^2+($D23-AS$10)^2)</f>
        <v>3.23006247147439</v>
      </c>
      <c r="AT23" s="63" t="n">
        <f aca="false">MATCH(MIN(AR23:AS23),AR23:AS23,0)</f>
        <v>1</v>
      </c>
      <c r="AV23" s="17" t="n">
        <f aca="false">SQRT(($B23-AV$8)^2+($C23-AV$9)^2+($D23-AV$10)^2)</f>
        <v>0.564358603601456</v>
      </c>
      <c r="AW23" s="17" t="n">
        <f aca="false">SQRT(($B23-AW$8)^2+($C23-AW$9)^2+($D23-AW$10)^2)</f>
        <v>3.24773669910321</v>
      </c>
      <c r="AX23" s="63" t="n">
        <f aca="false">MATCH(MIN(AV23:AW23),AV23:AW23,0)</f>
        <v>1</v>
      </c>
      <c r="AZ23" s="17" t="n">
        <f aca="false">SQRT(($B23-AZ$8)^2+($C23-AZ$9)^2+($D23-AZ$10)^2)</f>
        <v>0.5927859366911</v>
      </c>
      <c r="BA23" s="17" t="n">
        <f aca="false">SQRT(($B23-BA$8)^2+($C23-BA$9)^2+($D23-BA$10)^2)</f>
        <v>3.26509139868269</v>
      </c>
      <c r="BB23" s="63" t="n">
        <f aca="false">MATCH(MIN(AZ23:BA23),AZ23:BA23,0)</f>
        <v>1</v>
      </c>
      <c r="BD23" s="17" t="n">
        <f aca="false">SQRT(($B23-BD$8)^2+($C23-BD$9)^2+($D23-BD$10)^2)</f>
        <v>0.5927859366911</v>
      </c>
      <c r="BE23" s="17" t="n">
        <f aca="false">SQRT(($B23-BE$8)^2+($C23-BE$9)^2+($D23-BE$10)^2)</f>
        <v>3.26509139868269</v>
      </c>
      <c r="BF23" s="63" t="n">
        <f aca="false">MATCH(MIN(BD23:BE23),BD23:BE23,0)</f>
        <v>1</v>
      </c>
      <c r="BH23" s="17" t="n">
        <f aca="false">SQRT(($B23-BH$8)^2+($C23-BH$9)^2+($D23-BH$10)^2)</f>
        <v>0.5927859366911</v>
      </c>
      <c r="BI23" s="17" t="n">
        <f aca="false">SQRT(($B23-BI$8)^2+($C23-BI$9)^2+($D23-BI$10)^2)</f>
        <v>3.26509139868269</v>
      </c>
      <c r="BJ23" s="63" t="n">
        <f aca="false">MATCH(MIN(BH23:BI23),BH23:BI23,0)</f>
        <v>1</v>
      </c>
      <c r="BL23" s="17" t="n">
        <f aca="false">SQRT(($B23-BL$8)^2+($C23-BL$9)^2+($D23-BL$10)^2)</f>
        <v>0.5927859366911</v>
      </c>
      <c r="BM23" s="17" t="n">
        <f aca="false">SQRT(($B23-BM$8)^2+($C23-BM$9)^2+($D23-BM$10)^2)</f>
        <v>3.26509139868269</v>
      </c>
      <c r="BN23" s="63" t="n">
        <f aca="false">MATCH(MIN(BL23:BM23),BL23:BM23,0)</f>
        <v>1</v>
      </c>
      <c r="BP23" s="17" t="n">
        <f aca="false">SQRT(($B23-BP$8)^2+($C23-BP$9)^2+($D23-BP$10)^2)</f>
        <v>0.5927859366911</v>
      </c>
      <c r="BQ23" s="17" t="n">
        <f aca="false">SQRT(($B23-BQ$8)^2+($C23-BQ$9)^2+($D23-BQ$10)^2)</f>
        <v>3.26509139868269</v>
      </c>
      <c r="BR23" s="63" t="n">
        <f aca="false">MATCH(MIN(BP23:BQ23),BP23:BQ23,0)</f>
        <v>1</v>
      </c>
    </row>
    <row r="24" customFormat="false" ht="15" hidden="false" customHeight="false" outlineLevel="0" collapsed="false">
      <c r="A24" s="36" t="str">
        <f aca="false">KMeans_Data!A14</f>
        <v>Raiwind</v>
      </c>
      <c r="B24" s="17" t="n">
        <f aca="false">KMeans_Data!H14</f>
        <v>1.20153859722623</v>
      </c>
      <c r="C24" s="17" t="n">
        <f aca="false">KMeans_Data!I14</f>
        <v>-0.146983133929529</v>
      </c>
      <c r="D24" s="17" t="n">
        <f aca="false">KMeans_Data!J14</f>
        <v>-0.824446015898766</v>
      </c>
      <c r="E24" s="63" t="n">
        <f aca="false">BR24</f>
        <v>2</v>
      </c>
      <c r="F24" s="38" t="n">
        <f aca="false">($B24-INDEX($L$8:$M$8,E24))^2+($C24-INDEX($L$9:$M$9,E24))^2+($D24-INDEX($L$10:$M$10,E24))^2</f>
        <v>2.95846787404036</v>
      </c>
      <c r="G24" s="17" t="n">
        <f aca="false">IF(COUNTIF(Distance_Matrix!$E$8:$DQ$8,$E24)&lt;=1,0,SUMIF(Distance_Matrix!$E$8:$DQ$8,$E24,Distance_Matrix!$E$23:$DQ$23)/(COUNTIF(Distance_Matrix!$E$8:$DQ$8,$E24)-1))</f>
        <v>1.91990737743932</v>
      </c>
      <c r="H24" s="17" t="n">
        <f aca="false">MIN(IF(1=$E24,1E+099,IF(COUNTIF(Distance_Matrix!$E$8:$DQ$8,1)=0,1E+099,SUMIF(Distance_Matrix!$E$8:$DQ$8,1,Distance_Matrix!$E$23:$DQ$23)/COUNTIF(Distance_Matrix!$E$8:$DQ$8,1))),IF(2=$E24,1E+099,IF(COUNTIF(Distance_Matrix!$E$8:$DQ$8,2)=0,1E+099,SUMIF(Distance_Matrix!$E$8:$DQ$8,2,Distance_Matrix!$E$23:$DQ$23)/COUNTIF(Distance_Matrix!$E$8:$DQ$8,2))))</f>
        <v>2.56610701924981</v>
      </c>
      <c r="I24" s="17" t="n">
        <f aca="false">IF(COUNTIF(Distance_Matrix!$E$8:$DQ$8,$E24)&lt;=1,0,(H24-G24)/MAX(G24,H24))</f>
        <v>0.251821002383371</v>
      </c>
      <c r="X24" s="17" t="n">
        <f aca="false">SQRT(($B24-X$8)^2+($C24-X$9)^2+($D24-X$10)^2)</f>
        <v>6.20006570834277</v>
      </c>
      <c r="Y24" s="17" t="n">
        <f aca="false">SQRT(($B24-Y$8)^2+($C24-Y$9)^2+($D24-Y$10)^2)</f>
        <v>3.33860306644569</v>
      </c>
      <c r="Z24" s="63" t="n">
        <f aca="false">MATCH(MIN(X24:Y24),X24:Y24,0)</f>
        <v>2</v>
      </c>
      <c r="AB24" s="17" t="n">
        <f aca="false">SQRT(($B24-AB$8)^2+($C24-AB$9)^2+($D24-AB$10)^2)</f>
        <v>3.75045851378702</v>
      </c>
      <c r="AC24" s="17" t="n">
        <f aca="false">SQRT(($B24-AC$8)^2+($C24-AC$9)^2+($D24-AC$10)^2)</f>
        <v>1.53263362537185</v>
      </c>
      <c r="AD24" s="63" t="n">
        <f aca="false">MATCH(MIN(AB24:AC24),AB24:AC24,0)</f>
        <v>2</v>
      </c>
      <c r="AF24" s="17" t="n">
        <f aca="false">SQRT(($B24-AF$8)^2+($C24-AF$9)^2+($D24-AF$10)^2)</f>
        <v>3.19961295827382</v>
      </c>
      <c r="AG24" s="17" t="n">
        <f aca="false">SQRT(($B24-AG$8)^2+($C24-AG$9)^2+($D24-AG$10)^2)</f>
        <v>1.5651963191657</v>
      </c>
      <c r="AH24" s="63" t="n">
        <f aca="false">MATCH(MIN(AF24:AG24),AF24:AG24,0)</f>
        <v>2</v>
      </c>
      <c r="AJ24" s="17" t="n">
        <f aca="false">SQRT(($B24-AJ$8)^2+($C24-AJ$9)^2+($D24-AJ$10)^2)</f>
        <v>2.72606877566534</v>
      </c>
      <c r="AK24" s="17" t="n">
        <f aca="false">SQRT(($B24-AK$8)^2+($C24-AK$9)^2+($D24-AK$10)^2)</f>
        <v>1.62898930907038</v>
      </c>
      <c r="AL24" s="63" t="n">
        <f aca="false">MATCH(MIN(AJ24:AK24),AJ24:AK24,0)</f>
        <v>2</v>
      </c>
      <c r="AN24" s="17" t="n">
        <f aca="false">SQRT(($B24-AN$8)^2+($C24-AN$9)^2+($D24-AN$10)^2)</f>
        <v>2.55959040585151</v>
      </c>
      <c r="AO24" s="17" t="n">
        <f aca="false">SQRT(($B24-AO$8)^2+($C24-AO$9)^2+($D24-AO$10)^2)</f>
        <v>1.67639755894793</v>
      </c>
      <c r="AP24" s="63" t="n">
        <f aca="false">MATCH(MIN(AN24:AO24),AN24:AO24,0)</f>
        <v>2</v>
      </c>
      <c r="AR24" s="17" t="n">
        <f aca="false">SQRT(($B24-AR$8)^2+($C24-AR$9)^2+($D24-AR$10)^2)</f>
        <v>2.4579974015995</v>
      </c>
      <c r="AS24" s="17" t="n">
        <f aca="false">SQRT(($B24-AS$8)^2+($C24-AS$9)^2+($D24-AS$10)^2)</f>
        <v>1.7035921813176</v>
      </c>
      <c r="AT24" s="63" t="n">
        <f aca="false">MATCH(MIN(AR24:AS24),AR24:AS24,0)</f>
        <v>2</v>
      </c>
      <c r="AV24" s="17" t="n">
        <f aca="false">SQRT(($B24-AV$8)^2+($C24-AV$9)^2+($D24-AV$10)^2)</f>
        <v>2.42229651864516</v>
      </c>
      <c r="AW24" s="17" t="n">
        <f aca="false">SQRT(($B24-AW$8)^2+($C24-AW$9)^2+($D24-AW$10)^2)</f>
        <v>1.71494042419731</v>
      </c>
      <c r="AX24" s="63" t="n">
        <f aca="false">MATCH(MIN(AV24:AW24),AV24:AW24,0)</f>
        <v>2</v>
      </c>
      <c r="AZ24" s="17" t="n">
        <f aca="false">SQRT(($B24-AZ$8)^2+($C24-AZ$9)^2+($D24-AZ$10)^2)</f>
        <v>2.39759623312202</v>
      </c>
      <c r="BA24" s="17" t="n">
        <f aca="false">SQRT(($B24-BA$8)^2+($C24-BA$9)^2+($D24-BA$10)^2)</f>
        <v>1.72001973071252</v>
      </c>
      <c r="BB24" s="63" t="n">
        <f aca="false">MATCH(MIN(AZ24:BA24),AZ24:BA24,0)</f>
        <v>2</v>
      </c>
      <c r="BD24" s="17" t="n">
        <f aca="false">SQRT(($B24-BD$8)^2+($C24-BD$9)^2+($D24-BD$10)^2)</f>
        <v>2.39759623312202</v>
      </c>
      <c r="BE24" s="17" t="n">
        <f aca="false">SQRT(($B24-BE$8)^2+($C24-BE$9)^2+($D24-BE$10)^2)</f>
        <v>1.72001973071252</v>
      </c>
      <c r="BF24" s="63" t="n">
        <f aca="false">MATCH(MIN(BD24:BE24),BD24:BE24,0)</f>
        <v>2</v>
      </c>
      <c r="BH24" s="17" t="n">
        <f aca="false">SQRT(($B24-BH$8)^2+($C24-BH$9)^2+($D24-BH$10)^2)</f>
        <v>2.39759623312202</v>
      </c>
      <c r="BI24" s="17" t="n">
        <f aca="false">SQRT(($B24-BI$8)^2+($C24-BI$9)^2+($D24-BI$10)^2)</f>
        <v>1.72001973071252</v>
      </c>
      <c r="BJ24" s="63" t="n">
        <f aca="false">MATCH(MIN(BH24:BI24),BH24:BI24,0)</f>
        <v>2</v>
      </c>
      <c r="BL24" s="17" t="n">
        <f aca="false">SQRT(($B24-BL$8)^2+($C24-BL$9)^2+($D24-BL$10)^2)</f>
        <v>2.39759623312202</v>
      </c>
      <c r="BM24" s="17" t="n">
        <f aca="false">SQRT(($B24-BM$8)^2+($C24-BM$9)^2+($D24-BM$10)^2)</f>
        <v>1.72001973071252</v>
      </c>
      <c r="BN24" s="63" t="n">
        <f aca="false">MATCH(MIN(BL24:BM24),BL24:BM24,0)</f>
        <v>2</v>
      </c>
      <c r="BP24" s="17" t="n">
        <f aca="false">SQRT(($B24-BP$8)^2+($C24-BP$9)^2+($D24-BP$10)^2)</f>
        <v>2.39759623312202</v>
      </c>
      <c r="BQ24" s="17" t="n">
        <f aca="false">SQRT(($B24-BQ$8)^2+($C24-BQ$9)^2+($D24-BQ$10)^2)</f>
        <v>1.72001973071252</v>
      </c>
      <c r="BR24" s="63" t="n">
        <f aca="false">MATCH(MIN(BP24:BQ24),BP24:BQ24,0)</f>
        <v>2</v>
      </c>
    </row>
    <row r="25" customFormat="false" ht="15" hidden="false" customHeight="false" outlineLevel="0" collapsed="false">
      <c r="A25" s="36" t="str">
        <f aca="false">KMeans_Data!A15</f>
        <v>Malakand</v>
      </c>
      <c r="B25" s="17" t="n">
        <f aca="false">KMeans_Data!H15</f>
        <v>1.14106795512792</v>
      </c>
      <c r="C25" s="17" t="n">
        <f aca="false">KMeans_Data!I15</f>
        <v>1.4759954658056</v>
      </c>
      <c r="D25" s="17" t="n">
        <f aca="false">KMeans_Data!J15</f>
        <v>0.988349871383994</v>
      </c>
      <c r="E25" s="63" t="n">
        <f aca="false">BR25</f>
        <v>1</v>
      </c>
      <c r="F25" s="38" t="n">
        <f aca="false">($B25-INDEX($L$8:$M$8,E25))^2+($C25-INDEX($L$9:$M$9,E25))^2+($D25-INDEX($L$10:$M$10,E25))^2</f>
        <v>0.104242898430725</v>
      </c>
      <c r="G25" s="17" t="n">
        <f aca="false">IF(COUNTIF(Distance_Matrix!$E$8:$DQ$8,$E25)&lt;=1,0,SUMIF(Distance_Matrix!$E$8:$DQ$8,$E25,Distance_Matrix!$E$24:$DQ$24)/(COUNTIF(Distance_Matrix!$E$8:$DQ$8,$E25)-1))</f>
        <v>1.23155052512571</v>
      </c>
      <c r="H25" s="17" t="n">
        <f aca="false">MIN(IF(1=$E25,1E+099,IF(COUNTIF(Distance_Matrix!$E$8:$DQ$8,1)=0,1E+099,SUMIF(Distance_Matrix!$E$8:$DQ$8,1,Distance_Matrix!$E$24:$DQ$24)/COUNTIF(Distance_Matrix!$E$8:$DQ$8,1))),IF(2=$E25,1E+099,IF(COUNTIF(Distance_Matrix!$E$8:$DQ$8,2)=0,1E+099,SUMIF(Distance_Matrix!$E$8:$DQ$8,2,Distance_Matrix!$E$24:$DQ$24)/COUNTIF(Distance_Matrix!$E$8:$DQ$8,2))))</f>
        <v>3.03688284519304</v>
      </c>
      <c r="I25" s="17" t="n">
        <f aca="false">IF(COUNTIF(Distance_Matrix!$E$8:$DQ$8,$E25)&lt;=1,0,(H25-G25)/MAX(G25,H25))</f>
        <v>0.594468872226969</v>
      </c>
      <c r="X25" s="17" t="n">
        <f aca="false">SQRT(($B25-X$8)^2+($C25-X$9)^2+($D25-X$10)^2)</f>
        <v>4.03066852095808</v>
      </c>
      <c r="Y25" s="17" t="n">
        <f aca="false">SQRT(($B25-Y$8)^2+($C25-Y$9)^2+($D25-Y$10)^2)</f>
        <v>4.42088236717576</v>
      </c>
      <c r="Z25" s="63" t="n">
        <f aca="false">MATCH(MIN(X25:Y25),X25:Y25,0)</f>
        <v>1</v>
      </c>
      <c r="AB25" s="17" t="n">
        <f aca="false">SQRT(($B25-AB$8)^2+($C25-AB$9)^2+($D25-AB$10)^2)</f>
        <v>1.49223371199083</v>
      </c>
      <c r="AC25" s="17" t="n">
        <f aca="false">SQRT(($B25-AC$8)^2+($C25-AC$9)^2+($D25-AC$10)^2)</f>
        <v>2.44621530022913</v>
      </c>
      <c r="AD25" s="63" t="n">
        <f aca="false">MATCH(MIN(AB25:AC25),AB25:AC25,0)</f>
        <v>1</v>
      </c>
      <c r="AF25" s="17" t="n">
        <f aca="false">SQRT(($B25-AF$8)^2+($C25-AF$9)^2+($D25-AF$10)^2)</f>
        <v>0.878366802842004</v>
      </c>
      <c r="AG25" s="17" t="n">
        <f aca="false">SQRT(($B25-AG$8)^2+($C25-AG$9)^2+($D25-AG$10)^2)</f>
        <v>2.54840809230732</v>
      </c>
      <c r="AH25" s="63" t="n">
        <f aca="false">MATCH(MIN(AF25:AG25),AF25:AG25,0)</f>
        <v>1</v>
      </c>
      <c r="AJ25" s="17" t="n">
        <f aca="false">SQRT(($B25-AJ$8)^2+($C25-AJ$9)^2+($D25-AJ$10)^2)</f>
        <v>0.340193638682648</v>
      </c>
      <c r="AK25" s="17" t="n">
        <f aca="false">SQRT(($B25-AK$8)^2+($C25-AK$9)^2+($D25-AK$10)^2)</f>
        <v>2.75361095670157</v>
      </c>
      <c r="AL25" s="63" t="n">
        <f aca="false">MATCH(MIN(AJ25:AK25),AJ25:AK25,0)</f>
        <v>1</v>
      </c>
      <c r="AN25" s="17" t="n">
        <f aca="false">SQRT(($B25-AN$8)^2+($C25-AN$9)^2+($D25-AN$10)^2)</f>
        <v>0.289091015422536</v>
      </c>
      <c r="AO25" s="17" t="n">
        <f aca="false">SQRT(($B25-AO$8)^2+($C25-AO$9)^2+($D25-AO$10)^2)</f>
        <v>2.85489766927428</v>
      </c>
      <c r="AP25" s="63" t="n">
        <f aca="false">MATCH(MIN(AN25:AO25),AN25:AO25,0)</f>
        <v>1</v>
      </c>
      <c r="AR25" s="17" t="n">
        <f aca="false">SQRT(($B25-AR$8)^2+($C25-AR$9)^2+($D25-AR$10)^2)</f>
        <v>0.302093928063339</v>
      </c>
      <c r="AS25" s="17" t="n">
        <f aca="false">SQRT(($B25-AS$8)^2+($C25-AS$9)^2+($D25-AS$10)^2)</f>
        <v>2.90874459825475</v>
      </c>
      <c r="AT25" s="63" t="n">
        <f aca="false">MATCH(MIN(AR25:AS25),AR25:AS25,0)</f>
        <v>1</v>
      </c>
      <c r="AV25" s="17" t="n">
        <f aca="false">SQRT(($B25-AV$8)^2+($C25-AV$9)^2+($D25-AV$10)^2)</f>
        <v>0.308579010051816</v>
      </c>
      <c r="AW25" s="17" t="n">
        <f aca="false">SQRT(($B25-AW$8)^2+($C25-AW$9)^2+($D25-AW$10)^2)</f>
        <v>2.92664635898743</v>
      </c>
      <c r="AX25" s="63" t="n">
        <f aca="false">MATCH(MIN(AV25:AW25),AV25:AW25,0)</f>
        <v>1</v>
      </c>
      <c r="AZ25" s="17" t="n">
        <f aca="false">SQRT(($B25-AZ$8)^2+($C25-AZ$9)^2+($D25-AZ$10)^2)</f>
        <v>0.322866688326196</v>
      </c>
      <c r="BA25" s="17" t="n">
        <f aca="false">SQRT(($B25-BA$8)^2+($C25-BA$9)^2+($D25-BA$10)^2)</f>
        <v>2.9439806888603</v>
      </c>
      <c r="BB25" s="63" t="n">
        <f aca="false">MATCH(MIN(AZ25:BA25),AZ25:BA25,0)</f>
        <v>1</v>
      </c>
      <c r="BD25" s="17" t="n">
        <f aca="false">SQRT(($B25-BD$8)^2+($C25-BD$9)^2+($D25-BD$10)^2)</f>
        <v>0.322866688326196</v>
      </c>
      <c r="BE25" s="17" t="n">
        <f aca="false">SQRT(($B25-BE$8)^2+($C25-BE$9)^2+($D25-BE$10)^2)</f>
        <v>2.9439806888603</v>
      </c>
      <c r="BF25" s="63" t="n">
        <f aca="false">MATCH(MIN(BD25:BE25),BD25:BE25,0)</f>
        <v>1</v>
      </c>
      <c r="BH25" s="17" t="n">
        <f aca="false">SQRT(($B25-BH$8)^2+($C25-BH$9)^2+($D25-BH$10)^2)</f>
        <v>0.322866688326196</v>
      </c>
      <c r="BI25" s="17" t="n">
        <f aca="false">SQRT(($B25-BI$8)^2+($C25-BI$9)^2+($D25-BI$10)^2)</f>
        <v>2.9439806888603</v>
      </c>
      <c r="BJ25" s="63" t="n">
        <f aca="false">MATCH(MIN(BH25:BI25),BH25:BI25,0)</f>
        <v>1</v>
      </c>
      <c r="BL25" s="17" t="n">
        <f aca="false">SQRT(($B25-BL$8)^2+($C25-BL$9)^2+($D25-BL$10)^2)</f>
        <v>0.322866688326196</v>
      </c>
      <c r="BM25" s="17" t="n">
        <f aca="false">SQRT(($B25-BM$8)^2+($C25-BM$9)^2+($D25-BM$10)^2)</f>
        <v>2.9439806888603</v>
      </c>
      <c r="BN25" s="63" t="n">
        <f aca="false">MATCH(MIN(BL25:BM25),BL25:BM25,0)</f>
        <v>1</v>
      </c>
      <c r="BP25" s="17" t="n">
        <f aca="false">SQRT(($B25-BP$8)^2+($C25-BP$9)^2+($D25-BP$10)^2)</f>
        <v>0.322866688326196</v>
      </c>
      <c r="BQ25" s="17" t="n">
        <f aca="false">SQRT(($B25-BQ$8)^2+($C25-BQ$9)^2+($D25-BQ$10)^2)</f>
        <v>2.9439806888603</v>
      </c>
      <c r="BR25" s="63" t="n">
        <f aca="false">MATCH(MIN(BP25:BQ25),BP25:BQ25,0)</f>
        <v>1</v>
      </c>
    </row>
    <row r="26" customFormat="false" ht="15" hidden="false" customHeight="false" outlineLevel="0" collapsed="false">
      <c r="A26" s="36" t="str">
        <f aca="false">KMeans_Data!A16</f>
        <v>Mardan</v>
      </c>
      <c r="B26" s="17" t="n">
        <f aca="false">KMeans_Data!H16</f>
        <v>1.1269857012341</v>
      </c>
      <c r="C26" s="17" t="n">
        <f aca="false">KMeans_Data!I16</f>
        <v>1.76847331707728</v>
      </c>
      <c r="D26" s="17" t="n">
        <f aca="false">KMeans_Data!J16</f>
        <v>1.16687696458076</v>
      </c>
      <c r="E26" s="63" t="n">
        <f aca="false">BR26</f>
        <v>1</v>
      </c>
      <c r="F26" s="38" t="n">
        <f aca="false">($B26-INDEX($L$8:$M$8,E26))^2+($C26-INDEX($L$9:$M$9,E26))^2+($D26-INDEX($L$10:$M$10,E26))^2</f>
        <v>0.317871493892234</v>
      </c>
      <c r="G26" s="17" t="n">
        <f aca="false">IF(COUNTIF(Distance_Matrix!$E$8:$DQ$8,$E26)&lt;=1,0,SUMIF(Distance_Matrix!$E$8:$DQ$8,$E26,Distance_Matrix!$E$25:$DQ$25)/(COUNTIF(Distance_Matrix!$E$8:$DQ$8,$E26)-1))</f>
        <v>1.37529424368044</v>
      </c>
      <c r="H26" s="17" t="n">
        <f aca="false">MIN(IF(1=$E26,1E+099,IF(COUNTIF(Distance_Matrix!$E$8:$DQ$8,1)=0,1E+099,SUMIF(Distance_Matrix!$E$8:$DQ$8,1,Distance_Matrix!$E$25:$DQ$25)/COUNTIF(Distance_Matrix!$E$8:$DQ$8,1))),IF(2=$E26,1E+099,IF(COUNTIF(Distance_Matrix!$E$8:$DQ$8,2)=0,1E+099,SUMIF(Distance_Matrix!$E$8:$DQ$8,2,Distance_Matrix!$E$25:$DQ$25)/COUNTIF(Distance_Matrix!$E$8:$DQ$8,2))))</f>
        <v>3.31732484497498</v>
      </c>
      <c r="I26" s="17" t="n">
        <f aca="false">IF(COUNTIF(Distance_Matrix!$E$8:$DQ$8,$E26)&lt;=1,0,(H26-G26)/MAX(G26,H26))</f>
        <v>0.585420690480854</v>
      </c>
      <c r="X26" s="17" t="n">
        <f aca="false">SQRT(($B26-X$8)^2+($C26-X$9)^2+($D26-X$10)^2)</f>
        <v>3.7571699748409</v>
      </c>
      <c r="Y26" s="17" t="n">
        <f aca="false">SQRT(($B26-Y$8)^2+($C26-Y$9)^2+($D26-Y$10)^2)</f>
        <v>4.64649504905847</v>
      </c>
      <c r="Z26" s="63" t="n">
        <f aca="false">MATCH(MIN(X26:Y26),X26:Y26,0)</f>
        <v>1</v>
      </c>
      <c r="AB26" s="17" t="n">
        <f aca="false">SQRT(($B26-AB$8)^2+($C26-AB$9)^2+($D26-AB$10)^2)</f>
        <v>1.24248032908391</v>
      </c>
      <c r="AC26" s="17" t="n">
        <f aca="false">SQRT(($B26-AC$8)^2+($C26-AC$9)^2+($D26-AC$10)^2)</f>
        <v>2.73335395007449</v>
      </c>
      <c r="AD26" s="63" t="n">
        <f aca="false">MATCH(MIN(AB26:AC26),AB26:AC26,0)</f>
        <v>1</v>
      </c>
      <c r="AF26" s="17" t="n">
        <f aca="false">SQRT(($B26-AF$8)^2+($C26-AF$9)^2+($D26-AF$10)^2)</f>
        <v>0.644747302821334</v>
      </c>
      <c r="AG26" s="17" t="n">
        <f aca="false">SQRT(($B26-AG$8)^2+($C26-AG$9)^2+($D26-AG$10)^2)</f>
        <v>2.83547343349768</v>
      </c>
      <c r="AH26" s="63" t="n">
        <f aca="false">MATCH(MIN(AF26:AG26),AF26:AG26,0)</f>
        <v>1</v>
      </c>
      <c r="AJ26" s="17" t="n">
        <f aca="false">SQRT(($B26-AJ$8)^2+($C26-AJ$9)^2+($D26-AJ$10)^2)</f>
        <v>0.279033246013472</v>
      </c>
      <c r="AK26" s="17" t="n">
        <f aca="false">SQRT(($B26-AK$8)^2+($C26-AK$9)^2+($D26-AK$10)^2)</f>
        <v>3.04107986508384</v>
      </c>
      <c r="AL26" s="63" t="n">
        <f aca="false">MATCH(MIN(AJ26:AK26),AJ26:AK26,0)</f>
        <v>1</v>
      </c>
      <c r="AN26" s="17" t="n">
        <f aca="false">SQRT(($B26-AN$8)^2+($C26-AN$9)^2+($D26-AN$10)^2)</f>
        <v>0.424952377519496</v>
      </c>
      <c r="AO26" s="17" t="n">
        <f aca="false">SQRT(($B26-AO$8)^2+($C26-AO$9)^2+($D26-AO$10)^2)</f>
        <v>3.14127912812236</v>
      </c>
      <c r="AP26" s="63" t="n">
        <f aca="false">MATCH(MIN(AN26:AO26),AN26:AO26,0)</f>
        <v>1</v>
      </c>
      <c r="AR26" s="17" t="n">
        <f aca="false">SQRT(($B26-AR$8)^2+($C26-AR$9)^2+($D26-AR$10)^2)</f>
        <v>0.513296935759978</v>
      </c>
      <c r="AS26" s="17" t="n">
        <f aca="false">SQRT(($B26-AS$8)^2+($C26-AS$9)^2+($D26-AS$10)^2)</f>
        <v>3.19473144306213</v>
      </c>
      <c r="AT26" s="63" t="n">
        <f aca="false">MATCH(MIN(AR26:AS26),AR26:AS26,0)</f>
        <v>1</v>
      </c>
      <c r="AV26" s="17" t="n">
        <f aca="false">SQRT(($B26-AV$8)^2+($C26-AV$9)^2+($D26-AV$10)^2)</f>
        <v>0.539972522413857</v>
      </c>
      <c r="AW26" s="17" t="n">
        <f aca="false">SQRT(($B26-AW$8)^2+($C26-AW$9)^2+($D26-AW$10)^2)</f>
        <v>3.21245093847329</v>
      </c>
      <c r="AX26" s="63" t="n">
        <f aca="false">MATCH(MIN(AV26:AW26),AV26:AW26,0)</f>
        <v>1</v>
      </c>
      <c r="AZ26" s="17" t="n">
        <f aca="false">SQRT(($B26-AZ$8)^2+($C26-AZ$9)^2+($D26-AZ$10)^2)</f>
        <v>0.563800934632281</v>
      </c>
      <c r="BA26" s="17" t="n">
        <f aca="false">SQRT(($B26-BA$8)^2+($C26-BA$9)^2+($D26-BA$10)^2)</f>
        <v>3.23005138600718</v>
      </c>
      <c r="BB26" s="63" t="n">
        <f aca="false">MATCH(MIN(AZ26:BA26),AZ26:BA26,0)</f>
        <v>1</v>
      </c>
      <c r="BD26" s="17" t="n">
        <f aca="false">SQRT(($B26-BD$8)^2+($C26-BD$9)^2+($D26-BD$10)^2)</f>
        <v>0.563800934632281</v>
      </c>
      <c r="BE26" s="17" t="n">
        <f aca="false">SQRT(($B26-BE$8)^2+($C26-BE$9)^2+($D26-BE$10)^2)</f>
        <v>3.23005138600718</v>
      </c>
      <c r="BF26" s="63" t="n">
        <f aca="false">MATCH(MIN(BD26:BE26),BD26:BE26,0)</f>
        <v>1</v>
      </c>
      <c r="BH26" s="17" t="n">
        <f aca="false">SQRT(($B26-BH$8)^2+($C26-BH$9)^2+($D26-BH$10)^2)</f>
        <v>0.563800934632281</v>
      </c>
      <c r="BI26" s="17" t="n">
        <f aca="false">SQRT(($B26-BI$8)^2+($C26-BI$9)^2+($D26-BI$10)^2)</f>
        <v>3.23005138600718</v>
      </c>
      <c r="BJ26" s="63" t="n">
        <f aca="false">MATCH(MIN(BH26:BI26),BH26:BI26,0)</f>
        <v>1</v>
      </c>
      <c r="BL26" s="17" t="n">
        <f aca="false">SQRT(($B26-BL$8)^2+($C26-BL$9)^2+($D26-BL$10)^2)</f>
        <v>0.563800934632281</v>
      </c>
      <c r="BM26" s="17" t="n">
        <f aca="false">SQRT(($B26-BM$8)^2+($C26-BM$9)^2+($D26-BM$10)^2)</f>
        <v>3.23005138600718</v>
      </c>
      <c r="BN26" s="63" t="n">
        <f aca="false">MATCH(MIN(BL26:BM26),BL26:BM26,0)</f>
        <v>1</v>
      </c>
      <c r="BP26" s="17" t="n">
        <f aca="false">SQRT(($B26-BP$8)^2+($C26-BP$9)^2+($D26-BP$10)^2)</f>
        <v>0.563800934632281</v>
      </c>
      <c r="BQ26" s="17" t="n">
        <f aca="false">SQRT(($B26-BQ$8)^2+($C26-BQ$9)^2+($D26-BQ$10)^2)</f>
        <v>3.23005138600718</v>
      </c>
      <c r="BR26" s="63" t="n">
        <f aca="false">MATCH(MIN(BP26:BQ26),BP26:BQ26,0)</f>
        <v>1</v>
      </c>
    </row>
    <row r="27" customFormat="false" ht="15" hidden="false" customHeight="false" outlineLevel="0" collapsed="false">
      <c r="A27" s="36" t="str">
        <f aca="false">KMeans_Data!A17</f>
        <v>Gilgit</v>
      </c>
      <c r="B27" s="17" t="n">
        <f aca="false">KMeans_Data!H17</f>
        <v>1.04252863605511</v>
      </c>
      <c r="C27" s="17" t="n">
        <f aca="false">KMeans_Data!I17</f>
        <v>0.993675724638266</v>
      </c>
      <c r="D27" s="17" t="n">
        <f aca="false">KMeans_Data!J17</f>
        <v>1.0804955511041</v>
      </c>
      <c r="E27" s="63" t="n">
        <f aca="false">BR27</f>
        <v>1</v>
      </c>
      <c r="F27" s="38" t="n">
        <f aca="false">($B27-INDEX($L$8:$M$8,E27))^2+($C27-INDEX($L$9:$M$9,E27))^2+($D27-INDEX($L$10:$M$10,E27))^2</f>
        <v>0.0516503698713499</v>
      </c>
      <c r="G27" s="17" t="n">
        <f aca="false">IF(COUNTIF(Distance_Matrix!$E$8:$DQ$8,$E27)&lt;=1,0,SUMIF(Distance_Matrix!$E$8:$DQ$8,$E27,Distance_Matrix!$E$26:$DQ$26)/(COUNTIF(Distance_Matrix!$E$8:$DQ$8,$E27)-1))</f>
        <v>1.10307694598527</v>
      </c>
      <c r="H27" s="17" t="n">
        <f aca="false">MIN(IF(1=$E27,1E+099,IF(COUNTIF(Distance_Matrix!$E$8:$DQ$8,1)=0,1E+099,SUMIF(Distance_Matrix!$E$8:$DQ$8,1,Distance_Matrix!$E$26:$DQ$26)/COUNTIF(Distance_Matrix!$E$8:$DQ$8,1))),IF(2=$E27,1E+099,IF(COUNTIF(Distance_Matrix!$E$8:$DQ$8,2)=0,1E+099,SUMIF(Distance_Matrix!$E$8:$DQ$8,2,Distance_Matrix!$E$26:$DQ$26)/COUNTIF(Distance_Matrix!$E$8:$DQ$8,2))))</f>
        <v>2.7299054682356</v>
      </c>
      <c r="I27" s="17" t="n">
        <f aca="false">IF(COUNTIF(Distance_Matrix!$E$8:$DQ$8,$E27)&lt;=1,0,(H27-G27)/MAX(G27,H27))</f>
        <v>0.595928518836876</v>
      </c>
      <c r="X27" s="17" t="n">
        <f aca="false">SQRT(($B27-X$8)^2+($C27-X$9)^2+($D27-X$10)^2)</f>
        <v>4.35573965586675</v>
      </c>
      <c r="Y27" s="17" t="n">
        <f aca="false">SQRT(($B27-Y$8)^2+($C27-Y$9)^2+($D27-Y$10)^2)</f>
        <v>4.18101541376173</v>
      </c>
      <c r="Z27" s="63" t="n">
        <f aca="false">MATCH(MIN(X27:Y27),X27:Y27,0)</f>
        <v>2</v>
      </c>
      <c r="AB27" s="17" t="n">
        <f aca="false">SQRT(($B27-AB$8)^2+($C27-AB$9)^2+($D27-AB$10)^2)</f>
        <v>1.82270810739729</v>
      </c>
      <c r="AC27" s="17" t="n">
        <f aca="false">SQRT(($B27-AC$8)^2+($C27-AC$9)^2+($D27-AC$10)^2)</f>
        <v>2.13360312214112</v>
      </c>
      <c r="AD27" s="63" t="n">
        <f aca="false">MATCH(MIN(AB27:AC27),AB27:AC27,0)</f>
        <v>1</v>
      </c>
      <c r="AF27" s="17" t="n">
        <f aca="false">SQRT(($B27-AF$8)^2+($C27-AF$9)^2+($D27-AF$10)^2)</f>
        <v>1.22318467774037</v>
      </c>
      <c r="AG27" s="17" t="n">
        <f aca="false">SQRT(($B27-AG$8)^2+($C27-AG$9)^2+($D27-AG$10)^2)</f>
        <v>2.23457620668257</v>
      </c>
      <c r="AH27" s="63" t="n">
        <f aca="false">MATCH(MIN(AF27:AG27),AF27:AG27,0)</f>
        <v>1</v>
      </c>
      <c r="AJ27" s="17" t="n">
        <f aca="false">SQRT(($B27-AJ$8)^2+($C27-AJ$9)^2+($D27-AJ$10)^2)</f>
        <v>0.63032910796484</v>
      </c>
      <c r="AK27" s="17" t="n">
        <f aca="false">SQRT(($B27-AK$8)^2+($C27-AK$9)^2+($D27-AK$10)^2)</f>
        <v>2.44126916050149</v>
      </c>
      <c r="AL27" s="63" t="n">
        <f aca="false">MATCH(MIN(AJ27:AK27),AJ27:AK27,0)</f>
        <v>1</v>
      </c>
      <c r="AN27" s="17" t="n">
        <f aca="false">SQRT(($B27-AN$8)^2+($C27-AN$9)^2+($D27-AN$10)^2)</f>
        <v>0.410587063764091</v>
      </c>
      <c r="AO27" s="17" t="n">
        <f aca="false">SQRT(($B27-AO$8)^2+($C27-AO$9)^2+($D27-AO$10)^2)</f>
        <v>2.54680435562626</v>
      </c>
      <c r="AP27" s="63" t="n">
        <f aca="false">MATCH(MIN(AN27:AO27),AN27:AO27,0)</f>
        <v>1</v>
      </c>
      <c r="AR27" s="17" t="n">
        <f aca="false">SQRT(($B27-AR$8)^2+($C27-AR$9)^2+($D27-AR$10)^2)</f>
        <v>0.288967866625042</v>
      </c>
      <c r="AS27" s="17" t="n">
        <f aca="false">SQRT(($B27-AS$8)^2+($C27-AS$9)^2+($D27-AS$10)^2)</f>
        <v>2.60202576656331</v>
      </c>
      <c r="AT27" s="63" t="n">
        <f aca="false">MATCH(MIN(AR27:AS27),AR27:AS27,0)</f>
        <v>1</v>
      </c>
      <c r="AV27" s="17" t="n">
        <f aca="false">SQRT(($B27-AV$8)^2+($C27-AV$9)^2+($D27-AV$10)^2)</f>
        <v>0.253389157954062</v>
      </c>
      <c r="AW27" s="17" t="n">
        <f aca="false">SQRT(($B27-AW$8)^2+($C27-AW$9)^2+($D27-AW$10)^2)</f>
        <v>2.61997282512262</v>
      </c>
      <c r="AX27" s="63" t="n">
        <f aca="false">MATCH(MIN(AV27:AW27),AV27:AW27,0)</f>
        <v>1</v>
      </c>
      <c r="AZ27" s="17" t="n">
        <f aca="false">SQRT(($B27-AZ$8)^2+($C27-AZ$9)^2+($D27-AZ$10)^2)</f>
        <v>0.227267177285568</v>
      </c>
      <c r="BA27" s="17" t="n">
        <f aca="false">SQRT(($B27-BA$8)^2+($C27-BA$9)^2+($D27-BA$10)^2)</f>
        <v>2.6372078509479</v>
      </c>
      <c r="BB27" s="63" t="n">
        <f aca="false">MATCH(MIN(AZ27:BA27),AZ27:BA27,0)</f>
        <v>1</v>
      </c>
      <c r="BD27" s="17" t="n">
        <f aca="false">SQRT(($B27-BD$8)^2+($C27-BD$9)^2+($D27-BD$10)^2)</f>
        <v>0.227267177285568</v>
      </c>
      <c r="BE27" s="17" t="n">
        <f aca="false">SQRT(($B27-BE$8)^2+($C27-BE$9)^2+($D27-BE$10)^2)</f>
        <v>2.6372078509479</v>
      </c>
      <c r="BF27" s="63" t="n">
        <f aca="false">MATCH(MIN(BD27:BE27),BD27:BE27,0)</f>
        <v>1</v>
      </c>
      <c r="BH27" s="17" t="n">
        <f aca="false">SQRT(($B27-BH$8)^2+($C27-BH$9)^2+($D27-BH$10)^2)</f>
        <v>0.227267177285568</v>
      </c>
      <c r="BI27" s="17" t="n">
        <f aca="false">SQRT(($B27-BI$8)^2+($C27-BI$9)^2+($D27-BI$10)^2)</f>
        <v>2.6372078509479</v>
      </c>
      <c r="BJ27" s="63" t="n">
        <f aca="false">MATCH(MIN(BH27:BI27),BH27:BI27,0)</f>
        <v>1</v>
      </c>
      <c r="BL27" s="17" t="n">
        <f aca="false">SQRT(($B27-BL$8)^2+($C27-BL$9)^2+($D27-BL$10)^2)</f>
        <v>0.227267177285568</v>
      </c>
      <c r="BM27" s="17" t="n">
        <f aca="false">SQRT(($B27-BM$8)^2+($C27-BM$9)^2+($D27-BM$10)^2)</f>
        <v>2.6372078509479</v>
      </c>
      <c r="BN27" s="63" t="n">
        <f aca="false">MATCH(MIN(BL27:BM27),BL27:BM27,0)</f>
        <v>1</v>
      </c>
      <c r="BP27" s="17" t="n">
        <f aca="false">SQRT(($B27-BP$8)^2+($C27-BP$9)^2+($D27-BP$10)^2)</f>
        <v>0.227267177285568</v>
      </c>
      <c r="BQ27" s="17" t="n">
        <f aca="false">SQRT(($B27-BQ$8)^2+($C27-BQ$9)^2+($D27-BQ$10)^2)</f>
        <v>2.6372078509479</v>
      </c>
      <c r="BR27" s="63" t="n">
        <f aca="false">MATCH(MIN(BP27:BQ27),BP27:BQ27,0)</f>
        <v>1</v>
      </c>
    </row>
    <row r="28" customFormat="false" ht="15" hidden="false" customHeight="false" outlineLevel="0" collapsed="false">
      <c r="A28" s="36" t="str">
        <f aca="false">KMeans_Data!A18</f>
        <v>Larkana</v>
      </c>
      <c r="B28" s="17" t="n">
        <f aca="false">KMeans_Data!H18</f>
        <v>1.03733687213202</v>
      </c>
      <c r="C28" s="17" t="n">
        <f aca="false">KMeans_Data!I18</f>
        <v>0.378684277529216</v>
      </c>
      <c r="D28" s="17" t="n">
        <f aca="false">KMeans_Data!J18</f>
        <v>1.47040463995458</v>
      </c>
      <c r="E28" s="63" t="n">
        <f aca="false">BR28</f>
        <v>1</v>
      </c>
      <c r="F28" s="38" t="n">
        <f aca="false">($B28-INDEX($L$8:$M$8,E28))^2+($C28-INDEX($L$9:$M$9,E28))^2+($D28-INDEX($L$10:$M$10,E28))^2</f>
        <v>0.800294879697961</v>
      </c>
      <c r="G28" s="17" t="n">
        <f aca="false">IF(COUNTIF(Distance_Matrix!$E$8:$DQ$8,$E28)&lt;=1,0,SUMIF(Distance_Matrix!$E$8:$DQ$8,$E28,Distance_Matrix!$E$27:$DQ$27)/(COUNTIF(Distance_Matrix!$E$8:$DQ$8,$E28)-1))</f>
        <v>1.36479546282132</v>
      </c>
      <c r="H28" s="17" t="n">
        <f aca="false">MIN(IF(1=$E28,1E+099,IF(COUNTIF(Distance_Matrix!$E$8:$DQ$8,1)=0,1E+099,SUMIF(Distance_Matrix!$E$8:$DQ$8,1,Distance_Matrix!$E$27:$DQ$27)/COUNTIF(Distance_Matrix!$E$8:$DQ$8,1))),IF(2=$E28,1E+099,IF(COUNTIF(Distance_Matrix!$E$8:$DQ$8,2)=0,1E+099,SUMIF(Distance_Matrix!$E$8:$DQ$8,2,Distance_Matrix!$E$27:$DQ$27)/COUNTIF(Distance_Matrix!$E$8:$DQ$8,2))))</f>
        <v>2.69128886059962</v>
      </c>
      <c r="I28" s="17" t="n">
        <f aca="false">IF(COUNTIF(Distance_Matrix!$E$8:$DQ$8,$E28)&lt;=1,0,(H28-G28)/MAX(G28,H28))</f>
        <v>0.492884066514792</v>
      </c>
      <c r="X28" s="17" t="n">
        <f aca="false">SQRT(($B28-X$8)^2+($C28-X$9)^2+($D28-X$10)^2)</f>
        <v>4.64515792720078</v>
      </c>
      <c r="Y28" s="17" t="n">
        <f aca="false">SQRT(($B28-Y$8)^2+($C28-Y$9)^2+($D28-Y$10)^2)</f>
        <v>4.20299555676564</v>
      </c>
      <c r="Z28" s="63" t="n">
        <f aca="false">MATCH(MIN(X28:Y28),X28:Y28,0)</f>
        <v>2</v>
      </c>
      <c r="AB28" s="17" t="n">
        <f aca="false">SQRT(($B28-AB$8)^2+($C28-AB$9)^2+($D28-AB$10)^2)</f>
        <v>2.21738080033017</v>
      </c>
      <c r="AC28" s="17" t="n">
        <f aca="false">SQRT(($B28-AC$8)^2+($C28-AC$9)^2+($D28-AC$10)^2)</f>
        <v>2.13451214139525</v>
      </c>
      <c r="AD28" s="63" t="n">
        <f aca="false">MATCH(MIN(AB28:AC28),AB28:AC28,0)</f>
        <v>2</v>
      </c>
      <c r="AF28" s="17" t="n">
        <f aca="false">SQRT(($B28-AF$8)^2+($C28-AF$9)^2+($D28-AF$10)^2)</f>
        <v>1.69853105043108</v>
      </c>
      <c r="AG28" s="17" t="n">
        <f aca="false">SQRT(($B28-AG$8)^2+($C28-AG$9)^2+($D28-AG$10)^2)</f>
        <v>2.22474410418732</v>
      </c>
      <c r="AH28" s="63" t="n">
        <f aca="false">MATCH(MIN(AF28:AG28),AF28:AG28,0)</f>
        <v>1</v>
      </c>
      <c r="AJ28" s="17" t="n">
        <f aca="false">SQRT(($B28-AJ$8)^2+($C28-AJ$9)^2+($D28-AJ$10)^2)</f>
        <v>1.19888750407792</v>
      </c>
      <c r="AK28" s="17" t="n">
        <f aca="false">SQRT(($B28-AK$8)^2+($C28-AK$9)^2+($D28-AK$10)^2)</f>
        <v>2.41971298398875</v>
      </c>
      <c r="AL28" s="63" t="n">
        <f aca="false">MATCH(MIN(AJ28:AK28),AJ28:AK28,0)</f>
        <v>1</v>
      </c>
      <c r="AN28" s="17" t="n">
        <f aca="false">SQRT(($B28-AN$8)^2+($C28-AN$9)^2+($D28-AN$10)^2)</f>
        <v>1.00459847281998</v>
      </c>
      <c r="AO28" s="17" t="n">
        <f aca="false">SQRT(($B28-AO$8)^2+($C28-AO$9)^2+($D28-AO$10)^2)</f>
        <v>2.52673442555775</v>
      </c>
      <c r="AP28" s="63" t="n">
        <f aca="false">MATCH(MIN(AN28:AO28),AN28:AO28,0)</f>
        <v>1</v>
      </c>
      <c r="AR28" s="17" t="n">
        <f aca="false">SQRT(($B28-AR$8)^2+($C28-AR$9)^2+($D28-AR$10)^2)</f>
        <v>0.92357278148369</v>
      </c>
      <c r="AS28" s="17" t="n">
        <f aca="false">SQRT(($B28-AS$8)^2+($C28-AS$9)^2+($D28-AS$10)^2)</f>
        <v>2.5812798720012</v>
      </c>
      <c r="AT28" s="63" t="n">
        <f aca="false">MATCH(MIN(AR28:AS28),AR28:AS28,0)</f>
        <v>1</v>
      </c>
      <c r="AV28" s="17" t="n">
        <f aca="false">SQRT(($B28-AV$8)^2+($C28-AV$9)^2+($D28-AV$10)^2)</f>
        <v>0.90689395710337</v>
      </c>
      <c r="AW28" s="17" t="n">
        <f aca="false">SQRT(($B28-AW$8)^2+($C28-AW$9)^2+($D28-AW$10)^2)</f>
        <v>2.59822257939516</v>
      </c>
      <c r="AX28" s="63" t="n">
        <f aca="false">MATCH(MIN(AV28:AW28),AV28:AW28,0)</f>
        <v>1</v>
      </c>
      <c r="AZ28" s="17" t="n">
        <f aca="false">SQRT(($B28-AZ$8)^2+($C28-AZ$9)^2+($D28-AZ$10)^2)</f>
        <v>0.894592018574926</v>
      </c>
      <c r="BA28" s="17" t="n">
        <f aca="false">SQRT(($B28-BA$8)^2+($C28-BA$9)^2+($D28-BA$10)^2)</f>
        <v>2.61435217634195</v>
      </c>
      <c r="BB28" s="63" t="n">
        <f aca="false">MATCH(MIN(AZ28:BA28),AZ28:BA28,0)</f>
        <v>1</v>
      </c>
      <c r="BD28" s="17" t="n">
        <f aca="false">SQRT(($B28-BD$8)^2+($C28-BD$9)^2+($D28-BD$10)^2)</f>
        <v>0.894592018574926</v>
      </c>
      <c r="BE28" s="17" t="n">
        <f aca="false">SQRT(($B28-BE$8)^2+($C28-BE$9)^2+($D28-BE$10)^2)</f>
        <v>2.61435217634195</v>
      </c>
      <c r="BF28" s="63" t="n">
        <f aca="false">MATCH(MIN(BD28:BE28),BD28:BE28,0)</f>
        <v>1</v>
      </c>
      <c r="BH28" s="17" t="n">
        <f aca="false">SQRT(($B28-BH$8)^2+($C28-BH$9)^2+($D28-BH$10)^2)</f>
        <v>0.894592018574926</v>
      </c>
      <c r="BI28" s="17" t="n">
        <f aca="false">SQRT(($B28-BI$8)^2+($C28-BI$9)^2+($D28-BI$10)^2)</f>
        <v>2.61435217634195</v>
      </c>
      <c r="BJ28" s="63" t="n">
        <f aca="false">MATCH(MIN(BH28:BI28),BH28:BI28,0)</f>
        <v>1</v>
      </c>
      <c r="BL28" s="17" t="n">
        <f aca="false">SQRT(($B28-BL$8)^2+($C28-BL$9)^2+($D28-BL$10)^2)</f>
        <v>0.894592018574926</v>
      </c>
      <c r="BM28" s="17" t="n">
        <f aca="false">SQRT(($B28-BM$8)^2+($C28-BM$9)^2+($D28-BM$10)^2)</f>
        <v>2.61435217634195</v>
      </c>
      <c r="BN28" s="63" t="n">
        <f aca="false">MATCH(MIN(BL28:BM28),BL28:BM28,0)</f>
        <v>1</v>
      </c>
      <c r="BP28" s="17" t="n">
        <f aca="false">SQRT(($B28-BP$8)^2+($C28-BP$9)^2+($D28-BP$10)^2)</f>
        <v>0.894592018574926</v>
      </c>
      <c r="BQ28" s="17" t="n">
        <f aca="false">SQRT(($B28-BQ$8)^2+($C28-BQ$9)^2+($D28-BQ$10)^2)</f>
        <v>2.61435217634195</v>
      </c>
      <c r="BR28" s="63" t="n">
        <f aca="false">MATCH(MIN(BP28:BQ28),BP28:BQ28,0)</f>
        <v>1</v>
      </c>
    </row>
    <row r="29" customFormat="false" ht="15" hidden="false" customHeight="false" outlineLevel="0" collapsed="false">
      <c r="A29" s="36" t="str">
        <f aca="false">KMeans_Data!A19</f>
        <v>Ghotki</v>
      </c>
      <c r="B29" s="17" t="n">
        <f aca="false">KMeans_Data!H19</f>
        <v>1.00781777519734</v>
      </c>
      <c r="C29" s="17" t="n">
        <f aca="false">KMeans_Data!I19</f>
        <v>-0.146983133929529</v>
      </c>
      <c r="D29" s="17" t="n">
        <f aca="false">KMeans_Data!J19</f>
        <v>1.16687696458076</v>
      </c>
      <c r="E29" s="63" t="n">
        <f aca="false">BR29</f>
        <v>1</v>
      </c>
      <c r="F29" s="38" t="n">
        <f aca="false">($B29-INDEX($L$8:$M$8,E29))^2+($C29-INDEX($L$9:$M$9,E29))^2+($D29-INDEX($L$10:$M$10,E29))^2</f>
        <v>1.84777304853243</v>
      </c>
      <c r="G29" s="17" t="n">
        <f aca="false">IF(COUNTIF(Distance_Matrix!$E$8:$DQ$8,$E29)&lt;=1,0,SUMIF(Distance_Matrix!$E$8:$DQ$8,$E29,Distance_Matrix!$E$28:$DQ$28)/(COUNTIF(Distance_Matrix!$E$8:$DQ$8,$E29)-1))</f>
        <v>1.64547573135211</v>
      </c>
      <c r="H29" s="17" t="n">
        <f aca="false">MIN(IF(1=$E29,1E+099,IF(COUNTIF(Distance_Matrix!$E$8:$DQ$8,1)=0,1E+099,SUMIF(Distance_Matrix!$E$8:$DQ$8,1,Distance_Matrix!$E$28:$DQ$28)/COUNTIF(Distance_Matrix!$E$8:$DQ$8,1))),IF(2=$E29,1E+099,IF(COUNTIF(Distance_Matrix!$E$8:$DQ$8,2)=0,1E+099,SUMIF(Distance_Matrix!$E$8:$DQ$8,2,Distance_Matrix!$E$28:$DQ$28)/COUNTIF(Distance_Matrix!$E$8:$DQ$8,2))))</f>
        <v>2.32244405552409</v>
      </c>
      <c r="I29" s="17" t="n">
        <f aca="false">IF(COUNTIF(Distance_Matrix!$E$8:$DQ$8,$E29)&lt;=1,0,(H29-G29)/MAX(G29,H29))</f>
        <v>0.291489615244665</v>
      </c>
      <c r="X29" s="17" t="n">
        <f aca="false">SQRT(($B29-X$8)^2+($C29-X$9)^2+($D29-X$10)^2)</f>
        <v>5.19700942044935</v>
      </c>
      <c r="Y29" s="17" t="n">
        <f aca="false">SQRT(($B29-Y$8)^2+($C29-Y$9)^2+($D29-Y$10)^2)</f>
        <v>3.89320954094829</v>
      </c>
      <c r="Z29" s="63" t="n">
        <f aca="false">MATCH(MIN(X29:Y29),X29:Y29,0)</f>
        <v>2</v>
      </c>
      <c r="AB29" s="17" t="n">
        <f aca="false">SQRT(($B29-AB$8)^2+($C29-AB$9)^2+($D29-AB$10)^2)</f>
        <v>2.76642584304663</v>
      </c>
      <c r="AC29" s="17" t="n">
        <f aca="false">SQRT(($B29-AC$8)^2+($C29-AC$9)^2+($D29-AC$10)^2)</f>
        <v>1.79608351768356</v>
      </c>
      <c r="AD29" s="63" t="n">
        <f aca="false">MATCH(MIN(AB29:AC29),AB29:AC29,0)</f>
        <v>2</v>
      </c>
      <c r="AF29" s="17" t="n">
        <f aca="false">SQRT(($B29-AF$8)^2+($C29-AF$9)^2+($D29-AF$10)^2)</f>
        <v>2.23727204414067</v>
      </c>
      <c r="AG29" s="17" t="n">
        <f aca="false">SQRT(($B29-AG$8)^2+($C29-AG$9)^2+($D29-AG$10)^2)</f>
        <v>1.87363304772783</v>
      </c>
      <c r="AH29" s="63" t="n">
        <f aca="false">MATCH(MIN(AF29:AG29),AF29:AG29,0)</f>
        <v>2</v>
      </c>
      <c r="AJ29" s="17" t="n">
        <f aca="false">SQRT(($B29-AJ$8)^2+($C29-AJ$9)^2+($D29-AJ$10)^2)</f>
        <v>1.71810103612081</v>
      </c>
      <c r="AK29" s="17" t="n">
        <f aca="false">SQRT(($B29-AK$8)^2+($C29-AK$9)^2+($D29-AK$10)^2)</f>
        <v>2.04786914665984</v>
      </c>
      <c r="AL29" s="63" t="n">
        <f aca="false">MATCH(MIN(AJ29:AK29),AJ29:AK29,0)</f>
        <v>1</v>
      </c>
      <c r="AN29" s="17" t="n">
        <f aca="false">SQRT(($B29-AN$8)^2+($C29-AN$9)^2+($D29-AN$10)^2)</f>
        <v>1.50817275899598</v>
      </c>
      <c r="AO29" s="17" t="n">
        <f aca="false">SQRT(($B29-AO$8)^2+($C29-AO$9)^2+($D29-AO$10)^2)</f>
        <v>2.15094152075251</v>
      </c>
      <c r="AP29" s="63" t="n">
        <f aca="false">MATCH(MIN(AN29:AO29),AN29:AO29,0)</f>
        <v>1</v>
      </c>
      <c r="AR29" s="17" t="n">
        <f aca="false">SQRT(($B29-AR$8)^2+($C29-AR$9)^2+($D29-AR$10)^2)</f>
        <v>1.40662193794949</v>
      </c>
      <c r="AS29" s="17" t="n">
        <f aca="false">SQRT(($B29-AS$8)^2+($C29-AS$9)^2+($D29-AS$10)^2)</f>
        <v>2.20274959280046</v>
      </c>
      <c r="AT29" s="63" t="n">
        <f aca="false">MATCH(MIN(AR29:AS29),AR29:AS29,0)</f>
        <v>1</v>
      </c>
      <c r="AV29" s="17" t="n">
        <f aca="false">SQRT(($B29-AV$8)^2+($C29-AV$9)^2+($D29-AV$10)^2)</f>
        <v>1.37978243025608</v>
      </c>
      <c r="AW29" s="17" t="n">
        <f aca="false">SQRT(($B29-AW$8)^2+($C29-AW$9)^2+($D29-AW$10)^2)</f>
        <v>2.21869553971713</v>
      </c>
      <c r="AX29" s="63" t="n">
        <f aca="false">MATCH(MIN(AV29:AW29),AV29:AW29,0)</f>
        <v>1</v>
      </c>
      <c r="AZ29" s="17" t="n">
        <f aca="false">SQRT(($B29-AZ$8)^2+($C29-AZ$9)^2+($D29-AZ$10)^2)</f>
        <v>1.35932816072221</v>
      </c>
      <c r="BA29" s="17" t="n">
        <f aca="false">SQRT(($B29-BA$8)^2+($C29-BA$9)^2+($D29-BA$10)^2)</f>
        <v>2.23285903261753</v>
      </c>
      <c r="BB29" s="63" t="n">
        <f aca="false">MATCH(MIN(AZ29:BA29),AZ29:BA29,0)</f>
        <v>1</v>
      </c>
      <c r="BD29" s="17" t="n">
        <f aca="false">SQRT(($B29-BD$8)^2+($C29-BD$9)^2+($D29-BD$10)^2)</f>
        <v>1.35932816072221</v>
      </c>
      <c r="BE29" s="17" t="n">
        <f aca="false">SQRT(($B29-BE$8)^2+($C29-BE$9)^2+($D29-BE$10)^2)</f>
        <v>2.23285903261753</v>
      </c>
      <c r="BF29" s="63" t="n">
        <f aca="false">MATCH(MIN(BD29:BE29),BD29:BE29,0)</f>
        <v>1</v>
      </c>
      <c r="BH29" s="17" t="n">
        <f aca="false">SQRT(($B29-BH$8)^2+($C29-BH$9)^2+($D29-BH$10)^2)</f>
        <v>1.35932816072221</v>
      </c>
      <c r="BI29" s="17" t="n">
        <f aca="false">SQRT(($B29-BI$8)^2+($C29-BI$9)^2+($D29-BI$10)^2)</f>
        <v>2.23285903261753</v>
      </c>
      <c r="BJ29" s="63" t="n">
        <f aca="false">MATCH(MIN(BH29:BI29),BH29:BI29,0)</f>
        <v>1</v>
      </c>
      <c r="BL29" s="17" t="n">
        <f aca="false">SQRT(($B29-BL$8)^2+($C29-BL$9)^2+($D29-BL$10)^2)</f>
        <v>1.35932816072221</v>
      </c>
      <c r="BM29" s="17" t="n">
        <f aca="false">SQRT(($B29-BM$8)^2+($C29-BM$9)^2+($D29-BM$10)^2)</f>
        <v>2.23285903261753</v>
      </c>
      <c r="BN29" s="63" t="n">
        <f aca="false">MATCH(MIN(BL29:BM29),BL29:BM29,0)</f>
        <v>1</v>
      </c>
      <c r="BP29" s="17" t="n">
        <f aca="false">SQRT(($B29-BP$8)^2+($C29-BP$9)^2+($D29-BP$10)^2)</f>
        <v>1.35932816072221</v>
      </c>
      <c r="BQ29" s="17" t="n">
        <f aca="false">SQRT(($B29-BQ$8)^2+($C29-BQ$9)^2+($D29-BQ$10)^2)</f>
        <v>2.23285903261753</v>
      </c>
      <c r="BR29" s="63" t="n">
        <f aca="false">MATCH(MIN(BP29:BQ29),BP29:BQ29,0)</f>
        <v>1</v>
      </c>
    </row>
    <row r="30" customFormat="false" ht="15" hidden="false" customHeight="false" outlineLevel="0" collapsed="false">
      <c r="A30" s="36" t="str">
        <f aca="false">KMeans_Data!A20</f>
        <v>Dir Lower</v>
      </c>
      <c r="B30" s="17" t="n">
        <f aca="false">KMeans_Data!H20</f>
        <v>0.970625526957299</v>
      </c>
      <c r="C30" s="17" t="n">
        <f aca="false">KMeans_Data!I20</f>
        <v>0.993675724638266</v>
      </c>
      <c r="D30" s="17" t="n">
        <f aca="false">KMeans_Data!J20</f>
        <v>0.997526228800629</v>
      </c>
      <c r="E30" s="63" t="n">
        <f aca="false">BR30</f>
        <v>1</v>
      </c>
      <c r="F30" s="38" t="n">
        <f aca="false">($B30-INDEX($L$8:$M$8,E30))^2+($C30-INDEX($L$9:$M$9,E30))^2+($D30-INDEX($L$10:$M$10,E30))^2</f>
        <v>0.0740545483445131</v>
      </c>
      <c r="G30" s="17" t="n">
        <f aca="false">IF(COUNTIF(Distance_Matrix!$E$8:$DQ$8,$E30)&lt;=1,0,SUMIF(Distance_Matrix!$E$8:$DQ$8,$E30,Distance_Matrix!$E$29:$DQ$29)/(COUNTIF(Distance_Matrix!$E$8:$DQ$8,$E30)-1))</f>
        <v>1.08525600251346</v>
      </c>
      <c r="H30" s="17" t="n">
        <f aca="false">MIN(IF(1=$E30,1E+099,IF(COUNTIF(Distance_Matrix!$E$8:$DQ$8,1)=0,1E+099,SUMIF(Distance_Matrix!$E$8:$DQ$8,1,Distance_Matrix!$E$29:$DQ$29)/COUNTIF(Distance_Matrix!$E$8:$DQ$8,1))),IF(2=$E30,1E+099,IF(COUNTIF(Distance_Matrix!$E$8:$DQ$8,2)=0,1E+099,SUMIF(Distance_Matrix!$E$8:$DQ$8,2,Distance_Matrix!$E$29:$DQ$29)/COUNTIF(Distance_Matrix!$E$8:$DQ$8,2))))</f>
        <v>2.64660166773576</v>
      </c>
      <c r="I30" s="17" t="n">
        <f aca="false">IF(COUNTIF(Distance_Matrix!$E$8:$DQ$8,$E30)&lt;=1,0,(H30-G30)/MAX(G30,H30))</f>
        <v>0.589943580953787</v>
      </c>
      <c r="X30" s="17" t="n">
        <f aca="false">SQRT(($B30-X$8)^2+($C30-X$9)^2+($D30-X$10)^2)</f>
        <v>4.43462744470065</v>
      </c>
      <c r="Y30" s="17" t="n">
        <f aca="false">SQRT(($B30-Y$8)^2+($C30-Y$9)^2+($D30-Y$10)^2)</f>
        <v>4.08344706124881</v>
      </c>
      <c r="Z30" s="63" t="n">
        <f aca="false">MATCH(MIN(X30:Y30),X30:Y30,0)</f>
        <v>2</v>
      </c>
      <c r="AB30" s="17" t="n">
        <f aca="false">SQRT(($B30-AB$8)^2+($C30-AB$9)^2+($D30-AB$10)^2)</f>
        <v>1.89701188380605</v>
      </c>
      <c r="AC30" s="17" t="n">
        <f aca="false">SQRT(($B30-AC$8)^2+($C30-AC$9)^2+($D30-AC$10)^2)</f>
        <v>2.04441334014806</v>
      </c>
      <c r="AD30" s="63" t="n">
        <f aca="false">MATCH(MIN(AB30:AC30),AB30:AC30,0)</f>
        <v>1</v>
      </c>
      <c r="AF30" s="17" t="n">
        <f aca="false">SQRT(($B30-AF$8)^2+($C30-AF$9)^2+($D30-AF$10)^2)</f>
        <v>1.29068874716143</v>
      </c>
      <c r="AG30" s="17" t="n">
        <f aca="false">SQRT(($B30-AG$8)^2+($C30-AG$9)^2+($D30-AG$10)^2)</f>
        <v>2.14582607554308</v>
      </c>
      <c r="AH30" s="63" t="n">
        <f aca="false">MATCH(MIN(AF30:AG30),AF30:AG30,0)</f>
        <v>1</v>
      </c>
      <c r="AJ30" s="17" t="n">
        <f aca="false">SQRT(($B30-AJ$8)^2+($C30-AJ$9)^2+($D30-AJ$10)^2)</f>
        <v>0.688520271000827</v>
      </c>
      <c r="AK30" s="17" t="n">
        <f aca="false">SQRT(($B30-AK$8)^2+($C30-AK$9)^2+($D30-AK$10)^2)</f>
        <v>2.35278354121889</v>
      </c>
      <c r="AL30" s="63" t="n">
        <f aca="false">MATCH(MIN(AJ30:AK30),AJ30:AK30,0)</f>
        <v>1</v>
      </c>
      <c r="AN30" s="17" t="n">
        <f aca="false">SQRT(($B30-AN$8)^2+($C30-AN$9)^2+($D30-AN$10)^2)</f>
        <v>0.473361520062682</v>
      </c>
      <c r="AO30" s="17" t="n">
        <f aca="false">SQRT(($B30-AO$8)^2+($C30-AO$9)^2+($D30-AO$10)^2)</f>
        <v>2.45775245270864</v>
      </c>
      <c r="AP30" s="63" t="n">
        <f aca="false">MATCH(MIN(AN30:AO30),AN30:AO30,0)</f>
        <v>1</v>
      </c>
      <c r="AR30" s="17" t="n">
        <f aca="false">SQRT(($B30-AR$8)^2+($C30-AR$9)^2+($D30-AR$10)^2)</f>
        <v>0.346914696172422</v>
      </c>
      <c r="AS30" s="17" t="n">
        <f aca="false">SQRT(($B30-AS$8)^2+($C30-AS$9)^2+($D30-AS$10)^2)</f>
        <v>2.51282670488585</v>
      </c>
      <c r="AT30" s="63" t="n">
        <f aca="false">MATCH(MIN(AR30:AS30),AR30:AS30,0)</f>
        <v>1</v>
      </c>
      <c r="AV30" s="17" t="n">
        <f aca="false">SQRT(($B30-AV$8)^2+($C30-AV$9)^2+($D30-AV$10)^2)</f>
        <v>0.307065389990775</v>
      </c>
      <c r="AW30" s="17" t="n">
        <f aca="false">SQRT(($B30-AW$8)^2+($C30-AW$9)^2+($D30-AW$10)^2)</f>
        <v>2.53078005070555</v>
      </c>
      <c r="AX30" s="63" t="n">
        <f aca="false">MATCH(MIN(AV30:AW30),AV30:AW30,0)</f>
        <v>1</v>
      </c>
      <c r="AZ30" s="17" t="n">
        <f aca="false">SQRT(($B30-AZ$8)^2+($C30-AZ$9)^2+($D30-AZ$10)^2)</f>
        <v>0.272129653556008</v>
      </c>
      <c r="BA30" s="17" t="n">
        <f aca="false">SQRT(($B30-BA$8)^2+($C30-BA$9)^2+($D30-BA$10)^2)</f>
        <v>2.54809016051069</v>
      </c>
      <c r="BB30" s="63" t="n">
        <f aca="false">MATCH(MIN(AZ30:BA30),AZ30:BA30,0)</f>
        <v>1</v>
      </c>
      <c r="BD30" s="17" t="n">
        <f aca="false">SQRT(($B30-BD$8)^2+($C30-BD$9)^2+($D30-BD$10)^2)</f>
        <v>0.272129653556008</v>
      </c>
      <c r="BE30" s="17" t="n">
        <f aca="false">SQRT(($B30-BE$8)^2+($C30-BE$9)^2+($D30-BE$10)^2)</f>
        <v>2.54809016051069</v>
      </c>
      <c r="BF30" s="63" t="n">
        <f aca="false">MATCH(MIN(BD30:BE30),BD30:BE30,0)</f>
        <v>1</v>
      </c>
      <c r="BH30" s="17" t="n">
        <f aca="false">SQRT(($B30-BH$8)^2+($C30-BH$9)^2+($D30-BH$10)^2)</f>
        <v>0.272129653556008</v>
      </c>
      <c r="BI30" s="17" t="n">
        <f aca="false">SQRT(($B30-BI$8)^2+($C30-BI$9)^2+($D30-BI$10)^2)</f>
        <v>2.54809016051069</v>
      </c>
      <c r="BJ30" s="63" t="n">
        <f aca="false">MATCH(MIN(BH30:BI30),BH30:BI30,0)</f>
        <v>1</v>
      </c>
      <c r="BL30" s="17" t="n">
        <f aca="false">SQRT(($B30-BL$8)^2+($C30-BL$9)^2+($D30-BL$10)^2)</f>
        <v>0.272129653556008</v>
      </c>
      <c r="BM30" s="17" t="n">
        <f aca="false">SQRT(($B30-BM$8)^2+($C30-BM$9)^2+($D30-BM$10)^2)</f>
        <v>2.54809016051069</v>
      </c>
      <c r="BN30" s="63" t="n">
        <f aca="false">MATCH(MIN(BL30:BM30),BL30:BM30,0)</f>
        <v>1</v>
      </c>
      <c r="BP30" s="17" t="n">
        <f aca="false">SQRT(($B30-BP$8)^2+($C30-BP$9)^2+($D30-BP$10)^2)</f>
        <v>0.272129653556008</v>
      </c>
      <c r="BQ30" s="17" t="n">
        <f aca="false">SQRT(($B30-BQ$8)^2+($C30-BQ$9)^2+($D30-BQ$10)^2)</f>
        <v>2.54809016051069</v>
      </c>
      <c r="BR30" s="63" t="n">
        <f aca="false">MATCH(MIN(BP30:BQ30),BP30:BQ30,0)</f>
        <v>1</v>
      </c>
    </row>
    <row r="31" customFormat="false" ht="15" hidden="false" customHeight="false" outlineLevel="0" collapsed="false">
      <c r="A31" s="36" t="str">
        <f aca="false">KMeans_Data!A21</f>
        <v>Khairpur</v>
      </c>
      <c r="B31" s="17" t="n">
        <f aca="false">KMeans_Data!H21</f>
        <v>0.88016218188859</v>
      </c>
      <c r="C31" s="17" t="n">
        <f aca="false">KMeans_Data!I21</f>
        <v>0.378684277529216</v>
      </c>
      <c r="D31" s="17" t="n">
        <f aca="false">KMeans_Data!J21</f>
        <v>1.58320837987195</v>
      </c>
      <c r="E31" s="63" t="n">
        <f aca="false">BR31</f>
        <v>1</v>
      </c>
      <c r="F31" s="38" t="n">
        <f aca="false">($B31-INDEX($L$8:$M$8,E31))^2+($C31-INDEX($L$9:$M$9,E31))^2+($D31-INDEX($L$10:$M$10,E31))^2</f>
        <v>0.912338491518697</v>
      </c>
      <c r="G31" s="17" t="n">
        <f aca="false">IF(COUNTIF(Distance_Matrix!$E$8:$DQ$8,$E31)&lt;=1,0,SUMIF(Distance_Matrix!$E$8:$DQ$8,$E31,Distance_Matrix!$E$30:$DQ$30)/(COUNTIF(Distance_Matrix!$E$8:$DQ$8,$E31)-1))</f>
        <v>1.40333690460946</v>
      </c>
      <c r="H31" s="17" t="n">
        <f aca="false">MIN(IF(1=$E31,1E+099,IF(COUNTIF(Distance_Matrix!$E$8:$DQ$8,1)=0,1E+099,SUMIF(Distance_Matrix!$E$8:$DQ$8,1,Distance_Matrix!$E$30:$DQ$30)/COUNTIF(Distance_Matrix!$E$8:$DQ$8,1))),IF(2=$E31,1E+099,IF(COUNTIF(Distance_Matrix!$E$8:$DQ$8,2)=0,1E+099,SUMIF(Distance_Matrix!$E$8:$DQ$8,2,Distance_Matrix!$E$30:$DQ$30)/COUNTIF(Distance_Matrix!$E$8:$DQ$8,2))))</f>
        <v>2.69436073321929</v>
      </c>
      <c r="I31" s="17" t="n">
        <f aca="false">IF(COUNTIF(Distance_Matrix!$E$8:$DQ$8,$E31)&lt;=1,0,(H31-G31)/MAX(G31,H31))</f>
        <v>0.479157750739367</v>
      </c>
      <c r="X31" s="17" t="n">
        <f aca="false">SQRT(($B31-X$8)^2+($C31-X$9)^2+($D31-X$10)^2)</f>
        <v>4.68145377022651</v>
      </c>
      <c r="Y31" s="17" t="n">
        <f aca="false">SQRT(($B31-Y$8)^2+($C31-Y$9)^2+($D31-Y$10)^2)</f>
        <v>4.16088329984745</v>
      </c>
      <c r="Z31" s="63" t="n">
        <f aca="false">MATCH(MIN(X31:Y31),X31:Y31,0)</f>
        <v>2</v>
      </c>
      <c r="AB31" s="17" t="n">
        <f aca="false">SQRT(($B31-AB$8)^2+($C31-AB$9)^2+($D31-AB$10)^2)</f>
        <v>2.27144848387085</v>
      </c>
      <c r="AC31" s="17" t="n">
        <f aca="false">SQRT(($B31-AC$8)^2+($C31-AC$9)^2+($D31-AC$10)^2)</f>
        <v>2.14022482152577</v>
      </c>
      <c r="AD31" s="63" t="n">
        <f aca="false">MATCH(MIN(AB31:AC31),AB31:AC31,0)</f>
        <v>2</v>
      </c>
      <c r="AF31" s="17" t="n">
        <f aca="false">SQRT(($B31-AF$8)^2+($C31-AF$9)^2+($D31-AF$10)^2)</f>
        <v>1.75769136320647</v>
      </c>
      <c r="AG31" s="17" t="n">
        <f aca="false">SQRT(($B31-AG$8)^2+($C31-AG$9)^2+($D31-AG$10)^2)</f>
        <v>2.22908691744225</v>
      </c>
      <c r="AH31" s="63" t="n">
        <f aca="false">MATCH(MIN(AF31:AG31),AF31:AG31,0)</f>
        <v>1</v>
      </c>
      <c r="AJ31" s="17" t="n">
        <f aca="false">SQRT(($B31-AJ$8)^2+($C31-AJ$9)^2+($D31-AJ$10)^2)</f>
        <v>1.25372661920483</v>
      </c>
      <c r="AK31" s="17" t="n">
        <f aca="false">SQRT(($B31-AK$8)^2+($C31-AK$9)^2+($D31-AK$10)^2)</f>
        <v>2.42347776812794</v>
      </c>
      <c r="AL31" s="63" t="n">
        <f aca="false">MATCH(MIN(AJ31:AK31),AJ31:AK31,0)</f>
        <v>1</v>
      </c>
      <c r="AN31" s="17" t="n">
        <f aca="false">SQRT(($B31-AN$8)^2+($C31-AN$9)^2+($D31-AN$10)^2)</f>
        <v>1.06384965432218</v>
      </c>
      <c r="AO31" s="17" t="n">
        <f aca="false">SQRT(($B31-AO$8)^2+($C31-AO$9)^2+($D31-AO$10)^2)</f>
        <v>2.52983322484316</v>
      </c>
      <c r="AP31" s="63" t="n">
        <f aca="false">MATCH(MIN(AN31:AO31),AN31:AO31,0)</f>
        <v>1</v>
      </c>
      <c r="AR31" s="17" t="n">
        <f aca="false">SQRT(($B31-AR$8)^2+($C31-AR$9)^2+($D31-AR$10)^2)</f>
        <v>0.984812177470872</v>
      </c>
      <c r="AS31" s="17" t="n">
        <f aca="false">SQRT(($B31-AS$8)^2+($C31-AS$9)^2+($D31-AS$10)^2)</f>
        <v>2.58400712709868</v>
      </c>
      <c r="AT31" s="63" t="n">
        <f aca="false">MATCH(MIN(AR31:AS31),AR31:AS31,0)</f>
        <v>1</v>
      </c>
      <c r="AV31" s="17" t="n">
        <f aca="false">SQRT(($B31-AV$8)^2+($C31-AV$9)^2+($D31-AV$10)^2)</f>
        <v>0.969622159469313</v>
      </c>
      <c r="AW31" s="17" t="n">
        <f aca="false">SQRT(($B31-AW$8)^2+($C31-AW$9)^2+($D31-AW$10)^2)</f>
        <v>2.60062767911901</v>
      </c>
      <c r="AX31" s="63" t="n">
        <f aca="false">MATCH(MIN(AV31:AW31),AV31:AW31,0)</f>
        <v>1</v>
      </c>
      <c r="AZ31" s="17" t="n">
        <f aca="false">SQRT(($B31-AZ$8)^2+($C31-AZ$9)^2+($D31-AZ$10)^2)</f>
        <v>0.955164117583307</v>
      </c>
      <c r="BA31" s="17" t="n">
        <f aca="false">SQRT(($B31-BA$8)^2+($C31-BA$9)^2+($D31-BA$10)^2)</f>
        <v>2.6169594633319</v>
      </c>
      <c r="BB31" s="63" t="n">
        <f aca="false">MATCH(MIN(AZ31:BA31),AZ31:BA31,0)</f>
        <v>1</v>
      </c>
      <c r="BD31" s="17" t="n">
        <f aca="false">SQRT(($B31-BD$8)^2+($C31-BD$9)^2+($D31-BD$10)^2)</f>
        <v>0.955164117583307</v>
      </c>
      <c r="BE31" s="17" t="n">
        <f aca="false">SQRT(($B31-BE$8)^2+($C31-BE$9)^2+($D31-BE$10)^2)</f>
        <v>2.6169594633319</v>
      </c>
      <c r="BF31" s="63" t="n">
        <f aca="false">MATCH(MIN(BD31:BE31),BD31:BE31,0)</f>
        <v>1</v>
      </c>
      <c r="BH31" s="17" t="n">
        <f aca="false">SQRT(($B31-BH$8)^2+($C31-BH$9)^2+($D31-BH$10)^2)</f>
        <v>0.955164117583307</v>
      </c>
      <c r="BI31" s="17" t="n">
        <f aca="false">SQRT(($B31-BI$8)^2+($C31-BI$9)^2+($D31-BI$10)^2)</f>
        <v>2.6169594633319</v>
      </c>
      <c r="BJ31" s="63" t="n">
        <f aca="false">MATCH(MIN(BH31:BI31),BH31:BI31,0)</f>
        <v>1</v>
      </c>
      <c r="BL31" s="17" t="n">
        <f aca="false">SQRT(($B31-BL$8)^2+($C31-BL$9)^2+($D31-BL$10)^2)</f>
        <v>0.955164117583307</v>
      </c>
      <c r="BM31" s="17" t="n">
        <f aca="false">SQRT(($B31-BM$8)^2+($C31-BM$9)^2+($D31-BM$10)^2)</f>
        <v>2.6169594633319</v>
      </c>
      <c r="BN31" s="63" t="n">
        <f aca="false">MATCH(MIN(BL31:BM31),BL31:BM31,0)</f>
        <v>1</v>
      </c>
      <c r="BP31" s="17" t="n">
        <f aca="false">SQRT(($B31-BP$8)^2+($C31-BP$9)^2+($D31-BP$10)^2)</f>
        <v>0.955164117583307</v>
      </c>
      <c r="BQ31" s="17" t="n">
        <f aca="false">SQRT(($B31-BQ$8)^2+($C31-BQ$9)^2+($D31-BQ$10)^2)</f>
        <v>2.6169594633319</v>
      </c>
      <c r="BR31" s="63" t="n">
        <f aca="false">MATCH(MIN(BP31:BQ31),BP31:BQ31,0)</f>
        <v>1</v>
      </c>
    </row>
    <row r="32" customFormat="false" ht="15" hidden="false" customHeight="false" outlineLevel="0" collapsed="false">
      <c r="A32" s="36" t="str">
        <f aca="false">KMeans_Data!A22</f>
        <v>Abbottabad</v>
      </c>
      <c r="B32" s="17" t="n">
        <f aca="false">KMeans_Data!H22</f>
        <v>0.853001062018471</v>
      </c>
      <c r="C32" s="17" t="n">
        <f aca="false">KMeans_Data!I22</f>
        <v>1.38107452085777</v>
      </c>
      <c r="D32" s="17" t="n">
        <f aca="false">KMeans_Data!J22</f>
        <v>0.618328666074444</v>
      </c>
      <c r="E32" s="63" t="n">
        <f aca="false">BR32</f>
        <v>1</v>
      </c>
      <c r="F32" s="38" t="n">
        <f aca="false">($B32-INDEX($L$8:$M$8,E32))^2+($C32-INDEX($L$9:$M$9,E32))^2+($D32-INDEX($L$10:$M$10,E32))^2</f>
        <v>0.34068392154167</v>
      </c>
      <c r="G32" s="17" t="n">
        <f aca="false">IF(COUNTIF(Distance_Matrix!$E$8:$DQ$8,$E32)&lt;=1,0,SUMIF(Distance_Matrix!$E$8:$DQ$8,$E32,Distance_Matrix!$E$31:$DQ$31)/(COUNTIF(Distance_Matrix!$E$8:$DQ$8,$E32)-1))</f>
        <v>1.22950592266467</v>
      </c>
      <c r="H32" s="17" t="n">
        <f aca="false">MIN(IF(1=$E32,1E+099,IF(COUNTIF(Distance_Matrix!$E$8:$DQ$8,1)=0,1E+099,SUMIF(Distance_Matrix!$E$8:$DQ$8,1,Distance_Matrix!$E$31:$DQ$31)/COUNTIF(Distance_Matrix!$E$8:$DQ$8,1))),IF(2=$E32,1E+099,IF(COUNTIF(Distance_Matrix!$E$8:$DQ$8,2)=0,1E+099,SUMIF(Distance_Matrix!$E$8:$DQ$8,2,Distance_Matrix!$E$31:$DQ$31)/COUNTIF(Distance_Matrix!$E$8:$DQ$8,2))))</f>
        <v>2.67021951058874</v>
      </c>
      <c r="I32" s="17" t="n">
        <f aca="false">IF(COUNTIF(Distance_Matrix!$E$8:$DQ$8,$E32)&lt;=1,0,(H32-G32)/MAX(G32,H32))</f>
        <v>0.539548745790723</v>
      </c>
      <c r="X32" s="17" t="n">
        <f aca="false">SQRT(($B32-X$8)^2+($C32-X$9)^2+($D32-X$10)^2)</f>
        <v>4.45718422157071</v>
      </c>
      <c r="Y32" s="17" t="n">
        <f aca="false">SQRT(($B32-Y$8)^2+($C32-Y$9)^2+($D32-Y$10)^2)</f>
        <v>3.99128361858191</v>
      </c>
      <c r="Z32" s="63" t="n">
        <f aca="false">MATCH(MIN(X32:Y32),X32:Y32,0)</f>
        <v>2</v>
      </c>
      <c r="AB32" s="17" t="n">
        <f aca="false">SQRT(($B32-AB$8)^2+($C32-AB$9)^2+($D32-AB$10)^2)</f>
        <v>1.93673687809295</v>
      </c>
      <c r="AC32" s="17" t="n">
        <f aca="false">SQRT(($B32-AC$8)^2+($C32-AC$9)^2+($D32-AC$10)^2)</f>
        <v>2.06562445328175</v>
      </c>
      <c r="AD32" s="63" t="n">
        <f aca="false">MATCH(MIN(AB32:AC32),AB32:AC32,0)</f>
        <v>1</v>
      </c>
      <c r="AF32" s="17" t="n">
        <f aca="false">SQRT(($B32-AF$8)^2+($C32-AF$9)^2+($D32-AF$10)^2)</f>
        <v>1.33126771384272</v>
      </c>
      <c r="AG32" s="17" t="n">
        <f aca="false">SQRT(($B32-AG$8)^2+($C32-AG$9)^2+($D32-AG$10)^2)</f>
        <v>2.16686545760288</v>
      </c>
      <c r="AH32" s="63" t="n">
        <f aca="false">MATCH(MIN(AF32:AG32),AF32:AG32,0)</f>
        <v>1</v>
      </c>
      <c r="AJ32" s="17" t="n">
        <f aca="false">SQRT(($B32-AJ$8)^2+($C32-AJ$9)^2+($D32-AJ$10)^2)</f>
        <v>0.804099642742254</v>
      </c>
      <c r="AK32" s="17" t="n">
        <f aca="false">SQRT(($B32-AK$8)^2+($C32-AK$9)^2+($D32-AK$10)^2)</f>
        <v>2.36783809790617</v>
      </c>
      <c r="AL32" s="63" t="n">
        <f aca="false">MATCH(MIN(AJ32:AK32),AJ32:AK32,0)</f>
        <v>1</v>
      </c>
      <c r="AN32" s="17" t="n">
        <f aca="false">SQRT(($B32-AN$8)^2+($C32-AN$9)^2+($D32-AN$10)^2)</f>
        <v>0.697952232758458</v>
      </c>
      <c r="AO32" s="17" t="n">
        <f aca="false">SQRT(($B32-AO$8)^2+($C32-AO$9)^2+($D32-AO$10)^2)</f>
        <v>2.46466212529956</v>
      </c>
      <c r="AP32" s="63" t="n">
        <f aca="false">MATCH(MIN(AN32:AO32),AN32:AO32,0)</f>
        <v>1</v>
      </c>
      <c r="AR32" s="17" t="n">
        <f aca="false">SQRT(($B32-AR$8)^2+($C32-AR$9)^2+($D32-AR$10)^2)</f>
        <v>0.630553617075224</v>
      </c>
      <c r="AS32" s="17" t="n">
        <f aca="false">SQRT(($B32-AS$8)^2+($C32-AS$9)^2+($D32-AS$10)^2)</f>
        <v>2.51685485816268</v>
      </c>
      <c r="AT32" s="63" t="n">
        <f aca="false">MATCH(MIN(AR32:AS32),AR32:AS32,0)</f>
        <v>1</v>
      </c>
      <c r="AV32" s="17" t="n">
        <f aca="false">SQRT(($B32-AV$8)^2+($C32-AV$9)^2+($D32-AV$10)^2)</f>
        <v>0.606262946495448</v>
      </c>
      <c r="AW32" s="17" t="n">
        <f aca="false">SQRT(($B32-AW$8)^2+($C32-AW$9)^2+($D32-AW$10)^2)</f>
        <v>2.53449070250722</v>
      </c>
      <c r="AX32" s="63" t="n">
        <f aca="false">MATCH(MIN(AV32:AW32),AV32:AW32,0)</f>
        <v>1</v>
      </c>
      <c r="AZ32" s="17" t="n">
        <f aca="false">SQRT(($B32-AZ$8)^2+($C32-AZ$9)^2+($D32-AZ$10)^2)</f>
        <v>0.583681352744517</v>
      </c>
      <c r="BA32" s="17" t="n">
        <f aca="false">SQRT(($B32-BA$8)^2+($C32-BA$9)^2+($D32-BA$10)^2)</f>
        <v>2.55172258802776</v>
      </c>
      <c r="BB32" s="63" t="n">
        <f aca="false">MATCH(MIN(AZ32:BA32),AZ32:BA32,0)</f>
        <v>1</v>
      </c>
      <c r="BD32" s="17" t="n">
        <f aca="false">SQRT(($B32-BD$8)^2+($C32-BD$9)^2+($D32-BD$10)^2)</f>
        <v>0.583681352744517</v>
      </c>
      <c r="BE32" s="17" t="n">
        <f aca="false">SQRT(($B32-BE$8)^2+($C32-BE$9)^2+($D32-BE$10)^2)</f>
        <v>2.55172258802776</v>
      </c>
      <c r="BF32" s="63" t="n">
        <f aca="false">MATCH(MIN(BD32:BE32),BD32:BE32,0)</f>
        <v>1</v>
      </c>
      <c r="BH32" s="17" t="n">
        <f aca="false">SQRT(($B32-BH$8)^2+($C32-BH$9)^2+($D32-BH$10)^2)</f>
        <v>0.583681352744517</v>
      </c>
      <c r="BI32" s="17" t="n">
        <f aca="false">SQRT(($B32-BI$8)^2+($C32-BI$9)^2+($D32-BI$10)^2)</f>
        <v>2.55172258802776</v>
      </c>
      <c r="BJ32" s="63" t="n">
        <f aca="false">MATCH(MIN(BH32:BI32),BH32:BI32,0)</f>
        <v>1</v>
      </c>
      <c r="BL32" s="17" t="n">
        <f aca="false">SQRT(($B32-BL$8)^2+($C32-BL$9)^2+($D32-BL$10)^2)</f>
        <v>0.583681352744517</v>
      </c>
      <c r="BM32" s="17" t="n">
        <f aca="false">SQRT(($B32-BM$8)^2+($C32-BM$9)^2+($D32-BM$10)^2)</f>
        <v>2.55172258802776</v>
      </c>
      <c r="BN32" s="63" t="n">
        <f aca="false">MATCH(MIN(BL32:BM32),BL32:BM32,0)</f>
        <v>1</v>
      </c>
      <c r="BP32" s="17" t="n">
        <f aca="false">SQRT(($B32-BP$8)^2+($C32-BP$9)^2+($D32-BP$10)^2)</f>
        <v>0.583681352744517</v>
      </c>
      <c r="BQ32" s="17" t="n">
        <f aca="false">SQRT(($B32-BQ$8)^2+($C32-BQ$9)^2+($D32-BQ$10)^2)</f>
        <v>2.55172258802776</v>
      </c>
      <c r="BR32" s="63" t="n">
        <f aca="false">MATCH(MIN(BP32:BQ32),BP32:BQ32,0)</f>
        <v>1</v>
      </c>
    </row>
    <row r="33" customFormat="false" ht="15" hidden="false" customHeight="false" outlineLevel="0" collapsed="false">
      <c r="A33" s="36" t="str">
        <f aca="false">KMeans_Data!A23</f>
        <v>Nowshera</v>
      </c>
      <c r="B33" s="17" t="n">
        <f aca="false">KMeans_Data!H23</f>
        <v>0.851138913278639</v>
      </c>
      <c r="C33" s="17" t="n">
        <f aca="false">KMeans_Data!I23</f>
        <v>1.38107452085777</v>
      </c>
      <c r="D33" s="17" t="n">
        <f aca="false">KMeans_Data!J23</f>
        <v>0.934349160614903</v>
      </c>
      <c r="E33" s="63" t="n">
        <f aca="false">BR33</f>
        <v>1</v>
      </c>
      <c r="F33" s="38" t="n">
        <f aca="false">($B33-INDEX($L$8:$M$8,E33))^2+($C33-INDEX($L$9:$M$9,E33))^2+($D33-INDEX($L$10:$M$10,E33))^2</f>
        <v>0.108745257499386</v>
      </c>
      <c r="G33" s="17" t="n">
        <f aca="false">IF(COUNTIF(Distance_Matrix!$E$8:$DQ$8,$E33)&lt;=1,0,SUMIF(Distance_Matrix!$E$8:$DQ$8,$E33,Distance_Matrix!$E$32:$DQ$32)/(COUNTIF(Distance_Matrix!$E$8:$DQ$8,$E33)-1))</f>
        <v>1.15824924977065</v>
      </c>
      <c r="H33" s="17" t="n">
        <f aca="false">MIN(IF(1=$E33,1E+099,IF(COUNTIF(Distance_Matrix!$E$8:$DQ$8,1)=0,1E+099,SUMIF(Distance_Matrix!$E$8:$DQ$8,1,Distance_Matrix!$E$32:$DQ$32)/COUNTIF(Distance_Matrix!$E$8:$DQ$8,1))),IF(2=$E33,1E+099,IF(COUNTIF(Distance_Matrix!$E$8:$DQ$8,2)=0,1E+099,SUMIF(Distance_Matrix!$E$8:$DQ$8,2,Distance_Matrix!$E$32:$DQ$32)/COUNTIF(Distance_Matrix!$E$8:$DQ$8,2))))</f>
        <v>2.80790853826561</v>
      </c>
      <c r="I33" s="17" t="n">
        <f aca="false">IF(COUNTIF(Distance_Matrix!$E$8:$DQ$8,$E33)&lt;=1,0,(H33-G33)/MAX(G33,H33))</f>
        <v>0.587504637709434</v>
      </c>
      <c r="X33" s="17" t="n">
        <f aca="false">SQRT(($B33-X$8)^2+($C33-X$9)^2+($D33-X$10)^2)</f>
        <v>4.2790585979296</v>
      </c>
      <c r="Y33" s="17" t="n">
        <f aca="false">SQRT(($B33-Y$8)^2+($C33-Y$9)^2+($D33-Y$10)^2)</f>
        <v>4.13934753964962</v>
      </c>
      <c r="Z33" s="63" t="n">
        <f aca="false">MATCH(MIN(X33:Y33),X33:Y33,0)</f>
        <v>2</v>
      </c>
      <c r="AB33" s="17" t="n">
        <f aca="false">SQRT(($B33-AB$8)^2+($C33-AB$9)^2+($D33-AB$10)^2)</f>
        <v>1.75111863564179</v>
      </c>
      <c r="AC33" s="17" t="n">
        <f aca="false">SQRT(($B33-AC$8)^2+($C33-AC$9)^2+($D33-AC$10)^2)</f>
        <v>2.20541272507981</v>
      </c>
      <c r="AD33" s="63" t="n">
        <f aca="false">MATCH(MIN(AB33:AC33),AB33:AC33,0)</f>
        <v>1</v>
      </c>
      <c r="AF33" s="17" t="n">
        <f aca="false">SQRT(($B33-AF$8)^2+($C33-AF$9)^2+($D33-AF$10)^2)</f>
        <v>1.13836678410754</v>
      </c>
      <c r="AG33" s="17" t="n">
        <f aca="false">SQRT(($B33-AG$8)^2+($C33-AG$9)^2+($D33-AG$10)^2)</f>
        <v>2.30750091701619</v>
      </c>
      <c r="AH33" s="63" t="n">
        <f aca="false">MATCH(MIN(AF33:AG33),AF33:AG33,0)</f>
        <v>1</v>
      </c>
      <c r="AJ33" s="17" t="n">
        <f aca="false">SQRT(($B33-AJ$8)^2+($C33-AJ$9)^2+($D33-AJ$10)^2)</f>
        <v>0.558440051947034</v>
      </c>
      <c r="AK33" s="17" t="n">
        <f aca="false">SQRT(($B33-AK$8)^2+($C33-AK$9)^2+($D33-AK$10)^2)</f>
        <v>2.51348220185135</v>
      </c>
      <c r="AL33" s="63" t="n">
        <f aca="false">MATCH(MIN(AJ33:AK33),AJ33:AK33,0)</f>
        <v>1</v>
      </c>
      <c r="AN33" s="17" t="n">
        <f aca="false">SQRT(($B33-AN$8)^2+($C33-AN$9)^2+($D33-AN$10)^2)</f>
        <v>0.434977395718277</v>
      </c>
      <c r="AO33" s="17" t="n">
        <f aca="false">SQRT(($B33-AO$8)^2+($C33-AO$9)^2+($D33-AO$10)^2)</f>
        <v>2.61398245290139</v>
      </c>
      <c r="AP33" s="63" t="n">
        <f aca="false">MATCH(MIN(AN33:AO33),AN33:AO33,0)</f>
        <v>1</v>
      </c>
      <c r="AR33" s="17" t="n">
        <f aca="false">SQRT(($B33-AR$8)^2+($C33-AR$9)^2+($D33-AR$10)^2)</f>
        <v>0.370275558985011</v>
      </c>
      <c r="AS33" s="17" t="n">
        <f aca="false">SQRT(($B33-AS$8)^2+($C33-AS$9)^2+($D33-AS$10)^2)</f>
        <v>2.66756810480421</v>
      </c>
      <c r="AT33" s="63" t="n">
        <f aca="false">MATCH(MIN(AR33:AS33),AR33:AS33,0)</f>
        <v>1</v>
      </c>
      <c r="AV33" s="17" t="n">
        <f aca="false">SQRT(($B33-AV$8)^2+($C33-AV$9)^2+($D33-AV$10)^2)</f>
        <v>0.351836848212896</v>
      </c>
      <c r="AW33" s="17" t="n">
        <f aca="false">SQRT(($B33-AW$8)^2+($C33-AW$9)^2+($D33-AW$10)^2)</f>
        <v>2.68527545320325</v>
      </c>
      <c r="AX33" s="63" t="n">
        <f aca="false">MATCH(MIN(AV33:AW33),AV33:AW33,0)</f>
        <v>1</v>
      </c>
      <c r="AZ33" s="17" t="n">
        <f aca="false">SQRT(($B33-AZ$8)^2+($C33-AZ$9)^2+($D33-AZ$10)^2)</f>
        <v>0.329765458317553</v>
      </c>
      <c r="BA33" s="17" t="n">
        <f aca="false">SQRT(($B33-BA$8)^2+($C33-BA$9)^2+($D33-BA$10)^2)</f>
        <v>2.70293771352448</v>
      </c>
      <c r="BB33" s="63" t="n">
        <f aca="false">MATCH(MIN(AZ33:BA33),AZ33:BA33,0)</f>
        <v>1</v>
      </c>
      <c r="BD33" s="17" t="n">
        <f aca="false">SQRT(($B33-BD$8)^2+($C33-BD$9)^2+($D33-BD$10)^2)</f>
        <v>0.329765458317553</v>
      </c>
      <c r="BE33" s="17" t="n">
        <f aca="false">SQRT(($B33-BE$8)^2+($C33-BE$9)^2+($D33-BE$10)^2)</f>
        <v>2.70293771352448</v>
      </c>
      <c r="BF33" s="63" t="n">
        <f aca="false">MATCH(MIN(BD33:BE33),BD33:BE33,0)</f>
        <v>1</v>
      </c>
      <c r="BH33" s="17" t="n">
        <f aca="false">SQRT(($B33-BH$8)^2+($C33-BH$9)^2+($D33-BH$10)^2)</f>
        <v>0.329765458317553</v>
      </c>
      <c r="BI33" s="17" t="n">
        <f aca="false">SQRT(($B33-BI$8)^2+($C33-BI$9)^2+($D33-BI$10)^2)</f>
        <v>2.70293771352448</v>
      </c>
      <c r="BJ33" s="63" t="n">
        <f aca="false">MATCH(MIN(BH33:BI33),BH33:BI33,0)</f>
        <v>1</v>
      </c>
      <c r="BL33" s="17" t="n">
        <f aca="false">SQRT(($B33-BL$8)^2+($C33-BL$9)^2+($D33-BL$10)^2)</f>
        <v>0.329765458317553</v>
      </c>
      <c r="BM33" s="17" t="n">
        <f aca="false">SQRT(($B33-BM$8)^2+($C33-BM$9)^2+($D33-BM$10)^2)</f>
        <v>2.70293771352448</v>
      </c>
      <c r="BN33" s="63" t="n">
        <f aca="false">MATCH(MIN(BL33:BM33),BL33:BM33,0)</f>
        <v>1</v>
      </c>
      <c r="BP33" s="17" t="n">
        <f aca="false">SQRT(($B33-BP$8)^2+($C33-BP$9)^2+($D33-BP$10)^2)</f>
        <v>0.329765458317553</v>
      </c>
      <c r="BQ33" s="17" t="n">
        <f aca="false">SQRT(($B33-BQ$8)^2+($C33-BQ$9)^2+($D33-BQ$10)^2)</f>
        <v>2.70293771352448</v>
      </c>
      <c r="BR33" s="63" t="n">
        <f aca="false">MATCH(MIN(BP33:BQ33),BP33:BQ33,0)</f>
        <v>1</v>
      </c>
    </row>
    <row r="34" customFormat="false" ht="15" hidden="false" customHeight="false" outlineLevel="0" collapsed="false">
      <c r="A34" s="36" t="str">
        <f aca="false">KMeans_Data!A24</f>
        <v>Muzaffarabad</v>
      </c>
      <c r="B34" s="17" t="n">
        <f aca="false">KMeans_Data!H24</f>
        <v>0.841726902407959</v>
      </c>
      <c r="C34" s="17" t="n">
        <f aca="false">KMeans_Data!I24</f>
        <v>0.803084449535714</v>
      </c>
      <c r="D34" s="17" t="n">
        <f aca="false">KMeans_Data!J24</f>
        <v>1.03670935350208</v>
      </c>
      <c r="E34" s="63" t="n">
        <f aca="false">BR34</f>
        <v>1</v>
      </c>
      <c r="F34" s="38" t="n">
        <f aca="false">($B34-INDEX($L$8:$M$8,E34))^2+($C34-INDEX($L$9:$M$9,E34))^2+($D34-INDEX($L$10:$M$10,E34))^2</f>
        <v>0.218224139487394</v>
      </c>
      <c r="G34" s="17" t="n">
        <f aca="false">IF(COUNTIF(Distance_Matrix!$E$8:$DQ$8,$E34)&lt;=1,0,SUMIF(Distance_Matrix!$E$8:$DQ$8,$E34,Distance_Matrix!$E$33:$DQ$33)/(COUNTIF(Distance_Matrix!$E$8:$DQ$8,$E34)-1))</f>
        <v>1.08694103840982</v>
      </c>
      <c r="H34" s="17" t="n">
        <f aca="false">MIN(IF(1=$E34,1E+099,IF(COUNTIF(Distance_Matrix!$E$8:$DQ$8,1)=0,1E+099,SUMIF(Distance_Matrix!$E$8:$DQ$8,1,Distance_Matrix!$E$33:$DQ$33)/COUNTIF(Distance_Matrix!$E$8:$DQ$8,1))),IF(2=$E34,1E+099,IF(COUNTIF(Distance_Matrix!$E$8:$DQ$8,2)=0,1E+099,SUMIF(Distance_Matrix!$E$8:$DQ$8,2,Distance_Matrix!$E$33:$DQ$33)/COUNTIF(Distance_Matrix!$E$8:$DQ$8,2))))</f>
        <v>2.49334894947545</v>
      </c>
      <c r="I34" s="17" t="n">
        <f aca="false">IF(COUNTIF(Distance_Matrix!$E$8:$DQ$8,$E34)&lt;=1,0,(H34-G34)/MAX(G34,H34))</f>
        <v>0.564063811189167</v>
      </c>
      <c r="X34" s="17" t="n">
        <f aca="false">SQRT(($B34-X$8)^2+($C34-X$9)^2+($D34-X$10)^2)</f>
        <v>4.61500990770194</v>
      </c>
      <c r="Y34" s="17" t="n">
        <f aca="false">SQRT(($B34-Y$8)^2+($C34-Y$9)^2+($D34-Y$10)^2)</f>
        <v>3.93388071911523</v>
      </c>
      <c r="Z34" s="63" t="n">
        <f aca="false">MATCH(MIN(X34:Y34),X34:Y34,0)</f>
        <v>2</v>
      </c>
      <c r="AB34" s="17" t="n">
        <f aca="false">SQRT(($B34-AB$8)^2+($C34-AB$9)^2+($D34-AB$10)^2)</f>
        <v>2.08817154070027</v>
      </c>
      <c r="AC34" s="17" t="n">
        <f aca="false">SQRT(($B34-AC$8)^2+($C34-AC$9)^2+($D34-AC$10)^2)</f>
        <v>1.88830412581705</v>
      </c>
      <c r="AD34" s="63" t="n">
        <f aca="false">MATCH(MIN(AB34:AC34),AB34:AC34,0)</f>
        <v>2</v>
      </c>
      <c r="AF34" s="17" t="n">
        <f aca="false">SQRT(($B34-AF$8)^2+($C34-AF$9)^2+($D34-AF$10)^2)</f>
        <v>1.48939552197222</v>
      </c>
      <c r="AG34" s="17" t="n">
        <f aca="false">SQRT(($B34-AG$8)^2+($C34-AG$9)^2+($D34-AG$10)^2)</f>
        <v>1.98846417136847</v>
      </c>
      <c r="AH34" s="63" t="n">
        <f aca="false">MATCH(MIN(AF34:AG34),AF34:AG34,0)</f>
        <v>1</v>
      </c>
      <c r="AJ34" s="17" t="n">
        <f aca="false">SQRT(($B34-AJ$8)^2+($C34-AJ$9)^2+($D34-AJ$10)^2)</f>
        <v>0.885081232996368</v>
      </c>
      <c r="AK34" s="17" t="n">
        <f aca="false">SQRT(($B34-AK$8)^2+($C34-AK$9)^2+($D34-AK$10)^2)</f>
        <v>2.19552109778999</v>
      </c>
      <c r="AL34" s="63" t="n">
        <f aca="false">MATCH(MIN(AJ34:AK34),AJ34:AK34,0)</f>
        <v>1</v>
      </c>
      <c r="AN34" s="17" t="n">
        <f aca="false">SQRT(($B34-AN$8)^2+($C34-AN$9)^2+($D34-AN$10)^2)</f>
        <v>0.664541648658047</v>
      </c>
      <c r="AO34" s="17" t="n">
        <f aca="false">SQRT(($B34-AO$8)^2+($C34-AO$9)^2+($D34-AO$10)^2)</f>
        <v>2.30174459236023</v>
      </c>
      <c r="AP34" s="63" t="n">
        <f aca="false">MATCH(MIN(AN34:AO34),AN34:AO34,0)</f>
        <v>1</v>
      </c>
      <c r="AR34" s="17" t="n">
        <f aca="false">SQRT(($B34-AR$8)^2+($C34-AR$9)^2+($D34-AR$10)^2)</f>
        <v>0.539087957307496</v>
      </c>
      <c r="AS34" s="17" t="n">
        <f aca="false">SQRT(($B34-AS$8)^2+($C34-AS$9)^2+($D34-AS$10)^2)</f>
        <v>2.35713062804981</v>
      </c>
      <c r="AT34" s="63" t="n">
        <f aca="false">MATCH(MIN(AR34:AS34),AR34:AS34,0)</f>
        <v>1</v>
      </c>
      <c r="AV34" s="17" t="n">
        <f aca="false">SQRT(($B34-AV$8)^2+($C34-AV$9)^2+($D34-AV$10)^2)</f>
        <v>0.502557764743891</v>
      </c>
      <c r="AW34" s="17" t="n">
        <f aca="false">SQRT(($B34-AW$8)^2+($C34-AW$9)^2+($D34-AW$10)^2)</f>
        <v>2.37493991435903</v>
      </c>
      <c r="AX34" s="63" t="n">
        <f aca="false">MATCH(MIN(AV34:AW34),AV34:AW34,0)</f>
        <v>1</v>
      </c>
      <c r="AZ34" s="17" t="n">
        <f aca="false">SQRT(($B34-AZ$8)^2+($C34-AZ$9)^2+($D34-AZ$10)^2)</f>
        <v>0.467144666551374</v>
      </c>
      <c r="BA34" s="17" t="n">
        <f aca="false">SQRT(($B34-BA$8)^2+($C34-BA$9)^2+($D34-BA$10)^2)</f>
        <v>2.39228397366596</v>
      </c>
      <c r="BB34" s="63" t="n">
        <f aca="false">MATCH(MIN(AZ34:BA34),AZ34:BA34,0)</f>
        <v>1</v>
      </c>
      <c r="BD34" s="17" t="n">
        <f aca="false">SQRT(($B34-BD$8)^2+($C34-BD$9)^2+($D34-BD$10)^2)</f>
        <v>0.467144666551374</v>
      </c>
      <c r="BE34" s="17" t="n">
        <f aca="false">SQRT(($B34-BE$8)^2+($C34-BE$9)^2+($D34-BE$10)^2)</f>
        <v>2.39228397366596</v>
      </c>
      <c r="BF34" s="63" t="n">
        <f aca="false">MATCH(MIN(BD34:BE34),BD34:BE34,0)</f>
        <v>1</v>
      </c>
      <c r="BH34" s="17" t="n">
        <f aca="false">SQRT(($B34-BH$8)^2+($C34-BH$9)^2+($D34-BH$10)^2)</f>
        <v>0.467144666551374</v>
      </c>
      <c r="BI34" s="17" t="n">
        <f aca="false">SQRT(($B34-BI$8)^2+($C34-BI$9)^2+($D34-BI$10)^2)</f>
        <v>2.39228397366596</v>
      </c>
      <c r="BJ34" s="63" t="n">
        <f aca="false">MATCH(MIN(BH34:BI34),BH34:BI34,0)</f>
        <v>1</v>
      </c>
      <c r="BL34" s="17" t="n">
        <f aca="false">SQRT(($B34-BL$8)^2+($C34-BL$9)^2+($D34-BL$10)^2)</f>
        <v>0.467144666551374</v>
      </c>
      <c r="BM34" s="17" t="n">
        <f aca="false">SQRT(($B34-BM$8)^2+($C34-BM$9)^2+($D34-BM$10)^2)</f>
        <v>2.39228397366596</v>
      </c>
      <c r="BN34" s="63" t="n">
        <f aca="false">MATCH(MIN(BL34:BM34),BL34:BM34,0)</f>
        <v>1</v>
      </c>
      <c r="BP34" s="17" t="n">
        <f aca="false">SQRT(($B34-BP$8)^2+($C34-BP$9)^2+($D34-BP$10)^2)</f>
        <v>0.467144666551374</v>
      </c>
      <c r="BQ34" s="17" t="n">
        <f aca="false">SQRT(($B34-BQ$8)^2+($C34-BQ$9)^2+($D34-BQ$10)^2)</f>
        <v>2.39228397366596</v>
      </c>
      <c r="BR34" s="63" t="n">
        <f aca="false">MATCH(MIN(BP34:BQ34),BP34:BQ34,0)</f>
        <v>1</v>
      </c>
    </row>
    <row r="35" customFormat="false" ht="15" hidden="false" customHeight="false" outlineLevel="0" collapsed="false">
      <c r="A35" s="36" t="str">
        <f aca="false">KMeans_Data!A25</f>
        <v>Dera Ghazi Khan</v>
      </c>
      <c r="B35" s="17" t="n">
        <f aca="false">KMeans_Data!H25</f>
        <v>0.789836374639921</v>
      </c>
      <c r="C35" s="17" t="n">
        <f aca="false">KMeans_Data!I25</f>
        <v>0.803084449535714</v>
      </c>
      <c r="D35" s="17" t="n">
        <f aca="false">KMeans_Data!J25</f>
        <v>1.26838439516132</v>
      </c>
      <c r="E35" s="63" t="n">
        <f aca="false">BR35</f>
        <v>1</v>
      </c>
      <c r="F35" s="38" t="n">
        <f aca="false">($B35-INDEX($L$8:$M$8,E35))^2+($C35-INDEX($L$9:$M$9,E35))^2+($D35-INDEX($L$10:$M$10,E35))^2</f>
        <v>0.245336991821598</v>
      </c>
      <c r="G35" s="17" t="n">
        <f aca="false">IF(COUNTIF(Distance_Matrix!$E$8:$DQ$8,$E35)&lt;=1,0,SUMIF(Distance_Matrix!$E$8:$DQ$8,$E35,Distance_Matrix!$E$34:$DQ$34)/(COUNTIF(Distance_Matrix!$E$8:$DQ$8,$E35)-1))</f>
        <v>1.12998134695188</v>
      </c>
      <c r="H35" s="17" t="n">
        <f aca="false">MIN(IF(1=$E35,1E+099,IF(COUNTIF(Distance_Matrix!$E$8:$DQ$8,1)=0,1E+099,SUMIF(Distance_Matrix!$E$8:$DQ$8,1,Distance_Matrix!$E$34:$DQ$34)/COUNTIF(Distance_Matrix!$E$8:$DQ$8,1))),IF(2=$E35,1E+099,IF(COUNTIF(Distance_Matrix!$E$8:$DQ$8,2)=0,1E+099,SUMIF(Distance_Matrix!$E$8:$DQ$8,2,Distance_Matrix!$E$34:$DQ$34)/COUNTIF(Distance_Matrix!$E$8:$DQ$8,2))))</f>
        <v>2.61325102891922</v>
      </c>
      <c r="I35" s="17" t="n">
        <f aca="false">IF(COUNTIF(Distance_Matrix!$E$8:$DQ$8,$E35)&lt;=1,0,(H35-G35)/MAX(G35,H35))</f>
        <v>0.567595560301294</v>
      </c>
      <c r="X35" s="17" t="n">
        <f aca="false">SQRT(($B35-X$8)^2+($C35-X$9)^2+($D35-X$10)^2)</f>
        <v>4.53655738479708</v>
      </c>
      <c r="Y35" s="17" t="n">
        <f aca="false">SQRT(($B35-Y$8)^2+($C35-Y$9)^2+($D35-Y$10)^2)</f>
        <v>4.02986158778563</v>
      </c>
      <c r="Z35" s="63" t="n">
        <f aca="false">MATCH(MIN(X35:Y35),X35:Y35,0)</f>
        <v>2</v>
      </c>
      <c r="AB35" s="17" t="n">
        <f aca="false">SQRT(($B35-AB$8)^2+($C35-AB$9)^2+($D35-AB$10)^2)</f>
        <v>2.03718153957701</v>
      </c>
      <c r="AC35" s="17" t="n">
        <f aca="false">SQRT(($B35-AC$8)^2+($C35-AC$9)^2+($D35-AC$10)^2)</f>
        <v>2.01908858705611</v>
      </c>
      <c r="AD35" s="63" t="n">
        <f aca="false">MATCH(MIN(AB35:AC35),AB35:AC35,0)</f>
        <v>2</v>
      </c>
      <c r="AF35" s="17" t="n">
        <f aca="false">SQRT(($B35-AF$8)^2+($C35-AF$9)^2+($D35-AF$10)^2)</f>
        <v>1.4574663185613</v>
      </c>
      <c r="AG35" s="17" t="n">
        <f aca="false">SQRT(($B35-AG$8)^2+($C35-AG$9)^2+($D35-AG$10)^2)</f>
        <v>2.11737585261016</v>
      </c>
      <c r="AH35" s="63" t="n">
        <f aca="false">MATCH(MIN(AF35:AG35),AF35:AG35,0)</f>
        <v>1</v>
      </c>
      <c r="AJ35" s="17" t="n">
        <f aca="false">SQRT(($B35-AJ$8)^2+($C35-AJ$9)^2+($D35-AJ$10)^2)</f>
        <v>0.868461240056084</v>
      </c>
      <c r="AK35" s="17" t="n">
        <f aca="false">SQRT(($B35-AK$8)^2+($C35-AK$9)^2+($D35-AK$10)^2)</f>
        <v>2.32372843629476</v>
      </c>
      <c r="AL35" s="63" t="n">
        <f aca="false">MATCH(MIN(AJ35:AK35),AJ35:AK35,0)</f>
        <v>1</v>
      </c>
      <c r="AN35" s="17" t="n">
        <f aca="false">SQRT(($B35-AN$8)^2+($C35-AN$9)^2+($D35-AN$10)^2)</f>
        <v>0.656770556033775</v>
      </c>
      <c r="AO35" s="17" t="n">
        <f aca="false">SQRT(($B35-AO$8)^2+($C35-AO$9)^2+($D35-AO$10)^2)</f>
        <v>2.43020453019321</v>
      </c>
      <c r="AP35" s="63" t="n">
        <f aca="false">MATCH(MIN(AN35:AO35),AN35:AO35,0)</f>
        <v>1</v>
      </c>
      <c r="AR35" s="17" t="n">
        <f aca="false">SQRT(($B35-AR$8)^2+($C35-AR$9)^2+($D35-AR$10)^2)</f>
        <v>0.549220224528224</v>
      </c>
      <c r="AS35" s="17" t="n">
        <f aca="false">SQRT(($B35-AS$8)^2+($C35-AS$9)^2+($D35-AS$10)^2)</f>
        <v>2.48548606507298</v>
      </c>
      <c r="AT35" s="63" t="n">
        <f aca="false">MATCH(MIN(AR35:AS35),AR35:AS35,0)</f>
        <v>1</v>
      </c>
      <c r="AV35" s="17" t="n">
        <f aca="false">SQRT(($B35-AV$8)^2+($C35-AV$9)^2+($D35-AV$10)^2)</f>
        <v>0.523640220627038</v>
      </c>
      <c r="AW35" s="17" t="n">
        <f aca="false">SQRT(($B35-AW$8)^2+($C35-AW$9)^2+($D35-AW$10)^2)</f>
        <v>2.50298351005155</v>
      </c>
      <c r="AX35" s="63" t="n">
        <f aca="false">MATCH(MIN(AV35:AW35),AV35:AW35,0)</f>
        <v>1</v>
      </c>
      <c r="AZ35" s="17" t="n">
        <f aca="false">SQRT(($B35-AZ$8)^2+($C35-AZ$9)^2+($D35-AZ$10)^2)</f>
        <v>0.495315042999501</v>
      </c>
      <c r="BA35" s="17" t="n">
        <f aca="false">SQRT(($B35-BA$8)^2+($C35-BA$9)^2+($D35-BA$10)^2)</f>
        <v>2.52044129773339</v>
      </c>
      <c r="BB35" s="63" t="n">
        <f aca="false">MATCH(MIN(AZ35:BA35),AZ35:BA35,0)</f>
        <v>1</v>
      </c>
      <c r="BD35" s="17" t="n">
        <f aca="false">SQRT(($B35-BD$8)^2+($C35-BD$9)^2+($D35-BD$10)^2)</f>
        <v>0.495315042999501</v>
      </c>
      <c r="BE35" s="17" t="n">
        <f aca="false">SQRT(($B35-BE$8)^2+($C35-BE$9)^2+($D35-BE$10)^2)</f>
        <v>2.52044129773339</v>
      </c>
      <c r="BF35" s="63" t="n">
        <f aca="false">MATCH(MIN(BD35:BE35),BD35:BE35,0)</f>
        <v>1</v>
      </c>
      <c r="BH35" s="17" t="n">
        <f aca="false">SQRT(($B35-BH$8)^2+($C35-BH$9)^2+($D35-BH$10)^2)</f>
        <v>0.495315042999501</v>
      </c>
      <c r="BI35" s="17" t="n">
        <f aca="false">SQRT(($B35-BI$8)^2+($C35-BI$9)^2+($D35-BI$10)^2)</f>
        <v>2.52044129773339</v>
      </c>
      <c r="BJ35" s="63" t="n">
        <f aca="false">MATCH(MIN(BH35:BI35),BH35:BI35,0)</f>
        <v>1</v>
      </c>
      <c r="BL35" s="17" t="n">
        <f aca="false">SQRT(($B35-BL$8)^2+($C35-BL$9)^2+($D35-BL$10)^2)</f>
        <v>0.495315042999501</v>
      </c>
      <c r="BM35" s="17" t="n">
        <f aca="false">SQRT(($B35-BM$8)^2+($C35-BM$9)^2+($D35-BM$10)^2)</f>
        <v>2.52044129773339</v>
      </c>
      <c r="BN35" s="63" t="n">
        <f aca="false">MATCH(MIN(BL35:BM35),BL35:BM35,0)</f>
        <v>1</v>
      </c>
      <c r="BP35" s="17" t="n">
        <f aca="false">SQRT(($B35-BP$8)^2+($C35-BP$9)^2+($D35-BP$10)^2)</f>
        <v>0.495315042999501</v>
      </c>
      <c r="BQ35" s="17" t="n">
        <f aca="false">SQRT(($B35-BQ$8)^2+($C35-BQ$9)^2+($D35-BQ$10)^2)</f>
        <v>2.52044129773339</v>
      </c>
      <c r="BR35" s="63" t="n">
        <f aca="false">MATCH(MIN(BP35:BQ35),BP35:BQ35,0)</f>
        <v>1</v>
      </c>
    </row>
    <row r="36" customFormat="false" ht="15" hidden="false" customHeight="false" outlineLevel="0" collapsed="false">
      <c r="A36" s="36" t="str">
        <f aca="false">KMeans_Data!A26</f>
        <v>Charsadda</v>
      </c>
      <c r="B36" s="17" t="n">
        <f aca="false">KMeans_Data!H26</f>
        <v>0.7856220194878</v>
      </c>
      <c r="C36" s="17" t="n">
        <f aca="false">KMeans_Data!I26</f>
        <v>0.803084449535714</v>
      </c>
      <c r="D36" s="17" t="n">
        <f aca="false">KMeans_Data!J26</f>
        <v>0.618328666074444</v>
      </c>
      <c r="E36" s="63" t="n">
        <f aca="false">BR36</f>
        <v>1</v>
      </c>
      <c r="F36" s="38" t="n">
        <f aca="false">($B36-INDEX($L$8:$M$8,E36))^2+($C36-INDEX($L$9:$M$9,E36))^2+($D36-INDEX($L$10:$M$10,E36))^2</f>
        <v>0.508872413540183</v>
      </c>
      <c r="G36" s="17" t="n">
        <f aca="false">IF(COUNTIF(Distance_Matrix!$E$8:$DQ$8,$E36)&lt;=1,0,SUMIF(Distance_Matrix!$E$8:$DQ$8,$E36,Distance_Matrix!$E$35:$DQ$35)/(COUNTIF(Distance_Matrix!$E$8:$DQ$8,$E36)-1))</f>
        <v>1.1686143234793</v>
      </c>
      <c r="H36" s="17" t="n">
        <f aca="false">MIN(IF(1=$E36,1E+099,IF(COUNTIF(Distance_Matrix!$E$8:$DQ$8,1)=0,1E+099,SUMIF(Distance_Matrix!$E$8:$DQ$8,1,Distance_Matrix!$E$35:$DQ$35)/COUNTIF(Distance_Matrix!$E$8:$DQ$8,1))),IF(2=$E36,1E+099,IF(COUNTIF(Distance_Matrix!$E$8:$DQ$8,2)=0,1E+099,SUMIF(Distance_Matrix!$E$8:$DQ$8,2,Distance_Matrix!$E$35:$DQ$35)/COUNTIF(Distance_Matrix!$E$8:$DQ$8,2))))</f>
        <v>2.24390186811136</v>
      </c>
      <c r="I36" s="17" t="n">
        <f aca="false">IF(COUNTIF(Distance_Matrix!$E$8:$DQ$8,$E36)&lt;=1,0,(H36-G36)/MAX(G36,H36))</f>
        <v>0.479204353770206</v>
      </c>
      <c r="X36" s="17" t="n">
        <f aca="false">SQRT(($B36-X$8)^2+($C36-X$9)^2+($D36-X$10)^2)</f>
        <v>4.85836723486541</v>
      </c>
      <c r="Y36" s="17" t="n">
        <f aca="false">SQRT(($B36-Y$8)^2+($C36-Y$9)^2+($D36-Y$10)^2)</f>
        <v>3.67419129732225</v>
      </c>
      <c r="Z36" s="63" t="n">
        <f aca="false">MATCH(MIN(X36:Y36),X36:Y36,0)</f>
        <v>2</v>
      </c>
      <c r="AB36" s="17" t="n">
        <f aca="false">SQRT(($B36-AB$8)^2+($C36-AB$9)^2+($D36-AB$10)^2)</f>
        <v>2.31509252048515</v>
      </c>
      <c r="AC36" s="17" t="n">
        <f aca="false">SQRT(($B36-AC$8)^2+($C36-AC$9)^2+($D36-AC$10)^2)</f>
        <v>1.61719671843353</v>
      </c>
      <c r="AD36" s="63" t="n">
        <f aca="false">MATCH(MIN(AB36:AC36),AB36:AC36,0)</f>
        <v>2</v>
      </c>
      <c r="AF36" s="17" t="n">
        <f aca="false">SQRT(($B36-AF$8)^2+($C36-AF$9)^2+($D36-AF$10)^2)</f>
        <v>1.70288785847386</v>
      </c>
      <c r="AG36" s="17" t="n">
        <f aca="false">SQRT(($B36-AG$8)^2+($C36-AG$9)^2+($D36-AG$10)^2)</f>
        <v>1.71894481348293</v>
      </c>
      <c r="AH36" s="63" t="n">
        <f aca="false">MATCH(MIN(AF36:AG36),AF36:AG36,0)</f>
        <v>1</v>
      </c>
      <c r="AJ36" s="17" t="n">
        <f aca="false">SQRT(($B36-AJ$8)^2+($C36-AJ$9)^2+($D36-AJ$10)^2)</f>
        <v>1.11005588620778</v>
      </c>
      <c r="AK36" s="17" t="n">
        <f aca="false">SQRT(($B36-AK$8)^2+($C36-AK$9)^2+($D36-AK$10)^2)</f>
        <v>1.92396227988074</v>
      </c>
      <c r="AL36" s="63" t="n">
        <f aca="false">MATCH(MIN(AJ36:AK36),AJ36:AK36,0)</f>
        <v>1</v>
      </c>
      <c r="AN36" s="17" t="n">
        <f aca="false">SQRT(($B36-AN$8)^2+($C36-AN$9)^2+($D36-AN$10)^2)</f>
        <v>0.912350180089872</v>
      </c>
      <c r="AO36" s="17" t="n">
        <f aca="false">SQRT(($B36-AO$8)^2+($C36-AO$9)^2+($D36-AO$10)^2)</f>
        <v>2.02713791753062</v>
      </c>
      <c r="AP36" s="63" t="n">
        <f aca="false">MATCH(MIN(AN36:AO36),AN36:AO36,0)</f>
        <v>1</v>
      </c>
      <c r="AR36" s="17" t="n">
        <f aca="false">SQRT(($B36-AR$8)^2+($C36-AR$9)^2+($D36-AR$10)^2)</f>
        <v>0.790372321138486</v>
      </c>
      <c r="AS36" s="17" t="n">
        <f aca="false">SQRT(($B36-AS$8)^2+($C36-AS$9)^2+($D36-AS$10)^2)</f>
        <v>2.08163077824068</v>
      </c>
      <c r="AT36" s="63" t="n">
        <f aca="false">MATCH(MIN(AR36:AS36),AR36:AS36,0)</f>
        <v>1</v>
      </c>
      <c r="AV36" s="17" t="n">
        <f aca="false">SQRT(($B36-AV$8)^2+($C36-AV$9)^2+($D36-AV$10)^2)</f>
        <v>0.75004722126239</v>
      </c>
      <c r="AW36" s="17" t="n">
        <f aca="false">SQRT(($B36-AW$8)^2+($C36-AW$9)^2+($D36-AW$10)^2)</f>
        <v>2.09965745713352</v>
      </c>
      <c r="AX36" s="63" t="n">
        <f aca="false">MATCH(MIN(AV36:AW36),AV36:AW36,0)</f>
        <v>1</v>
      </c>
      <c r="AZ36" s="17" t="n">
        <f aca="false">SQRT(($B36-AZ$8)^2+($C36-AZ$9)^2+($D36-AZ$10)^2)</f>
        <v>0.713352937570305</v>
      </c>
      <c r="BA36" s="17" t="n">
        <f aca="false">SQRT(($B36-BA$8)^2+($C36-BA$9)^2+($D36-BA$10)^2)</f>
        <v>2.11676755169215</v>
      </c>
      <c r="BB36" s="63" t="n">
        <f aca="false">MATCH(MIN(AZ36:BA36),AZ36:BA36,0)</f>
        <v>1</v>
      </c>
      <c r="BD36" s="17" t="n">
        <f aca="false">SQRT(($B36-BD$8)^2+($C36-BD$9)^2+($D36-BD$10)^2)</f>
        <v>0.713352937570305</v>
      </c>
      <c r="BE36" s="17" t="n">
        <f aca="false">SQRT(($B36-BE$8)^2+($C36-BE$9)^2+($D36-BE$10)^2)</f>
        <v>2.11676755169215</v>
      </c>
      <c r="BF36" s="63" t="n">
        <f aca="false">MATCH(MIN(BD36:BE36),BD36:BE36,0)</f>
        <v>1</v>
      </c>
      <c r="BH36" s="17" t="n">
        <f aca="false">SQRT(($B36-BH$8)^2+($C36-BH$9)^2+($D36-BH$10)^2)</f>
        <v>0.713352937570305</v>
      </c>
      <c r="BI36" s="17" t="n">
        <f aca="false">SQRT(($B36-BI$8)^2+($C36-BI$9)^2+($D36-BI$10)^2)</f>
        <v>2.11676755169215</v>
      </c>
      <c r="BJ36" s="63" t="n">
        <f aca="false">MATCH(MIN(BH36:BI36),BH36:BI36,0)</f>
        <v>1</v>
      </c>
      <c r="BL36" s="17" t="n">
        <f aca="false">SQRT(($B36-BL$8)^2+($C36-BL$9)^2+($D36-BL$10)^2)</f>
        <v>0.713352937570305</v>
      </c>
      <c r="BM36" s="17" t="n">
        <f aca="false">SQRT(($B36-BM$8)^2+($C36-BM$9)^2+($D36-BM$10)^2)</f>
        <v>2.11676755169215</v>
      </c>
      <c r="BN36" s="63" t="n">
        <f aca="false">MATCH(MIN(BL36:BM36),BL36:BM36,0)</f>
        <v>1</v>
      </c>
      <c r="BP36" s="17" t="n">
        <f aca="false">SQRT(($B36-BP$8)^2+($C36-BP$9)^2+($D36-BP$10)^2)</f>
        <v>0.713352937570305</v>
      </c>
      <c r="BQ36" s="17" t="n">
        <f aca="false">SQRT(($B36-BQ$8)^2+($C36-BQ$9)^2+($D36-BQ$10)^2)</f>
        <v>2.11676755169215</v>
      </c>
      <c r="BR36" s="63" t="n">
        <f aca="false">MATCH(MIN(BP36:BQ36),BP36:BQ36,0)</f>
        <v>1</v>
      </c>
    </row>
    <row r="37" customFormat="false" ht="15" hidden="false" customHeight="false" outlineLevel="0" collapsed="false">
      <c r="A37" s="36" t="str">
        <f aca="false">KMeans_Data!A27</f>
        <v>Dir Upper</v>
      </c>
      <c r="B37" s="17" t="n">
        <f aca="false">KMeans_Data!H27</f>
        <v>0.783501975751688</v>
      </c>
      <c r="C37" s="17" t="n">
        <f aca="false">KMeans_Data!I27</f>
        <v>0.160512589624996</v>
      </c>
      <c r="D37" s="17" t="n">
        <f aca="false">KMeans_Data!J27</f>
        <v>0.959677371956339</v>
      </c>
      <c r="E37" s="63" t="n">
        <f aca="false">BR37</f>
        <v>1</v>
      </c>
      <c r="F37" s="38" t="n">
        <f aca="false">($B37-INDEX($L$8:$M$8,E37))^2+($C37-INDEX($L$9:$M$9,E37))^2+($D37-INDEX($L$10:$M$10,E37))^2</f>
        <v>1.20542373520417</v>
      </c>
      <c r="G37" s="17" t="n">
        <f aca="false">IF(COUNTIF(Distance_Matrix!$E$8:$DQ$8,$E37)&lt;=1,0,SUMIF(Distance_Matrix!$E$8:$DQ$8,$E37,Distance_Matrix!$E$36:$DQ$36)/(COUNTIF(Distance_Matrix!$E$8:$DQ$8,$E37)-1))</f>
        <v>1.38281117366805</v>
      </c>
      <c r="H37" s="17" t="n">
        <f aca="false">MIN(IF(1=$E37,1E+099,IF(COUNTIF(Distance_Matrix!$E$8:$DQ$8,1)=0,1E+099,SUMIF(Distance_Matrix!$E$8:$DQ$8,1,Distance_Matrix!$E$36:$DQ$36)/COUNTIF(Distance_Matrix!$E$8:$DQ$8,1))),IF(2=$E37,1E+099,IF(COUNTIF(Distance_Matrix!$E$8:$DQ$8,2)=0,1E+099,SUMIF(Distance_Matrix!$E$8:$DQ$8,2,Distance_Matrix!$E$36:$DQ$36)/COUNTIF(Distance_Matrix!$E$8:$DQ$8,2))))</f>
        <v>2.12113531739859</v>
      </c>
      <c r="I37" s="17" t="n">
        <f aca="false">IF(COUNTIF(Distance_Matrix!$E$8:$DQ$8,$E37)&lt;=1,0,(H37-G37)/MAX(G37,H37))</f>
        <v>0.348079699430035</v>
      </c>
      <c r="X37" s="17" t="n">
        <f aca="false">SQRT(($B37-X$8)^2+($C37-X$9)^2+($D37-X$10)^2)</f>
        <v>5.14816911939323</v>
      </c>
      <c r="Y37" s="17" t="n">
        <f aca="false">SQRT(($B37-Y$8)^2+($C37-Y$9)^2+($D37-Y$10)^2)</f>
        <v>3.65029895120111</v>
      </c>
      <c r="Z37" s="63" t="n">
        <f aca="false">MATCH(MIN(X37:Y37),X37:Y37,0)</f>
        <v>2</v>
      </c>
      <c r="AB37" s="17" t="n">
        <f aca="false">SQRT(($B37-AB$8)^2+($C37-AB$9)^2+($D37-AB$10)^2)</f>
        <v>2.65125520150777</v>
      </c>
      <c r="AC37" s="17" t="n">
        <f aca="false">SQRT(($B37-AC$8)^2+($C37-AC$9)^2+($D37-AC$10)^2)</f>
        <v>1.53870186014265</v>
      </c>
      <c r="AD37" s="63" t="n">
        <f aca="false">MATCH(MIN(AB37:AC37),AB37:AC37,0)</f>
        <v>2</v>
      </c>
      <c r="AF37" s="17" t="n">
        <f aca="false">SQRT(($B37-AF$8)^2+($C37-AF$9)^2+($D37-AF$10)^2)</f>
        <v>2.07677969589344</v>
      </c>
      <c r="AG37" s="17" t="n">
        <f aca="false">SQRT(($B37-AG$8)^2+($C37-AG$9)^2+($D37-AG$10)^2)</f>
        <v>1.62811583879073</v>
      </c>
      <c r="AH37" s="63" t="n">
        <f aca="false">MATCH(MIN(AF37:AG37),AF37:AG37,0)</f>
        <v>2</v>
      </c>
      <c r="AJ37" s="17" t="n">
        <f aca="false">SQRT(($B37-AJ$8)^2+($C37-AJ$9)^2+($D37-AJ$10)^2)</f>
        <v>1.50119742035444</v>
      </c>
      <c r="AK37" s="17" t="n">
        <f aca="false">SQRT(($B37-AK$8)^2+($C37-AK$9)^2+($D37-AK$10)^2)</f>
        <v>1.82138436299582</v>
      </c>
      <c r="AL37" s="63" t="n">
        <f aca="false">MATCH(MIN(AJ37:AK37),AJ37:AK37,0)</f>
        <v>1</v>
      </c>
      <c r="AN37" s="17" t="n">
        <f aca="false">SQRT(($B37-AN$8)^2+($C37-AN$9)^2+($D37-AN$10)^2)</f>
        <v>1.27992544920418</v>
      </c>
      <c r="AO37" s="17" t="n">
        <f aca="false">SQRT(($B37-AO$8)^2+($C37-AO$9)^2+($D37-AO$10)^2)</f>
        <v>1.92837866672507</v>
      </c>
      <c r="AP37" s="63" t="n">
        <f aca="false">MATCH(MIN(AN37:AO37),AN37:AO37,0)</f>
        <v>1</v>
      </c>
      <c r="AR37" s="17" t="n">
        <f aca="false">SQRT(($B37-AR$8)^2+($C37-AR$9)^2+($D37-AR$10)^2)</f>
        <v>1.1613363919046</v>
      </c>
      <c r="AS37" s="17" t="n">
        <f aca="false">SQRT(($B37-AS$8)^2+($C37-AS$9)^2+($D37-AS$10)^2)</f>
        <v>1.98291512388959</v>
      </c>
      <c r="AT37" s="63" t="n">
        <f aca="false">MATCH(MIN(AR37:AS37),AR37:AS37,0)</f>
        <v>1</v>
      </c>
      <c r="AV37" s="17" t="n">
        <f aca="false">SQRT(($B37-AV$8)^2+($C37-AV$9)^2+($D37-AV$10)^2)</f>
        <v>1.12758440864548</v>
      </c>
      <c r="AW37" s="17" t="n">
        <f aca="false">SQRT(($B37-AW$8)^2+($C37-AW$9)^2+($D37-AW$10)^2)</f>
        <v>1.99999276234036</v>
      </c>
      <c r="AX37" s="63" t="n">
        <f aca="false">MATCH(MIN(AV37:AW37),AV37:AW37,0)</f>
        <v>1</v>
      </c>
      <c r="AZ37" s="17" t="n">
        <f aca="false">SQRT(($B37-AZ$8)^2+($C37-AZ$9)^2+($D37-AZ$10)^2)</f>
        <v>1.09791790913718</v>
      </c>
      <c r="BA37" s="17" t="n">
        <f aca="false">SQRT(($B37-BA$8)^2+($C37-BA$9)^2+($D37-BA$10)^2)</f>
        <v>2.01587382465423</v>
      </c>
      <c r="BB37" s="63" t="n">
        <f aca="false">MATCH(MIN(AZ37:BA37),AZ37:BA37,0)</f>
        <v>1</v>
      </c>
      <c r="BD37" s="17" t="n">
        <f aca="false">SQRT(($B37-BD$8)^2+($C37-BD$9)^2+($D37-BD$10)^2)</f>
        <v>1.09791790913718</v>
      </c>
      <c r="BE37" s="17" t="n">
        <f aca="false">SQRT(($B37-BE$8)^2+($C37-BE$9)^2+($D37-BE$10)^2)</f>
        <v>2.01587382465423</v>
      </c>
      <c r="BF37" s="63" t="n">
        <f aca="false">MATCH(MIN(BD37:BE37),BD37:BE37,0)</f>
        <v>1</v>
      </c>
      <c r="BH37" s="17" t="n">
        <f aca="false">SQRT(($B37-BH$8)^2+($C37-BH$9)^2+($D37-BH$10)^2)</f>
        <v>1.09791790913718</v>
      </c>
      <c r="BI37" s="17" t="n">
        <f aca="false">SQRT(($B37-BI$8)^2+($C37-BI$9)^2+($D37-BI$10)^2)</f>
        <v>2.01587382465423</v>
      </c>
      <c r="BJ37" s="63" t="n">
        <f aca="false">MATCH(MIN(BH37:BI37),BH37:BI37,0)</f>
        <v>1</v>
      </c>
      <c r="BL37" s="17" t="n">
        <f aca="false">SQRT(($B37-BL$8)^2+($C37-BL$9)^2+($D37-BL$10)^2)</f>
        <v>1.09791790913718</v>
      </c>
      <c r="BM37" s="17" t="n">
        <f aca="false">SQRT(($B37-BM$8)^2+($C37-BM$9)^2+($D37-BM$10)^2)</f>
        <v>2.01587382465423</v>
      </c>
      <c r="BN37" s="63" t="n">
        <f aca="false">MATCH(MIN(BL37:BM37),BL37:BM37,0)</f>
        <v>1</v>
      </c>
      <c r="BP37" s="17" t="n">
        <f aca="false">SQRT(($B37-BP$8)^2+($C37-BP$9)^2+($D37-BP$10)^2)</f>
        <v>1.09791790913718</v>
      </c>
      <c r="BQ37" s="17" t="n">
        <f aca="false">SQRT(($B37-BQ$8)^2+($C37-BQ$9)^2+($D37-BQ$10)^2)</f>
        <v>2.01587382465423</v>
      </c>
      <c r="BR37" s="63" t="n">
        <f aca="false">MATCH(MIN(BP37:BQ37),BP37:BQ37,0)</f>
        <v>1</v>
      </c>
    </row>
    <row r="38" customFormat="false" ht="15" hidden="false" customHeight="false" outlineLevel="0" collapsed="false">
      <c r="A38" s="36" t="str">
        <f aca="false">KMeans_Data!A28</f>
        <v>Khyber</v>
      </c>
      <c r="B38" s="17" t="n">
        <f aca="false">KMeans_Data!H28</f>
        <v>0.783501975751688</v>
      </c>
      <c r="C38" s="17" t="n">
        <f aca="false">KMeans_Data!I28</f>
        <v>0.547911385844501</v>
      </c>
      <c r="D38" s="17" t="n">
        <f aca="false">KMeans_Data!J28</f>
        <v>0.667151770949206</v>
      </c>
      <c r="E38" s="63" t="n">
        <f aca="false">BR38</f>
        <v>1</v>
      </c>
      <c r="F38" s="38" t="n">
        <f aca="false">($B38-INDEX($L$8:$M$8,E38))^2+($C38-INDEX($L$9:$M$9,E38))^2+($D38-INDEX($L$10:$M$10,E38))^2</f>
        <v>0.73465127856138</v>
      </c>
      <c r="G38" s="17" t="n">
        <f aca="false">IF(COUNTIF(Distance_Matrix!$E$8:$DQ$8,$E38)&lt;=1,0,SUMIF(Distance_Matrix!$E$8:$DQ$8,$E38,Distance_Matrix!$E$37:$DQ$37)/(COUNTIF(Distance_Matrix!$E$8:$DQ$8,$E38)-1))</f>
        <v>1.21772320883602</v>
      </c>
      <c r="H38" s="17" t="n">
        <f aca="false">MIN(IF(1=$E38,1E+099,IF(COUNTIF(Distance_Matrix!$E$8:$DQ$8,1)=0,1E+099,SUMIF(Distance_Matrix!$E$8:$DQ$8,1,Distance_Matrix!$E$37:$DQ$37)/COUNTIF(Distance_Matrix!$E$8:$DQ$8,1))),IF(2=$E38,1E+099,IF(COUNTIF(Distance_Matrix!$E$8:$DQ$8,2)=0,1E+099,SUMIF(Distance_Matrix!$E$8:$DQ$8,2,Distance_Matrix!$E$37:$DQ$37)/COUNTIF(Distance_Matrix!$E$8:$DQ$8,2))))</f>
        <v>2.11949934090481</v>
      </c>
      <c r="I38" s="17" t="n">
        <f aca="false">IF(COUNTIF(Distance_Matrix!$E$8:$DQ$8,$E38)&lt;=1,0,(H38-G38)/MAX(G38,H38))</f>
        <v>0.425466578198522</v>
      </c>
      <c r="X38" s="17" t="n">
        <f aca="false">SQRT(($B38-X$8)^2+($C38-X$9)^2+($D38-X$10)^2)</f>
        <v>5.00758520888784</v>
      </c>
      <c r="Y38" s="17" t="n">
        <f aca="false">SQRT(($B38-Y$8)^2+($C38-Y$9)^2+($D38-Y$10)^2)</f>
        <v>3.60196382706207</v>
      </c>
      <c r="Z38" s="63" t="n">
        <f aca="false">MATCH(MIN(X38:Y38),X38:Y38,0)</f>
        <v>2</v>
      </c>
      <c r="AB38" s="17" t="n">
        <f aca="false">SQRT(($B38-AB$8)^2+($C38-AB$9)^2+($D38-AB$10)^2)</f>
        <v>2.46968734941808</v>
      </c>
      <c r="AC38" s="17" t="n">
        <f aca="false">SQRT(($B38-AC$8)^2+($C38-AC$9)^2+($D38-AC$10)^2)</f>
        <v>1.49473312460531</v>
      </c>
      <c r="AD38" s="63" t="n">
        <f aca="false">MATCH(MIN(AB38:AC38),AB38:AC38,0)</f>
        <v>2</v>
      </c>
      <c r="AF38" s="17" t="n">
        <f aca="false">SQRT(($B38-AF$8)^2+($C38-AF$9)^2+($D38-AF$10)^2)</f>
        <v>1.86529749875477</v>
      </c>
      <c r="AG38" s="17" t="n">
        <f aca="false">SQRT(($B38-AG$8)^2+($C38-AG$9)^2+($D38-AG$10)^2)</f>
        <v>1.59445601534035</v>
      </c>
      <c r="AH38" s="63" t="n">
        <f aca="false">MATCH(MIN(AF38:AG38),AF38:AG38,0)</f>
        <v>2</v>
      </c>
      <c r="AJ38" s="17" t="n">
        <f aca="false">SQRT(($B38-AJ$8)^2+($C38-AJ$9)^2+($D38-AJ$10)^2)</f>
        <v>1.2711713257997</v>
      </c>
      <c r="AK38" s="17" t="n">
        <f aca="false">SQRT(($B38-AK$8)^2+($C38-AK$9)^2+($D38-AK$10)^2)</f>
        <v>1.79848441966593</v>
      </c>
      <c r="AL38" s="63" t="n">
        <f aca="false">MATCH(MIN(AJ38:AK38),AJ38:AK38,0)</f>
        <v>1</v>
      </c>
      <c r="AN38" s="17" t="n">
        <f aca="false">SQRT(($B38-AN$8)^2+($C38-AN$9)^2+($D38-AN$10)^2)</f>
        <v>1.05832756690149</v>
      </c>
      <c r="AO38" s="17" t="n">
        <f aca="false">SQRT(($B38-AO$8)^2+($C38-AO$9)^2+($D38-AO$10)^2)</f>
        <v>1.9043125905381</v>
      </c>
      <c r="AP38" s="63" t="n">
        <f aca="false">MATCH(MIN(AN38:AO38),AN38:AO38,0)</f>
        <v>1</v>
      </c>
      <c r="AR38" s="17" t="n">
        <f aca="false">SQRT(($B38-AR$8)^2+($C38-AR$9)^2+($D38-AR$10)^2)</f>
        <v>0.932406297163034</v>
      </c>
      <c r="AS38" s="17" t="n">
        <f aca="false">SQRT(($B38-AS$8)^2+($C38-AS$9)^2+($D38-AS$10)^2)</f>
        <v>1.9595077569979</v>
      </c>
      <c r="AT38" s="63" t="n">
        <f aca="false">MATCH(MIN(AR38:AS38),AR38:AS38,0)</f>
        <v>1</v>
      </c>
      <c r="AV38" s="17" t="n">
        <f aca="false">SQRT(($B38-AV$8)^2+($C38-AV$9)^2+($D38-AV$10)^2)</f>
        <v>0.892526068894627</v>
      </c>
      <c r="AW38" s="17" t="n">
        <f aca="false">SQRT(($B38-AW$8)^2+($C38-AW$9)^2+($D38-AW$10)^2)</f>
        <v>1.97750310266751</v>
      </c>
      <c r="AX38" s="63" t="n">
        <f aca="false">MATCH(MIN(AV38:AW38),AV38:AW38,0)</f>
        <v>1</v>
      </c>
      <c r="AZ38" s="17" t="n">
        <f aca="false">SQRT(($B38-AZ$8)^2+($C38-AZ$9)^2+($D38-AZ$10)^2)</f>
        <v>0.857118007372019</v>
      </c>
      <c r="BA38" s="17" t="n">
        <f aca="false">SQRT(($B38-BA$8)^2+($C38-BA$9)^2+($D38-BA$10)^2)</f>
        <v>1.99430611176366</v>
      </c>
      <c r="BB38" s="63" t="n">
        <f aca="false">MATCH(MIN(AZ38:BA38),AZ38:BA38,0)</f>
        <v>1</v>
      </c>
      <c r="BD38" s="17" t="n">
        <f aca="false">SQRT(($B38-BD$8)^2+($C38-BD$9)^2+($D38-BD$10)^2)</f>
        <v>0.857118007372019</v>
      </c>
      <c r="BE38" s="17" t="n">
        <f aca="false">SQRT(($B38-BE$8)^2+($C38-BE$9)^2+($D38-BE$10)^2)</f>
        <v>1.99430611176366</v>
      </c>
      <c r="BF38" s="63" t="n">
        <f aca="false">MATCH(MIN(BD38:BE38),BD38:BE38,0)</f>
        <v>1</v>
      </c>
      <c r="BH38" s="17" t="n">
        <f aca="false">SQRT(($B38-BH$8)^2+($C38-BH$9)^2+($D38-BH$10)^2)</f>
        <v>0.857118007372019</v>
      </c>
      <c r="BI38" s="17" t="n">
        <f aca="false">SQRT(($B38-BI$8)^2+($C38-BI$9)^2+($D38-BI$10)^2)</f>
        <v>1.99430611176366</v>
      </c>
      <c r="BJ38" s="63" t="n">
        <f aca="false">MATCH(MIN(BH38:BI38),BH38:BI38,0)</f>
        <v>1</v>
      </c>
      <c r="BL38" s="17" t="n">
        <f aca="false">SQRT(($B38-BL$8)^2+($C38-BL$9)^2+($D38-BL$10)^2)</f>
        <v>0.857118007372019</v>
      </c>
      <c r="BM38" s="17" t="n">
        <f aca="false">SQRT(($B38-BM$8)^2+($C38-BM$9)^2+($D38-BM$10)^2)</f>
        <v>1.99430611176366</v>
      </c>
      <c r="BN38" s="63" t="n">
        <f aca="false">MATCH(MIN(BL38:BM38),BL38:BM38,0)</f>
        <v>1</v>
      </c>
      <c r="BP38" s="17" t="n">
        <f aca="false">SQRT(($B38-BP$8)^2+($C38-BP$9)^2+($D38-BP$10)^2)</f>
        <v>0.857118007372019</v>
      </c>
      <c r="BQ38" s="17" t="n">
        <f aca="false">SQRT(($B38-BQ$8)^2+($C38-BQ$9)^2+($D38-BQ$10)^2)</f>
        <v>1.99430611176366</v>
      </c>
      <c r="BR38" s="63" t="n">
        <f aca="false">MATCH(MIN(BP38:BQ38),BP38:BQ38,0)</f>
        <v>1</v>
      </c>
    </row>
    <row r="39" customFormat="false" ht="15" hidden="false" customHeight="false" outlineLevel="0" collapsed="false">
      <c r="A39" s="36" t="str">
        <f aca="false">KMeans_Data!A29</f>
        <v>Bajaur</v>
      </c>
      <c r="B39" s="17" t="n">
        <f aca="false">KMeans_Data!H29</f>
        <v>0.761812586723473</v>
      </c>
      <c r="C39" s="17" t="n">
        <f aca="false">KMeans_Data!I29</f>
        <v>1.38107452085777</v>
      </c>
      <c r="D39" s="17" t="n">
        <f aca="false">KMeans_Data!J29</f>
        <v>0.727869076261203</v>
      </c>
      <c r="E39" s="63" t="n">
        <f aca="false">BR39</f>
        <v>1</v>
      </c>
      <c r="F39" s="38" t="n">
        <f aca="false">($B39-INDEX($L$8:$M$8,E39))^2+($C39-INDEX($L$9:$M$9,E39))^2+($D39-INDEX($L$10:$M$10,E39))^2</f>
        <v>0.279981641403654</v>
      </c>
      <c r="G39" s="17" t="n">
        <f aca="false">IF(COUNTIF(Distance_Matrix!$E$8:$DQ$8,$E39)&lt;=1,0,SUMIF(Distance_Matrix!$E$8:$DQ$8,$E39,Distance_Matrix!$E$38:$DQ$38)/(COUNTIF(Distance_Matrix!$E$8:$DQ$8,$E39)-1))</f>
        <v>1.19428142465124</v>
      </c>
      <c r="H39" s="17" t="n">
        <f aca="false">MIN(IF(1=$E39,1E+099,IF(COUNTIF(Distance_Matrix!$E$8:$DQ$8,1)=0,1E+099,SUMIF(Distance_Matrix!$E$8:$DQ$8,1,Distance_Matrix!$E$38:$DQ$38)/COUNTIF(Distance_Matrix!$E$8:$DQ$8,1))),IF(2=$E39,1E+099,IF(COUNTIF(Distance_Matrix!$E$8:$DQ$8,2)=0,1E+099,SUMIF(Distance_Matrix!$E$8:$DQ$8,2,Distance_Matrix!$E$38:$DQ$38)/COUNTIF(Distance_Matrix!$E$8:$DQ$8,2))))</f>
        <v>2.67431475142623</v>
      </c>
      <c r="I39" s="17" t="n">
        <f aca="false">IF(COUNTIF(Distance_Matrix!$E$8:$DQ$8,$E39)&lt;=1,0,(H39-G39)/MAX(G39,H39))</f>
        <v>0.55342525631498</v>
      </c>
      <c r="X39" s="17" t="n">
        <f aca="false">SQRT(($B39-X$8)^2+($C39-X$9)^2+($D39-X$10)^2)</f>
        <v>4.44423821278105</v>
      </c>
      <c r="Y39" s="17" t="n">
        <f aca="false">SQRT(($B39-Y$8)^2+($C39-Y$9)^2+($D39-Y$10)^2)</f>
        <v>3.97520414117928</v>
      </c>
      <c r="Z39" s="63" t="n">
        <f aca="false">MATCH(MIN(X39:Y39),X39:Y39,0)</f>
        <v>2</v>
      </c>
      <c r="AB39" s="17" t="n">
        <f aca="false">SQRT(($B39-AB$8)^2+($C39-AB$9)^2+($D39-AB$10)^2)</f>
        <v>1.92416601609301</v>
      </c>
      <c r="AC39" s="17" t="n">
        <f aca="false">SQRT(($B39-AC$8)^2+($C39-AC$9)^2+($D39-AC$10)^2)</f>
        <v>2.06677785403399</v>
      </c>
      <c r="AD39" s="63" t="n">
        <f aca="false">MATCH(MIN(AB39:AC39),AB39:AC39,0)</f>
        <v>1</v>
      </c>
      <c r="AF39" s="17" t="n">
        <f aca="false">SQRT(($B39-AF$8)^2+($C39-AF$9)^2+($D39-AF$10)^2)</f>
        <v>1.31559409720661</v>
      </c>
      <c r="AG39" s="17" t="n">
        <f aca="false">SQRT(($B39-AG$8)^2+($C39-AG$9)^2+($D39-AG$10)^2)</f>
        <v>2.16832848437476</v>
      </c>
      <c r="AH39" s="63" t="n">
        <f aca="false">MATCH(MIN(AF39:AG39),AF39:AG39,0)</f>
        <v>1</v>
      </c>
      <c r="AJ39" s="17" t="n">
        <f aca="false">SQRT(($B39-AJ$8)^2+($C39-AJ$9)^2+($D39-AJ$10)^2)</f>
        <v>0.764501495663354</v>
      </c>
      <c r="AK39" s="17" t="n">
        <f aca="false">SQRT(($B39-AK$8)^2+($C39-AK$9)^2+($D39-AK$10)^2)</f>
        <v>2.37145606808029</v>
      </c>
      <c r="AL39" s="63" t="n">
        <f aca="false">MATCH(MIN(AJ39:AK39),AJ39:AK39,0)</f>
        <v>1</v>
      </c>
      <c r="AN39" s="17" t="n">
        <f aca="false">SQRT(($B39-AN$8)^2+($C39-AN$9)^2+($D39-AN$10)^2)</f>
        <v>0.650592423790417</v>
      </c>
      <c r="AO39" s="17" t="n">
        <f aca="false">SQRT(($B39-AO$8)^2+($C39-AO$9)^2+($D39-AO$10)^2)</f>
        <v>2.46918321141488</v>
      </c>
      <c r="AP39" s="63" t="n">
        <f aca="false">MATCH(MIN(AN39:AO39),AN39:AO39,0)</f>
        <v>1</v>
      </c>
      <c r="AR39" s="17" t="n">
        <f aca="false">SQRT(($B39-AR$8)^2+($C39-AR$9)^2+($D39-AR$10)^2)</f>
        <v>0.579383710609059</v>
      </c>
      <c r="AS39" s="17" t="n">
        <f aca="false">SQRT(($B39-AS$8)^2+($C39-AS$9)^2+($D39-AS$10)^2)</f>
        <v>2.52174037417566</v>
      </c>
      <c r="AT39" s="63" t="n">
        <f aca="false">MATCH(MIN(AR39:AS39),AR39:AS39,0)</f>
        <v>1</v>
      </c>
      <c r="AV39" s="17" t="n">
        <f aca="false">SQRT(($B39-AV$8)^2+($C39-AV$9)^2+($D39-AV$10)^2)</f>
        <v>0.555403998269606</v>
      </c>
      <c r="AW39" s="17" t="n">
        <f aca="false">SQRT(($B39-AW$8)^2+($C39-AW$9)^2+($D39-AW$10)^2)</f>
        <v>2.5393191988828</v>
      </c>
      <c r="AX39" s="63" t="n">
        <f aca="false">MATCH(MIN(AV39:AW39),AV39:AW39,0)</f>
        <v>1</v>
      </c>
      <c r="AZ39" s="17" t="n">
        <f aca="false">SQRT(($B39-AZ$8)^2+($C39-AZ$9)^2+($D39-AZ$10)^2)</f>
        <v>0.529132914685577</v>
      </c>
      <c r="BA39" s="17" t="n">
        <f aca="false">SQRT(($B39-BA$8)^2+($C39-BA$9)^2+($D39-BA$10)^2)</f>
        <v>2.55685319281322</v>
      </c>
      <c r="BB39" s="63" t="n">
        <f aca="false">MATCH(MIN(AZ39:BA39),AZ39:BA39,0)</f>
        <v>1</v>
      </c>
      <c r="BD39" s="17" t="n">
        <f aca="false">SQRT(($B39-BD$8)^2+($C39-BD$9)^2+($D39-BD$10)^2)</f>
        <v>0.529132914685577</v>
      </c>
      <c r="BE39" s="17" t="n">
        <f aca="false">SQRT(($B39-BE$8)^2+($C39-BE$9)^2+($D39-BE$10)^2)</f>
        <v>2.55685319281322</v>
      </c>
      <c r="BF39" s="63" t="n">
        <f aca="false">MATCH(MIN(BD39:BE39),BD39:BE39,0)</f>
        <v>1</v>
      </c>
      <c r="BH39" s="17" t="n">
        <f aca="false">SQRT(($B39-BH$8)^2+($C39-BH$9)^2+($D39-BH$10)^2)</f>
        <v>0.529132914685577</v>
      </c>
      <c r="BI39" s="17" t="n">
        <f aca="false">SQRT(($B39-BI$8)^2+($C39-BI$9)^2+($D39-BI$10)^2)</f>
        <v>2.55685319281322</v>
      </c>
      <c r="BJ39" s="63" t="n">
        <f aca="false">MATCH(MIN(BH39:BI39),BH39:BI39,0)</f>
        <v>1</v>
      </c>
      <c r="BL39" s="17" t="n">
        <f aca="false">SQRT(($B39-BL$8)^2+($C39-BL$9)^2+($D39-BL$10)^2)</f>
        <v>0.529132914685577</v>
      </c>
      <c r="BM39" s="17" t="n">
        <f aca="false">SQRT(($B39-BM$8)^2+($C39-BM$9)^2+($D39-BM$10)^2)</f>
        <v>2.55685319281322</v>
      </c>
      <c r="BN39" s="63" t="n">
        <f aca="false">MATCH(MIN(BL39:BM39),BL39:BM39,0)</f>
        <v>1</v>
      </c>
      <c r="BP39" s="17" t="n">
        <f aca="false">SQRT(($B39-BP$8)^2+($C39-BP$9)^2+($D39-BP$10)^2)</f>
        <v>0.529132914685577</v>
      </c>
      <c r="BQ39" s="17" t="n">
        <f aca="false">SQRT(($B39-BQ$8)^2+($C39-BQ$9)^2+($D39-BQ$10)^2)</f>
        <v>2.55685319281322</v>
      </c>
      <c r="BR39" s="63" t="n">
        <f aca="false">MATCH(MIN(BP39:BQ39),BP39:BQ39,0)</f>
        <v>1</v>
      </c>
    </row>
    <row r="40" customFormat="false" ht="15" hidden="false" customHeight="false" outlineLevel="0" collapsed="false">
      <c r="A40" s="36" t="str">
        <f aca="false">KMeans_Data!A30</f>
        <v>Shikarpur</v>
      </c>
      <c r="B40" s="17" t="n">
        <f aca="false">KMeans_Data!H30</f>
        <v>0.708204570744665</v>
      </c>
      <c r="C40" s="17" t="n">
        <f aca="false">KMeans_Data!I30</f>
        <v>0.803084449535714</v>
      </c>
      <c r="D40" s="17" t="n">
        <f aca="false">KMeans_Data!J30</f>
        <v>1.27840404836418</v>
      </c>
      <c r="E40" s="63" t="n">
        <f aca="false">BR40</f>
        <v>1</v>
      </c>
      <c r="F40" s="38" t="n">
        <f aca="false">($B40-INDEX($L$8:$M$8,E40))^2+($C40-INDEX($L$9:$M$9,E40))^2+($D40-INDEX($L$10:$M$10,E40))^2</f>
        <v>0.295548938033516</v>
      </c>
      <c r="G40" s="17" t="n">
        <f aca="false">IF(COUNTIF(Distance_Matrix!$E$8:$DQ$8,$E40)&lt;=1,0,SUMIF(Distance_Matrix!$E$8:$DQ$8,$E40,Distance_Matrix!$E$39:$DQ$39)/(COUNTIF(Distance_Matrix!$E$8:$DQ$8,$E40)-1))</f>
        <v>1.14423372592544</v>
      </c>
      <c r="H40" s="17" t="n">
        <f aca="false">MIN(IF(1=$E40,1E+099,IF(COUNTIF(Distance_Matrix!$E$8:$DQ$8,1)=0,1E+099,SUMIF(Distance_Matrix!$E$8:$DQ$8,1,Distance_Matrix!$E$39:$DQ$39)/COUNTIF(Distance_Matrix!$E$8:$DQ$8,1))),IF(2=$E40,1E+099,IF(COUNTIF(Distance_Matrix!$E$8:$DQ$8,2)=0,1E+099,SUMIF(Distance_Matrix!$E$8:$DQ$8,2,Distance_Matrix!$E$39:$DQ$39)/COUNTIF(Distance_Matrix!$E$8:$DQ$8,2))))</f>
        <v>2.58376978429648</v>
      </c>
      <c r="I40" s="17" t="n">
        <f aca="false">IF(COUNTIF(Distance_Matrix!$E$8:$DQ$8,$E40)&lt;=1,0,(H40-G40)/MAX(G40,H40))</f>
        <v>0.557145635466513</v>
      </c>
      <c r="X40" s="17" t="n">
        <f aca="false">SQRT(($B40-X$8)^2+($C40-X$9)^2+($D40-X$10)^2)</f>
        <v>4.57744212550846</v>
      </c>
      <c r="Y40" s="17" t="n">
        <f aca="false">SQRT(($B40-Y$8)^2+($C40-Y$9)^2+($D40-Y$10)^2)</f>
        <v>3.97824420521485</v>
      </c>
      <c r="Z40" s="63" t="n">
        <f aca="false">MATCH(MIN(X40:Y40),X40:Y40,0)</f>
        <v>2</v>
      </c>
      <c r="AB40" s="17" t="n">
        <f aca="false">SQRT(($B40-AB$8)^2+($C40-AB$9)^2+($D40-AB$10)^2)</f>
        <v>2.082851561677</v>
      </c>
      <c r="AC40" s="17" t="n">
        <f aca="false">SQRT(($B40-AC$8)^2+($C40-AC$9)^2+($D40-AC$10)^2)</f>
        <v>1.98829568469576</v>
      </c>
      <c r="AD40" s="63" t="n">
        <f aca="false">MATCH(MIN(AB40:AC40),AB40:AC40,0)</f>
        <v>2</v>
      </c>
      <c r="AF40" s="17" t="n">
        <f aca="false">SQRT(($B40-AF$8)^2+($C40-AF$9)^2+($D40-AF$10)^2)</f>
        <v>1.50343660249406</v>
      </c>
      <c r="AG40" s="17" t="n">
        <f aca="false">SQRT(($B40-AG$8)^2+($C40-AG$9)^2+($D40-AG$10)^2)</f>
        <v>2.08620782649614</v>
      </c>
      <c r="AH40" s="63" t="n">
        <f aca="false">MATCH(MIN(AF40:AG40),AF40:AG40,0)</f>
        <v>1</v>
      </c>
      <c r="AJ40" s="17" t="n">
        <f aca="false">SQRT(($B40-AJ$8)^2+($C40-AJ$9)^2+($D40-AJ$10)^2)</f>
        <v>0.912142386983824</v>
      </c>
      <c r="AK40" s="17" t="n">
        <f aca="false">SQRT(($B40-AK$8)^2+($C40-AK$9)^2+($D40-AK$10)^2)</f>
        <v>2.29249041390683</v>
      </c>
      <c r="AL40" s="63" t="n">
        <f aca="false">MATCH(MIN(AJ40:AK40),AJ40:AK40,0)</f>
        <v>1</v>
      </c>
      <c r="AN40" s="17" t="n">
        <f aca="false">SQRT(($B40-AN$8)^2+($C40-AN$9)^2+($D40-AN$10)^2)</f>
        <v>0.705141662296955</v>
      </c>
      <c r="AO40" s="17" t="n">
        <f aca="false">SQRT(($B40-AO$8)^2+($C40-AO$9)^2+($D40-AO$10)^2)</f>
        <v>2.39854935779877</v>
      </c>
      <c r="AP40" s="63" t="n">
        <f aca="false">MATCH(MIN(AN40:AO40),AN40:AO40,0)</f>
        <v>1</v>
      </c>
      <c r="AR40" s="17" t="n">
        <f aca="false">SQRT(($B40-AR$8)^2+($C40-AR$9)^2+($D40-AR$10)^2)</f>
        <v>0.598979592877944</v>
      </c>
      <c r="AS40" s="17" t="n">
        <f aca="false">SQRT(($B40-AS$8)^2+($C40-AS$9)^2+($D40-AS$10)^2)</f>
        <v>2.45365218090809</v>
      </c>
      <c r="AT40" s="63" t="n">
        <f aca="false">MATCH(MIN(AR40:AS40),AR40:AS40,0)</f>
        <v>1</v>
      </c>
      <c r="AV40" s="17" t="n">
        <f aca="false">SQRT(($B40-AV$8)^2+($C40-AV$9)^2+($D40-AV$10)^2)</f>
        <v>0.57375074476447</v>
      </c>
      <c r="AW40" s="17" t="n">
        <f aca="false">SQRT(($B40-AW$8)^2+($C40-AW$9)^2+($D40-AW$10)^2)</f>
        <v>2.47103006389041</v>
      </c>
      <c r="AX40" s="63" t="n">
        <f aca="false">MATCH(MIN(AV40:AW40),AV40:AW40,0)</f>
        <v>1</v>
      </c>
      <c r="AZ40" s="17" t="n">
        <f aca="false">SQRT(($B40-AZ$8)^2+($C40-AZ$9)^2+($D40-AZ$10)^2)</f>
        <v>0.54364412811463</v>
      </c>
      <c r="BA40" s="17" t="n">
        <f aca="false">SQRT(($B40-BA$8)^2+($C40-BA$9)^2+($D40-BA$10)^2)</f>
        <v>2.48859766858337</v>
      </c>
      <c r="BB40" s="63" t="n">
        <f aca="false">MATCH(MIN(AZ40:BA40),AZ40:BA40,0)</f>
        <v>1</v>
      </c>
      <c r="BD40" s="17" t="n">
        <f aca="false">SQRT(($B40-BD$8)^2+($C40-BD$9)^2+($D40-BD$10)^2)</f>
        <v>0.54364412811463</v>
      </c>
      <c r="BE40" s="17" t="n">
        <f aca="false">SQRT(($B40-BE$8)^2+($C40-BE$9)^2+($D40-BE$10)^2)</f>
        <v>2.48859766858337</v>
      </c>
      <c r="BF40" s="63" t="n">
        <f aca="false">MATCH(MIN(BD40:BE40),BD40:BE40,0)</f>
        <v>1</v>
      </c>
      <c r="BH40" s="17" t="n">
        <f aca="false">SQRT(($B40-BH$8)^2+($C40-BH$9)^2+($D40-BH$10)^2)</f>
        <v>0.54364412811463</v>
      </c>
      <c r="BI40" s="17" t="n">
        <f aca="false">SQRT(($B40-BI$8)^2+($C40-BI$9)^2+($D40-BI$10)^2)</f>
        <v>2.48859766858337</v>
      </c>
      <c r="BJ40" s="63" t="n">
        <f aca="false">MATCH(MIN(BH40:BI40),BH40:BI40,0)</f>
        <v>1</v>
      </c>
      <c r="BL40" s="17" t="n">
        <f aca="false">SQRT(($B40-BL$8)^2+($C40-BL$9)^2+($D40-BL$10)^2)</f>
        <v>0.54364412811463</v>
      </c>
      <c r="BM40" s="17" t="n">
        <f aca="false">SQRT(($B40-BM$8)^2+($C40-BM$9)^2+($D40-BM$10)^2)</f>
        <v>2.48859766858337</v>
      </c>
      <c r="BN40" s="63" t="n">
        <f aca="false">MATCH(MIN(BL40:BM40),BL40:BM40,0)</f>
        <v>1</v>
      </c>
      <c r="BP40" s="17" t="n">
        <f aca="false">SQRT(($B40-BP$8)^2+($C40-BP$9)^2+($D40-BP$10)^2)</f>
        <v>0.54364412811463</v>
      </c>
      <c r="BQ40" s="17" t="n">
        <f aca="false">SQRT(($B40-BQ$8)^2+($C40-BQ$9)^2+($D40-BQ$10)^2)</f>
        <v>2.48859766858337</v>
      </c>
      <c r="BR40" s="63" t="n">
        <f aca="false">MATCH(MIN(BP40:BQ40),BP40:BQ40,0)</f>
        <v>1</v>
      </c>
    </row>
    <row r="41" customFormat="false" ht="15" hidden="false" customHeight="false" outlineLevel="0" collapsed="false">
      <c r="A41" s="36" t="str">
        <f aca="false">KMeans_Data!A31</f>
        <v>Rawalpindi</v>
      </c>
      <c r="B41" s="17" t="n">
        <f aca="false">KMeans_Data!H31</f>
        <v>0.645673058648075</v>
      </c>
      <c r="C41" s="17" t="n">
        <f aca="false">KMeans_Data!I31</f>
        <v>-0.146983133929529</v>
      </c>
      <c r="D41" s="17" t="n">
        <f aca="false">KMeans_Data!J31</f>
        <v>-1.14564411633355</v>
      </c>
      <c r="E41" s="63" t="n">
        <f aca="false">BR41</f>
        <v>2</v>
      </c>
      <c r="F41" s="38" t="n">
        <f aca="false">($B41-INDEX($L$8:$M$8,E41))^2+($C41-INDEX($L$9:$M$9,E41))^2+($D41-INDEX($L$10:$M$10,E41))^2</f>
        <v>1.75681189123454</v>
      </c>
      <c r="G41" s="17" t="n">
        <f aca="false">IF(COUNTIF(Distance_Matrix!$E$8:$DQ$8,$E41)&lt;=1,0,SUMIF(Distance_Matrix!$E$8:$DQ$8,$E41,Distance_Matrix!$E$40:$DQ$40)/(COUNTIF(Distance_Matrix!$E$8:$DQ$8,$E41)-1))</f>
        <v>1.59888121455495</v>
      </c>
      <c r="H41" s="17" t="n">
        <f aca="false">MIN(IF(1=$E41,1E+099,IF(COUNTIF(Distance_Matrix!$E$8:$DQ$8,1)=0,1E+099,SUMIF(Distance_Matrix!$E$8:$DQ$8,1,Distance_Matrix!$E$40:$DQ$40)/COUNTIF(Distance_Matrix!$E$8:$DQ$8,1))),IF(2=$E41,1E+099,IF(COUNTIF(Distance_Matrix!$E$8:$DQ$8,2)=0,1E+099,SUMIF(Distance_Matrix!$E$8:$DQ$8,2,Distance_Matrix!$E$40:$DQ$40)/COUNTIF(Distance_Matrix!$E$8:$DQ$8,2))))</f>
        <v>2.81447573380184</v>
      </c>
      <c r="I41" s="17" t="n">
        <f aca="false">IF(COUNTIF(Distance_Matrix!$E$8:$DQ$8,$E41)&lt;=1,0,(H41-G41)/MAX(G41,H41))</f>
        <v>0.431907976554072</v>
      </c>
      <c r="X41" s="17" t="n">
        <f aca="false">SQRT(($B41-X$8)^2+($C41-X$9)^2+($D41-X$10)^2)</f>
        <v>6.61637996962902</v>
      </c>
      <c r="Y41" s="17" t="n">
        <f aca="false">SQRT(($B41-Y$8)^2+($C41-Y$9)^2+($D41-Y$10)^2)</f>
        <v>2.77564255027266</v>
      </c>
      <c r="Z41" s="63" t="n">
        <f aca="false">MATCH(MIN(X41:Y41),X41:Y41,0)</f>
        <v>2</v>
      </c>
      <c r="AB41" s="17" t="n">
        <f aca="false">SQRT(($B41-AB$8)^2+($C41-AB$9)^2+($D41-AB$10)^2)</f>
        <v>4.13103979358171</v>
      </c>
      <c r="AC41" s="17" t="n">
        <f aca="false">SQRT(($B41-AC$8)^2+($C41-AC$9)^2+($D41-AC$10)^2)</f>
        <v>1.27976495238718</v>
      </c>
      <c r="AD41" s="63" t="n">
        <f aca="false">MATCH(MIN(AB41:AC41),AB41:AC41,0)</f>
        <v>2</v>
      </c>
      <c r="AF41" s="17" t="n">
        <f aca="false">SQRT(($B41-AF$8)^2+($C41-AF$9)^2+($D41-AF$10)^2)</f>
        <v>3.55309989544052</v>
      </c>
      <c r="AG41" s="17" t="n">
        <f aca="false">SQRT(($B41-AG$8)^2+($C41-AG$9)^2+($D41-AG$10)^2)</f>
        <v>1.28329874813271</v>
      </c>
      <c r="AH41" s="63" t="n">
        <f aca="false">MATCH(MIN(AF41:AG41),AF41:AG41,0)</f>
        <v>2</v>
      </c>
      <c r="AJ41" s="17" t="n">
        <f aca="false">SQRT(($B41-AJ$8)^2+($C41-AJ$9)^2+($D41-AJ$10)^2)</f>
        <v>3.0405380128305</v>
      </c>
      <c r="AK41" s="17" t="n">
        <f aca="false">SQRT(($B41-AK$8)^2+($C41-AK$9)^2+($D41-AK$10)^2)</f>
        <v>1.28831218213206</v>
      </c>
      <c r="AL41" s="63" t="n">
        <f aca="false">MATCH(MIN(AJ41:AK41),AJ41:AK41,0)</f>
        <v>2</v>
      </c>
      <c r="AN41" s="17" t="n">
        <f aca="false">SQRT(($B41-AN$8)^2+($C41-AN$9)^2+($D41-AN$10)^2)</f>
        <v>2.87022271464159</v>
      </c>
      <c r="AO41" s="17" t="n">
        <f aca="false">SQRT(($B41-AO$8)^2+($C41-AO$9)^2+($D41-AO$10)^2)</f>
        <v>1.30338721819799</v>
      </c>
      <c r="AP41" s="63" t="n">
        <f aca="false">MATCH(MIN(AN41:AO41),AN41:AO41,0)</f>
        <v>2</v>
      </c>
      <c r="AR41" s="17" t="n">
        <f aca="false">SQRT(($B41-AR$8)^2+($C41-AR$9)^2+($D41-AR$10)^2)</f>
        <v>2.76088296741967</v>
      </c>
      <c r="AS41" s="17" t="n">
        <f aca="false">SQRT(($B41-AS$8)^2+($C41-AS$9)^2+($D41-AS$10)^2)</f>
        <v>1.31621625502694</v>
      </c>
      <c r="AT41" s="63" t="n">
        <f aca="false">MATCH(MIN(AR41:AS41),AR41:AS41,0)</f>
        <v>2</v>
      </c>
      <c r="AV41" s="17" t="n">
        <f aca="false">SQRT(($B41-AV$8)^2+($C41-AV$9)^2+($D41-AV$10)^2)</f>
        <v>2.72267573502988</v>
      </c>
      <c r="AW41" s="17" t="n">
        <f aca="false">SQRT(($B41-AW$8)^2+($C41-AW$9)^2+($D41-AW$10)^2)</f>
        <v>1.32383272854366</v>
      </c>
      <c r="AX41" s="63" t="n">
        <f aca="false">MATCH(MIN(AV41:AW41),AV41:AW41,0)</f>
        <v>2</v>
      </c>
      <c r="AZ41" s="17" t="n">
        <f aca="false">SQRT(($B41-AZ$8)^2+($C41-AZ$9)^2+($D41-AZ$10)^2)</f>
        <v>2.69196022584216</v>
      </c>
      <c r="BA41" s="17" t="n">
        <f aca="false">SQRT(($B41-BA$8)^2+($C41-BA$9)^2+($D41-BA$10)^2)</f>
        <v>1.32544780781234</v>
      </c>
      <c r="BB41" s="63" t="n">
        <f aca="false">MATCH(MIN(AZ41:BA41),AZ41:BA41,0)</f>
        <v>2</v>
      </c>
      <c r="BD41" s="17" t="n">
        <f aca="false">SQRT(($B41-BD$8)^2+($C41-BD$9)^2+($D41-BD$10)^2)</f>
        <v>2.69196022584216</v>
      </c>
      <c r="BE41" s="17" t="n">
        <f aca="false">SQRT(($B41-BE$8)^2+($C41-BE$9)^2+($D41-BE$10)^2)</f>
        <v>1.32544780781234</v>
      </c>
      <c r="BF41" s="63" t="n">
        <f aca="false">MATCH(MIN(BD41:BE41),BD41:BE41,0)</f>
        <v>2</v>
      </c>
      <c r="BH41" s="17" t="n">
        <f aca="false">SQRT(($B41-BH$8)^2+($C41-BH$9)^2+($D41-BH$10)^2)</f>
        <v>2.69196022584216</v>
      </c>
      <c r="BI41" s="17" t="n">
        <f aca="false">SQRT(($B41-BI$8)^2+($C41-BI$9)^2+($D41-BI$10)^2)</f>
        <v>1.32544780781234</v>
      </c>
      <c r="BJ41" s="63" t="n">
        <f aca="false">MATCH(MIN(BH41:BI41),BH41:BI41,0)</f>
        <v>2</v>
      </c>
      <c r="BL41" s="17" t="n">
        <f aca="false">SQRT(($B41-BL$8)^2+($C41-BL$9)^2+($D41-BL$10)^2)</f>
        <v>2.69196022584216</v>
      </c>
      <c r="BM41" s="17" t="n">
        <f aca="false">SQRT(($B41-BM$8)^2+($C41-BM$9)^2+($D41-BM$10)^2)</f>
        <v>1.32544780781234</v>
      </c>
      <c r="BN41" s="63" t="n">
        <f aca="false">MATCH(MIN(BL41:BM41),BL41:BM41,0)</f>
        <v>2</v>
      </c>
      <c r="BP41" s="17" t="n">
        <f aca="false">SQRT(($B41-BP$8)^2+($C41-BP$9)^2+($D41-BP$10)^2)</f>
        <v>2.69196022584216</v>
      </c>
      <c r="BQ41" s="17" t="n">
        <f aca="false">SQRT(($B41-BQ$8)^2+($C41-BQ$9)^2+($D41-BQ$10)^2)</f>
        <v>1.32544780781234</v>
      </c>
      <c r="BR41" s="63" t="n">
        <f aca="false">MATCH(MIN(BP41:BQ41),BP41:BQ41,0)</f>
        <v>2</v>
      </c>
    </row>
    <row r="42" customFormat="false" ht="15" hidden="false" customHeight="false" outlineLevel="0" collapsed="false">
      <c r="A42" s="36" t="str">
        <f aca="false">KMeans_Data!A32</f>
        <v>Buner</v>
      </c>
      <c r="B42" s="17" t="n">
        <f aca="false">KMeans_Data!H32</f>
        <v>0.602395784980437</v>
      </c>
      <c r="C42" s="17" t="n">
        <f aca="false">KMeans_Data!I32</f>
        <v>0.686180001083741</v>
      </c>
      <c r="D42" s="17" t="n">
        <f aca="false">KMeans_Data!J32</f>
        <v>0.8732151368336</v>
      </c>
      <c r="E42" s="63" t="n">
        <f aca="false">BR42</f>
        <v>1</v>
      </c>
      <c r="F42" s="38" t="n">
        <f aca="false">($B42-INDEX($L$8:$M$8,E42))^2+($C42-INDEX($L$9:$M$9,E42))^2+($D42-INDEX($L$10:$M$10,E42))^2</f>
        <v>0.54193286053356</v>
      </c>
      <c r="G42" s="17" t="n">
        <f aca="false">IF(COUNTIF(Distance_Matrix!$E$8:$DQ$8,$E42)&lt;=1,0,SUMIF(Distance_Matrix!$E$8:$DQ$8,$E42,Distance_Matrix!$E$41:$DQ$41)/(COUNTIF(Distance_Matrix!$E$8:$DQ$8,$E42)-1))</f>
        <v>1.14694530301705</v>
      </c>
      <c r="H42" s="17" t="n">
        <f aca="false">MIN(IF(1=$E42,1E+099,IF(COUNTIF(Distance_Matrix!$E$8:$DQ$8,1)=0,1E+099,SUMIF(Distance_Matrix!$E$8:$DQ$8,1,Distance_Matrix!$E$41:$DQ$41)/COUNTIF(Distance_Matrix!$E$8:$DQ$8,1))),IF(2=$E42,1E+099,IF(COUNTIF(Distance_Matrix!$E$8:$DQ$8,2)=0,1E+099,SUMIF(Distance_Matrix!$E$8:$DQ$8,2,Distance_Matrix!$E$41:$DQ$41)/COUNTIF(Distance_Matrix!$E$8:$DQ$8,2))))</f>
        <v>2.21731182349213</v>
      </c>
      <c r="I42" s="17" t="n">
        <f aca="false">IF(COUNTIF(Distance_Matrix!$E$8:$DQ$8,$E42)&lt;=1,0,(H42-G42)/MAX(G42,H42))</f>
        <v>0.482731616335908</v>
      </c>
      <c r="X42" s="17" t="n">
        <f aca="false">SQRT(($B42-X$8)^2+($C42-X$9)^2+($D42-X$10)^2)</f>
        <v>4.90321696714872</v>
      </c>
      <c r="Y42" s="17" t="n">
        <f aca="false">SQRT(($B42-Y$8)^2+($C42-Y$9)^2+($D42-Y$10)^2)</f>
        <v>3.62160940481517</v>
      </c>
      <c r="Z42" s="63" t="n">
        <f aca="false">MATCH(MIN(X42:Y42),X42:Y42,0)</f>
        <v>2</v>
      </c>
      <c r="AB42" s="17" t="n">
        <f aca="false">SQRT(($B42-AB$8)^2+($C42-AB$9)^2+($D42-AB$10)^2)</f>
        <v>2.37336794640799</v>
      </c>
      <c r="AC42" s="17" t="n">
        <f aca="false">SQRT(($B42-AC$8)^2+($C42-AC$9)^2+($D42-AC$10)^2)</f>
        <v>1.59280653717446</v>
      </c>
      <c r="AD42" s="63" t="n">
        <f aca="false">MATCH(MIN(AB42:AC42),AB42:AC42,0)</f>
        <v>2</v>
      </c>
      <c r="AF42" s="17" t="n">
        <f aca="false">SQRT(($B42-AF$8)^2+($C42-AF$9)^2+($D42-AF$10)^2)</f>
        <v>1.7671307367256</v>
      </c>
      <c r="AG42" s="17" t="n">
        <f aca="false">SQRT(($B42-AG$8)^2+($C42-AG$9)^2+($D42-AG$10)^2)</f>
        <v>1.69311676352958</v>
      </c>
      <c r="AH42" s="63" t="n">
        <f aca="false">MATCH(MIN(AF42:AG42),AF42:AG42,0)</f>
        <v>2</v>
      </c>
      <c r="AJ42" s="17" t="n">
        <f aca="false">SQRT(($B42-AJ$8)^2+($C42-AJ$9)^2+($D42-AJ$10)^2)</f>
        <v>1.15340495680244</v>
      </c>
      <c r="AK42" s="17" t="n">
        <f aca="false">SQRT(($B42-AK$8)^2+($C42-AK$9)^2+($D42-AK$10)^2)</f>
        <v>1.90094936739655</v>
      </c>
      <c r="AL42" s="63" t="n">
        <f aca="false">MATCH(MIN(AJ42:AK42),AJ42:AK42,0)</f>
        <v>1</v>
      </c>
      <c r="AN42" s="17" t="n">
        <f aca="false">SQRT(($B42-AN$8)^2+($C42-AN$9)^2+($D42-AN$10)^2)</f>
        <v>0.940542887468848</v>
      </c>
      <c r="AO42" s="17" t="n">
        <f aca="false">SQRT(($B42-AO$8)^2+($C42-AO$9)^2+($D42-AO$10)^2)</f>
        <v>2.00658640190578</v>
      </c>
      <c r="AP42" s="63" t="n">
        <f aca="false">MATCH(MIN(AN42:AO42),AN42:AO42,0)</f>
        <v>1</v>
      </c>
      <c r="AR42" s="17" t="n">
        <f aca="false">SQRT(($B42-AR$8)^2+($C42-AR$9)^2+($D42-AR$10)^2)</f>
        <v>0.814101002356499</v>
      </c>
      <c r="AS42" s="17" t="n">
        <f aca="false">SQRT(($B42-AS$8)^2+($C42-AS$9)^2+($D42-AS$10)^2)</f>
        <v>2.06180174791021</v>
      </c>
      <c r="AT42" s="63" t="n">
        <f aca="false">MATCH(MIN(AR42:AS42),AR42:AS42,0)</f>
        <v>1</v>
      </c>
      <c r="AV42" s="17" t="n">
        <f aca="false">SQRT(($B42-AV$8)^2+($C42-AV$9)^2+($D42-AV$10)^2)</f>
        <v>0.775976130407123</v>
      </c>
      <c r="AW42" s="17" t="n">
        <f aca="false">SQRT(($B42-AW$8)^2+($C42-AW$9)^2+($D42-AW$10)^2)</f>
        <v>2.0795046891723</v>
      </c>
      <c r="AX42" s="63" t="n">
        <f aca="false">MATCH(MIN(AV42:AW42),AV42:AW42,0)</f>
        <v>1</v>
      </c>
      <c r="AZ42" s="17" t="n">
        <f aca="false">SQRT(($B42-AZ$8)^2+($C42-AZ$9)^2+($D42-AZ$10)^2)</f>
        <v>0.736160893102561</v>
      </c>
      <c r="BA42" s="17" t="n">
        <f aca="false">SQRT(($B42-BA$8)^2+($C42-BA$9)^2+($D42-BA$10)^2)</f>
        <v>2.09708159516429</v>
      </c>
      <c r="BB42" s="63" t="n">
        <f aca="false">MATCH(MIN(AZ42:BA42),AZ42:BA42,0)</f>
        <v>1</v>
      </c>
      <c r="BD42" s="17" t="n">
        <f aca="false">SQRT(($B42-BD$8)^2+($C42-BD$9)^2+($D42-BD$10)^2)</f>
        <v>0.736160893102561</v>
      </c>
      <c r="BE42" s="17" t="n">
        <f aca="false">SQRT(($B42-BE$8)^2+($C42-BE$9)^2+($D42-BE$10)^2)</f>
        <v>2.09708159516429</v>
      </c>
      <c r="BF42" s="63" t="n">
        <f aca="false">MATCH(MIN(BD42:BE42),BD42:BE42,0)</f>
        <v>1</v>
      </c>
      <c r="BH42" s="17" t="n">
        <f aca="false">SQRT(($B42-BH$8)^2+($C42-BH$9)^2+($D42-BH$10)^2)</f>
        <v>0.736160893102561</v>
      </c>
      <c r="BI42" s="17" t="n">
        <f aca="false">SQRT(($B42-BI$8)^2+($C42-BI$9)^2+($D42-BI$10)^2)</f>
        <v>2.09708159516429</v>
      </c>
      <c r="BJ42" s="63" t="n">
        <f aca="false">MATCH(MIN(BH42:BI42),BH42:BI42,0)</f>
        <v>1</v>
      </c>
      <c r="BL42" s="17" t="n">
        <f aca="false">SQRT(($B42-BL$8)^2+($C42-BL$9)^2+($D42-BL$10)^2)</f>
        <v>0.736160893102561</v>
      </c>
      <c r="BM42" s="17" t="n">
        <f aca="false">SQRT(($B42-BM$8)^2+($C42-BM$9)^2+($D42-BM$10)^2)</f>
        <v>2.09708159516429</v>
      </c>
      <c r="BN42" s="63" t="n">
        <f aca="false">MATCH(MIN(BL42:BM42),BL42:BM42,0)</f>
        <v>1</v>
      </c>
      <c r="BP42" s="17" t="n">
        <f aca="false">SQRT(($B42-BP$8)^2+($C42-BP$9)^2+($D42-BP$10)^2)</f>
        <v>0.736160893102561</v>
      </c>
      <c r="BQ42" s="17" t="n">
        <f aca="false">SQRT(($B42-BQ$8)^2+($C42-BQ$9)^2+($D42-BQ$10)^2)</f>
        <v>2.09708159516429</v>
      </c>
      <c r="BR42" s="63" t="n">
        <f aca="false">MATCH(MIN(BP42:BQ42),BP42:BQ42,0)</f>
        <v>1</v>
      </c>
    </row>
    <row r="43" customFormat="false" ht="15" hidden="false" customHeight="false" outlineLevel="0" collapsed="false">
      <c r="A43" s="36" t="str">
        <f aca="false">KMeans_Data!A33</f>
        <v>Sargodha</v>
      </c>
      <c r="B43" s="17" t="n">
        <f aca="false">KMeans_Data!H33</f>
        <v>0.577753548760862</v>
      </c>
      <c r="C43" s="17" t="n">
        <f aca="false">KMeans_Data!I33</f>
        <v>-0.672650545388274</v>
      </c>
      <c r="D43" s="17" t="n">
        <f aca="false">KMeans_Data!J33</f>
        <v>-0.399845222909568</v>
      </c>
      <c r="E43" s="63" t="n">
        <f aca="false">BR43</f>
        <v>2</v>
      </c>
      <c r="F43" s="38" t="n">
        <f aca="false">($B43-INDEX($L$8:$M$8,E43))^2+($C43-INDEX($L$9:$M$9,E43))^2+($D43-INDEX($L$10:$M$10,E43))^2</f>
        <v>1.07644220666543</v>
      </c>
      <c r="G43" s="17" t="n">
        <f aca="false">IF(COUNTIF(Distance_Matrix!$E$8:$DQ$8,$E43)&lt;=1,0,SUMIF(Distance_Matrix!$E$8:$DQ$8,$E43,Distance_Matrix!$E$42:$DQ$42)/(COUNTIF(Distance_Matrix!$E$8:$DQ$8,$E43)-1))</f>
        <v>1.35666806500821</v>
      </c>
      <c r="H43" s="17" t="n">
        <f aca="false">MIN(IF(1=$E43,1E+099,IF(COUNTIF(Distance_Matrix!$E$8:$DQ$8,1)=0,1E+099,SUMIF(Distance_Matrix!$E$8:$DQ$8,1,Distance_Matrix!$E$42:$DQ$42)/COUNTIF(Distance_Matrix!$E$8:$DQ$8,1))),IF(2=$E43,1E+099,IF(COUNTIF(Distance_Matrix!$E$8:$DQ$8,2)=0,1E+099,SUMIF(Distance_Matrix!$E$8:$DQ$8,2,Distance_Matrix!$E$42:$DQ$42)/COUNTIF(Distance_Matrix!$E$8:$DQ$8,2))))</f>
        <v>2.5716928177482</v>
      </c>
      <c r="I43" s="17" t="n">
        <f aca="false">IF(COUNTIF(Distance_Matrix!$E$8:$DQ$8,$E43)&lt;=1,0,(H43-G43)/MAX(G43,H43))</f>
        <v>0.47246107480437</v>
      </c>
      <c r="X43" s="17" t="n">
        <f aca="false">SQRT(($B43-X$8)^2+($C43-X$9)^2+($D43-X$10)^2)</f>
        <v>6.54299969229988</v>
      </c>
      <c r="Y43" s="17" t="n">
        <f aca="false">SQRT(($B43-Y$8)^2+($C43-Y$9)^2+($D43-Y$10)^2)</f>
        <v>2.76015891289846</v>
      </c>
      <c r="Z43" s="63" t="n">
        <f aca="false">MATCH(MIN(X43:Y43),X43:Y43,0)</f>
        <v>2</v>
      </c>
      <c r="AB43" s="17" t="n">
        <f aca="false">SQRT(($B43-AB$8)^2+($C43-AB$9)^2+($D43-AB$10)^2)</f>
        <v>4.02680368541584</v>
      </c>
      <c r="AC43" s="17" t="n">
        <f aca="false">SQRT(($B43-AC$8)^2+($C43-AC$9)^2+($D43-AC$10)^2)</f>
        <v>0.914977887484349</v>
      </c>
      <c r="AD43" s="63" t="n">
        <f aca="false">MATCH(MIN(AB43:AC43),AB43:AC43,0)</f>
        <v>2</v>
      </c>
      <c r="AF43" s="17" t="n">
        <f aca="false">SQRT(($B43-AF$8)^2+($C43-AF$9)^2+($D43-AF$10)^2)</f>
        <v>3.43891976461741</v>
      </c>
      <c r="AG43" s="17" t="n">
        <f aca="false">SQRT(($B43-AG$8)^2+($C43-AG$9)^2+($D43-AG$10)^2)</f>
        <v>0.917078854676452</v>
      </c>
      <c r="AH43" s="63" t="n">
        <f aca="false">MATCH(MIN(AF43:AG43),AF43:AG43,0)</f>
        <v>2</v>
      </c>
      <c r="AJ43" s="17" t="n">
        <f aca="false">SQRT(($B43-AJ$8)^2+($C43-AJ$9)^2+($D43-AJ$10)^2)</f>
        <v>2.87859149040543</v>
      </c>
      <c r="AK43" s="17" t="n">
        <f aca="false">SQRT(($B43-AK$8)^2+($C43-AK$9)^2+($D43-AK$10)^2)</f>
        <v>0.946918960212186</v>
      </c>
      <c r="AL43" s="63" t="n">
        <f aca="false">MATCH(MIN(AJ43:AK43),AJ43:AK43,0)</f>
        <v>2</v>
      </c>
      <c r="AN43" s="17" t="n">
        <f aca="false">SQRT(($B43-AN$8)^2+($C43-AN$9)^2+($D43-AN$10)^2)</f>
        <v>2.67346540790105</v>
      </c>
      <c r="AO43" s="17" t="n">
        <f aca="false">SQRT(($B43-AO$8)^2+($C43-AO$9)^2+($D43-AO$10)^2)</f>
        <v>0.99626270735291</v>
      </c>
      <c r="AP43" s="63" t="n">
        <f aca="false">MATCH(MIN(AN43:AO43),AN43:AO43,0)</f>
        <v>2</v>
      </c>
      <c r="AR43" s="17" t="n">
        <f aca="false">SQRT(($B43-AR$8)^2+($C43-AR$9)^2+($D43-AR$10)^2)</f>
        <v>2.55192752654244</v>
      </c>
      <c r="AS43" s="17" t="n">
        <f aca="false">SQRT(($B43-AS$8)^2+($C43-AS$9)^2+($D43-AS$10)^2)</f>
        <v>1.02347020595045</v>
      </c>
      <c r="AT43" s="63" t="n">
        <f aca="false">MATCH(MIN(AR43:AS43),AR43:AS43,0)</f>
        <v>2</v>
      </c>
      <c r="AV43" s="17" t="n">
        <f aca="false">SQRT(($B43-AV$8)^2+($C43-AV$9)^2+($D43-AV$10)^2)</f>
        <v>2.5125795985114</v>
      </c>
      <c r="AW43" s="17" t="n">
        <f aca="false">SQRT(($B43-AW$8)^2+($C43-AW$9)^2+($D43-AW$10)^2)</f>
        <v>1.03369723006615</v>
      </c>
      <c r="AX43" s="63" t="n">
        <f aca="false">MATCH(MIN(AV43:AW43),AV43:AW43,0)</f>
        <v>2</v>
      </c>
      <c r="AZ43" s="17" t="n">
        <f aca="false">SQRT(($B43-AZ$8)^2+($C43-AZ$9)^2+($D43-AZ$10)^2)</f>
        <v>2.47994218899338</v>
      </c>
      <c r="BA43" s="17" t="n">
        <f aca="false">SQRT(($B43-BA$8)^2+($C43-BA$9)^2+($D43-BA$10)^2)</f>
        <v>1.03751732836875</v>
      </c>
      <c r="BB43" s="63" t="n">
        <f aca="false">MATCH(MIN(AZ43:BA43),AZ43:BA43,0)</f>
        <v>2</v>
      </c>
      <c r="BD43" s="17" t="n">
        <f aca="false">SQRT(($B43-BD$8)^2+($C43-BD$9)^2+($D43-BD$10)^2)</f>
        <v>2.47994218899338</v>
      </c>
      <c r="BE43" s="17" t="n">
        <f aca="false">SQRT(($B43-BE$8)^2+($C43-BE$9)^2+($D43-BE$10)^2)</f>
        <v>1.03751732836875</v>
      </c>
      <c r="BF43" s="63" t="n">
        <f aca="false">MATCH(MIN(BD43:BE43),BD43:BE43,0)</f>
        <v>2</v>
      </c>
      <c r="BH43" s="17" t="n">
        <f aca="false">SQRT(($B43-BH$8)^2+($C43-BH$9)^2+($D43-BH$10)^2)</f>
        <v>2.47994218899338</v>
      </c>
      <c r="BI43" s="17" t="n">
        <f aca="false">SQRT(($B43-BI$8)^2+($C43-BI$9)^2+($D43-BI$10)^2)</f>
        <v>1.03751732836875</v>
      </c>
      <c r="BJ43" s="63" t="n">
        <f aca="false">MATCH(MIN(BH43:BI43),BH43:BI43,0)</f>
        <v>2</v>
      </c>
      <c r="BL43" s="17" t="n">
        <f aca="false">SQRT(($B43-BL$8)^2+($C43-BL$9)^2+($D43-BL$10)^2)</f>
        <v>2.47994218899338</v>
      </c>
      <c r="BM43" s="17" t="n">
        <f aca="false">SQRT(($B43-BM$8)^2+($C43-BM$9)^2+($D43-BM$10)^2)</f>
        <v>1.03751732836875</v>
      </c>
      <c r="BN43" s="63" t="n">
        <f aca="false">MATCH(MIN(BL43:BM43),BL43:BM43,0)</f>
        <v>2</v>
      </c>
      <c r="BP43" s="17" t="n">
        <f aca="false">SQRT(($B43-BP$8)^2+($C43-BP$9)^2+($D43-BP$10)^2)</f>
        <v>2.47994218899338</v>
      </c>
      <c r="BQ43" s="17" t="n">
        <f aca="false">SQRT(($B43-BQ$8)^2+($C43-BQ$9)^2+($D43-BQ$10)^2)</f>
        <v>1.03751732836875</v>
      </c>
      <c r="BR43" s="63" t="n">
        <f aca="false">MATCH(MIN(BP43:BQ43),BP43:BQ43,0)</f>
        <v>2</v>
      </c>
    </row>
    <row r="44" customFormat="false" ht="15" hidden="false" customHeight="false" outlineLevel="0" collapsed="false">
      <c r="A44" s="36" t="str">
        <f aca="false">KMeans_Data!A34</f>
        <v>Shaheed Benazirabad</v>
      </c>
      <c r="B44" s="17" t="n">
        <f aca="false">KMeans_Data!H34</f>
        <v>0.577753548760862</v>
      </c>
      <c r="C44" s="17" t="n">
        <f aca="false">KMeans_Data!I34</f>
        <v>0.160512589624996</v>
      </c>
      <c r="D44" s="17" t="n">
        <f aca="false">KMeans_Data!J34</f>
        <v>0.781544486275172</v>
      </c>
      <c r="E44" s="63" t="n">
        <f aca="false">BR44</f>
        <v>1</v>
      </c>
      <c r="F44" s="38" t="n">
        <f aca="false">($B44-INDEX($L$8:$M$8,E44))^2+($C44-INDEX($L$9:$M$9,E44))^2+($D44-INDEX($L$10:$M$10,E44))^2</f>
        <v>1.45115747134347</v>
      </c>
      <c r="G44" s="17" t="n">
        <f aca="false">IF(COUNTIF(Distance_Matrix!$E$8:$DQ$8,$E44)&lt;=1,0,SUMIF(Distance_Matrix!$E$8:$DQ$8,$E44,Distance_Matrix!$E$43:$DQ$43)/(COUNTIF(Distance_Matrix!$E$8:$DQ$8,$E44)-1))</f>
        <v>1.42582239061185</v>
      </c>
      <c r="H44" s="17" t="n">
        <f aca="false">MIN(IF(1=$E44,1E+099,IF(COUNTIF(Distance_Matrix!$E$8:$DQ$8,1)=0,1E+099,SUMIF(Distance_Matrix!$E$8:$DQ$8,1,Distance_Matrix!$E$43:$DQ$43)/COUNTIF(Distance_Matrix!$E$8:$DQ$8,1))),IF(2=$E44,1E+099,IF(COUNTIF(Distance_Matrix!$E$8:$DQ$8,2)=0,1E+099,SUMIF(Distance_Matrix!$E$8:$DQ$8,2,Distance_Matrix!$E$43:$DQ$43)/COUNTIF(Distance_Matrix!$E$8:$DQ$8,2))))</f>
        <v>1.89264981219186</v>
      </c>
      <c r="I44" s="17" t="n">
        <f aca="false">IF(COUNTIF(Distance_Matrix!$E$8:$DQ$8,$E44)&lt;=1,0,(H44-G44)/MAX(G44,H44))</f>
        <v>0.246652824295783</v>
      </c>
      <c r="X44" s="17" t="n">
        <f aca="false">SQRT(($B44-X$8)^2+($C44-X$9)^2+($D44-X$10)^2)</f>
        <v>5.33100349295761</v>
      </c>
      <c r="Y44" s="17" t="n">
        <f aca="false">SQRT(($B44-Y$8)^2+($C44-Y$9)^2+($D44-Y$10)^2)</f>
        <v>3.38680940629828</v>
      </c>
      <c r="Z44" s="63" t="n">
        <f aca="false">MATCH(MIN(X44:Y44),X44:Y44,0)</f>
        <v>2</v>
      </c>
      <c r="AB44" s="17" t="n">
        <f aca="false">SQRT(($B44-AB$8)^2+($C44-AB$9)^2+($D44-AB$10)^2)</f>
        <v>2.81355738567807</v>
      </c>
      <c r="AC44" s="17" t="n">
        <f aca="false">SQRT(($B44-AC$8)^2+($C44-AC$9)^2+($D44-AC$10)^2)</f>
        <v>1.28035254880862</v>
      </c>
      <c r="AD44" s="63" t="n">
        <f aca="false">MATCH(MIN(AB44:AC44),AB44:AC44,0)</f>
        <v>2</v>
      </c>
      <c r="AF44" s="17" t="n">
        <f aca="false">SQRT(($B44-AF$8)^2+($C44-AF$9)^2+($D44-AF$10)^2)</f>
        <v>2.2212525091816</v>
      </c>
      <c r="AG44" s="17" t="n">
        <f aca="false">SQRT(($B44-AG$8)^2+($C44-AG$9)^2+($D44-AG$10)^2)</f>
        <v>1.37200560606739</v>
      </c>
      <c r="AH44" s="63" t="n">
        <f aca="false">MATCH(MIN(AF44:AG44),AF44:AG44,0)</f>
        <v>2</v>
      </c>
      <c r="AJ44" s="17" t="n">
        <f aca="false">SQRT(($B44-AJ$8)^2+($C44-AJ$9)^2+($D44-AJ$10)^2)</f>
        <v>1.62339473364011</v>
      </c>
      <c r="AK44" s="17" t="n">
        <f aca="false">SQRT(($B44-AK$8)^2+($C44-AK$9)^2+($D44-AK$10)^2)</f>
        <v>1.56941030518264</v>
      </c>
      <c r="AL44" s="63" t="n">
        <f aca="false">MATCH(MIN(AJ44:AK44),AJ44:AK44,0)</f>
        <v>2</v>
      </c>
      <c r="AN44" s="17" t="n">
        <f aca="false">SQRT(($B44-AN$8)^2+($C44-AN$9)^2+($D44-AN$10)^2)</f>
        <v>1.40219815611041</v>
      </c>
      <c r="AO44" s="17" t="n">
        <f aca="false">SQRT(($B44-AO$8)^2+($C44-AO$9)^2+($D44-AO$10)^2)</f>
        <v>1.67683632561032</v>
      </c>
      <c r="AP44" s="63" t="n">
        <f aca="false">MATCH(MIN(AN44:AO44),AN44:AO44,0)</f>
        <v>1</v>
      </c>
      <c r="AR44" s="17" t="n">
        <f aca="false">SQRT(($B44-AR$8)^2+($C44-AR$9)^2+($D44-AR$10)^2)</f>
        <v>1.27686123557139</v>
      </c>
      <c r="AS44" s="17" t="n">
        <f aca="false">SQRT(($B44-AS$8)^2+($C44-AS$9)^2+($D44-AS$10)^2)</f>
        <v>1.73181070862873</v>
      </c>
      <c r="AT44" s="63" t="n">
        <f aca="false">MATCH(MIN(AR44:AS44),AR44:AS44,0)</f>
        <v>1</v>
      </c>
      <c r="AV44" s="17" t="n">
        <f aca="false">SQRT(($B44-AV$8)^2+($C44-AV$9)^2+($D44-AV$10)^2)</f>
        <v>1.23972281030819</v>
      </c>
      <c r="AW44" s="17" t="n">
        <f aca="false">SQRT(($B44-AW$8)^2+($C44-AW$9)^2+($D44-AW$10)^2)</f>
        <v>1.74905509703313</v>
      </c>
      <c r="AX44" s="63" t="n">
        <f aca="false">MATCH(MIN(AV44:AW44),AV44:AW44,0)</f>
        <v>1</v>
      </c>
      <c r="AZ44" s="17" t="n">
        <f aca="false">SQRT(($B44-AZ$8)^2+($C44-AZ$9)^2+($D44-AZ$10)^2)</f>
        <v>1.20463997581994</v>
      </c>
      <c r="BA44" s="17" t="n">
        <f aca="false">SQRT(($B44-BA$8)^2+($C44-BA$9)^2+($D44-BA$10)^2)</f>
        <v>1.76541270052431</v>
      </c>
      <c r="BB44" s="63" t="n">
        <f aca="false">MATCH(MIN(AZ44:BA44),AZ44:BA44,0)</f>
        <v>1</v>
      </c>
      <c r="BD44" s="17" t="n">
        <f aca="false">SQRT(($B44-BD$8)^2+($C44-BD$9)^2+($D44-BD$10)^2)</f>
        <v>1.20463997581994</v>
      </c>
      <c r="BE44" s="17" t="n">
        <f aca="false">SQRT(($B44-BE$8)^2+($C44-BE$9)^2+($D44-BE$10)^2)</f>
        <v>1.76541270052431</v>
      </c>
      <c r="BF44" s="63" t="n">
        <f aca="false">MATCH(MIN(BD44:BE44),BD44:BE44,0)</f>
        <v>1</v>
      </c>
      <c r="BH44" s="17" t="n">
        <f aca="false">SQRT(($B44-BH$8)^2+($C44-BH$9)^2+($D44-BH$10)^2)</f>
        <v>1.20463997581994</v>
      </c>
      <c r="BI44" s="17" t="n">
        <f aca="false">SQRT(($B44-BI$8)^2+($C44-BI$9)^2+($D44-BI$10)^2)</f>
        <v>1.76541270052431</v>
      </c>
      <c r="BJ44" s="63" t="n">
        <f aca="false">MATCH(MIN(BH44:BI44),BH44:BI44,0)</f>
        <v>1</v>
      </c>
      <c r="BL44" s="17" t="n">
        <f aca="false">SQRT(($B44-BL$8)^2+($C44-BL$9)^2+($D44-BL$10)^2)</f>
        <v>1.20463997581994</v>
      </c>
      <c r="BM44" s="17" t="n">
        <f aca="false">SQRT(($B44-BM$8)^2+($C44-BM$9)^2+($D44-BM$10)^2)</f>
        <v>1.76541270052431</v>
      </c>
      <c r="BN44" s="63" t="n">
        <f aca="false">MATCH(MIN(BL44:BM44),BL44:BM44,0)</f>
        <v>1</v>
      </c>
      <c r="BP44" s="17" t="n">
        <f aca="false">SQRT(($B44-BP$8)^2+($C44-BP$9)^2+($D44-BP$10)^2)</f>
        <v>1.20463997581994</v>
      </c>
      <c r="BQ44" s="17" t="n">
        <f aca="false">SQRT(($B44-BQ$8)^2+($C44-BQ$9)^2+($D44-BQ$10)^2)</f>
        <v>1.76541270052431</v>
      </c>
      <c r="BR44" s="63" t="n">
        <f aca="false">MATCH(MIN(BP44:BQ44),BP44:BQ44,0)</f>
        <v>1</v>
      </c>
    </row>
    <row r="45" customFormat="false" ht="15" hidden="false" customHeight="false" outlineLevel="0" collapsed="false">
      <c r="A45" s="36" t="str">
        <f aca="false">KMeans_Data!A35</f>
        <v>Gujrat</v>
      </c>
      <c r="B45" s="17" t="n">
        <f aca="false">KMeans_Data!H35</f>
        <v>0.574589587542617</v>
      </c>
      <c r="C45" s="17" t="n">
        <f aca="false">KMeans_Data!I35</f>
        <v>-0.672650545388274</v>
      </c>
      <c r="D45" s="17" t="n">
        <f aca="false">KMeans_Data!J35</f>
        <v>-0.399845222909568</v>
      </c>
      <c r="E45" s="63" t="n">
        <f aca="false">BR45</f>
        <v>2</v>
      </c>
      <c r="F45" s="38" t="n">
        <f aca="false">($B45-INDEX($L$8:$M$8,E45))^2+($C45-INDEX($L$9:$M$9,E45))^2+($D45-INDEX($L$10:$M$10,E45))^2</f>
        <v>1.06998525582668</v>
      </c>
      <c r="G45" s="17" t="n">
        <f aca="false">IF(COUNTIF(Distance_Matrix!$E$8:$DQ$8,$E45)&lt;=1,0,SUMIF(Distance_Matrix!$E$8:$DQ$8,$E45,Distance_Matrix!$E$44:$DQ$44)/(COUNTIF(Distance_Matrix!$E$8:$DQ$8,$E45)-1))</f>
        <v>1.35442282767671</v>
      </c>
      <c r="H45" s="17" t="n">
        <f aca="false">MIN(IF(1=$E45,1E+099,IF(COUNTIF(Distance_Matrix!$E$8:$DQ$8,1)=0,1E+099,SUMIF(Distance_Matrix!$E$8:$DQ$8,1,Distance_Matrix!$E$44:$DQ$44)/COUNTIF(Distance_Matrix!$E$8:$DQ$8,1))),IF(2=$E45,1E+099,IF(COUNTIF(Distance_Matrix!$E$8:$DQ$8,2)=0,1E+099,SUMIF(Distance_Matrix!$E$8:$DQ$8,2,Distance_Matrix!$E$44:$DQ$44)/COUNTIF(Distance_Matrix!$E$8:$DQ$8,2))))</f>
        <v>2.57206947079104</v>
      </c>
      <c r="I45" s="17" t="n">
        <f aca="false">IF(COUNTIF(Distance_Matrix!$E$8:$DQ$8,$E45)&lt;=1,0,(H45-G45)/MAX(G45,H45))</f>
        <v>0.473411257721525</v>
      </c>
      <c r="X45" s="17" t="n">
        <f aca="false">SQRT(($B45-X$8)^2+($C45-X$9)^2+($D45-X$10)^2)</f>
        <v>6.54430428513413</v>
      </c>
      <c r="Y45" s="17" t="n">
        <f aca="false">SQRT(($B45-Y$8)^2+($C45-Y$9)^2+($D45-Y$10)^2)</f>
        <v>2.75711277150979</v>
      </c>
      <c r="Z45" s="63" t="n">
        <f aca="false">MATCH(MIN(X45:Y45),X45:Y45,0)</f>
        <v>2</v>
      </c>
      <c r="AB45" s="17" t="n">
        <f aca="false">SQRT(($B45-AB$8)^2+($C45-AB$9)^2+($D45-AB$10)^2)</f>
        <v>4.02790205114975</v>
      </c>
      <c r="AC45" s="17" t="n">
        <f aca="false">SQRT(($B45-AC$8)^2+($C45-AC$9)^2+($D45-AC$10)^2)</f>
        <v>0.912343683708131</v>
      </c>
      <c r="AD45" s="63" t="n">
        <f aca="false">MATCH(MIN(AB45:AC45),AB45:AC45,0)</f>
        <v>2</v>
      </c>
      <c r="AF45" s="17" t="n">
        <f aca="false">SQRT(($B45-AF$8)^2+($C45-AF$9)^2+($D45-AF$10)^2)</f>
        <v>3.43987520059372</v>
      </c>
      <c r="AG45" s="17" t="n">
        <f aca="false">SQRT(($B45-AG$8)^2+($C45-AG$9)^2+($D45-AG$10)^2)</f>
        <v>0.914267454142774</v>
      </c>
      <c r="AH45" s="63" t="n">
        <f aca="false">MATCH(MIN(AF45:AG45),AF45:AG45,0)</f>
        <v>2</v>
      </c>
      <c r="AJ45" s="17" t="n">
        <f aca="false">SQRT(($B45-AJ$8)^2+($C45-AJ$9)^2+($D45-AJ$10)^2)</f>
        <v>2.87930970239972</v>
      </c>
      <c r="AK45" s="17" t="n">
        <f aca="false">SQRT(($B45-AK$8)^2+($C45-AK$9)^2+($D45-AK$10)^2)</f>
        <v>0.943872368217463</v>
      </c>
      <c r="AL45" s="63" t="n">
        <f aca="false">MATCH(MIN(AJ45:AK45),AJ45:AK45,0)</f>
        <v>2</v>
      </c>
      <c r="AN45" s="17" t="n">
        <f aca="false">SQRT(($B45-AN$8)^2+($C45-AN$9)^2+($D45-AN$10)^2)</f>
        <v>2.67414393995318</v>
      </c>
      <c r="AO45" s="17" t="n">
        <f aca="false">SQRT(($B45-AO$8)^2+($C45-AO$9)^2+($D45-AO$10)^2)</f>
        <v>0.993169153311814</v>
      </c>
      <c r="AP45" s="63" t="n">
        <f aca="false">MATCH(MIN(AN45:AO45),AN45:AO45,0)</f>
        <v>2</v>
      </c>
      <c r="AR45" s="17" t="n">
        <f aca="false">SQRT(($B45-AR$8)^2+($C45-AR$9)^2+($D45-AR$10)^2)</f>
        <v>2.55256291808276</v>
      </c>
      <c r="AS45" s="17" t="n">
        <f aca="false">SQRT(($B45-AS$8)^2+($C45-AS$9)^2+($D45-AS$10)^2)</f>
        <v>1.02036208047966</v>
      </c>
      <c r="AT45" s="63" t="n">
        <f aca="false">MATCH(MIN(AR45:AS45),AR45:AS45,0)</f>
        <v>2</v>
      </c>
      <c r="AV45" s="17" t="n">
        <f aca="false">SQRT(($B45-AV$8)^2+($C45-AV$9)^2+($D45-AV$10)^2)</f>
        <v>2.51320430961524</v>
      </c>
      <c r="AW45" s="17" t="n">
        <f aca="false">SQRT(($B45-AW$8)^2+($C45-AW$9)^2+($D45-AW$10)^2)</f>
        <v>1.03058446425732</v>
      </c>
      <c r="AX45" s="63" t="n">
        <f aca="false">MATCH(MIN(AV45:AW45),AV45:AW45,0)</f>
        <v>2</v>
      </c>
      <c r="AZ45" s="17" t="n">
        <f aca="false">SQRT(($B45-AZ$8)^2+($C45-AZ$9)^2+($D45-AZ$10)^2)</f>
        <v>2.48053482552671</v>
      </c>
      <c r="BA45" s="17" t="n">
        <f aca="false">SQRT(($B45-BA$8)^2+($C45-BA$9)^2+($D45-BA$10)^2)</f>
        <v>1.03440091638913</v>
      </c>
      <c r="BB45" s="63" t="n">
        <f aca="false">MATCH(MIN(AZ45:BA45),AZ45:BA45,0)</f>
        <v>2</v>
      </c>
      <c r="BD45" s="17" t="n">
        <f aca="false">SQRT(($B45-BD$8)^2+($C45-BD$9)^2+($D45-BD$10)^2)</f>
        <v>2.48053482552671</v>
      </c>
      <c r="BE45" s="17" t="n">
        <f aca="false">SQRT(($B45-BE$8)^2+($C45-BE$9)^2+($D45-BE$10)^2)</f>
        <v>1.03440091638913</v>
      </c>
      <c r="BF45" s="63" t="n">
        <f aca="false">MATCH(MIN(BD45:BE45),BD45:BE45,0)</f>
        <v>2</v>
      </c>
      <c r="BH45" s="17" t="n">
        <f aca="false">SQRT(($B45-BH$8)^2+($C45-BH$9)^2+($D45-BH$10)^2)</f>
        <v>2.48053482552671</v>
      </c>
      <c r="BI45" s="17" t="n">
        <f aca="false">SQRT(($B45-BI$8)^2+($C45-BI$9)^2+($D45-BI$10)^2)</f>
        <v>1.03440091638913</v>
      </c>
      <c r="BJ45" s="63" t="n">
        <f aca="false">MATCH(MIN(BH45:BI45),BH45:BI45,0)</f>
        <v>2</v>
      </c>
      <c r="BL45" s="17" t="n">
        <f aca="false">SQRT(($B45-BL$8)^2+($C45-BL$9)^2+($D45-BL$10)^2)</f>
        <v>2.48053482552671</v>
      </c>
      <c r="BM45" s="17" t="n">
        <f aca="false">SQRT(($B45-BM$8)^2+($C45-BM$9)^2+($D45-BM$10)^2)</f>
        <v>1.03440091638913</v>
      </c>
      <c r="BN45" s="63" t="n">
        <f aca="false">MATCH(MIN(BL45:BM45),BL45:BM45,0)</f>
        <v>2</v>
      </c>
      <c r="BP45" s="17" t="n">
        <f aca="false">SQRT(($B45-BP$8)^2+($C45-BP$9)^2+($D45-BP$10)^2)</f>
        <v>2.48053482552671</v>
      </c>
      <c r="BQ45" s="17" t="n">
        <f aca="false">SQRT(($B45-BQ$8)^2+($C45-BQ$9)^2+($D45-BQ$10)^2)</f>
        <v>1.03440091638913</v>
      </c>
      <c r="BR45" s="63" t="n">
        <f aca="false">MATCH(MIN(BP45:BQ45),BP45:BQ45,0)</f>
        <v>2</v>
      </c>
    </row>
    <row r="46" customFormat="false" ht="15" hidden="false" customHeight="false" outlineLevel="0" collapsed="false">
      <c r="A46" s="36" t="str">
        <f aca="false">KMeans_Data!A36</f>
        <v>Dera Ismail Khan</v>
      </c>
      <c r="B46" s="17" t="n">
        <f aca="false">KMeans_Data!H36</f>
        <v>0.568203372235645</v>
      </c>
      <c r="C46" s="17" t="n">
        <f aca="false">KMeans_Data!I36</f>
        <v>0.547911385844501</v>
      </c>
      <c r="D46" s="17" t="n">
        <f aca="false">KMeans_Data!J36</f>
        <v>1.11347799131462</v>
      </c>
      <c r="E46" s="63" t="n">
        <f aca="false">BR46</f>
        <v>1</v>
      </c>
      <c r="F46" s="38" t="n">
        <f aca="false">($B46-INDEX($L$8:$M$8,E46))^2+($C46-INDEX($L$9:$M$9,E46))^2+($D46-INDEX($L$10:$M$10,E46))^2</f>
        <v>0.664945073045002</v>
      </c>
      <c r="G46" s="17" t="n">
        <f aca="false">IF(COUNTIF(Distance_Matrix!$E$8:$DQ$8,$E46)&lt;=1,0,SUMIF(Distance_Matrix!$E$8:$DQ$8,$E46,Distance_Matrix!$E$45:$DQ$45)/(COUNTIF(Distance_Matrix!$E$8:$DQ$8,$E46)-1))</f>
        <v>1.20987229085172</v>
      </c>
      <c r="H46" s="17" t="n">
        <f aca="false">MIN(IF(1=$E46,1E+099,IF(COUNTIF(Distance_Matrix!$E$8:$DQ$8,1)=0,1E+099,SUMIF(Distance_Matrix!$E$8:$DQ$8,1,Distance_Matrix!$E$45:$DQ$45)/COUNTIF(Distance_Matrix!$E$8:$DQ$8,1))),IF(2=$E46,1E+099,IF(COUNTIF(Distance_Matrix!$E$8:$DQ$8,2)=0,1E+099,SUMIF(Distance_Matrix!$E$8:$DQ$8,2,Distance_Matrix!$E$45:$DQ$45)/COUNTIF(Distance_Matrix!$E$8:$DQ$8,2))))</f>
        <v>2.28074208612864</v>
      </c>
      <c r="I46" s="17" t="n">
        <f aca="false">IF(COUNTIF(Distance_Matrix!$E$8:$DQ$8,$E46)&lt;=1,0,(H46-G46)/MAX(G46,H46))</f>
        <v>0.469526914853679</v>
      </c>
      <c r="X46" s="17" t="n">
        <f aca="false">SQRT(($B46-X$8)^2+($C46-X$9)^2+($D46-X$10)^2)</f>
        <v>4.90774869404622</v>
      </c>
      <c r="Y46" s="17" t="n">
        <f aca="false">SQRT(($B46-Y$8)^2+($C46-Y$9)^2+($D46-Y$10)^2)</f>
        <v>3.68849529478745</v>
      </c>
      <c r="Z46" s="63" t="n">
        <f aca="false">MATCH(MIN(X46:Y46),X46:Y46,0)</f>
        <v>2</v>
      </c>
      <c r="AB46" s="17" t="n">
        <f aca="false">SQRT(($B46-AB$8)^2+($C46-AB$9)^2+($D46-AB$10)^2)</f>
        <v>2.40572163952563</v>
      </c>
      <c r="AC46" s="17" t="n">
        <f aca="false">SQRT(($B46-AC$8)^2+($C46-AC$9)^2+($D46-AC$10)^2)</f>
        <v>1.67754912475124</v>
      </c>
      <c r="AD46" s="63" t="n">
        <f aca="false">MATCH(MIN(AB46:AC46),AB46:AC46,0)</f>
        <v>2</v>
      </c>
      <c r="AF46" s="17" t="n">
        <f aca="false">SQRT(($B46-AF$8)^2+($C46-AF$9)^2+($D46-AF$10)^2)</f>
        <v>1.81893820080655</v>
      </c>
      <c r="AG46" s="17" t="n">
        <f aca="false">SQRT(($B46-AG$8)^2+($C46-AG$9)^2+($D46-AG$10)^2)</f>
        <v>1.77347274829984</v>
      </c>
      <c r="AH46" s="63" t="n">
        <f aca="false">MATCH(MIN(AF46:AG46),AF46:AG46,0)</f>
        <v>2</v>
      </c>
      <c r="AJ46" s="17" t="n">
        <f aca="false">SQRT(($B46-AJ$8)^2+($C46-AJ$9)^2+($D46-AJ$10)^2)</f>
        <v>1.21711674185025</v>
      </c>
      <c r="AK46" s="17" t="n">
        <f aca="false">SQRT(($B46-AK$8)^2+($C46-AK$9)^2+($D46-AK$10)^2)</f>
        <v>1.97780139360237</v>
      </c>
      <c r="AL46" s="63" t="n">
        <f aca="false">MATCH(MIN(AJ46:AK46),AJ46:AK46,0)</f>
        <v>1</v>
      </c>
      <c r="AN46" s="17" t="n">
        <f aca="false">SQRT(($B46-AN$8)^2+($C46-AN$9)^2+($D46-AN$10)^2)</f>
        <v>1.00171973584796</v>
      </c>
      <c r="AO46" s="17" t="n">
        <f aca="false">SQRT(($B46-AO$8)^2+($C46-AO$9)^2+($D46-AO$10)^2)</f>
        <v>2.08423534780244</v>
      </c>
      <c r="AP46" s="63" t="n">
        <f aca="false">MATCH(MIN(AN46:AO46),AN46:AO46,0)</f>
        <v>1</v>
      </c>
      <c r="AR46" s="17" t="n">
        <f aca="false">SQRT(($B46-AR$8)^2+($C46-AR$9)^2+($D46-AR$10)^2)</f>
        <v>0.883035630294973</v>
      </c>
      <c r="AS46" s="17" t="n">
        <f aca="false">SQRT(($B46-AS$8)^2+($C46-AS$9)^2+($D46-AS$10)^2)</f>
        <v>2.13927425272562</v>
      </c>
      <c r="AT46" s="63" t="n">
        <f aca="false">MATCH(MIN(AR46:AS46),AR46:AS46,0)</f>
        <v>1</v>
      </c>
      <c r="AV46" s="17" t="n">
        <f aca="false">SQRT(($B46-AV$8)^2+($C46-AV$9)^2+($D46-AV$10)^2)</f>
        <v>0.850664264340576</v>
      </c>
      <c r="AW46" s="17" t="n">
        <f aca="false">SQRT(($B46-AW$8)^2+($C46-AW$9)^2+($D46-AW$10)^2)</f>
        <v>2.1564963086415</v>
      </c>
      <c r="AX46" s="63" t="n">
        <f aca="false">MATCH(MIN(AV46:AW46),AV46:AW46,0)</f>
        <v>1</v>
      </c>
      <c r="AZ46" s="17" t="n">
        <f aca="false">SQRT(($B46-AZ$8)^2+($C46-AZ$9)^2+($D46-AZ$10)^2)</f>
        <v>0.815441642942646</v>
      </c>
      <c r="BA46" s="17" t="n">
        <f aca="false">SQRT(($B46-BA$8)^2+($C46-BA$9)^2+($D46-BA$10)^2)</f>
        <v>2.17387535608943</v>
      </c>
      <c r="BB46" s="63" t="n">
        <f aca="false">MATCH(MIN(AZ46:BA46),AZ46:BA46,0)</f>
        <v>1</v>
      </c>
      <c r="BD46" s="17" t="n">
        <f aca="false">SQRT(($B46-BD$8)^2+($C46-BD$9)^2+($D46-BD$10)^2)</f>
        <v>0.815441642942646</v>
      </c>
      <c r="BE46" s="17" t="n">
        <f aca="false">SQRT(($B46-BE$8)^2+($C46-BE$9)^2+($D46-BE$10)^2)</f>
        <v>2.17387535608943</v>
      </c>
      <c r="BF46" s="63" t="n">
        <f aca="false">MATCH(MIN(BD46:BE46),BD46:BE46,0)</f>
        <v>1</v>
      </c>
      <c r="BH46" s="17" t="n">
        <f aca="false">SQRT(($B46-BH$8)^2+($C46-BH$9)^2+($D46-BH$10)^2)</f>
        <v>0.815441642942646</v>
      </c>
      <c r="BI46" s="17" t="n">
        <f aca="false">SQRT(($B46-BI$8)^2+($C46-BI$9)^2+($D46-BI$10)^2)</f>
        <v>2.17387535608943</v>
      </c>
      <c r="BJ46" s="63" t="n">
        <f aca="false">MATCH(MIN(BH46:BI46),BH46:BI46,0)</f>
        <v>1</v>
      </c>
      <c r="BL46" s="17" t="n">
        <f aca="false">SQRT(($B46-BL$8)^2+($C46-BL$9)^2+($D46-BL$10)^2)</f>
        <v>0.815441642942646</v>
      </c>
      <c r="BM46" s="17" t="n">
        <f aca="false">SQRT(($B46-BM$8)^2+($C46-BM$9)^2+($D46-BM$10)^2)</f>
        <v>2.17387535608943</v>
      </c>
      <c r="BN46" s="63" t="n">
        <f aca="false">MATCH(MIN(BL46:BM46),BL46:BM46,0)</f>
        <v>1</v>
      </c>
      <c r="BP46" s="17" t="n">
        <f aca="false">SQRT(($B46-BP$8)^2+($C46-BP$9)^2+($D46-BP$10)^2)</f>
        <v>0.815441642942646</v>
      </c>
      <c r="BQ46" s="17" t="n">
        <f aca="false">SQRT(($B46-BQ$8)^2+($C46-BQ$9)^2+($D46-BQ$10)^2)</f>
        <v>2.17387535608943</v>
      </c>
      <c r="BR46" s="63" t="n">
        <f aca="false">MATCH(MIN(BP46:BQ46),BP46:BQ46,0)</f>
        <v>1</v>
      </c>
    </row>
    <row r="47" customFormat="false" ht="15" hidden="false" customHeight="false" outlineLevel="0" collapsed="false">
      <c r="A47" s="36" t="str">
        <f aca="false">KMeans_Data!A37</f>
        <v>Karak</v>
      </c>
      <c r="B47" s="17" t="n">
        <f aca="false">KMeans_Data!H37</f>
        <v>0.531605743068138</v>
      </c>
      <c r="C47" s="17" t="n">
        <f aca="false">KMeans_Data!I37</f>
        <v>0.378684277529216</v>
      </c>
      <c r="D47" s="17" t="n">
        <f aca="false">KMeans_Data!J37</f>
        <v>0.286716848591577</v>
      </c>
      <c r="E47" s="63" t="n">
        <f aca="false">BR47</f>
        <v>1</v>
      </c>
      <c r="F47" s="38" t="n">
        <f aca="false">($B47-INDEX($L$8:$M$8,E47))^2+($C47-INDEX($L$9:$M$9,E47))^2+($D47-INDEX($L$10:$M$10,E47))^2</f>
        <v>1.68888704730283</v>
      </c>
      <c r="G47" s="17" t="n">
        <f aca="false">IF(COUNTIF(Distance_Matrix!$E$8:$DQ$8,$E47)&lt;=1,0,SUMIF(Distance_Matrix!$E$8:$DQ$8,$E47,Distance_Matrix!$E$46:$DQ$46)/(COUNTIF(Distance_Matrix!$E$8:$DQ$8,$E47)-1))</f>
        <v>1.5074683413893</v>
      </c>
      <c r="H47" s="17" t="n">
        <f aca="false">MIN(IF(1=$E47,1E+099,IF(COUNTIF(Distance_Matrix!$E$8:$DQ$8,1)=0,1E+099,SUMIF(Distance_Matrix!$E$8:$DQ$8,1,Distance_Matrix!$E$46:$DQ$46)/COUNTIF(Distance_Matrix!$E$8:$DQ$8,1))),IF(2=$E47,1E+099,IF(COUNTIF(Distance_Matrix!$E$8:$DQ$8,2)=0,1E+099,SUMIF(Distance_Matrix!$E$8:$DQ$8,2,Distance_Matrix!$E$46:$DQ$46)/COUNTIF(Distance_Matrix!$E$8:$DQ$8,2))))</f>
        <v>1.7182527005117</v>
      </c>
      <c r="I47" s="17" t="n">
        <f aca="false">IF(COUNTIF(Distance_Matrix!$E$8:$DQ$8,$E47)&lt;=1,0,(H47-G47)/MAX(G47,H47))</f>
        <v>0.122673666719467</v>
      </c>
      <c r="X47" s="17" t="n">
        <f aca="false">SQRT(($B47-X$8)^2+($C47-X$9)^2+($D47-X$10)^2)</f>
        <v>5.45127311245764</v>
      </c>
      <c r="Y47" s="17" t="n">
        <f aca="false">SQRT(($B47-Y$8)^2+($C47-Y$9)^2+($D47-Y$10)^2)</f>
        <v>3.1584931364728</v>
      </c>
      <c r="Z47" s="63" t="n">
        <f aca="false">MATCH(MIN(X47:Y47),X47:Y47,0)</f>
        <v>2</v>
      </c>
      <c r="AB47" s="17" t="n">
        <f aca="false">SQRT(($B47-AB$8)^2+($C47-AB$9)^2+($D47-AB$10)^2)</f>
        <v>2.90823907040895</v>
      </c>
      <c r="AC47" s="17" t="n">
        <f aca="false">SQRT(($B47-AC$8)^2+($C47-AC$9)^2+($D47-AC$10)^2)</f>
        <v>1.04082510494853</v>
      </c>
      <c r="AD47" s="63" t="n">
        <f aca="false">MATCH(MIN(AB47:AC47),AB47:AC47,0)</f>
        <v>2</v>
      </c>
      <c r="AF47" s="17" t="n">
        <f aca="false">SQRT(($B47-AF$8)^2+($C47-AF$9)^2+($D47-AF$10)^2)</f>
        <v>2.29736035942886</v>
      </c>
      <c r="AG47" s="17" t="n">
        <f aca="false">SQRT(($B47-AG$8)^2+($C47-AG$9)^2+($D47-AG$10)^2)</f>
        <v>1.14091993505387</v>
      </c>
      <c r="AH47" s="63" t="n">
        <f aca="false">MATCH(MIN(AF47:AG47),AF47:AG47,0)</f>
        <v>2</v>
      </c>
      <c r="AJ47" s="17" t="n">
        <f aca="false">SQRT(($B47-AJ$8)^2+($C47-AJ$9)^2+($D47-AJ$10)^2)</f>
        <v>1.70430407655001</v>
      </c>
      <c r="AK47" s="17" t="n">
        <f aca="false">SQRT(($B47-AK$8)^2+($C47-AK$9)^2+($D47-AK$10)^2)</f>
        <v>1.34243634318096</v>
      </c>
      <c r="AL47" s="63" t="n">
        <f aca="false">MATCH(MIN(AJ47:AK47),AJ47:AK47,0)</f>
        <v>2</v>
      </c>
      <c r="AN47" s="17" t="n">
        <f aca="false">SQRT(($B47-AN$8)^2+($C47-AN$9)^2+($D47-AN$10)^2)</f>
        <v>1.50220051497538</v>
      </c>
      <c r="AO47" s="17" t="n">
        <f aca="false">SQRT(($B47-AO$8)^2+($C47-AO$9)^2+($D47-AO$10)^2)</f>
        <v>1.445716947944</v>
      </c>
      <c r="AP47" s="63" t="n">
        <f aca="false">MATCH(MIN(AN47:AO47),AN47:AO47,0)</f>
        <v>2</v>
      </c>
      <c r="AR47" s="17" t="n">
        <f aca="false">SQRT(($B47-AR$8)^2+($C47-AR$9)^2+($D47-AR$10)^2)</f>
        <v>1.37758151234295</v>
      </c>
      <c r="AS47" s="17" t="n">
        <f aca="false">SQRT(($B47-AS$8)^2+($C47-AS$9)^2+($D47-AS$10)^2)</f>
        <v>1.50013651326107</v>
      </c>
      <c r="AT47" s="63" t="n">
        <f aca="false">MATCH(MIN(AR47:AS47),AR47:AS47,0)</f>
        <v>1</v>
      </c>
      <c r="AV47" s="17" t="n">
        <f aca="false">SQRT(($B47-AV$8)^2+($C47-AV$9)^2+($D47-AV$10)^2)</f>
        <v>1.33706440903874</v>
      </c>
      <c r="AW47" s="17" t="n">
        <f aca="false">SQRT(($B47-AW$8)^2+($C47-AW$9)^2+($D47-AW$10)^2)</f>
        <v>1.51821044715579</v>
      </c>
      <c r="AX47" s="63" t="n">
        <f aca="false">MATCH(MIN(AV47:AW47),AV47:AW47,0)</f>
        <v>1</v>
      </c>
      <c r="AZ47" s="17" t="n">
        <f aca="false">SQRT(($B47-AZ$8)^2+($C47-AZ$9)^2+($D47-AZ$10)^2)</f>
        <v>1.29957187077238</v>
      </c>
      <c r="BA47" s="17" t="n">
        <f aca="false">SQRT(($B47-BA$8)^2+($C47-BA$9)^2+($D47-BA$10)^2)</f>
        <v>1.53485681828861</v>
      </c>
      <c r="BB47" s="63" t="n">
        <f aca="false">MATCH(MIN(AZ47:BA47),AZ47:BA47,0)</f>
        <v>1</v>
      </c>
      <c r="BD47" s="17" t="n">
        <f aca="false">SQRT(($B47-BD$8)^2+($C47-BD$9)^2+($D47-BD$10)^2)</f>
        <v>1.29957187077238</v>
      </c>
      <c r="BE47" s="17" t="n">
        <f aca="false">SQRT(($B47-BE$8)^2+($C47-BE$9)^2+($D47-BE$10)^2)</f>
        <v>1.53485681828861</v>
      </c>
      <c r="BF47" s="63" t="n">
        <f aca="false">MATCH(MIN(BD47:BE47),BD47:BE47,0)</f>
        <v>1</v>
      </c>
      <c r="BH47" s="17" t="n">
        <f aca="false">SQRT(($B47-BH$8)^2+($C47-BH$9)^2+($D47-BH$10)^2)</f>
        <v>1.29957187077238</v>
      </c>
      <c r="BI47" s="17" t="n">
        <f aca="false">SQRT(($B47-BI$8)^2+($C47-BI$9)^2+($D47-BI$10)^2)</f>
        <v>1.53485681828861</v>
      </c>
      <c r="BJ47" s="63" t="n">
        <f aca="false">MATCH(MIN(BH47:BI47),BH47:BI47,0)</f>
        <v>1</v>
      </c>
      <c r="BL47" s="17" t="n">
        <f aca="false">SQRT(($B47-BL$8)^2+($C47-BL$9)^2+($D47-BL$10)^2)</f>
        <v>1.29957187077238</v>
      </c>
      <c r="BM47" s="17" t="n">
        <f aca="false">SQRT(($B47-BM$8)^2+($C47-BM$9)^2+($D47-BM$10)^2)</f>
        <v>1.53485681828861</v>
      </c>
      <c r="BN47" s="63" t="n">
        <f aca="false">MATCH(MIN(BL47:BM47),BL47:BM47,0)</f>
        <v>1</v>
      </c>
      <c r="BP47" s="17" t="n">
        <f aca="false">SQRT(($B47-BP$8)^2+($C47-BP$9)^2+($D47-BP$10)^2)</f>
        <v>1.29957187077238</v>
      </c>
      <c r="BQ47" s="17" t="n">
        <f aca="false">SQRT(($B47-BQ$8)^2+($C47-BQ$9)^2+($D47-BQ$10)^2)</f>
        <v>1.53485681828861</v>
      </c>
      <c r="BR47" s="63" t="n">
        <f aca="false">MATCH(MIN(BP47:BQ47),BP47:BQ47,0)</f>
        <v>1</v>
      </c>
    </row>
    <row r="48" customFormat="false" ht="15" hidden="false" customHeight="false" outlineLevel="0" collapsed="false">
      <c r="A48" s="36" t="str">
        <f aca="false">KMeans_Data!A38</f>
        <v>Shangla</v>
      </c>
      <c r="B48" s="17" t="n">
        <f aca="false">KMeans_Data!H38</f>
        <v>0.484749830332174</v>
      </c>
      <c r="C48" s="17" t="n">
        <f aca="false">KMeans_Data!I38</f>
        <v>-0.146983133929529</v>
      </c>
      <c r="D48" s="17" t="n">
        <f aca="false">KMeans_Data!J38</f>
        <v>0.552017036398812</v>
      </c>
      <c r="E48" s="63" t="n">
        <f aca="false">BR48</f>
        <v>2</v>
      </c>
      <c r="F48" s="38" t="n">
        <f aca="false">($B48-INDEX($L$8:$M$8,E48))^2+($C48-INDEX($L$9:$M$9,E48))^2+($D48-INDEX($L$10:$M$10,E48))^2</f>
        <v>2.08267013694703</v>
      </c>
      <c r="G48" s="17" t="n">
        <f aca="false">IF(COUNTIF(Distance_Matrix!$E$8:$DQ$8,$E48)&lt;=1,0,SUMIF(Distance_Matrix!$E$8:$DQ$8,$E48,Distance_Matrix!$E$47:$DQ$47)/(COUNTIF(Distance_Matrix!$E$8:$DQ$8,$E48)-1))</f>
        <v>1.62655585969231</v>
      </c>
      <c r="H48" s="17" t="n">
        <f aca="false">MIN(IF(1=$E48,1E+099,IF(COUNTIF(Distance_Matrix!$E$8:$DQ$8,1)=0,1E+099,SUMIF(Distance_Matrix!$E$8:$DQ$8,1,Distance_Matrix!$E$47:$DQ$47)/COUNTIF(Distance_Matrix!$E$8:$DQ$8,1))),IF(2=$E48,1E+099,IF(COUNTIF(Distance_Matrix!$E$8:$DQ$8,2)=0,1E+099,SUMIF(Distance_Matrix!$E$8:$DQ$8,2,Distance_Matrix!$E$47:$DQ$47)/COUNTIF(Distance_Matrix!$E$8:$DQ$8,2))))</f>
        <v>1.70127836916268</v>
      </c>
      <c r="I48" s="17" t="n">
        <f aca="false">IF(COUNTIF(Distance_Matrix!$E$8:$DQ$8,$E48)&lt;=1,0,(H48-G48)/MAX(G48,H48))</f>
        <v>0.043921389247512</v>
      </c>
      <c r="X48" s="17" t="n">
        <f aca="false">SQRT(($B48-X$8)^2+($C48-X$9)^2+($D48-X$10)^2)</f>
        <v>5.70934419366739</v>
      </c>
      <c r="Y48" s="17" t="n">
        <f aca="false">SQRT(($B48-Y$8)^2+($C48-Y$9)^2+($D48-Y$10)^2)</f>
        <v>3.12009252355725</v>
      </c>
      <c r="Z48" s="63" t="n">
        <f aca="false">MATCH(MIN(X48:Y48),X48:Y48,0)</f>
        <v>2</v>
      </c>
      <c r="AB48" s="17" t="n">
        <f aca="false">SQRT(($B48-AB$8)^2+($C48-AB$9)^2+($D48-AB$10)^2)</f>
        <v>3.18991022718568</v>
      </c>
      <c r="AC48" s="17" t="n">
        <f aca="false">SQRT(($B48-AC$8)^2+($C48-AC$9)^2+($D48-AC$10)^2)</f>
        <v>0.990376316845638</v>
      </c>
      <c r="AD48" s="63" t="n">
        <f aca="false">MATCH(MIN(AB48:AC48),AB48:AC48,0)</f>
        <v>2</v>
      </c>
      <c r="AF48" s="17" t="n">
        <f aca="false">SQRT(($B48-AF$8)^2+($C48-AF$9)^2+($D48-AF$10)^2)</f>
        <v>2.59695401461458</v>
      </c>
      <c r="AG48" s="17" t="n">
        <f aca="false">SQRT(($B48-AG$8)^2+($C48-AG$9)^2+($D48-AG$10)^2)</f>
        <v>1.07096669053461</v>
      </c>
      <c r="AH48" s="63" t="n">
        <f aca="false">MATCH(MIN(AF48:AG48),AF48:AG48,0)</f>
        <v>2</v>
      </c>
      <c r="AJ48" s="17" t="n">
        <f aca="false">SQRT(($B48-AJ$8)^2+($C48-AJ$9)^2+($D48-AJ$10)^2)</f>
        <v>2.00233791512013</v>
      </c>
      <c r="AK48" s="17" t="n">
        <f aca="false">SQRT(($B48-AK$8)^2+($C48-AK$9)^2+($D48-AK$10)^2)</f>
        <v>1.25278426196373</v>
      </c>
      <c r="AL48" s="63" t="n">
        <f aca="false">MATCH(MIN(AJ48:AK48),AJ48:AK48,0)</f>
        <v>2</v>
      </c>
      <c r="AN48" s="17" t="n">
        <f aca="false">SQRT(($B48-AN$8)^2+($C48-AN$9)^2+($D48-AN$10)^2)</f>
        <v>1.78216633660454</v>
      </c>
      <c r="AO48" s="17" t="n">
        <f aca="false">SQRT(($B48-AO$8)^2+($C48-AO$9)^2+($D48-AO$10)^2)</f>
        <v>1.35809801553326</v>
      </c>
      <c r="AP48" s="63" t="n">
        <f aca="false">MATCH(MIN(AN48:AO48),AN48:AO48,0)</f>
        <v>2</v>
      </c>
      <c r="AR48" s="17" t="n">
        <f aca="false">SQRT(($B48-AR$8)^2+($C48-AR$9)^2+($D48-AR$10)^2)</f>
        <v>1.65624814689428</v>
      </c>
      <c r="AS48" s="17" t="n">
        <f aca="false">SQRT(($B48-AS$8)^2+($C48-AS$9)^2+($D48-AS$10)^2)</f>
        <v>1.41146483215109</v>
      </c>
      <c r="AT48" s="63" t="n">
        <f aca="false">MATCH(MIN(AR48:AS48),AR48:AS48,0)</f>
        <v>2</v>
      </c>
      <c r="AV48" s="17" t="n">
        <f aca="false">SQRT(($B48-AV$8)^2+($C48-AV$9)^2+($D48-AV$10)^2)</f>
        <v>1.61819800084547</v>
      </c>
      <c r="AW48" s="17" t="n">
        <f aca="false">SQRT(($B48-AW$8)^2+($C48-AW$9)^2+($D48-AW$10)^2)</f>
        <v>1.42810088197222</v>
      </c>
      <c r="AX48" s="63" t="n">
        <f aca="false">MATCH(MIN(AV48:AW48),AV48:AW48,0)</f>
        <v>2</v>
      </c>
      <c r="AZ48" s="17" t="n">
        <f aca="false">SQRT(($B48-AZ$8)^2+($C48-AZ$9)^2+($D48-AZ$10)^2)</f>
        <v>1.58311414305938</v>
      </c>
      <c r="BA48" s="17" t="n">
        <f aca="false">SQRT(($B48-BA$8)^2+($C48-BA$9)^2+($D48-BA$10)^2)</f>
        <v>1.44314591672049</v>
      </c>
      <c r="BB48" s="63" t="n">
        <f aca="false">MATCH(MIN(AZ48:BA48),AZ48:BA48,0)</f>
        <v>2</v>
      </c>
      <c r="BD48" s="17" t="n">
        <f aca="false">SQRT(($B48-BD$8)^2+($C48-BD$9)^2+($D48-BD$10)^2)</f>
        <v>1.58311414305938</v>
      </c>
      <c r="BE48" s="17" t="n">
        <f aca="false">SQRT(($B48-BE$8)^2+($C48-BE$9)^2+($D48-BE$10)^2)</f>
        <v>1.44314591672049</v>
      </c>
      <c r="BF48" s="63" t="n">
        <f aca="false">MATCH(MIN(BD48:BE48),BD48:BE48,0)</f>
        <v>2</v>
      </c>
      <c r="BH48" s="17" t="n">
        <f aca="false">SQRT(($B48-BH$8)^2+($C48-BH$9)^2+($D48-BH$10)^2)</f>
        <v>1.58311414305938</v>
      </c>
      <c r="BI48" s="17" t="n">
        <f aca="false">SQRT(($B48-BI$8)^2+($C48-BI$9)^2+($D48-BI$10)^2)</f>
        <v>1.44314591672049</v>
      </c>
      <c r="BJ48" s="63" t="n">
        <f aca="false">MATCH(MIN(BH48:BI48),BH48:BI48,0)</f>
        <v>2</v>
      </c>
      <c r="BL48" s="17" t="n">
        <f aca="false">SQRT(($B48-BL$8)^2+($C48-BL$9)^2+($D48-BL$10)^2)</f>
        <v>1.58311414305938</v>
      </c>
      <c r="BM48" s="17" t="n">
        <f aca="false">SQRT(($B48-BM$8)^2+($C48-BM$9)^2+($D48-BM$10)^2)</f>
        <v>1.44314591672049</v>
      </c>
      <c r="BN48" s="63" t="n">
        <f aca="false">MATCH(MIN(BL48:BM48),BL48:BM48,0)</f>
        <v>2</v>
      </c>
      <c r="BP48" s="17" t="n">
        <f aca="false">SQRT(($B48-BP$8)^2+($C48-BP$9)^2+($D48-BP$10)^2)</f>
        <v>1.58311414305938</v>
      </c>
      <c r="BQ48" s="17" t="n">
        <f aca="false">SQRT(($B48-BQ$8)^2+($C48-BQ$9)^2+($D48-BQ$10)^2)</f>
        <v>1.44314591672049</v>
      </c>
      <c r="BR48" s="63" t="n">
        <f aca="false">MATCH(MIN(BP48:BQ48),BP48:BQ48,0)</f>
        <v>2</v>
      </c>
    </row>
    <row r="49" customFormat="false" ht="15" hidden="false" customHeight="false" outlineLevel="0" collapsed="false">
      <c r="A49" s="36" t="str">
        <f aca="false">KMeans_Data!A39</f>
        <v>Mansehra</v>
      </c>
      <c r="B49" s="17" t="n">
        <f aca="false">KMeans_Data!H39</f>
        <v>0.484749830332174</v>
      </c>
      <c r="C49" s="17" t="n">
        <f aca="false">KMeans_Data!I39</f>
        <v>1.38107452085777</v>
      </c>
      <c r="D49" s="17" t="n">
        <f aca="false">KMeans_Data!J39</f>
        <v>0.307315391151031</v>
      </c>
      <c r="E49" s="63" t="n">
        <f aca="false">BR49</f>
        <v>1</v>
      </c>
      <c r="F49" s="38" t="n">
        <f aca="false">($B49-INDEX($L$8:$M$8,E49))^2+($C49-INDEX($L$9:$M$9,E49))^2+($D49-INDEX($L$10:$M$10,E49))^2</f>
        <v>1.03853493206115</v>
      </c>
      <c r="G49" s="17" t="n">
        <f aca="false">IF(COUNTIF(Distance_Matrix!$E$8:$DQ$8,$E49)&lt;=1,0,SUMIF(Distance_Matrix!$E$8:$DQ$8,$E49,Distance_Matrix!$E$48:$DQ$48)/(COUNTIF(Distance_Matrix!$E$8:$DQ$8,$E49)-1))</f>
        <v>1.44343993448512</v>
      </c>
      <c r="H49" s="17" t="n">
        <f aca="false">MIN(IF(1=$E49,1E+099,IF(COUNTIF(Distance_Matrix!$E$8:$DQ$8,1)=0,1E+099,SUMIF(Distance_Matrix!$E$8:$DQ$8,1,Distance_Matrix!$E$48:$DQ$48)/COUNTIF(Distance_Matrix!$E$8:$DQ$8,1))),IF(2=$E49,1E+099,IF(COUNTIF(Distance_Matrix!$E$8:$DQ$8,2)=0,1E+099,SUMIF(Distance_Matrix!$E$8:$DQ$8,2,Distance_Matrix!$E$48:$DQ$48)/COUNTIF(Distance_Matrix!$E$8:$DQ$8,2))))</f>
        <v>2.41104760161753</v>
      </c>
      <c r="I49" s="17" t="n">
        <f aca="false">IF(COUNTIF(Distance_Matrix!$E$8:$DQ$8,$E49)&lt;=1,0,(H49-G49)/MAX(G49,H49))</f>
        <v>0.401322506649497</v>
      </c>
      <c r="X49" s="17" t="n">
        <f aca="false">SQRT(($B49-X$8)^2+($C49-X$9)^2+($D49-X$10)^2)</f>
        <v>4.84982323598635</v>
      </c>
      <c r="Y49" s="17" t="n">
        <f aca="false">SQRT(($B49-Y$8)^2+($C49-Y$9)^2+($D49-Y$10)^2)</f>
        <v>3.59241920113851</v>
      </c>
      <c r="Z49" s="63" t="n">
        <f aca="false">MATCH(MIN(X49:Y49),X49:Y49,0)</f>
        <v>2</v>
      </c>
      <c r="AB49" s="17" t="n">
        <f aca="false">SQRT(($B49-AB$8)^2+($C49-AB$9)^2+($D49-AB$10)^2)</f>
        <v>2.36329998332871</v>
      </c>
      <c r="AC49" s="17" t="n">
        <f aca="false">SQRT(($B49-AC$8)^2+($C49-AC$9)^2+($D49-AC$10)^2)</f>
        <v>1.80053295772317</v>
      </c>
      <c r="AD49" s="63" t="n">
        <f aca="false">MATCH(MIN(AB49:AC49),AB49:AC49,0)</f>
        <v>2</v>
      </c>
      <c r="AF49" s="17" t="n">
        <f aca="false">SQRT(($B49-AF$8)^2+($C49-AF$9)^2+($D49-AF$10)^2)</f>
        <v>1.7707609515061</v>
      </c>
      <c r="AG49" s="17" t="n">
        <f aca="false">SQRT(($B49-AG$8)^2+($C49-AG$9)^2+($D49-AG$10)^2)</f>
        <v>1.89724005228799</v>
      </c>
      <c r="AH49" s="63" t="n">
        <f aca="false">MATCH(MIN(AF49:AG49),AF49:AG49,0)</f>
        <v>1</v>
      </c>
      <c r="AJ49" s="17" t="n">
        <f aca="false">SQRT(($B49-AJ$8)^2+($C49-AJ$9)^2+($D49-AJ$10)^2)</f>
        <v>1.25913958812572</v>
      </c>
      <c r="AK49" s="17" t="n">
        <f aca="false">SQRT(($B49-AK$8)^2+($C49-AK$9)^2+($D49-AK$10)^2)</f>
        <v>2.0878027993088</v>
      </c>
      <c r="AL49" s="63" t="n">
        <f aca="false">MATCH(MIN(AJ49:AK49),AJ49:AK49,0)</f>
        <v>1</v>
      </c>
      <c r="AN49" s="17" t="n">
        <f aca="false">SQRT(($B49-AN$8)^2+($C49-AN$9)^2+($D49-AN$10)^2)</f>
        <v>1.1534729180915</v>
      </c>
      <c r="AO49" s="17" t="n">
        <f aca="false">SQRT(($B49-AO$8)^2+($C49-AO$9)^2+($D49-AO$10)^2)</f>
        <v>2.17579532580951</v>
      </c>
      <c r="AP49" s="63" t="n">
        <f aca="false">MATCH(MIN(AN49:AO49),AN49:AO49,0)</f>
        <v>1</v>
      </c>
      <c r="AR49" s="17" t="n">
        <f aca="false">SQRT(($B49-AR$8)^2+($C49-AR$9)^2+($D49-AR$10)^2)</f>
        <v>1.07659747825876</v>
      </c>
      <c r="AS49" s="17" t="n">
        <f aca="false">SQRT(($B49-AS$8)^2+($C49-AS$9)^2+($D49-AS$10)^2)</f>
        <v>2.22446946720729</v>
      </c>
      <c r="AT49" s="63" t="n">
        <f aca="false">MATCH(MIN(AR49:AS49),AR49:AS49,0)</f>
        <v>1</v>
      </c>
      <c r="AV49" s="17" t="n">
        <f aca="false">SQRT(($B49-AV$8)^2+($C49-AV$9)^2+($D49-AV$10)^2)</f>
        <v>1.04901271598449</v>
      </c>
      <c r="AW49" s="17" t="n">
        <f aca="false">SQRT(($B49-AW$8)^2+($C49-AW$9)^2+($D49-AW$10)^2)</f>
        <v>2.24124623098295</v>
      </c>
      <c r="AX49" s="63" t="n">
        <f aca="false">MATCH(MIN(AV49:AW49),AV49:AW49,0)</f>
        <v>1</v>
      </c>
      <c r="AZ49" s="17" t="n">
        <f aca="false">SQRT(($B49-AZ$8)^2+($C49-AZ$9)^2+($D49-AZ$10)^2)</f>
        <v>1.01908534091172</v>
      </c>
      <c r="BA49" s="17" t="n">
        <f aca="false">SQRT(($B49-BA$8)^2+($C49-BA$9)^2+($D49-BA$10)^2)</f>
        <v>2.25826523064993</v>
      </c>
      <c r="BB49" s="63" t="n">
        <f aca="false">MATCH(MIN(AZ49:BA49),AZ49:BA49,0)</f>
        <v>1</v>
      </c>
      <c r="BD49" s="17" t="n">
        <f aca="false">SQRT(($B49-BD$8)^2+($C49-BD$9)^2+($D49-BD$10)^2)</f>
        <v>1.01908534091172</v>
      </c>
      <c r="BE49" s="17" t="n">
        <f aca="false">SQRT(($B49-BE$8)^2+($C49-BE$9)^2+($D49-BE$10)^2)</f>
        <v>2.25826523064993</v>
      </c>
      <c r="BF49" s="63" t="n">
        <f aca="false">MATCH(MIN(BD49:BE49),BD49:BE49,0)</f>
        <v>1</v>
      </c>
      <c r="BH49" s="17" t="n">
        <f aca="false">SQRT(($B49-BH$8)^2+($C49-BH$9)^2+($D49-BH$10)^2)</f>
        <v>1.01908534091172</v>
      </c>
      <c r="BI49" s="17" t="n">
        <f aca="false">SQRT(($B49-BI$8)^2+($C49-BI$9)^2+($D49-BI$10)^2)</f>
        <v>2.25826523064993</v>
      </c>
      <c r="BJ49" s="63" t="n">
        <f aca="false">MATCH(MIN(BH49:BI49),BH49:BI49,0)</f>
        <v>1</v>
      </c>
      <c r="BL49" s="17" t="n">
        <f aca="false">SQRT(($B49-BL$8)^2+($C49-BL$9)^2+($D49-BL$10)^2)</f>
        <v>1.01908534091172</v>
      </c>
      <c r="BM49" s="17" t="n">
        <f aca="false">SQRT(($B49-BM$8)^2+($C49-BM$9)^2+($D49-BM$10)^2)</f>
        <v>2.25826523064993</v>
      </c>
      <c r="BN49" s="63" t="n">
        <f aca="false">MATCH(MIN(BL49:BM49),BL49:BM49,0)</f>
        <v>1</v>
      </c>
      <c r="BP49" s="17" t="n">
        <f aca="false">SQRT(($B49-BP$8)^2+($C49-BP$9)^2+($D49-BP$10)^2)</f>
        <v>1.01908534091172</v>
      </c>
      <c r="BQ49" s="17" t="n">
        <f aca="false">SQRT(($B49-BQ$8)^2+($C49-BQ$9)^2+($D49-BQ$10)^2)</f>
        <v>2.25826523064993</v>
      </c>
      <c r="BR49" s="63" t="n">
        <f aca="false">MATCH(MIN(BP49:BQ49),BP49:BQ49,0)</f>
        <v>1</v>
      </c>
    </row>
    <row r="50" customFormat="false" ht="15" hidden="false" customHeight="false" outlineLevel="0" collapsed="false">
      <c r="A50" s="36" t="str">
        <f aca="false">KMeans_Data!A40</f>
        <v>Swabi</v>
      </c>
      <c r="B50" s="17" t="n">
        <f aca="false">KMeans_Data!H40</f>
        <v>0.453667759197148</v>
      </c>
      <c r="C50" s="17" t="n">
        <f aca="false">KMeans_Data!I40</f>
        <v>1.14585991869933</v>
      </c>
      <c r="D50" s="17" t="n">
        <f aca="false">KMeans_Data!J40</f>
        <v>0.719667253181963</v>
      </c>
      <c r="E50" s="63" t="n">
        <f aca="false">BR50</f>
        <v>1</v>
      </c>
      <c r="F50" s="38" t="n">
        <f aca="false">($B50-INDEX($L$8:$M$8,E50))^2+($C50-INDEX($L$9:$M$9,E50))^2+($D50-INDEX($L$10:$M$10,E50))^2</f>
        <v>0.529411552783208</v>
      </c>
      <c r="G50" s="17" t="n">
        <f aca="false">IF(COUNTIF(Distance_Matrix!$E$8:$DQ$8,$E50)&lt;=1,0,SUMIF(Distance_Matrix!$E$8:$DQ$8,$E50,Distance_Matrix!$E$49:$DQ$49)/(COUNTIF(Distance_Matrix!$E$8:$DQ$8,$E50)-1))</f>
        <v>1.20853891333192</v>
      </c>
      <c r="H50" s="17" t="n">
        <f aca="false">MIN(IF(1=$E50,1E+099,IF(COUNTIF(Distance_Matrix!$E$8:$DQ$8,1)=0,1E+099,SUMIF(Distance_Matrix!$E$8:$DQ$8,1,Distance_Matrix!$E$49:$DQ$49)/COUNTIF(Distance_Matrix!$E$8:$DQ$8,1))),IF(2=$E50,1E+099,IF(COUNTIF(Distance_Matrix!$E$8:$DQ$8,2)=0,1E+099,SUMIF(Distance_Matrix!$E$8:$DQ$8,2,Distance_Matrix!$E$49:$DQ$49)/COUNTIF(Distance_Matrix!$E$8:$DQ$8,2))))</f>
        <v>2.37829286485963</v>
      </c>
      <c r="I50" s="17" t="n">
        <f aca="false">IF(COUNTIF(Distance_Matrix!$E$8:$DQ$8,$E50)&lt;=1,0,(H50-G50)/MAX(G50,H50))</f>
        <v>0.491846050085487</v>
      </c>
      <c r="X50" s="17" t="n">
        <f aca="false">SQRT(($B50-X$8)^2+($C50-X$9)^2+($D50-X$10)^2)</f>
        <v>4.76882981559524</v>
      </c>
      <c r="Y50" s="17" t="n">
        <f aca="false">SQRT(($B50-Y$8)^2+($C50-Y$9)^2+($D50-Y$10)^2)</f>
        <v>3.6338012413689</v>
      </c>
      <c r="Z50" s="63" t="n">
        <f aca="false">MATCH(MIN(X50:Y50),X50:Y50,0)</f>
        <v>2</v>
      </c>
      <c r="AB50" s="17" t="n">
        <f aca="false">SQRT(($B50-AB$8)^2+($C50-AB$9)^2+($D50-AB$10)^2)</f>
        <v>2.25256035691403</v>
      </c>
      <c r="AC50" s="17" t="n">
        <f aca="false">SQRT(($B50-AC$8)^2+($C50-AC$9)^2+($D50-AC$10)^2)</f>
        <v>1.75240742513386</v>
      </c>
      <c r="AD50" s="63" t="n">
        <f aca="false">MATCH(MIN(AB50:AC50),AB50:AC50,0)</f>
        <v>2</v>
      </c>
      <c r="AF50" s="17" t="n">
        <f aca="false">SQRT(($B50-AF$8)^2+($C50-AF$9)^2+($D50-AF$10)^2)</f>
        <v>1.64296346205724</v>
      </c>
      <c r="AG50" s="17" t="n">
        <f aca="false">SQRT(($B50-AG$8)^2+($C50-AG$9)^2+($D50-AG$10)^2)</f>
        <v>1.85315785341375</v>
      </c>
      <c r="AH50" s="63" t="n">
        <f aca="false">MATCH(MIN(AF50:AG50),AF50:AG50,0)</f>
        <v>1</v>
      </c>
      <c r="AJ50" s="17" t="n">
        <f aca="false">SQRT(($B50-AJ$8)^2+($C50-AJ$9)^2+($D50-AJ$10)^2)</f>
        <v>1.05477387781805</v>
      </c>
      <c r="AK50" s="17" t="n">
        <f aca="false">SQRT(($B50-AK$8)^2+($C50-AK$9)^2+($D50-AK$10)^2)</f>
        <v>2.05742449680264</v>
      </c>
      <c r="AL50" s="63" t="n">
        <f aca="false">MATCH(MIN(AJ50:AK50),AJ50:AK50,0)</f>
        <v>1</v>
      </c>
      <c r="AN50" s="17" t="n">
        <f aca="false">SQRT(($B50-AN$8)^2+($C50-AN$9)^2+($D50-AN$10)^2)</f>
        <v>0.898659360776601</v>
      </c>
      <c r="AO50" s="17" t="n">
        <f aca="false">SQRT(($B50-AO$8)^2+($C50-AO$9)^2+($D50-AO$10)^2)</f>
        <v>2.15530765202259</v>
      </c>
      <c r="AP50" s="63" t="n">
        <f aca="false">MATCH(MIN(AN50:AO50),AN50:AO50,0)</f>
        <v>1</v>
      </c>
      <c r="AR50" s="17" t="n">
        <f aca="false">SQRT(($B50-AR$8)^2+($C50-AR$9)^2+($D50-AR$10)^2)</f>
        <v>0.797977280775843</v>
      </c>
      <c r="AS50" s="17" t="n">
        <f aca="false">SQRT(($B50-AS$8)^2+($C50-AS$9)^2+($D50-AS$10)^2)</f>
        <v>2.20789361477123</v>
      </c>
      <c r="AT50" s="63" t="n">
        <f aca="false">MATCH(MIN(AR50:AS50),AR50:AS50,0)</f>
        <v>1</v>
      </c>
      <c r="AV50" s="17" t="n">
        <f aca="false">SQRT(($B50-AV$8)^2+($C50-AV$9)^2+($D50-AV$10)^2)</f>
        <v>0.766072855481728</v>
      </c>
      <c r="AW50" s="17" t="n">
        <f aca="false">SQRT(($B50-AW$8)^2+($C50-AW$9)^2+($D50-AW$10)^2)</f>
        <v>2.2252065236992</v>
      </c>
      <c r="AX50" s="63" t="n">
        <f aca="false">MATCH(MIN(AV50:AW50),AV50:AW50,0)</f>
        <v>1</v>
      </c>
      <c r="AZ50" s="17" t="n">
        <f aca="false">SQRT(($B50-AZ$8)^2+($C50-AZ$9)^2+($D50-AZ$10)^2)</f>
        <v>0.727606729479056</v>
      </c>
      <c r="BA50" s="17" t="n">
        <f aca="false">SQRT(($B50-BA$8)^2+($C50-BA$9)^2+($D50-BA$10)^2)</f>
        <v>2.24312657120197</v>
      </c>
      <c r="BB50" s="63" t="n">
        <f aca="false">MATCH(MIN(AZ50:BA50),AZ50:BA50,0)</f>
        <v>1</v>
      </c>
      <c r="BD50" s="17" t="n">
        <f aca="false">SQRT(($B50-BD$8)^2+($C50-BD$9)^2+($D50-BD$10)^2)</f>
        <v>0.727606729479056</v>
      </c>
      <c r="BE50" s="17" t="n">
        <f aca="false">SQRT(($B50-BE$8)^2+($C50-BE$9)^2+($D50-BE$10)^2)</f>
        <v>2.24312657120197</v>
      </c>
      <c r="BF50" s="63" t="n">
        <f aca="false">MATCH(MIN(BD50:BE50),BD50:BE50,0)</f>
        <v>1</v>
      </c>
      <c r="BH50" s="17" t="n">
        <f aca="false">SQRT(($B50-BH$8)^2+($C50-BH$9)^2+($D50-BH$10)^2)</f>
        <v>0.727606729479056</v>
      </c>
      <c r="BI50" s="17" t="n">
        <f aca="false">SQRT(($B50-BI$8)^2+($C50-BI$9)^2+($D50-BI$10)^2)</f>
        <v>2.24312657120197</v>
      </c>
      <c r="BJ50" s="63" t="n">
        <f aca="false">MATCH(MIN(BH50:BI50),BH50:BI50,0)</f>
        <v>1</v>
      </c>
      <c r="BL50" s="17" t="n">
        <f aca="false">SQRT(($B50-BL$8)^2+($C50-BL$9)^2+($D50-BL$10)^2)</f>
        <v>0.727606729479056</v>
      </c>
      <c r="BM50" s="17" t="n">
        <f aca="false">SQRT(($B50-BM$8)^2+($C50-BM$9)^2+($D50-BM$10)^2)</f>
        <v>2.24312657120197</v>
      </c>
      <c r="BN50" s="63" t="n">
        <f aca="false">MATCH(MIN(BL50:BM50),BL50:BM50,0)</f>
        <v>1</v>
      </c>
      <c r="BP50" s="17" t="n">
        <f aca="false">SQRT(($B50-BP$8)^2+($C50-BP$9)^2+($D50-BP$10)^2)</f>
        <v>0.727606729479056</v>
      </c>
      <c r="BQ50" s="17" t="n">
        <f aca="false">SQRT(($B50-BQ$8)^2+($C50-BQ$9)^2+($D50-BQ$10)^2)</f>
        <v>2.24312657120197</v>
      </c>
      <c r="BR50" s="63" t="n">
        <f aca="false">MATCH(MIN(BP50:BQ50),BP50:BQ50,0)</f>
        <v>1</v>
      </c>
    </row>
    <row r="51" customFormat="false" ht="15" hidden="false" customHeight="false" outlineLevel="0" collapsed="false">
      <c r="A51" s="36" t="str">
        <f aca="false">KMeans_Data!A41</f>
        <v>Haripur</v>
      </c>
      <c r="B51" s="17" t="n">
        <f aca="false">KMeans_Data!H41</f>
        <v>0.433254553932755</v>
      </c>
      <c r="C51" s="17" t="n">
        <f aca="false">KMeans_Data!I41</f>
        <v>0.378684277529216</v>
      </c>
      <c r="D51" s="17" t="n">
        <f aca="false">KMeans_Data!J41</f>
        <v>0.539980232203984</v>
      </c>
      <c r="E51" s="63" t="n">
        <f aca="false">BR51</f>
        <v>1</v>
      </c>
      <c r="F51" s="38" t="n">
        <f aca="false">($B51-INDEX($L$8:$M$8,E51))^2+($C51-INDEX($L$9:$M$9,E51))^2+($D51-INDEX($L$10:$M$10,E51))^2</f>
        <v>1.42840167788819</v>
      </c>
      <c r="G51" s="17" t="n">
        <f aca="false">IF(COUNTIF(Distance_Matrix!$E$8:$DQ$8,$E51)&lt;=1,0,SUMIF(Distance_Matrix!$E$8:$DQ$8,$E51,Distance_Matrix!$E$50:$DQ$50)/(COUNTIF(Distance_Matrix!$E$8:$DQ$8,$E51)-1))</f>
        <v>1.4016233990601</v>
      </c>
      <c r="H51" s="17" t="n">
        <f aca="false">MIN(IF(1=$E51,1E+099,IF(COUNTIF(Distance_Matrix!$E$8:$DQ$8,1)=0,1E+099,SUMIF(Distance_Matrix!$E$8:$DQ$8,1,Distance_Matrix!$E$50:$DQ$50)/COUNTIF(Distance_Matrix!$E$8:$DQ$8,1))),IF(2=$E51,1E+099,IF(COUNTIF(Distance_Matrix!$E$8:$DQ$8,2)=0,1E+099,SUMIF(Distance_Matrix!$E$8:$DQ$8,2,Distance_Matrix!$E$50:$DQ$50)/COUNTIF(Distance_Matrix!$E$8:$DQ$8,2))))</f>
        <v>1.78290200452819</v>
      </c>
      <c r="I51" s="17" t="n">
        <f aca="false">IF(COUNTIF(Distance_Matrix!$E$8:$DQ$8,$E51)&lt;=1,0,(H51-G51)/MAX(G51,H51))</f>
        <v>0.213852811034888</v>
      </c>
      <c r="X51" s="17" t="n">
        <f aca="false">SQRT(($B51-X$8)^2+($C51-X$9)^2+($D51-X$10)^2)</f>
        <v>5.36910920761941</v>
      </c>
      <c r="Y51" s="17" t="n">
        <f aca="false">SQRT(($B51-Y$8)^2+($C51-Y$9)^2+($D51-Y$10)^2)</f>
        <v>3.20339910703097</v>
      </c>
      <c r="Z51" s="63" t="n">
        <f aca="false">MATCH(MIN(X51:Y51),X51:Y51,0)</f>
        <v>2</v>
      </c>
      <c r="AB51" s="17" t="n">
        <f aca="false">SQRT(($B51-AB$8)^2+($C51-AB$9)^2+($D51-AB$10)^2)</f>
        <v>2.83116458956674</v>
      </c>
      <c r="AC51" s="17" t="n">
        <f aca="false">SQRT(($B51-AC$8)^2+($C51-AC$9)^2+($D51-AC$10)^2)</f>
        <v>1.11796011678608</v>
      </c>
      <c r="AD51" s="63" t="n">
        <f aca="false">MATCH(MIN(AB51:AC51),AB51:AC51,0)</f>
        <v>2</v>
      </c>
      <c r="AF51" s="17" t="n">
        <f aca="false">SQRT(($B51-AF$8)^2+($C51-AF$9)^2+($D51-AF$10)^2)</f>
        <v>2.22096161897163</v>
      </c>
      <c r="AG51" s="17" t="n">
        <f aca="false">SQRT(($B51-AG$8)^2+($C51-AG$9)^2+($D51-AG$10)^2)</f>
        <v>1.2181025919199</v>
      </c>
      <c r="AH51" s="63" t="n">
        <f aca="false">MATCH(MIN(AF51:AG51),AF51:AG51,0)</f>
        <v>2</v>
      </c>
      <c r="AJ51" s="17" t="n">
        <f aca="false">SQRT(($B51-AJ$8)^2+($C51-AJ$9)^2+($D51-AJ$10)^2)</f>
        <v>1.61195469452558</v>
      </c>
      <c r="AK51" s="17" t="n">
        <f aca="false">SQRT(($B51-AK$8)^2+($C51-AK$9)^2+($D51-AK$10)^2)</f>
        <v>1.42511103428326</v>
      </c>
      <c r="AL51" s="63" t="n">
        <f aca="false">MATCH(MIN(AJ51:AK51),AJ51:AK51,0)</f>
        <v>2</v>
      </c>
      <c r="AN51" s="17" t="n">
        <f aca="false">SQRT(($B51-AN$8)^2+($C51-AN$9)^2+($D51-AN$10)^2)</f>
        <v>1.40154139133275</v>
      </c>
      <c r="AO51" s="17" t="n">
        <f aca="false">SQRT(($B51-AO$8)^2+($C51-AO$9)^2+($D51-AO$10)^2)</f>
        <v>1.5312864686247</v>
      </c>
      <c r="AP51" s="63" t="n">
        <f aca="false">MATCH(MIN(AN51:AO51),AN51:AO51,0)</f>
        <v>1</v>
      </c>
      <c r="AR51" s="17" t="n">
        <f aca="false">SQRT(($B51-AR$8)^2+($C51-AR$9)^2+($D51-AR$10)^2)</f>
        <v>1.27422711806843</v>
      </c>
      <c r="AS51" s="17" t="n">
        <f aca="false">SQRT(($B51-AS$8)^2+($C51-AS$9)^2+($D51-AS$10)^2)</f>
        <v>1.58667335293067</v>
      </c>
      <c r="AT51" s="63" t="n">
        <f aca="false">MATCH(MIN(AR51:AS51),AR51:AS51,0)</f>
        <v>1</v>
      </c>
      <c r="AV51" s="17" t="n">
        <f aca="false">SQRT(($B51-AV$8)^2+($C51-AV$9)^2+($D51-AV$10)^2)</f>
        <v>1.23446233574965</v>
      </c>
      <c r="AW51" s="17" t="n">
        <f aca="false">SQRT(($B51-AW$8)^2+($C51-AW$9)^2+($D51-AW$10)^2)</f>
        <v>1.60449828233878</v>
      </c>
      <c r="AX51" s="63" t="n">
        <f aca="false">MATCH(MIN(AV51:AW51),AV51:AW51,0)</f>
        <v>1</v>
      </c>
      <c r="AZ51" s="17" t="n">
        <f aca="false">SQRT(($B51-AZ$8)^2+($C51-AZ$9)^2+($D51-AZ$10)^2)</f>
        <v>1.19515759541919</v>
      </c>
      <c r="BA51" s="17" t="n">
        <f aca="false">SQRT(($B51-BA$8)^2+($C51-BA$9)^2+($D51-BA$10)^2)</f>
        <v>1.62182221102008</v>
      </c>
      <c r="BB51" s="63" t="n">
        <f aca="false">MATCH(MIN(AZ51:BA51),AZ51:BA51,0)</f>
        <v>1</v>
      </c>
      <c r="BD51" s="17" t="n">
        <f aca="false">SQRT(($B51-BD$8)^2+($C51-BD$9)^2+($D51-BD$10)^2)</f>
        <v>1.19515759541919</v>
      </c>
      <c r="BE51" s="17" t="n">
        <f aca="false">SQRT(($B51-BE$8)^2+($C51-BE$9)^2+($D51-BE$10)^2)</f>
        <v>1.62182221102008</v>
      </c>
      <c r="BF51" s="63" t="n">
        <f aca="false">MATCH(MIN(BD51:BE51),BD51:BE51,0)</f>
        <v>1</v>
      </c>
      <c r="BH51" s="17" t="n">
        <f aca="false">SQRT(($B51-BH$8)^2+($C51-BH$9)^2+($D51-BH$10)^2)</f>
        <v>1.19515759541919</v>
      </c>
      <c r="BI51" s="17" t="n">
        <f aca="false">SQRT(($B51-BI$8)^2+($C51-BI$9)^2+($D51-BI$10)^2)</f>
        <v>1.62182221102008</v>
      </c>
      <c r="BJ51" s="63" t="n">
        <f aca="false">MATCH(MIN(BH51:BI51),BH51:BI51,0)</f>
        <v>1</v>
      </c>
      <c r="BL51" s="17" t="n">
        <f aca="false">SQRT(($B51-BL$8)^2+($C51-BL$9)^2+($D51-BL$10)^2)</f>
        <v>1.19515759541919</v>
      </c>
      <c r="BM51" s="17" t="n">
        <f aca="false">SQRT(($B51-BM$8)^2+($C51-BM$9)^2+($D51-BM$10)^2)</f>
        <v>1.62182221102008</v>
      </c>
      <c r="BN51" s="63" t="n">
        <f aca="false">MATCH(MIN(BL51:BM51),BL51:BM51,0)</f>
        <v>1</v>
      </c>
      <c r="BP51" s="17" t="n">
        <f aca="false">SQRT(($B51-BP$8)^2+($C51-BP$9)^2+($D51-BP$10)^2)</f>
        <v>1.19515759541919</v>
      </c>
      <c r="BQ51" s="17" t="n">
        <f aca="false">SQRT(($B51-BQ$8)^2+($C51-BQ$9)^2+($D51-BQ$10)^2)</f>
        <v>1.62182221102008</v>
      </c>
      <c r="BR51" s="63" t="n">
        <f aca="false">MATCH(MIN(BP51:BQ51),BP51:BQ51,0)</f>
        <v>1</v>
      </c>
    </row>
    <row r="52" customFormat="false" ht="15" hidden="false" customHeight="false" outlineLevel="0" collapsed="false">
      <c r="A52" s="36" t="str">
        <f aca="false">KMeans_Data!A42</f>
        <v>Battagram</v>
      </c>
      <c r="B52" s="17" t="n">
        <f aca="false">KMeans_Data!H42</f>
        <v>0.429074049388274</v>
      </c>
      <c r="C52" s="17" t="n">
        <f aca="false">KMeans_Data!I42</f>
        <v>0.378684277529216</v>
      </c>
      <c r="D52" s="17" t="n">
        <f aca="false">KMeans_Data!J42</f>
        <v>0.460346385840384</v>
      </c>
      <c r="E52" s="63" t="n">
        <f aca="false">BR52</f>
        <v>1</v>
      </c>
      <c r="F52" s="38" t="n">
        <f aca="false">($B52-INDEX($L$8:$M$8,E52))^2+($C52-INDEX($L$9:$M$9,E52))^2+($D52-INDEX($L$10:$M$10,E52))^2</f>
        <v>1.53610737897884</v>
      </c>
      <c r="G52" s="17" t="n">
        <f aca="false">IF(COUNTIF(Distance_Matrix!$E$8:$DQ$8,$E52)&lt;=1,0,SUMIF(Distance_Matrix!$E$8:$DQ$8,$E52,Distance_Matrix!$E$51:$DQ$51)/(COUNTIF(Distance_Matrix!$E$8:$DQ$8,$E52)-1))</f>
        <v>1.43760427967846</v>
      </c>
      <c r="H52" s="17" t="n">
        <f aca="false">MIN(IF(1=$E52,1E+099,IF(COUNTIF(Distance_Matrix!$E$8:$DQ$8,1)=0,1E+099,SUMIF(Distance_Matrix!$E$8:$DQ$8,1,Distance_Matrix!$E$51:$DQ$51)/COUNTIF(Distance_Matrix!$E$8:$DQ$8,1))),IF(2=$E52,1E+099,IF(COUNTIF(Distance_Matrix!$E$8:$DQ$8,2)=0,1E+099,SUMIF(Distance_Matrix!$E$8:$DQ$8,2,Distance_Matrix!$E$51:$DQ$51)/COUNTIF(Distance_Matrix!$E$8:$DQ$8,2))))</f>
        <v>1.74125226397735</v>
      </c>
      <c r="I52" s="17" t="n">
        <f aca="false">IF(COUNTIF(Distance_Matrix!$E$8:$DQ$8,$E52)&lt;=1,0,(H52-G52)/MAX(G52,H52))</f>
        <v>0.174384832445413</v>
      </c>
      <c r="X52" s="17" t="n">
        <f aca="false">SQRT(($B52-X$8)^2+($C52-X$9)^2+($D52-X$10)^2)</f>
        <v>5.41197722243839</v>
      </c>
      <c r="Y52" s="17" t="n">
        <f aca="false">SQRT(($B52-Y$8)^2+($C52-Y$9)^2+($D52-Y$10)^2)</f>
        <v>3.15889984184424</v>
      </c>
      <c r="Z52" s="63" t="n">
        <f aca="false">MATCH(MIN(X52:Y52),X52:Y52,0)</f>
        <v>2</v>
      </c>
      <c r="AB52" s="17" t="n">
        <f aca="false">SQRT(($B52-AB$8)^2+($C52-AB$9)^2+($D52-AB$10)^2)</f>
        <v>2.87157256539206</v>
      </c>
      <c r="AC52" s="17" t="n">
        <f aca="false">SQRT(($B52-AC$8)^2+($C52-AC$9)^2+($D52-AC$10)^2)</f>
        <v>1.0664202537845</v>
      </c>
      <c r="AD52" s="63" t="n">
        <f aca="false">MATCH(MIN(AB52:AC52),AB52:AC52,0)</f>
        <v>2</v>
      </c>
      <c r="AF52" s="17" t="n">
        <f aca="false">SQRT(($B52-AF$8)^2+($C52-AF$9)^2+($D52-AF$10)^2)</f>
        <v>2.25993692021975</v>
      </c>
      <c r="AG52" s="17" t="n">
        <f aca="false">SQRT(($B52-AG$8)^2+($C52-AG$9)^2+($D52-AG$10)^2)</f>
        <v>1.16729656760648</v>
      </c>
      <c r="AH52" s="63" t="n">
        <f aca="false">MATCH(MIN(AF52:AG52),AF52:AG52,0)</f>
        <v>2</v>
      </c>
      <c r="AJ52" s="17" t="n">
        <f aca="false">SQRT(($B52-AJ$8)^2+($C52-AJ$9)^2+($D52-AJ$10)^2)</f>
        <v>1.65340884020587</v>
      </c>
      <c r="AK52" s="17" t="n">
        <f aca="false">SQRT(($B52-AK$8)^2+($C52-AK$9)^2+($D52-AK$10)^2)</f>
        <v>1.37414225587475</v>
      </c>
      <c r="AL52" s="63" t="n">
        <f aca="false">MATCH(MIN(AJ52:AK52),AJ52:AK52,0)</f>
        <v>2</v>
      </c>
      <c r="AN52" s="17" t="n">
        <f aca="false">SQRT(($B52-AN$8)^2+($C52-AN$9)^2+($D52-AN$10)^2)</f>
        <v>1.44556764018606</v>
      </c>
      <c r="AO52" s="17" t="n">
        <f aca="false">SQRT(($B52-AO$8)^2+($C52-AO$9)^2+($D52-AO$10)^2)</f>
        <v>1.47974258879744</v>
      </c>
      <c r="AP52" s="63" t="n">
        <f aca="false">MATCH(MIN(AN52:AO52),AN52:AO52,0)</f>
        <v>1</v>
      </c>
      <c r="AR52" s="17" t="n">
        <f aca="false">SQRT(($B52-AR$8)^2+($C52-AR$9)^2+($D52-AR$10)^2)</f>
        <v>1.31871233319548</v>
      </c>
      <c r="AS52" s="17" t="n">
        <f aca="false">SQRT(($B52-AS$8)^2+($C52-AS$9)^2+($D52-AS$10)^2)</f>
        <v>1.53500529172385</v>
      </c>
      <c r="AT52" s="63" t="n">
        <f aca="false">MATCH(MIN(AR52:AS52),AR52:AS52,0)</f>
        <v>1</v>
      </c>
      <c r="AV52" s="17" t="n">
        <f aca="false">SQRT(($B52-AV$8)^2+($C52-AV$9)^2+($D52-AV$10)^2)</f>
        <v>1.27862308683682</v>
      </c>
      <c r="AW52" s="17" t="n">
        <f aca="false">SQRT(($B52-AW$8)^2+($C52-AW$9)^2+($D52-AW$10)^2)</f>
        <v>1.55292622185777</v>
      </c>
      <c r="AX52" s="63" t="n">
        <f aca="false">MATCH(MIN(AV52:AW52),AV52:AW52,0)</f>
        <v>1</v>
      </c>
      <c r="AZ52" s="17" t="n">
        <f aca="false">SQRT(($B52-AZ$8)^2+($C52-AZ$9)^2+($D52-AZ$10)^2)</f>
        <v>1.23939799054978</v>
      </c>
      <c r="BA52" s="17" t="n">
        <f aca="false">SQRT(($B52-BA$8)^2+($C52-BA$9)^2+($D52-BA$10)^2)</f>
        <v>1.57020083092622</v>
      </c>
      <c r="BB52" s="63" t="n">
        <f aca="false">MATCH(MIN(AZ52:BA52),AZ52:BA52,0)</f>
        <v>1</v>
      </c>
      <c r="BD52" s="17" t="n">
        <f aca="false">SQRT(($B52-BD$8)^2+($C52-BD$9)^2+($D52-BD$10)^2)</f>
        <v>1.23939799054978</v>
      </c>
      <c r="BE52" s="17" t="n">
        <f aca="false">SQRT(($B52-BE$8)^2+($C52-BE$9)^2+($D52-BE$10)^2)</f>
        <v>1.57020083092622</v>
      </c>
      <c r="BF52" s="63" t="n">
        <f aca="false">MATCH(MIN(BD52:BE52),BD52:BE52,0)</f>
        <v>1</v>
      </c>
      <c r="BH52" s="17" t="n">
        <f aca="false">SQRT(($B52-BH$8)^2+($C52-BH$9)^2+($D52-BH$10)^2)</f>
        <v>1.23939799054978</v>
      </c>
      <c r="BI52" s="17" t="n">
        <f aca="false">SQRT(($B52-BI$8)^2+($C52-BI$9)^2+($D52-BI$10)^2)</f>
        <v>1.57020083092622</v>
      </c>
      <c r="BJ52" s="63" t="n">
        <f aca="false">MATCH(MIN(BH52:BI52),BH52:BI52,0)</f>
        <v>1</v>
      </c>
      <c r="BL52" s="17" t="n">
        <f aca="false">SQRT(($B52-BL$8)^2+($C52-BL$9)^2+($D52-BL$10)^2)</f>
        <v>1.23939799054978</v>
      </c>
      <c r="BM52" s="17" t="n">
        <f aca="false">SQRT(($B52-BM$8)^2+($C52-BM$9)^2+($D52-BM$10)^2)</f>
        <v>1.57020083092622</v>
      </c>
      <c r="BN52" s="63" t="n">
        <f aca="false">MATCH(MIN(BL52:BM52),BL52:BM52,0)</f>
        <v>1</v>
      </c>
      <c r="BP52" s="17" t="n">
        <f aca="false">SQRT(($B52-BP$8)^2+($C52-BP$9)^2+($D52-BP$10)^2)</f>
        <v>1.23939799054978</v>
      </c>
      <c r="BQ52" s="17" t="n">
        <f aca="false">SQRT(($B52-BQ$8)^2+($C52-BQ$9)^2+($D52-BQ$10)^2)</f>
        <v>1.57020083092622</v>
      </c>
      <c r="BR52" s="63" t="n">
        <f aca="false">MATCH(MIN(BP52:BQ52),BP52:BQ52,0)</f>
        <v>1</v>
      </c>
    </row>
    <row r="53" customFormat="false" ht="15" hidden="false" customHeight="false" outlineLevel="0" collapsed="false">
      <c r="A53" s="36" t="str">
        <f aca="false">KMeans_Data!A43</f>
        <v>Kohat</v>
      </c>
      <c r="B53" s="17" t="n">
        <f aca="false">KMeans_Data!H43</f>
        <v>0.407652506674014</v>
      </c>
      <c r="C53" s="17" t="n">
        <f aca="false">KMeans_Data!I43</f>
        <v>1.27255002250608</v>
      </c>
      <c r="D53" s="17" t="n">
        <f aca="false">KMeans_Data!J43</f>
        <v>0.628513491585819</v>
      </c>
      <c r="E53" s="63" t="n">
        <f aca="false">BR53</f>
        <v>1</v>
      </c>
      <c r="F53" s="38" t="n">
        <f aca="false">($B53-INDEX($L$8:$M$8,E53))^2+($C53-INDEX($L$9:$M$9,E53))^2+($D53-INDEX($L$10:$M$10,E53))^2</f>
        <v>0.670654388705177</v>
      </c>
      <c r="G53" s="17" t="n">
        <f aca="false">IF(COUNTIF(Distance_Matrix!$E$8:$DQ$8,$E53)&lt;=1,0,SUMIF(Distance_Matrix!$E$8:$DQ$8,$E53,Distance_Matrix!$E$52:$DQ$52)/(COUNTIF(Distance_Matrix!$E$8:$DQ$8,$E53)-1))</f>
        <v>1.28170666374501</v>
      </c>
      <c r="H53" s="17" t="n">
        <f aca="false">MIN(IF(1=$E53,1E+099,IF(COUNTIF(Distance_Matrix!$E$8:$DQ$8,1)=0,1E+099,SUMIF(Distance_Matrix!$E$8:$DQ$8,1,Distance_Matrix!$E$52:$DQ$52)/COUNTIF(Distance_Matrix!$E$8:$DQ$8,1))),IF(2=$E53,1E+099,IF(COUNTIF(Distance_Matrix!$E$8:$DQ$8,2)=0,1E+099,SUMIF(Distance_Matrix!$E$8:$DQ$8,2,Distance_Matrix!$E$52:$DQ$52)/COUNTIF(Distance_Matrix!$E$8:$DQ$8,2))))</f>
        <v>2.41619353675887</v>
      </c>
      <c r="I53" s="17" t="n">
        <f aca="false">IF(COUNTIF(Distance_Matrix!$E$8:$DQ$8,$E53)&lt;=1,0,(H53-G53)/MAX(G53,H53))</f>
        <v>0.469534768533353</v>
      </c>
      <c r="X53" s="17" t="n">
        <f aca="false">SQRT(($B53-X$8)^2+($C53-X$9)^2+($D53-X$10)^2)</f>
        <v>4.77038426226699</v>
      </c>
      <c r="Y53" s="17" t="n">
        <f aca="false">SQRT(($B53-Y$8)^2+($C53-Y$9)^2+($D53-Y$10)^2)</f>
        <v>3.62195415614862</v>
      </c>
      <c r="Z53" s="63" t="n">
        <f aca="false">MATCH(MIN(X53:Y53),X53:Y53,0)</f>
        <v>2</v>
      </c>
      <c r="AB53" s="17" t="n">
        <f aca="false">SQRT(($B53-AB$8)^2+($C53-AB$9)^2+($D53-AB$10)^2)</f>
        <v>2.26816231748237</v>
      </c>
      <c r="AC53" s="17" t="n">
        <f aca="false">SQRT(($B53-AC$8)^2+($C53-AC$9)^2+($D53-AC$10)^2)</f>
        <v>1.79489501789277</v>
      </c>
      <c r="AD53" s="63" t="n">
        <f aca="false">MATCH(MIN(AB53:AC53),AB53:AC53,0)</f>
        <v>2</v>
      </c>
      <c r="AF53" s="17" t="n">
        <f aca="false">SQRT(($B53-AF$8)^2+($C53-AF$9)^2+($D53-AF$10)^2)</f>
        <v>1.66469253084394</v>
      </c>
      <c r="AG53" s="17" t="n">
        <f aca="false">SQRT(($B53-AG$8)^2+($C53-AG$9)^2+($D53-AG$10)^2)</f>
        <v>1.89437163433892</v>
      </c>
      <c r="AH53" s="63" t="n">
        <f aca="false">MATCH(MIN(AF53:AG53),AF53:AG53,0)</f>
        <v>1</v>
      </c>
      <c r="AJ53" s="17" t="n">
        <f aca="false">SQRT(($B53-AJ$8)^2+($C53-AJ$9)^2+($D53-AJ$10)^2)</f>
        <v>1.10231895512463</v>
      </c>
      <c r="AK53" s="17" t="n">
        <f aca="false">SQRT(($B53-AK$8)^2+($C53-AK$9)^2+($D53-AK$10)^2)</f>
        <v>2.094775028924</v>
      </c>
      <c r="AL53" s="63" t="n">
        <f aca="false">MATCH(MIN(AJ53:AK53),AJ53:AK53,0)</f>
        <v>1</v>
      </c>
      <c r="AN53" s="17" t="n">
        <f aca="false">SQRT(($B53-AN$8)^2+($C53-AN$9)^2+($D53-AN$10)^2)</f>
        <v>0.97077625956253</v>
      </c>
      <c r="AO53" s="17" t="n">
        <f aca="false">SQRT(($B53-AO$8)^2+($C53-AO$9)^2+($D53-AO$10)^2)</f>
        <v>2.18913979970375</v>
      </c>
      <c r="AP53" s="63" t="n">
        <f aca="false">MATCH(MIN(AN53:AO53),AN53:AO53,0)</f>
        <v>1</v>
      </c>
      <c r="AR53" s="17" t="n">
        <f aca="false">SQRT(($B53-AR$8)^2+($C53-AR$9)^2+($D53-AR$10)^2)</f>
        <v>0.882734533625714</v>
      </c>
      <c r="AS53" s="17" t="n">
        <f aca="false">SQRT(($B53-AS$8)^2+($C53-AS$9)^2+($D53-AS$10)^2)</f>
        <v>2.24035964075209</v>
      </c>
      <c r="AT53" s="63" t="n">
        <f aca="false">MATCH(MIN(AR53:AS53),AR53:AS53,0)</f>
        <v>1</v>
      </c>
      <c r="AV53" s="17" t="n">
        <f aca="false">SQRT(($B53-AV$8)^2+($C53-AV$9)^2+($D53-AV$10)^2)</f>
        <v>0.854116994767845</v>
      </c>
      <c r="AW53" s="17" t="n">
        <f aca="false">SQRT(($B53-AW$8)^2+($C53-AW$9)^2+($D53-AW$10)^2)</f>
        <v>2.25741105704541</v>
      </c>
      <c r="AX53" s="63" t="n">
        <f aca="false">MATCH(MIN(AV53:AW53),AV53:AW53,0)</f>
        <v>1</v>
      </c>
      <c r="AZ53" s="17" t="n">
        <f aca="false">SQRT(($B53-AZ$8)^2+($C53-AZ$9)^2+($D53-AZ$10)^2)</f>
        <v>0.818934911153003</v>
      </c>
      <c r="BA53" s="17" t="n">
        <f aca="false">SQRT(($B53-BA$8)^2+($C53-BA$9)^2+($D53-BA$10)^2)</f>
        <v>2.27521387213831</v>
      </c>
      <c r="BB53" s="63" t="n">
        <f aca="false">MATCH(MIN(AZ53:BA53),AZ53:BA53,0)</f>
        <v>1</v>
      </c>
      <c r="BD53" s="17" t="n">
        <f aca="false">SQRT(($B53-BD$8)^2+($C53-BD$9)^2+($D53-BD$10)^2)</f>
        <v>0.818934911153003</v>
      </c>
      <c r="BE53" s="17" t="n">
        <f aca="false">SQRT(($B53-BE$8)^2+($C53-BE$9)^2+($D53-BE$10)^2)</f>
        <v>2.27521387213831</v>
      </c>
      <c r="BF53" s="63" t="n">
        <f aca="false">MATCH(MIN(BD53:BE53),BD53:BE53,0)</f>
        <v>1</v>
      </c>
      <c r="BH53" s="17" t="n">
        <f aca="false">SQRT(($B53-BH$8)^2+($C53-BH$9)^2+($D53-BH$10)^2)</f>
        <v>0.818934911153003</v>
      </c>
      <c r="BI53" s="17" t="n">
        <f aca="false">SQRT(($B53-BI$8)^2+($C53-BI$9)^2+($D53-BI$10)^2)</f>
        <v>2.27521387213831</v>
      </c>
      <c r="BJ53" s="63" t="n">
        <f aca="false">MATCH(MIN(BH53:BI53),BH53:BI53,0)</f>
        <v>1</v>
      </c>
      <c r="BL53" s="17" t="n">
        <f aca="false">SQRT(($B53-BL$8)^2+($C53-BL$9)^2+($D53-BL$10)^2)</f>
        <v>0.818934911153003</v>
      </c>
      <c r="BM53" s="17" t="n">
        <f aca="false">SQRT(($B53-BM$8)^2+($C53-BM$9)^2+($D53-BM$10)^2)</f>
        <v>2.27521387213831</v>
      </c>
      <c r="BN53" s="63" t="n">
        <f aca="false">MATCH(MIN(BL53:BM53),BL53:BM53,0)</f>
        <v>1</v>
      </c>
      <c r="BP53" s="17" t="n">
        <f aca="false">SQRT(($B53-BP$8)^2+($C53-BP$9)^2+($D53-BP$10)^2)</f>
        <v>0.818934911153003</v>
      </c>
      <c r="BQ53" s="17" t="n">
        <f aca="false">SQRT(($B53-BQ$8)^2+($C53-BQ$9)^2+($D53-BQ$10)^2)</f>
        <v>2.27521387213831</v>
      </c>
      <c r="BR53" s="63" t="n">
        <f aca="false">MATCH(MIN(BP53:BQ53),BP53:BQ53,0)</f>
        <v>1</v>
      </c>
    </row>
    <row r="54" customFormat="false" ht="15" hidden="false" customHeight="false" outlineLevel="0" collapsed="false">
      <c r="A54" s="36" t="str">
        <f aca="false">KMeans_Data!A44</f>
        <v>Kurram</v>
      </c>
      <c r="B54" s="17" t="n">
        <f aca="false">KMeans_Data!H44</f>
        <v>0.389856926462388</v>
      </c>
      <c r="C54" s="17" t="n">
        <f aca="false">KMeans_Data!I44</f>
        <v>0.160512589624996</v>
      </c>
      <c r="D54" s="17" t="n">
        <f aca="false">KMeans_Data!J44</f>
        <v>-0.0786471224747799</v>
      </c>
      <c r="E54" s="63" t="n">
        <f aca="false">BR54</f>
        <v>2</v>
      </c>
      <c r="F54" s="38" t="n">
        <f aca="false">($B54-INDEX($L$8:$M$8,E54))^2+($C54-INDEX($L$9:$M$9,E54))^2+($D54-INDEX($L$10:$M$10,E54))^2</f>
        <v>1.32295265851653</v>
      </c>
      <c r="G54" s="17" t="n">
        <f aca="false">IF(COUNTIF(Distance_Matrix!$E$8:$DQ$8,$E54)&lt;=1,0,SUMIF(Distance_Matrix!$E$8:$DQ$8,$E54,Distance_Matrix!$E$53:$DQ$53)/(COUNTIF(Distance_Matrix!$E$8:$DQ$8,$E54)-1))</f>
        <v>1.43977649424951</v>
      </c>
      <c r="H54" s="17" t="n">
        <f aca="false">MIN(IF(1=$E54,1E+099,IF(COUNTIF(Distance_Matrix!$E$8:$DQ$8,1)=0,1E+099,SUMIF(Distance_Matrix!$E$8:$DQ$8,1,Distance_Matrix!$E$53:$DQ$53)/COUNTIF(Distance_Matrix!$E$8:$DQ$8,1))),IF(2=$E54,1E+099,IF(COUNTIF(Distance_Matrix!$E$8:$DQ$8,2)=0,1E+099,SUMIF(Distance_Matrix!$E$8:$DQ$8,2,Distance_Matrix!$E$53:$DQ$53)/COUNTIF(Distance_Matrix!$E$8:$DQ$8,2))))</f>
        <v>1.85993729333666</v>
      </c>
      <c r="I54" s="17" t="n">
        <f aca="false">IF(COUNTIF(Distance_Matrix!$E$8:$DQ$8,$E54)&lt;=1,0,(H54-G54)/MAX(G54,H54))</f>
        <v>0.225900518577911</v>
      </c>
      <c r="X54" s="17" t="n">
        <f aca="false">SQRT(($B54-X$8)^2+($C54-X$9)^2+($D54-X$10)^2)</f>
        <v>5.87022459726912</v>
      </c>
      <c r="Y54" s="17" t="n">
        <f aca="false">SQRT(($B54-Y$8)^2+($C54-Y$9)^2+($D54-Y$10)^2)</f>
        <v>2.81629941685552</v>
      </c>
      <c r="Z54" s="63" t="n">
        <f aca="false">MATCH(MIN(X54:Y54),X54:Y54,0)</f>
        <v>2</v>
      </c>
      <c r="AB54" s="17" t="n">
        <f aca="false">SQRT(($B54-AB$8)^2+($C54-AB$9)^2+($D54-AB$10)^2)</f>
        <v>3.32893730943721</v>
      </c>
      <c r="AC54" s="17" t="n">
        <f aca="false">SQRT(($B54-AC$8)^2+($C54-AC$9)^2+($D54-AC$10)^2)</f>
        <v>0.695345351947162</v>
      </c>
      <c r="AD54" s="63" t="n">
        <f aca="false">MATCH(MIN(AB54:AC54),AB54:AC54,0)</f>
        <v>2</v>
      </c>
      <c r="AF54" s="17" t="n">
        <f aca="false">SQRT(($B54-AF$8)^2+($C54-AF$9)^2+($D54-AF$10)^2)</f>
        <v>2.71926541321285</v>
      </c>
      <c r="AG54" s="17" t="n">
        <f aca="false">SQRT(($B54-AG$8)^2+($C54-AG$9)^2+($D54-AG$10)^2)</f>
        <v>0.786435024487548</v>
      </c>
      <c r="AH54" s="63" t="n">
        <f aca="false">MATCH(MIN(AF54:AG54),AF54:AG54,0)</f>
        <v>2</v>
      </c>
      <c r="AJ54" s="17" t="n">
        <f aca="false">SQRT(($B54-AJ$8)^2+($C54-AJ$9)^2+($D54-AJ$10)^2)</f>
        <v>2.13579096454864</v>
      </c>
      <c r="AK54" s="17" t="n">
        <f aca="false">SQRT(($B54-AK$8)^2+($C54-AK$9)^2+($D54-AK$10)^2)</f>
        <v>0.969269779726182</v>
      </c>
      <c r="AL54" s="63" t="n">
        <f aca="false">MATCH(MIN(AJ54:AK54),AJ54:AK54,0)</f>
        <v>2</v>
      </c>
      <c r="AN54" s="17" t="n">
        <f aca="false">SQRT(($B54-AN$8)^2+($C54-AN$9)^2+($D54-AN$10)^2)</f>
        <v>1.93940748133249</v>
      </c>
      <c r="AO54" s="17" t="n">
        <f aca="false">SQRT(($B54-AO$8)^2+($C54-AO$9)^2+($D54-AO$10)^2)</f>
        <v>1.0654310397823</v>
      </c>
      <c r="AP54" s="63" t="n">
        <f aca="false">MATCH(MIN(AN54:AO54),AN54:AO54,0)</f>
        <v>2</v>
      </c>
      <c r="AR54" s="17" t="n">
        <f aca="false">SQRT(($B54-AR$8)^2+($C54-AR$9)^2+($D54-AR$10)^2)</f>
        <v>1.81662337791284</v>
      </c>
      <c r="AS54" s="17" t="n">
        <f aca="false">SQRT(($B54-AS$8)^2+($C54-AS$9)^2+($D54-AS$10)^2)</f>
        <v>1.11705063732541</v>
      </c>
      <c r="AT54" s="63" t="n">
        <f aca="false">MATCH(MIN(AR54:AS54),AR54:AS54,0)</f>
        <v>2</v>
      </c>
      <c r="AV54" s="17" t="n">
        <f aca="false">SQRT(($B54-AV$8)^2+($C54-AV$9)^2+($D54-AV$10)^2)</f>
        <v>1.77617602830602</v>
      </c>
      <c r="AW54" s="17" t="n">
        <f aca="false">SQRT(($B54-AW$8)^2+($C54-AW$9)^2+($D54-AW$10)^2)</f>
        <v>1.13483568735877</v>
      </c>
      <c r="AX54" s="63" t="n">
        <f aca="false">MATCH(MIN(AV54:AW54),AV54:AW54,0)</f>
        <v>2</v>
      </c>
      <c r="AZ54" s="17" t="n">
        <f aca="false">SQRT(($B54-AZ$8)^2+($C54-AZ$9)^2+($D54-AZ$10)^2)</f>
        <v>1.7391555481524</v>
      </c>
      <c r="BA54" s="17" t="n">
        <f aca="false">SQRT(($B54-BA$8)^2+($C54-BA$9)^2+($D54-BA$10)^2)</f>
        <v>1.15019679121293</v>
      </c>
      <c r="BB54" s="63" t="n">
        <f aca="false">MATCH(MIN(AZ54:BA54),AZ54:BA54,0)</f>
        <v>2</v>
      </c>
      <c r="BD54" s="17" t="n">
        <f aca="false">SQRT(($B54-BD$8)^2+($C54-BD$9)^2+($D54-BD$10)^2)</f>
        <v>1.7391555481524</v>
      </c>
      <c r="BE54" s="17" t="n">
        <f aca="false">SQRT(($B54-BE$8)^2+($C54-BE$9)^2+($D54-BE$10)^2)</f>
        <v>1.15019679121293</v>
      </c>
      <c r="BF54" s="63" t="n">
        <f aca="false">MATCH(MIN(BD54:BE54),BD54:BE54,0)</f>
        <v>2</v>
      </c>
      <c r="BH54" s="17" t="n">
        <f aca="false">SQRT(($B54-BH$8)^2+($C54-BH$9)^2+($D54-BH$10)^2)</f>
        <v>1.7391555481524</v>
      </c>
      <c r="BI54" s="17" t="n">
        <f aca="false">SQRT(($B54-BI$8)^2+($C54-BI$9)^2+($D54-BI$10)^2)</f>
        <v>1.15019679121293</v>
      </c>
      <c r="BJ54" s="63" t="n">
        <f aca="false">MATCH(MIN(BH54:BI54),BH54:BI54,0)</f>
        <v>2</v>
      </c>
      <c r="BL54" s="17" t="n">
        <f aca="false">SQRT(($B54-BL$8)^2+($C54-BL$9)^2+($D54-BL$10)^2)</f>
        <v>1.7391555481524</v>
      </c>
      <c r="BM54" s="17" t="n">
        <f aca="false">SQRT(($B54-BM$8)^2+($C54-BM$9)^2+($D54-BM$10)^2)</f>
        <v>1.15019679121293</v>
      </c>
      <c r="BN54" s="63" t="n">
        <f aca="false">MATCH(MIN(BL54:BM54),BL54:BM54,0)</f>
        <v>2</v>
      </c>
      <c r="BP54" s="17" t="n">
        <f aca="false">SQRT(($B54-BP$8)^2+($C54-BP$9)^2+($D54-BP$10)^2)</f>
        <v>1.7391555481524</v>
      </c>
      <c r="BQ54" s="17" t="n">
        <f aca="false">SQRT(($B54-BQ$8)^2+($C54-BQ$9)^2+($D54-BQ$10)^2)</f>
        <v>1.15019679121293</v>
      </c>
      <c r="BR54" s="63" t="n">
        <f aca="false">MATCH(MIN(BP54:BQ54),BP54:BQ54,0)</f>
        <v>2</v>
      </c>
    </row>
    <row r="55" customFormat="false" ht="15" hidden="false" customHeight="false" outlineLevel="0" collapsed="false">
      <c r="A55" s="36" t="str">
        <f aca="false">KMeans_Data!A45</f>
        <v>Kambar Shahdadkot</v>
      </c>
      <c r="B55" s="17" t="n">
        <f aca="false">KMeans_Data!H45</f>
        <v>0.317115025857358</v>
      </c>
      <c r="C55" s="17" t="n">
        <f aca="false">KMeans_Data!I45</f>
        <v>-0.672650545388274</v>
      </c>
      <c r="D55" s="17" t="n">
        <f aca="false">KMeans_Data!J45</f>
        <v>1.01095878979359</v>
      </c>
      <c r="E55" s="63" t="n">
        <f aca="false">BR55</f>
        <v>2</v>
      </c>
      <c r="F55" s="38" t="n">
        <f aca="false">($B55-INDEX($L$8:$M$8,E55))^2+($C55-INDEX($L$9:$M$9,E55))^2+($D55-INDEX($L$10:$M$10,E55))^2</f>
        <v>2.85207988078843</v>
      </c>
      <c r="G55" s="17" t="n">
        <f aca="false">IF(COUNTIF(Distance_Matrix!$E$8:$DQ$8,$E55)&lt;=1,0,SUMIF(Distance_Matrix!$E$8:$DQ$8,$E55,Distance_Matrix!$E$54:$DQ$54)/(COUNTIF(Distance_Matrix!$E$8:$DQ$8,$E55)-1))</f>
        <v>1.84545962300422</v>
      </c>
      <c r="H55" s="17" t="n">
        <f aca="false">MIN(IF(1=$E55,1E+099,IF(COUNTIF(Distance_Matrix!$E$8:$DQ$8,1)=0,1E+099,SUMIF(Distance_Matrix!$E$8:$DQ$8,1,Distance_Matrix!$E$54:$DQ$54)/COUNTIF(Distance_Matrix!$E$8:$DQ$8,1))),IF(2=$E55,1E+099,IF(COUNTIF(Distance_Matrix!$E$8:$DQ$8,2)=0,1E+099,SUMIF(Distance_Matrix!$E$8:$DQ$8,2,Distance_Matrix!$E$54:$DQ$54)/COUNTIF(Distance_Matrix!$E$8:$DQ$8,2))))</f>
        <v>2.13573937191854</v>
      </c>
      <c r="I55" s="17" t="n">
        <f aca="false">IF(COUNTIF(Distance_Matrix!$E$8:$DQ$8,$E55)&lt;=1,0,(H55-G55)/MAX(G55,H55))</f>
        <v>0.135915342822735</v>
      </c>
      <c r="X55" s="17" t="n">
        <f aca="false">SQRT(($B55-X$8)^2+($C55-X$9)^2+($D55-X$10)^2)</f>
        <v>5.99739197654582</v>
      </c>
      <c r="Y55" s="17" t="n">
        <f aca="false">SQRT(($B55-Y$8)^2+($C55-Y$9)^2+($D55-Y$10)^2)</f>
        <v>3.22425812165343</v>
      </c>
      <c r="Z55" s="63" t="n">
        <f aca="false">MATCH(MIN(X55:Y55),X55:Y55,0)</f>
        <v>2</v>
      </c>
      <c r="AB55" s="17" t="n">
        <f aca="false">SQRT(($B55-AB$8)^2+($C55-AB$9)^2+($D55-AB$10)^2)</f>
        <v>3.55078579883332</v>
      </c>
      <c r="AC55" s="17" t="n">
        <f aca="false">SQRT(($B55-AC$8)^2+($C55-AC$9)^2+($D55-AC$10)^2)</f>
        <v>1.36454971395446</v>
      </c>
      <c r="AD55" s="63" t="n">
        <f aca="false">MATCH(MIN(AB55:AC55),AB55:AC55,0)</f>
        <v>2</v>
      </c>
      <c r="AF55" s="17" t="n">
        <f aca="false">SQRT(($B55-AF$8)^2+($C55-AF$9)^2+($D55-AF$10)^2)</f>
        <v>2.99447447015836</v>
      </c>
      <c r="AG55" s="17" t="n">
        <f aca="false">SQRT(($B55-AG$8)^2+($C55-AG$9)^2+($D55-AG$10)^2)</f>
        <v>1.40816576518153</v>
      </c>
      <c r="AH55" s="63" t="n">
        <f aca="false">MATCH(MIN(AF55:AG55),AF55:AG55,0)</f>
        <v>2</v>
      </c>
      <c r="AJ55" s="17" t="n">
        <f aca="false">SQRT(($B55-AJ$8)^2+($C55-AJ$9)^2+($D55-AJ$10)^2)</f>
        <v>2.42180308482014</v>
      </c>
      <c r="AK55" s="17" t="n">
        <f aca="false">SQRT(($B55-AK$8)^2+($C55-AK$9)^2+($D55-AK$10)^2)</f>
        <v>1.53440759840109</v>
      </c>
      <c r="AL55" s="63" t="n">
        <f aca="false">MATCH(MIN(AJ55:AK55),AJ55:AK55,0)</f>
        <v>2</v>
      </c>
      <c r="AN55" s="17" t="n">
        <f aca="false">SQRT(($B55-AN$8)^2+($C55-AN$9)^2+($D55-AN$10)^2)</f>
        <v>2.20228789574835</v>
      </c>
      <c r="AO55" s="17" t="n">
        <f aca="false">SQRT(($B55-AO$8)^2+($C55-AO$9)^2+($D55-AO$10)^2)</f>
        <v>1.6218884363774</v>
      </c>
      <c r="AP55" s="63" t="n">
        <f aca="false">MATCH(MIN(AN55:AO55),AN55:AO55,0)</f>
        <v>2</v>
      </c>
      <c r="AR55" s="17" t="n">
        <f aca="false">SQRT(($B55-AR$8)^2+($C55-AR$9)^2+($D55-AR$10)^2)</f>
        <v>2.08600225665838</v>
      </c>
      <c r="AS55" s="17" t="n">
        <f aca="false">SQRT(($B55-AS$8)^2+($C55-AS$9)^2+($D55-AS$10)^2)</f>
        <v>1.66506130948265</v>
      </c>
      <c r="AT55" s="63" t="n">
        <f aca="false">MATCH(MIN(AR55:AS55),AR55:AS55,0)</f>
        <v>2</v>
      </c>
      <c r="AV55" s="17" t="n">
        <f aca="false">SQRT(($B55-AV$8)^2+($C55-AV$9)^2+($D55-AV$10)^2)</f>
        <v>2.05390804711557</v>
      </c>
      <c r="AW55" s="17" t="n">
        <f aca="false">SQRT(($B55-AW$8)^2+($C55-AW$9)^2+($D55-AW$10)^2)</f>
        <v>1.67722423860126</v>
      </c>
      <c r="AX55" s="63" t="n">
        <f aca="false">MATCH(MIN(AV55:AW55),AV55:AW55,0)</f>
        <v>2</v>
      </c>
      <c r="AZ55" s="17" t="n">
        <f aca="false">SQRT(($B55-AZ$8)^2+($C55-AZ$9)^2+($D55-AZ$10)^2)</f>
        <v>2.02298091205584</v>
      </c>
      <c r="BA55" s="17" t="n">
        <f aca="false">SQRT(($B55-BA$8)^2+($C55-BA$9)^2+($D55-BA$10)^2)</f>
        <v>1.68881019679194</v>
      </c>
      <c r="BB55" s="63" t="n">
        <f aca="false">MATCH(MIN(AZ55:BA55),AZ55:BA55,0)</f>
        <v>2</v>
      </c>
      <c r="BD55" s="17" t="n">
        <f aca="false">SQRT(($B55-BD$8)^2+($C55-BD$9)^2+($D55-BD$10)^2)</f>
        <v>2.02298091205584</v>
      </c>
      <c r="BE55" s="17" t="n">
        <f aca="false">SQRT(($B55-BE$8)^2+($C55-BE$9)^2+($D55-BE$10)^2)</f>
        <v>1.68881019679194</v>
      </c>
      <c r="BF55" s="63" t="n">
        <f aca="false">MATCH(MIN(BD55:BE55),BD55:BE55,0)</f>
        <v>2</v>
      </c>
      <c r="BH55" s="17" t="n">
        <f aca="false">SQRT(($B55-BH$8)^2+($C55-BH$9)^2+($D55-BH$10)^2)</f>
        <v>2.02298091205584</v>
      </c>
      <c r="BI55" s="17" t="n">
        <f aca="false">SQRT(($B55-BI$8)^2+($C55-BI$9)^2+($D55-BI$10)^2)</f>
        <v>1.68881019679194</v>
      </c>
      <c r="BJ55" s="63" t="n">
        <f aca="false">MATCH(MIN(BH55:BI55),BH55:BI55,0)</f>
        <v>2</v>
      </c>
      <c r="BL55" s="17" t="n">
        <f aca="false">SQRT(($B55-BL$8)^2+($C55-BL$9)^2+($D55-BL$10)^2)</f>
        <v>2.02298091205584</v>
      </c>
      <c r="BM55" s="17" t="n">
        <f aca="false">SQRT(($B55-BM$8)^2+($C55-BM$9)^2+($D55-BM$10)^2)</f>
        <v>1.68881019679194</v>
      </c>
      <c r="BN55" s="63" t="n">
        <f aca="false">MATCH(MIN(BL55:BM55),BL55:BM55,0)</f>
        <v>2</v>
      </c>
      <c r="BP55" s="17" t="n">
        <f aca="false">SQRT(($B55-BP$8)^2+($C55-BP$9)^2+($D55-BP$10)^2)</f>
        <v>2.02298091205584</v>
      </c>
      <c r="BQ55" s="17" t="n">
        <f aca="false">SQRT(($B55-BQ$8)^2+($C55-BQ$9)^2+($D55-BQ$10)^2)</f>
        <v>1.68881019679194</v>
      </c>
      <c r="BR55" s="63" t="n">
        <f aca="false">MATCH(MIN(BP55:BQ55),BP55:BQ55,0)</f>
        <v>2</v>
      </c>
    </row>
    <row r="56" customFormat="false" ht="15" hidden="false" customHeight="false" outlineLevel="0" collapsed="false">
      <c r="A56" s="36" t="str">
        <f aca="false">KMeans_Data!A46</f>
        <v>Nagar</v>
      </c>
      <c r="B56" s="17" t="n">
        <f aca="false">KMeans_Data!H46</f>
        <v>0.273717398386991</v>
      </c>
      <c r="C56" s="17" t="n">
        <f aca="false">KMeans_Data!I46</f>
        <v>-0.146983133929529</v>
      </c>
      <c r="D56" s="17" t="n">
        <f aca="false">KMeans_Data!J46</f>
        <v>0.774246840861612</v>
      </c>
      <c r="E56" s="63" t="n">
        <f aca="false">BR56</f>
        <v>2</v>
      </c>
      <c r="F56" s="38" t="n">
        <f aca="false">($B56-INDEX($L$8:$M$8,E56))^2+($C56-INDEX($L$9:$M$9,E56))^2+($D56-INDEX($L$10:$M$10,E56))^2</f>
        <v>2.24696093704425</v>
      </c>
      <c r="G56" s="17" t="n">
        <f aca="false">IF(COUNTIF(Distance_Matrix!$E$8:$DQ$8,$E56)&lt;=1,0,SUMIF(Distance_Matrix!$E$8:$DQ$8,$E56,Distance_Matrix!$E$55:$DQ$55)/(COUNTIF(Distance_Matrix!$E$8:$DQ$8,$E56)-1))</f>
        <v>1.66651866524198</v>
      </c>
      <c r="H56" s="17" t="n">
        <f aca="false">MIN(IF(1=$E56,1E+099,IF(COUNTIF(Distance_Matrix!$E$8:$DQ$8,1)=0,1E+099,SUMIF(Distance_Matrix!$E$8:$DQ$8,1,Distance_Matrix!$E$55:$DQ$55)/COUNTIF(Distance_Matrix!$E$8:$DQ$8,1))),IF(2=$E56,1E+099,IF(COUNTIF(Distance_Matrix!$E$8:$DQ$8,2)=0,1E+099,SUMIF(Distance_Matrix!$E$8:$DQ$8,2,Distance_Matrix!$E$55:$DQ$55)/COUNTIF(Distance_Matrix!$E$8:$DQ$8,2))))</f>
        <v>1.72165737972165</v>
      </c>
      <c r="I56" s="17" t="n">
        <f aca="false">IF(COUNTIF(Distance_Matrix!$E$8:$DQ$8,$E56)&lt;=1,0,(H56-G56)/MAX(G56,H56))</f>
        <v>0.0320265316021162</v>
      </c>
      <c r="X56" s="17" t="n">
        <f aca="false">SQRT(($B56-X$8)^2+($C56-X$9)^2+($D56-X$10)^2)</f>
        <v>5.71555391045852</v>
      </c>
      <c r="Y56" s="17" t="n">
        <f aca="false">SQRT(($B56-Y$8)^2+($C56-Y$9)^2+($D56-Y$10)^2)</f>
        <v>3.0823789094685</v>
      </c>
      <c r="Z56" s="63" t="n">
        <f aca="false">MATCH(MIN(X56:Y56),X56:Y56,0)</f>
        <v>2</v>
      </c>
      <c r="AB56" s="17" t="n">
        <f aca="false">SQRT(($B56-AB$8)^2+($C56-AB$9)^2+($D56-AB$10)^2)</f>
        <v>3.21155806964451</v>
      </c>
      <c r="AC56" s="17" t="n">
        <f aca="false">SQRT(($B56-AC$8)^2+($C56-AC$9)^2+($D56-AC$10)^2)</f>
        <v>1.05600880026219</v>
      </c>
      <c r="AD56" s="63" t="n">
        <f aca="false">MATCH(MIN(AB56:AC56),AB56:AC56,0)</f>
        <v>2</v>
      </c>
      <c r="AF56" s="17" t="n">
        <f aca="false">SQRT(($B56-AF$8)^2+($C56-AF$9)^2+($D56-AF$10)^2)</f>
        <v>2.62265728872706</v>
      </c>
      <c r="AG56" s="17" t="n">
        <f aca="false">SQRT(($B56-AG$8)^2+($C56-AG$9)^2+($D56-AG$10)^2)</f>
        <v>1.13213041792555</v>
      </c>
      <c r="AH56" s="63" t="n">
        <f aca="false">MATCH(MIN(AF56:AG56),AF56:AG56,0)</f>
        <v>2</v>
      </c>
      <c r="AJ56" s="17" t="n">
        <f aca="false">SQRT(($B56-AJ$8)^2+($C56-AJ$9)^2+($D56-AJ$10)^2)</f>
        <v>2.02030156883382</v>
      </c>
      <c r="AK56" s="17" t="n">
        <f aca="false">SQRT(($B56-AK$8)^2+($C56-AK$9)^2+($D56-AK$10)^2)</f>
        <v>1.31190800205034</v>
      </c>
      <c r="AL56" s="63" t="n">
        <f aca="false">MATCH(MIN(AJ56:AK56),AJ56:AK56,0)</f>
        <v>2</v>
      </c>
      <c r="AN56" s="17" t="n">
        <f aca="false">SQRT(($B56-AN$8)^2+($C56-AN$9)^2+($D56-AN$10)^2)</f>
        <v>1.80018077962212</v>
      </c>
      <c r="AO56" s="17" t="n">
        <f aca="false">SQRT(($B56-AO$8)^2+($C56-AO$9)^2+($D56-AO$10)^2)</f>
        <v>1.41537651195389</v>
      </c>
      <c r="AP56" s="63" t="n">
        <f aca="false">MATCH(MIN(AN56:AO56),AN56:AO56,0)</f>
        <v>2</v>
      </c>
      <c r="AR56" s="17" t="n">
        <f aca="false">SQRT(($B56-AR$8)^2+($C56-AR$9)^2+($D56-AR$10)^2)</f>
        <v>1.67585430057558</v>
      </c>
      <c r="AS56" s="17" t="n">
        <f aca="false">SQRT(($B56-AS$8)^2+($C56-AS$9)^2+($D56-AS$10)^2)</f>
        <v>1.46770215620072</v>
      </c>
      <c r="AT56" s="63" t="n">
        <f aca="false">MATCH(MIN(AR56:AS56),AR56:AS56,0)</f>
        <v>2</v>
      </c>
      <c r="AV56" s="17" t="n">
        <f aca="false">SQRT(($B56-AV$8)^2+($C56-AV$9)^2+($D56-AV$10)^2)</f>
        <v>1.63975154970156</v>
      </c>
      <c r="AW56" s="17" t="n">
        <f aca="false">SQRT(($B56-AW$8)^2+($C56-AW$9)^2+($D56-AW$10)^2)</f>
        <v>1.48342477741239</v>
      </c>
      <c r="AX56" s="63" t="n">
        <f aca="false">MATCH(MIN(AV56:AW56),AV56:AW56,0)</f>
        <v>2</v>
      </c>
      <c r="AZ56" s="17" t="n">
        <f aca="false">SQRT(($B56-AZ$8)^2+($C56-AZ$9)^2+($D56-AZ$10)^2)</f>
        <v>1.60360127658675</v>
      </c>
      <c r="BA56" s="17" t="n">
        <f aca="false">SQRT(($B56-BA$8)^2+($C56-BA$9)^2+($D56-BA$10)^2)</f>
        <v>1.49898663671303</v>
      </c>
      <c r="BB56" s="63" t="n">
        <f aca="false">MATCH(MIN(AZ56:BA56),AZ56:BA56,0)</f>
        <v>2</v>
      </c>
      <c r="BD56" s="17" t="n">
        <f aca="false">SQRT(($B56-BD$8)^2+($C56-BD$9)^2+($D56-BD$10)^2)</f>
        <v>1.60360127658675</v>
      </c>
      <c r="BE56" s="17" t="n">
        <f aca="false">SQRT(($B56-BE$8)^2+($C56-BE$9)^2+($D56-BE$10)^2)</f>
        <v>1.49898663671303</v>
      </c>
      <c r="BF56" s="63" t="n">
        <f aca="false">MATCH(MIN(BD56:BE56),BD56:BE56,0)</f>
        <v>2</v>
      </c>
      <c r="BH56" s="17" t="n">
        <f aca="false">SQRT(($B56-BH$8)^2+($C56-BH$9)^2+($D56-BH$10)^2)</f>
        <v>1.60360127658675</v>
      </c>
      <c r="BI56" s="17" t="n">
        <f aca="false">SQRT(($B56-BI$8)^2+($C56-BI$9)^2+($D56-BI$10)^2)</f>
        <v>1.49898663671303</v>
      </c>
      <c r="BJ56" s="63" t="n">
        <f aca="false">MATCH(MIN(BH56:BI56),BH56:BI56,0)</f>
        <v>2</v>
      </c>
      <c r="BL56" s="17" t="n">
        <f aca="false">SQRT(($B56-BL$8)^2+($C56-BL$9)^2+($D56-BL$10)^2)</f>
        <v>1.60360127658675</v>
      </c>
      <c r="BM56" s="17" t="n">
        <f aca="false">SQRT(($B56-BM$8)^2+($C56-BM$9)^2+($D56-BM$10)^2)</f>
        <v>1.49898663671303</v>
      </c>
      <c r="BN56" s="63" t="n">
        <f aca="false">MATCH(MIN(BL56:BM56),BL56:BM56,0)</f>
        <v>2</v>
      </c>
      <c r="BP56" s="17" t="n">
        <f aca="false">SQRT(($B56-BP$8)^2+($C56-BP$9)^2+($D56-BP$10)^2)</f>
        <v>1.60360127658675</v>
      </c>
      <c r="BQ56" s="17" t="n">
        <f aca="false">SQRT(($B56-BQ$8)^2+($C56-BQ$9)^2+($D56-BQ$10)^2)</f>
        <v>1.49898663671303</v>
      </c>
      <c r="BR56" s="63" t="n">
        <f aca="false">MATCH(MIN(BP56:BQ56),BP56:BQ56,0)</f>
        <v>2</v>
      </c>
    </row>
    <row r="57" customFormat="false" ht="15" hidden="false" customHeight="false" outlineLevel="0" collapsed="false">
      <c r="A57" s="36" t="str">
        <f aca="false">KMeans_Data!A47</f>
        <v>Rahim Yar Khan</v>
      </c>
      <c r="B57" s="17" t="n">
        <f aca="false">KMeans_Data!H47</f>
        <v>0.262278036420678</v>
      </c>
      <c r="C57" s="17" t="n">
        <f aca="false">KMeans_Data!I47</f>
        <v>-0.146983133929529</v>
      </c>
      <c r="D57" s="17" t="n">
        <f aca="false">KMeans_Data!J47</f>
        <v>-0.636557171841548</v>
      </c>
      <c r="E57" s="63" t="n">
        <f aca="false">BR57</f>
        <v>2</v>
      </c>
      <c r="F57" s="38" t="n">
        <f aca="false">($B57-INDEX($L$8:$M$8,E57))^2+($C57-INDEX($L$9:$M$9,E57))^2+($D57-INDEX($L$10:$M$10,E57))^2</f>
        <v>0.658138728279562</v>
      </c>
      <c r="G57" s="17" t="n">
        <f aca="false">IF(COUNTIF(Distance_Matrix!$E$8:$DQ$8,$E57)&lt;=1,0,SUMIF(Distance_Matrix!$E$8:$DQ$8,$E57,Distance_Matrix!$E$56:$DQ$56)/(COUNTIF(Distance_Matrix!$E$8:$DQ$8,$E57)-1))</f>
        <v>1.22749571239206</v>
      </c>
      <c r="H57" s="17" t="n">
        <f aca="false">MIN(IF(1=$E57,1E+099,IF(COUNTIF(Distance_Matrix!$E$8:$DQ$8,1)=0,1E+099,SUMIF(Distance_Matrix!$E$8:$DQ$8,1,Distance_Matrix!$E$56:$DQ$56)/COUNTIF(Distance_Matrix!$E$8:$DQ$8,1))),IF(2=$E57,1E+099,IF(COUNTIF(Distance_Matrix!$E$8:$DQ$8,2)=0,1E+099,SUMIF(Distance_Matrix!$E$8:$DQ$8,2,Distance_Matrix!$E$56:$DQ$56)/COUNTIF(Distance_Matrix!$E$8:$DQ$8,2))))</f>
        <v>2.46767406312437</v>
      </c>
      <c r="I57" s="17" t="n">
        <f aca="false">IF(COUNTIF(Distance_Matrix!$E$8:$DQ$8,$E57)&lt;=1,0,(H57-G57)/MAX(G57,H57))</f>
        <v>0.502569755570595</v>
      </c>
      <c r="X57" s="17" t="n">
        <f aca="false">SQRT(($B57-X$8)^2+($C57-X$9)^2+($D57-X$10)^2)</f>
        <v>6.45909936721902</v>
      </c>
      <c r="Y57" s="17" t="n">
        <f aca="false">SQRT(($B57-Y$8)^2+($C57-Y$9)^2+($D57-Y$10)^2)</f>
        <v>2.45367780569083</v>
      </c>
      <c r="Z57" s="63" t="n">
        <f aca="false">MATCH(MIN(X57:Y57),X57:Y57,0)</f>
        <v>2</v>
      </c>
      <c r="AB57" s="17" t="n">
        <f aca="false">SQRT(($B57-AB$8)^2+($C57-AB$9)^2+($D57-AB$10)^2)</f>
        <v>3.92734255155146</v>
      </c>
      <c r="AC57" s="17" t="n">
        <f aca="false">SQRT(($B57-AC$8)^2+($C57-AC$9)^2+($D57-AC$10)^2)</f>
        <v>0.646900602291563</v>
      </c>
      <c r="AD57" s="63" t="n">
        <f aca="false">MATCH(MIN(AB57:AC57),AB57:AC57,0)</f>
        <v>2</v>
      </c>
      <c r="AF57" s="17" t="n">
        <f aca="false">SQRT(($B57-AF$8)^2+($C57-AF$9)^2+($D57-AF$10)^2)</f>
        <v>3.32338018029106</v>
      </c>
      <c r="AG57" s="17" t="n">
        <f aca="false">SQRT(($B57-AG$8)^2+($C57-AG$9)^2+($D57-AG$10)^2)</f>
        <v>0.662678034560068</v>
      </c>
      <c r="AH57" s="63" t="n">
        <f aca="false">MATCH(MIN(AF57:AG57),AF57:AG57,0)</f>
        <v>2</v>
      </c>
      <c r="AJ57" s="17" t="n">
        <f aca="false">SQRT(($B57-AJ$8)^2+($C57-AJ$9)^2+($D57-AJ$10)^2)</f>
        <v>2.75689282504634</v>
      </c>
      <c r="AK57" s="17" t="n">
        <f aca="false">SQRT(($B57-AK$8)^2+($C57-AK$9)^2+($D57-AK$10)^2)</f>
        <v>0.714184340101171</v>
      </c>
      <c r="AL57" s="63" t="n">
        <f aca="false">MATCH(MIN(AJ57:AK57),AJ57:AK57,0)</f>
        <v>2</v>
      </c>
      <c r="AN57" s="17" t="n">
        <f aca="false">SQRT(($B57-AN$8)^2+($C57-AN$9)^2+($D57-AN$10)^2)</f>
        <v>2.56750654692566</v>
      </c>
      <c r="AO57" s="17" t="n">
        <f aca="false">SQRT(($B57-AO$8)^2+($C57-AO$9)^2+($D57-AO$10)^2)</f>
        <v>0.760354735826928</v>
      </c>
      <c r="AP57" s="63" t="n">
        <f aca="false">MATCH(MIN(AN57:AO57),AN57:AO57,0)</f>
        <v>2</v>
      </c>
      <c r="AR57" s="17" t="n">
        <f aca="false">SQRT(($B57-AR$8)^2+($C57-AR$9)^2+($D57-AR$10)^2)</f>
        <v>2.44752687909646</v>
      </c>
      <c r="AS57" s="17" t="n">
        <f aca="false">SQRT(($B57-AS$8)^2+($C57-AS$9)^2+($D57-AS$10)^2)</f>
        <v>0.790575932278678</v>
      </c>
      <c r="AT57" s="63" t="n">
        <f aca="false">MATCH(MIN(AR57:AS57),AR57:AS57,0)</f>
        <v>2</v>
      </c>
      <c r="AV57" s="17" t="n">
        <f aca="false">SQRT(($B57-AV$8)^2+($C57-AV$9)^2+($D57-AV$10)^2)</f>
        <v>2.40735503830772</v>
      </c>
      <c r="AW57" s="17" t="n">
        <f aca="false">SQRT(($B57-AW$8)^2+($C57-AW$9)^2+($D57-AW$10)^2)</f>
        <v>0.80343456982684</v>
      </c>
      <c r="AX57" s="63" t="n">
        <f aca="false">MATCH(MIN(AV57:AW57),AV57:AW57,0)</f>
        <v>2</v>
      </c>
      <c r="AZ57" s="17" t="n">
        <f aca="false">SQRT(($B57-AZ$8)^2+($C57-AZ$9)^2+($D57-AZ$10)^2)</f>
        <v>2.371510800951</v>
      </c>
      <c r="BA57" s="17" t="n">
        <f aca="false">SQRT(($B57-BA$8)^2+($C57-BA$9)^2+($D57-BA$10)^2)</f>
        <v>0.81125749813457</v>
      </c>
      <c r="BB57" s="63" t="n">
        <f aca="false">MATCH(MIN(AZ57:BA57),AZ57:BA57,0)</f>
        <v>2</v>
      </c>
      <c r="BD57" s="17" t="n">
        <f aca="false">SQRT(($B57-BD$8)^2+($C57-BD$9)^2+($D57-BD$10)^2)</f>
        <v>2.371510800951</v>
      </c>
      <c r="BE57" s="17" t="n">
        <f aca="false">SQRT(($B57-BE$8)^2+($C57-BE$9)^2+($D57-BE$10)^2)</f>
        <v>0.81125749813457</v>
      </c>
      <c r="BF57" s="63" t="n">
        <f aca="false">MATCH(MIN(BD57:BE57),BD57:BE57,0)</f>
        <v>2</v>
      </c>
      <c r="BH57" s="17" t="n">
        <f aca="false">SQRT(($B57-BH$8)^2+($C57-BH$9)^2+($D57-BH$10)^2)</f>
        <v>2.371510800951</v>
      </c>
      <c r="BI57" s="17" t="n">
        <f aca="false">SQRT(($B57-BI$8)^2+($C57-BI$9)^2+($D57-BI$10)^2)</f>
        <v>0.81125749813457</v>
      </c>
      <c r="BJ57" s="63" t="n">
        <f aca="false">MATCH(MIN(BH57:BI57),BH57:BI57,0)</f>
        <v>2</v>
      </c>
      <c r="BL57" s="17" t="n">
        <f aca="false">SQRT(($B57-BL$8)^2+($C57-BL$9)^2+($D57-BL$10)^2)</f>
        <v>2.371510800951</v>
      </c>
      <c r="BM57" s="17" t="n">
        <f aca="false">SQRT(($B57-BM$8)^2+($C57-BM$9)^2+($D57-BM$10)^2)</f>
        <v>0.81125749813457</v>
      </c>
      <c r="BN57" s="63" t="n">
        <f aca="false">MATCH(MIN(BL57:BM57),BL57:BM57,0)</f>
        <v>2</v>
      </c>
      <c r="BP57" s="17" t="n">
        <f aca="false">SQRT(($B57-BP$8)^2+($C57-BP$9)^2+($D57-BP$10)^2)</f>
        <v>2.371510800951</v>
      </c>
      <c r="BQ57" s="17" t="n">
        <f aca="false">SQRT(($B57-BQ$8)^2+($C57-BQ$9)^2+($D57-BQ$10)^2)</f>
        <v>0.81125749813457</v>
      </c>
      <c r="BR57" s="63" t="n">
        <f aca="false">MATCH(MIN(BP57:BQ57),BP57:BQ57,0)</f>
        <v>2</v>
      </c>
    </row>
    <row r="58" customFormat="false" ht="15" hidden="false" customHeight="false" outlineLevel="0" collapsed="false">
      <c r="A58" s="36" t="str">
        <f aca="false">KMeans_Data!A48</f>
        <v>Jamshoro</v>
      </c>
      <c r="B58" s="17" t="n">
        <f aca="false">KMeans_Data!H48</f>
        <v>0.256462668461943</v>
      </c>
      <c r="C58" s="17" t="n">
        <f aca="false">KMeans_Data!I48</f>
        <v>-0.672650545388274</v>
      </c>
      <c r="D58" s="17" t="n">
        <f aca="false">KMeans_Data!J48</f>
        <v>0.514925973520034</v>
      </c>
      <c r="E58" s="63" t="n">
        <f aca="false">BR58</f>
        <v>2</v>
      </c>
      <c r="F58" s="38" t="n">
        <f aca="false">($B58-INDEX($L$8:$M$8,E58))^2+($C58-INDEX($L$9:$M$9,E58))^2+($D58-INDEX($L$10:$M$10,E58))^2</f>
        <v>1.52192073179424</v>
      </c>
      <c r="G58" s="17" t="n">
        <f aca="false">IF(COUNTIF(Distance_Matrix!$E$8:$DQ$8,$E58)&lt;=1,0,SUMIF(Distance_Matrix!$E$8:$DQ$8,$E58,Distance_Matrix!$E$57:$DQ$57)/(COUNTIF(Distance_Matrix!$E$8:$DQ$8,$E58)-1))</f>
        <v>1.46974851834501</v>
      </c>
      <c r="H58" s="17" t="n">
        <f aca="false">MIN(IF(1=$E58,1E+099,IF(COUNTIF(Distance_Matrix!$E$8:$DQ$8,1)=0,1E+099,SUMIF(Distance_Matrix!$E$8:$DQ$8,1,Distance_Matrix!$E$57:$DQ$57)/COUNTIF(Distance_Matrix!$E$8:$DQ$8,1))),IF(2=$E58,1E+099,IF(COUNTIF(Distance_Matrix!$E$8:$DQ$8,2)=0,1E+099,SUMIF(Distance_Matrix!$E$8:$DQ$8,2,Distance_Matrix!$E$57:$DQ$57)/COUNTIF(Distance_Matrix!$E$8:$DQ$8,2))))</f>
        <v>2.21807617655463</v>
      </c>
      <c r="I58" s="17" t="n">
        <f aca="false">IF(COUNTIF(Distance_Matrix!$E$8:$DQ$8,$E58)&lt;=1,0,(H58-G58)/MAX(G58,H58))</f>
        <v>0.337376897204681</v>
      </c>
      <c r="X58" s="17" t="n">
        <f aca="false">SQRT(($B58-X$8)^2+($C58-X$9)^2+($D58-X$10)^2)</f>
        <v>6.22905502444889</v>
      </c>
      <c r="Y58" s="17" t="n">
        <f aca="false">SQRT(($B58-Y$8)^2+($C58-Y$9)^2+($D58-Y$10)^2)</f>
        <v>2.86623908661092</v>
      </c>
      <c r="Z58" s="63" t="n">
        <f aca="false">MATCH(MIN(X58:Y58),X58:Y58,0)</f>
        <v>2</v>
      </c>
      <c r="AB58" s="17" t="n">
        <f aca="false">SQRT(($B58-AB$8)^2+($C58-AB$9)^2+($D58-AB$10)^2)</f>
        <v>3.72922073498881</v>
      </c>
      <c r="AC58" s="17" t="n">
        <f aca="false">SQRT(($B58-AC$8)^2+($C58-AC$9)^2+($D58-AC$10)^2)</f>
        <v>0.935375336743984</v>
      </c>
      <c r="AD58" s="63" t="n">
        <f aca="false">MATCH(MIN(AB58:AC58),AB58:AC58,0)</f>
        <v>2</v>
      </c>
      <c r="AF58" s="17" t="n">
        <f aca="false">SQRT(($B58-AF$8)^2+($C58-AF$9)^2+($D58-AF$10)^2)</f>
        <v>3.1453899544097</v>
      </c>
      <c r="AG58" s="17" t="n">
        <f aca="false">SQRT(($B58-AG$8)^2+($C58-AG$9)^2+($D58-AG$10)^2)</f>
        <v>0.968795680768809</v>
      </c>
      <c r="AH58" s="63" t="n">
        <f aca="false">MATCH(MIN(AF58:AG58),AF58:AG58,0)</f>
        <v>2</v>
      </c>
      <c r="AJ58" s="17" t="n">
        <f aca="false">SQRT(($B58-AJ$8)^2+($C58-AJ$9)^2+($D58-AJ$10)^2)</f>
        <v>2.5535056874797</v>
      </c>
      <c r="AK58" s="17" t="n">
        <f aca="false">SQRT(($B58-AK$8)^2+($C58-AK$9)^2+($D58-AK$10)^2)</f>
        <v>1.08145226982479</v>
      </c>
      <c r="AL58" s="63" t="n">
        <f aca="false">MATCH(MIN(AJ58:AK58),AJ58:AK58,0)</f>
        <v>2</v>
      </c>
      <c r="AN58" s="17" t="n">
        <f aca="false">SQRT(($B58-AN$8)^2+($C58-AN$9)^2+($D58-AN$10)^2)</f>
        <v>2.33182407395482</v>
      </c>
      <c r="AO58" s="17" t="n">
        <f aca="false">SQRT(($B58-AO$8)^2+($C58-AO$9)^2+($D58-AO$10)^2)</f>
        <v>1.1676146191331</v>
      </c>
      <c r="AP58" s="63" t="n">
        <f aca="false">MATCH(MIN(AN58:AO58),AN58:AO58,0)</f>
        <v>2</v>
      </c>
      <c r="AR58" s="17" t="n">
        <f aca="false">SQRT(($B58-AR$8)^2+($C58-AR$9)^2+($D58-AR$10)^2)</f>
        <v>2.20731369262879</v>
      </c>
      <c r="AS58" s="17" t="n">
        <f aca="false">SQRT(($B58-AS$8)^2+($C58-AS$9)^2+($D58-AS$10)^2)</f>
        <v>1.21042307501574</v>
      </c>
      <c r="AT58" s="63" t="n">
        <f aca="false">MATCH(MIN(AR58:AS58),AR58:AS58,0)</f>
        <v>2</v>
      </c>
      <c r="AV58" s="17" t="n">
        <f aca="false">SQRT(($B58-AV$8)^2+($C58-AV$9)^2+($D58-AV$10)^2)</f>
        <v>2.17048982109607</v>
      </c>
      <c r="AW58" s="17" t="n">
        <f aca="false">SQRT(($B58-AW$8)^2+($C58-AW$9)^2+($D58-AW$10)^2)</f>
        <v>1.22284899729347</v>
      </c>
      <c r="AX58" s="63" t="n">
        <f aca="false">MATCH(MIN(AV58:AW58),AV58:AW58,0)</f>
        <v>2</v>
      </c>
      <c r="AZ58" s="17" t="n">
        <f aca="false">SQRT(($B58-AZ$8)^2+($C58-AZ$9)^2+($D58-AZ$10)^2)</f>
        <v>2.13596792887886</v>
      </c>
      <c r="BA58" s="17" t="n">
        <f aca="false">SQRT(($B58-BA$8)^2+($C58-BA$9)^2+($D58-BA$10)^2)</f>
        <v>1.23366151427133</v>
      </c>
      <c r="BB58" s="63" t="n">
        <f aca="false">MATCH(MIN(AZ58:BA58),AZ58:BA58,0)</f>
        <v>2</v>
      </c>
      <c r="BD58" s="17" t="n">
        <f aca="false">SQRT(($B58-BD$8)^2+($C58-BD$9)^2+($D58-BD$10)^2)</f>
        <v>2.13596792887886</v>
      </c>
      <c r="BE58" s="17" t="n">
        <f aca="false">SQRT(($B58-BE$8)^2+($C58-BE$9)^2+($D58-BE$10)^2)</f>
        <v>1.23366151427133</v>
      </c>
      <c r="BF58" s="63" t="n">
        <f aca="false">MATCH(MIN(BD58:BE58),BD58:BE58,0)</f>
        <v>2</v>
      </c>
      <c r="BH58" s="17" t="n">
        <f aca="false">SQRT(($B58-BH$8)^2+($C58-BH$9)^2+($D58-BH$10)^2)</f>
        <v>2.13596792887886</v>
      </c>
      <c r="BI58" s="17" t="n">
        <f aca="false">SQRT(($B58-BI$8)^2+($C58-BI$9)^2+($D58-BI$10)^2)</f>
        <v>1.23366151427133</v>
      </c>
      <c r="BJ58" s="63" t="n">
        <f aca="false">MATCH(MIN(BH58:BI58),BH58:BI58,0)</f>
        <v>2</v>
      </c>
      <c r="BL58" s="17" t="n">
        <f aca="false">SQRT(($B58-BL$8)^2+($C58-BL$9)^2+($D58-BL$10)^2)</f>
        <v>2.13596792887886</v>
      </c>
      <c r="BM58" s="17" t="n">
        <f aca="false">SQRT(($B58-BM$8)^2+($C58-BM$9)^2+($D58-BM$10)^2)</f>
        <v>1.23366151427133</v>
      </c>
      <c r="BN58" s="63" t="n">
        <f aca="false">MATCH(MIN(BL58:BM58),BL58:BM58,0)</f>
        <v>2</v>
      </c>
      <c r="BP58" s="17" t="n">
        <f aca="false">SQRT(($B58-BP$8)^2+($C58-BP$9)^2+($D58-BP$10)^2)</f>
        <v>2.13596792887886</v>
      </c>
      <c r="BQ58" s="17" t="n">
        <f aca="false">SQRT(($B58-BQ$8)^2+($C58-BQ$9)^2+($D58-BQ$10)^2)</f>
        <v>1.23366151427133</v>
      </c>
      <c r="BR58" s="63" t="n">
        <f aca="false">MATCH(MIN(BP58:BQ58),BP58:BQ58,0)</f>
        <v>2</v>
      </c>
    </row>
    <row r="59" customFormat="false" ht="15" hidden="false" customHeight="false" outlineLevel="0" collapsed="false">
      <c r="A59" s="36" t="str">
        <f aca="false">KMeans_Data!A49</f>
        <v>Gujranwala</v>
      </c>
      <c r="B59" s="17" t="n">
        <f aca="false">KMeans_Data!H49</f>
        <v>0.238616233785713</v>
      </c>
      <c r="C59" s="17" t="n">
        <f aca="false">KMeans_Data!I49</f>
        <v>-0.672650545388274</v>
      </c>
      <c r="D59" s="17" t="n">
        <f aca="false">KMeans_Data!J49</f>
        <v>-0.824446015898766</v>
      </c>
      <c r="E59" s="63" t="n">
        <f aca="false">BR59</f>
        <v>2</v>
      </c>
      <c r="F59" s="38" t="n">
        <f aca="false">($B59-INDEX($L$8:$M$8,E59))^2+($C59-INDEX($L$9:$M$9,E59))^2+($D59-INDEX($L$10:$M$10,E59))^2</f>
        <v>0.603302887101598</v>
      </c>
      <c r="G59" s="17" t="n">
        <f aca="false">IF(COUNTIF(Distance_Matrix!$E$8:$DQ$8,$E59)&lt;=1,0,SUMIF(Distance_Matrix!$E$8:$DQ$8,$E59,Distance_Matrix!$E$58:$DQ$58)/(COUNTIF(Distance_Matrix!$E$8:$DQ$8,$E59)-1))</f>
        <v>1.18665959754871</v>
      </c>
      <c r="H59" s="17" t="n">
        <f aca="false">MIN(IF(1=$E59,1E+099,IF(COUNTIF(Distance_Matrix!$E$8:$DQ$8,1)=0,1E+099,SUMIF(Distance_Matrix!$E$8:$DQ$8,1,Distance_Matrix!$E$58:$DQ$58)/COUNTIF(Distance_Matrix!$E$8:$DQ$8,1))),IF(2=$E59,1E+099,IF(COUNTIF(Distance_Matrix!$E$8:$DQ$8,2)=0,1E+099,SUMIF(Distance_Matrix!$E$8:$DQ$8,2,Distance_Matrix!$E$58:$DQ$58)/COUNTIF(Distance_Matrix!$E$8:$DQ$8,2))))</f>
        <v>2.91615644896102</v>
      </c>
      <c r="I59" s="17" t="n">
        <f aca="false">IF(COUNTIF(Distance_Matrix!$E$8:$DQ$8,$E59)&lt;=1,0,(H59-G59)/MAX(G59,H59))</f>
        <v>0.593074096565875</v>
      </c>
      <c r="X59" s="17" t="n">
        <f aca="false">SQRT(($B59-X$8)^2+($C59-X$9)^2+($D59-X$10)^2)</f>
        <v>6.93086632696364</v>
      </c>
      <c r="Y59" s="17" t="n">
        <f aca="false">SQRT(($B59-Y$8)^2+($C59-Y$9)^2+($D59-Y$10)^2)</f>
        <v>2.34049876920762</v>
      </c>
      <c r="Z59" s="63" t="n">
        <f aca="false">MATCH(MIN(X59:Y59),X59:Y59,0)</f>
        <v>2</v>
      </c>
      <c r="AB59" s="17" t="n">
        <f aca="false">SQRT(($B59-AB$8)^2+($C59-AB$9)^2+($D59-AB$10)^2)</f>
        <v>4.40247963394854</v>
      </c>
      <c r="AC59" s="17" t="n">
        <f aca="false">SQRT(($B59-AC$8)^2+($C59-AC$9)^2+($D59-AC$10)^2)</f>
        <v>0.898284259611098</v>
      </c>
      <c r="AD59" s="63" t="n">
        <f aca="false">MATCH(MIN(AB59:AC59),AB59:AC59,0)</f>
        <v>2</v>
      </c>
      <c r="AF59" s="17" t="n">
        <f aca="false">SQRT(($B59-AF$8)^2+($C59-AF$9)^2+($D59-AF$10)^2)</f>
        <v>3.80362601601</v>
      </c>
      <c r="AG59" s="17" t="n">
        <f aca="false">SQRT(($B59-AG$8)^2+($C59-AG$9)^2+($D59-AG$10)^2)</f>
        <v>0.855159154065935</v>
      </c>
      <c r="AH59" s="63" t="n">
        <f aca="false">MATCH(MIN(AF59:AG59),AF59:AG59,0)</f>
        <v>2</v>
      </c>
      <c r="AJ59" s="17" t="n">
        <f aca="false">SQRT(($B59-AJ$8)^2+($C59-AJ$9)^2+($D59-AJ$10)^2)</f>
        <v>3.23638875309768</v>
      </c>
      <c r="AK59" s="17" t="n">
        <f aca="false">SQRT(($B59-AK$8)^2+($C59-AK$9)^2+($D59-AK$10)^2)</f>
        <v>0.78173536065849</v>
      </c>
      <c r="AL59" s="63" t="n">
        <f aca="false">MATCH(MIN(AJ59:AK59),AJ59:AK59,0)</f>
        <v>2</v>
      </c>
      <c r="AN59" s="17" t="n">
        <f aca="false">SQRT(($B59-AN$8)^2+($C59-AN$9)^2+($D59-AN$10)^2)</f>
        <v>3.03828577151256</v>
      </c>
      <c r="AO59" s="17" t="n">
        <f aca="false">SQRT(($B59-AO$8)^2+($C59-AO$9)^2+($D59-AO$10)^2)</f>
        <v>0.775085758868798</v>
      </c>
      <c r="AP59" s="63" t="n">
        <f aca="false">MATCH(MIN(AN59:AO59),AN59:AO59,0)</f>
        <v>2</v>
      </c>
      <c r="AR59" s="17" t="n">
        <f aca="false">SQRT(($B59-AR$8)^2+($C59-AR$9)^2+($D59-AR$10)^2)</f>
        <v>2.91619708394128</v>
      </c>
      <c r="AS59" s="17" t="n">
        <f aca="false">SQRT(($B59-AS$8)^2+($C59-AS$9)^2+($D59-AS$10)^2)</f>
        <v>0.776786882815007</v>
      </c>
      <c r="AT59" s="63" t="n">
        <f aca="false">MATCH(MIN(AR59:AS59),AR59:AS59,0)</f>
        <v>2</v>
      </c>
      <c r="AV59" s="17" t="n">
        <f aca="false">SQRT(($B59-AV$8)^2+($C59-AV$9)^2+($D59-AV$10)^2)</f>
        <v>2.87597909022474</v>
      </c>
      <c r="AW59" s="17" t="n">
        <f aca="false">SQRT(($B59-AW$8)^2+($C59-AW$9)^2+($D59-AW$10)^2)</f>
        <v>0.78030819214962</v>
      </c>
      <c r="AX59" s="63" t="n">
        <f aca="false">MATCH(MIN(AV59:AW59),AV59:AW59,0)</f>
        <v>2</v>
      </c>
      <c r="AZ59" s="17" t="n">
        <f aca="false">SQRT(($B59-AZ$8)^2+($C59-AZ$9)^2+($D59-AZ$10)^2)</f>
        <v>2.84092186536253</v>
      </c>
      <c r="BA59" s="17" t="n">
        <f aca="false">SQRT(($B59-BA$8)^2+($C59-BA$9)^2+($D59-BA$10)^2)</f>
        <v>0.776725747675199</v>
      </c>
      <c r="BB59" s="63" t="n">
        <f aca="false">MATCH(MIN(AZ59:BA59),AZ59:BA59,0)</f>
        <v>2</v>
      </c>
      <c r="BD59" s="17" t="n">
        <f aca="false">SQRT(($B59-BD$8)^2+($C59-BD$9)^2+($D59-BD$10)^2)</f>
        <v>2.84092186536253</v>
      </c>
      <c r="BE59" s="17" t="n">
        <f aca="false">SQRT(($B59-BE$8)^2+($C59-BE$9)^2+($D59-BE$10)^2)</f>
        <v>0.776725747675199</v>
      </c>
      <c r="BF59" s="63" t="n">
        <f aca="false">MATCH(MIN(BD59:BE59),BD59:BE59,0)</f>
        <v>2</v>
      </c>
      <c r="BH59" s="17" t="n">
        <f aca="false">SQRT(($B59-BH$8)^2+($C59-BH$9)^2+($D59-BH$10)^2)</f>
        <v>2.84092186536253</v>
      </c>
      <c r="BI59" s="17" t="n">
        <f aca="false">SQRT(($B59-BI$8)^2+($C59-BI$9)^2+($D59-BI$10)^2)</f>
        <v>0.776725747675199</v>
      </c>
      <c r="BJ59" s="63" t="n">
        <f aca="false">MATCH(MIN(BH59:BI59),BH59:BI59,0)</f>
        <v>2</v>
      </c>
      <c r="BL59" s="17" t="n">
        <f aca="false">SQRT(($B59-BL$8)^2+($C59-BL$9)^2+($D59-BL$10)^2)</f>
        <v>2.84092186536253</v>
      </c>
      <c r="BM59" s="17" t="n">
        <f aca="false">SQRT(($B59-BM$8)^2+($C59-BM$9)^2+($D59-BM$10)^2)</f>
        <v>0.776725747675199</v>
      </c>
      <c r="BN59" s="63" t="n">
        <f aca="false">MATCH(MIN(BL59:BM59),BL59:BM59,0)</f>
        <v>2</v>
      </c>
      <c r="BP59" s="17" t="n">
        <f aca="false">SQRT(($B59-BP$8)^2+($C59-BP$9)^2+($D59-BP$10)^2)</f>
        <v>2.84092186536253</v>
      </c>
      <c r="BQ59" s="17" t="n">
        <f aca="false">SQRT(($B59-BQ$8)^2+($C59-BQ$9)^2+($D59-BQ$10)^2)</f>
        <v>0.776725747675199</v>
      </c>
      <c r="BR59" s="63" t="n">
        <f aca="false">MATCH(MIN(BP59:BQ59),BP59:BQ59,0)</f>
        <v>2</v>
      </c>
    </row>
    <row r="60" customFormat="false" ht="15" hidden="false" customHeight="false" outlineLevel="0" collapsed="false">
      <c r="A60" s="36" t="str">
        <f aca="false">KMeans_Data!A50</f>
        <v>Bannu</v>
      </c>
      <c r="B60" s="17" t="n">
        <f aca="false">KMeans_Data!H50</f>
        <v>0.232528795764548</v>
      </c>
      <c r="C60" s="17" t="n">
        <f aca="false">KMeans_Data!I50</f>
        <v>0.160512589624996</v>
      </c>
      <c r="D60" s="17" t="n">
        <f aca="false">KMeans_Data!J50</f>
        <v>0.381616717142464</v>
      </c>
      <c r="E60" s="63" t="n">
        <f aca="false">BR60</f>
        <v>2</v>
      </c>
      <c r="F60" s="38" t="n">
        <f aca="false">($B60-INDEX($L$8:$M$8,E60))^2+($C60-INDEX($L$9:$M$9,E60))^2+($D60-INDEX($L$10:$M$10,E60))^2</f>
        <v>1.67435493985232</v>
      </c>
      <c r="G60" s="17" t="n">
        <f aca="false">IF(COUNTIF(Distance_Matrix!$E$8:$DQ$8,$E60)&lt;=1,0,SUMIF(Distance_Matrix!$E$8:$DQ$8,$E60,Distance_Matrix!$E$59:$DQ$59)/(COUNTIF(Distance_Matrix!$E$8:$DQ$8,$E60)-1))</f>
        <v>1.52242755642024</v>
      </c>
      <c r="H60" s="17" t="n">
        <f aca="false">MIN(IF(1=$E60,1E+099,IF(COUNTIF(Distance_Matrix!$E$8:$DQ$8,1)=0,1E+099,SUMIF(Distance_Matrix!$E$8:$DQ$8,1,Distance_Matrix!$E$59:$DQ$59)/COUNTIF(Distance_Matrix!$E$8:$DQ$8,1))),IF(2=$E60,1E+099,IF(COUNTIF(Distance_Matrix!$E$8:$DQ$8,2)=0,1E+099,SUMIF(Distance_Matrix!$E$8:$DQ$8,2,Distance_Matrix!$E$59:$DQ$59)/COUNTIF(Distance_Matrix!$E$8:$DQ$8,2))))</f>
        <v>1.63932809777698</v>
      </c>
      <c r="I60" s="17" t="n">
        <f aca="false">IF(COUNTIF(Distance_Matrix!$E$8:$DQ$8,$E60)&lt;=1,0,(H60-G60)/MAX(G60,H60))</f>
        <v>0.0713100333699265</v>
      </c>
      <c r="X60" s="17" t="n">
        <f aca="false">SQRT(($B60-X$8)^2+($C60-X$9)^2+($D60-X$10)^2)</f>
        <v>5.70413302159258</v>
      </c>
      <c r="Y60" s="17" t="n">
        <f aca="false">SQRT(($B60-Y$8)^2+($C60-Y$9)^2+($D60-Y$10)^2)</f>
        <v>2.89365929467502</v>
      </c>
      <c r="Z60" s="63" t="n">
        <f aca="false">MATCH(MIN(X60:Y60),X60:Y60,0)</f>
        <v>2</v>
      </c>
      <c r="AB60" s="17" t="n">
        <f aca="false">SQRT(($B60-AB$8)^2+($C60-AB$9)^2+($D60-AB$10)^2)</f>
        <v>3.16652129585814</v>
      </c>
      <c r="AC60" s="17" t="n">
        <f aca="false">SQRT(($B60-AC$8)^2+($C60-AC$9)^2+($D60-AC$10)^2)</f>
        <v>0.792154257778659</v>
      </c>
      <c r="AD60" s="63" t="n">
        <f aca="false">MATCH(MIN(AB60:AC60),AB60:AC60,0)</f>
        <v>2</v>
      </c>
      <c r="AF60" s="17" t="n">
        <f aca="false">SQRT(($B60-AF$8)^2+($C60-AF$9)^2+($D60-AF$10)^2)</f>
        <v>2.55566341781678</v>
      </c>
      <c r="AG60" s="17" t="n">
        <f aca="false">SQRT(($B60-AG$8)^2+($C60-AG$9)^2+($D60-AG$10)^2)</f>
        <v>0.890519107290336</v>
      </c>
      <c r="AH60" s="63" t="n">
        <f aca="false">MATCH(MIN(AF60:AG60),AF60:AG60,0)</f>
        <v>2</v>
      </c>
      <c r="AJ60" s="17" t="n">
        <f aca="false">SQRT(($B60-AJ$8)^2+($C60-AJ$9)^2+($D60-AJ$10)^2)</f>
        <v>1.94573103835251</v>
      </c>
      <c r="AK60" s="17" t="n">
        <f aca="false">SQRT(($B60-AK$8)^2+($C60-AK$9)^2+($D60-AK$10)^2)</f>
        <v>1.09685589254624</v>
      </c>
      <c r="AL60" s="63" t="n">
        <f aca="false">MATCH(MIN(AJ60:AK60),AJ60:AK60,0)</f>
        <v>2</v>
      </c>
      <c r="AN60" s="17" t="n">
        <f aca="false">SQRT(($B60-AN$8)^2+($C60-AN$9)^2+($D60-AN$10)^2)</f>
        <v>1.73619664060416</v>
      </c>
      <c r="AO60" s="17" t="n">
        <f aca="false">SQRT(($B60-AO$8)^2+($C60-AO$9)^2+($D60-AO$10)^2)</f>
        <v>1.20355710226399</v>
      </c>
      <c r="AP60" s="63" t="n">
        <f aca="false">MATCH(MIN(AN60:AO60),AN60:AO60,0)</f>
        <v>2</v>
      </c>
      <c r="AR60" s="17" t="n">
        <f aca="false">SQRT(($B60-AR$8)^2+($C60-AR$9)^2+($D60-AR$10)^2)</f>
        <v>1.60900636556908</v>
      </c>
      <c r="AS60" s="17" t="n">
        <f aca="false">SQRT(($B60-AS$8)^2+($C60-AS$9)^2+($D60-AS$10)^2)</f>
        <v>1.25898808825541</v>
      </c>
      <c r="AT60" s="63" t="n">
        <f aca="false">MATCH(MIN(AR60:AS60),AR60:AS60,0)</f>
        <v>2</v>
      </c>
      <c r="AV60" s="17" t="n">
        <f aca="false">SQRT(($B60-AV$8)^2+($C60-AV$9)^2+($D60-AV$10)^2)</f>
        <v>1.56935623431973</v>
      </c>
      <c r="AW60" s="17" t="n">
        <f aca="false">SQRT(($B60-AW$8)^2+($C60-AW$9)^2+($D60-AW$10)^2)</f>
        <v>1.27664732027691</v>
      </c>
      <c r="AX60" s="63" t="n">
        <f aca="false">MATCH(MIN(AV60:AW60),AV60:AW60,0)</f>
        <v>2</v>
      </c>
      <c r="AZ60" s="17" t="n">
        <f aca="false">SQRT(($B60-AZ$8)^2+($C60-AZ$9)^2+($D60-AZ$10)^2)</f>
        <v>1.52976993746698</v>
      </c>
      <c r="BA60" s="17" t="n">
        <f aca="false">SQRT(($B60-BA$8)^2+($C60-BA$9)^2+($D60-BA$10)^2)</f>
        <v>1.29396867808008</v>
      </c>
      <c r="BB60" s="63" t="n">
        <f aca="false">MATCH(MIN(AZ60:BA60),AZ60:BA60,0)</f>
        <v>2</v>
      </c>
      <c r="BD60" s="17" t="n">
        <f aca="false">SQRT(($B60-BD$8)^2+($C60-BD$9)^2+($D60-BD$10)^2)</f>
        <v>1.52976993746698</v>
      </c>
      <c r="BE60" s="17" t="n">
        <f aca="false">SQRT(($B60-BE$8)^2+($C60-BE$9)^2+($D60-BE$10)^2)</f>
        <v>1.29396867808008</v>
      </c>
      <c r="BF60" s="63" t="n">
        <f aca="false">MATCH(MIN(BD60:BE60),BD60:BE60,0)</f>
        <v>2</v>
      </c>
      <c r="BH60" s="17" t="n">
        <f aca="false">SQRT(($B60-BH$8)^2+($C60-BH$9)^2+($D60-BH$10)^2)</f>
        <v>1.52976993746698</v>
      </c>
      <c r="BI60" s="17" t="n">
        <f aca="false">SQRT(($B60-BI$8)^2+($C60-BI$9)^2+($D60-BI$10)^2)</f>
        <v>1.29396867808008</v>
      </c>
      <c r="BJ60" s="63" t="n">
        <f aca="false">MATCH(MIN(BH60:BI60),BH60:BI60,0)</f>
        <v>2</v>
      </c>
      <c r="BL60" s="17" t="n">
        <f aca="false">SQRT(($B60-BL$8)^2+($C60-BL$9)^2+($D60-BL$10)^2)</f>
        <v>1.52976993746698</v>
      </c>
      <c r="BM60" s="17" t="n">
        <f aca="false">SQRT(($B60-BM$8)^2+($C60-BM$9)^2+($D60-BM$10)^2)</f>
        <v>1.29396867808008</v>
      </c>
      <c r="BN60" s="63" t="n">
        <f aca="false">MATCH(MIN(BL60:BM60),BL60:BM60,0)</f>
        <v>2</v>
      </c>
      <c r="BP60" s="17" t="n">
        <f aca="false">SQRT(($B60-BP$8)^2+($C60-BP$9)^2+($D60-BP$10)^2)</f>
        <v>1.52976993746698</v>
      </c>
      <c r="BQ60" s="17" t="n">
        <f aca="false">SQRT(($B60-BQ$8)^2+($C60-BQ$9)^2+($D60-BQ$10)^2)</f>
        <v>1.29396867808008</v>
      </c>
      <c r="BR60" s="63" t="n">
        <f aca="false">MATCH(MIN(BP60:BQ60),BP60:BQ60,0)</f>
        <v>2</v>
      </c>
    </row>
    <row r="61" customFormat="false" ht="15" hidden="false" customHeight="false" outlineLevel="0" collapsed="false">
      <c r="A61" s="36" t="str">
        <f aca="false">KMeans_Data!A51</f>
        <v>Lodhran</v>
      </c>
      <c r="B61" s="17" t="n">
        <f aca="false">KMeans_Data!H51</f>
        <v>0.200975497781959</v>
      </c>
      <c r="C61" s="17" t="n">
        <f aca="false">KMeans_Data!I51</f>
        <v>-0.672650545388274</v>
      </c>
      <c r="D61" s="17" t="n">
        <f aca="false">KMeans_Data!J51</f>
        <v>-1.14564411633355</v>
      </c>
      <c r="E61" s="63" t="n">
        <f aca="false">BR61</f>
        <v>2</v>
      </c>
      <c r="F61" s="38" t="n">
        <f aca="false">($B61-INDEX($L$8:$M$8,E61))^2+($C61-INDEX($L$9:$M$9,E61))^2+($D61-INDEX($L$10:$M$10,E61))^2</f>
        <v>0.872312006254558</v>
      </c>
      <c r="G61" s="17" t="n">
        <f aca="false">IF(COUNTIF(Distance_Matrix!$E$8:$DQ$8,$E61)&lt;=1,0,SUMIF(Distance_Matrix!$E$8:$DQ$8,$E61,Distance_Matrix!$E$60:$DQ$60)/(COUNTIF(Distance_Matrix!$E$8:$DQ$8,$E61)-1))</f>
        <v>1.2776543151287</v>
      </c>
      <c r="H61" s="17" t="n">
        <f aca="false">MIN(IF(1=$E61,1E+099,IF(COUNTIF(Distance_Matrix!$E$8:$DQ$8,1)=0,1E+099,SUMIF(Distance_Matrix!$E$8:$DQ$8,1,Distance_Matrix!$E$60:$DQ$60)/COUNTIF(Distance_Matrix!$E$8:$DQ$8,1))),IF(2=$E61,1E+099,IF(COUNTIF(Distance_Matrix!$E$8:$DQ$8,2)=0,1E+099,SUMIF(Distance_Matrix!$E$8:$DQ$8,2,Distance_Matrix!$E$60:$DQ$60)/COUNTIF(Distance_Matrix!$E$8:$DQ$8,2))))</f>
        <v>3.15870487620799</v>
      </c>
      <c r="I61" s="17" t="n">
        <f aca="false">IF(COUNTIF(Distance_Matrix!$E$8:$DQ$8,$E61)&lt;=1,0,(H61-G61)/MAX(G61,H61))</f>
        <v>0.595513235582009</v>
      </c>
      <c r="X61" s="17" t="n">
        <f aca="false">SQRT(($B61-X$8)^2+($C61-X$9)^2+($D61-X$10)^2)</f>
        <v>7.14067054710151</v>
      </c>
      <c r="Y61" s="17" t="n">
        <f aca="false">SQRT(($B61-Y$8)^2+($C61-Y$9)^2+($D61-Y$10)^2)</f>
        <v>2.28071347958528</v>
      </c>
      <c r="Z61" s="63" t="n">
        <f aca="false">MATCH(MIN(X61:Y61),X61:Y61,0)</f>
        <v>2</v>
      </c>
      <c r="AB61" s="17" t="n">
        <f aca="false">SQRT(($B61-AB$8)^2+($C61-AB$9)^2+($D61-AB$10)^2)</f>
        <v>4.62010914392532</v>
      </c>
      <c r="AC61" s="17" t="n">
        <f aca="false">SQRT(($B61-AC$8)^2+($C61-AC$9)^2+($D61-AC$10)^2)</f>
        <v>1.13896344867975</v>
      </c>
      <c r="AD61" s="63" t="n">
        <f aca="false">MATCH(MIN(AB61:AC61),AB61:AC61,0)</f>
        <v>2</v>
      </c>
      <c r="AF61" s="17" t="n">
        <f aca="false">SQRT(($B61-AF$8)^2+($C61-AF$9)^2+($D61-AF$10)^2)</f>
        <v>4.02382665099917</v>
      </c>
      <c r="AG61" s="17" t="n">
        <f aca="false">SQRT(($B61-AG$8)^2+($C61-AG$9)^2+($D61-AG$10)^2)</f>
        <v>1.0884354294974</v>
      </c>
      <c r="AH61" s="63" t="n">
        <f aca="false">MATCH(MIN(AF61:AG61),AF61:AG61,0)</f>
        <v>2</v>
      </c>
      <c r="AJ61" s="17" t="n">
        <f aca="false">SQRT(($B61-AJ$8)^2+($C61-AJ$9)^2+($D61-AJ$10)^2)</f>
        <v>3.46747443339534</v>
      </c>
      <c r="AK61" s="17" t="n">
        <f aca="false">SQRT(($B61-AK$8)^2+($C61-AK$9)^2+($D61-AK$10)^2)</f>
        <v>0.98683374142694</v>
      </c>
      <c r="AL61" s="63" t="n">
        <f aca="false">MATCH(MIN(AJ61:AK61),AJ61:AK61,0)</f>
        <v>2</v>
      </c>
      <c r="AN61" s="17" t="n">
        <f aca="false">SQRT(($B61-AN$8)^2+($C61-AN$9)^2+($D61-AN$10)^2)</f>
        <v>3.27667853612131</v>
      </c>
      <c r="AO61" s="17" t="n">
        <f aca="false">SQRT(($B61-AO$8)^2+($C61-AO$9)^2+($D61-AO$10)^2)</f>
        <v>0.954138454118626</v>
      </c>
      <c r="AP61" s="63" t="n">
        <f aca="false">MATCH(MIN(AN61:AO61),AN61:AO61,0)</f>
        <v>2</v>
      </c>
      <c r="AR61" s="17" t="n">
        <f aca="false">SQRT(($B61-AR$8)^2+($C61-AR$9)^2+($D61-AR$10)^2)</f>
        <v>3.15702122715559</v>
      </c>
      <c r="AS61" s="17" t="n">
        <f aca="false">SQRT(($B61-AS$8)^2+($C61-AS$9)^2+($D61-AS$10)^2)</f>
        <v>0.941887352587828</v>
      </c>
      <c r="AT61" s="63" t="n">
        <f aca="false">MATCH(MIN(AR61:AS61),AR61:AS61,0)</f>
        <v>2</v>
      </c>
      <c r="AV61" s="17" t="n">
        <f aca="false">SQRT(($B61-AV$8)^2+($C61-AV$9)^2+($D61-AV$10)^2)</f>
        <v>3.1169753624287</v>
      </c>
      <c r="AW61" s="17" t="n">
        <f aca="false">SQRT(($B61-AW$8)^2+($C61-AW$9)^2+($D61-AW$10)^2)</f>
        <v>0.941237289140094</v>
      </c>
      <c r="AX61" s="63" t="n">
        <f aca="false">MATCH(MIN(AV61:AW61),AV61:AW61,0)</f>
        <v>2</v>
      </c>
      <c r="AZ61" s="17" t="n">
        <f aca="false">SQRT(($B61-AZ$8)^2+($C61-AZ$9)^2+($D61-AZ$10)^2)</f>
        <v>3.08230405041967</v>
      </c>
      <c r="BA61" s="17" t="n">
        <f aca="false">SQRT(($B61-BA$8)^2+($C61-BA$9)^2+($D61-BA$10)^2)</f>
        <v>0.933976448447474</v>
      </c>
      <c r="BB61" s="63" t="n">
        <f aca="false">MATCH(MIN(AZ61:BA61),AZ61:BA61,0)</f>
        <v>2</v>
      </c>
      <c r="BD61" s="17" t="n">
        <f aca="false">SQRT(($B61-BD$8)^2+($C61-BD$9)^2+($D61-BD$10)^2)</f>
        <v>3.08230405041967</v>
      </c>
      <c r="BE61" s="17" t="n">
        <f aca="false">SQRT(($B61-BE$8)^2+($C61-BE$9)^2+($D61-BE$10)^2)</f>
        <v>0.933976448447474</v>
      </c>
      <c r="BF61" s="63" t="n">
        <f aca="false">MATCH(MIN(BD61:BE61),BD61:BE61,0)</f>
        <v>2</v>
      </c>
      <c r="BH61" s="17" t="n">
        <f aca="false">SQRT(($B61-BH$8)^2+($C61-BH$9)^2+($D61-BH$10)^2)</f>
        <v>3.08230405041967</v>
      </c>
      <c r="BI61" s="17" t="n">
        <f aca="false">SQRT(($B61-BI$8)^2+($C61-BI$9)^2+($D61-BI$10)^2)</f>
        <v>0.933976448447474</v>
      </c>
      <c r="BJ61" s="63" t="n">
        <f aca="false">MATCH(MIN(BH61:BI61),BH61:BI61,0)</f>
        <v>2</v>
      </c>
      <c r="BL61" s="17" t="n">
        <f aca="false">SQRT(($B61-BL$8)^2+($C61-BL$9)^2+($D61-BL$10)^2)</f>
        <v>3.08230405041967</v>
      </c>
      <c r="BM61" s="17" t="n">
        <f aca="false">SQRT(($B61-BM$8)^2+($C61-BM$9)^2+($D61-BM$10)^2)</f>
        <v>0.933976448447474</v>
      </c>
      <c r="BN61" s="63" t="n">
        <f aca="false">MATCH(MIN(BL61:BM61),BL61:BM61,0)</f>
        <v>2</v>
      </c>
      <c r="BP61" s="17" t="n">
        <f aca="false">SQRT(($B61-BP$8)^2+($C61-BP$9)^2+($D61-BP$10)^2)</f>
        <v>3.08230405041967</v>
      </c>
      <c r="BQ61" s="17" t="n">
        <f aca="false">SQRT(($B61-BQ$8)^2+($C61-BQ$9)^2+($D61-BQ$10)^2)</f>
        <v>0.933976448447474</v>
      </c>
      <c r="BR61" s="63" t="n">
        <f aca="false">MATCH(MIN(BP61:BQ61),BP61:BQ61,0)</f>
        <v>2</v>
      </c>
    </row>
    <row r="62" customFormat="false" ht="15" hidden="false" customHeight="false" outlineLevel="0" collapsed="false">
      <c r="A62" s="36" t="str">
        <f aca="false">KMeans_Data!A52</f>
        <v>Jacobabad</v>
      </c>
      <c r="B62" s="17" t="n">
        <f aca="false">KMeans_Data!H52</f>
        <v>0.200975497781959</v>
      </c>
      <c r="C62" s="17" t="n">
        <f aca="false">KMeans_Data!I52</f>
        <v>-0.672650545388274</v>
      </c>
      <c r="D62" s="17" t="n">
        <f aca="false">KMeans_Data!J52</f>
        <v>1.03251574201556</v>
      </c>
      <c r="E62" s="63" t="n">
        <f aca="false">BR62</f>
        <v>2</v>
      </c>
      <c r="F62" s="38" t="n">
        <f aca="false">($B62-INDEX($L$8:$M$8,E62))^2+($C62-INDEX($L$9:$M$9,E62))^2+($D62-INDEX($L$10:$M$10,E62))^2</f>
        <v>2.75383736472551</v>
      </c>
      <c r="G62" s="17" t="n">
        <f aca="false">IF(COUNTIF(Distance_Matrix!$E$8:$DQ$8,$E62)&lt;=1,0,SUMIF(Distance_Matrix!$E$8:$DQ$8,$E62,Distance_Matrix!$E$61:$DQ$61)/(COUNTIF(Distance_Matrix!$E$8:$DQ$8,$E62)-1))</f>
        <v>1.82189407023127</v>
      </c>
      <c r="H62" s="17" t="n">
        <f aca="false">MIN(IF(1=$E62,1E+099,IF(COUNTIF(Distance_Matrix!$E$8:$DQ$8,1)=0,1E+099,SUMIF(Distance_Matrix!$E$8:$DQ$8,1,Distance_Matrix!$E$61:$DQ$61)/COUNTIF(Distance_Matrix!$E$8:$DQ$8,1))),IF(2=$E62,1E+099,IF(COUNTIF(Distance_Matrix!$E$8:$DQ$8,2)=0,1E+099,SUMIF(Distance_Matrix!$E$8:$DQ$8,2,Distance_Matrix!$E$61:$DQ$61)/COUNTIF(Distance_Matrix!$E$8:$DQ$8,2))))</f>
        <v>2.17469756998987</v>
      </c>
      <c r="I62" s="17" t="n">
        <f aca="false">IF(COUNTIF(Distance_Matrix!$E$8:$DQ$8,$E62)&lt;=1,0,(H62-G62)/MAX(G62,H62))</f>
        <v>0.162231063586576</v>
      </c>
      <c r="X62" s="17" t="n">
        <f aca="false">SQRT(($B62-X$8)^2+($C62-X$9)^2+($D62-X$10)^2)</f>
        <v>6.04755380426011</v>
      </c>
      <c r="Y62" s="17" t="n">
        <f aca="false">SQRT(($B62-Y$8)^2+($C62-Y$9)^2+($D62-Y$10)^2)</f>
        <v>3.15373339781369</v>
      </c>
      <c r="Z62" s="63" t="n">
        <f aca="false">MATCH(MIN(X62:Y62),X62:Y62,0)</f>
        <v>2</v>
      </c>
      <c r="AB62" s="17" t="n">
        <f aca="false">SQRT(($B62-AB$8)^2+($C62-AB$9)^2+($D62-AB$10)^2)</f>
        <v>3.60140101707715</v>
      </c>
      <c r="AC62" s="17" t="n">
        <f aca="false">SQRT(($B62-AC$8)^2+($C62-AC$9)^2+($D62-AC$10)^2)</f>
        <v>1.34556197849313</v>
      </c>
      <c r="AD62" s="63" t="n">
        <f aca="false">MATCH(MIN(AB62:AC62),AB62:AC62,0)</f>
        <v>2</v>
      </c>
      <c r="AF62" s="17" t="n">
        <f aca="false">SQRT(($B62-AF$8)^2+($C62-AF$9)^2+($D62-AF$10)^2)</f>
        <v>3.04297162316687</v>
      </c>
      <c r="AG62" s="17" t="n">
        <f aca="false">SQRT(($B62-AG$8)^2+($C62-AG$9)^2+($D62-AG$10)^2)</f>
        <v>1.38613920746829</v>
      </c>
      <c r="AH62" s="63" t="n">
        <f aca="false">MATCH(MIN(AF62:AG62),AF62:AG62,0)</f>
        <v>2</v>
      </c>
      <c r="AJ62" s="17" t="n">
        <f aca="false">SQRT(($B62-AJ$8)^2+($C62-AJ$9)^2+($D62-AJ$10)^2)</f>
        <v>2.46540898222608</v>
      </c>
      <c r="AK62" s="17" t="n">
        <f aca="false">SQRT(($B62-AK$8)^2+($C62-AK$9)^2+($D62-AK$10)^2)</f>
        <v>1.50864042979217</v>
      </c>
      <c r="AL62" s="63" t="n">
        <f aca="false">MATCH(MIN(AJ62:AK62),AJ62:AK62,0)</f>
        <v>2</v>
      </c>
      <c r="AN62" s="17" t="n">
        <f aca="false">SQRT(($B62-AN$8)^2+($C62-AN$9)^2+($D62-AN$10)^2)</f>
        <v>2.24657683001144</v>
      </c>
      <c r="AO62" s="17" t="n">
        <f aca="false">SQRT(($B62-AO$8)^2+($C62-AO$9)^2+($D62-AO$10)^2)</f>
        <v>1.59402026542668</v>
      </c>
      <c r="AP62" s="63" t="n">
        <f aca="false">MATCH(MIN(AN62:AO62),AN62:AO62,0)</f>
        <v>2</v>
      </c>
      <c r="AR62" s="17" t="n">
        <f aca="false">SQRT(($B62-AR$8)^2+($C62-AR$9)^2+($D62-AR$10)^2)</f>
        <v>2.12999332331964</v>
      </c>
      <c r="AS62" s="17" t="n">
        <f aca="false">SQRT(($B62-AS$8)^2+($C62-AS$9)^2+($D62-AS$10)^2)</f>
        <v>1.63618917540751</v>
      </c>
      <c r="AT62" s="63" t="n">
        <f aca="false">MATCH(MIN(AR62:AS62),AR62:AS62,0)</f>
        <v>2</v>
      </c>
      <c r="AV62" s="17" t="n">
        <f aca="false">SQRT(($B62-AV$8)^2+($C62-AV$9)^2+($D62-AV$10)^2)</f>
        <v>2.09793794727845</v>
      </c>
      <c r="AW62" s="17" t="n">
        <f aca="false">SQRT(($B62-AW$8)^2+($C62-AW$9)^2+($D62-AW$10)^2)</f>
        <v>1.64786955252204</v>
      </c>
      <c r="AX62" s="63" t="n">
        <f aca="false">MATCH(MIN(AV62:AW62),AV62:AW62,0)</f>
        <v>2</v>
      </c>
      <c r="AZ62" s="17" t="n">
        <f aca="false">SQRT(($B62-AZ$8)^2+($C62-AZ$9)^2+($D62-AZ$10)^2)</f>
        <v>2.06609149760276</v>
      </c>
      <c r="BA62" s="17" t="n">
        <f aca="false">SQRT(($B62-BA$8)^2+($C62-BA$9)^2+($D62-BA$10)^2)</f>
        <v>1.65946900083295</v>
      </c>
      <c r="BB62" s="63" t="n">
        <f aca="false">MATCH(MIN(AZ62:BA62),AZ62:BA62,0)</f>
        <v>2</v>
      </c>
      <c r="BD62" s="17" t="n">
        <f aca="false">SQRT(($B62-BD$8)^2+($C62-BD$9)^2+($D62-BD$10)^2)</f>
        <v>2.06609149760276</v>
      </c>
      <c r="BE62" s="17" t="n">
        <f aca="false">SQRT(($B62-BE$8)^2+($C62-BE$9)^2+($D62-BE$10)^2)</f>
        <v>1.65946900083295</v>
      </c>
      <c r="BF62" s="63" t="n">
        <f aca="false">MATCH(MIN(BD62:BE62),BD62:BE62,0)</f>
        <v>2</v>
      </c>
      <c r="BH62" s="17" t="n">
        <f aca="false">SQRT(($B62-BH$8)^2+($C62-BH$9)^2+($D62-BH$10)^2)</f>
        <v>2.06609149760276</v>
      </c>
      <c r="BI62" s="17" t="n">
        <f aca="false">SQRT(($B62-BI$8)^2+($C62-BI$9)^2+($D62-BI$10)^2)</f>
        <v>1.65946900083295</v>
      </c>
      <c r="BJ62" s="63" t="n">
        <f aca="false">MATCH(MIN(BH62:BI62),BH62:BI62,0)</f>
        <v>2</v>
      </c>
      <c r="BL62" s="17" t="n">
        <f aca="false">SQRT(($B62-BL$8)^2+($C62-BL$9)^2+($D62-BL$10)^2)</f>
        <v>2.06609149760276</v>
      </c>
      <c r="BM62" s="17" t="n">
        <f aca="false">SQRT(($B62-BM$8)^2+($C62-BM$9)^2+($D62-BM$10)^2)</f>
        <v>1.65946900083295</v>
      </c>
      <c r="BN62" s="63" t="n">
        <f aca="false">MATCH(MIN(BL62:BM62),BL62:BM62,0)</f>
        <v>2</v>
      </c>
      <c r="BP62" s="17" t="n">
        <f aca="false">SQRT(($B62-BP$8)^2+($C62-BP$9)^2+($D62-BP$10)^2)</f>
        <v>2.06609149760276</v>
      </c>
      <c r="BQ62" s="17" t="n">
        <f aca="false">SQRT(($B62-BQ$8)^2+($C62-BQ$9)^2+($D62-BQ$10)^2)</f>
        <v>1.65946900083295</v>
      </c>
      <c r="BR62" s="63" t="n">
        <f aca="false">MATCH(MIN(BP62:BQ62),BP62:BQ62,0)</f>
        <v>2</v>
      </c>
    </row>
    <row r="63" customFormat="false" ht="15" hidden="false" customHeight="false" outlineLevel="0" collapsed="false">
      <c r="A63" s="36" t="str">
        <f aca="false">KMeans_Data!A53</f>
        <v>Skardu</v>
      </c>
      <c r="B63" s="17" t="n">
        <f aca="false">KMeans_Data!H53</f>
        <v>0.194428618785618</v>
      </c>
      <c r="C63" s="17" t="n">
        <f aca="false">KMeans_Data!I53</f>
        <v>-0.146983133929529</v>
      </c>
      <c r="D63" s="17" t="n">
        <f aca="false">KMeans_Data!J53</f>
        <v>0.795803793083582</v>
      </c>
      <c r="E63" s="63" t="n">
        <f aca="false">BR63</f>
        <v>2</v>
      </c>
      <c r="F63" s="38" t="n">
        <f aca="false">($B63-INDEX($L$8:$M$8,E63))^2+($C63-INDEX($L$9:$M$9,E63))^2+($D63-INDEX($L$10:$M$10,E63))^2</f>
        <v>2.19430449460936</v>
      </c>
      <c r="G63" s="17" t="n">
        <f aca="false">IF(COUNTIF(Distance_Matrix!$E$8:$DQ$8,$E63)&lt;=1,0,SUMIF(Distance_Matrix!$E$8:$DQ$8,$E63,Distance_Matrix!$E$62:$DQ$62)/(COUNTIF(Distance_Matrix!$E$8:$DQ$8,$E63)-1))</f>
        <v>1.65300723829616</v>
      </c>
      <c r="H63" s="17" t="n">
        <f aca="false">MIN(IF(1=$E63,1E+099,IF(COUNTIF(Distance_Matrix!$E$8:$DQ$8,1)=0,1E+099,SUMIF(Distance_Matrix!$E$8:$DQ$8,1,Distance_Matrix!$E$62:$DQ$62)/COUNTIF(Distance_Matrix!$E$8:$DQ$8,1))),IF(2=$E63,1E+099,IF(COUNTIF(Distance_Matrix!$E$8:$DQ$8,2)=0,1E+099,SUMIF(Distance_Matrix!$E$8:$DQ$8,2,Distance_Matrix!$E$62:$DQ$62)/COUNTIF(Distance_Matrix!$E$8:$DQ$8,2))))</f>
        <v>1.75415668722994</v>
      </c>
      <c r="I63" s="17" t="n">
        <f aca="false">IF(COUNTIF(Distance_Matrix!$E$8:$DQ$8,$E63)&lt;=1,0,(H63-G63)/MAX(G63,H63))</f>
        <v>0.0576627217341156</v>
      </c>
      <c r="X63" s="17" t="n">
        <f aca="false">SQRT(($B63-X$8)^2+($C63-X$9)^2+($D63-X$10)^2)</f>
        <v>5.7483282810053</v>
      </c>
      <c r="Y63" s="17" t="n">
        <f aca="false">SQRT(($B63-Y$8)^2+($C63-Y$9)^2+($D63-Y$10)^2)</f>
        <v>3.03601382402719</v>
      </c>
      <c r="Z63" s="63" t="n">
        <f aca="false">MATCH(MIN(X63:Y63),X63:Y63,0)</f>
        <v>2</v>
      </c>
      <c r="AB63" s="17" t="n">
        <f aca="false">SQRT(($B63-AB$8)^2+($C63-AB$9)^2+($D63-AB$10)^2)</f>
        <v>3.24706869266636</v>
      </c>
      <c r="AC63" s="17" t="n">
        <f aca="false">SQRT(($B63-AC$8)^2+($C63-AC$9)^2+($D63-AC$10)^2)</f>
        <v>1.04409812354178</v>
      </c>
      <c r="AD63" s="63" t="n">
        <f aca="false">MATCH(MIN(AB63:AC63),AB63:AC63,0)</f>
        <v>2</v>
      </c>
      <c r="AF63" s="17" t="n">
        <f aca="false">SQRT(($B63-AF$8)^2+($C63-AF$9)^2+($D63-AF$10)^2)</f>
        <v>2.65800015315318</v>
      </c>
      <c r="AG63" s="17" t="n">
        <f aca="false">SQRT(($B63-AG$8)^2+($C63-AG$9)^2+($D63-AG$10)^2)</f>
        <v>1.11826588773939</v>
      </c>
      <c r="AH63" s="63" t="n">
        <f aca="false">MATCH(MIN(AF63:AG63),AF63:AG63,0)</f>
        <v>2</v>
      </c>
      <c r="AJ63" s="17" t="n">
        <f aca="false">SQRT(($B63-AJ$8)^2+($C63-AJ$9)^2+($D63-AJ$10)^2)</f>
        <v>2.05352049546122</v>
      </c>
      <c r="AK63" s="17" t="n">
        <f aca="false">SQRT(($B63-AK$8)^2+($C63-AK$9)^2+($D63-AK$10)^2)</f>
        <v>1.2962121786277</v>
      </c>
      <c r="AL63" s="63" t="n">
        <f aca="false">MATCH(MIN(AJ63:AK63),AJ63:AK63,0)</f>
        <v>2</v>
      </c>
      <c r="AN63" s="17" t="n">
        <f aca="false">SQRT(($B63-AN$8)^2+($C63-AN$9)^2+($D63-AN$10)^2)</f>
        <v>1.83461346530666</v>
      </c>
      <c r="AO63" s="17" t="n">
        <f aca="false">SQRT(($B63-AO$8)^2+($C63-AO$9)^2+($D63-AO$10)^2)</f>
        <v>1.39847474296202</v>
      </c>
      <c r="AP63" s="63" t="n">
        <f aca="false">MATCH(MIN(AN63:AO63),AN63:AO63,0)</f>
        <v>2</v>
      </c>
      <c r="AR63" s="17" t="n">
        <f aca="false">SQRT(($B63-AR$8)^2+($C63-AR$9)^2+($D63-AR$10)^2)</f>
        <v>1.71071919554757</v>
      </c>
      <c r="AS63" s="17" t="n">
        <f aca="false">SQRT(($B63-AS$8)^2+($C63-AS$9)^2+($D63-AS$10)^2)</f>
        <v>1.45024303312912</v>
      </c>
      <c r="AT63" s="63" t="n">
        <f aca="false">MATCH(MIN(AR63:AS63),AR63:AS63,0)</f>
        <v>2</v>
      </c>
      <c r="AV63" s="17" t="n">
        <f aca="false">SQRT(($B63-AV$8)^2+($C63-AV$9)^2+($D63-AV$10)^2)</f>
        <v>1.67493419032659</v>
      </c>
      <c r="AW63" s="17" t="n">
        <f aca="false">SQRT(($B63-AW$8)^2+($C63-AW$9)^2+($D63-AW$10)^2)</f>
        <v>1.46566135654047</v>
      </c>
      <c r="AX63" s="63" t="n">
        <f aca="false">MATCH(MIN(AV63:AW63),AV63:AW63,0)</f>
        <v>2</v>
      </c>
      <c r="AZ63" s="17" t="n">
        <f aca="false">SQRT(($B63-AZ$8)^2+($C63-AZ$9)^2+($D63-AZ$10)^2)</f>
        <v>1.63828009513269</v>
      </c>
      <c r="BA63" s="17" t="n">
        <f aca="false">SQRT(($B63-BA$8)^2+($C63-BA$9)^2+($D63-BA$10)^2)</f>
        <v>1.48131849870626</v>
      </c>
      <c r="BB63" s="63" t="n">
        <f aca="false">MATCH(MIN(AZ63:BA63),AZ63:BA63,0)</f>
        <v>2</v>
      </c>
      <c r="BD63" s="17" t="n">
        <f aca="false">SQRT(($B63-BD$8)^2+($C63-BD$9)^2+($D63-BD$10)^2)</f>
        <v>1.63828009513269</v>
      </c>
      <c r="BE63" s="17" t="n">
        <f aca="false">SQRT(($B63-BE$8)^2+($C63-BE$9)^2+($D63-BE$10)^2)</f>
        <v>1.48131849870626</v>
      </c>
      <c r="BF63" s="63" t="n">
        <f aca="false">MATCH(MIN(BD63:BE63),BD63:BE63,0)</f>
        <v>2</v>
      </c>
      <c r="BH63" s="17" t="n">
        <f aca="false">SQRT(($B63-BH$8)^2+($C63-BH$9)^2+($D63-BH$10)^2)</f>
        <v>1.63828009513269</v>
      </c>
      <c r="BI63" s="17" t="n">
        <f aca="false">SQRT(($B63-BI$8)^2+($C63-BI$9)^2+($D63-BI$10)^2)</f>
        <v>1.48131849870626</v>
      </c>
      <c r="BJ63" s="63" t="n">
        <f aca="false">MATCH(MIN(BH63:BI63),BH63:BI63,0)</f>
        <v>2</v>
      </c>
      <c r="BL63" s="17" t="n">
        <f aca="false">SQRT(($B63-BL$8)^2+($C63-BL$9)^2+($D63-BL$10)^2)</f>
        <v>1.63828009513269</v>
      </c>
      <c r="BM63" s="17" t="n">
        <f aca="false">SQRT(($B63-BM$8)^2+($C63-BM$9)^2+($D63-BM$10)^2)</f>
        <v>1.48131849870626</v>
      </c>
      <c r="BN63" s="63" t="n">
        <f aca="false">MATCH(MIN(BL63:BM63),BL63:BM63,0)</f>
        <v>2</v>
      </c>
      <c r="BP63" s="17" t="n">
        <f aca="false">SQRT(($B63-BP$8)^2+($C63-BP$9)^2+($D63-BP$10)^2)</f>
        <v>1.63828009513269</v>
      </c>
      <c r="BQ63" s="17" t="n">
        <f aca="false">SQRT(($B63-BQ$8)^2+($C63-BQ$9)^2+($D63-BQ$10)^2)</f>
        <v>1.48131849870626</v>
      </c>
      <c r="BR63" s="63" t="n">
        <f aca="false">MATCH(MIN(BP63:BQ63),BP63:BQ63,0)</f>
        <v>2</v>
      </c>
    </row>
    <row r="64" customFormat="false" ht="15" hidden="false" customHeight="false" outlineLevel="0" collapsed="false">
      <c r="A64" s="36" t="str">
        <f aca="false">KMeans_Data!A54</f>
        <v>Sialkot</v>
      </c>
      <c r="B64" s="17" t="n">
        <f aca="false">KMeans_Data!H54</f>
        <v>0.194428618785618</v>
      </c>
      <c r="C64" s="17" t="n">
        <f aca="false">KMeans_Data!I54</f>
        <v>-0.672650545388274</v>
      </c>
      <c r="D64" s="17" t="n">
        <f aca="false">KMeans_Data!J54</f>
        <v>-1.14564411633355</v>
      </c>
      <c r="E64" s="63" t="n">
        <f aca="false">BR64</f>
        <v>2</v>
      </c>
      <c r="F64" s="38" t="n">
        <f aca="false">($B64-INDEX($L$8:$M$8,E64))^2+($C64-INDEX($L$9:$M$9,E64))^2+($D64-INDEX($L$10:$M$10,E64))^2</f>
        <v>0.863906850435838</v>
      </c>
      <c r="G64" s="17" t="n">
        <f aca="false">IF(COUNTIF(Distance_Matrix!$E$8:$DQ$8,$E64)&lt;=1,0,SUMIF(Distance_Matrix!$E$8:$DQ$8,$E64,Distance_Matrix!$E$63:$DQ$63)/(COUNTIF(Distance_Matrix!$E$8:$DQ$8,$E64)-1))</f>
        <v>1.27422468465989</v>
      </c>
      <c r="H64" s="17" t="n">
        <f aca="false">MIN(IF(1=$E64,1E+099,IF(COUNTIF(Distance_Matrix!$E$8:$DQ$8,1)=0,1E+099,SUMIF(Distance_Matrix!$E$8:$DQ$8,1,Distance_Matrix!$E$63:$DQ$63)/COUNTIF(Distance_Matrix!$E$8:$DQ$8,1))),IF(2=$E64,1E+099,IF(COUNTIF(Distance_Matrix!$E$8:$DQ$8,2)=0,1E+099,SUMIF(Distance_Matrix!$E$8:$DQ$8,2,Distance_Matrix!$E$63:$DQ$63)/COUNTIF(Distance_Matrix!$E$8:$DQ$8,2))))</f>
        <v>3.16022727653915</v>
      </c>
      <c r="I64" s="17" t="n">
        <f aca="false">IF(COUNTIF(Distance_Matrix!$E$8:$DQ$8,$E64)&lt;=1,0,(H64-G64)/MAX(G64,H64))</f>
        <v>0.596793340112129</v>
      </c>
      <c r="X64" s="17" t="n">
        <f aca="false">SQRT(($B64-X$8)^2+($C64-X$9)^2+($D64-X$10)^2)</f>
        <v>7.14349075775095</v>
      </c>
      <c r="Y64" s="17" t="n">
        <f aca="false">SQRT(($B64-Y$8)^2+($C64-Y$9)^2+($D64-Y$10)^2)</f>
        <v>2.27416660058894</v>
      </c>
      <c r="Z64" s="63" t="n">
        <f aca="false">MATCH(MIN(X64:Y64),X64:Y64,0)</f>
        <v>2</v>
      </c>
      <c r="AB64" s="17" t="n">
        <f aca="false">SQRT(($B64-AB$8)^2+($C64-AB$9)^2+($D64-AB$10)^2)</f>
        <v>4.62262591586146</v>
      </c>
      <c r="AC64" s="17" t="n">
        <f aca="false">SQRT(($B64-AC$8)^2+($C64-AC$9)^2+($D64-AC$10)^2)</f>
        <v>1.13676432832691</v>
      </c>
      <c r="AD64" s="63" t="n">
        <f aca="false">MATCH(MIN(AB64:AC64),AB64:AC64,0)</f>
        <v>2</v>
      </c>
      <c r="AF64" s="17" t="n">
        <f aca="false">SQRT(($B64-AF$8)^2+($C64-AF$9)^2+($D64-AF$10)^2)</f>
        <v>4.02613162019024</v>
      </c>
      <c r="AG64" s="17" t="n">
        <f aca="false">SQRT(($B64-AG$8)^2+($C64-AG$9)^2+($D64-AG$10)^2)</f>
        <v>1.08581475074692</v>
      </c>
      <c r="AH64" s="63" t="n">
        <f aca="false">MATCH(MIN(AF64:AG64),AF64:AG64,0)</f>
        <v>2</v>
      </c>
      <c r="AJ64" s="17" t="n">
        <f aca="false">SQRT(($B64-AJ$8)^2+($C64-AJ$9)^2+($D64-AJ$10)^2)</f>
        <v>3.46942235893978</v>
      </c>
      <c r="AK64" s="17" t="n">
        <f aca="false">SQRT(($B64-AK$8)^2+($C64-AK$9)^2+($D64-AK$10)^2)</f>
        <v>0.98329895678767</v>
      </c>
      <c r="AL64" s="63" t="n">
        <f aca="false">MATCH(MIN(AJ64:AK64),AJ64:AK64,0)</f>
        <v>2</v>
      </c>
      <c r="AN64" s="17" t="n">
        <f aca="false">SQRT(($B64-AN$8)^2+($C64-AN$9)^2+($D64-AN$10)^2)</f>
        <v>3.2785798711941</v>
      </c>
      <c r="AO64" s="17" t="n">
        <f aca="false">SQRT(($B64-AO$8)^2+($C64-AO$9)^2+($D64-AO$10)^2)</f>
        <v>0.95005317852379</v>
      </c>
      <c r="AP64" s="63" t="n">
        <f aca="false">MATCH(MIN(AN64:AO64),AN64:AO64,0)</f>
        <v>2</v>
      </c>
      <c r="AR64" s="17" t="n">
        <f aca="false">SQRT(($B64-AR$8)^2+($C64-AR$9)^2+($D64-AR$10)^2)</f>
        <v>3.15886843149599</v>
      </c>
      <c r="AS64" s="17" t="n">
        <f aca="false">SQRT(($B64-AS$8)^2+($C64-AS$9)^2+($D64-AS$10)^2)</f>
        <v>0.93753015187684</v>
      </c>
      <c r="AT64" s="63" t="n">
        <f aca="false">MATCH(MIN(AR64:AS64),AR64:AS64,0)</f>
        <v>2</v>
      </c>
      <c r="AV64" s="17" t="n">
        <f aca="false">SQRT(($B64-AV$8)^2+($C64-AV$9)^2+($D64-AV$10)^2)</f>
        <v>3.11881188904157</v>
      </c>
      <c r="AW64" s="17" t="n">
        <f aca="false">SQRT(($B64-AW$8)^2+($C64-AW$9)^2+($D64-AW$10)^2)</f>
        <v>0.936796294393392</v>
      </c>
      <c r="AX64" s="63" t="n">
        <f aca="false">MATCH(MIN(AV64:AW64),AV64:AW64,0)</f>
        <v>2</v>
      </c>
      <c r="AZ64" s="17" t="n">
        <f aca="false">SQRT(($B64-AZ$8)^2+($C64-AZ$9)^2+($D64-AZ$10)^2)</f>
        <v>3.08409416333144</v>
      </c>
      <c r="BA64" s="17" t="n">
        <f aca="false">SQRT(($B64-BA$8)^2+($C64-BA$9)^2+($D64-BA$10)^2)</f>
        <v>0.929465895251589</v>
      </c>
      <c r="BB64" s="63" t="n">
        <f aca="false">MATCH(MIN(AZ64:BA64),AZ64:BA64,0)</f>
        <v>2</v>
      </c>
      <c r="BD64" s="17" t="n">
        <f aca="false">SQRT(($B64-BD$8)^2+($C64-BD$9)^2+($D64-BD$10)^2)</f>
        <v>3.08409416333144</v>
      </c>
      <c r="BE64" s="17" t="n">
        <f aca="false">SQRT(($B64-BE$8)^2+($C64-BE$9)^2+($D64-BE$10)^2)</f>
        <v>0.929465895251589</v>
      </c>
      <c r="BF64" s="63" t="n">
        <f aca="false">MATCH(MIN(BD64:BE64),BD64:BE64,0)</f>
        <v>2</v>
      </c>
      <c r="BH64" s="17" t="n">
        <f aca="false">SQRT(($B64-BH$8)^2+($C64-BH$9)^2+($D64-BH$10)^2)</f>
        <v>3.08409416333144</v>
      </c>
      <c r="BI64" s="17" t="n">
        <f aca="false">SQRT(($B64-BI$8)^2+($C64-BI$9)^2+($D64-BI$10)^2)</f>
        <v>0.929465895251589</v>
      </c>
      <c r="BJ64" s="63" t="n">
        <f aca="false">MATCH(MIN(BH64:BI64),BH64:BI64,0)</f>
        <v>2</v>
      </c>
      <c r="BL64" s="17" t="n">
        <f aca="false">SQRT(($B64-BL$8)^2+($C64-BL$9)^2+($D64-BL$10)^2)</f>
        <v>3.08409416333144</v>
      </c>
      <c r="BM64" s="17" t="n">
        <f aca="false">SQRT(($B64-BM$8)^2+($C64-BM$9)^2+($D64-BM$10)^2)</f>
        <v>0.929465895251589</v>
      </c>
      <c r="BN64" s="63" t="n">
        <f aca="false">MATCH(MIN(BL64:BM64),BL64:BM64,0)</f>
        <v>2</v>
      </c>
      <c r="BP64" s="17" t="n">
        <f aca="false">SQRT(($B64-BP$8)^2+($C64-BP$9)^2+($D64-BP$10)^2)</f>
        <v>3.08409416333144</v>
      </c>
      <c r="BQ64" s="17" t="n">
        <f aca="false">SQRT(($B64-BQ$8)^2+($C64-BQ$9)^2+($D64-BQ$10)^2)</f>
        <v>0.929465895251589</v>
      </c>
      <c r="BR64" s="63" t="n">
        <f aca="false">MATCH(MIN(BP64:BQ64),BP64:BQ64,0)</f>
        <v>2</v>
      </c>
    </row>
    <row r="65" customFormat="false" ht="15" hidden="false" customHeight="false" outlineLevel="0" collapsed="false">
      <c r="A65" s="36" t="str">
        <f aca="false">KMeans_Data!A55</f>
        <v>Faisalabad</v>
      </c>
      <c r="B65" s="17" t="n">
        <f aca="false">KMeans_Data!H55</f>
        <v>0.187798337815286</v>
      </c>
      <c r="C65" s="17" t="n">
        <f aca="false">KMeans_Data!I55</f>
        <v>-0.672650545388274</v>
      </c>
      <c r="D65" s="17" t="n">
        <f aca="false">KMeans_Data!J55</f>
        <v>-1.14564411633355</v>
      </c>
      <c r="E65" s="63" t="n">
        <f aca="false">BR65</f>
        <v>2</v>
      </c>
      <c r="F65" s="38" t="n">
        <f aca="false">($B65-INDEX($L$8:$M$8,E65))^2+($C65-INDEX($L$9:$M$9,E65))^2+($D65-INDEX($L$10:$M$10,E65))^2</f>
        <v>0.855481987963642</v>
      </c>
      <c r="G65" s="17" t="n">
        <f aca="false">IF(COUNTIF(Distance_Matrix!$E$8:$DQ$8,$E65)&lt;=1,0,SUMIF(Distance_Matrix!$E$8:$DQ$8,$E65,Distance_Matrix!$E$64:$DQ$64)/(COUNTIF(Distance_Matrix!$E$8:$DQ$8,$E65)-1))</f>
        <v>1.2709326218678</v>
      </c>
      <c r="H65" s="17" t="n">
        <f aca="false">MIN(IF(1=$E65,1E+099,IF(COUNTIF(Distance_Matrix!$E$8:$DQ$8,1)=0,1E+099,SUMIF(Distance_Matrix!$E$8:$DQ$8,1,Distance_Matrix!$E$64:$DQ$64)/COUNTIF(Distance_Matrix!$E$8:$DQ$8,1))),IF(2=$E65,1E+099,IF(COUNTIF(Distance_Matrix!$E$8:$DQ$8,2)=0,1E+099,SUMIF(Distance_Matrix!$E$8:$DQ$8,2,Distance_Matrix!$E$64:$DQ$64)/COUNTIF(Distance_Matrix!$E$8:$DQ$8,2))))</f>
        <v>3.16178354983291</v>
      </c>
      <c r="I65" s="17" t="n">
        <f aca="false">IF(COUNTIF(Distance_Matrix!$E$8:$DQ$8,$E65)&lt;=1,0,(H65-G65)/MAX(G65,H65))</f>
        <v>0.598033008320585</v>
      </c>
      <c r="X65" s="17" t="n">
        <f aca="false">SQRT(($B65-X$8)^2+($C65-X$9)^2+($D65-X$10)^2)</f>
        <v>7.14635187409098</v>
      </c>
      <c r="Y65" s="17" t="n">
        <f aca="false">SQRT(($B65-Y$8)^2+($C65-Y$9)^2+($D65-Y$10)^2)</f>
        <v>2.26753631961861</v>
      </c>
      <c r="Z65" s="63" t="n">
        <f aca="false">MATCH(MIN(X65:Y65),X65:Y65,0)</f>
        <v>2</v>
      </c>
      <c r="AB65" s="17" t="n">
        <f aca="false">SQRT(($B65-AB$8)^2+($C65-AB$9)^2+($D65-AB$10)^2)</f>
        <v>4.62518279853041</v>
      </c>
      <c r="AC65" s="17" t="n">
        <f aca="false">SQRT(($B65-AC$8)^2+($C65-AC$9)^2+($D65-AC$10)^2)</f>
        <v>1.13457135191539</v>
      </c>
      <c r="AD65" s="63" t="n">
        <f aca="false">MATCH(MIN(AB65:AC65),AB65:AC65,0)</f>
        <v>2</v>
      </c>
      <c r="AF65" s="17" t="n">
        <f aca="false">SQRT(($B65-AF$8)^2+($C65-AF$9)^2+($D65-AF$10)^2)</f>
        <v>4.02847545254442</v>
      </c>
      <c r="AG65" s="17" t="n">
        <f aca="false">SQRT(($B65-AG$8)^2+($C65-AG$9)^2+($D65-AG$10)^2)</f>
        <v>1.08319455403245</v>
      </c>
      <c r="AH65" s="63" t="n">
        <f aca="false">MATCH(MIN(AF65:AG65),AF65:AG65,0)</f>
        <v>2</v>
      </c>
      <c r="AJ65" s="17" t="n">
        <f aca="false">SQRT(($B65-AJ$8)^2+($C65-AJ$9)^2+($D65-AJ$10)^2)</f>
        <v>3.47140656947215</v>
      </c>
      <c r="AK65" s="17" t="n">
        <f aca="false">SQRT(($B65-AK$8)^2+($C65-AK$9)^2+($D65-AK$10)^2)</f>
        <v>0.979750731665871</v>
      </c>
      <c r="AL65" s="63" t="n">
        <f aca="false">MATCH(MIN(AJ65:AK65),AJ65:AK65,0)</f>
        <v>2</v>
      </c>
      <c r="AN65" s="17" t="n">
        <f aca="false">SQRT(($B65-AN$8)^2+($C65-AN$9)^2+($D65-AN$10)^2)</f>
        <v>3.28051762087221</v>
      </c>
      <c r="AO65" s="17" t="n">
        <f aca="false">SQRT(($B65-AO$8)^2+($C65-AO$9)^2+($D65-AO$10)^2)</f>
        <v>0.945944058920093</v>
      </c>
      <c r="AP65" s="63" t="n">
        <f aca="false">MATCH(MIN(AN65:AO65),AN65:AO65,0)</f>
        <v>2</v>
      </c>
      <c r="AR65" s="17" t="n">
        <f aca="false">SQRT(($B65-AR$8)^2+($C65-AR$9)^2+($D65-AR$10)^2)</f>
        <v>3.16075188830707</v>
      </c>
      <c r="AS65" s="17" t="n">
        <f aca="false">SQRT(($B65-AS$8)^2+($C65-AS$9)^2+($D65-AS$10)^2)</f>
        <v>0.933143522400729</v>
      </c>
      <c r="AT65" s="63" t="n">
        <f aca="false">MATCH(MIN(AR65:AS65),AR65:AS65,0)</f>
        <v>2</v>
      </c>
      <c r="AV65" s="17" t="n">
        <f aca="false">SQRT(($B65-AV$8)^2+($C65-AV$9)^2+($D65-AV$10)^2)</f>
        <v>3.12068470826862</v>
      </c>
      <c r="AW65" s="17" t="n">
        <f aca="false">SQRT(($B65-AW$8)^2+($C65-AW$9)^2+($D65-AW$10)^2)</f>
        <v>0.932324020388401</v>
      </c>
      <c r="AX65" s="63" t="n">
        <f aca="false">MATCH(MIN(AV65:AW65),AV65:AW65,0)</f>
        <v>2</v>
      </c>
      <c r="AZ65" s="17" t="n">
        <f aca="false">SQRT(($B65-AZ$8)^2+($C65-AZ$9)^2+($D65-AZ$10)^2)</f>
        <v>3.08592017846677</v>
      </c>
      <c r="BA65" s="17" t="n">
        <f aca="false">SQRT(($B65-BA$8)^2+($C65-BA$9)^2+($D65-BA$10)^2)</f>
        <v>0.924922692966089</v>
      </c>
      <c r="BB65" s="63" t="n">
        <f aca="false">MATCH(MIN(AZ65:BA65),AZ65:BA65,0)</f>
        <v>2</v>
      </c>
      <c r="BD65" s="17" t="n">
        <f aca="false">SQRT(($B65-BD$8)^2+($C65-BD$9)^2+($D65-BD$10)^2)</f>
        <v>3.08592017846677</v>
      </c>
      <c r="BE65" s="17" t="n">
        <f aca="false">SQRT(($B65-BE$8)^2+($C65-BE$9)^2+($D65-BE$10)^2)</f>
        <v>0.924922692966089</v>
      </c>
      <c r="BF65" s="63" t="n">
        <f aca="false">MATCH(MIN(BD65:BE65),BD65:BE65,0)</f>
        <v>2</v>
      </c>
      <c r="BH65" s="17" t="n">
        <f aca="false">SQRT(($B65-BH$8)^2+($C65-BH$9)^2+($D65-BH$10)^2)</f>
        <v>3.08592017846677</v>
      </c>
      <c r="BI65" s="17" t="n">
        <f aca="false">SQRT(($B65-BI$8)^2+($C65-BI$9)^2+($D65-BI$10)^2)</f>
        <v>0.924922692966089</v>
      </c>
      <c r="BJ65" s="63" t="n">
        <f aca="false">MATCH(MIN(BH65:BI65),BH65:BI65,0)</f>
        <v>2</v>
      </c>
      <c r="BL65" s="17" t="n">
        <f aca="false">SQRT(($B65-BL$8)^2+($C65-BL$9)^2+($D65-BL$10)^2)</f>
        <v>3.08592017846677</v>
      </c>
      <c r="BM65" s="17" t="n">
        <f aca="false">SQRT(($B65-BM$8)^2+($C65-BM$9)^2+($D65-BM$10)^2)</f>
        <v>0.924922692966089</v>
      </c>
      <c r="BN65" s="63" t="n">
        <f aca="false">MATCH(MIN(BL65:BM65),BL65:BM65,0)</f>
        <v>2</v>
      </c>
      <c r="BP65" s="17" t="n">
        <f aca="false">SQRT(($B65-BP$8)^2+($C65-BP$9)^2+($D65-BP$10)^2)</f>
        <v>3.08592017846677</v>
      </c>
      <c r="BQ65" s="17" t="n">
        <f aca="false">SQRT(($B65-BQ$8)^2+($C65-BQ$9)^2+($D65-BQ$10)^2)</f>
        <v>0.924922692966089</v>
      </c>
      <c r="BR65" s="63" t="n">
        <f aca="false">MATCH(MIN(BP65:BQ65),BP65:BQ65,0)</f>
        <v>2</v>
      </c>
    </row>
    <row r="66" customFormat="false" ht="15" hidden="false" customHeight="false" outlineLevel="0" collapsed="false">
      <c r="A66" s="36" t="str">
        <f aca="false">KMeans_Data!A56</f>
        <v>Jhelum</v>
      </c>
      <c r="B66" s="17" t="n">
        <f aca="false">KMeans_Data!H56</f>
        <v>0.167385132550892</v>
      </c>
      <c r="C66" s="17" t="n">
        <f aca="false">KMeans_Data!I56</f>
        <v>-0.672650545388274</v>
      </c>
      <c r="D66" s="17" t="n">
        <f aca="false">KMeans_Data!J56</f>
        <v>-0.503247915463979</v>
      </c>
      <c r="E66" s="63" t="n">
        <f aca="false">BR66</f>
        <v>2</v>
      </c>
      <c r="F66" s="38" t="n">
        <f aca="false">($B66-INDEX($L$8:$M$8,E66))^2+($C66-INDEX($L$9:$M$9,E66))^2+($D66-INDEX($L$10:$M$10,E66))^2</f>
        <v>0.398437902014247</v>
      </c>
      <c r="G66" s="17" t="n">
        <f aca="false">IF(COUNTIF(Distance_Matrix!$E$8:$DQ$8,$E66)&lt;=1,0,SUMIF(Distance_Matrix!$E$8:$DQ$8,$E66,Distance_Matrix!$E$65:$DQ$65)/(COUNTIF(Distance_Matrix!$E$8:$DQ$8,$E66)-1))</f>
        <v>1.10777365762638</v>
      </c>
      <c r="H66" s="17" t="n">
        <f aca="false">MIN(IF(1=$E66,1E+099,IF(COUNTIF(Distance_Matrix!$E$8:$DQ$8,1)=0,1E+099,SUMIF(Distance_Matrix!$E$8:$DQ$8,1,Distance_Matrix!$E$65:$DQ$65)/COUNTIF(Distance_Matrix!$E$8:$DQ$8,1))),IF(2=$E66,1E+099,IF(COUNTIF(Distance_Matrix!$E$8:$DQ$8,2)=0,1E+099,SUMIF(Distance_Matrix!$E$8:$DQ$8,2,Distance_Matrix!$E$65:$DQ$65)/COUNTIF(Distance_Matrix!$E$8:$DQ$8,2))))</f>
        <v>2.72030081341576</v>
      </c>
      <c r="I66" s="17" t="n">
        <f aca="false">IF(COUNTIF(Distance_Matrix!$E$8:$DQ$8,$E66)&lt;=1,0,(H66-G66)/MAX(G66,H66))</f>
        <v>0.592775309199941</v>
      </c>
      <c r="X66" s="17" t="n">
        <f aca="false">SQRT(($B66-X$8)^2+($C66-X$9)^2+($D66-X$10)^2)</f>
        <v>6.77926767473373</v>
      </c>
      <c r="Y66" s="17" t="n">
        <f aca="false">SQRT(($B66-Y$8)^2+($C66-Y$9)^2+($D66-Y$10)^2)</f>
        <v>2.33714252238854</v>
      </c>
      <c r="Z66" s="63" t="n">
        <f aca="false">MATCH(MIN(X66:Y66),X66:Y66,0)</f>
        <v>2</v>
      </c>
      <c r="AB66" s="17" t="n">
        <f aca="false">SQRT(($B66-AB$8)^2+($C66-AB$9)^2+($D66-AB$10)^2)</f>
        <v>4.24370104327774</v>
      </c>
      <c r="AC66" s="17" t="n">
        <f aca="false">SQRT(($B66-AC$8)^2+($C66-AC$9)^2+($D66-AC$10)^2)</f>
        <v>0.661275615992641</v>
      </c>
      <c r="AD66" s="63" t="n">
        <f aca="false">MATCH(MIN(AB66:AC66),AB66:AC66,0)</f>
        <v>2</v>
      </c>
      <c r="AF66" s="17" t="n">
        <f aca="false">SQRT(($B66-AF$8)^2+($C66-AF$9)^2+($D66-AF$10)^2)</f>
        <v>3.6409393586383</v>
      </c>
      <c r="AG66" s="17" t="n">
        <f aca="false">SQRT(($B66-AG$8)^2+($C66-AG$9)^2+($D66-AG$10)^2)</f>
        <v>0.622145867332106</v>
      </c>
      <c r="AH66" s="63" t="n">
        <f aca="false">MATCH(MIN(AF66:AG66),AF66:AG66,0)</f>
        <v>2</v>
      </c>
      <c r="AJ66" s="17" t="n">
        <f aca="false">SQRT(($B66-AJ$8)^2+($C66-AJ$9)^2+($D66-AJ$10)^2)</f>
        <v>3.0583773241879</v>
      </c>
      <c r="AK66" s="17" t="n">
        <f aca="false">SQRT(($B66-AK$8)^2+($C66-AK$9)^2+($D66-AK$10)^2)</f>
        <v>0.580077192408131</v>
      </c>
      <c r="AL66" s="63" t="n">
        <f aca="false">MATCH(MIN(AJ66:AK66),AJ66:AK66,0)</f>
        <v>2</v>
      </c>
      <c r="AN66" s="17" t="n">
        <f aca="false">SQRT(($B66-AN$8)^2+($C66-AN$9)^2+($D66-AN$10)^2)</f>
        <v>2.85252935955968</v>
      </c>
      <c r="AO66" s="17" t="n">
        <f aca="false">SQRT(($B66-AO$8)^2+($C66-AO$9)^2+($D66-AO$10)^2)</f>
        <v>0.604723130270819</v>
      </c>
      <c r="AP66" s="63" t="n">
        <f aca="false">MATCH(MIN(AN66:AO66),AN66:AO66,0)</f>
        <v>2</v>
      </c>
      <c r="AR66" s="17" t="n">
        <f aca="false">SQRT(($B66-AR$8)^2+($C66-AR$9)^2+($D66-AR$10)^2)</f>
        <v>2.72755551991861</v>
      </c>
      <c r="AS66" s="17" t="n">
        <f aca="false">SQRT(($B66-AS$8)^2+($C66-AS$9)^2+($D66-AS$10)^2)</f>
        <v>0.622400725990447</v>
      </c>
      <c r="AT66" s="63" t="n">
        <f aca="false">MATCH(MIN(AR66:AS66),AR66:AS66,0)</f>
        <v>2</v>
      </c>
      <c r="AV66" s="17" t="n">
        <f aca="false">SQRT(($B66-AV$8)^2+($C66-AV$9)^2+($D66-AV$10)^2)</f>
        <v>2.68725500361056</v>
      </c>
      <c r="AW66" s="17" t="n">
        <f aca="false">SQRT(($B66-AW$8)^2+($C66-AW$9)^2+($D66-AW$10)^2)</f>
        <v>0.630123919607132</v>
      </c>
      <c r="AX66" s="63" t="n">
        <f aca="false">MATCH(MIN(AV66:AW66),AV66:AW66,0)</f>
        <v>2</v>
      </c>
      <c r="AZ66" s="17" t="n">
        <f aca="false">SQRT(($B66-AZ$8)^2+($C66-AZ$9)^2+($D66-AZ$10)^2)</f>
        <v>2.65114325882338</v>
      </c>
      <c r="BA66" s="17" t="n">
        <f aca="false">SQRT(($B66-BA$8)^2+($C66-BA$9)^2+($D66-BA$10)^2)</f>
        <v>0.631219377090285</v>
      </c>
      <c r="BB66" s="63" t="n">
        <f aca="false">MATCH(MIN(AZ66:BA66),AZ66:BA66,0)</f>
        <v>2</v>
      </c>
      <c r="BD66" s="17" t="n">
        <f aca="false">SQRT(($B66-BD$8)^2+($C66-BD$9)^2+($D66-BD$10)^2)</f>
        <v>2.65114325882338</v>
      </c>
      <c r="BE66" s="17" t="n">
        <f aca="false">SQRT(($B66-BE$8)^2+($C66-BE$9)^2+($D66-BE$10)^2)</f>
        <v>0.631219377090285</v>
      </c>
      <c r="BF66" s="63" t="n">
        <f aca="false">MATCH(MIN(BD66:BE66),BD66:BE66,0)</f>
        <v>2</v>
      </c>
      <c r="BH66" s="17" t="n">
        <f aca="false">SQRT(($B66-BH$8)^2+($C66-BH$9)^2+($D66-BH$10)^2)</f>
        <v>2.65114325882338</v>
      </c>
      <c r="BI66" s="17" t="n">
        <f aca="false">SQRT(($B66-BI$8)^2+($C66-BI$9)^2+($D66-BI$10)^2)</f>
        <v>0.631219377090285</v>
      </c>
      <c r="BJ66" s="63" t="n">
        <f aca="false">MATCH(MIN(BH66:BI66),BH66:BI66,0)</f>
        <v>2</v>
      </c>
      <c r="BL66" s="17" t="n">
        <f aca="false">SQRT(($B66-BL$8)^2+($C66-BL$9)^2+($D66-BL$10)^2)</f>
        <v>2.65114325882338</v>
      </c>
      <c r="BM66" s="17" t="n">
        <f aca="false">SQRT(($B66-BM$8)^2+($C66-BM$9)^2+($D66-BM$10)^2)</f>
        <v>0.631219377090285</v>
      </c>
      <c r="BN66" s="63" t="n">
        <f aca="false">MATCH(MIN(BL66:BM66),BL66:BM66,0)</f>
        <v>2</v>
      </c>
      <c r="BP66" s="17" t="n">
        <f aca="false">SQRT(($B66-BP$8)^2+($C66-BP$9)^2+($D66-BP$10)^2)</f>
        <v>2.65114325882338</v>
      </c>
      <c r="BQ66" s="17" t="n">
        <f aca="false">SQRT(($B66-BQ$8)^2+($C66-BQ$9)^2+($D66-BQ$10)^2)</f>
        <v>0.631219377090285</v>
      </c>
      <c r="BR66" s="63" t="n">
        <f aca="false">MATCH(MIN(BP66:BQ66),BP66:BQ66,0)</f>
        <v>2</v>
      </c>
    </row>
    <row r="67" customFormat="false" ht="15" hidden="false" customHeight="false" outlineLevel="0" collapsed="false">
      <c r="A67" s="36" t="str">
        <f aca="false">KMeans_Data!A57</f>
        <v>Vehari</v>
      </c>
      <c r="B67" s="17" t="n">
        <f aca="false">KMeans_Data!H57</f>
        <v>0.153317518957985</v>
      </c>
      <c r="C67" s="17" t="n">
        <f aca="false">KMeans_Data!I57</f>
        <v>-0.672650545388274</v>
      </c>
      <c r="D67" s="17" t="n">
        <f aca="false">KMeans_Data!J57</f>
        <v>-0.2439270481224</v>
      </c>
      <c r="E67" s="63" t="n">
        <f aca="false">BR67</f>
        <v>2</v>
      </c>
      <c r="F67" s="38" t="n">
        <f aca="false">($B67-INDEX($L$8:$M$8,E67))^2+($C67-INDEX($L$9:$M$9,E67))^2+($D67-INDEX($L$10:$M$10,E67))^2</f>
        <v>0.44101171466933</v>
      </c>
      <c r="G67" s="17" t="n">
        <f aca="false">IF(COUNTIF(Distance_Matrix!$E$8:$DQ$8,$E67)&lt;=1,0,SUMIF(Distance_Matrix!$E$8:$DQ$8,$E67,Distance_Matrix!$E$66:$DQ$66)/(COUNTIF(Distance_Matrix!$E$8:$DQ$8,$E67)-1))</f>
        <v>1.12048499695831</v>
      </c>
      <c r="H67" s="17" t="n">
        <f aca="false">MIN(IF(1=$E67,1E+099,IF(COUNTIF(Distance_Matrix!$E$8:$DQ$8,1)=0,1E+099,SUMIF(Distance_Matrix!$E$8:$DQ$8,1,Distance_Matrix!$E$66:$DQ$66)/COUNTIF(Distance_Matrix!$E$8:$DQ$8,1))),IF(2=$E67,1E+099,IF(COUNTIF(Distance_Matrix!$E$8:$DQ$8,2)=0,1E+099,SUMIF(Distance_Matrix!$E$8:$DQ$8,2,Distance_Matrix!$E$66:$DQ$66)/COUNTIF(Distance_Matrix!$E$8:$DQ$8,2))))</f>
        <v>2.57014598345526</v>
      </c>
      <c r="I67" s="17" t="n">
        <f aca="false">IF(COUNTIF(Distance_Matrix!$E$8:$DQ$8,$E67)&lt;=1,0,(H67-G67)/MAX(G67,H67))</f>
        <v>0.564038383745055</v>
      </c>
      <c r="X67" s="17" t="n">
        <f aca="false">SQRT(($B67-X$8)^2+($C67-X$9)^2+($D67-X$10)^2)</f>
        <v>6.6457002194291</v>
      </c>
      <c r="Y67" s="17" t="n">
        <f aca="false">SQRT(($B67-Y$8)^2+($C67-Y$9)^2+($D67-Y$10)^2)</f>
        <v>2.40824220970061</v>
      </c>
      <c r="Z67" s="63" t="n">
        <f aca="false">MATCH(MIN(X67:Y67),X67:Y67,0)</f>
        <v>2</v>
      </c>
      <c r="AB67" s="17" t="n">
        <f aca="false">SQRT(($B67-AB$8)^2+($C67-AB$9)^2+($D67-AB$10)^2)</f>
        <v>4.1107770604104</v>
      </c>
      <c r="AC67" s="17" t="n">
        <f aca="false">SQRT(($B67-AC$8)^2+($C67-AC$9)^2+($D67-AC$10)^2)</f>
        <v>0.569448874623248</v>
      </c>
      <c r="AD67" s="63" t="n">
        <f aca="false">MATCH(MIN(AB67:AC67),AB67:AC67,0)</f>
        <v>2</v>
      </c>
      <c r="AF67" s="17" t="n">
        <f aca="false">SQRT(($B67-AF$8)^2+($C67-AF$9)^2+($D67-AF$10)^2)</f>
        <v>3.50823434523164</v>
      </c>
      <c r="AG67" s="17" t="n">
        <f aca="false">SQRT(($B67-AG$8)^2+($C67-AG$9)^2+($D67-AG$10)^2)</f>
        <v>0.546953289920919</v>
      </c>
      <c r="AH67" s="63" t="n">
        <f aca="false">MATCH(MIN(AF67:AG67),AF67:AG67,0)</f>
        <v>2</v>
      </c>
      <c r="AJ67" s="17" t="n">
        <f aca="false">SQRT(($B67-AJ$8)^2+($C67-AJ$9)^2+($D67-AJ$10)^2)</f>
        <v>2.91745400538882</v>
      </c>
      <c r="AK67" s="17" t="n">
        <f aca="false">SQRT(($B67-AK$8)^2+($C67-AK$9)^2+($D67-AK$10)^2)</f>
        <v>0.559627663304936</v>
      </c>
      <c r="AL67" s="63" t="n">
        <f aca="false">MATCH(MIN(AJ67:AK67),AJ67:AK67,0)</f>
        <v>2</v>
      </c>
      <c r="AN67" s="17" t="n">
        <f aca="false">SQRT(($B67-AN$8)^2+($C67-AN$9)^2+($D67-AN$10)^2)</f>
        <v>2.70609853625889</v>
      </c>
      <c r="AO67" s="17" t="n">
        <f aca="false">SQRT(($B67-AO$8)^2+($C67-AO$9)^2+($D67-AO$10)^2)</f>
        <v>0.616218803874513</v>
      </c>
      <c r="AP67" s="63" t="n">
        <f aca="false">MATCH(MIN(AN67:AO67),AN67:AO67,0)</f>
        <v>2</v>
      </c>
      <c r="AR67" s="17" t="n">
        <f aca="false">SQRT(($B67-AR$8)^2+($C67-AR$9)^2+($D67-AR$10)^2)</f>
        <v>2.57968974273721</v>
      </c>
      <c r="AS67" s="17" t="n">
        <f aca="false">SQRT(($B67-AS$8)^2+($C67-AS$9)^2+($D67-AS$10)^2)</f>
        <v>0.6477036453299</v>
      </c>
      <c r="AT67" s="63" t="n">
        <f aca="false">MATCH(MIN(AR67:AS67),AR67:AS67,0)</f>
        <v>2</v>
      </c>
      <c r="AV67" s="17" t="n">
        <f aca="false">SQRT(($B67-AV$8)^2+($C67-AV$9)^2+($D67-AV$10)^2)</f>
        <v>2.53966444746646</v>
      </c>
      <c r="AW67" s="17" t="n">
        <f aca="false">SQRT(($B67-AW$8)^2+($C67-AW$9)^2+($D67-AW$10)^2)</f>
        <v>0.658468596772767</v>
      </c>
      <c r="AX67" s="63" t="n">
        <f aca="false">MATCH(MIN(AV67:AW67),AV67:AW67,0)</f>
        <v>2</v>
      </c>
      <c r="AZ67" s="17" t="n">
        <f aca="false">SQRT(($B67-AZ$8)^2+($C67-AZ$9)^2+($D67-AZ$10)^2)</f>
        <v>2.5032038139215</v>
      </c>
      <c r="BA67" s="17" t="n">
        <f aca="false">SQRT(($B67-BA$8)^2+($C67-BA$9)^2+($D67-BA$10)^2)</f>
        <v>0.664087128823719</v>
      </c>
      <c r="BB67" s="63" t="n">
        <f aca="false">MATCH(MIN(AZ67:BA67),AZ67:BA67,0)</f>
        <v>2</v>
      </c>
      <c r="BD67" s="17" t="n">
        <f aca="false">SQRT(($B67-BD$8)^2+($C67-BD$9)^2+($D67-BD$10)^2)</f>
        <v>2.5032038139215</v>
      </c>
      <c r="BE67" s="17" t="n">
        <f aca="false">SQRT(($B67-BE$8)^2+($C67-BE$9)^2+($D67-BE$10)^2)</f>
        <v>0.664087128823719</v>
      </c>
      <c r="BF67" s="63" t="n">
        <f aca="false">MATCH(MIN(BD67:BE67),BD67:BE67,0)</f>
        <v>2</v>
      </c>
      <c r="BH67" s="17" t="n">
        <f aca="false">SQRT(($B67-BH$8)^2+($C67-BH$9)^2+($D67-BH$10)^2)</f>
        <v>2.5032038139215</v>
      </c>
      <c r="BI67" s="17" t="n">
        <f aca="false">SQRT(($B67-BI$8)^2+($C67-BI$9)^2+($D67-BI$10)^2)</f>
        <v>0.664087128823719</v>
      </c>
      <c r="BJ67" s="63" t="n">
        <f aca="false">MATCH(MIN(BH67:BI67),BH67:BI67,0)</f>
        <v>2</v>
      </c>
      <c r="BL67" s="17" t="n">
        <f aca="false">SQRT(($B67-BL$8)^2+($C67-BL$9)^2+($D67-BL$10)^2)</f>
        <v>2.5032038139215</v>
      </c>
      <c r="BM67" s="17" t="n">
        <f aca="false">SQRT(($B67-BM$8)^2+($C67-BM$9)^2+($D67-BM$10)^2)</f>
        <v>0.664087128823719</v>
      </c>
      <c r="BN67" s="63" t="n">
        <f aca="false">MATCH(MIN(BL67:BM67),BL67:BM67,0)</f>
        <v>2</v>
      </c>
      <c r="BP67" s="17" t="n">
        <f aca="false">SQRT(($B67-BP$8)^2+($C67-BP$9)^2+($D67-BP$10)^2)</f>
        <v>2.5032038139215</v>
      </c>
      <c r="BQ67" s="17" t="n">
        <f aca="false">SQRT(($B67-BQ$8)^2+($C67-BQ$9)^2+($D67-BQ$10)^2)</f>
        <v>0.664087128823719</v>
      </c>
      <c r="BR67" s="63" t="n">
        <f aca="false">MATCH(MIN(BP67:BQ67),BP67:BQ67,0)</f>
        <v>2</v>
      </c>
    </row>
    <row r="68" customFormat="false" ht="15" hidden="false" customHeight="false" outlineLevel="0" collapsed="false">
      <c r="A68" s="36" t="str">
        <f aca="false">KMeans_Data!A58</f>
        <v>Astore</v>
      </c>
      <c r="B68" s="17" t="n">
        <f aca="false">KMeans_Data!H58</f>
        <v>0.131476411515176</v>
      </c>
      <c r="C68" s="17" t="n">
        <f aca="false">KMeans_Data!I58</f>
        <v>1.38107452085777</v>
      </c>
      <c r="D68" s="17" t="n">
        <f aca="false">KMeans_Data!J58</f>
        <v>0.774246840861612</v>
      </c>
      <c r="E68" s="63" t="n">
        <f aca="false">BR68</f>
        <v>1</v>
      </c>
      <c r="F68" s="38" t="n">
        <f aca="false">($B68-INDEX($L$8:$M$8,E68))^2+($C68-INDEX($L$9:$M$9,E68))^2+($D68-INDEX($L$10:$M$10,E68))^2</f>
        <v>0.992456430015839</v>
      </c>
      <c r="G68" s="17" t="n">
        <f aca="false">IF(COUNTIF(Distance_Matrix!$E$8:$DQ$8,$E68)&lt;=1,0,SUMIF(Distance_Matrix!$E$8:$DQ$8,$E68,Distance_Matrix!$E$67:$DQ$67)/(COUNTIF(Distance_Matrix!$E$8:$DQ$8,$E68)-1))</f>
        <v>1.43476748782554</v>
      </c>
      <c r="H68" s="17" t="n">
        <f aca="false">MIN(IF(1=$E68,1E+099,IF(COUNTIF(Distance_Matrix!$E$8:$DQ$8,1)=0,1E+099,SUMIF(Distance_Matrix!$E$8:$DQ$8,1,Distance_Matrix!$E$67:$DQ$67)/COUNTIF(Distance_Matrix!$E$8:$DQ$8,1))),IF(2=$E68,1E+099,IF(COUNTIF(Distance_Matrix!$E$8:$DQ$8,2)=0,1E+099,SUMIF(Distance_Matrix!$E$8:$DQ$8,2,Distance_Matrix!$E$67:$DQ$67)/COUNTIF(Distance_Matrix!$E$8:$DQ$8,2))))</f>
        <v>2.49466757815526</v>
      </c>
      <c r="I68" s="17" t="n">
        <f aca="false">IF(COUNTIF(Distance_Matrix!$E$8:$DQ$8,$E68)&lt;=1,0,(H68-G68)/MAX(G68,H68))</f>
        <v>0.424866262587774</v>
      </c>
      <c r="X68" s="17" t="n">
        <f aca="false">SQRT(($B68-X$8)^2+($C68-X$9)^2+($D68-X$10)^2)</f>
        <v>4.80457793575169</v>
      </c>
      <c r="Y68" s="17" t="n">
        <f aca="false">SQRT(($B68-Y$8)^2+($C68-Y$9)^2+($D68-Y$10)^2)</f>
        <v>3.57676348511696</v>
      </c>
      <c r="Z68" s="63" t="n">
        <f aca="false">MATCH(MIN(X68:Y68),X68:Y68,0)</f>
        <v>2</v>
      </c>
      <c r="AB68" s="17" t="n">
        <f aca="false">SQRT(($B68-AB$8)^2+($C68-AB$9)^2+($D68-AB$10)^2)</f>
        <v>2.35049433842401</v>
      </c>
      <c r="AC68" s="17" t="n">
        <f aca="false">SQRT(($B68-AC$8)^2+($C68-AC$9)^2+($D68-AC$10)^2)</f>
        <v>1.88725506209891</v>
      </c>
      <c r="AD68" s="63" t="n">
        <f aca="false">MATCH(MIN(AB68:AC68),AB68:AC68,0)</f>
        <v>2</v>
      </c>
      <c r="AF68" s="17" t="n">
        <f aca="false">SQRT(($B68-AF$8)^2+($C68-AF$9)^2+($D68-AF$10)^2)</f>
        <v>1.76939296372925</v>
      </c>
      <c r="AG68" s="17" t="n">
        <f aca="false">SQRT(($B68-AG$8)^2+($C68-AG$9)^2+($D68-AG$10)^2)</f>
        <v>1.98237329466654</v>
      </c>
      <c r="AH68" s="63" t="n">
        <f aca="false">MATCH(MIN(AF68:AG68),AF68:AG68,0)</f>
        <v>1</v>
      </c>
      <c r="AJ68" s="17" t="n">
        <f aca="false">SQRT(($B68-AJ$8)^2+($C68-AJ$9)^2+($D68-AJ$10)^2)</f>
        <v>1.23286204267521</v>
      </c>
      <c r="AK68" s="17" t="n">
        <f aca="false">SQRT(($B68-AK$8)^2+($C68-AK$9)^2+($D68-AK$10)^2)</f>
        <v>2.17763860927663</v>
      </c>
      <c r="AL68" s="63" t="n">
        <f aca="false">MATCH(MIN(AJ68:AK68),AJ68:AK68,0)</f>
        <v>1</v>
      </c>
      <c r="AN68" s="17" t="n">
        <f aca="false">SQRT(($B68-AN$8)^2+($C68-AN$9)^2+($D68-AN$10)^2)</f>
        <v>1.12393021980001</v>
      </c>
      <c r="AO68" s="17" t="n">
        <f aca="false">SQRT(($B68-AO$8)^2+($C68-AO$9)^2+($D68-AO$10)^2)</f>
        <v>2.26796828226737</v>
      </c>
      <c r="AP68" s="63" t="n">
        <f aca="false">MATCH(MIN(AN68:AO68),AN68:AO68,0)</f>
        <v>1</v>
      </c>
      <c r="AR68" s="17" t="n">
        <f aca="false">SQRT(($B68-AR$8)^2+($C68-AR$9)^2+($D68-AR$10)^2)</f>
        <v>1.05091663692732</v>
      </c>
      <c r="AS68" s="17" t="n">
        <f aca="false">SQRT(($B68-AS$8)^2+($C68-AS$9)^2+($D68-AS$10)^2)</f>
        <v>2.31730945503402</v>
      </c>
      <c r="AT68" s="63" t="n">
        <f aca="false">MATCH(MIN(AR68:AS68),AR68:AS68,0)</f>
        <v>1</v>
      </c>
      <c r="AV68" s="17" t="n">
        <f aca="false">SQRT(($B68-AV$8)^2+($C68-AV$9)^2+($D68-AV$10)^2)</f>
        <v>1.029087411696</v>
      </c>
      <c r="AW68" s="17" t="n">
        <f aca="false">SQRT(($B68-AW$8)^2+($C68-AW$9)^2+($D68-AW$10)^2)</f>
        <v>2.33348720124254</v>
      </c>
      <c r="AX68" s="63" t="n">
        <f aca="false">MATCH(MIN(AV68:AW68),AV68:AW68,0)</f>
        <v>1</v>
      </c>
      <c r="AZ68" s="17" t="n">
        <f aca="false">SQRT(($B68-AZ$8)^2+($C68-AZ$9)^2+($D68-AZ$10)^2)</f>
        <v>0.996221074870352</v>
      </c>
      <c r="BA68" s="17" t="n">
        <f aca="false">SQRT(($B68-BA$8)^2+($C68-BA$9)^2+($D68-BA$10)^2)</f>
        <v>2.35146438699267</v>
      </c>
      <c r="BB68" s="63" t="n">
        <f aca="false">MATCH(MIN(AZ68:BA68),AZ68:BA68,0)</f>
        <v>1</v>
      </c>
      <c r="BD68" s="17" t="n">
        <f aca="false">SQRT(($B68-BD$8)^2+($C68-BD$9)^2+($D68-BD$10)^2)</f>
        <v>0.996221074870352</v>
      </c>
      <c r="BE68" s="17" t="n">
        <f aca="false">SQRT(($B68-BE$8)^2+($C68-BE$9)^2+($D68-BE$10)^2)</f>
        <v>2.35146438699267</v>
      </c>
      <c r="BF68" s="63" t="n">
        <f aca="false">MATCH(MIN(BD68:BE68),BD68:BE68,0)</f>
        <v>1</v>
      </c>
      <c r="BH68" s="17" t="n">
        <f aca="false">SQRT(($B68-BH$8)^2+($C68-BH$9)^2+($D68-BH$10)^2)</f>
        <v>0.996221074870352</v>
      </c>
      <c r="BI68" s="17" t="n">
        <f aca="false">SQRT(($B68-BI$8)^2+($C68-BI$9)^2+($D68-BI$10)^2)</f>
        <v>2.35146438699267</v>
      </c>
      <c r="BJ68" s="63" t="n">
        <f aca="false">MATCH(MIN(BH68:BI68),BH68:BI68,0)</f>
        <v>1</v>
      </c>
      <c r="BL68" s="17" t="n">
        <f aca="false">SQRT(($B68-BL$8)^2+($C68-BL$9)^2+($D68-BL$10)^2)</f>
        <v>0.996221074870352</v>
      </c>
      <c r="BM68" s="17" t="n">
        <f aca="false">SQRT(($B68-BM$8)^2+($C68-BM$9)^2+($D68-BM$10)^2)</f>
        <v>2.35146438699267</v>
      </c>
      <c r="BN68" s="63" t="n">
        <f aca="false">MATCH(MIN(BL68:BM68),BL68:BM68,0)</f>
        <v>1</v>
      </c>
      <c r="BP68" s="17" t="n">
        <f aca="false">SQRT(($B68-BP$8)^2+($C68-BP$9)^2+($D68-BP$10)^2)</f>
        <v>0.996221074870352</v>
      </c>
      <c r="BQ68" s="17" t="n">
        <f aca="false">SQRT(($B68-BQ$8)^2+($C68-BQ$9)^2+($D68-BQ$10)^2)</f>
        <v>2.35146438699267</v>
      </c>
      <c r="BR68" s="63" t="n">
        <f aca="false">MATCH(MIN(BP68:BQ68),BP68:BQ68,0)</f>
        <v>1</v>
      </c>
    </row>
    <row r="69" customFormat="false" ht="15" hidden="false" customHeight="false" outlineLevel="0" collapsed="false">
      <c r="A69" s="36" t="str">
        <f aca="false">KMeans_Data!A59</f>
        <v>Sanghar</v>
      </c>
      <c r="B69" s="17" t="n">
        <f aca="false">KMeans_Data!H59</f>
        <v>0.100851695433816</v>
      </c>
      <c r="C69" s="17" t="n">
        <f aca="false">KMeans_Data!I59</f>
        <v>-0.146983133929529</v>
      </c>
      <c r="D69" s="17" t="n">
        <f aca="false">KMeans_Data!J59</f>
        <v>0.618328666074444</v>
      </c>
      <c r="E69" s="63" t="n">
        <f aca="false">BR69</f>
        <v>2</v>
      </c>
      <c r="F69" s="38" t="n">
        <f aca="false">($B69-INDEX($L$8:$M$8,E69))^2+($C69-INDEX($L$9:$M$9,E69))^2+($D69-INDEX($L$10:$M$10,E69))^2</f>
        <v>1.65917948133624</v>
      </c>
      <c r="G69" s="17" t="n">
        <f aca="false">IF(COUNTIF(Distance_Matrix!$E$8:$DQ$8,$E69)&lt;=1,0,SUMIF(Distance_Matrix!$E$8:$DQ$8,$E69,Distance_Matrix!$E$68:$DQ$68)/(COUNTIF(Distance_Matrix!$E$8:$DQ$8,$E69)-1))</f>
        <v>1.49822400881747</v>
      </c>
      <c r="H69" s="17" t="n">
        <f aca="false">MIN(IF(1=$E69,1E+099,IF(COUNTIF(Distance_Matrix!$E$8:$DQ$8,1)=0,1E+099,SUMIF(Distance_Matrix!$E$8:$DQ$8,1,Distance_Matrix!$E$68:$DQ$68)/COUNTIF(Distance_Matrix!$E$8:$DQ$8,1))),IF(2=$E69,1E+099,IF(COUNTIF(Distance_Matrix!$E$8:$DQ$8,2)=0,1E+099,SUMIF(Distance_Matrix!$E$8:$DQ$8,2,Distance_Matrix!$E$68:$DQ$68)/COUNTIF(Distance_Matrix!$E$8:$DQ$8,2))))</f>
        <v>1.83113589450394</v>
      </c>
      <c r="I69" s="17" t="n">
        <f aca="false">IF(COUNTIF(Distance_Matrix!$E$8:$DQ$8,$E69)&lt;=1,0,(H69-G69)/MAX(G69,H69))</f>
        <v>0.181806214757567</v>
      </c>
      <c r="X69" s="17" t="n">
        <f aca="false">SQRT(($B69-X$8)^2+($C69-X$9)^2+($D69-X$10)^2)</f>
        <v>5.87639549417765</v>
      </c>
      <c r="Y69" s="17" t="n">
        <f aca="false">SQRT(($B69-Y$8)^2+($C69-Y$9)^2+($D69-Y$10)^2)</f>
        <v>2.85357627285817</v>
      </c>
      <c r="Z69" s="63" t="n">
        <f aca="false">MATCH(MIN(X69:Y69),X69:Y69,0)</f>
        <v>2</v>
      </c>
      <c r="AB69" s="17" t="n">
        <f aca="false">SQRT(($B69-AB$8)^2+($C69-AB$9)^2+($D69-AB$10)^2)</f>
        <v>3.36105334675065</v>
      </c>
      <c r="AC69" s="17" t="n">
        <f aca="false">SQRT(($B69-AC$8)^2+($C69-AC$9)^2+($D69-AC$10)^2)</f>
        <v>0.845637918248245</v>
      </c>
      <c r="AD69" s="63" t="n">
        <f aca="false">MATCH(MIN(AB69:AC69),AB69:AC69,0)</f>
        <v>2</v>
      </c>
      <c r="AF69" s="17" t="n">
        <f aca="false">SQRT(($B69-AF$8)^2+($C69-AF$9)^2+($D69-AF$10)^2)</f>
        <v>2.7628373165934</v>
      </c>
      <c r="AG69" s="17" t="n">
        <f aca="false">SQRT(($B69-AG$8)^2+($C69-AG$9)^2+($D69-AG$10)^2)</f>
        <v>0.920526071621628</v>
      </c>
      <c r="AH69" s="63" t="n">
        <f aca="false">MATCH(MIN(AF69:AG69),AF69:AG69,0)</f>
        <v>2</v>
      </c>
      <c r="AJ69" s="17" t="n">
        <f aca="false">SQRT(($B69-AJ$8)^2+($C69-AJ$9)^2+($D69-AJ$10)^2)</f>
        <v>2.15239656127484</v>
      </c>
      <c r="AK69" s="17" t="n">
        <f aca="false">SQRT(($B69-AK$8)^2+($C69-AK$9)^2+($D69-AK$10)^2)</f>
        <v>1.10129322577865</v>
      </c>
      <c r="AL69" s="63" t="n">
        <f aca="false">MATCH(MIN(AJ69:AK69),AJ69:AK69,0)</f>
        <v>2</v>
      </c>
      <c r="AN69" s="17" t="n">
        <f aca="false">SQRT(($B69-AN$8)^2+($C69-AN$9)^2+($D69-AN$10)^2)</f>
        <v>1.93542037077698</v>
      </c>
      <c r="AO69" s="17" t="n">
        <f aca="false">SQRT(($B69-AO$8)^2+($C69-AO$9)^2+($D69-AO$10)^2)</f>
        <v>1.20416198453606</v>
      </c>
      <c r="AP69" s="63" t="n">
        <f aca="false">MATCH(MIN(AN69:AO69),AN69:AO69,0)</f>
        <v>2</v>
      </c>
      <c r="AR69" s="17" t="n">
        <f aca="false">SQRT(($B69-AR$8)^2+($C69-AR$9)^2+($D69-AR$10)^2)</f>
        <v>1.80943677028337</v>
      </c>
      <c r="AS69" s="17" t="n">
        <f aca="false">SQRT(($B69-AS$8)^2+($C69-AS$9)^2+($D69-AS$10)^2)</f>
        <v>1.25643538296554</v>
      </c>
      <c r="AT69" s="63" t="n">
        <f aca="false">MATCH(MIN(AR69:AS69),AR69:AS69,0)</f>
        <v>2</v>
      </c>
      <c r="AV69" s="17" t="n">
        <f aca="false">SQRT(($B69-AV$8)^2+($C69-AV$9)^2+($D69-AV$10)^2)</f>
        <v>1.77212031119902</v>
      </c>
      <c r="AW69" s="17" t="n">
        <f aca="false">SQRT(($B69-AW$8)^2+($C69-AW$9)^2+($D69-AW$10)^2)</f>
        <v>1.27208485766699</v>
      </c>
      <c r="AX69" s="63" t="n">
        <f aca="false">MATCH(MIN(AV69:AW69),AV69:AW69,0)</f>
        <v>2</v>
      </c>
      <c r="AZ69" s="17" t="n">
        <f aca="false">SQRT(($B69-AZ$8)^2+($C69-AZ$9)^2+($D69-AZ$10)^2)</f>
        <v>1.7338821222927</v>
      </c>
      <c r="BA69" s="17" t="n">
        <f aca="false">SQRT(($B69-BA$8)^2+($C69-BA$9)^2+($D69-BA$10)^2)</f>
        <v>1.28809141031848</v>
      </c>
      <c r="BB69" s="63" t="n">
        <f aca="false">MATCH(MIN(AZ69:BA69),AZ69:BA69,0)</f>
        <v>2</v>
      </c>
      <c r="BD69" s="17" t="n">
        <f aca="false">SQRT(($B69-BD$8)^2+($C69-BD$9)^2+($D69-BD$10)^2)</f>
        <v>1.7338821222927</v>
      </c>
      <c r="BE69" s="17" t="n">
        <f aca="false">SQRT(($B69-BE$8)^2+($C69-BE$9)^2+($D69-BE$10)^2)</f>
        <v>1.28809141031848</v>
      </c>
      <c r="BF69" s="63" t="n">
        <f aca="false">MATCH(MIN(BD69:BE69),BD69:BE69,0)</f>
        <v>2</v>
      </c>
      <c r="BH69" s="17" t="n">
        <f aca="false">SQRT(($B69-BH$8)^2+($C69-BH$9)^2+($D69-BH$10)^2)</f>
        <v>1.7338821222927</v>
      </c>
      <c r="BI69" s="17" t="n">
        <f aca="false">SQRT(($B69-BI$8)^2+($C69-BI$9)^2+($D69-BI$10)^2)</f>
        <v>1.28809141031848</v>
      </c>
      <c r="BJ69" s="63" t="n">
        <f aca="false">MATCH(MIN(BH69:BI69),BH69:BI69,0)</f>
        <v>2</v>
      </c>
      <c r="BL69" s="17" t="n">
        <f aca="false">SQRT(($B69-BL$8)^2+($C69-BL$9)^2+($D69-BL$10)^2)</f>
        <v>1.7338821222927</v>
      </c>
      <c r="BM69" s="17" t="n">
        <f aca="false">SQRT(($B69-BM$8)^2+($C69-BM$9)^2+($D69-BM$10)^2)</f>
        <v>1.28809141031848</v>
      </c>
      <c r="BN69" s="63" t="n">
        <f aca="false">MATCH(MIN(BL69:BM69),BL69:BM69,0)</f>
        <v>2</v>
      </c>
      <c r="BP69" s="17" t="n">
        <f aca="false">SQRT(($B69-BP$8)^2+($C69-BP$9)^2+($D69-BP$10)^2)</f>
        <v>1.7338821222927</v>
      </c>
      <c r="BQ69" s="17" t="n">
        <f aca="false">SQRT(($B69-BQ$8)^2+($C69-BQ$9)^2+($D69-BQ$10)^2)</f>
        <v>1.28809141031848</v>
      </c>
      <c r="BR69" s="63" t="n">
        <f aca="false">MATCH(MIN(BP69:BQ69),BP69:BQ69,0)</f>
        <v>2</v>
      </c>
    </row>
    <row r="70" customFormat="false" ht="15" hidden="false" customHeight="false" outlineLevel="0" collapsed="false">
      <c r="A70" s="36" t="str">
        <f aca="false">KMeans_Data!A60</f>
        <v>Bhakkar</v>
      </c>
      <c r="B70" s="17" t="n">
        <f aca="false">KMeans_Data!H60</f>
        <v>0.0848359697065613</v>
      </c>
      <c r="C70" s="17" t="n">
        <f aca="false">KMeans_Data!I60</f>
        <v>-0.672650545388274</v>
      </c>
      <c r="D70" s="17" t="n">
        <f aca="false">KMeans_Data!J60</f>
        <v>-1.14564411633355</v>
      </c>
      <c r="E70" s="63" t="n">
        <f aca="false">BR70</f>
        <v>2</v>
      </c>
      <c r="F70" s="38" t="n">
        <f aca="false">($B70-INDEX($L$8:$M$8,E70))^2+($C70-INDEX($L$9:$M$9,E70))^2+($D70-INDEX($L$10:$M$10,E70))^2</f>
        <v>0.735935283472113</v>
      </c>
      <c r="G70" s="17" t="n">
        <f aca="false">IF(COUNTIF(Distance_Matrix!$E$8:$DQ$8,$E70)&lt;=1,0,SUMIF(Distance_Matrix!$E$8:$DQ$8,$E70,Distance_Matrix!$E$69:$DQ$69)/(COUNTIF(Distance_Matrix!$E$8:$DQ$8,$E70)-1))</f>
        <v>1.22464889009891</v>
      </c>
      <c r="H70" s="17" t="n">
        <f aca="false">MIN(IF(1=$E70,1E+099,IF(COUNTIF(Distance_Matrix!$E$8:$DQ$8,1)=0,1E+099,SUMIF(Distance_Matrix!$E$8:$DQ$8,1,Distance_Matrix!$E$69:$DQ$69)/COUNTIF(Distance_Matrix!$E$8:$DQ$8,1))),IF(2=$E70,1E+099,IF(COUNTIF(Distance_Matrix!$E$8:$DQ$8,2)=0,1E+099,SUMIF(Distance_Matrix!$E$8:$DQ$8,2,Distance_Matrix!$E$69:$DQ$69)/COUNTIF(Distance_Matrix!$E$8:$DQ$8,2))))</f>
        <v>3.18780479531644</v>
      </c>
      <c r="I70" s="17" t="n">
        <f aca="false">IF(COUNTIF(Distance_Matrix!$E$8:$DQ$8,$E70)&lt;=1,0,(H70-G70)/MAX(G70,H70))</f>
        <v>0.615833161460145</v>
      </c>
      <c r="X70" s="17" t="n">
        <f aca="false">SQRT(($B70-X$8)^2+($C70-X$9)^2+($D70-X$10)^2)</f>
        <v>7.19142094483798</v>
      </c>
      <c r="Y70" s="17" t="n">
        <f aca="false">SQRT(($B70-Y$8)^2+($C70-Y$9)^2+($D70-Y$10)^2)</f>
        <v>2.16457395150989</v>
      </c>
      <c r="Z70" s="63" t="n">
        <f aca="false">MATCH(MIN(X70:Y70),X70:Y70,0)</f>
        <v>2</v>
      </c>
      <c r="AB70" s="17" t="n">
        <f aca="false">SQRT(($B70-AB$8)^2+($C70-AB$9)^2+($D70-AB$10)^2)</f>
        <v>4.66591838645558</v>
      </c>
      <c r="AC70" s="17" t="n">
        <f aca="false">SQRT(($B70-AC$8)^2+($C70-AC$9)^2+($D70-AC$10)^2)</f>
        <v>1.10507275518325</v>
      </c>
      <c r="AD70" s="63" t="n">
        <f aca="false">MATCH(MIN(AB70:AC70),AB70:AC70,0)</f>
        <v>2</v>
      </c>
      <c r="AF70" s="17" t="n">
        <f aca="false">SQRT(($B70-AF$8)^2+($C70-AF$9)^2+($D70-AF$10)^2)</f>
        <v>4.06608743363866</v>
      </c>
      <c r="AG70" s="17" t="n">
        <f aca="false">SQRT(($B70-AG$8)^2+($C70-AG$9)^2+($D70-AG$10)^2)</f>
        <v>1.04706200178274</v>
      </c>
      <c r="AH70" s="63" t="n">
        <f aca="false">MATCH(MIN(AF70:AG70),AF70:AG70,0)</f>
        <v>2</v>
      </c>
      <c r="AJ70" s="17" t="n">
        <f aca="false">SQRT(($B70-AJ$8)^2+($C70-AJ$9)^2+($D70-AJ$10)^2)</f>
        <v>3.50368597716417</v>
      </c>
      <c r="AK70" s="17" t="n">
        <f aca="false">SQRT(($B70-AK$8)^2+($C70-AK$9)^2+($D70-AK$10)^2)</f>
        <v>0.928993995396984</v>
      </c>
      <c r="AL70" s="63" t="n">
        <f aca="false">MATCH(MIN(AJ70:AK70),AJ70:AK70,0)</f>
        <v>2</v>
      </c>
      <c r="AN70" s="17" t="n">
        <f aca="false">SQRT(($B70-AN$8)^2+($C70-AN$9)^2+($D70-AN$10)^2)</f>
        <v>3.31216742563711</v>
      </c>
      <c r="AO70" s="17" t="n">
        <f aca="false">SQRT(($B70-AO$8)^2+($C70-AO$9)^2+($D70-AO$10)^2)</f>
        <v>0.886063570660949</v>
      </c>
      <c r="AP70" s="63" t="n">
        <f aca="false">MATCH(MIN(AN70:AO70),AN70:AO70,0)</f>
        <v>2</v>
      </c>
      <c r="AR70" s="17" t="n">
        <f aca="false">SQRT(($B70-AR$8)^2+($C70-AR$9)^2+($D70-AR$10)^2)</f>
        <v>3.19162580226173</v>
      </c>
      <c r="AS70" s="17" t="n">
        <f aca="false">SQRT(($B70-AS$8)^2+($C70-AS$9)^2+($D70-AS$10)^2)</f>
        <v>0.868682686341665</v>
      </c>
      <c r="AT70" s="63" t="n">
        <f aca="false">MATCH(MIN(AR70:AS70),AR70:AS70,0)</f>
        <v>2</v>
      </c>
      <c r="AV70" s="17" t="n">
        <f aca="false">SQRT(($B70-AV$8)^2+($C70-AV$9)^2+($D70-AV$10)^2)</f>
        <v>3.15141580926582</v>
      </c>
      <c r="AW70" s="17" t="n">
        <f aca="false">SQRT(($B70-AW$8)^2+($C70-AW$9)^2+($D70-AW$10)^2)</f>
        <v>0.866429900074402</v>
      </c>
      <c r="AX70" s="63" t="n">
        <f aca="false">MATCH(MIN(AV70:AW70),AV70:AW70,0)</f>
        <v>2</v>
      </c>
      <c r="AZ70" s="17" t="n">
        <f aca="false">SQRT(($B70-AZ$8)^2+($C70-AZ$9)^2+($D70-AZ$10)^2)</f>
        <v>3.11595035396849</v>
      </c>
      <c r="BA70" s="17" t="n">
        <f aca="false">SQRT(($B70-BA$8)^2+($C70-BA$9)^2+($D70-BA$10)^2)</f>
        <v>0.857866704956028</v>
      </c>
      <c r="BB70" s="63" t="n">
        <f aca="false">MATCH(MIN(AZ70:BA70),AZ70:BA70,0)</f>
        <v>2</v>
      </c>
      <c r="BD70" s="17" t="n">
        <f aca="false">SQRT(($B70-BD$8)^2+($C70-BD$9)^2+($D70-BD$10)^2)</f>
        <v>3.11595035396849</v>
      </c>
      <c r="BE70" s="17" t="n">
        <f aca="false">SQRT(($B70-BE$8)^2+($C70-BE$9)^2+($D70-BE$10)^2)</f>
        <v>0.857866704956028</v>
      </c>
      <c r="BF70" s="63" t="n">
        <f aca="false">MATCH(MIN(BD70:BE70),BD70:BE70,0)</f>
        <v>2</v>
      </c>
      <c r="BH70" s="17" t="n">
        <f aca="false">SQRT(($B70-BH$8)^2+($C70-BH$9)^2+($D70-BH$10)^2)</f>
        <v>3.11595035396849</v>
      </c>
      <c r="BI70" s="17" t="n">
        <f aca="false">SQRT(($B70-BI$8)^2+($C70-BI$9)^2+($D70-BI$10)^2)</f>
        <v>0.857866704956028</v>
      </c>
      <c r="BJ70" s="63" t="n">
        <f aca="false">MATCH(MIN(BH70:BI70),BH70:BI70,0)</f>
        <v>2</v>
      </c>
      <c r="BL70" s="17" t="n">
        <f aca="false">SQRT(($B70-BL$8)^2+($C70-BL$9)^2+($D70-BL$10)^2)</f>
        <v>3.11595035396849</v>
      </c>
      <c r="BM70" s="17" t="n">
        <f aca="false">SQRT(($B70-BM$8)^2+($C70-BM$9)^2+($D70-BM$10)^2)</f>
        <v>0.857866704956028</v>
      </c>
      <c r="BN70" s="63" t="n">
        <f aca="false">MATCH(MIN(BL70:BM70),BL70:BM70,0)</f>
        <v>2</v>
      </c>
      <c r="BP70" s="17" t="n">
        <f aca="false">SQRT(($B70-BP$8)^2+($C70-BP$9)^2+($D70-BP$10)^2)</f>
        <v>3.11595035396849</v>
      </c>
      <c r="BQ70" s="17" t="n">
        <f aca="false">SQRT(($B70-BQ$8)^2+($C70-BQ$9)^2+($D70-BQ$10)^2)</f>
        <v>0.857866704956028</v>
      </c>
      <c r="BR70" s="63" t="n">
        <f aca="false">MATCH(MIN(BP70:BQ70),BP70:BQ70,0)</f>
        <v>2</v>
      </c>
    </row>
    <row r="71" customFormat="false" ht="15" hidden="false" customHeight="false" outlineLevel="0" collapsed="false">
      <c r="A71" s="36" t="str">
        <f aca="false">KMeans_Data!A61</f>
        <v>Muzaffargar</v>
      </c>
      <c r="B71" s="17" t="n">
        <f aca="false">KMeans_Data!H61</f>
        <v>0.0683117241366259</v>
      </c>
      <c r="C71" s="17" t="n">
        <f aca="false">KMeans_Data!I61</f>
        <v>-0.672650545388274</v>
      </c>
      <c r="D71" s="17" t="n">
        <f aca="false">KMeans_Data!J61</f>
        <v>-1.14564411633355</v>
      </c>
      <c r="E71" s="63" t="n">
        <f aca="false">BR71</f>
        <v>2</v>
      </c>
      <c r="F71" s="38" t="n">
        <f aca="false">($B71-INDEX($L$8:$M$8,E71))^2+($C71-INDEX($L$9:$M$9,E71))^2+($D71-INDEX($L$10:$M$10,E71))^2</f>
        <v>0.718723873683067</v>
      </c>
      <c r="G71" s="17" t="n">
        <f aca="false">IF(COUNTIF(Distance_Matrix!$E$8:$DQ$8,$E71)&lt;=1,0,SUMIF(Distance_Matrix!$E$8:$DQ$8,$E71,Distance_Matrix!$E$70:$DQ$70)/(COUNTIF(Distance_Matrix!$E$8:$DQ$8,$E71)-1))</f>
        <v>1.21803591745975</v>
      </c>
      <c r="H71" s="17" t="n">
        <f aca="false">MIN(IF(1=$E71,1E+099,IF(COUNTIF(Distance_Matrix!$E$8:$DQ$8,1)=0,1E+099,SUMIF(Distance_Matrix!$E$8:$DQ$8,1,Distance_Matrix!$E$70:$DQ$70)/COUNTIF(Distance_Matrix!$E$8:$DQ$8,1))),IF(2=$E71,1E+099,IF(COUNTIF(Distance_Matrix!$E$8:$DQ$8,2)=0,1E+099,SUMIF(Distance_Matrix!$E$8:$DQ$8,2,Distance_Matrix!$E$70:$DQ$70)/COUNTIF(Distance_Matrix!$E$8:$DQ$8,2))))</f>
        <v>3.19230200426303</v>
      </c>
      <c r="I71" s="17" t="n">
        <f aca="false">IF(COUNTIF(Distance_Matrix!$E$8:$DQ$8,$E71)&lt;=1,0,(H71-G71)/MAX(G71,H71))</f>
        <v>0.618445900220853</v>
      </c>
      <c r="X71" s="17" t="n">
        <f aca="false">SQRT(($B71-X$8)^2+($C71-X$9)^2+($D71-X$10)^2)</f>
        <v>7.19876486075222</v>
      </c>
      <c r="Y71" s="17" t="n">
        <f aca="false">SQRT(($B71-Y$8)^2+($C71-Y$9)^2+($D71-Y$10)^2)</f>
        <v>2.14804970593995</v>
      </c>
      <c r="Z71" s="63" t="n">
        <f aca="false">MATCH(MIN(X71:Y71),X71:Y71,0)</f>
        <v>2</v>
      </c>
      <c r="AB71" s="17" t="n">
        <f aca="false">SQRT(($B71-AB$8)^2+($C71-AB$9)^2+($D71-AB$10)^2)</f>
        <v>4.67263417625564</v>
      </c>
      <c r="AC71" s="17" t="n">
        <f aca="false">SQRT(($B71-AC$8)^2+($C71-AC$9)^2+($D71-AC$10)^2)</f>
        <v>1.10116181789032</v>
      </c>
      <c r="AD71" s="63" t="n">
        <f aca="false">MATCH(MIN(AB71:AC71),AB71:AC71,0)</f>
        <v>2</v>
      </c>
      <c r="AF71" s="17" t="n">
        <f aca="false">SQRT(($B71-AF$8)^2+($C71-AF$9)^2+($D71-AF$10)^2)</f>
        <v>4.07233378869988</v>
      </c>
      <c r="AG71" s="17" t="n">
        <f aca="false">SQRT(($B71-AG$8)^2+($C71-AG$9)^2+($D71-AG$10)^2)</f>
        <v>1.04209415450057</v>
      </c>
      <c r="AH71" s="63" t="n">
        <f aca="false">MATCH(MIN(AF71:AG71),AF71:AG71,0)</f>
        <v>2</v>
      </c>
      <c r="AJ71" s="17" t="n">
        <f aca="false">SQRT(($B71-AJ$8)^2+($C71-AJ$9)^2+($D71-AJ$10)^2)</f>
        <v>3.50912012758069</v>
      </c>
      <c r="AK71" s="17" t="n">
        <f aca="false">SQRT(($B71-AK$8)^2+($C71-AK$9)^2+($D71-AK$10)^2)</f>
        <v>0.921659322718961</v>
      </c>
      <c r="AL71" s="63" t="n">
        <f aca="false">MATCH(MIN(AJ71:AK71),AJ71:AK71,0)</f>
        <v>2</v>
      </c>
      <c r="AN71" s="17" t="n">
        <f aca="false">SQRT(($B71-AN$8)^2+($C71-AN$9)^2+($D71-AN$10)^2)</f>
        <v>3.31751631496774</v>
      </c>
      <c r="AO71" s="17" t="n">
        <f aca="false">SQRT(($B71-AO$8)^2+($C71-AO$9)^2+($D71-AO$10)^2)</f>
        <v>0.877198540144254</v>
      </c>
      <c r="AP71" s="63" t="n">
        <f aca="false">MATCH(MIN(AN71:AO71),AN71:AO71,0)</f>
        <v>2</v>
      </c>
      <c r="AR71" s="17" t="n">
        <f aca="false">SQRT(($B71-AR$8)^2+($C71-AR$9)^2+($D71-AR$10)^2)</f>
        <v>3.19686175455631</v>
      </c>
      <c r="AS71" s="17" t="n">
        <f aca="false">SQRT(($B71-AS$8)^2+($C71-AS$9)^2+($D71-AS$10)^2)</f>
        <v>0.859036539563194</v>
      </c>
      <c r="AT71" s="63" t="n">
        <f aca="false">MATCH(MIN(AR71:AS71),AR71:AS71,0)</f>
        <v>2</v>
      </c>
      <c r="AV71" s="17" t="n">
        <f aca="false">SQRT(($B71-AV$8)^2+($C71-AV$9)^2+($D71-AV$10)^2)</f>
        <v>3.15663268348229</v>
      </c>
      <c r="AW71" s="17" t="n">
        <f aca="false">SQRT(($B71-AW$8)^2+($C71-AW$9)^2+($D71-AW$10)^2)</f>
        <v>0.856535441874199</v>
      </c>
      <c r="AX71" s="63" t="n">
        <f aca="false">MATCH(MIN(AV71:AW71),AV71:AW71,0)</f>
        <v>2</v>
      </c>
      <c r="AZ71" s="17" t="n">
        <f aca="false">SQRT(($B71-AZ$8)^2+($C71-AZ$9)^2+($D71-AZ$10)^2)</f>
        <v>3.12105925624479</v>
      </c>
      <c r="BA71" s="17" t="n">
        <f aca="false">SQRT(($B71-BA$8)^2+($C71-BA$9)^2+($D71-BA$10)^2)</f>
        <v>0.84777583928953</v>
      </c>
      <c r="BB71" s="63" t="n">
        <f aca="false">MATCH(MIN(AZ71:BA71),AZ71:BA71,0)</f>
        <v>2</v>
      </c>
      <c r="BD71" s="17" t="n">
        <f aca="false">SQRT(($B71-BD$8)^2+($C71-BD$9)^2+($D71-BD$10)^2)</f>
        <v>3.12105925624479</v>
      </c>
      <c r="BE71" s="17" t="n">
        <f aca="false">SQRT(($B71-BE$8)^2+($C71-BE$9)^2+($D71-BE$10)^2)</f>
        <v>0.84777583928953</v>
      </c>
      <c r="BF71" s="63" t="n">
        <f aca="false">MATCH(MIN(BD71:BE71),BD71:BE71,0)</f>
        <v>2</v>
      </c>
      <c r="BH71" s="17" t="n">
        <f aca="false">SQRT(($B71-BH$8)^2+($C71-BH$9)^2+($D71-BH$10)^2)</f>
        <v>3.12105925624479</v>
      </c>
      <c r="BI71" s="17" t="n">
        <f aca="false">SQRT(($B71-BI$8)^2+($C71-BI$9)^2+($D71-BI$10)^2)</f>
        <v>0.84777583928953</v>
      </c>
      <c r="BJ71" s="63" t="n">
        <f aca="false">MATCH(MIN(BH71:BI71),BH71:BI71,0)</f>
        <v>2</v>
      </c>
      <c r="BL71" s="17" t="n">
        <f aca="false">SQRT(($B71-BL$8)^2+($C71-BL$9)^2+($D71-BL$10)^2)</f>
        <v>3.12105925624479</v>
      </c>
      <c r="BM71" s="17" t="n">
        <f aca="false">SQRT(($B71-BM$8)^2+($C71-BM$9)^2+($D71-BM$10)^2)</f>
        <v>0.84777583928953</v>
      </c>
      <c r="BN71" s="63" t="n">
        <f aca="false">MATCH(MIN(BL71:BM71),BL71:BM71,0)</f>
        <v>2</v>
      </c>
      <c r="BP71" s="17" t="n">
        <f aca="false">SQRT(($B71-BP$8)^2+($C71-BP$9)^2+($D71-BP$10)^2)</f>
        <v>3.12105925624479</v>
      </c>
      <c r="BQ71" s="17" t="n">
        <f aca="false">SQRT(($B71-BQ$8)^2+($C71-BQ$9)^2+($D71-BQ$10)^2)</f>
        <v>0.84777583928953</v>
      </c>
      <c r="BR71" s="63" t="n">
        <f aca="false">MATCH(MIN(BP71:BQ71),BP71:BQ71,0)</f>
        <v>2</v>
      </c>
    </row>
    <row r="72" customFormat="false" ht="15" hidden="false" customHeight="false" outlineLevel="0" collapsed="false">
      <c r="A72" s="36" t="str">
        <f aca="false">KMeans_Data!A62</f>
        <v>Badin</v>
      </c>
      <c r="B72" s="17" t="n">
        <f aca="false">KMeans_Data!H62</f>
        <v>0.0245489826438638</v>
      </c>
      <c r="C72" s="17" t="n">
        <f aca="false">KMeans_Data!I62</f>
        <v>0.547911385844501</v>
      </c>
      <c r="D72" s="17" t="n">
        <f aca="false">KMeans_Data!J62</f>
        <v>0.00583902902802759</v>
      </c>
      <c r="E72" s="63" t="n">
        <f aca="false">BR72</f>
        <v>2</v>
      </c>
      <c r="F72" s="38" t="n">
        <f aca="false">($B72-INDEX($L$8:$M$8,E72))^2+($C72-INDEX($L$9:$M$9,E72))^2+($D72-INDEX($L$10:$M$10,E72))^2</f>
        <v>1.5985799155974</v>
      </c>
      <c r="G72" s="17" t="n">
        <f aca="false">IF(COUNTIF(Distance_Matrix!$E$8:$DQ$8,$E72)&lt;=1,0,SUMIF(Distance_Matrix!$E$8:$DQ$8,$E72,Distance_Matrix!$E$71:$DQ$71)/(COUNTIF(Distance_Matrix!$E$8:$DQ$8,$E72)-1))</f>
        <v>1.55562277285778</v>
      </c>
      <c r="H72" s="17" t="n">
        <f aca="false">MIN(IF(1=$E72,1E+099,IF(COUNTIF(Distance_Matrix!$E$8:$DQ$8,1)=0,1E+099,SUMIF(Distance_Matrix!$E$8:$DQ$8,1,Distance_Matrix!$E$71:$DQ$71)/COUNTIF(Distance_Matrix!$E$8:$DQ$8,1))),IF(2=$E72,1E+099,IF(COUNTIF(Distance_Matrix!$E$8:$DQ$8,2)=0,1E+099,SUMIF(Distance_Matrix!$E$8:$DQ$8,2,Distance_Matrix!$E$71:$DQ$71)/COUNTIF(Distance_Matrix!$E$8:$DQ$8,2))))</f>
        <v>1.80083194671879</v>
      </c>
      <c r="I72" s="17" t="n">
        <f aca="false">IF(COUNTIF(Distance_Matrix!$E$8:$DQ$8,$E72)&lt;=1,0,(H72-G72)/MAX(G72,H72))</f>
        <v>0.136164384637775</v>
      </c>
      <c r="X72" s="17" t="n">
        <f aca="false">SQRT(($B72-X$8)^2+($C72-X$9)^2+($D72-X$10)^2)</f>
        <v>5.76973078701142</v>
      </c>
      <c r="Y72" s="17" t="n">
        <f aca="false">SQRT(($B72-Y$8)^2+($C72-Y$9)^2+($D72-Y$10)^2)</f>
        <v>2.691413846061</v>
      </c>
      <c r="Z72" s="63" t="n">
        <f aca="false">MATCH(MIN(X72:Y72),X72:Y72,0)</f>
        <v>2</v>
      </c>
      <c r="AB72" s="17" t="n">
        <f aca="false">SQRT(($B72-AB$8)^2+($C72-AB$9)^2+($D72-AB$10)^2)</f>
        <v>3.2412643378126</v>
      </c>
      <c r="AC72" s="17" t="n">
        <f aca="false">SQRT(($B72-AC$8)^2+($C72-AC$9)^2+($D72-AC$10)^2)</f>
        <v>0.815580134280797</v>
      </c>
      <c r="AD72" s="63" t="n">
        <f aca="false">MATCH(MIN(AB72:AC72),AB72:AC72,0)</f>
        <v>2</v>
      </c>
      <c r="AF72" s="17" t="n">
        <f aca="false">SQRT(($B72-AF$8)^2+($C72-AF$9)^2+($D72-AF$10)^2)</f>
        <v>2.62711980338884</v>
      </c>
      <c r="AG72" s="17" t="n">
        <f aca="false">SQRT(($B72-AG$8)^2+($C72-AG$9)^2+($D72-AG$10)^2)</f>
        <v>0.90830915425828</v>
      </c>
      <c r="AH72" s="63" t="n">
        <f aca="false">MATCH(MIN(AF72:AG72),AF72:AG72,0)</f>
        <v>2</v>
      </c>
      <c r="AJ72" s="17" t="n">
        <f aca="false">SQRT(($B72-AJ$8)^2+($C72-AJ$9)^2+($D72-AJ$10)^2)</f>
        <v>2.03820749960713</v>
      </c>
      <c r="AK72" s="17" t="n">
        <f aca="false">SQRT(($B72-AK$8)^2+($C72-AK$9)^2+($D72-AK$10)^2)</f>
        <v>1.09491561820236</v>
      </c>
      <c r="AL72" s="63" t="n">
        <f aca="false">MATCH(MIN(AJ72:AK72),AJ72:AK72,0)</f>
        <v>2</v>
      </c>
      <c r="AN72" s="17" t="n">
        <f aca="false">SQRT(($B72-AN$8)^2+($C72-AN$9)^2+($D72-AN$10)^2)</f>
        <v>1.85991284001057</v>
      </c>
      <c r="AO72" s="17" t="n">
        <f aca="false">SQRT(($B72-AO$8)^2+($C72-AO$9)^2+($D72-AO$10)^2)</f>
        <v>1.18173934044322</v>
      </c>
      <c r="AP72" s="63" t="n">
        <f aca="false">MATCH(MIN(AN72:AO72),AN72:AO72,0)</f>
        <v>2</v>
      </c>
      <c r="AR72" s="17" t="n">
        <f aca="false">SQRT(($B72-AR$8)^2+($C72-AR$9)^2+($D72-AR$10)^2)</f>
        <v>1.74281045060687</v>
      </c>
      <c r="AS72" s="17" t="n">
        <f aca="false">SQRT(($B72-AS$8)^2+($C72-AS$9)^2+($D72-AS$10)^2)</f>
        <v>1.23038656075474</v>
      </c>
      <c r="AT72" s="63" t="n">
        <f aca="false">MATCH(MIN(AR72:AS72),AR72:AS72,0)</f>
        <v>2</v>
      </c>
      <c r="AV72" s="17" t="n">
        <f aca="false">SQRT(($B72-AV$8)^2+($C72-AV$9)^2+($D72-AV$10)^2)</f>
        <v>1.70428986689704</v>
      </c>
      <c r="AW72" s="17" t="n">
        <f aca="false">SQRT(($B72-AW$8)^2+($C72-AW$9)^2+($D72-AW$10)^2)</f>
        <v>1.24705135434493</v>
      </c>
      <c r="AX72" s="63" t="n">
        <f aca="false">MATCH(MIN(AV72:AW72),AV72:AW72,0)</f>
        <v>2</v>
      </c>
      <c r="AZ72" s="17" t="n">
        <f aca="false">SQRT(($B72-AZ$8)^2+($C72-AZ$9)^2+($D72-AZ$10)^2)</f>
        <v>1.66424315609682</v>
      </c>
      <c r="BA72" s="17" t="n">
        <f aca="false">SQRT(($B72-BA$8)^2+($C72-BA$9)^2+($D72-BA$10)^2)</f>
        <v>1.26434960181012</v>
      </c>
      <c r="BB72" s="63" t="n">
        <f aca="false">MATCH(MIN(AZ72:BA72),AZ72:BA72,0)</f>
        <v>2</v>
      </c>
      <c r="BD72" s="17" t="n">
        <f aca="false">SQRT(($B72-BD$8)^2+($C72-BD$9)^2+($D72-BD$10)^2)</f>
        <v>1.66424315609682</v>
      </c>
      <c r="BE72" s="17" t="n">
        <f aca="false">SQRT(($B72-BE$8)^2+($C72-BE$9)^2+($D72-BE$10)^2)</f>
        <v>1.26434960181012</v>
      </c>
      <c r="BF72" s="63" t="n">
        <f aca="false">MATCH(MIN(BD72:BE72),BD72:BE72,0)</f>
        <v>2</v>
      </c>
      <c r="BH72" s="17" t="n">
        <f aca="false">SQRT(($B72-BH$8)^2+($C72-BH$9)^2+($D72-BH$10)^2)</f>
        <v>1.66424315609682</v>
      </c>
      <c r="BI72" s="17" t="n">
        <f aca="false">SQRT(($B72-BI$8)^2+($C72-BI$9)^2+($D72-BI$10)^2)</f>
        <v>1.26434960181012</v>
      </c>
      <c r="BJ72" s="63" t="n">
        <f aca="false">MATCH(MIN(BH72:BI72),BH72:BI72,0)</f>
        <v>2</v>
      </c>
      <c r="BL72" s="17" t="n">
        <f aca="false">SQRT(($B72-BL$8)^2+($C72-BL$9)^2+($D72-BL$10)^2)</f>
        <v>1.66424315609682</v>
      </c>
      <c r="BM72" s="17" t="n">
        <f aca="false">SQRT(($B72-BM$8)^2+($C72-BM$9)^2+($D72-BM$10)^2)</f>
        <v>1.26434960181012</v>
      </c>
      <c r="BN72" s="63" t="n">
        <f aca="false">MATCH(MIN(BL72:BM72),BL72:BM72,0)</f>
        <v>2</v>
      </c>
      <c r="BP72" s="17" t="n">
        <f aca="false">SQRT(($B72-BP$8)^2+($C72-BP$9)^2+($D72-BP$10)^2)</f>
        <v>1.66424315609682</v>
      </c>
      <c r="BQ72" s="17" t="n">
        <f aca="false">SQRT(($B72-BQ$8)^2+($C72-BQ$9)^2+($D72-BQ$10)^2)</f>
        <v>1.26434960181012</v>
      </c>
      <c r="BR72" s="63" t="n">
        <f aca="false">MATCH(MIN(BP72:BQ72),BP72:BQ72,0)</f>
        <v>2</v>
      </c>
    </row>
    <row r="73" customFormat="false" ht="15" hidden="false" customHeight="false" outlineLevel="0" collapsed="false">
      <c r="A73" s="36" t="str">
        <f aca="false">KMeans_Data!A63</f>
        <v>Bahawalpur</v>
      </c>
      <c r="B73" s="17" t="n">
        <f aca="false">KMeans_Data!H63</f>
        <v>0.00595879156403144</v>
      </c>
      <c r="C73" s="17" t="n">
        <f aca="false">KMeans_Data!I63</f>
        <v>-0.672650545388274</v>
      </c>
      <c r="D73" s="17" t="n">
        <f aca="false">KMeans_Data!J63</f>
        <v>-0.399845222909568</v>
      </c>
      <c r="E73" s="63" t="n">
        <f aca="false">BR73</f>
        <v>2</v>
      </c>
      <c r="F73" s="38" t="n">
        <f aca="false">($B73-INDEX($L$8:$M$8,E73))^2+($C73-INDEX($L$9:$M$9,E73))^2+($D73-INDEX($L$10:$M$10,E73))^2</f>
        <v>0.234674637025205</v>
      </c>
      <c r="G73" s="17" t="n">
        <f aca="false">IF(COUNTIF(Distance_Matrix!$E$8:$DQ$8,$E73)&lt;=1,0,SUMIF(Distance_Matrix!$E$8:$DQ$8,$E73,Distance_Matrix!$E$72:$DQ$72)/(COUNTIF(Distance_Matrix!$E$8:$DQ$8,$E73)-1))</f>
        <v>1.0401844858158</v>
      </c>
      <c r="H73" s="17" t="n">
        <f aca="false">MIN(IF(1=$E73,1E+099,IF(COUNTIF(Distance_Matrix!$E$8:$DQ$8,1)=0,1E+099,SUMIF(Distance_Matrix!$E$8:$DQ$8,1,Distance_Matrix!$E$72:$DQ$72)/COUNTIF(Distance_Matrix!$E$8:$DQ$8,1))),IF(2=$E73,1E+099,IF(COUNTIF(Distance_Matrix!$E$8:$DQ$8,2)=0,1E+099,SUMIF(Distance_Matrix!$E$8:$DQ$8,2,Distance_Matrix!$E$72:$DQ$72)/COUNTIF(Distance_Matrix!$E$8:$DQ$8,2))))</f>
        <v>2.70887361717025</v>
      </c>
      <c r="I73" s="17" t="n">
        <f aca="false">IF(COUNTIF(Distance_Matrix!$E$8:$DQ$8,$E73)&lt;=1,0,(H73-G73)/MAX(G73,H73))</f>
        <v>0.616008484403787</v>
      </c>
      <c r="X73" s="17" t="n">
        <f aca="false">SQRT(($B73-X$8)^2+($C73-X$9)^2+($D73-X$10)^2)</f>
        <v>6.79864298983629</v>
      </c>
      <c r="Y73" s="17" t="n">
        <f aca="false">SQRT(($B73-Y$8)^2+($C73-Y$9)^2+($D73-Y$10)^2)</f>
        <v>2.21502754381688</v>
      </c>
      <c r="Z73" s="63" t="n">
        <f aca="false">MATCH(MIN(X73:Y73),X73:Y73,0)</f>
        <v>2</v>
      </c>
      <c r="AB73" s="17" t="n">
        <f aca="false">SQRT(($B73-AB$8)^2+($C73-AB$9)^2+($D73-AB$10)^2)</f>
        <v>4.25900580937188</v>
      </c>
      <c r="AC73" s="17" t="n">
        <f aca="false">SQRT(($B73-AC$8)^2+($C73-AC$9)^2+($D73-AC$10)^2)</f>
        <v>0.54075554469307</v>
      </c>
      <c r="AD73" s="63" t="n">
        <f aca="false">MATCH(MIN(AB73:AC73),AB73:AC73,0)</f>
        <v>2</v>
      </c>
      <c r="AF73" s="17" t="n">
        <f aca="false">SQRT(($B73-AF$8)^2+($C73-AF$9)^2+($D73-AF$10)^2)</f>
        <v>3.6522669129464</v>
      </c>
      <c r="AG73" s="17" t="n">
        <f aca="false">SQRT(($B73-AG$8)^2+($C73-AG$9)^2+($D73-AG$10)^2)</f>
        <v>0.485493636401598</v>
      </c>
      <c r="AH73" s="63" t="n">
        <f aca="false">MATCH(MIN(AF73:AG73),AF73:AG73,0)</f>
        <v>2</v>
      </c>
      <c r="AJ73" s="17" t="n">
        <f aca="false">SQRT(($B73-AJ$8)^2+($C73-AJ$9)^2+($D73-AJ$10)^2)</f>
        <v>3.05921268356147</v>
      </c>
      <c r="AK73" s="17" t="n">
        <f aca="false">SQRT(($B73-AK$8)^2+($C73-AK$9)^2+($D73-AK$10)^2)</f>
        <v>0.425155060922792</v>
      </c>
      <c r="AL73" s="63" t="n">
        <f aca="false">MATCH(MIN(AJ73:AK73),AJ73:AK73,0)</f>
        <v>2</v>
      </c>
      <c r="AN73" s="17" t="n">
        <f aca="false">SQRT(($B73-AN$8)^2+($C73-AN$9)^2+($D73-AN$10)^2)</f>
        <v>2.85101886029843</v>
      </c>
      <c r="AO73" s="17" t="n">
        <f aca="false">SQRT(($B73-AO$8)^2+($C73-AO$9)^2+($D73-AO$10)^2)</f>
        <v>0.453262006669752</v>
      </c>
      <c r="AP73" s="63" t="n">
        <f aca="false">MATCH(MIN(AN73:AO73),AN73:AO73,0)</f>
        <v>2</v>
      </c>
      <c r="AR73" s="17" t="n">
        <f aca="false">SQRT(($B73-AR$8)^2+($C73-AR$9)^2+($D73-AR$10)^2)</f>
        <v>2.72463138925416</v>
      </c>
      <c r="AS73" s="17" t="n">
        <f aca="false">SQRT(($B73-AS$8)^2+($C73-AS$9)^2+($D73-AS$10)^2)</f>
        <v>0.47392244679908</v>
      </c>
      <c r="AT73" s="63" t="n">
        <f aca="false">MATCH(MIN(AR73:AS73),AR73:AS73,0)</f>
        <v>2</v>
      </c>
      <c r="AV73" s="17" t="n">
        <f aca="false">SQRT(($B73-AV$8)^2+($C73-AV$9)^2+($D73-AV$10)^2)</f>
        <v>2.68432485068419</v>
      </c>
      <c r="AW73" s="17" t="n">
        <f aca="false">SQRT(($B73-AW$8)^2+($C73-AW$9)^2+($D73-AW$10)^2)</f>
        <v>0.482103256072287</v>
      </c>
      <c r="AX73" s="63" t="n">
        <f aca="false">MATCH(MIN(AV73:AW73),AV73:AW73,0)</f>
        <v>2</v>
      </c>
      <c r="AZ73" s="17" t="n">
        <f aca="false">SQRT(($B73-AZ$8)^2+($C73-AZ$9)^2+($D73-AZ$10)^2)</f>
        <v>2.64698511569773</v>
      </c>
      <c r="BA73" s="17" t="n">
        <f aca="false">SQRT(($B73-BA$8)^2+($C73-BA$9)^2+($D73-BA$10)^2)</f>
        <v>0.484432283219446</v>
      </c>
      <c r="BB73" s="63" t="n">
        <f aca="false">MATCH(MIN(AZ73:BA73),AZ73:BA73,0)</f>
        <v>2</v>
      </c>
      <c r="BD73" s="17" t="n">
        <f aca="false">SQRT(($B73-BD$8)^2+($C73-BD$9)^2+($D73-BD$10)^2)</f>
        <v>2.64698511569773</v>
      </c>
      <c r="BE73" s="17" t="n">
        <f aca="false">SQRT(($B73-BE$8)^2+($C73-BE$9)^2+($D73-BE$10)^2)</f>
        <v>0.484432283219446</v>
      </c>
      <c r="BF73" s="63" t="n">
        <f aca="false">MATCH(MIN(BD73:BE73),BD73:BE73,0)</f>
        <v>2</v>
      </c>
      <c r="BH73" s="17" t="n">
        <f aca="false">SQRT(($B73-BH$8)^2+($C73-BH$9)^2+($D73-BH$10)^2)</f>
        <v>2.64698511569773</v>
      </c>
      <c r="BI73" s="17" t="n">
        <f aca="false">SQRT(($B73-BI$8)^2+($C73-BI$9)^2+($D73-BI$10)^2)</f>
        <v>0.484432283219446</v>
      </c>
      <c r="BJ73" s="63" t="n">
        <f aca="false">MATCH(MIN(BH73:BI73),BH73:BI73,0)</f>
        <v>2</v>
      </c>
      <c r="BL73" s="17" t="n">
        <f aca="false">SQRT(($B73-BL$8)^2+($C73-BL$9)^2+($D73-BL$10)^2)</f>
        <v>2.64698511569773</v>
      </c>
      <c r="BM73" s="17" t="n">
        <f aca="false">SQRT(($B73-BM$8)^2+($C73-BM$9)^2+($D73-BM$10)^2)</f>
        <v>0.484432283219446</v>
      </c>
      <c r="BN73" s="63" t="n">
        <f aca="false">MATCH(MIN(BL73:BM73),BL73:BM73,0)</f>
        <v>2</v>
      </c>
      <c r="BP73" s="17" t="n">
        <f aca="false">SQRT(($B73-BP$8)^2+($C73-BP$9)^2+($D73-BP$10)^2)</f>
        <v>2.64698511569773</v>
      </c>
      <c r="BQ73" s="17" t="n">
        <f aca="false">SQRT(($B73-BQ$8)^2+($C73-BQ$9)^2+($D73-BQ$10)^2)</f>
        <v>0.484432283219446</v>
      </c>
      <c r="BR73" s="63" t="n">
        <f aca="false">MATCH(MIN(BP73:BQ73),BP73:BQ73,0)</f>
        <v>2</v>
      </c>
    </row>
    <row r="74" customFormat="false" ht="15" hidden="false" customHeight="false" outlineLevel="0" collapsed="false">
      <c r="A74" s="36" t="str">
        <f aca="false">KMeans_Data!A64</f>
        <v>Dadu</v>
      </c>
      <c r="B74" s="17" t="n">
        <f aca="false">KMeans_Data!H64</f>
        <v>-0.00359138496118499</v>
      </c>
      <c r="C74" s="17" t="n">
        <f aca="false">KMeans_Data!I64</f>
        <v>-0.672650545388274</v>
      </c>
      <c r="D74" s="17" t="n">
        <f aca="false">KMeans_Data!J64</f>
        <v>0.364128192341594</v>
      </c>
      <c r="E74" s="63" t="n">
        <f aca="false">BR74</f>
        <v>2</v>
      </c>
      <c r="F74" s="38" t="n">
        <f aca="false">($B74-INDEX($L$8:$M$8,E74))^2+($C74-INDEX($L$9:$M$9,E74))^2+($D74-INDEX($L$10:$M$10,E74))^2</f>
        <v>0.945238565938682</v>
      </c>
      <c r="G74" s="17" t="n">
        <f aca="false">IF(COUNTIF(Distance_Matrix!$E$8:$DQ$8,$E74)&lt;=1,0,SUMIF(Distance_Matrix!$E$8:$DQ$8,$E74,Distance_Matrix!$E$73:$DQ$73)/(COUNTIF(Distance_Matrix!$E$8:$DQ$8,$E74)-1))</f>
        <v>1.28468945491852</v>
      </c>
      <c r="H74" s="17" t="n">
        <f aca="false">MIN(IF(1=$E74,1E+099,IF(COUNTIF(Distance_Matrix!$E$8:$DQ$8,1)=0,1E+099,SUMIF(Distance_Matrix!$E$8:$DQ$8,1,Distance_Matrix!$E$73:$DQ$73)/COUNTIF(Distance_Matrix!$E$8:$DQ$8,1))),IF(2=$E74,1E+099,IF(COUNTIF(Distance_Matrix!$E$8:$DQ$8,2)=0,1E+099,SUMIF(Distance_Matrix!$E$8:$DQ$8,2,Distance_Matrix!$E$73:$DQ$73)/COUNTIF(Distance_Matrix!$E$8:$DQ$8,2))))</f>
        <v>2.35827676068082</v>
      </c>
      <c r="I74" s="17" t="n">
        <f aca="false">IF(COUNTIF(Distance_Matrix!$E$8:$DQ$8,$E74)&lt;=1,0,(H74-G74)/MAX(G74,H74))</f>
        <v>0.455242286936821</v>
      </c>
      <c r="X74" s="17" t="n">
        <f aca="false">SQRT(($B74-X$8)^2+($C74-X$9)^2+($D74-X$10)^2)</f>
        <v>6.42548092998272</v>
      </c>
      <c r="Y74" s="17" t="n">
        <f aca="false">SQRT(($B74-Y$8)^2+($C74-Y$9)^2+($D74-Y$10)^2)</f>
        <v>2.56706001402801</v>
      </c>
      <c r="Z74" s="63" t="n">
        <f aca="false">MATCH(MIN(X74:Y74),X74:Y74,0)</f>
        <v>2</v>
      </c>
      <c r="AB74" s="17" t="n">
        <f aca="false">SQRT(($B74-AB$8)^2+($C74-AB$9)^2+($D74-AB$10)^2)</f>
        <v>3.91131385897167</v>
      </c>
      <c r="AC74" s="17" t="n">
        <f aca="false">SQRT(($B74-AC$8)^2+($C74-AC$9)^2+($D74-AC$10)^2)</f>
        <v>0.726667643951576</v>
      </c>
      <c r="AD74" s="63" t="n">
        <f aca="false">MATCH(MIN(AB74:AC74),AB74:AC74,0)</f>
        <v>2</v>
      </c>
      <c r="AF74" s="17" t="n">
        <f aca="false">SQRT(($B74-AF$8)^2+($C74-AF$9)^2+($D74-AF$10)^2)</f>
        <v>3.31629918435868</v>
      </c>
      <c r="AG74" s="17" t="n">
        <f aca="false">SQRT(($B74-AG$8)^2+($C74-AG$9)^2+($D74-AG$10)^2)</f>
        <v>0.740725710558007</v>
      </c>
      <c r="AH74" s="63" t="n">
        <f aca="false">MATCH(MIN(AF74:AG74),AF74:AG74,0)</f>
        <v>2</v>
      </c>
      <c r="AJ74" s="17" t="n">
        <f aca="false">SQRT(($B74-AJ$8)^2+($C74-AJ$9)^2+($D74-AJ$10)^2)</f>
        <v>2.71222683638394</v>
      </c>
      <c r="AK74" s="17" t="n">
        <f aca="false">SQRT(($B74-AK$8)^2+($C74-AK$9)^2+($D74-AK$10)^2)</f>
        <v>0.830790715899557</v>
      </c>
      <c r="AL74" s="63" t="n">
        <f aca="false">MATCH(MIN(AJ74:AK74),AJ74:AK74,0)</f>
        <v>2</v>
      </c>
      <c r="AN74" s="17" t="n">
        <f aca="false">SQRT(($B74-AN$8)^2+($C74-AN$9)^2+($D74-AN$10)^2)</f>
        <v>2.4927552100535</v>
      </c>
      <c r="AO74" s="17" t="n">
        <f aca="false">SQRT(($B74-AO$8)^2+($C74-AO$9)^2+($D74-AO$10)^2)</f>
        <v>0.910431455717101</v>
      </c>
      <c r="AP74" s="63" t="n">
        <f aca="false">MATCH(MIN(AN74:AO74),AN74:AO74,0)</f>
        <v>2</v>
      </c>
      <c r="AR74" s="17" t="n">
        <f aca="false">SQRT(($B74-AR$8)^2+($C74-AR$9)^2+($D74-AR$10)^2)</f>
        <v>2.36622642979973</v>
      </c>
      <c r="AS74" s="17" t="n">
        <f aca="false">SQRT(($B74-AS$8)^2+($C74-AS$9)^2+($D74-AS$10)^2)</f>
        <v>0.950456202880679</v>
      </c>
      <c r="AT74" s="63" t="n">
        <f aca="false">MATCH(MIN(AR74:AS74),AR74:AS74,0)</f>
        <v>2</v>
      </c>
      <c r="AV74" s="17" t="n">
        <f aca="false">SQRT(($B74-AV$8)^2+($C74-AV$9)^2+($D74-AV$10)^2)</f>
        <v>2.32836553531151</v>
      </c>
      <c r="AW74" s="17" t="n">
        <f aca="false">SQRT(($B74-AW$8)^2+($C74-AW$9)^2+($D74-AW$10)^2)</f>
        <v>0.961691638306443</v>
      </c>
      <c r="AX74" s="63" t="n">
        <f aca="false">MATCH(MIN(AV74:AW74),AV74:AW74,0)</f>
        <v>2</v>
      </c>
      <c r="AZ74" s="17" t="n">
        <f aca="false">SQRT(($B74-AZ$8)^2+($C74-AZ$9)^2+($D74-AZ$10)^2)</f>
        <v>2.29139450254467</v>
      </c>
      <c r="BA74" s="17" t="n">
        <f aca="false">SQRT(($B74-BA$8)^2+($C74-BA$9)^2+($D74-BA$10)^2)</f>
        <v>0.972233802096328</v>
      </c>
      <c r="BB74" s="63" t="n">
        <f aca="false">MATCH(MIN(AZ74:BA74),AZ74:BA74,0)</f>
        <v>2</v>
      </c>
      <c r="BD74" s="17" t="n">
        <f aca="false">SQRT(($B74-BD$8)^2+($C74-BD$9)^2+($D74-BD$10)^2)</f>
        <v>2.29139450254467</v>
      </c>
      <c r="BE74" s="17" t="n">
        <f aca="false">SQRT(($B74-BE$8)^2+($C74-BE$9)^2+($D74-BE$10)^2)</f>
        <v>0.972233802096328</v>
      </c>
      <c r="BF74" s="63" t="n">
        <f aca="false">MATCH(MIN(BD74:BE74),BD74:BE74,0)</f>
        <v>2</v>
      </c>
      <c r="BH74" s="17" t="n">
        <f aca="false">SQRT(($B74-BH$8)^2+($C74-BH$9)^2+($D74-BH$10)^2)</f>
        <v>2.29139450254467</v>
      </c>
      <c r="BI74" s="17" t="n">
        <f aca="false">SQRT(($B74-BI$8)^2+($C74-BI$9)^2+($D74-BI$10)^2)</f>
        <v>0.972233802096328</v>
      </c>
      <c r="BJ74" s="63" t="n">
        <f aca="false">MATCH(MIN(BH74:BI74),BH74:BI74,0)</f>
        <v>2</v>
      </c>
      <c r="BL74" s="17" t="n">
        <f aca="false">SQRT(($B74-BL$8)^2+($C74-BL$9)^2+($D74-BL$10)^2)</f>
        <v>2.29139450254467</v>
      </c>
      <c r="BM74" s="17" t="n">
        <f aca="false">SQRT(($B74-BM$8)^2+($C74-BM$9)^2+($D74-BM$10)^2)</f>
        <v>0.972233802096328</v>
      </c>
      <c r="BN74" s="63" t="n">
        <f aca="false">MATCH(MIN(BL74:BM74),BL74:BM74,0)</f>
        <v>2</v>
      </c>
      <c r="BP74" s="17" t="n">
        <f aca="false">SQRT(($B74-BP$8)^2+($C74-BP$9)^2+($D74-BP$10)^2)</f>
        <v>2.29139450254467</v>
      </c>
      <c r="BQ74" s="17" t="n">
        <f aca="false">SQRT(($B74-BQ$8)^2+($C74-BQ$9)^2+($D74-BQ$10)^2)</f>
        <v>0.972233802096328</v>
      </c>
      <c r="BR74" s="63" t="n">
        <f aca="false">MATCH(MIN(BP74:BQ74),BP74:BQ74,0)</f>
        <v>2</v>
      </c>
    </row>
    <row r="75" customFormat="false" ht="15" hidden="false" customHeight="false" outlineLevel="0" collapsed="false">
      <c r="A75" s="36" t="str">
        <f aca="false">KMeans_Data!A65</f>
        <v>Other</v>
      </c>
      <c r="B75" s="17" t="n">
        <f aca="false">KMeans_Data!H65</f>
        <v>-0.0333406256173151</v>
      </c>
      <c r="C75" s="17" t="n">
        <f aca="false">KMeans_Data!I65</f>
        <v>0.547911385844501</v>
      </c>
      <c r="D75" s="17" t="n">
        <f aca="false">KMeans_Data!J65</f>
        <v>0.501871845301586</v>
      </c>
      <c r="E75" s="63" t="n">
        <f aca="false">BR75</f>
        <v>1</v>
      </c>
      <c r="F75" s="38" t="n">
        <f aca="false">($B75-INDEX($L$8:$M$8,E75))^2+($C75-INDEX($L$9:$M$9,E75))^2+($D75-INDEX($L$10:$M$10,E75))^2</f>
        <v>2.00721349293719</v>
      </c>
      <c r="G75" s="17" t="n">
        <f aca="false">IF(COUNTIF(Distance_Matrix!$E$8:$DQ$8,$E75)&lt;=1,0,SUMIF(Distance_Matrix!$E$8:$DQ$8,$E75,Distance_Matrix!$E$74:$DQ$74)/(COUNTIF(Distance_Matrix!$E$8:$DQ$8,$E75)-1))</f>
        <v>1.61600813047569</v>
      </c>
      <c r="H75" s="17" t="n">
        <f aca="false">MIN(IF(1=$E75,1E+099,IF(COUNTIF(Distance_Matrix!$E$8:$DQ$8,1)=0,1E+099,SUMIF(Distance_Matrix!$E$8:$DQ$8,1,Distance_Matrix!$E$74:$DQ$74)/COUNTIF(Distance_Matrix!$E$8:$DQ$8,1))),IF(2=$E75,1E+099,IF(COUNTIF(Distance_Matrix!$E$8:$DQ$8,2)=0,1E+099,SUMIF(Distance_Matrix!$E$8:$DQ$8,2,Distance_Matrix!$E$74:$DQ$74)/COUNTIF(Distance_Matrix!$E$8:$DQ$8,2))))</f>
        <v>1.71640281698258</v>
      </c>
      <c r="I75" s="17" t="n">
        <f aca="false">IF(COUNTIF(Distance_Matrix!$E$8:$DQ$8,$E75)&lt;=1,0,(H75-G75)/MAX(G75,H75))</f>
        <v>0.058491331704634</v>
      </c>
      <c r="X75" s="17" t="n">
        <f aca="false">SQRT(($B75-X$8)^2+($C75-X$9)^2+($D75-X$10)^2)</f>
        <v>5.54024690953817</v>
      </c>
      <c r="Y75" s="17" t="n">
        <f aca="false">SQRT(($B75-Y$8)^2+($C75-Y$9)^2+($D75-Y$10)^2)</f>
        <v>2.89686423762356</v>
      </c>
      <c r="Z75" s="63" t="n">
        <f aca="false">MATCH(MIN(X75:Y75),X75:Y75,0)</f>
        <v>2</v>
      </c>
      <c r="AB75" s="17" t="n">
        <f aca="false">SQRT(($B75-AB$8)^2+($C75-AB$9)^2+($D75-AB$10)^2)</f>
        <v>3.02250317333226</v>
      </c>
      <c r="AC75" s="17" t="n">
        <f aca="false">SQRT(($B75-AC$8)^2+($C75-AC$9)^2+($D75-AC$10)^2)</f>
        <v>1.03400571381652</v>
      </c>
      <c r="AD75" s="63" t="n">
        <f aca="false">MATCH(MIN(AB75:AC75),AB75:AC75,0)</f>
        <v>2</v>
      </c>
      <c r="AF75" s="17" t="n">
        <f aca="false">SQRT(($B75-AF$8)^2+($C75-AF$9)^2+($D75-AF$10)^2)</f>
        <v>2.41219178951017</v>
      </c>
      <c r="AG75" s="17" t="n">
        <f aca="false">SQRT(($B75-AG$8)^2+($C75-AG$9)^2+($D75-AG$10)^2)</f>
        <v>1.12861147922046</v>
      </c>
      <c r="AH75" s="63" t="n">
        <f aca="false">MATCH(MIN(AF75:AG75),AF75:AG75,0)</f>
        <v>2</v>
      </c>
      <c r="AJ75" s="17" t="n">
        <f aca="false">SQRT(($B75-AJ$8)^2+($C75-AJ$9)^2+($D75-AJ$10)^2)</f>
        <v>1.80311955283034</v>
      </c>
      <c r="AK75" s="17" t="n">
        <f aca="false">SQRT(($B75-AK$8)^2+($C75-AK$9)^2+($D75-AK$10)^2)</f>
        <v>1.32859240243658</v>
      </c>
      <c r="AL75" s="63" t="n">
        <f aca="false">MATCH(MIN(AJ75:AK75),AJ75:AK75,0)</f>
        <v>2</v>
      </c>
      <c r="AN75" s="17" t="n">
        <f aca="false">SQRT(($B75-AN$8)^2+($C75-AN$9)^2+($D75-AN$10)^2)</f>
        <v>1.61405239520204</v>
      </c>
      <c r="AO75" s="17" t="n">
        <f aca="false">SQRT(($B75-AO$8)^2+($C75-AO$9)^2+($D75-AO$10)^2)</f>
        <v>1.42491974799457</v>
      </c>
      <c r="AP75" s="63" t="n">
        <f aca="false">MATCH(MIN(AN75:AO75),AN75:AO75,0)</f>
        <v>2</v>
      </c>
      <c r="AR75" s="17" t="n">
        <f aca="false">SQRT(($B75-AR$8)^2+($C75-AR$9)^2+($D75-AR$10)^2)</f>
        <v>1.49510861834185</v>
      </c>
      <c r="AS75" s="17" t="n">
        <f aca="false">SQRT(($B75-AS$8)^2+($C75-AS$9)^2+($D75-AS$10)^2)</f>
        <v>1.47662636270396</v>
      </c>
      <c r="AT75" s="63" t="n">
        <f aca="false">MATCH(MIN(AR75:AS75),AR75:AS75,0)</f>
        <v>2</v>
      </c>
      <c r="AV75" s="17" t="n">
        <f aca="false">SQRT(($B75-AV$8)^2+($C75-AV$9)^2+($D75-AV$10)^2)</f>
        <v>1.45843108123994</v>
      </c>
      <c r="AW75" s="17" t="n">
        <f aca="false">SQRT(($B75-AW$8)^2+($C75-AW$9)^2+($D75-AW$10)^2)</f>
        <v>1.49311336371484</v>
      </c>
      <c r="AX75" s="63" t="n">
        <f aca="false">MATCH(MIN(AV75:AW75),AV75:AW75,0)</f>
        <v>1</v>
      </c>
      <c r="AZ75" s="17" t="n">
        <f aca="false">SQRT(($B75-AZ$8)^2+($C75-AZ$9)^2+($D75-AZ$10)^2)</f>
        <v>1.41676162177594</v>
      </c>
      <c r="BA75" s="17" t="n">
        <f aca="false">SQRT(($B75-BA$8)^2+($C75-BA$9)^2+($D75-BA$10)^2)</f>
        <v>1.51132206327234</v>
      </c>
      <c r="BB75" s="63" t="n">
        <f aca="false">MATCH(MIN(AZ75:BA75),AZ75:BA75,0)</f>
        <v>1</v>
      </c>
      <c r="BD75" s="17" t="n">
        <f aca="false">SQRT(($B75-BD$8)^2+($C75-BD$9)^2+($D75-BD$10)^2)</f>
        <v>1.41676162177594</v>
      </c>
      <c r="BE75" s="17" t="n">
        <f aca="false">SQRT(($B75-BE$8)^2+($C75-BE$9)^2+($D75-BE$10)^2)</f>
        <v>1.51132206327234</v>
      </c>
      <c r="BF75" s="63" t="n">
        <f aca="false">MATCH(MIN(BD75:BE75),BD75:BE75,0)</f>
        <v>1</v>
      </c>
      <c r="BH75" s="17" t="n">
        <f aca="false">SQRT(($B75-BH$8)^2+($C75-BH$9)^2+($D75-BH$10)^2)</f>
        <v>1.41676162177594</v>
      </c>
      <c r="BI75" s="17" t="n">
        <f aca="false">SQRT(($B75-BI$8)^2+($C75-BI$9)^2+($D75-BI$10)^2)</f>
        <v>1.51132206327234</v>
      </c>
      <c r="BJ75" s="63" t="n">
        <f aca="false">MATCH(MIN(BH75:BI75),BH75:BI75,0)</f>
        <v>1</v>
      </c>
      <c r="BL75" s="17" t="n">
        <f aca="false">SQRT(($B75-BL$8)^2+($C75-BL$9)^2+($D75-BL$10)^2)</f>
        <v>1.41676162177594</v>
      </c>
      <c r="BM75" s="17" t="n">
        <f aca="false">SQRT(($B75-BM$8)^2+($C75-BM$9)^2+($D75-BM$10)^2)</f>
        <v>1.51132206327234</v>
      </c>
      <c r="BN75" s="63" t="n">
        <f aca="false">MATCH(MIN(BL75:BM75),BL75:BM75,0)</f>
        <v>1</v>
      </c>
      <c r="BP75" s="17" t="n">
        <f aca="false">SQRT(($B75-BP$8)^2+($C75-BP$9)^2+($D75-BP$10)^2)</f>
        <v>1.41676162177594</v>
      </c>
      <c r="BQ75" s="17" t="n">
        <f aca="false">SQRT(($B75-BQ$8)^2+($C75-BQ$9)^2+($D75-BQ$10)^2)</f>
        <v>1.51132206327234</v>
      </c>
      <c r="BR75" s="63" t="n">
        <f aca="false">MATCH(MIN(BP75:BQ75),BP75:BQ75,0)</f>
        <v>1</v>
      </c>
    </row>
    <row r="76" customFormat="false" ht="15" hidden="false" customHeight="false" outlineLevel="0" collapsed="false">
      <c r="A76" s="36" t="str">
        <f aca="false">KMeans_Data!A66</f>
        <v>Thatta</v>
      </c>
      <c r="B76" s="17" t="n">
        <f aca="false">KMeans_Data!H66</f>
        <v>-0.0436472993942904</v>
      </c>
      <c r="C76" s="17" t="n">
        <f aca="false">KMeans_Data!I66</f>
        <v>0.160512589624996</v>
      </c>
      <c r="D76" s="17" t="n">
        <f aca="false">KMeans_Data!J66</f>
        <v>0.042930091906806</v>
      </c>
      <c r="E76" s="63" t="n">
        <f aca="false">BR76</f>
        <v>2</v>
      </c>
      <c r="F76" s="38" t="n">
        <f aca="false">($B76-INDEX($L$8:$M$8,E76))^2+($C76-INDEX($L$9:$M$9,E76))^2+($D76-INDEX($L$10:$M$10,E76))^2</f>
        <v>0.902159481095651</v>
      </c>
      <c r="G76" s="17" t="n">
        <f aca="false">IF(COUNTIF(Distance_Matrix!$E$8:$DQ$8,$E76)&lt;=1,0,SUMIF(Distance_Matrix!$E$8:$DQ$8,$E76,Distance_Matrix!$E$75:$DQ$75)/(COUNTIF(Distance_Matrix!$E$8:$DQ$8,$E76)-1))</f>
        <v>1.30152640350753</v>
      </c>
      <c r="H76" s="17" t="n">
        <f aca="false">MIN(IF(1=$E76,1E+099,IF(COUNTIF(Distance_Matrix!$E$8:$DQ$8,1)=0,1E+099,SUMIF(Distance_Matrix!$E$8:$DQ$8,1,Distance_Matrix!$E$75:$DQ$75)/COUNTIF(Distance_Matrix!$E$8:$DQ$8,1))),IF(2=$E76,1E+099,IF(COUNTIF(Distance_Matrix!$E$8:$DQ$8,2)=0,1E+099,SUMIF(Distance_Matrix!$E$8:$DQ$8,2,Distance_Matrix!$E$75:$DQ$75)/COUNTIF(Distance_Matrix!$E$8:$DQ$8,2))))</f>
        <v>1.96172679979362</v>
      </c>
      <c r="I76" s="17" t="n">
        <f aca="false">IF(COUNTIF(Distance_Matrix!$E$8:$DQ$8,$E76)&lt;=1,0,(H76-G76)/MAX(G76,H76))</f>
        <v>0.336540437922114</v>
      </c>
      <c r="X76" s="17" t="n">
        <f aca="false">SQRT(($B76-X$8)^2+($C76-X$9)^2+($D76-X$10)^2)</f>
        <v>6.02934929788541</v>
      </c>
      <c r="Y76" s="17" t="n">
        <f aca="false">SQRT(($B76-Y$8)^2+($C76-Y$9)^2+($D76-Y$10)^2)</f>
        <v>2.50050689361822</v>
      </c>
      <c r="Z76" s="63" t="n">
        <f aca="false">MATCH(MIN(X76:Y76),X76:Y76,0)</f>
        <v>2</v>
      </c>
      <c r="AB76" s="17" t="n">
        <f aca="false">SQRT(($B76-AB$8)^2+($C76-AB$9)^2+($D76-AB$10)^2)</f>
        <v>3.49075542239434</v>
      </c>
      <c r="AC76" s="17" t="n">
        <f aca="false">SQRT(($B76-AC$8)^2+($C76-AC$9)^2+($D76-AC$10)^2)</f>
        <v>0.459903945631038</v>
      </c>
      <c r="AD76" s="63" t="n">
        <f aca="false">MATCH(MIN(AB76:AC76),AB76:AC76,0)</f>
        <v>2</v>
      </c>
      <c r="AF76" s="17" t="n">
        <f aca="false">SQRT(($B76-AF$8)^2+($C76-AF$9)^2+($D76-AF$10)^2)</f>
        <v>2.87521655348765</v>
      </c>
      <c r="AG76" s="17" t="n">
        <f aca="false">SQRT(($B76-AG$8)^2+($C76-AG$9)^2+($D76-AG$10)^2)</f>
        <v>0.559500554300203</v>
      </c>
      <c r="AH76" s="63" t="n">
        <f aca="false">MATCH(MIN(AF76:AG76),AF76:AG76,0)</f>
        <v>2</v>
      </c>
      <c r="AJ76" s="17" t="n">
        <f aca="false">SQRT(($B76-AJ$8)^2+($C76-AJ$9)^2+($D76-AJ$10)^2)</f>
        <v>2.27051610184436</v>
      </c>
      <c r="AK76" s="17" t="n">
        <f aca="false">SQRT(($B76-AK$8)^2+($C76-AK$9)^2+($D76-AK$10)^2)</f>
        <v>0.762744634714202</v>
      </c>
      <c r="AL76" s="63" t="n">
        <f aca="false">MATCH(MIN(AJ76:AK76),AJ76:AK76,0)</f>
        <v>2</v>
      </c>
      <c r="AN76" s="17" t="n">
        <f aca="false">SQRT(($B76-AN$8)^2+($C76-AN$9)^2+($D76-AN$10)^2)</f>
        <v>2.07358672530281</v>
      </c>
      <c r="AO76" s="17" t="n">
        <f aca="false">SQRT(($B76-AO$8)^2+($C76-AO$9)^2+($D76-AO$10)^2)</f>
        <v>0.861273067433047</v>
      </c>
      <c r="AP76" s="63" t="n">
        <f aca="false">MATCH(MIN(AN76:AO76),AN76:AO76,0)</f>
        <v>2</v>
      </c>
      <c r="AR76" s="17" t="n">
        <f aca="false">SQRT(($B76-AR$8)^2+($C76-AR$9)^2+($D76-AR$10)^2)</f>
        <v>1.94943510601187</v>
      </c>
      <c r="AS76" s="17" t="n">
        <f aca="false">SQRT(($B76-AS$8)^2+($C76-AS$9)^2+($D76-AS$10)^2)</f>
        <v>0.914445824064704</v>
      </c>
      <c r="AT76" s="63" t="n">
        <f aca="false">MATCH(MIN(AR76:AS76),AR76:AS76,0)</f>
        <v>2</v>
      </c>
      <c r="AV76" s="17" t="n">
        <f aca="false">SQRT(($B76-AV$8)^2+($C76-AV$9)^2+($D76-AV$10)^2)</f>
        <v>1.9097723947733</v>
      </c>
      <c r="AW76" s="17" t="n">
        <f aca="false">SQRT(($B76-AW$8)^2+($C76-AW$9)^2+($D76-AW$10)^2)</f>
        <v>0.931906414119136</v>
      </c>
      <c r="AX76" s="63" t="n">
        <f aca="false">MATCH(MIN(AV76:AW76),AV76:AW76,0)</f>
        <v>2</v>
      </c>
      <c r="AZ76" s="17" t="n">
        <f aca="false">SQRT(($B76-AZ$8)^2+($C76-AZ$9)^2+($D76-AZ$10)^2)</f>
        <v>1.86930394072565</v>
      </c>
      <c r="BA76" s="17" t="n">
        <f aca="false">SQRT(($B76-BA$8)^2+($C76-BA$9)^2+($D76-BA$10)^2)</f>
        <v>0.949820762615585</v>
      </c>
      <c r="BB76" s="63" t="n">
        <f aca="false">MATCH(MIN(AZ76:BA76),AZ76:BA76,0)</f>
        <v>2</v>
      </c>
      <c r="BD76" s="17" t="n">
        <f aca="false">SQRT(($B76-BD$8)^2+($C76-BD$9)^2+($D76-BD$10)^2)</f>
        <v>1.86930394072565</v>
      </c>
      <c r="BE76" s="17" t="n">
        <f aca="false">SQRT(($B76-BE$8)^2+($C76-BE$9)^2+($D76-BE$10)^2)</f>
        <v>0.949820762615585</v>
      </c>
      <c r="BF76" s="63" t="n">
        <f aca="false">MATCH(MIN(BD76:BE76),BD76:BE76,0)</f>
        <v>2</v>
      </c>
      <c r="BH76" s="17" t="n">
        <f aca="false">SQRT(($B76-BH$8)^2+($C76-BH$9)^2+($D76-BH$10)^2)</f>
        <v>1.86930394072565</v>
      </c>
      <c r="BI76" s="17" t="n">
        <f aca="false">SQRT(($B76-BI$8)^2+($C76-BI$9)^2+($D76-BI$10)^2)</f>
        <v>0.949820762615585</v>
      </c>
      <c r="BJ76" s="63" t="n">
        <f aca="false">MATCH(MIN(BH76:BI76),BH76:BI76,0)</f>
        <v>2</v>
      </c>
      <c r="BL76" s="17" t="n">
        <f aca="false">SQRT(($B76-BL$8)^2+($C76-BL$9)^2+($D76-BL$10)^2)</f>
        <v>1.86930394072565</v>
      </c>
      <c r="BM76" s="17" t="n">
        <f aca="false">SQRT(($B76-BM$8)^2+($C76-BM$9)^2+($D76-BM$10)^2)</f>
        <v>0.949820762615585</v>
      </c>
      <c r="BN76" s="63" t="n">
        <f aca="false">MATCH(MIN(BL76:BM76),BL76:BM76,0)</f>
        <v>2</v>
      </c>
      <c r="BP76" s="17" t="n">
        <f aca="false">SQRT(($B76-BP$8)^2+($C76-BP$9)^2+($D76-BP$10)^2)</f>
        <v>1.86930394072565</v>
      </c>
      <c r="BQ76" s="17" t="n">
        <f aca="false">SQRT(($B76-BQ$8)^2+($C76-BQ$9)^2+($D76-BQ$10)^2)</f>
        <v>0.949820762615585</v>
      </c>
      <c r="BR76" s="63" t="n">
        <f aca="false">MATCH(MIN(BP76:BQ76),BP76:BQ76,0)</f>
        <v>2</v>
      </c>
    </row>
    <row r="77" customFormat="false" ht="15" hidden="false" customHeight="false" outlineLevel="0" collapsed="false">
      <c r="A77" s="36" t="str">
        <f aca="false">KMeans_Data!A67</f>
        <v>Hafizabad</v>
      </c>
      <c r="B77" s="17" t="n">
        <f aca="false">KMeans_Data!H67</f>
        <v>-0.0648939235999031</v>
      </c>
      <c r="C77" s="17" t="n">
        <f aca="false">KMeans_Data!I67</f>
        <v>-0.672650545388274</v>
      </c>
      <c r="D77" s="17" t="n">
        <f aca="false">KMeans_Data!J67</f>
        <v>-0.824446015898766</v>
      </c>
      <c r="E77" s="63" t="n">
        <f aca="false">BR77</f>
        <v>2</v>
      </c>
      <c r="F77" s="38" t="n">
        <f aca="false">($B77-INDEX($L$8:$M$8,E77))^2+($C77-INDEX($L$9:$M$9,E77))^2+($D77-INDEX($L$10:$M$10,E77))^2</f>
        <v>0.280926591094913</v>
      </c>
      <c r="G77" s="17" t="n">
        <f aca="false">IF(COUNTIF(Distance_Matrix!$E$8:$DQ$8,$E77)&lt;=1,0,SUMIF(Distance_Matrix!$E$8:$DQ$8,$E77,Distance_Matrix!$E$76:$DQ$76)/(COUNTIF(Distance_Matrix!$E$8:$DQ$8,$E77)-1))</f>
        <v>1.05498361446165</v>
      </c>
      <c r="H77" s="17" t="n">
        <f aca="false">MIN(IF(1=$E77,1E+099,IF(COUNTIF(Distance_Matrix!$E$8:$DQ$8,1)=0,1E+099,SUMIF(Distance_Matrix!$E$8:$DQ$8,1,Distance_Matrix!$E$76:$DQ$76)/COUNTIF(Distance_Matrix!$E$8:$DQ$8,1))),IF(2=$E77,1E+099,IF(COUNTIF(Distance_Matrix!$E$8:$DQ$8,2)=0,1E+099,SUMIF(Distance_Matrix!$E$8:$DQ$8,2,Distance_Matrix!$E$76:$DQ$76)/COUNTIF(Distance_Matrix!$E$8:$DQ$8,2))))</f>
        <v>3.00437348216186</v>
      </c>
      <c r="I77" s="17" t="n">
        <f aca="false">IF(COUNTIF(Distance_Matrix!$E$8:$DQ$8,$E77)&lt;=1,0,(H77-G77)/MAX(G77,H77))</f>
        <v>0.648850710231101</v>
      </c>
      <c r="X77" s="17" t="n">
        <f aca="false">SQRT(($B77-X$8)^2+($C77-X$9)^2+($D77-X$10)^2)</f>
        <v>7.06907020065435</v>
      </c>
      <c r="Y77" s="17" t="n">
        <f aca="false">SQRT(($B77-Y$8)^2+($C77-Y$9)^2+($D77-Y$10)^2)</f>
        <v>2.04028546987929</v>
      </c>
      <c r="Z77" s="63" t="n">
        <f aca="false">MATCH(MIN(X77:Y77),X77:Y77,0)</f>
        <v>2</v>
      </c>
      <c r="AB77" s="17" t="n">
        <f aca="false">SQRT(($B77-AB$8)^2+($C77-AB$9)^2+($D77-AB$10)^2)</f>
        <v>4.53073041116592</v>
      </c>
      <c r="AC77" s="17" t="n">
        <f aca="false">SQRT(($B77-AC$8)^2+($C77-AC$9)^2+($D77-AC$10)^2)</f>
        <v>0.801365384145726</v>
      </c>
      <c r="AD77" s="63" t="n">
        <f aca="false">MATCH(MIN(AB77:AC77),AB77:AC77,0)</f>
        <v>2</v>
      </c>
      <c r="AF77" s="17" t="n">
        <f aca="false">SQRT(($B77-AF$8)^2+($C77-AF$9)^2+($D77-AF$10)^2)</f>
        <v>3.92365264096212</v>
      </c>
      <c r="AG77" s="17" t="n">
        <f aca="false">SQRT(($B77-AG$8)^2+($C77-AG$9)^2+($D77-AG$10)^2)</f>
        <v>0.731042270641107</v>
      </c>
      <c r="AH77" s="63" t="n">
        <f aca="false">MATCH(MIN(AF77:AG77),AF77:AG77,0)</f>
        <v>2</v>
      </c>
      <c r="AJ77" s="17" t="n">
        <f aca="false">SQRT(($B77-AJ$8)^2+($C77-AJ$9)^2+($D77-AJ$10)^2)</f>
        <v>3.34184538001299</v>
      </c>
      <c r="AK77" s="17" t="n">
        <f aca="false">SQRT(($B77-AK$8)^2+($C77-AK$9)^2+($D77-AK$10)^2)</f>
        <v>0.596276285734894</v>
      </c>
      <c r="AL77" s="63" t="n">
        <f aca="false">MATCH(MIN(AJ77:AK77),AJ77:AK77,0)</f>
        <v>2</v>
      </c>
      <c r="AN77" s="17" t="n">
        <f aca="false">SQRT(($B77-AN$8)^2+($C77-AN$9)^2+($D77-AN$10)^2)</f>
        <v>3.14265432707804</v>
      </c>
      <c r="AO77" s="17" t="n">
        <f aca="false">SQRT(($B77-AO$8)^2+($C77-AO$9)^2+($D77-AO$10)^2)</f>
        <v>0.554439425833498</v>
      </c>
      <c r="AP77" s="63" t="n">
        <f aca="false">MATCH(MIN(AN77:AO77),AN77:AO77,0)</f>
        <v>2</v>
      </c>
      <c r="AR77" s="17" t="n">
        <f aca="false">SQRT(($B77-AR$8)^2+($C77-AR$9)^2+($D77-AR$10)^2)</f>
        <v>3.01866733909904</v>
      </c>
      <c r="AS77" s="17" t="n">
        <f aca="false">SQRT(($B77-AS$8)^2+($C77-AS$9)^2+($D77-AS$10)^2)</f>
        <v>0.539483528973212</v>
      </c>
      <c r="AT77" s="63" t="n">
        <f aca="false">MATCH(MIN(AR77:AS77),AR77:AS77,0)</f>
        <v>2</v>
      </c>
      <c r="AV77" s="17" t="n">
        <f aca="false">SQRT(($B77-AV$8)^2+($C77-AV$9)^2+($D77-AV$10)^2)</f>
        <v>2.97816325698981</v>
      </c>
      <c r="AW77" s="17" t="n">
        <f aca="false">SQRT(($B77-AW$8)^2+($C77-AW$9)^2+($D77-AW$10)^2)</f>
        <v>0.53806090271759</v>
      </c>
      <c r="AX77" s="63" t="n">
        <f aca="false">MATCH(MIN(AV77:AW77),AV77:AW77,0)</f>
        <v>2</v>
      </c>
      <c r="AZ77" s="17" t="n">
        <f aca="false">SQRT(($B77-AZ$8)^2+($C77-AZ$9)^2+($D77-AZ$10)^2)</f>
        <v>2.94106469556899</v>
      </c>
      <c r="BA77" s="17" t="n">
        <f aca="false">SQRT(($B77-BA$8)^2+($C77-BA$9)^2+($D77-BA$10)^2)</f>
        <v>0.530025085344942</v>
      </c>
      <c r="BB77" s="63" t="n">
        <f aca="false">MATCH(MIN(AZ77:BA77),AZ77:BA77,0)</f>
        <v>2</v>
      </c>
      <c r="BD77" s="17" t="n">
        <f aca="false">SQRT(($B77-BD$8)^2+($C77-BD$9)^2+($D77-BD$10)^2)</f>
        <v>2.94106469556899</v>
      </c>
      <c r="BE77" s="17" t="n">
        <f aca="false">SQRT(($B77-BE$8)^2+($C77-BE$9)^2+($D77-BE$10)^2)</f>
        <v>0.530025085344942</v>
      </c>
      <c r="BF77" s="63" t="n">
        <f aca="false">MATCH(MIN(BD77:BE77),BD77:BE77,0)</f>
        <v>2</v>
      </c>
      <c r="BH77" s="17" t="n">
        <f aca="false">SQRT(($B77-BH$8)^2+($C77-BH$9)^2+($D77-BH$10)^2)</f>
        <v>2.94106469556899</v>
      </c>
      <c r="BI77" s="17" t="n">
        <f aca="false">SQRT(($B77-BI$8)^2+($C77-BI$9)^2+($D77-BI$10)^2)</f>
        <v>0.530025085344942</v>
      </c>
      <c r="BJ77" s="63" t="n">
        <f aca="false">MATCH(MIN(BH77:BI77),BH77:BI77,0)</f>
        <v>2</v>
      </c>
      <c r="BL77" s="17" t="n">
        <f aca="false">SQRT(($B77-BL$8)^2+($C77-BL$9)^2+($D77-BL$10)^2)</f>
        <v>2.94106469556899</v>
      </c>
      <c r="BM77" s="17" t="n">
        <f aca="false">SQRT(($B77-BM$8)^2+($C77-BM$9)^2+($D77-BM$10)^2)</f>
        <v>0.530025085344942</v>
      </c>
      <c r="BN77" s="63" t="n">
        <f aca="false">MATCH(MIN(BL77:BM77),BL77:BM77,0)</f>
        <v>2</v>
      </c>
      <c r="BP77" s="17" t="n">
        <f aca="false">SQRT(($B77-BP$8)^2+($C77-BP$9)^2+($D77-BP$10)^2)</f>
        <v>2.94106469556899</v>
      </c>
      <c r="BQ77" s="17" t="n">
        <f aca="false">SQRT(($B77-BQ$8)^2+($C77-BQ$9)^2+($D77-BQ$10)^2)</f>
        <v>0.530025085344942</v>
      </c>
      <c r="BR77" s="63" t="n">
        <f aca="false">MATCH(MIN(BP77:BQ77),BP77:BQ77,0)</f>
        <v>2</v>
      </c>
    </row>
    <row r="78" customFormat="false" ht="15" hidden="false" customHeight="false" outlineLevel="0" collapsed="false">
      <c r="A78" s="36" t="str">
        <f aca="false">KMeans_Data!A68</f>
        <v>Mirpurkhas</v>
      </c>
      <c r="B78" s="17" t="n">
        <f aca="false">KMeans_Data!H68</f>
        <v>-0.0984842888309702</v>
      </c>
      <c r="C78" s="17" t="n">
        <f aca="false">KMeans_Data!I68</f>
        <v>0.160512589624996</v>
      </c>
      <c r="D78" s="17" t="n">
        <f aca="false">KMeans_Data!J68</f>
        <v>0.265159896369606</v>
      </c>
      <c r="E78" s="63" t="n">
        <f aca="false">BR78</f>
        <v>2</v>
      </c>
      <c r="F78" s="38" t="n">
        <f aca="false">($B78-INDEX($L$8:$M$8,E78))^2+($C78-INDEX($L$9:$M$9,E78))^2+($D78-INDEX($L$10:$M$10,E78))^2</f>
        <v>1.14680684011312</v>
      </c>
      <c r="G78" s="17" t="n">
        <f aca="false">IF(COUNTIF(Distance_Matrix!$E$8:$DQ$8,$E78)&lt;=1,0,SUMIF(Distance_Matrix!$E$8:$DQ$8,$E78,Distance_Matrix!$E$77:$DQ$77)/(COUNTIF(Distance_Matrix!$E$8:$DQ$8,$E78)-1))</f>
        <v>1.37268438548745</v>
      </c>
      <c r="H78" s="17" t="n">
        <f aca="false">MIN(IF(1=$E78,1E+099,IF(COUNTIF(Distance_Matrix!$E$8:$DQ$8,1)=0,1E+099,SUMIF(Distance_Matrix!$E$8:$DQ$8,1,Distance_Matrix!$E$77:$DQ$77)/COUNTIF(Distance_Matrix!$E$8:$DQ$8,1))),IF(2=$E78,1E+099,IF(COUNTIF(Distance_Matrix!$E$8:$DQ$8,2)=0,1E+099,SUMIF(Distance_Matrix!$E$8:$DQ$8,2,Distance_Matrix!$E$77:$DQ$77)/COUNTIF(Distance_Matrix!$E$8:$DQ$8,2))))</f>
        <v>1.87612941477448</v>
      </c>
      <c r="I78" s="17" t="n">
        <f aca="false">IF(COUNTIF(Distance_Matrix!$E$8:$DQ$8,$E78)&lt;=1,0,(H78-G78)/MAX(G78,H78))</f>
        <v>0.268342378368151</v>
      </c>
      <c r="X78" s="17" t="n">
        <f aca="false">SQRT(($B78-X$8)^2+($C78-X$9)^2+($D78-X$10)^2)</f>
        <v>5.94497441444557</v>
      </c>
      <c r="Y78" s="17" t="n">
        <f aca="false">SQRT(($B78-Y$8)^2+($C78-Y$9)^2+($D78-Y$10)^2)</f>
        <v>2.57097159994448</v>
      </c>
      <c r="Z78" s="63" t="n">
        <f aca="false">MATCH(MIN(X78:Y78),X78:Y78,0)</f>
        <v>2</v>
      </c>
      <c r="AB78" s="17" t="n">
        <f aca="false">SQRT(($B78-AB$8)^2+($C78-AB$9)^2+($D78-AB$10)^2)</f>
        <v>3.41303330859205</v>
      </c>
      <c r="AC78" s="17" t="n">
        <f aca="false">SQRT(($B78-AC$8)^2+($C78-AC$9)^2+($D78-AC$10)^2)</f>
        <v>0.587407061179381</v>
      </c>
      <c r="AD78" s="63" t="n">
        <f aca="false">MATCH(MIN(AB78:AC78),AB78:AC78,0)</f>
        <v>2</v>
      </c>
      <c r="AF78" s="17" t="n">
        <f aca="false">SQRT(($B78-AF$8)^2+($C78-AF$9)^2+($D78-AF$10)^2)</f>
        <v>2.79967403891856</v>
      </c>
      <c r="AG78" s="17" t="n">
        <f aca="false">SQRT(($B78-AG$8)^2+($C78-AG$9)^2+($D78-AG$10)^2)</f>
        <v>0.680852409485737</v>
      </c>
      <c r="AH78" s="63" t="n">
        <f aca="false">MATCH(MIN(AF78:AG78),AF78:AG78,0)</f>
        <v>2</v>
      </c>
      <c r="AJ78" s="17" t="n">
        <f aca="false">SQRT(($B78-AJ$8)^2+($C78-AJ$9)^2+($D78-AJ$10)^2)</f>
        <v>2.18745248900313</v>
      </c>
      <c r="AK78" s="17" t="n">
        <f aca="false">SQRT(($B78-AK$8)^2+($C78-AK$9)^2+($D78-AK$10)^2)</f>
        <v>0.882828927462542</v>
      </c>
      <c r="AL78" s="63" t="n">
        <f aca="false">MATCH(MIN(AJ78:AK78),AJ78:AK78,0)</f>
        <v>2</v>
      </c>
      <c r="AN78" s="17" t="n">
        <f aca="false">SQRT(($B78-AN$8)^2+($C78-AN$9)^2+($D78-AN$10)^2)</f>
        <v>1.98664598306402</v>
      </c>
      <c r="AO78" s="17" t="n">
        <f aca="false">SQRT(($B78-AO$8)^2+($C78-AO$9)^2+($D78-AO$10)^2)</f>
        <v>0.982890127178647</v>
      </c>
      <c r="AP78" s="63" t="n">
        <f aca="false">MATCH(MIN(AN78:AO78),AN78:AO78,0)</f>
        <v>2</v>
      </c>
      <c r="AR78" s="17" t="n">
        <f aca="false">SQRT(($B78-AR$8)^2+($C78-AR$9)^2+($D78-AR$10)^2)</f>
        <v>1.86201724806055</v>
      </c>
      <c r="AS78" s="17" t="n">
        <f aca="false">SQRT(($B78-AS$8)^2+($C78-AS$9)^2+($D78-AS$10)^2)</f>
        <v>1.03601511008907</v>
      </c>
      <c r="AT78" s="63" t="n">
        <f aca="false">MATCH(MIN(AR78:AS78),AR78:AS78,0)</f>
        <v>2</v>
      </c>
      <c r="AV78" s="17" t="n">
        <f aca="false">SQRT(($B78-AV$8)^2+($C78-AV$9)^2+($D78-AV$10)^2)</f>
        <v>1.82319801031417</v>
      </c>
      <c r="AW78" s="17" t="n">
        <f aca="false">SQRT(($B78-AW$8)^2+($C78-AW$9)^2+($D78-AW$10)^2)</f>
        <v>1.05277567600315</v>
      </c>
      <c r="AX78" s="63" t="n">
        <f aca="false">MATCH(MIN(AV78:AW78),AV78:AW78,0)</f>
        <v>2</v>
      </c>
      <c r="AZ78" s="17" t="n">
        <f aca="false">SQRT(($B78-AZ$8)^2+($C78-AZ$9)^2+($D78-AZ$10)^2)</f>
        <v>1.78214828925006</v>
      </c>
      <c r="BA78" s="17" t="n">
        <f aca="false">SQRT(($B78-BA$8)^2+($C78-BA$9)^2+($D78-BA$10)^2)</f>
        <v>1.07089067607908</v>
      </c>
      <c r="BB78" s="63" t="n">
        <f aca="false">MATCH(MIN(AZ78:BA78),AZ78:BA78,0)</f>
        <v>2</v>
      </c>
      <c r="BD78" s="17" t="n">
        <f aca="false">SQRT(($B78-BD$8)^2+($C78-BD$9)^2+($D78-BD$10)^2)</f>
        <v>1.78214828925006</v>
      </c>
      <c r="BE78" s="17" t="n">
        <f aca="false">SQRT(($B78-BE$8)^2+($C78-BE$9)^2+($D78-BE$10)^2)</f>
        <v>1.07089067607908</v>
      </c>
      <c r="BF78" s="63" t="n">
        <f aca="false">MATCH(MIN(BD78:BE78),BD78:BE78,0)</f>
        <v>2</v>
      </c>
      <c r="BH78" s="17" t="n">
        <f aca="false">SQRT(($B78-BH$8)^2+($C78-BH$9)^2+($D78-BH$10)^2)</f>
        <v>1.78214828925006</v>
      </c>
      <c r="BI78" s="17" t="n">
        <f aca="false">SQRT(($B78-BI$8)^2+($C78-BI$9)^2+($D78-BI$10)^2)</f>
        <v>1.07089067607908</v>
      </c>
      <c r="BJ78" s="63" t="n">
        <f aca="false">MATCH(MIN(BH78:BI78),BH78:BI78,0)</f>
        <v>2</v>
      </c>
      <c r="BL78" s="17" t="n">
        <f aca="false">SQRT(($B78-BL$8)^2+($C78-BL$9)^2+($D78-BL$10)^2)</f>
        <v>1.78214828925006</v>
      </c>
      <c r="BM78" s="17" t="n">
        <f aca="false">SQRT(($B78-BM$8)^2+($C78-BM$9)^2+($D78-BM$10)^2)</f>
        <v>1.07089067607908</v>
      </c>
      <c r="BN78" s="63" t="n">
        <f aca="false">MATCH(MIN(BL78:BM78),BL78:BM78,0)</f>
        <v>2</v>
      </c>
      <c r="BP78" s="17" t="n">
        <f aca="false">SQRT(($B78-BP$8)^2+($C78-BP$9)^2+($D78-BP$10)^2)</f>
        <v>1.78214828925006</v>
      </c>
      <c r="BQ78" s="17" t="n">
        <f aca="false">SQRT(($B78-BQ$8)^2+($C78-BQ$9)^2+($D78-BQ$10)^2)</f>
        <v>1.07089067607908</v>
      </c>
      <c r="BR78" s="63" t="n">
        <f aca="false">MATCH(MIN(BP78:BQ78),BP78:BQ78,0)</f>
        <v>2</v>
      </c>
    </row>
    <row r="79" customFormat="false" ht="15" hidden="false" customHeight="false" outlineLevel="0" collapsed="false">
      <c r="A79" s="36" t="str">
        <f aca="false">KMeans_Data!A69</f>
        <v>Kashmore</v>
      </c>
      <c r="B79" s="17" t="n">
        <f aca="false">KMeans_Data!H69</f>
        <v>-0.110180736511367</v>
      </c>
      <c r="C79" s="17" t="n">
        <f aca="false">KMeans_Data!I69</f>
        <v>-0.146983133929529</v>
      </c>
      <c r="D79" s="17" t="n">
        <f aca="false">KMeans_Data!J69</f>
        <v>0.381616717142464</v>
      </c>
      <c r="E79" s="63" t="n">
        <f aca="false">BR79</f>
        <v>2</v>
      </c>
      <c r="F79" s="38" t="n">
        <f aca="false">($B79-INDEX($L$8:$M$8,E79))^2+($C79-INDEX($L$9:$M$9,E79))^2+($D79-INDEX($L$10:$M$10,E79))^2</f>
        <v>1.00570608688575</v>
      </c>
      <c r="G79" s="17" t="n">
        <f aca="false">IF(COUNTIF(Distance_Matrix!$E$8:$DQ$8,$E79)&lt;=1,0,SUMIF(Distance_Matrix!$E$8:$DQ$8,$E79,Distance_Matrix!$E$78:$DQ$78)/(COUNTIF(Distance_Matrix!$E$8:$DQ$8,$E79)-1))</f>
        <v>1.30215101022144</v>
      </c>
      <c r="H79" s="17" t="n">
        <f aca="false">MIN(IF(1=$E79,1E+099,IF(COUNTIF(Distance_Matrix!$E$8:$DQ$8,1)=0,1E+099,SUMIF(Distance_Matrix!$E$8:$DQ$8,1,Distance_Matrix!$E$78:$DQ$78)/COUNTIF(Distance_Matrix!$E$8:$DQ$8,1))),IF(2=$E79,1E+099,IF(COUNTIF(Distance_Matrix!$E$8:$DQ$8,2)=0,1E+099,SUMIF(Distance_Matrix!$E$8:$DQ$8,2,Distance_Matrix!$E$78:$DQ$78)/COUNTIF(Distance_Matrix!$E$8:$DQ$8,2))))</f>
        <v>2.01658714540875</v>
      </c>
      <c r="I79" s="17" t="n">
        <f aca="false">IF(COUNTIF(Distance_Matrix!$E$8:$DQ$8,$E79)&lt;=1,0,(H79-G79)/MAX(G79,H79))</f>
        <v>0.354279822131117</v>
      </c>
      <c r="X79" s="17" t="n">
        <f aca="false">SQRT(($B79-X$8)^2+($C79-X$9)^2+($D79-X$10)^2)</f>
        <v>6.10075211782889</v>
      </c>
      <c r="Y79" s="17" t="n">
        <f aca="false">SQRT(($B79-Y$8)^2+($C79-Y$9)^2+($D79-Y$10)^2)</f>
        <v>2.54715677244681</v>
      </c>
      <c r="Z79" s="63" t="n">
        <f aca="false">MATCH(MIN(X79:Y79),X79:Y79,0)</f>
        <v>2</v>
      </c>
      <c r="AB79" s="17" t="n">
        <f aca="false">SQRT(($B79-AB$8)^2+($C79-AB$9)^2+($D79-AB$10)^2)</f>
        <v>3.57472053174565</v>
      </c>
      <c r="AC79" s="17" t="n">
        <f aca="false">SQRT(($B79-AC$8)^2+($C79-AC$9)^2+($D79-AC$10)^2)</f>
        <v>0.565628891044376</v>
      </c>
      <c r="AD79" s="63" t="n">
        <f aca="false">MATCH(MIN(AB79:AC79),AB79:AC79,0)</f>
        <v>2</v>
      </c>
      <c r="AF79" s="17" t="n">
        <f aca="false">SQRT(($B79-AF$8)^2+($C79-AF$9)^2+($D79-AF$10)^2)</f>
        <v>2.96758932544145</v>
      </c>
      <c r="AG79" s="17" t="n">
        <f aca="false">SQRT(($B79-AG$8)^2+($C79-AG$9)^2+($D79-AG$10)^2)</f>
        <v>0.636845564838928</v>
      </c>
      <c r="AH79" s="63" t="n">
        <f aca="false">MATCH(MIN(AF79:AG79),AF79:AG79,0)</f>
        <v>2</v>
      </c>
      <c r="AJ79" s="17" t="n">
        <f aca="false">SQRT(($B79-AJ$8)^2+($C79-AJ$9)^2+($D79-AJ$10)^2)</f>
        <v>2.35295524856074</v>
      </c>
      <c r="AK79" s="17" t="n">
        <f aca="false">SQRT(($B79-AK$8)^2+($C79-AK$9)^2+($D79-AK$10)^2)</f>
        <v>0.817796433972075</v>
      </c>
      <c r="AL79" s="63" t="n">
        <f aca="false">MATCH(MIN(AJ79:AK79),AJ79:AK79,0)</f>
        <v>2</v>
      </c>
      <c r="AN79" s="17" t="n">
        <f aca="false">SQRT(($B79-AN$8)^2+($C79-AN$9)^2+($D79-AN$10)^2)</f>
        <v>2.14192717593961</v>
      </c>
      <c r="AO79" s="17" t="n">
        <f aca="false">SQRT(($B79-AO$8)^2+($C79-AO$9)^2+($D79-AO$10)^2)</f>
        <v>0.918689002024676</v>
      </c>
      <c r="AP79" s="63" t="n">
        <f aca="false">MATCH(MIN(AN79:AO79),AN79:AO79,0)</f>
        <v>2</v>
      </c>
      <c r="AR79" s="17" t="n">
        <f aca="false">SQRT(($B79-AR$8)^2+($C79-AR$9)^2+($D79-AR$10)^2)</f>
        <v>2.01547967881997</v>
      </c>
      <c r="AS79" s="17" t="n">
        <f aca="false">SQRT(($B79-AS$8)^2+($C79-AS$9)^2+($D79-AS$10)^2)</f>
        <v>0.970605280092715</v>
      </c>
      <c r="AT79" s="63" t="n">
        <f aca="false">MATCH(MIN(AR79:AS79),AR79:AS79,0)</f>
        <v>2</v>
      </c>
      <c r="AV79" s="17" t="n">
        <f aca="false">SQRT(($B79-AV$8)^2+($C79-AV$9)^2+($D79-AV$10)^2)</f>
        <v>1.97712307307185</v>
      </c>
      <c r="AW79" s="17" t="n">
        <f aca="false">SQRT(($B79-AW$8)^2+($C79-AW$9)^2+($D79-AW$10)^2)</f>
        <v>0.986136235652706</v>
      </c>
      <c r="AX79" s="63" t="n">
        <f aca="false">MATCH(MIN(AV79:AW79),AV79:AW79,0)</f>
        <v>2</v>
      </c>
      <c r="AZ79" s="17" t="n">
        <f aca="false">SQRT(($B79-AZ$8)^2+($C79-AZ$9)^2+($D79-AZ$10)^2)</f>
        <v>1.93718150838259</v>
      </c>
      <c r="BA79" s="17" t="n">
        <f aca="false">SQRT(($B79-BA$8)^2+($C79-BA$9)^2+($D79-BA$10)^2)</f>
        <v>1.00284898508487</v>
      </c>
      <c r="BB79" s="63" t="n">
        <f aca="false">MATCH(MIN(AZ79:BA79),AZ79:BA79,0)</f>
        <v>2</v>
      </c>
      <c r="BD79" s="17" t="n">
        <f aca="false">SQRT(($B79-BD$8)^2+($C79-BD$9)^2+($D79-BD$10)^2)</f>
        <v>1.93718150838259</v>
      </c>
      <c r="BE79" s="17" t="n">
        <f aca="false">SQRT(($B79-BE$8)^2+($C79-BE$9)^2+($D79-BE$10)^2)</f>
        <v>1.00284898508487</v>
      </c>
      <c r="BF79" s="63" t="n">
        <f aca="false">MATCH(MIN(BD79:BE79),BD79:BE79,0)</f>
        <v>2</v>
      </c>
      <c r="BH79" s="17" t="n">
        <f aca="false">SQRT(($B79-BH$8)^2+($C79-BH$9)^2+($D79-BH$10)^2)</f>
        <v>1.93718150838259</v>
      </c>
      <c r="BI79" s="17" t="n">
        <f aca="false">SQRT(($B79-BI$8)^2+($C79-BI$9)^2+($D79-BI$10)^2)</f>
        <v>1.00284898508487</v>
      </c>
      <c r="BJ79" s="63" t="n">
        <f aca="false">MATCH(MIN(BH79:BI79),BH79:BI79,0)</f>
        <v>2</v>
      </c>
      <c r="BL79" s="17" t="n">
        <f aca="false">SQRT(($B79-BL$8)^2+($C79-BL$9)^2+($D79-BL$10)^2)</f>
        <v>1.93718150838259</v>
      </c>
      <c r="BM79" s="17" t="n">
        <f aca="false">SQRT(($B79-BM$8)^2+($C79-BM$9)^2+($D79-BM$10)^2)</f>
        <v>1.00284898508487</v>
      </c>
      <c r="BN79" s="63" t="n">
        <f aca="false">MATCH(MIN(BL79:BM79),BL79:BM79,0)</f>
        <v>2</v>
      </c>
      <c r="BP79" s="17" t="n">
        <f aca="false">SQRT(($B79-BP$8)^2+($C79-BP$9)^2+($D79-BP$10)^2)</f>
        <v>1.93718150838259</v>
      </c>
      <c r="BQ79" s="17" t="n">
        <f aca="false">SQRT(($B79-BQ$8)^2+($C79-BQ$9)^2+($D79-BQ$10)^2)</f>
        <v>1.00284898508487</v>
      </c>
      <c r="BR79" s="63" t="n">
        <f aca="false">MATCH(MIN(BP79:BQ79),BP79:BQ79,0)</f>
        <v>2</v>
      </c>
    </row>
    <row r="80" customFormat="false" ht="15" hidden="false" customHeight="false" outlineLevel="0" collapsed="false">
      <c r="A80" s="36" t="str">
        <f aca="false">KMeans_Data!A70</f>
        <v>Naushero Feroz</v>
      </c>
      <c r="B80" s="17" t="n">
        <f aca="false">KMeans_Data!H70</f>
        <v>-0.134393009866687</v>
      </c>
      <c r="C80" s="17" t="n">
        <f aca="false">KMeans_Data!I70</f>
        <v>-0.146983133929529</v>
      </c>
      <c r="D80" s="17" t="n">
        <f aca="false">KMeans_Data!J70</f>
        <v>0.430439822017226</v>
      </c>
      <c r="E80" s="63" t="n">
        <f aca="false">BR80</f>
        <v>2</v>
      </c>
      <c r="F80" s="38" t="n">
        <f aca="false">($B80-INDEX($L$8:$M$8,E80))^2+($C80-INDEX($L$9:$M$9,E80))^2+($D80-INDEX($L$10:$M$10,E80))^2</f>
        <v>1.0774611713523</v>
      </c>
      <c r="G80" s="17" t="n">
        <f aca="false">IF(COUNTIF(Distance_Matrix!$E$8:$DQ$8,$E80)&lt;=1,0,SUMIF(Distance_Matrix!$E$8:$DQ$8,$E80,Distance_Matrix!$E$79:$DQ$79)/(COUNTIF(Distance_Matrix!$E$8:$DQ$8,$E80)-1))</f>
        <v>1.32648217119624</v>
      </c>
      <c r="H80" s="17" t="n">
        <f aca="false">MIN(IF(1=$E80,1E+099,IF(COUNTIF(Distance_Matrix!$E$8:$DQ$8,1)=0,1E+099,SUMIF(Distance_Matrix!$E$8:$DQ$8,1,Distance_Matrix!$E$79:$DQ$79)/COUNTIF(Distance_Matrix!$E$8:$DQ$8,1))),IF(2=$E80,1E+099,IF(COUNTIF(Distance_Matrix!$E$8:$DQ$8,2)=0,1E+099,SUMIF(Distance_Matrix!$E$8:$DQ$8,2,Distance_Matrix!$E$79:$DQ$79)/COUNTIF(Distance_Matrix!$E$8:$DQ$8,2))))</f>
        <v>2.01412987232387</v>
      </c>
      <c r="I80" s="17" t="n">
        <f aca="false">IF(COUNTIF(Distance_Matrix!$E$8:$DQ$8,$E80)&lt;=1,0,(H80-G80)/MAX(G80,H80))</f>
        <v>0.341411798005969</v>
      </c>
      <c r="X80" s="17" t="n">
        <f aca="false">SQRT(($B80-X$8)^2+($C80-X$9)^2+($D80-X$10)^2)</f>
        <v>6.09144375722268</v>
      </c>
      <c r="Y80" s="17" t="n">
        <f aca="false">SQRT(($B80-Y$8)^2+($C80-Y$9)^2+($D80-Y$10)^2)</f>
        <v>2.55826774752687</v>
      </c>
      <c r="Z80" s="63" t="n">
        <f aca="false">MATCH(MIN(X80:Y80),X80:Y80,0)</f>
        <v>2</v>
      </c>
      <c r="AB80" s="17" t="n">
        <f aca="false">SQRT(($B80-AB$8)^2+($C80-AB$9)^2+($D80-AB$10)^2)</f>
        <v>3.5689760865285</v>
      </c>
      <c r="AC80" s="17" t="n">
        <f aca="false">SQRT(($B80-AC$8)^2+($C80-AC$9)^2+($D80-AC$10)^2)</f>
        <v>0.611227299196568</v>
      </c>
      <c r="AD80" s="63" t="n">
        <f aca="false">MATCH(MIN(AB80:AC80),AB80:AC80,0)</f>
        <v>2</v>
      </c>
      <c r="AF80" s="17" t="n">
        <f aca="false">SQRT(($B80-AF$8)^2+($C80-AF$9)^2+($D80-AF$10)^2)</f>
        <v>2.96319169555736</v>
      </c>
      <c r="AG80" s="17" t="n">
        <f aca="false">SQRT(($B80-AG$8)^2+($C80-AG$9)^2+($D80-AG$10)^2)</f>
        <v>0.679468817357929</v>
      </c>
      <c r="AH80" s="63" t="n">
        <f aca="false">MATCH(MIN(AF80:AG80),AF80:AG80,0)</f>
        <v>2</v>
      </c>
      <c r="AJ80" s="17" t="n">
        <f aca="false">SQRT(($B80-AJ$8)^2+($C80-AJ$9)^2+($D80-AJ$10)^2)</f>
        <v>2.34814356628633</v>
      </c>
      <c r="AK80" s="17" t="n">
        <f aca="false">SQRT(($B80-AK$8)^2+($C80-AK$9)^2+($D80-AK$10)^2)</f>
        <v>0.856089618821911</v>
      </c>
      <c r="AL80" s="63" t="n">
        <f aca="false">MATCH(MIN(AJ80:AK80),AJ80:AK80,0)</f>
        <v>2</v>
      </c>
      <c r="AN80" s="17" t="n">
        <f aca="false">SQRT(($B80-AN$8)^2+($C80-AN$9)^2+($D80-AN$10)^2)</f>
        <v>2.13707340730967</v>
      </c>
      <c r="AO80" s="17" t="n">
        <f aca="false">SQRT(($B80-AO$8)^2+($C80-AO$9)^2+($D80-AO$10)^2)</f>
        <v>0.955213846610508</v>
      </c>
      <c r="AP80" s="63" t="n">
        <f aca="false">MATCH(MIN(AN80:AO80),AN80:AO80,0)</f>
        <v>2</v>
      </c>
      <c r="AR80" s="17" t="n">
        <f aca="false">SQRT(($B80-AR$8)^2+($C80-AR$9)^2+($D80-AR$10)^2)</f>
        <v>2.01103467644198</v>
      </c>
      <c r="AS80" s="17" t="n">
        <f aca="false">SQRT(($B80-AS$8)^2+($C80-AS$9)^2+($D80-AS$10)^2)</f>
        <v>1.00626872846305</v>
      </c>
      <c r="AT80" s="63" t="n">
        <f aca="false">MATCH(MIN(AR80:AS80),AR80:AS80,0)</f>
        <v>2</v>
      </c>
      <c r="AV80" s="17" t="n">
        <f aca="false">SQRT(($B80-AV$8)^2+($C80-AV$9)^2+($D80-AV$10)^2)</f>
        <v>1.97304793443669</v>
      </c>
      <c r="AW80" s="17" t="n">
        <f aca="false">SQRT(($B80-AW$8)^2+($C80-AW$9)^2+($D80-AW$10)^2)</f>
        <v>1.02141782744972</v>
      </c>
      <c r="AX80" s="63" t="n">
        <f aca="false">MATCH(MIN(AV80:AW80),AV80:AW80,0)</f>
        <v>2</v>
      </c>
      <c r="AZ80" s="17" t="n">
        <f aca="false">SQRT(($B80-AZ$8)^2+($C80-AZ$9)^2+($D80-AZ$10)^2)</f>
        <v>1.93310379945905</v>
      </c>
      <c r="BA80" s="17" t="n">
        <f aca="false">SQRT(($B80-BA$8)^2+($C80-BA$9)^2+($D80-BA$10)^2)</f>
        <v>1.03800827133135</v>
      </c>
      <c r="BB80" s="63" t="n">
        <f aca="false">MATCH(MIN(AZ80:BA80),AZ80:BA80,0)</f>
        <v>2</v>
      </c>
      <c r="BD80" s="17" t="n">
        <f aca="false">SQRT(($B80-BD$8)^2+($C80-BD$9)^2+($D80-BD$10)^2)</f>
        <v>1.93310379945905</v>
      </c>
      <c r="BE80" s="17" t="n">
        <f aca="false">SQRT(($B80-BE$8)^2+($C80-BE$9)^2+($D80-BE$10)^2)</f>
        <v>1.03800827133135</v>
      </c>
      <c r="BF80" s="63" t="n">
        <f aca="false">MATCH(MIN(BD80:BE80),BD80:BE80,0)</f>
        <v>2</v>
      </c>
      <c r="BH80" s="17" t="n">
        <f aca="false">SQRT(($B80-BH$8)^2+($C80-BH$9)^2+($D80-BH$10)^2)</f>
        <v>1.93310379945905</v>
      </c>
      <c r="BI80" s="17" t="n">
        <f aca="false">SQRT(($B80-BI$8)^2+($C80-BI$9)^2+($D80-BI$10)^2)</f>
        <v>1.03800827133135</v>
      </c>
      <c r="BJ80" s="63" t="n">
        <f aca="false">MATCH(MIN(BH80:BI80),BH80:BI80,0)</f>
        <v>2</v>
      </c>
      <c r="BL80" s="17" t="n">
        <f aca="false">SQRT(($B80-BL$8)^2+($C80-BL$9)^2+($D80-BL$10)^2)</f>
        <v>1.93310379945905</v>
      </c>
      <c r="BM80" s="17" t="n">
        <f aca="false">SQRT(($B80-BM$8)^2+($C80-BM$9)^2+($D80-BM$10)^2)</f>
        <v>1.03800827133135</v>
      </c>
      <c r="BN80" s="63" t="n">
        <f aca="false">MATCH(MIN(BL80:BM80),BL80:BM80,0)</f>
        <v>2</v>
      </c>
      <c r="BP80" s="17" t="n">
        <f aca="false">SQRT(($B80-BP$8)^2+($C80-BP$9)^2+($D80-BP$10)^2)</f>
        <v>1.93310379945905</v>
      </c>
      <c r="BQ80" s="17" t="n">
        <f aca="false">SQRT(($B80-BQ$8)^2+($C80-BQ$9)^2+($D80-BQ$10)^2)</f>
        <v>1.03800827133135</v>
      </c>
      <c r="BR80" s="63" t="n">
        <f aca="false">MATCH(MIN(BP80:BQ80),BP80:BQ80,0)</f>
        <v>2</v>
      </c>
    </row>
    <row r="81" customFormat="false" ht="15" hidden="false" customHeight="false" outlineLevel="0" collapsed="false">
      <c r="A81" s="36" t="str">
        <f aca="false">KMeans_Data!A71</f>
        <v>Tando M. Khan</v>
      </c>
      <c r="B81" s="17" t="n">
        <f aca="false">KMeans_Data!H71</f>
        <v>-0.172963987436362</v>
      </c>
      <c r="C81" s="17" t="n">
        <f aca="false">KMeans_Data!I71</f>
        <v>-0.672650545388274</v>
      </c>
      <c r="D81" s="17" t="n">
        <f aca="false">KMeans_Data!J71</f>
        <v>0.597261815332999</v>
      </c>
      <c r="E81" s="63" t="n">
        <f aca="false">BR81</f>
        <v>2</v>
      </c>
      <c r="F81" s="38" t="n">
        <f aca="false">($B81-INDEX($L$8:$M$8,E81))^2+($C81-INDEX($L$9:$M$9,E81))^2+($D81-INDEX($L$10:$M$10,E81))^2</f>
        <v>1.27655572592238</v>
      </c>
      <c r="G81" s="17" t="n">
        <f aca="false">IF(COUNTIF(Distance_Matrix!$E$8:$DQ$8,$E81)&lt;=1,0,SUMIF(Distance_Matrix!$E$8:$DQ$8,$E81,Distance_Matrix!$E$80:$DQ$80)/(COUNTIF(Distance_Matrix!$E$8:$DQ$8,$E81)-1))</f>
        <v>1.40183524822287</v>
      </c>
      <c r="H81" s="17" t="n">
        <f aca="false">MIN(IF(1=$E81,1E+099,IF(COUNTIF(Distance_Matrix!$E$8:$DQ$8,1)=0,1E+099,SUMIF(Distance_Matrix!$E$8:$DQ$8,1,Distance_Matrix!$E$80:$DQ$80)/COUNTIF(Distance_Matrix!$E$8:$DQ$8,1))),IF(2=$E81,1E+099,IF(COUNTIF(Distance_Matrix!$E$8:$DQ$8,2)=0,1E+099,SUMIF(Distance_Matrix!$E$8:$DQ$8,2,Distance_Matrix!$E$80:$DQ$80)/COUNTIF(Distance_Matrix!$E$8:$DQ$8,2))))</f>
        <v>2.37838859549706</v>
      </c>
      <c r="I81" s="17" t="n">
        <f aca="false">IF(COUNTIF(Distance_Matrix!$E$8:$DQ$8,$E81)&lt;=1,0,(H81-G81)/MAX(G81,H81))</f>
        <v>0.410594529894347</v>
      </c>
      <c r="X81" s="17" t="n">
        <f aca="false">SQRT(($B81-X$8)^2+($C81-X$9)^2+($D81-X$10)^2)</f>
        <v>6.41352976848323</v>
      </c>
      <c r="Y81" s="17" t="n">
        <f aca="false">SQRT(($B81-Y$8)^2+($C81-Y$9)^2+($D81-Y$10)^2)</f>
        <v>2.5833134057316</v>
      </c>
      <c r="Z81" s="63" t="n">
        <f aca="false">MATCH(MIN(X81:Y81),X81:Y81,0)</f>
        <v>2</v>
      </c>
      <c r="AB81" s="17" t="n">
        <f aca="false">SQRT(($B81-AB$8)^2+($C81-AB$9)^2+($D81-AB$10)^2)</f>
        <v>3.91805153786573</v>
      </c>
      <c r="AC81" s="17" t="n">
        <f aca="false">SQRT(($B81-AC$8)^2+($C81-AC$9)^2+($D81-AC$10)^2)</f>
        <v>0.894926507266582</v>
      </c>
      <c r="AD81" s="63" t="n">
        <f aca="false">MATCH(MIN(AB81:AC81),AB81:AC81,0)</f>
        <v>2</v>
      </c>
      <c r="AF81" s="17" t="n">
        <f aca="false">SQRT(($B81-AF$8)^2+($C81-AF$9)^2+($D81-AF$10)^2)</f>
        <v>3.32916726028638</v>
      </c>
      <c r="AG81" s="17" t="n">
        <f aca="false">SQRT(($B81-AG$8)^2+($C81-AG$9)^2+($D81-AG$10)^2)</f>
        <v>0.909666503033273</v>
      </c>
      <c r="AH81" s="63" t="n">
        <f aca="false">MATCH(MIN(AF81:AG81),AF81:AG81,0)</f>
        <v>2</v>
      </c>
      <c r="AJ81" s="17" t="n">
        <f aca="false">SQRT(($B81-AJ$8)^2+($C81-AJ$9)^2+($D81-AJ$10)^2)</f>
        <v>2.7233825913393</v>
      </c>
      <c r="AK81" s="17" t="n">
        <f aca="false">SQRT(($B81-AK$8)^2+($C81-AK$9)^2+($D81-AK$10)^2)</f>
        <v>0.998400171186237</v>
      </c>
      <c r="AL81" s="63" t="n">
        <f aca="false">MATCH(MIN(AJ81:AK81),AJ81:AK81,0)</f>
        <v>2</v>
      </c>
      <c r="AN81" s="17" t="n">
        <f aca="false">SQRT(($B81-AN$8)^2+($C81-AN$9)^2+($D81-AN$10)^2)</f>
        <v>2.50493375799866</v>
      </c>
      <c r="AO81" s="17" t="n">
        <f aca="false">SQRT(($B81-AO$8)^2+($C81-AO$9)^2+($D81-AO$10)^2)</f>
        <v>1.0721624112307</v>
      </c>
      <c r="AP81" s="63" t="n">
        <f aca="false">MATCH(MIN(AN81:AO81),AN81:AO81,0)</f>
        <v>2</v>
      </c>
      <c r="AR81" s="17" t="n">
        <f aca="false">SQRT(($B81-AR$8)^2+($C81-AR$9)^2+($D81-AR$10)^2)</f>
        <v>2.3805585455611</v>
      </c>
      <c r="AS81" s="17" t="n">
        <f aca="false">SQRT(($B81-AS$8)^2+($C81-AS$9)^2+($D81-AS$10)^2)</f>
        <v>1.10926830441129</v>
      </c>
      <c r="AT81" s="63" t="n">
        <f aca="false">MATCH(MIN(AR81:AS81),AR81:AS81,0)</f>
        <v>2</v>
      </c>
      <c r="AV81" s="17" t="n">
        <f aca="false">SQRT(($B81-AV$8)^2+($C81-AV$9)^2+($D81-AV$10)^2)</f>
        <v>2.34438749690893</v>
      </c>
      <c r="AW81" s="17" t="n">
        <f aca="false">SQRT(($B81-AW$8)^2+($C81-AW$9)^2+($D81-AW$10)^2)</f>
        <v>1.11905381565528</v>
      </c>
      <c r="AX81" s="63" t="n">
        <f aca="false">MATCH(MIN(AV81:AW81),AV81:AW81,0)</f>
        <v>2</v>
      </c>
      <c r="AZ81" s="17" t="n">
        <f aca="false">SQRT(($B81-AZ$8)^2+($C81-AZ$9)^2+($D81-AZ$10)^2)</f>
        <v>2.30726374234662</v>
      </c>
      <c r="BA81" s="17" t="n">
        <f aca="false">SQRT(($B81-BA$8)^2+($C81-BA$9)^2+($D81-BA$10)^2)</f>
        <v>1.12984765606801</v>
      </c>
      <c r="BB81" s="63" t="n">
        <f aca="false">MATCH(MIN(AZ81:BA81),AZ81:BA81,0)</f>
        <v>2</v>
      </c>
      <c r="BD81" s="17" t="n">
        <f aca="false">SQRT(($B81-BD$8)^2+($C81-BD$9)^2+($D81-BD$10)^2)</f>
        <v>2.30726374234662</v>
      </c>
      <c r="BE81" s="17" t="n">
        <f aca="false">SQRT(($B81-BE$8)^2+($C81-BE$9)^2+($D81-BE$10)^2)</f>
        <v>1.12984765606801</v>
      </c>
      <c r="BF81" s="63" t="n">
        <f aca="false">MATCH(MIN(BD81:BE81),BD81:BE81,0)</f>
        <v>2</v>
      </c>
      <c r="BH81" s="17" t="n">
        <f aca="false">SQRT(($B81-BH$8)^2+($C81-BH$9)^2+($D81-BH$10)^2)</f>
        <v>2.30726374234662</v>
      </c>
      <c r="BI81" s="17" t="n">
        <f aca="false">SQRT(($B81-BI$8)^2+($C81-BI$9)^2+($D81-BI$10)^2)</f>
        <v>1.12984765606801</v>
      </c>
      <c r="BJ81" s="63" t="n">
        <f aca="false">MATCH(MIN(BH81:BI81),BH81:BI81,0)</f>
        <v>2</v>
      </c>
      <c r="BL81" s="17" t="n">
        <f aca="false">SQRT(($B81-BL$8)^2+($C81-BL$9)^2+($D81-BL$10)^2)</f>
        <v>2.30726374234662</v>
      </c>
      <c r="BM81" s="17" t="n">
        <f aca="false">SQRT(($B81-BM$8)^2+($C81-BM$9)^2+($D81-BM$10)^2)</f>
        <v>1.12984765606801</v>
      </c>
      <c r="BN81" s="63" t="n">
        <f aca="false">MATCH(MIN(BL81:BM81),BL81:BM81,0)</f>
        <v>2</v>
      </c>
      <c r="BP81" s="17" t="n">
        <f aca="false">SQRT(($B81-BP$8)^2+($C81-BP$9)^2+($D81-BP$10)^2)</f>
        <v>2.30726374234662</v>
      </c>
      <c r="BQ81" s="17" t="n">
        <f aca="false">SQRT(($B81-BQ$8)^2+($C81-BQ$9)^2+($D81-BQ$10)^2)</f>
        <v>1.12984765606801</v>
      </c>
      <c r="BR81" s="63" t="n">
        <f aca="false">MATCH(MIN(BP81:BQ81),BP81:BQ81,0)</f>
        <v>2</v>
      </c>
    </row>
    <row r="82" customFormat="false" ht="15" hidden="false" customHeight="false" outlineLevel="0" collapsed="false">
      <c r="A82" s="36" t="str">
        <f aca="false">KMeans_Data!A72</f>
        <v>Chitral Lower</v>
      </c>
      <c r="B82" s="17" t="n">
        <f aca="false">KMeans_Data!H72</f>
        <v>-0.214623816906368</v>
      </c>
      <c r="C82" s="17" t="n">
        <f aca="false">KMeans_Data!I72</f>
        <v>-0.672650545388274</v>
      </c>
      <c r="D82" s="17" t="n">
        <f aca="false">KMeans_Data!J72</f>
        <v>0.193727873085246</v>
      </c>
      <c r="E82" s="63" t="n">
        <f aca="false">BR82</f>
        <v>2</v>
      </c>
      <c r="F82" s="38" t="n">
        <f aca="false">($B82-INDEX($L$8:$M$8,E82))^2+($C82-INDEX($L$9:$M$9,E82))^2+($D82-INDEX($L$10:$M$10,E82))^2</f>
        <v>0.542269747304367</v>
      </c>
      <c r="G82" s="17" t="n">
        <f aca="false">IF(COUNTIF(Distance_Matrix!$E$8:$DQ$8,$E82)&lt;=1,0,SUMIF(Distance_Matrix!$E$8:$DQ$8,$E82,Distance_Matrix!$E$81:$DQ$81)/(COUNTIF(Distance_Matrix!$E$8:$DQ$8,$E82)-1))</f>
        <v>1.14636700560747</v>
      </c>
      <c r="H82" s="17" t="n">
        <f aca="false">MIN(IF(1=$E82,1E+099,IF(COUNTIF(Distance_Matrix!$E$8:$DQ$8,1)=0,1E+099,SUMIF(Distance_Matrix!$E$8:$DQ$8,1,Distance_Matrix!$E$81:$DQ$81)/COUNTIF(Distance_Matrix!$E$8:$DQ$8,1))),IF(2=$E82,1E+099,IF(COUNTIF(Distance_Matrix!$E$8:$DQ$8,2)=0,1E+099,SUMIF(Distance_Matrix!$E$8:$DQ$8,2,Distance_Matrix!$E$81:$DQ$81)/COUNTIF(Distance_Matrix!$E$8:$DQ$8,2))))</f>
        <v>2.51376056900272</v>
      </c>
      <c r="I82" s="17" t="n">
        <f aca="false">IF(COUNTIF(Distance_Matrix!$E$8:$DQ$8,$E82)&lt;=1,0,(H82-G82)/MAX(G82,H82))</f>
        <v>0.543963327397459</v>
      </c>
      <c r="X82" s="17" t="n">
        <f aca="false">SQRT(($B82-X$8)^2+($C82-X$9)^2+($D82-X$10)^2)</f>
        <v>6.61273726401933</v>
      </c>
      <c r="Y82" s="17" t="n">
        <f aca="false">SQRT(($B82-Y$8)^2+($C82-Y$9)^2+($D82-Y$10)^2)</f>
        <v>2.296207345633</v>
      </c>
      <c r="Z82" s="63" t="n">
        <f aca="false">MATCH(MIN(X82:Y82),X82:Y82,0)</f>
        <v>2</v>
      </c>
      <c r="AB82" s="17" t="n">
        <f aca="false">SQRT(($B82-AB$8)^2+($C82-AB$9)^2+($D82-AB$10)^2)</f>
        <v>4.08883477904251</v>
      </c>
      <c r="AC82" s="17" t="n">
        <f aca="false">SQRT(($B82-AC$8)^2+($C82-AC$9)^2+($D82-AC$10)^2)</f>
        <v>0.584575819792683</v>
      </c>
      <c r="AD82" s="63" t="n">
        <f aca="false">MATCH(MIN(AB82:AC82),AB82:AC82,0)</f>
        <v>2</v>
      </c>
      <c r="AF82" s="17" t="n">
        <f aca="false">SQRT(($B82-AF$8)^2+($C82-AF$9)^2+($D82-AF$10)^2)</f>
        <v>3.48616672385517</v>
      </c>
      <c r="AG82" s="17" t="n">
        <f aca="false">SQRT(($B82-AG$8)^2+($C82-AG$9)^2+($D82-AG$10)^2)</f>
        <v>0.567917211768769</v>
      </c>
      <c r="AH82" s="63" t="n">
        <f aca="false">MATCH(MIN(AF82:AG82),AF82:AG82,0)</f>
        <v>2</v>
      </c>
      <c r="AJ82" s="17" t="n">
        <f aca="false">SQRT(($B82-AJ$8)^2+($C82-AJ$9)^2+($D82-AJ$10)^2)</f>
        <v>2.87610717383216</v>
      </c>
      <c r="AK82" s="17" t="n">
        <f aca="false">SQRT(($B82-AK$8)^2+($C82-AK$9)^2+($D82-AK$10)^2)</f>
        <v>0.615649048996577</v>
      </c>
      <c r="AL82" s="63" t="n">
        <f aca="false">MATCH(MIN(AJ82:AK82),AJ82:AK82,0)</f>
        <v>2</v>
      </c>
      <c r="AN82" s="17" t="n">
        <f aca="false">SQRT(($B82-AN$8)^2+($C82-AN$9)^2+($D82-AN$10)^2)</f>
        <v>2.66004536010532</v>
      </c>
      <c r="AO82" s="17" t="n">
        <f aca="false">SQRT(($B82-AO$8)^2+($C82-AO$9)^2+($D82-AO$10)^2)</f>
        <v>0.682445488944084</v>
      </c>
      <c r="AP82" s="63" t="n">
        <f aca="false">MATCH(MIN(AN82:AO82),AN82:AO82,0)</f>
        <v>2</v>
      </c>
      <c r="AR82" s="17" t="n">
        <f aca="false">SQRT(($B82-AR$8)^2+($C82-AR$9)^2+($D82-AR$10)^2)</f>
        <v>2.53279302811403</v>
      </c>
      <c r="AS82" s="17" t="n">
        <f aca="false">SQRT(($B82-AS$8)^2+($C82-AS$9)^2+($D82-AS$10)^2)</f>
        <v>0.717306630069276</v>
      </c>
      <c r="AT82" s="63" t="n">
        <f aca="false">MATCH(MIN(AR82:AS82),AR82:AS82,0)</f>
        <v>2</v>
      </c>
      <c r="AV82" s="17" t="n">
        <f aca="false">SQRT(($B82-AV$8)^2+($C82-AV$9)^2+($D82-AV$10)^2)</f>
        <v>2.49425948266037</v>
      </c>
      <c r="AW82" s="17" t="n">
        <f aca="false">SQRT(($B82-AW$8)^2+($C82-AW$9)^2+($D82-AW$10)^2)</f>
        <v>0.726662048697578</v>
      </c>
      <c r="AX82" s="63" t="n">
        <f aca="false">MATCH(MIN(AV82:AW82),AV82:AW82,0)</f>
        <v>2</v>
      </c>
      <c r="AZ82" s="17" t="n">
        <f aca="false">SQRT(($B82-AZ$8)^2+($C82-AZ$9)^2+($D82-AZ$10)^2)</f>
        <v>2.45576040606412</v>
      </c>
      <c r="BA82" s="17" t="n">
        <f aca="false">SQRT(($B82-BA$8)^2+($C82-BA$9)^2+($D82-BA$10)^2)</f>
        <v>0.736389670829492</v>
      </c>
      <c r="BB82" s="63" t="n">
        <f aca="false">MATCH(MIN(AZ82:BA82),AZ82:BA82,0)</f>
        <v>2</v>
      </c>
      <c r="BD82" s="17" t="n">
        <f aca="false">SQRT(($B82-BD$8)^2+($C82-BD$9)^2+($D82-BD$10)^2)</f>
        <v>2.45576040606412</v>
      </c>
      <c r="BE82" s="17" t="n">
        <f aca="false">SQRT(($B82-BE$8)^2+($C82-BE$9)^2+($D82-BE$10)^2)</f>
        <v>0.736389670829492</v>
      </c>
      <c r="BF82" s="63" t="n">
        <f aca="false">MATCH(MIN(BD82:BE82),BD82:BE82,0)</f>
        <v>2</v>
      </c>
      <c r="BH82" s="17" t="n">
        <f aca="false">SQRT(($B82-BH$8)^2+($C82-BH$9)^2+($D82-BH$10)^2)</f>
        <v>2.45576040606412</v>
      </c>
      <c r="BI82" s="17" t="n">
        <f aca="false">SQRT(($B82-BI$8)^2+($C82-BI$9)^2+($D82-BI$10)^2)</f>
        <v>0.736389670829492</v>
      </c>
      <c r="BJ82" s="63" t="n">
        <f aca="false">MATCH(MIN(BH82:BI82),BH82:BI82,0)</f>
        <v>2</v>
      </c>
      <c r="BL82" s="17" t="n">
        <f aca="false">SQRT(($B82-BL$8)^2+($C82-BL$9)^2+($D82-BL$10)^2)</f>
        <v>2.45576040606412</v>
      </c>
      <c r="BM82" s="17" t="n">
        <f aca="false">SQRT(($B82-BM$8)^2+($C82-BM$9)^2+($D82-BM$10)^2)</f>
        <v>0.736389670829492</v>
      </c>
      <c r="BN82" s="63" t="n">
        <f aca="false">MATCH(MIN(BL82:BM82),BL82:BM82,0)</f>
        <v>2</v>
      </c>
      <c r="BP82" s="17" t="n">
        <f aca="false">SQRT(($B82-BP$8)^2+($C82-BP$9)^2+($D82-BP$10)^2)</f>
        <v>2.45576040606412</v>
      </c>
      <c r="BQ82" s="17" t="n">
        <f aca="false">SQRT(($B82-BQ$8)^2+($C82-BQ$9)^2+($D82-BQ$10)^2)</f>
        <v>0.736389670829492</v>
      </c>
      <c r="BR82" s="63" t="n">
        <f aca="false">MATCH(MIN(BP82:BQ82),BP82:BQ82,0)</f>
        <v>2</v>
      </c>
    </row>
    <row r="83" customFormat="false" ht="15" hidden="false" customHeight="false" outlineLevel="0" collapsed="false">
      <c r="A83" s="36" t="str">
        <f aca="false">KMeans_Data!A73</f>
        <v>Sujawal</v>
      </c>
      <c r="B83" s="17" t="n">
        <f aca="false">KMeans_Data!H73</f>
        <v>-0.214623816906368</v>
      </c>
      <c r="C83" s="17" t="n">
        <f aca="false">KMeans_Data!I73</f>
        <v>-0.672650545388274</v>
      </c>
      <c r="D83" s="17" t="n">
        <f aca="false">KMeans_Data!J73</f>
        <v>0.109241721582438</v>
      </c>
      <c r="E83" s="63" t="n">
        <f aca="false">BR83</f>
        <v>2</v>
      </c>
      <c r="F83" s="38" t="n">
        <f aca="false">($B83-INDEX($L$8:$M$8,E83))^2+($C83-INDEX($L$9:$M$9,E83))^2+($D83-INDEX($L$10:$M$10,E83))^2</f>
        <v>0.434134896097655</v>
      </c>
      <c r="G83" s="17" t="n">
        <f aca="false">IF(COUNTIF(Distance_Matrix!$E$8:$DQ$8,$E83)&lt;=1,0,SUMIF(Distance_Matrix!$E$8:$DQ$8,$E83,Distance_Matrix!$E$82:$DQ$82)/(COUNTIF(Distance_Matrix!$E$8:$DQ$8,$E83)-1))</f>
        <v>1.10683653847898</v>
      </c>
      <c r="H83" s="17" t="n">
        <f aca="false">MIN(IF(1=$E83,1E+099,IF(COUNTIF(Distance_Matrix!$E$8:$DQ$8,1)=0,1E+099,SUMIF(Distance_Matrix!$E$8:$DQ$8,1,Distance_Matrix!$E$82:$DQ$82)/COUNTIF(Distance_Matrix!$E$8:$DQ$8,1))),IF(2=$E83,1E+099,IF(COUNTIF(Distance_Matrix!$E$8:$DQ$8,2)=0,1E+099,SUMIF(Distance_Matrix!$E$8:$DQ$8,2,Distance_Matrix!$E$82:$DQ$82)/COUNTIF(Distance_Matrix!$E$8:$DQ$8,2))))</f>
        <v>2.54636311246641</v>
      </c>
      <c r="I83" s="17" t="n">
        <f aca="false">IF(COUNTIF(Distance_Matrix!$E$8:$DQ$8,$E83)&lt;=1,0,(H83-G83)/MAX(G83,H83))</f>
        <v>0.565326510951968</v>
      </c>
      <c r="X83" s="17" t="n">
        <f aca="false">SQRT(($B83-X$8)^2+($C83-X$9)^2+($D83-X$10)^2)</f>
        <v>6.65224140953836</v>
      </c>
      <c r="Y83" s="17" t="n">
        <f aca="false">SQRT(($B83-Y$8)^2+($C83-Y$9)^2+($D83-Y$10)^2)</f>
        <v>2.24797449147035</v>
      </c>
      <c r="Z83" s="63" t="n">
        <f aca="false">MATCH(MIN(X83:Y83),X83:Y83,0)</f>
        <v>2</v>
      </c>
      <c r="AB83" s="17" t="n">
        <f aca="false">SQRT(($B83-AB$8)^2+($C83-AB$9)^2+($D83-AB$10)^2)</f>
        <v>4.12410911739292</v>
      </c>
      <c r="AC83" s="17" t="n">
        <f aca="false">SQRT(($B83-AC$8)^2+($C83-AC$9)^2+($D83-AC$10)^2)</f>
        <v>0.535410677470622</v>
      </c>
      <c r="AD83" s="63" t="n">
        <f aca="false">MATCH(MIN(AB83:AC83),AB83:AC83,0)</f>
        <v>2</v>
      </c>
      <c r="AF83" s="17" t="n">
        <f aca="false">SQRT(($B83-AF$8)^2+($C83-AF$9)^2+($D83-AF$10)^2)</f>
        <v>3.51952583671016</v>
      </c>
      <c r="AG83" s="17" t="n">
        <f aca="false">SQRT(($B83-AG$8)^2+($C83-AG$9)^2+($D83-AG$10)^2)</f>
        <v>0.508724688882009</v>
      </c>
      <c r="AH83" s="63" t="n">
        <f aca="false">MATCH(MIN(AF83:AG83),AF83:AG83,0)</f>
        <v>2</v>
      </c>
      <c r="AJ83" s="17" t="n">
        <f aca="false">SQRT(($B83-AJ$8)^2+($C83-AJ$9)^2+($D83-AJ$10)^2)</f>
        <v>2.90988609708378</v>
      </c>
      <c r="AK83" s="17" t="n">
        <f aca="false">SQRT(($B83-AK$8)^2+($C83-AK$9)^2+($D83-AK$10)^2)</f>
        <v>0.541628498253845</v>
      </c>
      <c r="AL83" s="63" t="n">
        <f aca="false">MATCH(MIN(AJ83:AK83),AJ83:AK83,0)</f>
        <v>2</v>
      </c>
      <c r="AN83" s="17" t="n">
        <f aca="false">SQRT(($B83-AN$8)^2+($C83-AN$9)^2+($D83-AN$10)^2)</f>
        <v>2.6946930962734</v>
      </c>
      <c r="AO83" s="17" t="n">
        <f aca="false">SQRT(($B83-AO$8)^2+($C83-AO$9)^2+($D83-AO$10)^2)</f>
        <v>0.606079976377583</v>
      </c>
      <c r="AP83" s="63" t="n">
        <f aca="false">MATCH(MIN(AN83:AO83),AN83:AO83,0)</f>
        <v>2</v>
      </c>
      <c r="AR83" s="17" t="n">
        <f aca="false">SQRT(($B83-AR$8)^2+($C83-AR$9)^2+($D83-AR$10)^2)</f>
        <v>2.56719703818857</v>
      </c>
      <c r="AS83" s="17" t="n">
        <f aca="false">SQRT(($B83-AS$8)^2+($C83-AS$9)^2+($D83-AS$10)^2)</f>
        <v>0.640269825078438</v>
      </c>
      <c r="AT83" s="63" t="n">
        <f aca="false">MATCH(MIN(AR83:AS83),AR83:AS83,0)</f>
        <v>2</v>
      </c>
      <c r="AV83" s="17" t="n">
        <f aca="false">SQRT(($B83-AV$8)^2+($C83-AV$9)^2+($D83-AV$10)^2)</f>
        <v>2.52830021114652</v>
      </c>
      <c r="AW83" s="17" t="n">
        <f aca="false">SQRT(($B83-AW$8)^2+($C83-AW$9)^2+($D83-AW$10)^2)</f>
        <v>0.649552948655903</v>
      </c>
      <c r="AX83" s="63" t="n">
        <f aca="false">MATCH(MIN(AV83:AW83),AV83:AW83,0)</f>
        <v>2</v>
      </c>
      <c r="AZ83" s="17" t="n">
        <f aca="false">SQRT(($B83-AZ$8)^2+($C83-AZ$9)^2+($D83-AZ$10)^2)</f>
        <v>2.48968621554033</v>
      </c>
      <c r="BA83" s="17" t="n">
        <f aca="false">SQRT(($B83-BA$8)^2+($C83-BA$9)^2+($D83-BA$10)^2)</f>
        <v>0.658889137941775</v>
      </c>
      <c r="BB83" s="63" t="n">
        <f aca="false">MATCH(MIN(AZ83:BA83),AZ83:BA83,0)</f>
        <v>2</v>
      </c>
      <c r="BD83" s="17" t="n">
        <f aca="false">SQRT(($B83-BD$8)^2+($C83-BD$9)^2+($D83-BD$10)^2)</f>
        <v>2.48968621554033</v>
      </c>
      <c r="BE83" s="17" t="n">
        <f aca="false">SQRT(($B83-BE$8)^2+($C83-BE$9)^2+($D83-BE$10)^2)</f>
        <v>0.658889137941775</v>
      </c>
      <c r="BF83" s="63" t="n">
        <f aca="false">MATCH(MIN(BD83:BE83),BD83:BE83,0)</f>
        <v>2</v>
      </c>
      <c r="BH83" s="17" t="n">
        <f aca="false">SQRT(($B83-BH$8)^2+($C83-BH$9)^2+($D83-BH$10)^2)</f>
        <v>2.48968621554033</v>
      </c>
      <c r="BI83" s="17" t="n">
        <f aca="false">SQRT(($B83-BI$8)^2+($C83-BI$9)^2+($D83-BI$10)^2)</f>
        <v>0.658889137941775</v>
      </c>
      <c r="BJ83" s="63" t="n">
        <f aca="false">MATCH(MIN(BH83:BI83),BH83:BI83,0)</f>
        <v>2</v>
      </c>
      <c r="BL83" s="17" t="n">
        <f aca="false">SQRT(($B83-BL$8)^2+($C83-BL$9)^2+($D83-BL$10)^2)</f>
        <v>2.48968621554033</v>
      </c>
      <c r="BM83" s="17" t="n">
        <f aca="false">SQRT(($B83-BM$8)^2+($C83-BM$9)^2+($D83-BM$10)^2)</f>
        <v>0.658889137941775</v>
      </c>
      <c r="BN83" s="63" t="n">
        <f aca="false">MATCH(MIN(BL83:BM83),BL83:BM83,0)</f>
        <v>2</v>
      </c>
      <c r="BP83" s="17" t="n">
        <f aca="false">SQRT(($B83-BP$8)^2+($C83-BP$9)^2+($D83-BP$10)^2)</f>
        <v>2.48968621554033</v>
      </c>
      <c r="BQ83" s="17" t="n">
        <f aca="false">SQRT(($B83-BQ$8)^2+($C83-BQ$9)^2+($D83-BQ$10)^2)</f>
        <v>0.658889137941775</v>
      </c>
      <c r="BR83" s="63" t="n">
        <f aca="false">MATCH(MIN(BP83:BQ83),BP83:BQ83,0)</f>
        <v>2</v>
      </c>
    </row>
    <row r="84" customFormat="false" ht="15" hidden="false" customHeight="false" outlineLevel="0" collapsed="false">
      <c r="A84" s="36" t="str">
        <f aca="false">KMeans_Data!A74</f>
        <v>Laiya</v>
      </c>
      <c r="B84" s="17" t="n">
        <f aca="false">KMeans_Data!H74</f>
        <v>-0.259910629817831</v>
      </c>
      <c r="C84" s="17" t="n">
        <f aca="false">KMeans_Data!I74</f>
        <v>-0.672650545388274</v>
      </c>
      <c r="D84" s="17" t="n">
        <f aca="false">KMeans_Data!J74</f>
        <v>-1.14564411633355</v>
      </c>
      <c r="E84" s="63" t="n">
        <f aca="false">BR84</f>
        <v>2</v>
      </c>
      <c r="F84" s="38" t="n">
        <f aca="false">($B84-INDEX($L$8:$M$8,E84))^2+($C84-INDEX($L$9:$M$9,E84))^2+($D84-INDEX($L$10:$M$10,E84))^2</f>
        <v>0.490005864686153</v>
      </c>
      <c r="G84" s="17" t="n">
        <f aca="false">IF(COUNTIF(Distance_Matrix!$E$8:$DQ$8,$E84)&lt;=1,0,SUMIF(Distance_Matrix!$E$8:$DQ$8,$E84,Distance_Matrix!$E$83:$DQ$83)/(COUNTIF(Distance_Matrix!$E$8:$DQ$8,$E84)-1))</f>
        <v>1.11878710901976</v>
      </c>
      <c r="H84" s="17" t="n">
        <f aca="false">MIN(IF(1=$E84,1E+099,IF(COUNTIF(Distance_Matrix!$E$8:$DQ$8,1)=0,1E+099,SUMIF(Distance_Matrix!$E$8:$DQ$8,1,Distance_Matrix!$E$83:$DQ$83)/COUNTIF(Distance_Matrix!$E$8:$DQ$8,1))),IF(2=$E84,1E+099,IF(COUNTIF(Distance_Matrix!$E$8:$DQ$8,2)=0,1E+099,SUMIF(Distance_Matrix!$E$8:$DQ$8,2,Distance_Matrix!$E$83:$DQ$83)/COUNTIF(Distance_Matrix!$E$8:$DQ$8,2))))</f>
        <v>3.29927725592188</v>
      </c>
      <c r="I84" s="17" t="n">
        <f aca="false">IF(COUNTIF(Distance_Matrix!$E$8:$DQ$8,$E84)&lt;=1,0,(H84-G84)/MAX(G84,H84))</f>
        <v>0.660899335752506</v>
      </c>
      <c r="X84" s="17" t="n">
        <f aca="false">SQRT(($B84-X$8)^2+($C84-X$9)^2+($D84-X$10)^2)</f>
        <v>7.35081663720413</v>
      </c>
      <c r="Y84" s="17" t="n">
        <f aca="false">SQRT(($B84-Y$8)^2+($C84-Y$9)^2+($D84-Y$10)^2)</f>
        <v>1.81982735198549</v>
      </c>
      <c r="Z84" s="63" t="n">
        <f aca="false">MATCH(MIN(X84:Y84),X84:Y84,0)</f>
        <v>2</v>
      </c>
      <c r="AB84" s="17" t="n">
        <f aca="false">SQRT(($B84-AB$8)^2+($C84-AB$9)^2+($D84-AB$10)^2)</f>
        <v>4.81584795711185</v>
      </c>
      <c r="AC84" s="17" t="n">
        <f aca="false">SQRT(($B84-AC$8)^2+($C84-AC$9)^2+($D84-AC$10)^2)</f>
        <v>1.07439444575398</v>
      </c>
      <c r="AD84" s="63" t="n">
        <f aca="false">MATCH(MIN(AB84:AC84),AB84:AC84,0)</f>
        <v>2</v>
      </c>
      <c r="AF84" s="17" t="n">
        <f aca="false">SQRT(($B84-AF$8)^2+($C84-AF$9)^2+($D84-AF$10)^2)</f>
        <v>4.20794544033751</v>
      </c>
      <c r="AG84" s="17" t="n">
        <f aca="false">SQRT(($B84-AG$8)^2+($C84-AG$9)^2+($D84-AG$10)^2)</f>
        <v>0.996475121601818</v>
      </c>
      <c r="AH84" s="63" t="n">
        <f aca="false">MATCH(MIN(AF84:AG84),AF84:AG84,0)</f>
        <v>2</v>
      </c>
      <c r="AJ84" s="17" t="n">
        <f aca="false">SQRT(($B84-AJ$8)^2+($C84-AJ$9)^2+($D84-AJ$10)^2)</f>
        <v>3.6309823059215</v>
      </c>
      <c r="AK84" s="17" t="n">
        <f aca="false">SQRT(($B84-AK$8)^2+($C84-AK$9)^2+($D84-AK$10)^2)</f>
        <v>0.832459795896835</v>
      </c>
      <c r="AL84" s="63" t="n">
        <f aca="false">MATCH(MIN(AJ84:AK84),AJ84:AK84,0)</f>
        <v>2</v>
      </c>
      <c r="AN84" s="17" t="n">
        <f aca="false">SQRT(($B84-AN$8)^2+($C84-AN$9)^2+($D84-AN$10)^2)</f>
        <v>3.4385231463654</v>
      </c>
      <c r="AO84" s="17" t="n">
        <f aca="false">SQRT(($B84-AO$8)^2+($C84-AO$9)^2+($D84-AO$10)^2)</f>
        <v>0.756401793330263</v>
      </c>
      <c r="AP84" s="63" t="n">
        <f aca="false">MATCH(MIN(AN84:AO84),AN84:AO84,0)</f>
        <v>2</v>
      </c>
      <c r="AR84" s="17" t="n">
        <f aca="false">SQRT(($B84-AR$8)^2+($C84-AR$9)^2+($D84-AR$10)^2)</f>
        <v>3.31624710691114</v>
      </c>
      <c r="AS84" s="17" t="n">
        <f aca="false">SQRT(($B84-AS$8)^2+($C84-AS$9)^2+($D84-AS$10)^2)</f>
        <v>0.721153656262379</v>
      </c>
      <c r="AT84" s="63" t="n">
        <f aca="false">MATCH(MIN(AR84:AS84),AR84:AS84,0)</f>
        <v>2</v>
      </c>
      <c r="AV84" s="17" t="n">
        <f aca="false">SQRT(($B84-AV$8)^2+($C84-AV$9)^2+($D84-AV$10)^2)</f>
        <v>3.27584240017537</v>
      </c>
      <c r="AW84" s="17" t="n">
        <f aca="false">SQRT(($B84-AW$8)^2+($C84-AW$9)^2+($D84-AW$10)^2)</f>
        <v>0.71287066007236</v>
      </c>
      <c r="AX84" s="63" t="n">
        <f aca="false">MATCH(MIN(AV84:AW84),AV84:AW84,0)</f>
        <v>2</v>
      </c>
      <c r="AZ84" s="17" t="n">
        <f aca="false">SQRT(($B84-AZ$8)^2+($C84-AZ$9)^2+($D84-AZ$10)^2)</f>
        <v>3.23837720251302</v>
      </c>
      <c r="BA84" s="17" t="n">
        <f aca="false">SQRT(($B84-BA$8)^2+($C84-BA$9)^2+($D84-BA$10)^2)</f>
        <v>0.700004189049003</v>
      </c>
      <c r="BB84" s="63" t="n">
        <f aca="false">MATCH(MIN(AZ84:BA84),AZ84:BA84,0)</f>
        <v>2</v>
      </c>
      <c r="BD84" s="17" t="n">
        <f aca="false">SQRT(($B84-BD$8)^2+($C84-BD$9)^2+($D84-BD$10)^2)</f>
        <v>3.23837720251302</v>
      </c>
      <c r="BE84" s="17" t="n">
        <f aca="false">SQRT(($B84-BE$8)^2+($C84-BE$9)^2+($D84-BE$10)^2)</f>
        <v>0.700004189049003</v>
      </c>
      <c r="BF84" s="63" t="n">
        <f aca="false">MATCH(MIN(BD84:BE84),BD84:BE84,0)</f>
        <v>2</v>
      </c>
      <c r="BH84" s="17" t="n">
        <f aca="false">SQRT(($B84-BH$8)^2+($C84-BH$9)^2+($D84-BH$10)^2)</f>
        <v>3.23837720251302</v>
      </c>
      <c r="BI84" s="17" t="n">
        <f aca="false">SQRT(($B84-BI$8)^2+($C84-BI$9)^2+($D84-BI$10)^2)</f>
        <v>0.700004189049003</v>
      </c>
      <c r="BJ84" s="63" t="n">
        <f aca="false">MATCH(MIN(BH84:BI84),BH84:BI84,0)</f>
        <v>2</v>
      </c>
      <c r="BL84" s="17" t="n">
        <f aca="false">SQRT(($B84-BL$8)^2+($C84-BL$9)^2+($D84-BL$10)^2)</f>
        <v>3.23837720251302</v>
      </c>
      <c r="BM84" s="17" t="n">
        <f aca="false">SQRT(($B84-BM$8)^2+($C84-BM$9)^2+($D84-BM$10)^2)</f>
        <v>0.700004189049003</v>
      </c>
      <c r="BN84" s="63" t="n">
        <f aca="false">MATCH(MIN(BL84:BM84),BL84:BM84,0)</f>
        <v>2</v>
      </c>
      <c r="BP84" s="17" t="n">
        <f aca="false">SQRT(($B84-BP$8)^2+($C84-BP$9)^2+($D84-BP$10)^2)</f>
        <v>3.23837720251302</v>
      </c>
      <c r="BQ84" s="17" t="n">
        <f aca="false">SQRT(($B84-BQ$8)^2+($C84-BQ$9)^2+($D84-BQ$10)^2)</f>
        <v>0.700004189049003</v>
      </c>
      <c r="BR84" s="63" t="n">
        <f aca="false">MATCH(MIN(BP84:BQ84),BP84:BQ84,0)</f>
        <v>2</v>
      </c>
    </row>
    <row r="85" customFormat="false" ht="15" hidden="false" customHeight="false" outlineLevel="0" collapsed="false">
      <c r="A85" s="36" t="str">
        <f aca="false">KMeans_Data!A75</f>
        <v>Shigar</v>
      </c>
      <c r="B85" s="17" t="n">
        <f aca="false">KMeans_Data!H75</f>
        <v>-0.275926355545086</v>
      </c>
      <c r="C85" s="17" t="n">
        <f aca="false">KMeans_Data!I75</f>
        <v>-0.672650545388274</v>
      </c>
      <c r="D85" s="17" t="n">
        <f aca="false">KMeans_Data!J75</f>
        <v>0.286716848591577</v>
      </c>
      <c r="E85" s="63" t="n">
        <f aca="false">BR85</f>
        <v>2</v>
      </c>
      <c r="F85" s="38" t="n">
        <f aca="false">($B85-INDEX($L$8:$M$8,E85))^2+($C85-INDEX($L$9:$M$9,E85))^2+($D85-INDEX($L$10:$M$10,E85))^2</f>
        <v>0.653399192189503</v>
      </c>
      <c r="G85" s="17" t="n">
        <f aca="false">IF(COUNTIF(Distance_Matrix!$E$8:$DQ$8,$E85)&lt;=1,0,SUMIF(Distance_Matrix!$E$8:$DQ$8,$E85,Distance_Matrix!$E$84:$DQ$84)/(COUNTIF(Distance_Matrix!$E$8:$DQ$8,$E85)-1))</f>
        <v>1.19029411816293</v>
      </c>
      <c r="H85" s="17" t="n">
        <f aca="false">MIN(IF(1=$E85,1E+099,IF(COUNTIF(Distance_Matrix!$E$8:$DQ$8,1)=0,1E+099,SUMIF(Distance_Matrix!$E$8:$DQ$8,1,Distance_Matrix!$E$84:$DQ$84)/COUNTIF(Distance_Matrix!$E$8:$DQ$8,1))),IF(2=$E85,1E+099,IF(COUNTIF(Distance_Matrix!$E$8:$DQ$8,2)=0,1E+099,SUMIF(Distance_Matrix!$E$8:$DQ$8,2,Distance_Matrix!$E$84:$DQ$84)/COUNTIF(Distance_Matrix!$E$8:$DQ$8,2))))</f>
        <v>2.51256640216258</v>
      </c>
      <c r="I85" s="17" t="n">
        <f aca="false">IF(COUNTIF(Distance_Matrix!$E$8:$DQ$8,$E85)&lt;=1,0,(H85-G85)/MAX(G85,H85))</f>
        <v>0.526263617495466</v>
      </c>
      <c r="X85" s="17" t="n">
        <f aca="false">SQRT(($B85-X$8)^2+($C85-X$9)^2+($D85-X$10)^2)</f>
        <v>6.602995999108</v>
      </c>
      <c r="Y85" s="17" t="n">
        <f aca="false">SQRT(($B85-Y$8)^2+($C85-Y$9)^2+($D85-Y$10)^2)</f>
        <v>2.30334415944853</v>
      </c>
      <c r="Z85" s="63" t="n">
        <f aca="false">MATCH(MIN(X85:Y85),X85:Y85,0)</f>
        <v>2</v>
      </c>
      <c r="AB85" s="17" t="n">
        <f aca="false">SQRT(($B85-AB$8)^2+($C85-AB$9)^2+($D85-AB$10)^2)</f>
        <v>4.08513610917894</v>
      </c>
      <c r="AC85" s="17" t="n">
        <f aca="false">SQRT(($B85-AC$8)^2+($C85-AC$9)^2+($D85-AC$10)^2)</f>
        <v>0.652907510394864</v>
      </c>
      <c r="AD85" s="63" t="n">
        <f aca="false">MATCH(MIN(AB85:AC85),AB85:AC85,0)</f>
        <v>2</v>
      </c>
      <c r="AF85" s="17" t="n">
        <f aca="false">SQRT(($B85-AF$8)^2+($C85-AF$9)^2+($D85-AF$10)^2)</f>
        <v>3.48434931199292</v>
      </c>
      <c r="AG85" s="17" t="n">
        <f aca="false">SQRT(($B85-AG$8)^2+($C85-AG$9)^2+($D85-AG$10)^2)</f>
        <v>0.640416532972727</v>
      </c>
      <c r="AH85" s="63" t="n">
        <f aca="false">MATCH(MIN(AF85:AG85),AF85:AG85,0)</f>
        <v>2</v>
      </c>
      <c r="AJ85" s="17" t="n">
        <f aca="false">SQRT(($B85-AJ$8)^2+($C85-AJ$9)^2+($D85-AJ$10)^2)</f>
        <v>2.87301566887801</v>
      </c>
      <c r="AK85" s="17" t="n">
        <f aca="false">SQRT(($B85-AK$8)^2+($C85-AK$9)^2+($D85-AK$10)^2)</f>
        <v>0.692035757804234</v>
      </c>
      <c r="AL85" s="63" t="n">
        <f aca="false">MATCH(MIN(AJ85:AK85),AJ85:AK85,0)</f>
        <v>2</v>
      </c>
      <c r="AN85" s="17" t="n">
        <f aca="false">SQRT(($B85-AN$8)^2+($C85-AN$9)^2+($D85-AN$10)^2)</f>
        <v>2.65690799250814</v>
      </c>
      <c r="AO85" s="17" t="n">
        <f aca="false">SQRT(($B85-AO$8)^2+($C85-AO$9)^2+($D85-AO$10)^2)</f>
        <v>0.756311584864162</v>
      </c>
      <c r="AP85" s="63" t="n">
        <f aca="false">MATCH(MIN(AN85:AO85),AN85:AO85,0)</f>
        <v>2</v>
      </c>
      <c r="AR85" s="17" t="n">
        <f aca="false">SQRT(($B85-AR$8)^2+($C85-AR$9)^2+($D85-AR$10)^2)</f>
        <v>2.530213291401</v>
      </c>
      <c r="AS85" s="17" t="n">
        <f aca="false">SQRT(($B85-AS$8)^2+($C85-AS$9)^2+($D85-AS$10)^2)</f>
        <v>0.789793218872868</v>
      </c>
      <c r="AT85" s="63" t="n">
        <f aca="false">MATCH(MIN(AR85:AS85),AR85:AS85,0)</f>
        <v>2</v>
      </c>
      <c r="AV85" s="17" t="n">
        <f aca="false">SQRT(($B85-AV$8)^2+($C85-AV$9)^2+($D85-AV$10)^2)</f>
        <v>2.49222800562588</v>
      </c>
      <c r="AW85" s="17" t="n">
        <f aca="false">SQRT(($B85-AW$8)^2+($C85-AW$9)^2+($D85-AW$10)^2)</f>
        <v>0.798470446880428</v>
      </c>
      <c r="AX85" s="63" t="n">
        <f aca="false">MATCH(MIN(AV85:AW85),AV85:AW85,0)</f>
        <v>2</v>
      </c>
      <c r="AZ85" s="17" t="n">
        <f aca="false">SQRT(($B85-AZ$8)^2+($C85-AZ$9)^2+($D85-AZ$10)^2)</f>
        <v>2.45362400450508</v>
      </c>
      <c r="BA85" s="17" t="n">
        <f aca="false">SQRT(($B85-BA$8)^2+($C85-BA$9)^2+($D85-BA$10)^2)</f>
        <v>0.808331115440636</v>
      </c>
      <c r="BB85" s="63" t="n">
        <f aca="false">MATCH(MIN(AZ85:BA85),AZ85:BA85,0)</f>
        <v>2</v>
      </c>
      <c r="BD85" s="17" t="n">
        <f aca="false">SQRT(($B85-BD$8)^2+($C85-BD$9)^2+($D85-BD$10)^2)</f>
        <v>2.45362400450508</v>
      </c>
      <c r="BE85" s="17" t="n">
        <f aca="false">SQRT(($B85-BE$8)^2+($C85-BE$9)^2+($D85-BE$10)^2)</f>
        <v>0.808331115440636</v>
      </c>
      <c r="BF85" s="63" t="n">
        <f aca="false">MATCH(MIN(BD85:BE85),BD85:BE85,0)</f>
        <v>2</v>
      </c>
      <c r="BH85" s="17" t="n">
        <f aca="false">SQRT(($B85-BH$8)^2+($C85-BH$9)^2+($D85-BH$10)^2)</f>
        <v>2.45362400450508</v>
      </c>
      <c r="BI85" s="17" t="n">
        <f aca="false">SQRT(($B85-BI$8)^2+($C85-BI$9)^2+($D85-BI$10)^2)</f>
        <v>0.808331115440636</v>
      </c>
      <c r="BJ85" s="63" t="n">
        <f aca="false">MATCH(MIN(BH85:BI85),BH85:BI85,0)</f>
        <v>2</v>
      </c>
      <c r="BL85" s="17" t="n">
        <f aca="false">SQRT(($B85-BL$8)^2+($C85-BL$9)^2+($D85-BL$10)^2)</f>
        <v>2.45362400450508</v>
      </c>
      <c r="BM85" s="17" t="n">
        <f aca="false">SQRT(($B85-BM$8)^2+($C85-BM$9)^2+($D85-BM$10)^2)</f>
        <v>0.808331115440636</v>
      </c>
      <c r="BN85" s="63" t="n">
        <f aca="false">MATCH(MIN(BL85:BM85),BL85:BM85,0)</f>
        <v>2</v>
      </c>
      <c r="BP85" s="17" t="n">
        <f aca="false">SQRT(($B85-BP$8)^2+($C85-BP$9)^2+($D85-BP$10)^2)</f>
        <v>2.45362400450508</v>
      </c>
      <c r="BQ85" s="17" t="n">
        <f aca="false">SQRT(($B85-BQ$8)^2+($C85-BQ$9)^2+($D85-BQ$10)^2)</f>
        <v>0.808331115440636</v>
      </c>
      <c r="BR85" s="63" t="n">
        <f aca="false">MATCH(MIN(BP85:BQ85),BP85:BQ85,0)</f>
        <v>2</v>
      </c>
    </row>
    <row r="86" customFormat="false" ht="15" hidden="false" customHeight="false" outlineLevel="0" collapsed="false">
      <c r="A86" s="36" t="str">
        <f aca="false">KMeans_Data!A76</f>
        <v>Narowal</v>
      </c>
      <c r="B86" s="17" t="n">
        <f aca="false">KMeans_Data!H76</f>
        <v>-0.275926355545086</v>
      </c>
      <c r="C86" s="17" t="n">
        <f aca="false">KMeans_Data!I76</f>
        <v>-0.672650545388274</v>
      </c>
      <c r="D86" s="17" t="n">
        <f aca="false">KMeans_Data!J76</f>
        <v>-1.14564411633355</v>
      </c>
      <c r="E86" s="63" t="n">
        <f aca="false">BR86</f>
        <v>2</v>
      </c>
      <c r="F86" s="38" t="n">
        <f aca="false">($B86-INDEX($L$8:$M$8,E86))^2+($C86-INDEX($L$9:$M$9,E86))^2+($D86-INDEX($L$10:$M$10,E86))^2</f>
        <v>0.484358711296589</v>
      </c>
      <c r="G86" s="17" t="n">
        <f aca="false">IF(COUNTIF(Distance_Matrix!$E$8:$DQ$8,$E86)&lt;=1,0,SUMIF(Distance_Matrix!$E$8:$DQ$8,$E86,Distance_Matrix!$E$85:$DQ$85)/(COUNTIF(Distance_Matrix!$E$8:$DQ$8,$E86)-1))</f>
        <v>1.11551639053624</v>
      </c>
      <c r="H86" s="17" t="n">
        <f aca="false">MIN(IF(1=$E86,1E+099,IF(COUNTIF(Distance_Matrix!$E$8:$DQ$8,1)=0,1E+099,SUMIF(Distance_Matrix!$E$8:$DQ$8,1,Distance_Matrix!$E$85:$DQ$85)/COUNTIF(Distance_Matrix!$E$8:$DQ$8,1))),IF(2=$E86,1E+099,IF(COUNTIF(Distance_Matrix!$E$8:$DQ$8,2)=0,1E+099,SUMIF(Distance_Matrix!$E$8:$DQ$8,2,Distance_Matrix!$E$85:$DQ$85)/COUNTIF(Distance_Matrix!$E$8:$DQ$8,2))))</f>
        <v>3.30532411533119</v>
      </c>
      <c r="I86" s="17" t="n">
        <f aca="false">IF(COUNTIF(Distance_Matrix!$E$8:$DQ$8,$E86)&lt;=1,0,(H86-G86)/MAX(G86,H86))</f>
        <v>0.662509227049142</v>
      </c>
      <c r="X86" s="17" t="n">
        <f aca="false">SQRT(($B86-X$8)^2+($C86-X$9)^2+($D86-X$10)^2)</f>
        <v>7.35853028224167</v>
      </c>
      <c r="Y86" s="17" t="n">
        <f aca="false">SQRT(($B86-Y$8)^2+($C86-Y$9)^2+($D86-Y$10)^2)</f>
        <v>1.80381162625824</v>
      </c>
      <c r="Z86" s="63" t="n">
        <f aca="false">MATCH(MIN(X86:Y86),X86:Y86,0)</f>
        <v>2</v>
      </c>
      <c r="AB86" s="17" t="n">
        <f aca="false">SQRT(($B86-AB$8)^2+($C86-AB$9)^2+($D86-AB$10)^2)</f>
        <v>4.82329885729243</v>
      </c>
      <c r="AC86" s="17" t="n">
        <f aca="false">SQRT(($B86-AC$8)^2+($C86-AC$9)^2+($D86-AC$10)^2)</f>
        <v>1.07563706836183</v>
      </c>
      <c r="AD86" s="63" t="n">
        <f aca="false">MATCH(MIN(AB86:AC86),AB86:AC86,0)</f>
        <v>2</v>
      </c>
      <c r="AF86" s="17" t="n">
        <f aca="false">SQRT(($B86-AF$8)^2+($C86-AF$9)^2+($D86-AF$10)^2)</f>
        <v>4.21510503642035</v>
      </c>
      <c r="AG86" s="17" t="n">
        <f aca="false">SQRT(($B86-AG$8)^2+($C86-AG$9)^2+($D86-AG$10)^2)</f>
        <v>0.996964413556339</v>
      </c>
      <c r="AH86" s="63" t="n">
        <f aca="false">MATCH(MIN(AF86:AG86),AF86:AG86,0)</f>
        <v>2</v>
      </c>
      <c r="AJ86" s="17" t="n">
        <f aca="false">SQRT(($B86-AJ$8)^2+($C86-AJ$9)^2+($D86-AJ$10)^2)</f>
        <v>3.63758202342538</v>
      </c>
      <c r="AK86" s="17" t="n">
        <f aca="false">SQRT(($B86-AK$8)^2+($C86-AK$9)^2+($D86-AK$10)^2)</f>
        <v>0.831184511195016</v>
      </c>
      <c r="AL86" s="63" t="n">
        <f aca="false">MATCH(MIN(AJ86:AK86),AJ86:AK86,0)</f>
        <v>2</v>
      </c>
      <c r="AN86" s="17" t="n">
        <f aca="false">SQRT(($B86-AN$8)^2+($C86-AN$9)^2+($D86-AN$10)^2)</f>
        <v>3.44511918023993</v>
      </c>
      <c r="AO86" s="17" t="n">
        <f aca="false">SQRT(($B86-AO$8)^2+($C86-AO$9)^2+($D86-AO$10)^2)</f>
        <v>0.753676278386456</v>
      </c>
      <c r="AP86" s="63" t="n">
        <f aca="false">MATCH(MIN(AN86:AO86),AN86:AO86,0)</f>
        <v>2</v>
      </c>
      <c r="AR86" s="17" t="n">
        <f aca="false">SQRT(($B86-AR$8)^2+($C86-AR$9)^2+($D86-AR$10)^2)</f>
        <v>3.32279248369591</v>
      </c>
      <c r="AS86" s="17" t="n">
        <f aca="false">SQRT(($B86-AS$8)^2+($C86-AS$9)^2+($D86-AS$10)^2)</f>
        <v>0.717596146473063</v>
      </c>
      <c r="AT86" s="63" t="n">
        <f aca="false">MATCH(MIN(AR86:AS86),AR86:AS86,0)</f>
        <v>2</v>
      </c>
      <c r="AV86" s="17" t="n">
        <f aca="false">SQRT(($B86-AV$8)^2+($C86-AV$9)^2+($D86-AV$10)^2)</f>
        <v>3.28238839729461</v>
      </c>
      <c r="AW86" s="17" t="n">
        <f aca="false">SQRT(($B86-AW$8)^2+($C86-AW$9)^2+($D86-AW$10)^2)</f>
        <v>0.70901057195504</v>
      </c>
      <c r="AX86" s="63" t="n">
        <f aca="false">MATCH(MIN(AV86:AW86),AV86:AW86,0)</f>
        <v>2</v>
      </c>
      <c r="AZ86" s="17" t="n">
        <f aca="false">SQRT(($B86-AZ$8)^2+($C86-AZ$9)^2+($D86-AZ$10)^2)</f>
        <v>3.24484285777505</v>
      </c>
      <c r="BA86" s="17" t="n">
        <f aca="false">SQRT(($B86-BA$8)^2+($C86-BA$9)^2+($D86-BA$10)^2)</f>
        <v>0.695958843105387</v>
      </c>
      <c r="BB86" s="63" t="n">
        <f aca="false">MATCH(MIN(AZ86:BA86),AZ86:BA86,0)</f>
        <v>2</v>
      </c>
      <c r="BD86" s="17" t="n">
        <f aca="false">SQRT(($B86-BD$8)^2+($C86-BD$9)^2+($D86-BD$10)^2)</f>
        <v>3.24484285777505</v>
      </c>
      <c r="BE86" s="17" t="n">
        <f aca="false">SQRT(($B86-BE$8)^2+($C86-BE$9)^2+($D86-BE$10)^2)</f>
        <v>0.695958843105387</v>
      </c>
      <c r="BF86" s="63" t="n">
        <f aca="false">MATCH(MIN(BD86:BE86),BD86:BE86,0)</f>
        <v>2</v>
      </c>
      <c r="BH86" s="17" t="n">
        <f aca="false">SQRT(($B86-BH$8)^2+($C86-BH$9)^2+($D86-BH$10)^2)</f>
        <v>3.24484285777505</v>
      </c>
      <c r="BI86" s="17" t="n">
        <f aca="false">SQRT(($B86-BI$8)^2+($C86-BI$9)^2+($D86-BI$10)^2)</f>
        <v>0.695958843105387</v>
      </c>
      <c r="BJ86" s="63" t="n">
        <f aca="false">MATCH(MIN(BH86:BI86),BH86:BI86,0)</f>
        <v>2</v>
      </c>
      <c r="BL86" s="17" t="n">
        <f aca="false">SQRT(($B86-BL$8)^2+($C86-BL$9)^2+($D86-BL$10)^2)</f>
        <v>3.24484285777505</v>
      </c>
      <c r="BM86" s="17" t="n">
        <f aca="false">SQRT(($B86-BM$8)^2+($C86-BM$9)^2+($D86-BM$10)^2)</f>
        <v>0.695958843105387</v>
      </c>
      <c r="BN86" s="63" t="n">
        <f aca="false">MATCH(MIN(BL86:BM86),BL86:BM86,0)</f>
        <v>2</v>
      </c>
      <c r="BP86" s="17" t="n">
        <f aca="false">SQRT(($B86-BP$8)^2+($C86-BP$9)^2+($D86-BP$10)^2)</f>
        <v>3.24484285777505</v>
      </c>
      <c r="BQ86" s="17" t="n">
        <f aca="false">SQRT(($B86-BQ$8)^2+($C86-BQ$9)^2+($D86-BQ$10)^2)</f>
        <v>0.695958843105387</v>
      </c>
      <c r="BR86" s="63" t="n">
        <f aca="false">MATCH(MIN(BP86:BQ86),BP86:BQ86,0)</f>
        <v>2</v>
      </c>
    </row>
    <row r="87" customFormat="false" ht="15" hidden="false" customHeight="false" outlineLevel="0" collapsed="false">
      <c r="A87" s="36" t="str">
        <f aca="false">KMeans_Data!A77</f>
        <v>Mandi Bahauddin</v>
      </c>
      <c r="B87" s="17" t="n">
        <f aca="false">KMeans_Data!H77</f>
        <v>-0.309516720776153</v>
      </c>
      <c r="C87" s="17" t="n">
        <f aca="false">KMeans_Data!I77</f>
        <v>-0.672650545388274</v>
      </c>
      <c r="D87" s="17" t="n">
        <f aca="false">KMeans_Data!J77</f>
        <v>-0.182049815029191</v>
      </c>
      <c r="E87" s="63" t="n">
        <f aca="false">BR87</f>
        <v>2</v>
      </c>
      <c r="F87" s="38" t="n">
        <f aca="false">($B87-INDEX($L$8:$M$8,E87))^2+($C87-INDEX($L$9:$M$9,E87))^2+($D87-INDEX($L$10:$M$10,E87))^2</f>
        <v>0.136198983348228</v>
      </c>
      <c r="G87" s="17" t="n">
        <f aca="false">IF(COUNTIF(Distance_Matrix!$E$8:$DQ$8,$E87)&lt;=1,0,SUMIF(Distance_Matrix!$E$8:$DQ$8,$E87,Distance_Matrix!$E$86:$DQ$86)/(COUNTIF(Distance_Matrix!$E$8:$DQ$8,$E87)-1))</f>
        <v>0.992893208545483</v>
      </c>
      <c r="H87" s="17" t="n">
        <f aca="false">MIN(IF(1=$E87,1E+099,IF(COUNTIF(Distance_Matrix!$E$8:$DQ$8,1)=0,1E+099,SUMIF(Distance_Matrix!$E$8:$DQ$8,1,Distance_Matrix!$E$86:$DQ$86)/COUNTIF(Distance_Matrix!$E$8:$DQ$8,1))),IF(2=$E87,1E+099,IF(COUNTIF(Distance_Matrix!$E$8:$DQ$8,2)=0,1E+099,SUMIF(Distance_Matrix!$E$8:$DQ$8,2,Distance_Matrix!$E$86:$DQ$86)/COUNTIF(Distance_Matrix!$E$8:$DQ$8,2))))</f>
        <v>2.72377643499324</v>
      </c>
      <c r="I87" s="17" t="n">
        <f aca="false">IF(COUNTIF(Distance_Matrix!$E$8:$DQ$8,$E87)&lt;=1,0,(H87-G87)/MAX(G87,H87))</f>
        <v>0.635471841304793</v>
      </c>
      <c r="X87" s="17" t="n">
        <f aca="false">SQRT(($B87-X$8)^2+($C87-X$9)^2+($D87-X$10)^2)</f>
        <v>6.84395018685736</v>
      </c>
      <c r="Y87" s="17" t="n">
        <f aca="false">SQRT(($B87-Y$8)^2+($C87-Y$9)^2+($D87-Y$10)^2)</f>
        <v>2.01548934269047</v>
      </c>
      <c r="Z87" s="63" t="n">
        <f aca="false">MATCH(MIN(X87:Y87),X87:Y87,0)</f>
        <v>2</v>
      </c>
      <c r="AB87" s="17" t="n">
        <f aca="false">SQRT(($B87-AB$8)^2+($C87-AB$9)^2+($D87-AB$10)^2)</f>
        <v>4.30592738922138</v>
      </c>
      <c r="AC87" s="17" t="n">
        <f aca="false">SQRT(($B87-AC$8)^2+($C87-AC$9)^2+($D87-AC$10)^2)</f>
        <v>0.470100405965112</v>
      </c>
      <c r="AD87" s="63" t="n">
        <f aca="false">MATCH(MIN(AB87:AC87),AB87:AC87,0)</f>
        <v>2</v>
      </c>
      <c r="AF87" s="17" t="n">
        <f aca="false">SQRT(($B87-AF$8)^2+($C87-AF$9)^2+($D87-AF$10)^2)</f>
        <v>3.69573903877728</v>
      </c>
      <c r="AG87" s="17" t="n">
        <f aca="false">SQRT(($B87-AG$8)^2+($C87-AG$9)^2+($D87-AG$10)^2)</f>
        <v>0.391414525084334</v>
      </c>
      <c r="AH87" s="63" t="n">
        <f aca="false">MATCH(MIN(AF87:AG87),AF87:AG87,0)</f>
        <v>2</v>
      </c>
      <c r="AJ87" s="17" t="n">
        <f aca="false">SQRT(($B87-AJ$8)^2+($C87-AJ$9)^2+($D87-AJ$10)^2)</f>
        <v>3.08769601366247</v>
      </c>
      <c r="AK87" s="17" t="n">
        <f aca="false">SQRT(($B87-AK$8)^2+($C87-AK$9)^2+($D87-AK$10)^2)</f>
        <v>0.306259823146338</v>
      </c>
      <c r="AL87" s="63" t="n">
        <f aca="false">MATCH(MIN(AJ87:AK87),AJ87:AK87,0)</f>
        <v>2</v>
      </c>
      <c r="AN87" s="17" t="n">
        <f aca="false">SQRT(($B87-AN$8)^2+($C87-AN$9)^2+($D87-AN$10)^2)</f>
        <v>2.87722320570735</v>
      </c>
      <c r="AO87" s="17" t="n">
        <f aca="false">SQRT(($B87-AO$8)^2+($C87-AO$9)^2+($D87-AO$10)^2)</f>
        <v>0.334721120952467</v>
      </c>
      <c r="AP87" s="63" t="n">
        <f aca="false">MATCH(MIN(AN87:AO87),AN87:AO87,0)</f>
        <v>2</v>
      </c>
      <c r="AR87" s="17" t="n">
        <f aca="false">SQRT(($B87-AR$8)^2+($C87-AR$9)^2+($D87-AR$10)^2)</f>
        <v>2.74977700226218</v>
      </c>
      <c r="AS87" s="17" t="n">
        <f aca="false">SQRT(($B87-AS$8)^2+($C87-AS$9)^2+($D87-AS$10)^2)</f>
        <v>0.356913790667714</v>
      </c>
      <c r="AT87" s="63" t="n">
        <f aca="false">MATCH(MIN(AR87:AS87),AR87:AS87,0)</f>
        <v>2</v>
      </c>
      <c r="AV87" s="17" t="n">
        <f aca="false">SQRT(($B87-AV$8)^2+($C87-AV$9)^2+($D87-AV$10)^2)</f>
        <v>2.71007188115485</v>
      </c>
      <c r="AW87" s="17" t="n">
        <f aca="false">SQRT(($B87-AW$8)^2+($C87-AW$9)^2+($D87-AW$10)^2)</f>
        <v>0.363144482613817</v>
      </c>
      <c r="AX87" s="63" t="n">
        <f aca="false">MATCH(MIN(AV87:AW87),AV87:AW87,0)</f>
        <v>2</v>
      </c>
      <c r="AZ87" s="17" t="n">
        <f aca="false">SQRT(($B87-AZ$8)^2+($C87-AZ$9)^2+($D87-AZ$10)^2)</f>
        <v>2.67090241973952</v>
      </c>
      <c r="BA87" s="17" t="n">
        <f aca="false">SQRT(($B87-BA$8)^2+($C87-BA$9)^2+($D87-BA$10)^2)</f>
        <v>0.369051464362665</v>
      </c>
      <c r="BB87" s="63" t="n">
        <f aca="false">MATCH(MIN(AZ87:BA87),AZ87:BA87,0)</f>
        <v>2</v>
      </c>
      <c r="BD87" s="17" t="n">
        <f aca="false">SQRT(($B87-BD$8)^2+($C87-BD$9)^2+($D87-BD$10)^2)</f>
        <v>2.67090241973952</v>
      </c>
      <c r="BE87" s="17" t="n">
        <f aca="false">SQRT(($B87-BE$8)^2+($C87-BE$9)^2+($D87-BE$10)^2)</f>
        <v>0.369051464362665</v>
      </c>
      <c r="BF87" s="63" t="n">
        <f aca="false">MATCH(MIN(BD87:BE87),BD87:BE87,0)</f>
        <v>2</v>
      </c>
      <c r="BH87" s="17" t="n">
        <f aca="false">SQRT(($B87-BH$8)^2+($C87-BH$9)^2+($D87-BH$10)^2)</f>
        <v>2.67090241973952</v>
      </c>
      <c r="BI87" s="17" t="n">
        <f aca="false">SQRT(($B87-BI$8)^2+($C87-BI$9)^2+($D87-BI$10)^2)</f>
        <v>0.369051464362665</v>
      </c>
      <c r="BJ87" s="63" t="n">
        <f aca="false">MATCH(MIN(BH87:BI87),BH87:BI87,0)</f>
        <v>2</v>
      </c>
      <c r="BL87" s="17" t="n">
        <f aca="false">SQRT(($B87-BL$8)^2+($C87-BL$9)^2+($D87-BL$10)^2)</f>
        <v>2.67090241973952</v>
      </c>
      <c r="BM87" s="17" t="n">
        <f aca="false">SQRT(($B87-BM$8)^2+($C87-BM$9)^2+($D87-BM$10)^2)</f>
        <v>0.369051464362665</v>
      </c>
      <c r="BN87" s="63" t="n">
        <f aca="false">MATCH(MIN(BL87:BM87),BL87:BM87,0)</f>
        <v>2</v>
      </c>
      <c r="BP87" s="17" t="n">
        <f aca="false">SQRT(($B87-BP$8)^2+($C87-BP$9)^2+($D87-BP$10)^2)</f>
        <v>2.67090241973952</v>
      </c>
      <c r="BQ87" s="17" t="n">
        <f aca="false">SQRT(($B87-BQ$8)^2+($C87-BQ$9)^2+($D87-BQ$10)^2)</f>
        <v>0.369051464362665</v>
      </c>
      <c r="BR87" s="63" t="n">
        <f aca="false">MATCH(MIN(BP87:BQ87),BP87:BQ87,0)</f>
        <v>2</v>
      </c>
    </row>
    <row r="88" customFormat="false" ht="15" hidden="false" customHeight="false" outlineLevel="0" collapsed="false">
      <c r="A88" s="36" t="str">
        <f aca="false">KMeans_Data!A78</f>
        <v>Ghanche</v>
      </c>
      <c r="B88" s="17" t="n">
        <f aca="false">KMeans_Data!H78</f>
        <v>-0.327161461972788</v>
      </c>
      <c r="C88" s="17" t="n">
        <f aca="false">KMeans_Data!I78</f>
        <v>-0.672650545388274</v>
      </c>
      <c r="D88" s="17" t="n">
        <f aca="false">KMeans_Data!J78</f>
        <v>-0.2439270481224</v>
      </c>
      <c r="E88" s="63" t="n">
        <f aca="false">BR88</f>
        <v>2</v>
      </c>
      <c r="F88" s="38" t="n">
        <f aca="false">($B88-INDEX($L$8:$M$8,E88))^2+($C88-INDEX($L$9:$M$9,E88))^2+($D88-INDEX($L$10:$M$10,E88))^2</f>
        <v>0.0976645229538334</v>
      </c>
      <c r="G88" s="17" t="n">
        <f aca="false">IF(COUNTIF(Distance_Matrix!$E$8:$DQ$8,$E88)&lt;=1,0,SUMIF(Distance_Matrix!$E$8:$DQ$8,$E88,Distance_Matrix!$E$87:$DQ$87)/(COUNTIF(Distance_Matrix!$E$8:$DQ$8,$E88)-1))</f>
        <v>0.97697200367144</v>
      </c>
      <c r="H88" s="17" t="n">
        <f aca="false">MIN(IF(1=$E88,1E+099,IF(COUNTIF(Distance_Matrix!$E$8:$DQ$8,1)=0,1E+099,SUMIF(Distance_Matrix!$E$8:$DQ$8,1,Distance_Matrix!$E$87:$DQ$87)/COUNTIF(Distance_Matrix!$E$8:$DQ$8,1))),IF(2=$E88,1E+099,IF(COUNTIF(Distance_Matrix!$E$8:$DQ$8,2)=0,1E+099,SUMIF(Distance_Matrix!$E$8:$DQ$8,2,Distance_Matrix!$E$87:$DQ$87)/COUNTIF(Distance_Matrix!$E$8:$DQ$8,2))))</f>
        <v>2.76353601248836</v>
      </c>
      <c r="I88" s="17" t="n">
        <f aca="false">IF(COUNTIF(Distance_Matrix!$E$8:$DQ$8,$E88)&lt;=1,0,(H88-G88)/MAX(G88,H88))</f>
        <v>0.646477556559233</v>
      </c>
      <c r="X88" s="17" t="n">
        <f aca="false">SQRT(($B88-X$8)^2+($C88-X$9)^2+($D88-X$10)^2)</f>
        <v>6.88442683577779</v>
      </c>
      <c r="Y88" s="17" t="n">
        <f aca="false">SQRT(($B88-Y$8)^2+($C88-Y$9)^2+($D88-Y$10)^2)</f>
        <v>1.97094346163573</v>
      </c>
      <c r="Z88" s="63" t="n">
        <f aca="false">MATCH(MIN(X88:Y88),X88:Y88,0)</f>
        <v>2</v>
      </c>
      <c r="AB88" s="17" t="n">
        <f aca="false">SQRT(($B88-AB$8)^2+($C88-AB$9)^2+($D88-AB$10)^2)</f>
        <v>4.34502013145926</v>
      </c>
      <c r="AC88" s="17" t="n">
        <f aca="false">SQRT(($B88-AC$8)^2+($C88-AC$9)^2+($D88-AC$10)^2)</f>
        <v>0.480097394623378</v>
      </c>
      <c r="AD88" s="63" t="n">
        <f aca="false">MATCH(MIN(AB88:AC88),AB88:AC88,0)</f>
        <v>2</v>
      </c>
      <c r="AF88" s="17" t="n">
        <f aca="false">SQRT(($B88-AF$8)^2+($C88-AF$9)^2+($D88-AF$10)^2)</f>
        <v>3.73402925726971</v>
      </c>
      <c r="AG88" s="17" t="n">
        <f aca="false">SQRT(($B88-AG$8)^2+($C88-AG$9)^2+($D88-AG$10)^2)</f>
        <v>0.393051536185069</v>
      </c>
      <c r="AH88" s="63" t="n">
        <f aca="false">MATCH(MIN(AF88:AG88),AF88:AG88,0)</f>
        <v>2</v>
      </c>
      <c r="AJ88" s="17" t="n">
        <f aca="false">SQRT(($B88-AJ$8)^2+($C88-AJ$9)^2+($D88-AJ$10)^2)</f>
        <v>3.12677846277193</v>
      </c>
      <c r="AK88" s="17" t="n">
        <f aca="false">SQRT(($B88-AK$8)^2+($C88-AK$9)^2+($D88-AK$10)^2)</f>
        <v>0.274960932539085</v>
      </c>
      <c r="AL88" s="63" t="n">
        <f aca="false">MATCH(MIN(AJ88:AK88),AJ88:AK88,0)</f>
        <v>2</v>
      </c>
      <c r="AN88" s="17" t="n">
        <f aca="false">SQRT(($B88-AN$8)^2+($C88-AN$9)^2+($D88-AN$10)^2)</f>
        <v>2.91739641062871</v>
      </c>
      <c r="AO88" s="17" t="n">
        <f aca="false">SQRT(($B88-AO$8)^2+($C88-AO$9)^2+($D88-AO$10)^2)</f>
        <v>0.286917240728387</v>
      </c>
      <c r="AP88" s="63" t="n">
        <f aca="false">MATCH(MIN(AN88:AO88),AN88:AO88,0)</f>
        <v>2</v>
      </c>
      <c r="AR88" s="17" t="n">
        <f aca="false">SQRT(($B88-AR$8)^2+($C88-AR$9)^2+($D88-AR$10)^2)</f>
        <v>2.79007869947427</v>
      </c>
      <c r="AS88" s="17" t="n">
        <f aca="false">SQRT(($B88-AS$8)^2+($C88-AS$9)^2+($D88-AS$10)^2)</f>
        <v>0.303375452102177</v>
      </c>
      <c r="AT88" s="63" t="n">
        <f aca="false">MATCH(MIN(AR88:AS88),AR88:AS88,0)</f>
        <v>2</v>
      </c>
      <c r="AV88" s="17" t="n">
        <f aca="false">SQRT(($B88-AV$8)^2+($C88-AV$9)^2+($D88-AV$10)^2)</f>
        <v>2.75025263910283</v>
      </c>
      <c r="AW88" s="17" t="n">
        <f aca="false">SQRT(($B88-AW$8)^2+($C88-AW$9)^2+($D88-AW$10)^2)</f>
        <v>0.308205724870191</v>
      </c>
      <c r="AX88" s="63" t="n">
        <f aca="false">MATCH(MIN(AV88:AW88),AV88:AW88,0)</f>
        <v>2</v>
      </c>
      <c r="AZ88" s="17" t="n">
        <f aca="false">SQRT(($B88-AZ$8)^2+($C88-AZ$9)^2+($D88-AZ$10)^2)</f>
        <v>2.71102676700549</v>
      </c>
      <c r="BA88" s="17" t="n">
        <f aca="false">SQRT(($B88-BA$8)^2+($C88-BA$9)^2+($D88-BA$10)^2)</f>
        <v>0.312513236445808</v>
      </c>
      <c r="BB88" s="63" t="n">
        <f aca="false">MATCH(MIN(AZ88:BA88),AZ88:BA88,0)</f>
        <v>2</v>
      </c>
      <c r="BD88" s="17" t="n">
        <f aca="false">SQRT(($B88-BD$8)^2+($C88-BD$9)^2+($D88-BD$10)^2)</f>
        <v>2.71102676700549</v>
      </c>
      <c r="BE88" s="17" t="n">
        <f aca="false">SQRT(($B88-BE$8)^2+($C88-BE$9)^2+($D88-BE$10)^2)</f>
        <v>0.312513236445808</v>
      </c>
      <c r="BF88" s="63" t="n">
        <f aca="false">MATCH(MIN(BD88:BE88),BD88:BE88,0)</f>
        <v>2</v>
      </c>
      <c r="BH88" s="17" t="n">
        <f aca="false">SQRT(($B88-BH$8)^2+($C88-BH$9)^2+($D88-BH$10)^2)</f>
        <v>2.71102676700549</v>
      </c>
      <c r="BI88" s="17" t="n">
        <f aca="false">SQRT(($B88-BI$8)^2+($C88-BI$9)^2+($D88-BI$10)^2)</f>
        <v>0.312513236445808</v>
      </c>
      <c r="BJ88" s="63" t="n">
        <f aca="false">MATCH(MIN(BH88:BI88),BH88:BI88,0)</f>
        <v>2</v>
      </c>
      <c r="BL88" s="17" t="n">
        <f aca="false">SQRT(($B88-BL$8)^2+($C88-BL$9)^2+($D88-BL$10)^2)</f>
        <v>2.71102676700549</v>
      </c>
      <c r="BM88" s="17" t="n">
        <f aca="false">SQRT(($B88-BM$8)^2+($C88-BM$9)^2+($D88-BM$10)^2)</f>
        <v>0.312513236445808</v>
      </c>
      <c r="BN88" s="63" t="n">
        <f aca="false">MATCH(MIN(BL88:BM88),BL88:BM88,0)</f>
        <v>2</v>
      </c>
      <c r="BP88" s="17" t="n">
        <f aca="false">SQRT(($B88-BP$8)^2+($C88-BP$9)^2+($D88-BP$10)^2)</f>
        <v>2.71102676700549</v>
      </c>
      <c r="BQ88" s="17" t="n">
        <f aca="false">SQRT(($B88-BQ$8)^2+($C88-BQ$9)^2+($D88-BQ$10)^2)</f>
        <v>0.312513236445808</v>
      </c>
      <c r="BR88" s="63" t="n">
        <f aca="false">MATCH(MIN(BP88:BQ88),BP88:BQ88,0)</f>
        <v>2</v>
      </c>
    </row>
    <row r="89" customFormat="false" ht="15" hidden="false" customHeight="false" outlineLevel="0" collapsed="false">
      <c r="A89" s="36" t="str">
        <f aca="false">KMeans_Data!A79</f>
        <v>Hunza</v>
      </c>
      <c r="B89" s="17" t="n">
        <f aca="false">KMeans_Data!H79</f>
        <v>-0.327161461972788</v>
      </c>
      <c r="C89" s="17" t="n">
        <f aca="false">KMeans_Data!I79</f>
        <v>-0.672650545388274</v>
      </c>
      <c r="D89" s="17" t="n">
        <f aca="false">KMeans_Data!J79</f>
        <v>-1.14564411633355</v>
      </c>
      <c r="E89" s="63" t="n">
        <f aca="false">BR89</f>
        <v>2</v>
      </c>
      <c r="F89" s="38" t="n">
        <f aca="false">($B89-INDEX($L$8:$M$8,E89))^2+($C89-INDEX($L$9:$M$9,E89))^2+($D89-INDEX($L$10:$M$10,E89))^2</f>
        <v>0.469738789127036</v>
      </c>
      <c r="G89" s="17" t="n">
        <f aca="false">IF(COUNTIF(Distance_Matrix!$E$8:$DQ$8,$E89)&lt;=1,0,SUMIF(Distance_Matrix!$E$8:$DQ$8,$E89,Distance_Matrix!$E$88:$DQ$88)/(COUNTIF(Distance_Matrix!$E$8:$DQ$8,$E89)-1))</f>
        <v>1.10705283495045</v>
      </c>
      <c r="H89" s="17" t="n">
        <f aca="false">MIN(IF(1=$E89,1E+099,IF(COUNTIF(Distance_Matrix!$E$8:$DQ$8,1)=0,1E+099,SUMIF(Distance_Matrix!$E$8:$DQ$8,1,Distance_Matrix!$E$88:$DQ$88)/COUNTIF(Distance_Matrix!$E$8:$DQ$8,1))),IF(2=$E89,1E+099,IF(COUNTIF(Distance_Matrix!$E$8:$DQ$8,2)=0,1E+099,SUMIF(Distance_Matrix!$E$8:$DQ$8,2,Distance_Matrix!$E$88:$DQ$88)/COUNTIF(Distance_Matrix!$E$8:$DQ$8,2))))</f>
        <v>3.32516111466626</v>
      </c>
      <c r="I89" s="17" t="n">
        <f aca="false">IF(COUNTIF(Distance_Matrix!$E$8:$DQ$8,$E89)&lt;=1,0,(H89-G89)/MAX(G89,H89))</f>
        <v>0.667067911365985</v>
      </c>
      <c r="X89" s="17" t="n">
        <f aca="false">SQRT(($B89-X$8)^2+($C89-X$9)^2+($D89-X$10)^2)</f>
        <v>7.38338582905211</v>
      </c>
      <c r="Y89" s="17" t="n">
        <f aca="false">SQRT(($B89-Y$8)^2+($C89-Y$9)^2+($D89-Y$10)^2)</f>
        <v>1.75257651983054</v>
      </c>
      <c r="Z89" s="63" t="n">
        <f aca="false">MATCH(MIN(X89:Y89),X89:Y89,0)</f>
        <v>2</v>
      </c>
      <c r="AB89" s="17" t="n">
        <f aca="false">SQRT(($B89-AB$8)^2+($C89-AB$9)^2+($D89-AB$10)^2)</f>
        <v>4.84741315167788</v>
      </c>
      <c r="AC89" s="17" t="n">
        <f aca="false">SQRT(($B89-AC$8)^2+($C89-AC$9)^2+($D89-AC$10)^2)</f>
        <v>1.08119727014886</v>
      </c>
      <c r="AD89" s="63" t="n">
        <f aca="false">MATCH(MIN(AB89:AC89),AB89:AC89,0)</f>
        <v>2</v>
      </c>
      <c r="AF89" s="17" t="n">
        <f aca="false">SQRT(($B89-AF$8)^2+($C89-AF$9)^2+($D89-AF$10)^2)</f>
        <v>4.23833420379556</v>
      </c>
      <c r="AG89" s="17" t="n">
        <f aca="false">SQRT(($B89-AG$8)^2+($C89-AG$9)^2+($D89-AG$10)^2)</f>
        <v>1.00025192593729</v>
      </c>
      <c r="AH89" s="63" t="n">
        <f aca="false">MATCH(MIN(AF89:AG89),AF89:AG89,0)</f>
        <v>2</v>
      </c>
      <c r="AJ89" s="17" t="n">
        <f aca="false">SQRT(($B89-AJ$8)^2+($C89-AJ$9)^2+($D89-AJ$10)^2)</f>
        <v>3.6590857483545</v>
      </c>
      <c r="AK89" s="17" t="n">
        <f aca="false">SQRT(($B89-AK$8)^2+($C89-AK$9)^2+($D89-AK$10)^2)</f>
        <v>0.829171952269545</v>
      </c>
      <c r="AL89" s="63" t="n">
        <f aca="false">MATCH(MIN(AJ89:AK89),AJ89:AK89,0)</f>
        <v>2</v>
      </c>
      <c r="AN89" s="17" t="n">
        <f aca="false">SQRT(($B89-AN$8)^2+($C89-AN$9)^2+($D89-AN$10)^2)</f>
        <v>3.46663291882332</v>
      </c>
      <c r="AO89" s="17" t="n">
        <f aca="false">SQRT(($B89-AO$8)^2+($C89-AO$9)^2+($D89-AO$10)^2)</f>
        <v>0.74719948957613</v>
      </c>
      <c r="AP89" s="63" t="n">
        <f aca="false">MATCH(MIN(AN89:AO89),AN89:AO89,0)</f>
        <v>2</v>
      </c>
      <c r="AR89" s="17" t="n">
        <f aca="false">SQRT(($B89-AR$8)^2+($C89-AR$9)^2+($D89-AR$10)^2)</f>
        <v>3.34416062089271</v>
      </c>
      <c r="AS89" s="17" t="n">
        <f aca="false">SQRT(($B89-AS$8)^2+($C89-AS$9)^2+($D89-AS$10)^2)</f>
        <v>0.708530820011708</v>
      </c>
      <c r="AT89" s="63" t="n">
        <f aca="false">MATCH(MIN(AR89:AS89),AR89:AS89,0)</f>
        <v>2</v>
      </c>
      <c r="AV89" s="17" t="n">
        <f aca="false">SQRT(($B89-AV$8)^2+($C89-AV$9)^2+($D89-AV$10)^2)</f>
        <v>3.30376375059053</v>
      </c>
      <c r="AW89" s="17" t="n">
        <f aca="false">SQRT(($B89-AW$8)^2+($C89-AW$9)^2+($D89-AW$10)^2)</f>
        <v>0.698987361301891</v>
      </c>
      <c r="AX89" s="63" t="n">
        <f aca="false">MATCH(MIN(AV89:AW89),AV89:AW89,0)</f>
        <v>2</v>
      </c>
      <c r="AZ89" s="17" t="n">
        <f aca="false">SQRT(($B89-AZ$8)^2+($C89-AZ$9)^2+($D89-AZ$10)^2)</f>
        <v>3.26596837112728</v>
      </c>
      <c r="BA89" s="17" t="n">
        <f aca="false">SQRT(($B89-BA$8)^2+($C89-BA$9)^2+($D89-BA$10)^2)</f>
        <v>0.685374925954426</v>
      </c>
      <c r="BB89" s="63" t="n">
        <f aca="false">MATCH(MIN(AZ89:BA89),AZ89:BA89,0)</f>
        <v>2</v>
      </c>
      <c r="BD89" s="17" t="n">
        <f aca="false">SQRT(($B89-BD$8)^2+($C89-BD$9)^2+($D89-BD$10)^2)</f>
        <v>3.26596837112728</v>
      </c>
      <c r="BE89" s="17" t="n">
        <f aca="false">SQRT(($B89-BE$8)^2+($C89-BE$9)^2+($D89-BE$10)^2)</f>
        <v>0.685374925954426</v>
      </c>
      <c r="BF89" s="63" t="n">
        <f aca="false">MATCH(MIN(BD89:BE89),BD89:BE89,0)</f>
        <v>2</v>
      </c>
      <c r="BH89" s="17" t="n">
        <f aca="false">SQRT(($B89-BH$8)^2+($C89-BH$9)^2+($D89-BH$10)^2)</f>
        <v>3.26596837112728</v>
      </c>
      <c r="BI89" s="17" t="n">
        <f aca="false">SQRT(($B89-BI$8)^2+($C89-BI$9)^2+($D89-BI$10)^2)</f>
        <v>0.685374925954426</v>
      </c>
      <c r="BJ89" s="63" t="n">
        <f aca="false">MATCH(MIN(BH89:BI89),BH89:BI89,0)</f>
        <v>2</v>
      </c>
      <c r="BL89" s="17" t="n">
        <f aca="false">SQRT(($B89-BL$8)^2+($C89-BL$9)^2+($D89-BL$10)^2)</f>
        <v>3.26596837112728</v>
      </c>
      <c r="BM89" s="17" t="n">
        <f aca="false">SQRT(($B89-BM$8)^2+($C89-BM$9)^2+($D89-BM$10)^2)</f>
        <v>0.685374925954426</v>
      </c>
      <c r="BN89" s="63" t="n">
        <f aca="false">MATCH(MIN(BL89:BM89),BL89:BM89,0)</f>
        <v>2</v>
      </c>
      <c r="BP89" s="17" t="n">
        <f aca="false">SQRT(($B89-BP$8)^2+($C89-BP$9)^2+($D89-BP$10)^2)</f>
        <v>3.26596837112728</v>
      </c>
      <c r="BQ89" s="17" t="n">
        <f aca="false">SQRT(($B89-BQ$8)^2+($C89-BQ$9)^2+($D89-BQ$10)^2)</f>
        <v>0.685374925954426</v>
      </c>
      <c r="BR89" s="63" t="n">
        <f aca="false">MATCH(MIN(BP89:BQ89),BP89:BQ89,0)</f>
        <v>2</v>
      </c>
    </row>
    <row r="90" customFormat="false" ht="15" hidden="false" customHeight="false" outlineLevel="0" collapsed="false">
      <c r="A90" s="36" t="str">
        <f aca="false">KMeans_Data!A80</f>
        <v>Nankana Sahib</v>
      </c>
      <c r="B90" s="17" t="n">
        <f aca="false">KMeans_Data!H80</f>
        <v>-0.34542544181187</v>
      </c>
      <c r="C90" s="17" t="n">
        <f aca="false">KMeans_Data!I80</f>
        <v>-0.672650545388274</v>
      </c>
      <c r="D90" s="17" t="n">
        <f aca="false">KMeans_Data!J80</f>
        <v>-0.2439270481224</v>
      </c>
      <c r="E90" s="63" t="n">
        <f aca="false">BR90</f>
        <v>2</v>
      </c>
      <c r="F90" s="38" t="n">
        <f aca="false">($B90-INDEX($L$8:$M$8,E90))^2+($C90-INDEX($L$9:$M$9,E90))^2+($D90-INDEX($L$10:$M$10,E90))^2</f>
        <v>0.0937222317245393</v>
      </c>
      <c r="G90" s="17" t="n">
        <f aca="false">IF(COUNTIF(Distance_Matrix!$E$8:$DQ$8,$E90)&lt;=1,0,SUMIF(Distance_Matrix!$E$8:$DQ$8,$E90,Distance_Matrix!$E$89:$DQ$89)/(COUNTIF(Distance_Matrix!$E$8:$DQ$8,$E90)-1))</f>
        <v>0.97540030433864</v>
      </c>
      <c r="H90" s="17" t="n">
        <f aca="false">MIN(IF(1=$E90,1E+099,IF(COUNTIF(Distance_Matrix!$E$8:$DQ$8,1)=0,1E+099,SUMIF(Distance_Matrix!$E$8:$DQ$8,1,Distance_Matrix!$E$89:$DQ$89)/COUNTIF(Distance_Matrix!$E$8:$DQ$8,1))),IF(2=$E90,1E+099,IF(COUNTIF(Distance_Matrix!$E$8:$DQ$8,2)=0,1E+099,SUMIF(Distance_Matrix!$E$8:$DQ$8,2,Distance_Matrix!$E$89:$DQ$89)/COUNTIF(Distance_Matrix!$E$8:$DQ$8,2))))</f>
        <v>2.77248264966756</v>
      </c>
      <c r="I90" s="17" t="n">
        <f aca="false">IF(COUNTIF(Distance_Matrix!$E$8:$DQ$8,$E90)&lt;=1,0,(H90-G90)/MAX(G90,H90))</f>
        <v>0.648185244926385</v>
      </c>
      <c r="X90" s="17" t="n">
        <f aca="false">SQRT(($B90-X$8)^2+($C90-X$9)^2+($D90-X$10)^2)</f>
        <v>6.89399889685623</v>
      </c>
      <c r="Y90" s="17" t="n">
        <f aca="false">SQRT(($B90-Y$8)^2+($C90-Y$9)^2+($D90-Y$10)^2)</f>
        <v>1.95472086433714</v>
      </c>
      <c r="Z90" s="63" t="n">
        <f aca="false">MATCH(MIN(X90:Y90),X90:Y90,0)</f>
        <v>2</v>
      </c>
      <c r="AB90" s="17" t="n">
        <f aca="false">SQRT(($B90-AB$8)^2+($C90-AB$9)^2+($D90-AB$10)^2)</f>
        <v>4.35472155801405</v>
      </c>
      <c r="AC90" s="17" t="n">
        <f aca="false">SQRT(($B90-AC$8)^2+($C90-AC$9)^2+($D90-AC$10)^2)</f>
        <v>0.485837244750299</v>
      </c>
      <c r="AD90" s="63" t="n">
        <f aca="false">MATCH(MIN(AB90:AC90),AB90:AC90,0)</f>
        <v>2</v>
      </c>
      <c r="AF90" s="17" t="n">
        <f aca="false">SQRT(($B90-AF$8)^2+($C90-AF$9)^2+($D90-AF$10)^2)</f>
        <v>3.7435602453703</v>
      </c>
      <c r="AG90" s="17" t="n">
        <f aca="false">SQRT(($B90-AG$8)^2+($C90-AG$9)^2+($D90-AG$10)^2)</f>
        <v>0.397617155981172</v>
      </c>
      <c r="AH90" s="63" t="n">
        <f aca="false">MATCH(MIN(AF90:AG90),AF90:AG90,0)</f>
        <v>2</v>
      </c>
      <c r="AJ90" s="17" t="n">
        <f aca="false">SQRT(($B90-AJ$8)^2+($C90-AJ$9)^2+($D90-AJ$10)^2)</f>
        <v>3.13591224666037</v>
      </c>
      <c r="AK90" s="17" t="n">
        <f aca="false">SQRT(($B90-AK$8)^2+($C90-AK$9)^2+($D90-AK$10)^2)</f>
        <v>0.275103005146311</v>
      </c>
      <c r="AL90" s="63" t="n">
        <f aca="false">MATCH(MIN(AJ90:AK90),AJ90:AK90,0)</f>
        <v>2</v>
      </c>
      <c r="AN90" s="17" t="n">
        <f aca="false">SQRT(($B90-AN$8)^2+($C90-AN$9)^2+($D90-AN$10)^2)</f>
        <v>2.92668378454331</v>
      </c>
      <c r="AO90" s="17" t="n">
        <f aca="false">SQRT(($B90-AO$8)^2+($C90-AO$9)^2+($D90-AO$10)^2)</f>
        <v>0.283064659396211</v>
      </c>
      <c r="AP90" s="63" t="n">
        <f aca="false">MATCH(MIN(AN90:AO90),AN90:AO90,0)</f>
        <v>2</v>
      </c>
      <c r="AR90" s="17" t="n">
        <f aca="false">SQRT(($B90-AR$8)^2+($C90-AR$9)^2+($D90-AR$10)^2)</f>
        <v>2.79939134222283</v>
      </c>
      <c r="AS90" s="17" t="n">
        <f aca="false">SQRT(($B90-AS$8)^2+($C90-AS$9)^2+($D90-AS$10)^2)</f>
        <v>0.297821071431191</v>
      </c>
      <c r="AT90" s="63" t="n">
        <f aca="false">MATCH(MIN(AR90:AS90),AR90:AS90,0)</f>
        <v>2</v>
      </c>
      <c r="AV90" s="17" t="n">
        <f aca="false">SQRT(($B90-AV$8)^2+($C90-AV$9)^2+($D90-AV$10)^2)</f>
        <v>2.75959123471132</v>
      </c>
      <c r="AW90" s="17" t="n">
        <f aca="false">SQRT(($B90-AW$8)^2+($C90-AW$9)^2+($D90-AW$10)^2)</f>
        <v>0.302041890132501</v>
      </c>
      <c r="AX90" s="63" t="n">
        <f aca="false">MATCH(MIN(AV90:AW90),AV90:AW90,0)</f>
        <v>2</v>
      </c>
      <c r="AZ90" s="17" t="n">
        <f aca="false">SQRT(($B90-AZ$8)^2+($C90-AZ$9)^2+($D90-AZ$10)^2)</f>
        <v>2.72028792476956</v>
      </c>
      <c r="BA90" s="17" t="n">
        <f aca="false">SQRT(($B90-BA$8)^2+($C90-BA$9)^2+($D90-BA$10)^2)</f>
        <v>0.306140869085686</v>
      </c>
      <c r="BB90" s="63" t="n">
        <f aca="false">MATCH(MIN(AZ90:BA90),AZ90:BA90,0)</f>
        <v>2</v>
      </c>
      <c r="BD90" s="17" t="n">
        <f aca="false">SQRT(($B90-BD$8)^2+($C90-BD$9)^2+($D90-BD$10)^2)</f>
        <v>2.72028792476956</v>
      </c>
      <c r="BE90" s="17" t="n">
        <f aca="false">SQRT(($B90-BE$8)^2+($C90-BE$9)^2+($D90-BE$10)^2)</f>
        <v>0.306140869085686</v>
      </c>
      <c r="BF90" s="63" t="n">
        <f aca="false">MATCH(MIN(BD90:BE90),BD90:BE90,0)</f>
        <v>2</v>
      </c>
      <c r="BH90" s="17" t="n">
        <f aca="false">SQRT(($B90-BH$8)^2+($C90-BH$9)^2+($D90-BH$10)^2)</f>
        <v>2.72028792476956</v>
      </c>
      <c r="BI90" s="17" t="n">
        <f aca="false">SQRT(($B90-BI$8)^2+($C90-BI$9)^2+($D90-BI$10)^2)</f>
        <v>0.306140869085686</v>
      </c>
      <c r="BJ90" s="63" t="n">
        <f aca="false">MATCH(MIN(BH90:BI90),BH90:BI90,0)</f>
        <v>2</v>
      </c>
      <c r="BL90" s="17" t="n">
        <f aca="false">SQRT(($B90-BL$8)^2+($C90-BL$9)^2+($D90-BL$10)^2)</f>
        <v>2.72028792476956</v>
      </c>
      <c r="BM90" s="17" t="n">
        <f aca="false">SQRT(($B90-BM$8)^2+($C90-BM$9)^2+($D90-BM$10)^2)</f>
        <v>0.306140869085686</v>
      </c>
      <c r="BN90" s="63" t="n">
        <f aca="false">MATCH(MIN(BL90:BM90),BL90:BM90,0)</f>
        <v>2</v>
      </c>
      <c r="BP90" s="17" t="n">
        <f aca="false">SQRT(($B90-BP$8)^2+($C90-BP$9)^2+($D90-BP$10)^2)</f>
        <v>2.72028792476956</v>
      </c>
      <c r="BQ90" s="17" t="n">
        <f aca="false">SQRT(($B90-BQ$8)^2+($C90-BQ$9)^2+($D90-BQ$10)^2)</f>
        <v>0.306140869085686</v>
      </c>
      <c r="BR90" s="63" t="n">
        <f aca="false">MATCH(MIN(BP90:BQ90),BP90:BQ90,0)</f>
        <v>2</v>
      </c>
    </row>
    <row r="91" customFormat="false" ht="15" hidden="false" customHeight="false" outlineLevel="0" collapsed="false">
      <c r="A91" s="36" t="str">
        <f aca="false">KMeans_Data!A81</f>
        <v>Khushab</v>
      </c>
      <c r="B91" s="17" t="n">
        <f aca="false">KMeans_Data!H81</f>
        <v>-0.34542544181187</v>
      </c>
      <c r="C91" s="17" t="n">
        <f aca="false">KMeans_Data!I81</f>
        <v>-0.672650545388274</v>
      </c>
      <c r="D91" s="17" t="n">
        <f aca="false">KMeans_Data!J81</f>
        <v>-1.14564411633355</v>
      </c>
      <c r="E91" s="63" t="n">
        <f aca="false">BR91</f>
        <v>2</v>
      </c>
      <c r="F91" s="38" t="n">
        <f aca="false">($B91-INDEX($L$8:$M$8,E91))^2+($C91-INDEX($L$9:$M$9,E91))^2+($D91-INDEX($L$10:$M$10,E91))^2</f>
        <v>0.465796497897741</v>
      </c>
      <c r="G91" s="17" t="n">
        <f aca="false">IF(COUNTIF(Distance_Matrix!$E$8:$DQ$8,$E91)&lt;=1,0,SUMIF(Distance_Matrix!$E$8:$DQ$8,$E91,Distance_Matrix!$E$90:$DQ$90)/(COUNTIF(Distance_Matrix!$E$8:$DQ$8,$E91)-1))</f>
        <v>1.10475772589843</v>
      </c>
      <c r="H91" s="17" t="n">
        <f aca="false">MIN(IF(1=$E91,1E+099,IF(COUNTIF(Distance_Matrix!$E$8:$DQ$8,1)=0,1E+099,SUMIF(Distance_Matrix!$E$8:$DQ$8,1,Distance_Matrix!$E$90:$DQ$90)/COUNTIF(Distance_Matrix!$E$8:$DQ$8,1))),IF(2=$E91,1E+099,IF(COUNTIF(Distance_Matrix!$E$8:$DQ$8,2)=0,1E+099,SUMIF(Distance_Matrix!$E$8:$DQ$8,2,Distance_Matrix!$E$90:$DQ$90)/COUNTIF(Distance_Matrix!$E$8:$DQ$8,2))))</f>
        <v>3.33241201910527</v>
      </c>
      <c r="I91" s="17" t="n">
        <f aca="false">IF(COUNTIF(Distance_Matrix!$E$8:$DQ$8,$E91)&lt;=1,0,(H91-G91)/MAX(G91,H91))</f>
        <v>0.668481052293451</v>
      </c>
      <c r="X91" s="17" t="n">
        <f aca="false">SQRT(($B91-X$8)^2+($C91-X$9)^2+($D91-X$10)^2)</f>
        <v>7.39231183279798</v>
      </c>
      <c r="Y91" s="17" t="n">
        <f aca="false">SQRT(($B91-Y$8)^2+($C91-Y$9)^2+($D91-Y$10)^2)</f>
        <v>1.73431253999145</v>
      </c>
      <c r="Z91" s="63" t="n">
        <f aca="false">MATCH(MIN(X91:Y91),X91:Y91,0)</f>
        <v>2</v>
      </c>
      <c r="AB91" s="17" t="n">
        <f aca="false">SQRT(($B91-AB$8)^2+($C91-AB$9)^2+($D91-AB$10)^2)</f>
        <v>4.85611101274526</v>
      </c>
      <c r="AC91" s="17" t="n">
        <f aca="false">SQRT(($B91-AC$8)^2+($C91-AC$9)^2+($D91-AC$10)^2)</f>
        <v>1.08375820967582</v>
      </c>
      <c r="AD91" s="63" t="n">
        <f aca="false">MATCH(MIN(AB91:AC91),AB91:AC91,0)</f>
        <v>2</v>
      </c>
      <c r="AF91" s="17" t="n">
        <f aca="false">SQRT(($B91-AF$8)^2+($C91-AF$9)^2+($D91-AF$10)^2)</f>
        <v>4.24673352585656</v>
      </c>
      <c r="AG91" s="17" t="n">
        <f aca="false">SQRT(($B91-AG$8)^2+($C91-AG$9)^2+($D91-AG$10)^2)</f>
        <v>1.00205479290025</v>
      </c>
      <c r="AH91" s="63" t="n">
        <f aca="false">MATCH(MIN(AF91:AG91),AF91:AG91,0)</f>
        <v>2</v>
      </c>
      <c r="AJ91" s="17" t="n">
        <f aca="false">SQRT(($B91-AJ$8)^2+($C91-AJ$9)^2+($D91-AJ$10)^2)</f>
        <v>3.6668938595644</v>
      </c>
      <c r="AK91" s="17" t="n">
        <f aca="false">SQRT(($B91-AK$8)^2+($C91-AK$9)^2+($D91-AK$10)^2)</f>
        <v>0.829219075665928</v>
      </c>
      <c r="AL91" s="63" t="n">
        <f aca="false">MATCH(MIN(AJ91:AK91),AJ91:AK91,0)</f>
        <v>2</v>
      </c>
      <c r="AN91" s="17" t="n">
        <f aca="false">SQRT(($B91-AN$8)^2+($C91-AN$9)^2+($D91-AN$10)^2)</f>
        <v>3.47445246791907</v>
      </c>
      <c r="AO91" s="17" t="n">
        <f aca="false">SQRT(($B91-AO$8)^2+($C91-AO$9)^2+($D91-AO$10)^2)</f>
        <v>0.74572862060855</v>
      </c>
      <c r="AP91" s="63" t="n">
        <f aca="false">MATCH(MIN(AN91:AO91),AN91:AO91,0)</f>
        <v>2</v>
      </c>
      <c r="AR91" s="17" t="n">
        <f aca="false">SQRT(($B91-AR$8)^2+($C91-AR$9)^2+($D91-AR$10)^2)</f>
        <v>3.35193421713219</v>
      </c>
      <c r="AS91" s="17" t="n">
        <f aca="false">SQRT(($B91-AS$8)^2+($C91-AS$9)^2+($D91-AS$10)^2)</f>
        <v>0.706170410422786</v>
      </c>
      <c r="AT91" s="63" t="n">
        <f aca="false">MATCH(MIN(AR91:AS91),AR91:AS91,0)</f>
        <v>2</v>
      </c>
      <c r="AV91" s="17" t="n">
        <f aca="false">SQRT(($B91-AV$8)^2+($C91-AV$9)^2+($D91-AV$10)^2)</f>
        <v>3.31154180458581</v>
      </c>
      <c r="AW91" s="17" t="n">
        <f aca="false">SQRT(($B91-AW$8)^2+($C91-AW$9)^2+($D91-AW$10)^2)</f>
        <v>0.696291509219977</v>
      </c>
      <c r="AX91" s="63" t="n">
        <f aca="false">MATCH(MIN(AV91:AW91),AV91:AW91,0)</f>
        <v>2</v>
      </c>
      <c r="AZ91" s="17" t="n">
        <f aca="false">SQRT(($B91-AZ$8)^2+($C91-AZ$9)^2+($D91-AZ$10)^2)</f>
        <v>3.27365997981321</v>
      </c>
      <c r="BA91" s="17" t="n">
        <f aca="false">SQRT(($B91-BA$8)^2+($C91-BA$9)^2+($D91-BA$10)^2)</f>
        <v>0.682492855565347</v>
      </c>
      <c r="BB91" s="63" t="n">
        <f aca="false">MATCH(MIN(AZ91:BA91),AZ91:BA91,0)</f>
        <v>2</v>
      </c>
      <c r="BD91" s="17" t="n">
        <f aca="false">SQRT(($B91-BD$8)^2+($C91-BD$9)^2+($D91-BD$10)^2)</f>
        <v>3.27365997981321</v>
      </c>
      <c r="BE91" s="17" t="n">
        <f aca="false">SQRT(($B91-BE$8)^2+($C91-BE$9)^2+($D91-BE$10)^2)</f>
        <v>0.682492855565347</v>
      </c>
      <c r="BF91" s="63" t="n">
        <f aca="false">MATCH(MIN(BD91:BE91),BD91:BE91,0)</f>
        <v>2</v>
      </c>
      <c r="BH91" s="17" t="n">
        <f aca="false">SQRT(($B91-BH$8)^2+($C91-BH$9)^2+($D91-BH$10)^2)</f>
        <v>3.27365997981321</v>
      </c>
      <c r="BI91" s="17" t="n">
        <f aca="false">SQRT(($B91-BI$8)^2+($C91-BI$9)^2+($D91-BI$10)^2)</f>
        <v>0.682492855565347</v>
      </c>
      <c r="BJ91" s="63" t="n">
        <f aca="false">MATCH(MIN(BH91:BI91),BH91:BI91,0)</f>
        <v>2</v>
      </c>
      <c r="BL91" s="17" t="n">
        <f aca="false">SQRT(($B91-BL$8)^2+($C91-BL$9)^2+($D91-BL$10)^2)</f>
        <v>3.27365997981321</v>
      </c>
      <c r="BM91" s="17" t="n">
        <f aca="false">SQRT(($B91-BM$8)^2+($C91-BM$9)^2+($D91-BM$10)^2)</f>
        <v>0.682492855565347</v>
      </c>
      <c r="BN91" s="63" t="n">
        <f aca="false">MATCH(MIN(BL91:BM91),BL91:BM91,0)</f>
        <v>2</v>
      </c>
      <c r="BP91" s="17" t="n">
        <f aca="false">SQRT(($B91-BP$8)^2+($C91-BP$9)^2+($D91-BP$10)^2)</f>
        <v>3.27365997981321</v>
      </c>
      <c r="BQ91" s="17" t="n">
        <f aca="false">SQRT(($B91-BQ$8)^2+($C91-BQ$9)^2+($D91-BQ$10)^2)</f>
        <v>0.682492855565347</v>
      </c>
      <c r="BR91" s="63" t="n">
        <f aca="false">MATCH(MIN(BP91:BQ91),BP91:BQ91,0)</f>
        <v>2</v>
      </c>
    </row>
    <row r="92" customFormat="false" ht="15" hidden="false" customHeight="false" outlineLevel="0" collapsed="false">
      <c r="A92" s="36" t="str">
        <f aca="false">KMeans_Data!A82</f>
        <v>Sheikhupura</v>
      </c>
      <c r="B92" s="17" t="n">
        <f aca="false">KMeans_Data!H82</f>
        <v>-0.383996419381545</v>
      </c>
      <c r="C92" s="17" t="n">
        <f aca="false">KMeans_Data!I82</f>
        <v>-0.672650545388274</v>
      </c>
      <c r="D92" s="17" t="n">
        <f aca="false">KMeans_Data!J82</f>
        <v>-1.14564411633355</v>
      </c>
      <c r="E92" s="63" t="n">
        <f aca="false">BR92</f>
        <v>2</v>
      </c>
      <c r="F92" s="38" t="n">
        <f aca="false">($B92-INDEX($L$8:$M$8,E92))^2+($C92-INDEX($L$9:$M$9,E92))^2+($D92-INDEX($L$10:$M$10,E92))^2</f>
        <v>0.459663108643942</v>
      </c>
      <c r="G92" s="17" t="n">
        <f aca="false">IF(COUNTIF(Distance_Matrix!$E$8:$DQ$8,$E92)&lt;=1,0,SUMIF(Distance_Matrix!$E$8:$DQ$8,$E92,Distance_Matrix!$E$91:$DQ$91)/(COUNTIF(Distance_Matrix!$E$8:$DQ$8,$E92)-1))</f>
        <v>1.10133244896267</v>
      </c>
      <c r="H92" s="17" t="n">
        <f aca="false">MIN(IF(1=$E92,1E+099,IF(COUNTIF(Distance_Matrix!$E$8:$DQ$8,1)=0,1E+099,SUMIF(Distance_Matrix!$E$8:$DQ$8,1,Distance_Matrix!$E$91:$DQ$91)/COUNTIF(Distance_Matrix!$E$8:$DQ$8,1))),IF(2=$E92,1E+099,IF(COUNTIF(Distance_Matrix!$E$8:$DQ$8,2)=0,1E+099,SUMIF(Distance_Matrix!$E$8:$DQ$8,2,Distance_Matrix!$E$91:$DQ$91)/COUNTIF(Distance_Matrix!$E$8:$DQ$8,2))))</f>
        <v>3.34803054454037</v>
      </c>
      <c r="I92" s="17" t="n">
        <f aca="false">IF(COUNTIF(Distance_Matrix!$E$8:$DQ$8,$E92)&lt;=1,0,(H92-G92)/MAX(G92,H92))</f>
        <v>0.671050656703651</v>
      </c>
      <c r="X92" s="17" t="n">
        <f aca="false">SQRT(($B92-X$8)^2+($C92-X$9)^2+($D92-X$10)^2)</f>
        <v>7.41127487875453</v>
      </c>
      <c r="Y92" s="17" t="n">
        <f aca="false">SQRT(($B92-Y$8)^2+($C92-Y$9)^2+($D92-Y$10)^2)</f>
        <v>1.69574156242178</v>
      </c>
      <c r="Z92" s="63" t="n">
        <f aca="false">MATCH(MIN(X92:Y92),X92:Y92,0)</f>
        <v>2</v>
      </c>
      <c r="AB92" s="17" t="n">
        <f aca="false">SQRT(($B92-AB$8)^2+($C92-AB$9)^2+($D92-AB$10)^2)</f>
        <v>4.87465354394822</v>
      </c>
      <c r="AC92" s="17" t="n">
        <f aca="false">SQRT(($B92-AC$8)^2+($C92-AC$9)^2+($D92-AC$10)^2)</f>
        <v>1.09015268079229</v>
      </c>
      <c r="AD92" s="63" t="n">
        <f aca="false">MATCH(MIN(AB92:AC92),AB92:AC92,0)</f>
        <v>2</v>
      </c>
      <c r="AF92" s="17" t="n">
        <f aca="false">SQRT(($B92-AF$8)^2+($C92-AF$9)^2+($D92-AF$10)^2)</f>
        <v>4.26467438592916</v>
      </c>
      <c r="AG92" s="17" t="n">
        <f aca="false">SQRT(($B92-AG$8)^2+($C92-AG$9)^2+($D92-AG$10)^2)</f>
        <v>1.00694070207628</v>
      </c>
      <c r="AH92" s="63" t="n">
        <f aca="false">MATCH(MIN(AF92:AG92),AF92:AG92,0)</f>
        <v>2</v>
      </c>
      <c r="AJ92" s="17" t="n">
        <f aca="false">SQRT(($B92-AJ$8)^2+($C92-AJ$9)^2+($D92-AJ$10)^2)</f>
        <v>3.68362668243184</v>
      </c>
      <c r="AK92" s="17" t="n">
        <f aca="false">SQRT(($B92-AK$8)^2+($C92-AK$9)^2+($D92-AK$10)^2)</f>
        <v>0.83063920876592</v>
      </c>
      <c r="AL92" s="63" t="n">
        <f aca="false">MATCH(MIN(AJ92:AK92),AJ92:AK92,0)</f>
        <v>2</v>
      </c>
      <c r="AN92" s="17" t="n">
        <f aca="false">SQRT(($B92-AN$8)^2+($C92-AN$9)^2+($D92-AN$10)^2)</f>
        <v>3.49122268062457</v>
      </c>
      <c r="AO92" s="17" t="n">
        <f aca="false">SQRT(($B92-AO$8)^2+($C92-AO$9)^2+($D92-AO$10)^2)</f>
        <v>0.744087305062308</v>
      </c>
      <c r="AP92" s="63" t="n">
        <f aca="false">MATCH(MIN(AN92:AO92),AN92:AO92,0)</f>
        <v>2</v>
      </c>
      <c r="AR92" s="17" t="n">
        <f aca="false">SQRT(($B92-AR$8)^2+($C92-AR$9)^2+($D92-AR$10)^2)</f>
        <v>3.3686174161429</v>
      </c>
      <c r="AS92" s="17" t="n">
        <f aca="false">SQRT(($B92-AS$8)^2+($C92-AS$9)^2+($D92-AS$10)^2)</f>
        <v>0.702720959436059</v>
      </c>
      <c r="AT92" s="63" t="n">
        <f aca="false">MATCH(MIN(AR92:AS92),AR92:AS92,0)</f>
        <v>2</v>
      </c>
      <c r="AV92" s="17" t="n">
        <f aca="false">SQRT(($B92-AV$8)^2+($C92-AV$9)^2+($D92-AV$10)^2)</f>
        <v>3.32823758224786</v>
      </c>
      <c r="AW92" s="17" t="n">
        <f aca="false">SQRT(($B92-AW$8)^2+($C92-AW$9)^2+($D92-AW$10)^2)</f>
        <v>0.692149084650694</v>
      </c>
      <c r="AX92" s="63" t="n">
        <f aca="false">MATCH(MIN(AV92:AW92),AV92:AW92,0)</f>
        <v>2</v>
      </c>
      <c r="AZ92" s="17" t="n">
        <f aca="false">SQRT(($B92-AZ$8)^2+($C92-AZ$9)^2+($D92-AZ$10)^2)</f>
        <v>3.29017765176365</v>
      </c>
      <c r="BA92" s="17" t="n">
        <f aca="false">SQRT(($B92-BA$8)^2+($C92-BA$9)^2+($D92-BA$10)^2)</f>
        <v>0.677984593220186</v>
      </c>
      <c r="BB92" s="63" t="n">
        <f aca="false">MATCH(MIN(AZ92:BA92),AZ92:BA92,0)</f>
        <v>2</v>
      </c>
      <c r="BD92" s="17" t="n">
        <f aca="false">SQRT(($B92-BD$8)^2+($C92-BD$9)^2+($D92-BD$10)^2)</f>
        <v>3.29017765176365</v>
      </c>
      <c r="BE92" s="17" t="n">
        <f aca="false">SQRT(($B92-BE$8)^2+($C92-BE$9)^2+($D92-BE$10)^2)</f>
        <v>0.677984593220186</v>
      </c>
      <c r="BF92" s="63" t="n">
        <f aca="false">MATCH(MIN(BD92:BE92),BD92:BE92,0)</f>
        <v>2</v>
      </c>
      <c r="BH92" s="17" t="n">
        <f aca="false">SQRT(($B92-BH$8)^2+($C92-BH$9)^2+($D92-BH$10)^2)</f>
        <v>3.29017765176365</v>
      </c>
      <c r="BI92" s="17" t="n">
        <f aca="false">SQRT(($B92-BI$8)^2+($C92-BI$9)^2+($D92-BI$10)^2)</f>
        <v>0.677984593220186</v>
      </c>
      <c r="BJ92" s="63" t="n">
        <f aca="false">MATCH(MIN(BH92:BI92),BH92:BI92,0)</f>
        <v>2</v>
      </c>
      <c r="BL92" s="17" t="n">
        <f aca="false">SQRT(($B92-BL$8)^2+($C92-BL$9)^2+($D92-BL$10)^2)</f>
        <v>3.29017765176365</v>
      </c>
      <c r="BM92" s="17" t="n">
        <f aca="false">SQRT(($B92-BM$8)^2+($C92-BM$9)^2+($D92-BM$10)^2)</f>
        <v>0.677984593220186</v>
      </c>
      <c r="BN92" s="63" t="n">
        <f aca="false">MATCH(MIN(BL92:BM92),BL92:BM92,0)</f>
        <v>2</v>
      </c>
      <c r="BP92" s="17" t="n">
        <f aca="false">SQRT(($B92-BP$8)^2+($C92-BP$9)^2+($D92-BP$10)^2)</f>
        <v>3.29017765176365</v>
      </c>
      <c r="BQ92" s="17" t="n">
        <f aca="false">SQRT(($B92-BQ$8)^2+($C92-BQ$9)^2+($D92-BQ$10)^2)</f>
        <v>0.677984593220186</v>
      </c>
      <c r="BR92" s="63" t="n">
        <f aca="false">MATCH(MIN(BP92:BQ92),BP92:BQ92,0)</f>
        <v>2</v>
      </c>
    </row>
    <row r="93" customFormat="false" ht="15" hidden="false" customHeight="false" outlineLevel="0" collapsed="false">
      <c r="A93" s="36" t="str">
        <f aca="false">KMeans_Data!A83</f>
        <v>Diamer</v>
      </c>
      <c r="B93" s="17" t="n">
        <f aca="false">KMeans_Data!H83</f>
        <v>-0.404409624645938</v>
      </c>
      <c r="C93" s="17" t="n">
        <f aca="false">KMeans_Data!I83</f>
        <v>-0.672650545388274</v>
      </c>
      <c r="D93" s="17" t="n">
        <f aca="false">KMeans_Data!J83</f>
        <v>0.042930091906806</v>
      </c>
      <c r="E93" s="63" t="n">
        <f aca="false">BR93</f>
        <v>2</v>
      </c>
      <c r="F93" s="38" t="n">
        <f aca="false">($B93-INDEX($L$8:$M$8,E93))^2+($C93-INDEX($L$9:$M$9,E93))^2+($D93-INDEX($L$10:$M$10,E93))^2</f>
        <v>0.308132412815899</v>
      </c>
      <c r="G93" s="17" t="n">
        <f aca="false">IF(COUNTIF(Distance_Matrix!$E$8:$DQ$8,$E93)&lt;=1,0,SUMIF(Distance_Matrix!$E$8:$DQ$8,$E93,Distance_Matrix!$E$92:$DQ$92)/(COUNTIF(Distance_Matrix!$E$8:$DQ$8,$E93)-1))</f>
        <v>1.0655898980362</v>
      </c>
      <c r="H93" s="17" t="n">
        <f aca="false">MIN(IF(1=$E93,1E+099,IF(COUNTIF(Distance_Matrix!$E$8:$DQ$8,1)=0,1E+099,SUMIF(Distance_Matrix!$E$8:$DQ$8,1,Distance_Matrix!$E$92:$DQ$92)/COUNTIF(Distance_Matrix!$E$8:$DQ$8,1))),IF(2=$E93,1E+099,IF(COUNTIF(Distance_Matrix!$E$8:$DQ$8,2)=0,1E+099,SUMIF(Distance_Matrix!$E$8:$DQ$8,2,Distance_Matrix!$E$92:$DQ$92)/COUNTIF(Distance_Matrix!$E$8:$DQ$8,2))))</f>
        <v>2.67078933943334</v>
      </c>
      <c r="I93" s="17" t="n">
        <f aca="false">IF(COUNTIF(Distance_Matrix!$E$8:$DQ$8,$E93)&lt;=1,0,(H93-G93)/MAX(G93,H93))</f>
        <v>0.601020611284048</v>
      </c>
      <c r="X93" s="17" t="n">
        <f aca="false">SQRT(($B93-X$8)^2+($C93-X$9)^2+($D93-X$10)^2)</f>
        <v>6.78483078825686</v>
      </c>
      <c r="Y93" s="17" t="n">
        <f aca="false">SQRT(($B93-Y$8)^2+($C93-Y$9)^2+($D93-Y$10)^2)</f>
        <v>2.05412603137925</v>
      </c>
      <c r="Z93" s="63" t="n">
        <f aca="false">MATCH(MIN(X93:Y93),X93:Y93,0)</f>
        <v>2</v>
      </c>
      <c r="AB93" s="17" t="n">
        <f aca="false">SQRT(($B93-AB$8)^2+($C93-AB$9)^2+($D93-AB$10)^2)</f>
        <v>4.25588047110538</v>
      </c>
      <c r="AC93" s="17" t="n">
        <f aca="false">SQRT(($B93-AC$8)^2+($C93-AC$9)^2+($D93-AC$10)^2)</f>
        <v>0.548538132661754</v>
      </c>
      <c r="AD93" s="63" t="n">
        <f aca="false">MATCH(MIN(AB93:AC93),AB93:AC93,0)</f>
        <v>2</v>
      </c>
      <c r="AF93" s="17" t="n">
        <f aca="false">SQRT(($B93-AF$8)^2+($C93-AF$9)^2+($D93-AF$10)^2)</f>
        <v>3.6484107208028</v>
      </c>
      <c r="AG93" s="17" t="n">
        <f aca="false">SQRT(($B93-AG$8)^2+($C93-AG$9)^2+($D93-AG$10)^2)</f>
        <v>0.496113162407328</v>
      </c>
      <c r="AH93" s="63" t="n">
        <f aca="false">MATCH(MIN(AF93:AG93),AF93:AG93,0)</f>
        <v>2</v>
      </c>
      <c r="AJ93" s="17" t="n">
        <f aca="false">SQRT(($B93-AJ$8)^2+($C93-AJ$9)^2+($D93-AJ$10)^2)</f>
        <v>3.03563430088967</v>
      </c>
      <c r="AK93" s="17" t="n">
        <f aca="false">SQRT(($B93-AK$8)^2+($C93-AK$9)^2+($D93-AK$10)^2)</f>
        <v>0.476208644146574</v>
      </c>
      <c r="AL93" s="63" t="n">
        <f aca="false">MATCH(MIN(AJ93:AK93),AJ93:AK93,0)</f>
        <v>2</v>
      </c>
      <c r="AN93" s="17" t="n">
        <f aca="false">SQRT(($B93-AN$8)^2+($C93-AN$9)^2+($D93-AN$10)^2)</f>
        <v>2.82326466966053</v>
      </c>
      <c r="AO93" s="17" t="n">
        <f aca="false">SQRT(($B93-AO$8)^2+($C93-AO$9)^2+($D93-AO$10)^2)</f>
        <v>0.516835767522166</v>
      </c>
      <c r="AP93" s="63" t="n">
        <f aca="false">MATCH(MIN(AN93:AO93),AN93:AO93,0)</f>
        <v>2</v>
      </c>
      <c r="AR93" s="17" t="n">
        <f aca="false">SQRT(($B93-AR$8)^2+($C93-AR$9)^2+($D93-AR$10)^2)</f>
        <v>2.69609823075193</v>
      </c>
      <c r="AS93" s="17" t="n">
        <f aca="false">SQRT(($B93-AS$8)^2+($C93-AS$9)^2+($D93-AS$10)^2)</f>
        <v>0.541291583457</v>
      </c>
      <c r="AT93" s="63" t="n">
        <f aca="false">MATCH(MIN(AR93:AS93),AR93:AS93,0)</f>
        <v>2</v>
      </c>
      <c r="AV93" s="17" t="n">
        <f aca="false">SQRT(($B93-AV$8)^2+($C93-AV$9)^2+($D93-AV$10)^2)</f>
        <v>2.65725507175227</v>
      </c>
      <c r="AW93" s="17" t="n">
        <f aca="false">SQRT(($B93-AW$8)^2+($C93-AW$9)^2+($D93-AW$10)^2)</f>
        <v>0.547154455455718</v>
      </c>
      <c r="AX93" s="63" t="n">
        <f aca="false">MATCH(MIN(AV93:AW93),AV93:AW93,0)</f>
        <v>2</v>
      </c>
      <c r="AZ93" s="17" t="n">
        <f aca="false">SQRT(($B93-AZ$8)^2+($C93-AZ$9)^2+($D93-AZ$10)^2)</f>
        <v>2.61777438477326</v>
      </c>
      <c r="BA93" s="17" t="n">
        <f aca="false">SQRT(($B93-BA$8)^2+($C93-BA$9)^2+($D93-BA$10)^2)</f>
        <v>0.555096759867952</v>
      </c>
      <c r="BB93" s="63" t="n">
        <f aca="false">MATCH(MIN(AZ93:BA93),AZ93:BA93,0)</f>
        <v>2</v>
      </c>
      <c r="BD93" s="17" t="n">
        <f aca="false">SQRT(($B93-BD$8)^2+($C93-BD$9)^2+($D93-BD$10)^2)</f>
        <v>2.61777438477326</v>
      </c>
      <c r="BE93" s="17" t="n">
        <f aca="false">SQRT(($B93-BE$8)^2+($C93-BE$9)^2+($D93-BE$10)^2)</f>
        <v>0.555096759867952</v>
      </c>
      <c r="BF93" s="63" t="n">
        <f aca="false">MATCH(MIN(BD93:BE93),BD93:BE93,0)</f>
        <v>2</v>
      </c>
      <c r="BH93" s="17" t="n">
        <f aca="false">SQRT(($B93-BH$8)^2+($C93-BH$9)^2+($D93-BH$10)^2)</f>
        <v>2.61777438477326</v>
      </c>
      <c r="BI93" s="17" t="n">
        <f aca="false">SQRT(($B93-BI$8)^2+($C93-BI$9)^2+($D93-BI$10)^2)</f>
        <v>0.555096759867952</v>
      </c>
      <c r="BJ93" s="63" t="n">
        <f aca="false">MATCH(MIN(BH93:BI93),BH93:BI93,0)</f>
        <v>2</v>
      </c>
      <c r="BL93" s="17" t="n">
        <f aca="false">SQRT(($B93-BL$8)^2+($C93-BL$9)^2+($D93-BL$10)^2)</f>
        <v>2.61777438477326</v>
      </c>
      <c r="BM93" s="17" t="n">
        <f aca="false">SQRT(($B93-BM$8)^2+($C93-BM$9)^2+($D93-BM$10)^2)</f>
        <v>0.555096759867952</v>
      </c>
      <c r="BN93" s="63" t="n">
        <f aca="false">MATCH(MIN(BL93:BM93),BL93:BM93,0)</f>
        <v>2</v>
      </c>
      <c r="BP93" s="17" t="n">
        <f aca="false">SQRT(($B93-BP$8)^2+($C93-BP$9)^2+($D93-BP$10)^2)</f>
        <v>2.61777438477326</v>
      </c>
      <c r="BQ93" s="17" t="n">
        <f aca="false">SQRT(($B93-BQ$8)^2+($C93-BQ$9)^2+($D93-BQ$10)^2)</f>
        <v>0.555096759867952</v>
      </c>
      <c r="BR93" s="63" t="n">
        <f aca="false">MATCH(MIN(BP93:BQ93),BP93:BQ93,0)</f>
        <v>2</v>
      </c>
    </row>
    <row r="94" customFormat="false" ht="15" hidden="false" customHeight="false" outlineLevel="0" collapsed="false">
      <c r="A94" s="36" t="str">
        <f aca="false">KMeans_Data!A84</f>
        <v>Hangu</v>
      </c>
      <c r="B94" s="17" t="n">
        <f aca="false">KMeans_Data!H84</f>
        <v>-0.404409624645938</v>
      </c>
      <c r="C94" s="17" t="n">
        <f aca="false">KMeans_Data!I84</f>
        <v>-0.146983133929529</v>
      </c>
      <c r="D94" s="17" t="n">
        <f aca="false">KMeans_Data!J84</f>
        <v>0.139148285405597</v>
      </c>
      <c r="E94" s="63" t="n">
        <f aca="false">BR94</f>
        <v>2</v>
      </c>
      <c r="F94" s="38" t="n">
        <f aca="false">($B94-INDEX($L$8:$M$8,E94))^2+($C94-INDEX($L$9:$M$9,E94))^2+($D94-INDEX($L$10:$M$10,E94))^2</f>
        <v>0.532562653178079</v>
      </c>
      <c r="G94" s="17" t="n">
        <f aca="false">IF(COUNTIF(Distance_Matrix!$E$8:$DQ$8,$E94)&lt;=1,0,SUMIF(Distance_Matrix!$E$8:$DQ$8,$E94,Distance_Matrix!$E$93:$DQ$93)/(COUNTIF(Distance_Matrix!$E$8:$DQ$8,$E94)-1))</f>
        <v>1.16533115243474</v>
      </c>
      <c r="H94" s="17" t="n">
        <f aca="false">MIN(IF(1=$E94,1E+099,IF(COUNTIF(Distance_Matrix!$E$8:$DQ$8,1)=0,1E+099,SUMIF(Distance_Matrix!$E$8:$DQ$8,1,Distance_Matrix!$E$93:$DQ$93)/COUNTIF(Distance_Matrix!$E$8:$DQ$8,1))),IF(2=$E94,1E+099,IF(COUNTIF(Distance_Matrix!$E$8:$DQ$8,2)=0,1E+099,SUMIF(Distance_Matrix!$E$8:$DQ$8,2,Distance_Matrix!$E$93:$DQ$93)/COUNTIF(Distance_Matrix!$E$8:$DQ$8,2))))</f>
        <v>2.29384650776005</v>
      </c>
      <c r="I94" s="17" t="n">
        <f aca="false">IF(COUNTIF(Distance_Matrix!$E$8:$DQ$8,$E94)&lt;=1,0,(H94-G94)/MAX(G94,H94))</f>
        <v>0.491975095764934</v>
      </c>
      <c r="X94" s="17" t="n">
        <f aca="false">SQRT(($B94-X$8)^2+($C94-X$9)^2+($D94-X$10)^2)</f>
        <v>6.38345263270034</v>
      </c>
      <c r="Y94" s="17" t="n">
        <f aca="false">SQRT(($B94-Y$8)^2+($C94-Y$9)^2+($D94-Y$10)^2)</f>
        <v>2.17571662845419</v>
      </c>
      <c r="Z94" s="63" t="n">
        <f aca="false">MATCH(MIN(X94:Y94),X94:Y94,0)</f>
        <v>2</v>
      </c>
      <c r="AB94" s="17" t="n">
        <f aca="false">SQRT(($B94-AB$8)^2+($C94-AB$9)^2+($D94-AB$10)^2)</f>
        <v>3.85621956000045</v>
      </c>
      <c r="AC94" s="17" t="n">
        <f aca="false">SQRT(($B94-AC$8)^2+($C94-AC$9)^2+($D94-AC$10)^2)</f>
        <v>0.38977960125152</v>
      </c>
      <c r="AD94" s="63" t="n">
        <f aca="false">MATCH(MIN(AB94:AC94),AB94:AC94,0)</f>
        <v>2</v>
      </c>
      <c r="AF94" s="17" t="n">
        <f aca="false">SQRT(($B94-AF$8)^2+($C94-AF$9)^2+($D94-AF$10)^2)</f>
        <v>3.24439935279902</v>
      </c>
      <c r="AG94" s="17" t="n">
        <f aca="false">SQRT(($B94-AG$8)^2+($C94-AG$9)^2+($D94-AG$10)^2)</f>
        <v>0.426067734699357</v>
      </c>
      <c r="AH94" s="63" t="n">
        <f aca="false">MATCH(MIN(AF94:AG94),AF94:AG94,0)</f>
        <v>2</v>
      </c>
      <c r="AJ94" s="17" t="n">
        <f aca="false">SQRT(($B94-AJ$8)^2+($C94-AJ$9)^2+($D94-AJ$10)^2)</f>
        <v>2.63049924602298</v>
      </c>
      <c r="AK94" s="17" t="n">
        <f aca="false">SQRT(($B94-AK$8)^2+($C94-AK$9)^2+($D94-AK$10)^2)</f>
        <v>0.570009095788064</v>
      </c>
      <c r="AL94" s="63" t="n">
        <f aca="false">MATCH(MIN(AJ94:AK94),AJ94:AK94,0)</f>
        <v>2</v>
      </c>
      <c r="AN94" s="17" t="n">
        <f aca="false">SQRT(($B94-AN$8)^2+($C94-AN$9)^2+($D94-AN$10)^2)</f>
        <v>2.42804216800638</v>
      </c>
      <c r="AO94" s="17" t="n">
        <f aca="false">SQRT(($B94-AO$8)^2+($C94-AO$9)^2+($D94-AO$10)^2)</f>
        <v>0.65339221843003</v>
      </c>
      <c r="AP94" s="63" t="n">
        <f aca="false">MATCH(MIN(AN94:AO94),AN94:AO94,0)</f>
        <v>2</v>
      </c>
      <c r="AR94" s="17" t="n">
        <f aca="false">SQRT(($B94-AR$8)^2+($C94-AR$9)^2+($D94-AR$10)^2)</f>
        <v>2.30325372430462</v>
      </c>
      <c r="AS94" s="17" t="n">
        <f aca="false">SQRT(($B94-AS$8)^2+($C94-AS$9)^2+($D94-AS$10)^2)</f>
        <v>0.69916962583451</v>
      </c>
      <c r="AT94" s="63" t="n">
        <f aca="false">MATCH(MIN(AR94:AS94),AR94:AS94,0)</f>
        <v>2</v>
      </c>
      <c r="AV94" s="17" t="n">
        <f aca="false">SQRT(($B94-AV$8)^2+($C94-AV$9)^2+($D94-AV$10)^2)</f>
        <v>2.26479824434154</v>
      </c>
      <c r="AW94" s="17" t="n">
        <f aca="false">SQRT(($B94-AW$8)^2+($C94-AW$9)^2+($D94-AW$10)^2)</f>
        <v>0.71275556708098</v>
      </c>
      <c r="AX94" s="63" t="n">
        <f aca="false">MATCH(MIN(AV94:AW94),AV94:AW94,0)</f>
        <v>2</v>
      </c>
      <c r="AZ94" s="17" t="n">
        <f aca="false">SQRT(($B94-AZ$8)^2+($C94-AZ$9)^2+($D94-AZ$10)^2)</f>
        <v>2.22378356327432</v>
      </c>
      <c r="BA94" s="17" t="n">
        <f aca="false">SQRT(($B94-BA$8)^2+($C94-BA$9)^2+($D94-BA$10)^2)</f>
        <v>0.729768903953902</v>
      </c>
      <c r="BB94" s="63" t="n">
        <f aca="false">MATCH(MIN(AZ94:BA94),AZ94:BA94,0)</f>
        <v>2</v>
      </c>
      <c r="BD94" s="17" t="n">
        <f aca="false">SQRT(($B94-BD$8)^2+($C94-BD$9)^2+($D94-BD$10)^2)</f>
        <v>2.22378356327432</v>
      </c>
      <c r="BE94" s="17" t="n">
        <f aca="false">SQRT(($B94-BE$8)^2+($C94-BE$9)^2+($D94-BE$10)^2)</f>
        <v>0.729768903953902</v>
      </c>
      <c r="BF94" s="63" t="n">
        <f aca="false">MATCH(MIN(BD94:BE94),BD94:BE94,0)</f>
        <v>2</v>
      </c>
      <c r="BH94" s="17" t="n">
        <f aca="false">SQRT(($B94-BH$8)^2+($C94-BH$9)^2+($D94-BH$10)^2)</f>
        <v>2.22378356327432</v>
      </c>
      <c r="BI94" s="17" t="n">
        <f aca="false">SQRT(($B94-BI$8)^2+($C94-BI$9)^2+($D94-BI$10)^2)</f>
        <v>0.729768903953902</v>
      </c>
      <c r="BJ94" s="63" t="n">
        <f aca="false">MATCH(MIN(BH94:BI94),BH94:BI94,0)</f>
        <v>2</v>
      </c>
      <c r="BL94" s="17" t="n">
        <f aca="false">SQRT(($B94-BL$8)^2+($C94-BL$9)^2+($D94-BL$10)^2)</f>
        <v>2.22378356327432</v>
      </c>
      <c r="BM94" s="17" t="n">
        <f aca="false">SQRT(($B94-BM$8)^2+($C94-BM$9)^2+($D94-BM$10)^2)</f>
        <v>0.729768903953902</v>
      </c>
      <c r="BN94" s="63" t="n">
        <f aca="false">MATCH(MIN(BL94:BM94),BL94:BM94,0)</f>
        <v>2</v>
      </c>
      <c r="BP94" s="17" t="n">
        <f aca="false">SQRT(($B94-BP$8)^2+($C94-BP$9)^2+($D94-BP$10)^2)</f>
        <v>2.22378356327432</v>
      </c>
      <c r="BQ94" s="17" t="n">
        <f aca="false">SQRT(($B94-BQ$8)^2+($C94-BQ$9)^2+($D94-BQ$10)^2)</f>
        <v>0.729768903953902</v>
      </c>
      <c r="BR94" s="63" t="n">
        <f aca="false">MATCH(MIN(BP94:BQ94),BP94:BQ94,0)</f>
        <v>2</v>
      </c>
    </row>
    <row r="95" customFormat="false" ht="15" hidden="false" customHeight="false" outlineLevel="0" collapsed="false">
      <c r="A95" s="36" t="str">
        <f aca="false">KMeans_Data!A85</f>
        <v>Mohmand</v>
      </c>
      <c r="B95" s="17" t="n">
        <f aca="false">KMeans_Data!H85</f>
        <v>-0.470943061763014</v>
      </c>
      <c r="C95" s="17" t="n">
        <f aca="false">KMeans_Data!I85</f>
        <v>-0.146983133929529</v>
      </c>
      <c r="D95" s="17" t="n">
        <f aca="false">KMeans_Data!J85</f>
        <v>-0.399845222909568</v>
      </c>
      <c r="E95" s="63" t="n">
        <f aca="false">BR95</f>
        <v>2</v>
      </c>
      <c r="F95" s="38" t="n">
        <f aca="false">($B95-INDEX($L$8:$M$8,E95))^2+($C95-INDEX($L$9:$M$9,E95))^2+($D95-INDEX($L$10:$M$10,E95))^2</f>
        <v>0.145640340006156</v>
      </c>
      <c r="G95" s="17" t="n">
        <f aca="false">IF(COUNTIF(Distance_Matrix!$E$8:$DQ$8,$E95)&lt;=1,0,SUMIF(Distance_Matrix!$E$8:$DQ$8,$E95,Distance_Matrix!$E$94:$DQ$94)/(COUNTIF(Distance_Matrix!$E$8:$DQ$8,$E95)-1))</f>
        <v>1.03505374463151</v>
      </c>
      <c r="H95" s="17" t="n">
        <f aca="false">MIN(IF(1=$E95,1E+099,IF(COUNTIF(Distance_Matrix!$E$8:$DQ$8,1)=0,1E+099,SUMIF(Distance_Matrix!$E$8:$DQ$8,1,Distance_Matrix!$E$94:$DQ$94)/COUNTIF(Distance_Matrix!$E$8:$DQ$8,1))),IF(2=$E95,1E+099,IF(COUNTIF(Distance_Matrix!$E$8:$DQ$8,2)=0,1E+099,SUMIF(Distance_Matrix!$E$8:$DQ$8,2,Distance_Matrix!$E$94:$DQ$94)/COUNTIF(Distance_Matrix!$E$8:$DQ$8,2))))</f>
        <v>2.61956455473787</v>
      </c>
      <c r="I95" s="17" t="n">
        <f aca="false">IF(COUNTIF(Distance_Matrix!$E$8:$DQ$8,$E95)&lt;=1,0,(H95-G95)/MAX(G95,H95))</f>
        <v>0.604875648985455</v>
      </c>
      <c r="X95" s="17" t="n">
        <f aca="false">SQRT(($B95-X$8)^2+($C95-X$9)^2+($D95-X$10)^2)</f>
        <v>6.6999482057459</v>
      </c>
      <c r="Y95" s="17" t="n">
        <f aca="false">SQRT(($B95-Y$8)^2+($C95-Y$9)^2+($D95-Y$10)^2)</f>
        <v>1.84953056521099</v>
      </c>
      <c r="Z95" s="63" t="n">
        <f aca="false">MATCH(MIN(X95:Y95),X95:Y95,0)</f>
        <v>2</v>
      </c>
      <c r="AB95" s="17" t="n">
        <f aca="false">SQRT(($B95-AB$8)^2+($C95-AB$9)^2+($D95-AB$10)^2)</f>
        <v>4.1645431829528</v>
      </c>
      <c r="AC95" s="17" t="n">
        <f aca="false">SQRT(($B95-AC$8)^2+($C95-AC$9)^2+($D95-AC$10)^2)</f>
        <v>0.371667667415206</v>
      </c>
      <c r="AD95" s="63" t="n">
        <f aca="false">MATCH(MIN(AB95:AC95),AB95:AC95,0)</f>
        <v>2</v>
      </c>
      <c r="AF95" s="17" t="n">
        <f aca="false">SQRT(($B95-AF$8)^2+($C95-AF$9)^2+($D95-AF$10)^2)</f>
        <v>3.5488034205531</v>
      </c>
      <c r="AG95" s="17" t="n">
        <f aca="false">SQRT(($B95-AG$8)^2+($C95-AG$9)^2+($D95-AG$10)^2)</f>
        <v>0.324679322481979</v>
      </c>
      <c r="AH95" s="63" t="n">
        <f aca="false">MATCH(MIN(AF95:AG95),AF95:AG95,0)</f>
        <v>2</v>
      </c>
      <c r="AJ95" s="17" t="n">
        <f aca="false">SQRT(($B95-AJ$8)^2+($C95-AJ$9)^2+($D95-AJ$10)^2)</f>
        <v>2.94823358740532</v>
      </c>
      <c r="AK95" s="17" t="n">
        <f aca="false">SQRT(($B95-AK$8)^2+($C95-AK$9)^2+($D95-AK$10)^2)</f>
        <v>0.309840736684951</v>
      </c>
      <c r="AL95" s="63" t="n">
        <f aca="false">MATCH(MIN(AJ95:AK95),AJ95:AK95,0)</f>
        <v>2</v>
      </c>
      <c r="AN95" s="17" t="n">
        <f aca="false">SQRT(($B95-AN$8)^2+($C95-AN$9)^2+($D95-AN$10)^2)</f>
        <v>2.75572681769153</v>
      </c>
      <c r="AO95" s="17" t="n">
        <f aca="false">SQRT(($B95-AO$8)^2+($C95-AO$9)^2+($D95-AO$10)^2)</f>
        <v>0.329352453263579</v>
      </c>
      <c r="AP95" s="63" t="n">
        <f aca="false">MATCH(MIN(AN95:AO95),AN95:AO95,0)</f>
        <v>2</v>
      </c>
      <c r="AR95" s="17" t="n">
        <f aca="false">SQRT(($B95-AR$8)^2+($C95-AR$9)^2+($D95-AR$10)^2)</f>
        <v>2.63273238705542</v>
      </c>
      <c r="AS95" s="17" t="n">
        <f aca="false">SQRT(($B95-AS$8)^2+($C95-AS$9)^2+($D95-AS$10)^2)</f>
        <v>0.356047675258072</v>
      </c>
      <c r="AT95" s="63" t="n">
        <f aca="false">MATCH(MIN(AR95:AS95),AR95:AS95,0)</f>
        <v>2</v>
      </c>
      <c r="AV95" s="17" t="n">
        <f aca="false">SQRT(($B95-AV$8)^2+($C95-AV$9)^2+($D95-AV$10)^2)</f>
        <v>2.59322146193589</v>
      </c>
      <c r="AW95" s="17" t="n">
        <f aca="false">SQRT(($B95-AW$8)^2+($C95-AW$9)^2+($D95-AW$10)^2)</f>
        <v>0.366905008352457</v>
      </c>
      <c r="AX95" s="63" t="n">
        <f aca="false">MATCH(MIN(AV95:AW95),AV95:AW95,0)</f>
        <v>2</v>
      </c>
      <c r="AZ95" s="17" t="n">
        <f aca="false">SQRT(($B95-AZ$8)^2+($C95-AZ$9)^2+($D95-AZ$10)^2)</f>
        <v>2.55266994953942</v>
      </c>
      <c r="BA95" s="17" t="n">
        <f aca="false">SQRT(($B95-BA$8)^2+($C95-BA$9)^2+($D95-BA$10)^2)</f>
        <v>0.381628536676905</v>
      </c>
      <c r="BB95" s="63" t="n">
        <f aca="false">MATCH(MIN(AZ95:BA95),AZ95:BA95,0)</f>
        <v>2</v>
      </c>
      <c r="BD95" s="17" t="n">
        <f aca="false">SQRT(($B95-BD$8)^2+($C95-BD$9)^2+($D95-BD$10)^2)</f>
        <v>2.55266994953942</v>
      </c>
      <c r="BE95" s="17" t="n">
        <f aca="false">SQRT(($B95-BE$8)^2+($C95-BE$9)^2+($D95-BE$10)^2)</f>
        <v>0.381628536676905</v>
      </c>
      <c r="BF95" s="63" t="n">
        <f aca="false">MATCH(MIN(BD95:BE95),BD95:BE95,0)</f>
        <v>2</v>
      </c>
      <c r="BH95" s="17" t="n">
        <f aca="false">SQRT(($B95-BH$8)^2+($C95-BH$9)^2+($D95-BH$10)^2)</f>
        <v>2.55266994953942</v>
      </c>
      <c r="BI95" s="17" t="n">
        <f aca="false">SQRT(($B95-BI$8)^2+($C95-BI$9)^2+($D95-BI$10)^2)</f>
        <v>0.381628536676905</v>
      </c>
      <c r="BJ95" s="63" t="n">
        <f aca="false">MATCH(MIN(BH95:BI95),BH95:BI95,0)</f>
        <v>2</v>
      </c>
      <c r="BL95" s="17" t="n">
        <f aca="false">SQRT(($B95-BL$8)^2+($C95-BL$9)^2+($D95-BL$10)^2)</f>
        <v>2.55266994953942</v>
      </c>
      <c r="BM95" s="17" t="n">
        <f aca="false">SQRT(($B95-BM$8)^2+($C95-BM$9)^2+($D95-BM$10)^2)</f>
        <v>0.381628536676905</v>
      </c>
      <c r="BN95" s="63" t="n">
        <f aca="false">MATCH(MIN(BL95:BM95),BL95:BM95,0)</f>
        <v>2</v>
      </c>
      <c r="BP95" s="17" t="n">
        <f aca="false">SQRT(($B95-BP$8)^2+($C95-BP$9)^2+($D95-BP$10)^2)</f>
        <v>2.55266994953942</v>
      </c>
      <c r="BQ95" s="17" t="n">
        <f aca="false">SQRT(($B95-BQ$8)^2+($C95-BQ$9)^2+($D95-BQ$10)^2)</f>
        <v>0.381628536676905</v>
      </c>
      <c r="BR95" s="63" t="n">
        <f aca="false">MATCH(MIN(BP95:BQ95),BP95:BQ95,0)</f>
        <v>2</v>
      </c>
    </row>
    <row r="96" customFormat="false" ht="15" hidden="false" customHeight="false" outlineLevel="0" collapsed="false">
      <c r="A96" s="36" t="str">
        <f aca="false">KMeans_Data!A86</f>
        <v>Bahawal Nagar</v>
      </c>
      <c r="B96" s="17" t="n">
        <f aca="false">KMeans_Data!H86</f>
        <v>-0.470943061763014</v>
      </c>
      <c r="C96" s="17" t="n">
        <f aca="false">KMeans_Data!I86</f>
        <v>-0.672650545388274</v>
      </c>
      <c r="D96" s="17" t="n">
        <f aca="false">KMeans_Data!J86</f>
        <v>-0.399845222909568</v>
      </c>
      <c r="E96" s="63" t="n">
        <f aca="false">BR96</f>
        <v>2</v>
      </c>
      <c r="F96" s="38" t="n">
        <f aca="false">($B96-INDEX($L$8:$M$8,E96))^2+($C96-INDEX($L$9:$M$9,E96))^2+($D96-INDEX($L$10:$M$10,E96))^2</f>
        <v>0.0327289993173677</v>
      </c>
      <c r="G96" s="17" t="n">
        <f aca="false">IF(COUNTIF(Distance_Matrix!$E$8:$DQ$8,$E96)&lt;=1,0,SUMIF(Distance_Matrix!$E$8:$DQ$8,$E96,Distance_Matrix!$E$95:$DQ$95)/(COUNTIF(Distance_Matrix!$E$8:$DQ$8,$E96)-1))</f>
        <v>0.951148996009591</v>
      </c>
      <c r="H96" s="17" t="n">
        <f aca="false">MIN(IF(1=$E96,1E+099,IF(COUNTIF(Distance_Matrix!$E$8:$DQ$8,1)=0,1E+099,SUMIF(Distance_Matrix!$E$8:$DQ$8,1,Distance_Matrix!$E$95:$DQ$95)/COUNTIF(Distance_Matrix!$E$8:$DQ$8,1))),IF(2=$E96,1E+099,IF(COUNTIF(Distance_Matrix!$E$8:$DQ$8,2)=0,1E+099,SUMIF(Distance_Matrix!$E$8:$DQ$8,2,Distance_Matrix!$E$95:$DQ$95)/COUNTIF(Distance_Matrix!$E$8:$DQ$8,2))))</f>
        <v>2.91768520115589</v>
      </c>
      <c r="I96" s="17" t="n">
        <f aca="false">IF(COUNTIF(Distance_Matrix!$E$8:$DQ$8,$E96)&lt;=1,0,(H96-G96)/MAX(G96,H96))</f>
        <v>0.674005613891184</v>
      </c>
      <c r="X96" s="17" t="n">
        <f aca="false">SQRT(($B96-X$8)^2+($C96-X$9)^2+($D96-X$10)^2)</f>
        <v>7.04033708091628</v>
      </c>
      <c r="Y96" s="17" t="n">
        <f aca="false">SQRT(($B96-Y$8)^2+($C96-Y$9)^2+($D96-Y$10)^2)</f>
        <v>1.77325606841763</v>
      </c>
      <c r="Z96" s="63" t="n">
        <f aca="false">MATCH(MIN(X96:Y96),X96:Y96,0)</f>
        <v>2</v>
      </c>
      <c r="AB96" s="17" t="n">
        <f aca="false">SQRT(($B96-AB$8)^2+($C96-AB$9)^2+($D96-AB$10)^2)</f>
        <v>4.4993267836966</v>
      </c>
      <c r="AC96" s="17" t="n">
        <f aca="false">SQRT(($B96-AC$8)^2+($C96-AC$9)^2+($D96-AC$10)^2)</f>
        <v>0.581533818253063</v>
      </c>
      <c r="AD96" s="63" t="n">
        <f aca="false">MATCH(MIN(AB96:AC96),AB96:AC96,0)</f>
        <v>2</v>
      </c>
      <c r="AF96" s="17" t="n">
        <f aca="false">SQRT(($B96-AF$8)^2+($C96-AF$9)^2+($D96-AF$10)^2)</f>
        <v>3.88599933240064</v>
      </c>
      <c r="AG96" s="17" t="n">
        <f aca="false">SQRT(($B96-AG$8)^2+($C96-AG$9)^2+($D96-AG$10)^2)</f>
        <v>0.480580987918926</v>
      </c>
      <c r="AH96" s="63" t="n">
        <f aca="false">MATCH(MIN(AF96:AG96),AF96:AG96,0)</f>
        <v>2</v>
      </c>
      <c r="AJ96" s="17" t="n">
        <f aca="false">SQRT(($B96-AJ$8)^2+($C96-AJ$9)^2+($D96-AJ$10)^2)</f>
        <v>3.27923984048296</v>
      </c>
      <c r="AK96" s="17" t="n">
        <f aca="false">SQRT(($B96-AK$8)^2+($C96-AK$9)^2+($D96-AK$10)^2)</f>
        <v>0.289467341007926</v>
      </c>
      <c r="AL96" s="63" t="n">
        <f aca="false">MATCH(MIN(AJ96:AK96),AJ96:AK96,0)</f>
        <v>2</v>
      </c>
      <c r="AN96" s="17" t="n">
        <f aca="false">SQRT(($B96-AN$8)^2+($C96-AN$9)^2+($D96-AN$10)^2)</f>
        <v>3.07352243134915</v>
      </c>
      <c r="AO96" s="17" t="n">
        <f aca="false">SQRT(($B96-AO$8)^2+($C96-AO$9)^2+($D96-AO$10)^2)</f>
        <v>0.221589365527765</v>
      </c>
      <c r="AP96" s="63" t="n">
        <f aca="false">MATCH(MIN(AN96:AO96),AN96:AO96,0)</f>
        <v>2</v>
      </c>
      <c r="AR96" s="17" t="n">
        <f aca="false">SQRT(($B96-AR$8)^2+($C96-AR$9)^2+($D96-AR$10)^2)</f>
        <v>2.94682723035373</v>
      </c>
      <c r="AS96" s="17" t="n">
        <f aca="false">SQRT(($B96-AS$8)^2+($C96-AS$9)^2+($D96-AS$10)^2)</f>
        <v>0.195965780936981</v>
      </c>
      <c r="AT96" s="63" t="n">
        <f aca="false">MATCH(MIN(AR96:AS96),AR96:AS96,0)</f>
        <v>2</v>
      </c>
      <c r="AV96" s="17" t="n">
        <f aca="false">SQRT(($B96-AV$8)^2+($C96-AV$9)^2+($D96-AV$10)^2)</f>
        <v>2.90691343902043</v>
      </c>
      <c r="AW96" s="17" t="n">
        <f aca="false">SQRT(($B96-AW$8)^2+($C96-AW$9)^2+($D96-AW$10)^2)</f>
        <v>0.187615466957959</v>
      </c>
      <c r="AX96" s="63" t="n">
        <f aca="false">MATCH(MIN(AV96:AW96),AV96:AW96,0)</f>
        <v>2</v>
      </c>
      <c r="AZ96" s="17" t="n">
        <f aca="false">SQRT(($B96-AZ$8)^2+($C96-AZ$9)^2+($D96-AZ$10)^2)</f>
        <v>2.86721899623934</v>
      </c>
      <c r="BA96" s="17" t="n">
        <f aca="false">SQRT(($B96-BA$8)^2+($C96-BA$9)^2+($D96-BA$10)^2)</f>
        <v>0.180911578726647</v>
      </c>
      <c r="BB96" s="63" t="n">
        <f aca="false">MATCH(MIN(AZ96:BA96),AZ96:BA96,0)</f>
        <v>2</v>
      </c>
      <c r="BD96" s="17" t="n">
        <f aca="false">SQRT(($B96-BD$8)^2+($C96-BD$9)^2+($D96-BD$10)^2)</f>
        <v>2.86721899623934</v>
      </c>
      <c r="BE96" s="17" t="n">
        <f aca="false">SQRT(($B96-BE$8)^2+($C96-BE$9)^2+($D96-BE$10)^2)</f>
        <v>0.180911578726647</v>
      </c>
      <c r="BF96" s="63" t="n">
        <f aca="false">MATCH(MIN(BD96:BE96),BD96:BE96,0)</f>
        <v>2</v>
      </c>
      <c r="BH96" s="17" t="n">
        <f aca="false">SQRT(($B96-BH$8)^2+($C96-BH$9)^2+($D96-BH$10)^2)</f>
        <v>2.86721899623934</v>
      </c>
      <c r="BI96" s="17" t="n">
        <f aca="false">SQRT(($B96-BI$8)^2+($C96-BI$9)^2+($D96-BI$10)^2)</f>
        <v>0.180911578726647</v>
      </c>
      <c r="BJ96" s="63" t="n">
        <f aca="false">MATCH(MIN(BH96:BI96),BH96:BI96,0)</f>
        <v>2</v>
      </c>
      <c r="BL96" s="17" t="n">
        <f aca="false">SQRT(($B96-BL$8)^2+($C96-BL$9)^2+($D96-BL$10)^2)</f>
        <v>2.86721899623934</v>
      </c>
      <c r="BM96" s="17" t="n">
        <f aca="false">SQRT(($B96-BM$8)^2+($C96-BM$9)^2+($D96-BM$10)^2)</f>
        <v>0.180911578726647</v>
      </c>
      <c r="BN96" s="63" t="n">
        <f aca="false">MATCH(MIN(BL96:BM96),BL96:BM96,0)</f>
        <v>2</v>
      </c>
      <c r="BP96" s="17" t="n">
        <f aca="false">SQRT(($B96-BP$8)^2+($C96-BP$9)^2+($D96-BP$10)^2)</f>
        <v>2.86721899623934</v>
      </c>
      <c r="BQ96" s="17" t="n">
        <f aca="false">SQRT(($B96-BQ$8)^2+($C96-BQ$9)^2+($D96-BQ$10)^2)</f>
        <v>0.180911578726647</v>
      </c>
      <c r="BR96" s="63" t="n">
        <f aca="false">MATCH(MIN(BP96:BQ96),BP96:BQ96,0)</f>
        <v>2</v>
      </c>
    </row>
    <row r="97" customFormat="false" ht="15" hidden="false" customHeight="false" outlineLevel="0" collapsed="false">
      <c r="A97" s="36" t="str">
        <f aca="false">KMeans_Data!A87</f>
        <v>Ghizer</v>
      </c>
      <c r="B97" s="17" t="n">
        <f aca="false">KMeans_Data!H87</f>
        <v>-0.520549152721336</v>
      </c>
      <c r="C97" s="17" t="n">
        <f aca="false">KMeans_Data!I87</f>
        <v>-0.672650545388274</v>
      </c>
      <c r="D97" s="17" t="n">
        <f aca="false">KMeans_Data!J87</f>
        <v>-0.503247915463979</v>
      </c>
      <c r="E97" s="63" t="n">
        <f aca="false">BR97</f>
        <v>2</v>
      </c>
      <c r="F97" s="38" t="n">
        <f aca="false">($B97-INDEX($L$8:$M$8,E97))^2+($C97-INDEX($L$9:$M$9,E97))^2+($D97-INDEX($L$10:$M$10,E97))^2</f>
        <v>0.0302049122529138</v>
      </c>
      <c r="G97" s="17" t="n">
        <f aca="false">IF(COUNTIF(Distance_Matrix!$E$8:$DQ$8,$E97)&lt;=1,0,SUMIF(Distance_Matrix!$E$8:$DQ$8,$E97,Distance_Matrix!$E$96:$DQ$96)/(COUNTIF(Distance_Matrix!$E$8:$DQ$8,$E97)-1))</f>
        <v>0.948659795014787</v>
      </c>
      <c r="H97" s="17" t="n">
        <f aca="false">MIN(IF(1=$E97,1E+099,IF(COUNTIF(Distance_Matrix!$E$8:$DQ$8,1)=0,1E+099,SUMIF(Distance_Matrix!$E$8:$DQ$8,1,Distance_Matrix!$E$96:$DQ$96)/COUNTIF(Distance_Matrix!$E$8:$DQ$8,1))),IF(2=$E97,1E+099,IF(COUNTIF(Distance_Matrix!$E$8:$DQ$8,2)=0,1E+099,SUMIF(Distance_Matrix!$E$8:$DQ$8,2,Distance_Matrix!$E$96:$DQ$96)/COUNTIF(Distance_Matrix!$E$8:$DQ$8,2))))</f>
        <v>3.00028230348639</v>
      </c>
      <c r="I97" s="17" t="n">
        <f aca="false">IF(COUNTIF(Distance_Matrix!$E$8:$DQ$8,$E97)&lt;=1,0,(H97-G97)/MAX(G97,H97))</f>
        <v>0.683809822191591</v>
      </c>
      <c r="X97" s="17" t="n">
        <f aca="false">SQRT(($B97-X$8)^2+($C97-X$9)^2+($D97-X$10)^2)</f>
        <v>7.12084562266141</v>
      </c>
      <c r="Y97" s="17" t="n">
        <f aca="false">SQRT(($B97-Y$8)^2+($C97-Y$9)^2+($D97-Y$10)^2)</f>
        <v>1.68634002609964</v>
      </c>
      <c r="Z97" s="63" t="n">
        <f aca="false">MATCH(MIN(X97:Y97),X97:Y97,0)</f>
        <v>2</v>
      </c>
      <c r="AB97" s="17" t="n">
        <f aca="false">SQRT(($B97-AB$8)^2+($C97-AB$9)^2+($D97-AB$10)^2)</f>
        <v>4.57911326547451</v>
      </c>
      <c r="AC97" s="17" t="n">
        <f aca="false">SQRT(($B97-AC$8)^2+($C97-AC$9)^2+($D97-AC$10)^2)</f>
        <v>0.652975362719438</v>
      </c>
      <c r="AD97" s="63" t="n">
        <f aca="false">MATCH(MIN(AB97:AC97),AB97:AC97,0)</f>
        <v>2</v>
      </c>
      <c r="AF97" s="17" t="n">
        <f aca="false">SQRT(($B97-AF$8)^2+($C97-AF$9)^2+($D97-AF$10)^2)</f>
        <v>3.96498691959666</v>
      </c>
      <c r="AG97" s="17" t="n">
        <f aca="false">SQRT(($B97-AG$8)^2+($C97-AG$9)^2+($D97-AG$10)^2)</f>
        <v>0.550721689770465</v>
      </c>
      <c r="AH97" s="63" t="n">
        <f aca="false">MATCH(MIN(AF97:AG97),AF97:AG97,0)</f>
        <v>2</v>
      </c>
      <c r="AJ97" s="17" t="n">
        <f aca="false">SQRT(($B97-AJ$8)^2+($C97-AJ$9)^2+($D97-AJ$10)^2)</f>
        <v>3.35983822746326</v>
      </c>
      <c r="AK97" s="17" t="n">
        <f aca="false">SQRT(($B97-AK$8)^2+($C97-AK$9)^2+($D97-AK$10)^2)</f>
        <v>0.345964117644206</v>
      </c>
      <c r="AL97" s="63" t="n">
        <f aca="false">MATCH(MIN(AJ97:AK97),AJ97:AK97,0)</f>
        <v>2</v>
      </c>
      <c r="AN97" s="17" t="n">
        <f aca="false">SQRT(($B97-AN$8)^2+($C97-AN$9)^2+($D97-AN$10)^2)</f>
        <v>3.15619345584496</v>
      </c>
      <c r="AO97" s="17" t="n">
        <f aca="false">SQRT(($B97-AO$8)^2+($C97-AO$9)^2+($D97-AO$10)^2)</f>
        <v>0.251469467726335</v>
      </c>
      <c r="AP97" s="63" t="n">
        <f aca="false">MATCH(MIN(AN97:AO97),AN97:AO97,0)</f>
        <v>2</v>
      </c>
      <c r="AR97" s="17" t="n">
        <f aca="false">SQRT(($B97-AR$8)^2+($C97-AR$9)^2+($D97-AR$10)^2)</f>
        <v>3.02992487636835</v>
      </c>
      <c r="AS97" s="17" t="n">
        <f aca="false">SQRT(($B97-AS$8)^2+($C97-AS$9)^2+($D97-AS$10)^2)</f>
        <v>0.204604530916122</v>
      </c>
      <c r="AT97" s="63" t="n">
        <f aca="false">MATCH(MIN(AR97:AS97),AR97:AS97,0)</f>
        <v>2</v>
      </c>
      <c r="AV97" s="17" t="n">
        <f aca="false">SQRT(($B97-AV$8)^2+($C97-AV$9)^2+($D97-AV$10)^2)</f>
        <v>2.98992986792991</v>
      </c>
      <c r="AW97" s="17" t="n">
        <f aca="false">SQRT(($B97-AW$8)^2+($C97-AW$9)^2+($D97-AW$10)^2)</f>
        <v>0.188770177905868</v>
      </c>
      <c r="AX97" s="63" t="n">
        <f aca="false">MATCH(MIN(AV97:AW97),AV97:AW97,0)</f>
        <v>2</v>
      </c>
      <c r="AZ97" s="17" t="n">
        <f aca="false">SQRT(($B97-AZ$8)^2+($C97-AZ$9)^2+($D97-AZ$10)^2)</f>
        <v>2.95015883853817</v>
      </c>
      <c r="BA97" s="17" t="n">
        <f aca="false">SQRT(($B97-BA$8)^2+($C97-BA$9)^2+($D97-BA$10)^2)</f>
        <v>0.173795604814719</v>
      </c>
      <c r="BB97" s="63" t="n">
        <f aca="false">MATCH(MIN(AZ97:BA97),AZ97:BA97,0)</f>
        <v>2</v>
      </c>
      <c r="BD97" s="17" t="n">
        <f aca="false">SQRT(($B97-BD$8)^2+($C97-BD$9)^2+($D97-BD$10)^2)</f>
        <v>2.95015883853817</v>
      </c>
      <c r="BE97" s="17" t="n">
        <f aca="false">SQRT(($B97-BE$8)^2+($C97-BE$9)^2+($D97-BE$10)^2)</f>
        <v>0.173795604814719</v>
      </c>
      <c r="BF97" s="63" t="n">
        <f aca="false">MATCH(MIN(BD97:BE97),BD97:BE97,0)</f>
        <v>2</v>
      </c>
      <c r="BH97" s="17" t="n">
        <f aca="false">SQRT(($B97-BH$8)^2+($C97-BH$9)^2+($D97-BH$10)^2)</f>
        <v>2.95015883853817</v>
      </c>
      <c r="BI97" s="17" t="n">
        <f aca="false">SQRT(($B97-BI$8)^2+($C97-BI$9)^2+($D97-BI$10)^2)</f>
        <v>0.173795604814719</v>
      </c>
      <c r="BJ97" s="63" t="n">
        <f aca="false">MATCH(MIN(BH97:BI97),BH97:BI97,0)</f>
        <v>2</v>
      </c>
      <c r="BL97" s="17" t="n">
        <f aca="false">SQRT(($B97-BL$8)^2+($C97-BL$9)^2+($D97-BL$10)^2)</f>
        <v>2.95015883853817</v>
      </c>
      <c r="BM97" s="17" t="n">
        <f aca="false">SQRT(($B97-BM$8)^2+($C97-BM$9)^2+($D97-BM$10)^2)</f>
        <v>0.173795604814719</v>
      </c>
      <c r="BN97" s="63" t="n">
        <f aca="false">MATCH(MIN(BL97:BM97),BL97:BM97,0)</f>
        <v>2</v>
      </c>
      <c r="BP97" s="17" t="n">
        <f aca="false">SQRT(($B97-BP$8)^2+($C97-BP$9)^2+($D97-BP$10)^2)</f>
        <v>2.95015883853817</v>
      </c>
      <c r="BQ97" s="17" t="n">
        <f aca="false">SQRT(($B97-BQ$8)^2+($C97-BQ$9)^2+($D97-BQ$10)^2)</f>
        <v>0.173795604814719</v>
      </c>
      <c r="BR97" s="63" t="n">
        <f aca="false">MATCH(MIN(BP97:BQ97),BP97:BQ97,0)</f>
        <v>2</v>
      </c>
    </row>
    <row r="98" customFormat="false" ht="15" hidden="false" customHeight="false" outlineLevel="0" collapsed="false">
      <c r="A98" s="36" t="str">
        <f aca="false">KMeans_Data!A88</f>
        <v>Mianwali</v>
      </c>
      <c r="B98" s="17" t="n">
        <f aca="false">KMeans_Data!H88</f>
        <v>-0.547245774552967</v>
      </c>
      <c r="C98" s="17" t="n">
        <f aca="false">KMeans_Data!I88</f>
        <v>-0.672650545388274</v>
      </c>
      <c r="D98" s="17" t="n">
        <f aca="false">KMeans_Data!J88</f>
        <v>-0.824446015898766</v>
      </c>
      <c r="E98" s="63" t="n">
        <f aca="false">BR98</f>
        <v>2</v>
      </c>
      <c r="F98" s="38" t="n">
        <f aca="false">($B98-INDEX($L$8:$M$8,E98))^2+($C98-INDEX($L$9:$M$9,E98))^2+($D98-INDEX($L$10:$M$10,E98))^2</f>
        <v>0.147653827254216</v>
      </c>
      <c r="G98" s="17" t="n">
        <f aca="false">IF(COUNTIF(Distance_Matrix!$E$8:$DQ$8,$E98)&lt;=1,0,SUMIF(Distance_Matrix!$E$8:$DQ$8,$E98,Distance_Matrix!$E$97:$DQ$97)/(COUNTIF(Distance_Matrix!$E$8:$DQ$8,$E98)-1))</f>
        <v>0.985017056686761</v>
      </c>
      <c r="H98" s="17" t="n">
        <f aca="false">MIN(IF(1=$E98,1E+099,IF(COUNTIF(Distance_Matrix!$E$8:$DQ$8,1)=0,1E+099,SUMIF(Distance_Matrix!$E$8:$DQ$8,1,Distance_Matrix!$E$97:$DQ$97)/COUNTIF(Distance_Matrix!$E$8:$DQ$8,1))),IF(2=$E98,1E+099,IF(COUNTIF(Distance_Matrix!$E$8:$DQ$8,2)=0,1E+099,SUMIF(Distance_Matrix!$E$8:$DQ$8,2,Distance_Matrix!$E$97:$DQ$97)/COUNTIF(Distance_Matrix!$E$8:$DQ$8,2))))</f>
        <v>3.20594111482447</v>
      </c>
      <c r="I98" s="17" t="n">
        <f aca="false">IF(COUNTIF(Distance_Matrix!$E$8:$DQ$8,$E98)&lt;=1,0,(H98-G98)/MAX(G98,H98))</f>
        <v>0.692752604802384</v>
      </c>
      <c r="X98" s="17" t="n">
        <f aca="false">SQRT(($B98-X$8)^2+($C98-X$9)^2+($D98-X$10)^2)</f>
        <v>7.30929257984732</v>
      </c>
      <c r="Y98" s="17" t="n">
        <f aca="false">SQRT(($B98-Y$8)^2+($C98-Y$9)^2+($D98-Y$10)^2)</f>
        <v>1.56579072196957</v>
      </c>
      <c r="Z98" s="63" t="n">
        <f aca="false">MATCH(MIN(X98:Y98),X98:Y98,0)</f>
        <v>2</v>
      </c>
      <c r="AB98" s="17" t="n">
        <f aca="false">SQRT(($B98-AB$8)^2+($C98-AB$9)^2+($D98-AB$10)^2)</f>
        <v>4.76732245522473</v>
      </c>
      <c r="AC98" s="17" t="n">
        <f aca="false">SQRT(($B98-AC$8)^2+($C98-AC$9)^2+($D98-AC$10)^2)</f>
        <v>0.871467264884895</v>
      </c>
      <c r="AD98" s="63" t="n">
        <f aca="false">MATCH(MIN(AB98:AC98),AB98:AC98,0)</f>
        <v>2</v>
      </c>
      <c r="AF98" s="17" t="n">
        <f aca="false">SQRT(($B98-AF$8)^2+($C98-AF$9)^2+($D98-AF$10)^2)</f>
        <v>4.15308358098173</v>
      </c>
      <c r="AG98" s="17" t="n">
        <f aca="false">SQRT(($B98-AG$8)^2+($C98-AG$9)^2+($D98-AG$10)^2)</f>
        <v>0.774985982277675</v>
      </c>
      <c r="AH98" s="63" t="n">
        <f aca="false">MATCH(MIN(AF98:AG98),AF98:AG98,0)</f>
        <v>2</v>
      </c>
      <c r="AJ98" s="17" t="n">
        <f aca="false">SQRT(($B98-AJ$8)^2+($C98-AJ$9)^2+($D98-AJ$10)^2)</f>
        <v>3.55661084019094</v>
      </c>
      <c r="AK98" s="17" t="n">
        <f aca="false">SQRT(($B98-AK$8)^2+($C98-AK$9)^2+($D98-AK$10)^2)</f>
        <v>0.573107759135417</v>
      </c>
      <c r="AL98" s="63" t="n">
        <f aca="false">MATCH(MIN(AJ98:AK98),AJ98:AK98,0)</f>
        <v>2</v>
      </c>
      <c r="AN98" s="17" t="n">
        <f aca="false">SQRT(($B98-AN$8)^2+($C98-AN$9)^2+($D98-AN$10)^2)</f>
        <v>3.3586534736183</v>
      </c>
      <c r="AO98" s="17" t="n">
        <f aca="false">SQRT(($B98-AO$8)^2+($C98-AO$9)^2+($D98-AO$10)^2)</f>
        <v>0.469310639297198</v>
      </c>
      <c r="AP98" s="63" t="n">
        <f aca="false">MATCH(MIN(AN98:AO98),AN98:AO98,0)</f>
        <v>2</v>
      </c>
      <c r="AR98" s="17" t="n">
        <f aca="false">SQRT(($B98-AR$8)^2+($C98-AR$9)^2+($D98-AR$10)^2)</f>
        <v>3.23386902837999</v>
      </c>
      <c r="AS98" s="17" t="n">
        <f aca="false">SQRT(($B98-AS$8)^2+($C98-AS$9)^2+($D98-AS$10)^2)</f>
        <v>0.416767794719572</v>
      </c>
      <c r="AT98" s="63" t="n">
        <f aca="false">MATCH(MIN(AR98:AS98),AR98:AS98,0)</f>
        <v>2</v>
      </c>
      <c r="AV98" s="17" t="n">
        <f aca="false">SQRT(($B98-AV$8)^2+($C98-AV$9)^2+($D98-AV$10)^2)</f>
        <v>3.19361949678011</v>
      </c>
      <c r="AW98" s="17" t="n">
        <f aca="false">SQRT(($B98-AW$8)^2+($C98-AW$9)^2+($D98-AW$10)^2)</f>
        <v>0.401263481390653</v>
      </c>
      <c r="AX98" s="63" t="n">
        <f aca="false">MATCH(MIN(AV98:AW98),AV98:AW98,0)</f>
        <v>2</v>
      </c>
      <c r="AZ98" s="17" t="n">
        <f aca="false">SQRT(($B98-AZ$8)^2+($C98-AZ$9)^2+($D98-AZ$10)^2)</f>
        <v>3.15422495113363</v>
      </c>
      <c r="BA98" s="17" t="n">
        <f aca="false">SQRT(($B98-BA$8)^2+($C98-BA$9)^2+($D98-BA$10)^2)</f>
        <v>0.384257501233503</v>
      </c>
      <c r="BB98" s="63" t="n">
        <f aca="false">MATCH(MIN(AZ98:BA98),AZ98:BA98,0)</f>
        <v>2</v>
      </c>
      <c r="BD98" s="17" t="n">
        <f aca="false">SQRT(($B98-BD$8)^2+($C98-BD$9)^2+($D98-BD$10)^2)</f>
        <v>3.15422495113363</v>
      </c>
      <c r="BE98" s="17" t="n">
        <f aca="false">SQRT(($B98-BE$8)^2+($C98-BE$9)^2+($D98-BE$10)^2)</f>
        <v>0.384257501233503</v>
      </c>
      <c r="BF98" s="63" t="n">
        <f aca="false">MATCH(MIN(BD98:BE98),BD98:BE98,0)</f>
        <v>2</v>
      </c>
      <c r="BH98" s="17" t="n">
        <f aca="false">SQRT(($B98-BH$8)^2+($C98-BH$9)^2+($D98-BH$10)^2)</f>
        <v>3.15422495113363</v>
      </c>
      <c r="BI98" s="17" t="n">
        <f aca="false">SQRT(($B98-BI$8)^2+($C98-BI$9)^2+($D98-BI$10)^2)</f>
        <v>0.384257501233503</v>
      </c>
      <c r="BJ98" s="63" t="n">
        <f aca="false">MATCH(MIN(BH98:BI98),BH98:BI98,0)</f>
        <v>2</v>
      </c>
      <c r="BL98" s="17" t="n">
        <f aca="false">SQRT(($B98-BL$8)^2+($C98-BL$9)^2+($D98-BL$10)^2)</f>
        <v>3.15422495113363</v>
      </c>
      <c r="BM98" s="17" t="n">
        <f aca="false">SQRT(($B98-BM$8)^2+($C98-BM$9)^2+($D98-BM$10)^2)</f>
        <v>0.384257501233503</v>
      </c>
      <c r="BN98" s="63" t="n">
        <f aca="false">MATCH(MIN(BL98:BM98),BL98:BM98,0)</f>
        <v>2</v>
      </c>
      <c r="BP98" s="17" t="n">
        <f aca="false">SQRT(($B98-BP$8)^2+($C98-BP$9)^2+($D98-BP$10)^2)</f>
        <v>3.15422495113363</v>
      </c>
      <c r="BQ98" s="17" t="n">
        <f aca="false">SQRT(($B98-BQ$8)^2+($C98-BQ$9)^2+($D98-BQ$10)^2)</f>
        <v>0.384257501233503</v>
      </c>
      <c r="BR98" s="63" t="n">
        <f aca="false">MATCH(MIN(BP98:BQ98),BP98:BQ98,0)</f>
        <v>2</v>
      </c>
    </row>
    <row r="99" customFormat="false" ht="15" hidden="false" customHeight="false" outlineLevel="0" collapsed="false">
      <c r="A99" s="36" t="str">
        <f aca="false">KMeans_Data!A89</f>
        <v>Kharmang</v>
      </c>
      <c r="B99" s="17" t="n">
        <f aca="false">KMeans_Data!H89</f>
        <v>-0.605135382814146</v>
      </c>
      <c r="C99" s="17" t="n">
        <f aca="false">KMeans_Data!I89</f>
        <v>-0.672650545388274</v>
      </c>
      <c r="D99" s="17" t="n">
        <f aca="false">KMeans_Data!J89</f>
        <v>-0.0344812518432112</v>
      </c>
      <c r="E99" s="63" t="n">
        <f aca="false">BR99</f>
        <v>2</v>
      </c>
      <c r="F99" s="38" t="n">
        <f aca="false">($B99-INDEX($L$8:$M$8,E99))^2+($C99-INDEX($L$9:$M$9,E99))^2+($D99-INDEX($L$10:$M$10,E99))^2</f>
        <v>0.25616133438435</v>
      </c>
      <c r="G99" s="17" t="n">
        <f aca="false">IF(COUNTIF(Distance_Matrix!$E$8:$DQ$8,$E99)&lt;=1,0,SUMIF(Distance_Matrix!$E$8:$DQ$8,$E99,Distance_Matrix!$E$98:$DQ$98)/(COUNTIF(Distance_Matrix!$E$8:$DQ$8,$E99)-1))</f>
        <v>1.05457312953243</v>
      </c>
      <c r="H99" s="17" t="n">
        <f aca="false">MIN(IF(1=$E99,1E+099,IF(COUNTIF(Distance_Matrix!$E$8:$DQ$8,1)=0,1E+099,SUMIF(Distance_Matrix!$E$8:$DQ$8,1,Distance_Matrix!$E$98:$DQ$98)/COUNTIF(Distance_Matrix!$E$8:$DQ$8,1))),IF(2=$E99,1E+099,IF(COUNTIF(Distance_Matrix!$E$8:$DQ$8,2)=0,1E+099,SUMIF(Distance_Matrix!$E$8:$DQ$8,2,Distance_Matrix!$E$98:$DQ$98)/COUNTIF(Distance_Matrix!$E$8:$DQ$8,2))))</f>
        <v>2.81635107523399</v>
      </c>
      <c r="I99" s="17" t="n">
        <f aca="false">IF(COUNTIF(Distance_Matrix!$E$8:$DQ$8,$E99)&lt;=1,0,(H99-G99)/MAX(G99,H99))</f>
        <v>0.625553384020202</v>
      </c>
      <c r="X99" s="17" t="n">
        <f aca="false">SQRT(($B99-X$8)^2+($C99-X$9)^2+($D99-X$10)^2)</f>
        <v>6.93209827157873</v>
      </c>
      <c r="Y99" s="17" t="n">
        <f aca="false">SQRT(($B99-Y$8)^2+($C99-Y$9)^2+($D99-Y$10)^2)</f>
        <v>1.84638450393411</v>
      </c>
      <c r="Z99" s="63" t="n">
        <f aca="false">MATCH(MIN(X99:Y99),X99:Y99,0)</f>
        <v>2</v>
      </c>
      <c r="AB99" s="17" t="n">
        <f aca="false">SQRT(($B99-AB$8)^2+($C99-AB$9)^2+($D99-AB$10)^2)</f>
        <v>4.40408636265837</v>
      </c>
      <c r="AC99" s="17" t="n">
        <f aca="false">SQRT(($B99-AC$8)^2+($C99-AC$9)^2+($D99-AC$10)^2)</f>
        <v>0.633884633714952</v>
      </c>
      <c r="AD99" s="63" t="n">
        <f aca="false">MATCH(MIN(AB99:AC99),AB99:AC99,0)</f>
        <v>2</v>
      </c>
      <c r="AF99" s="17" t="n">
        <f aca="false">SQRT(($B99-AF$8)^2+($C99-AF$9)^2+($D99-AF$10)^2)</f>
        <v>3.79456612036879</v>
      </c>
      <c r="AG99" s="17" t="n">
        <f aca="false">SQRT(($B99-AG$8)^2+($C99-AG$9)^2+($D99-AG$10)^2)</f>
        <v>0.563777263428177</v>
      </c>
      <c r="AH99" s="63" t="n">
        <f aca="false">MATCH(MIN(AF99:AG99),AF99:AG99,0)</f>
        <v>2</v>
      </c>
      <c r="AJ99" s="17" t="n">
        <f aca="false">SQRT(($B99-AJ$8)^2+($C99-AJ$9)^2+($D99-AJ$10)^2)</f>
        <v>3.18013433809529</v>
      </c>
      <c r="AK99" s="17" t="n">
        <f aca="false">SQRT(($B99-AK$8)^2+($C99-AK$9)^2+($D99-AK$10)^2)</f>
        <v>0.489469045374408</v>
      </c>
      <c r="AL99" s="63" t="n">
        <f aca="false">MATCH(MIN(AJ99:AK99),AJ99:AK99,0)</f>
        <v>2</v>
      </c>
      <c r="AN99" s="17" t="n">
        <f aca="false">SQRT(($B99-AN$8)^2+($C99-AN$9)^2+($D99-AN$10)^2)</f>
        <v>2.97115482174551</v>
      </c>
      <c r="AO99" s="17" t="n">
        <f aca="false">SQRT(($B99-AO$8)^2+($C99-AO$9)^2+($D99-AO$10)^2)</f>
        <v>0.493216036335828</v>
      </c>
      <c r="AP99" s="63" t="n">
        <f aca="false">MATCH(MIN(AN99:AO99),AN99:AO99,0)</f>
        <v>2</v>
      </c>
      <c r="AR99" s="17" t="n">
        <f aca="false">SQRT(($B99-AR$8)^2+($C99-AR$9)^2+($D99-AR$10)^2)</f>
        <v>2.84468294388178</v>
      </c>
      <c r="AS99" s="17" t="n">
        <f aca="false">SQRT(($B99-AS$8)^2+($C99-AS$9)^2+($D99-AS$10)^2)</f>
        <v>0.500906085644497</v>
      </c>
      <c r="AT99" s="63" t="n">
        <f aca="false">MATCH(MIN(AR99:AS99),AR99:AS99,0)</f>
        <v>2</v>
      </c>
      <c r="AV99" s="17" t="n">
        <f aca="false">SQRT(($B99-AV$8)^2+($C99-AV$9)^2+($D99-AV$10)^2)</f>
        <v>2.80599166174269</v>
      </c>
      <c r="AW99" s="17" t="n">
        <f aca="false">SQRT(($B99-AW$8)^2+($C99-AW$9)^2+($D99-AW$10)^2)</f>
        <v>0.50124002339159</v>
      </c>
      <c r="AX99" s="63" t="n">
        <f aca="false">MATCH(MIN(AV99:AW99),AV99:AW99,0)</f>
        <v>2</v>
      </c>
      <c r="AZ99" s="17" t="n">
        <f aca="false">SQRT(($B99-AZ$8)^2+($C99-AZ$9)^2+($D99-AZ$10)^2)</f>
        <v>2.76581261181905</v>
      </c>
      <c r="BA99" s="17" t="n">
        <f aca="false">SQRT(($B99-BA$8)^2+($C99-BA$9)^2+($D99-BA$10)^2)</f>
        <v>0.506123833053088</v>
      </c>
      <c r="BB99" s="63" t="n">
        <f aca="false">MATCH(MIN(AZ99:BA99),AZ99:BA99,0)</f>
        <v>2</v>
      </c>
      <c r="BD99" s="17" t="n">
        <f aca="false">SQRT(($B99-BD$8)^2+($C99-BD$9)^2+($D99-BD$10)^2)</f>
        <v>2.76581261181905</v>
      </c>
      <c r="BE99" s="17" t="n">
        <f aca="false">SQRT(($B99-BE$8)^2+($C99-BE$9)^2+($D99-BE$10)^2)</f>
        <v>0.506123833053088</v>
      </c>
      <c r="BF99" s="63" t="n">
        <f aca="false">MATCH(MIN(BD99:BE99),BD99:BE99,0)</f>
        <v>2</v>
      </c>
      <c r="BH99" s="17" t="n">
        <f aca="false">SQRT(($B99-BH$8)^2+($C99-BH$9)^2+($D99-BH$10)^2)</f>
        <v>2.76581261181905</v>
      </c>
      <c r="BI99" s="17" t="n">
        <f aca="false">SQRT(($B99-BI$8)^2+($C99-BI$9)^2+($D99-BI$10)^2)</f>
        <v>0.506123833053088</v>
      </c>
      <c r="BJ99" s="63" t="n">
        <f aca="false">MATCH(MIN(BH99:BI99),BH99:BI99,0)</f>
        <v>2</v>
      </c>
      <c r="BL99" s="17" t="n">
        <f aca="false">SQRT(($B99-BL$8)^2+($C99-BL$9)^2+($D99-BL$10)^2)</f>
        <v>2.76581261181905</v>
      </c>
      <c r="BM99" s="17" t="n">
        <f aca="false">SQRT(($B99-BM$8)^2+($C99-BM$9)^2+($D99-BM$10)^2)</f>
        <v>0.506123833053088</v>
      </c>
      <c r="BN99" s="63" t="n">
        <f aca="false">MATCH(MIN(BL99:BM99),BL99:BM99,0)</f>
        <v>2</v>
      </c>
      <c r="BP99" s="17" t="n">
        <f aca="false">SQRT(($B99-BP$8)^2+($C99-BP$9)^2+($D99-BP$10)^2)</f>
        <v>2.76581261181905</v>
      </c>
      <c r="BQ99" s="17" t="n">
        <f aca="false">SQRT(($B99-BQ$8)^2+($C99-BQ$9)^2+($D99-BQ$10)^2)</f>
        <v>0.506123833053088</v>
      </c>
      <c r="BR99" s="63" t="n">
        <f aca="false">MATCH(MIN(BP99:BQ99),BP99:BQ99,0)</f>
        <v>2</v>
      </c>
    </row>
    <row r="100" customFormat="false" ht="15" hidden="false" customHeight="false" outlineLevel="0" collapsed="false">
      <c r="A100" s="36" t="str">
        <f aca="false">KMeans_Data!A90</f>
        <v>Attock</v>
      </c>
      <c r="B100" s="17" t="n">
        <f aca="false">KMeans_Data!H90</f>
        <v>-0.636688680796734</v>
      </c>
      <c r="C100" s="17" t="n">
        <f aca="false">KMeans_Data!I90</f>
        <v>-0.672650545388274</v>
      </c>
      <c r="D100" s="17" t="n">
        <f aca="false">KMeans_Data!J90</f>
        <v>-1.14564411633355</v>
      </c>
      <c r="E100" s="63" t="n">
        <f aca="false">BR100</f>
        <v>2</v>
      </c>
      <c r="F100" s="38" t="n">
        <f aca="false">($B100-INDEX($L$8:$M$8,E100))^2+($C100-INDEX($L$9:$M$9,E100))^2+($D100-INDEX($L$10:$M$10,E100))^2</f>
        <v>0.493081049763016</v>
      </c>
      <c r="G100" s="17" t="n">
        <f aca="false">IF(COUNTIF(Distance_Matrix!$E$8:$DQ$8,$E100)&lt;=1,0,SUMIF(Distance_Matrix!$E$8:$DQ$8,$E100,Distance_Matrix!$E$99:$DQ$99)/(COUNTIF(Distance_Matrix!$E$8:$DQ$8,$E100)-1))</f>
        <v>1.10100961810316</v>
      </c>
      <c r="H100" s="17" t="n">
        <f aca="false">MIN(IF(1=$E100,1E+099,IF(COUNTIF(Distance_Matrix!$E$8:$DQ$8,1)=0,1E+099,SUMIF(Distance_Matrix!$E$8:$DQ$8,1,Distance_Matrix!$E$99:$DQ$99)/COUNTIF(Distance_Matrix!$E$8:$DQ$8,1))),IF(2=$E100,1E+099,IF(COUNTIF(Distance_Matrix!$E$8:$DQ$8,2)=0,1E+099,SUMIF(Distance_Matrix!$E$8:$DQ$8,2,Distance_Matrix!$E$99:$DQ$99)/COUNTIF(Distance_Matrix!$E$8:$DQ$8,2))))</f>
        <v>3.46017968885931</v>
      </c>
      <c r="I100" s="17" t="n">
        <f aca="false">IF(COUNTIF(Distance_Matrix!$E$8:$DQ$8,$E100)&lt;=1,0,(H100-G100)/MAX(G100,H100))</f>
        <v>0.681805652565368</v>
      </c>
      <c r="X100" s="17" t="n">
        <f aca="false">SQRT(($B100-X$8)^2+($C100-X$9)^2+($D100-X$10)^2)</f>
        <v>7.53921080313601</v>
      </c>
      <c r="Y100" s="17" t="n">
        <f aca="false">SQRT(($B100-Y$8)^2+($C100-Y$9)^2+($D100-Y$10)^2)</f>
        <v>1.44304930100659</v>
      </c>
      <c r="Z100" s="63" t="n">
        <f aca="false">MATCH(MIN(X100:Y100),X100:Y100,0)</f>
        <v>2</v>
      </c>
      <c r="AB100" s="17" t="n">
        <f aca="false">SQRT(($B100-AB$8)^2+($C100-AB$9)^2+($D100-AB$10)^2)</f>
        <v>5.00179250420233</v>
      </c>
      <c r="AC100" s="17" t="n">
        <f aca="false">SQRT(($B100-AC$8)^2+($C100-AC$9)^2+($D100-AC$10)^2)</f>
        <v>1.16322969445494</v>
      </c>
      <c r="AD100" s="63" t="n">
        <f aca="false">MATCH(MIN(AB100:AC100),AB100:AC100,0)</f>
        <v>2</v>
      </c>
      <c r="AF100" s="17" t="n">
        <f aca="false">SQRT(($B100-AF$8)^2+($C100-AF$9)^2+($D100-AF$10)^2)</f>
        <v>4.38878717059282</v>
      </c>
      <c r="AG100" s="17" t="n">
        <f aca="false">SQRT(($B100-AG$8)^2+($C100-AG$9)^2+($D100-AG$10)^2)</f>
        <v>1.07323630150128</v>
      </c>
      <c r="AH100" s="63" t="n">
        <f aca="false">MATCH(MIN(AF100:AG100),AF100:AG100,0)</f>
        <v>2</v>
      </c>
      <c r="AJ100" s="17" t="n">
        <f aca="false">SQRT(($B100-AJ$8)^2+($C100-AJ$9)^2+($D100-AJ$10)^2)</f>
        <v>3.80111686723259</v>
      </c>
      <c r="AK100" s="17" t="n">
        <f aca="false">SQRT(($B100-AK$8)^2+($C100-AK$9)^2+($D100-AK$10)^2)</f>
        <v>0.882612287734142</v>
      </c>
      <c r="AL100" s="63" t="n">
        <f aca="false">MATCH(MIN(AJ100:AK100),AJ100:AK100,0)</f>
        <v>2</v>
      </c>
      <c r="AN100" s="17" t="n">
        <f aca="false">SQRT(($B100-AN$8)^2+($C100-AN$9)^2+($D100-AN$10)^2)</f>
        <v>3.60936811468495</v>
      </c>
      <c r="AO100" s="17" t="n">
        <f aca="false">SQRT(($B100-AO$8)^2+($C100-AO$9)^2+($D100-AO$10)^2)</f>
        <v>0.781822310115563</v>
      </c>
      <c r="AP100" s="63" t="n">
        <f aca="false">MATCH(MIN(AN100:AO100),AN100:AO100,0)</f>
        <v>2</v>
      </c>
      <c r="AR100" s="17" t="n">
        <f aca="false">SQRT(($B100-AR$8)^2+($C100-AR$9)^2+($D100-AR$10)^2)</f>
        <v>3.4865059054003</v>
      </c>
      <c r="AS100" s="17" t="n">
        <f aca="false">SQRT(($B100-AS$8)^2+($C100-AS$9)^2+($D100-AS$10)^2)</f>
        <v>0.731831783921797</v>
      </c>
      <c r="AT100" s="63" t="n">
        <f aca="false">MATCH(MIN(AR100:AS100),AR100:AS100,0)</f>
        <v>2</v>
      </c>
      <c r="AV100" s="17" t="n">
        <f aca="false">SQRT(($B100-AV$8)^2+($C100-AV$9)^2+($D100-AV$10)^2)</f>
        <v>3.44630591926195</v>
      </c>
      <c r="AW100" s="17" t="n">
        <f aca="false">SQRT(($B100-AW$8)^2+($C100-AW$9)^2+($D100-AW$10)^2)</f>
        <v>0.717628121792227</v>
      </c>
      <c r="AX100" s="63" t="n">
        <f aca="false">MATCH(MIN(AV100:AW100),AV100:AW100,0)</f>
        <v>2</v>
      </c>
      <c r="AZ100" s="17" t="n">
        <f aca="false">SQRT(($B100-AZ$8)^2+($C100-AZ$9)^2+($D100-AZ$10)^2)</f>
        <v>3.40722213035093</v>
      </c>
      <c r="BA100" s="17" t="n">
        <f aca="false">SQRT(($B100-BA$8)^2+($C100-BA$9)^2+($D100-BA$10)^2)</f>
        <v>0.70219730116472</v>
      </c>
      <c r="BB100" s="63" t="n">
        <f aca="false">MATCH(MIN(AZ100:BA100),AZ100:BA100,0)</f>
        <v>2</v>
      </c>
      <c r="BD100" s="17" t="n">
        <f aca="false">SQRT(($B100-BD$8)^2+($C100-BD$9)^2+($D100-BD$10)^2)</f>
        <v>3.40722213035093</v>
      </c>
      <c r="BE100" s="17" t="n">
        <f aca="false">SQRT(($B100-BE$8)^2+($C100-BE$9)^2+($D100-BE$10)^2)</f>
        <v>0.70219730116472</v>
      </c>
      <c r="BF100" s="63" t="n">
        <f aca="false">MATCH(MIN(BD100:BE100),BD100:BE100,0)</f>
        <v>2</v>
      </c>
      <c r="BH100" s="17" t="n">
        <f aca="false">SQRT(($B100-BH$8)^2+($C100-BH$9)^2+($D100-BH$10)^2)</f>
        <v>3.40722213035093</v>
      </c>
      <c r="BI100" s="17" t="n">
        <f aca="false">SQRT(($B100-BI$8)^2+($C100-BI$9)^2+($D100-BI$10)^2)</f>
        <v>0.70219730116472</v>
      </c>
      <c r="BJ100" s="63" t="n">
        <f aca="false">MATCH(MIN(BH100:BI100),BH100:BI100,0)</f>
        <v>2</v>
      </c>
      <c r="BL100" s="17" t="n">
        <f aca="false">SQRT(($B100-BL$8)^2+($C100-BL$9)^2+($D100-BL$10)^2)</f>
        <v>3.40722213035093</v>
      </c>
      <c r="BM100" s="17" t="n">
        <f aca="false">SQRT(($B100-BM$8)^2+($C100-BM$9)^2+($D100-BM$10)^2)</f>
        <v>0.70219730116472</v>
      </c>
      <c r="BN100" s="63" t="n">
        <f aca="false">MATCH(MIN(BL100:BM100),BL100:BM100,0)</f>
        <v>2</v>
      </c>
      <c r="BP100" s="17" t="n">
        <f aca="false">SQRT(($B100-BP$8)^2+($C100-BP$9)^2+($D100-BP$10)^2)</f>
        <v>3.40722213035093</v>
      </c>
      <c r="BQ100" s="17" t="n">
        <f aca="false">SQRT(($B100-BQ$8)^2+($C100-BQ$9)^2+($D100-BQ$10)^2)</f>
        <v>0.70219730116472</v>
      </c>
      <c r="BR100" s="63" t="n">
        <f aca="false">MATCH(MIN(BP100:BQ100),BP100:BQ100,0)</f>
        <v>2</v>
      </c>
    </row>
    <row r="101" customFormat="false" ht="15" hidden="false" customHeight="false" outlineLevel="0" collapsed="false">
      <c r="A101" s="36" t="str">
        <f aca="false">KMeans_Data!A91</f>
        <v>Chitral Upper</v>
      </c>
      <c r="B101" s="17" t="n">
        <f aca="false">KMeans_Data!H91</f>
        <v>-0.636688680796734</v>
      </c>
      <c r="C101" s="17" t="n">
        <f aca="false">KMeans_Data!I91</f>
        <v>-0.672650545388274</v>
      </c>
      <c r="D101" s="17" t="n">
        <f aca="false">KMeans_Data!J91</f>
        <v>-0.31535907140676</v>
      </c>
      <c r="E101" s="63" t="n">
        <f aca="false">BR101</f>
        <v>2</v>
      </c>
      <c r="F101" s="38" t="n">
        <f aca="false">($B101-INDEX($L$8:$M$8,E101))^2+($C101-INDEX($L$9:$M$9,E101))^2+($D101-INDEX($L$10:$M$10,E101))^2</f>
        <v>0.091172739857115</v>
      </c>
      <c r="G101" s="17" t="n">
        <f aca="false">IF(COUNTIF(Distance_Matrix!$E$8:$DQ$8,$E101)&lt;=1,0,SUMIF(Distance_Matrix!$E$8:$DQ$8,$E101,Distance_Matrix!$E$100:$DQ$100)/(COUNTIF(Distance_Matrix!$E$8:$DQ$8,$E101)-1))</f>
        <v>0.979087145000059</v>
      </c>
      <c r="H101" s="17" t="n">
        <f aca="false">MIN(IF(1=$E101,1E+099,IF(COUNTIF(Distance_Matrix!$E$8:$DQ$8,1)=0,1E+099,SUMIF(Distance_Matrix!$E$8:$DQ$8,1,Distance_Matrix!$E$100:$DQ$100)/COUNTIF(Distance_Matrix!$E$8:$DQ$8,1))),IF(2=$E101,1E+099,IF(COUNTIF(Distance_Matrix!$E$8:$DQ$8,2)=0,1E+099,SUMIF(Distance_Matrix!$E$8:$DQ$8,2,Distance_Matrix!$E$100:$DQ$100)/COUNTIF(Distance_Matrix!$E$8:$DQ$8,2))))</f>
        <v>2.96340943885</v>
      </c>
      <c r="I101" s="17" t="n">
        <f aca="false">IF(COUNTIF(Distance_Matrix!$E$8:$DQ$8,$E101)&lt;=1,0,(H101-G101)/MAX(G101,H101))</f>
        <v>0.66960787390216</v>
      </c>
      <c r="X101" s="17" t="n">
        <f aca="false">SQRT(($B101-X$8)^2+($C101-X$9)^2+($D101-X$10)^2)</f>
        <v>7.08698051014777</v>
      </c>
      <c r="Y101" s="17" t="n">
        <f aca="false">SQRT(($B101-Y$8)^2+($C101-Y$9)^2+($D101-Y$10)^2)</f>
        <v>1.66486171827113</v>
      </c>
      <c r="Z101" s="63" t="n">
        <f aca="false">MATCH(MIN(X101:Y101),X101:Y101,0)</f>
        <v>2</v>
      </c>
      <c r="AB101" s="17" t="n">
        <f aca="false">SQRT(($B101-AB$8)^2+($C101-AB$9)^2+($D101-AB$10)^2)</f>
        <v>4.55041203352081</v>
      </c>
      <c r="AC101" s="17" t="n">
        <f aca="false">SQRT(($B101-AC$8)^2+($C101-AC$9)^2+($D101-AC$10)^2)</f>
        <v>0.65547369523855</v>
      </c>
      <c r="AD101" s="63" t="n">
        <f aca="false">MATCH(MIN(AB101:AC101),AB101:AC101,0)</f>
        <v>2</v>
      </c>
      <c r="AF101" s="17" t="n">
        <f aca="false">SQRT(($B101-AF$8)^2+($C101-AF$9)^2+($D101-AF$10)^2)</f>
        <v>3.93702131356849</v>
      </c>
      <c r="AG101" s="17" t="n">
        <f aca="false">SQRT(($B101-AG$8)^2+($C101-AG$9)^2+($D101-AG$10)^2)</f>
        <v>0.559939456551478</v>
      </c>
      <c r="AH101" s="63" t="n">
        <f aca="false">MATCH(MIN(AF101:AG101),AF101:AG101,0)</f>
        <v>2</v>
      </c>
      <c r="AJ101" s="17" t="n">
        <f aca="false">SQRT(($B101-AJ$8)^2+($C101-AJ$9)^2+($D101-AJ$10)^2)</f>
        <v>3.32613337434872</v>
      </c>
      <c r="AK101" s="17" t="n">
        <f aca="false">SQRT(($B101-AK$8)^2+($C101-AK$9)^2+($D101-AK$10)^2)</f>
        <v>0.395282238323385</v>
      </c>
      <c r="AL101" s="63" t="n">
        <f aca="false">MATCH(MIN(AJ101:AK101),AJ101:AK101,0)</f>
        <v>2</v>
      </c>
      <c r="AN101" s="17" t="n">
        <f aca="false">SQRT(($B101-AN$8)^2+($C101-AN$9)^2+($D101-AN$10)^2)</f>
        <v>3.12084153599597</v>
      </c>
      <c r="AO101" s="17" t="n">
        <f aca="false">SQRT(($B101-AO$8)^2+($C101-AO$9)^2+($D101-AO$10)^2)</f>
        <v>0.337132213951485</v>
      </c>
      <c r="AP101" s="63" t="n">
        <f aca="false">MATCH(MIN(AN101:AO101),AN101:AO101,0)</f>
        <v>2</v>
      </c>
      <c r="AR101" s="17" t="n">
        <f aca="false">SQRT(($B101-AR$8)^2+($C101-AR$9)^2+($D101-AR$10)^2)</f>
        <v>2.994460618956</v>
      </c>
      <c r="AS101" s="17" t="n">
        <f aca="false">SQRT(($B101-AS$8)^2+($C101-AS$9)^2+($D101-AS$10)^2)</f>
        <v>0.314272505183145</v>
      </c>
      <c r="AT101" s="63" t="n">
        <f aca="false">MATCH(MIN(AR101:AS101),AR101:AS101,0)</f>
        <v>2</v>
      </c>
      <c r="AV101" s="17" t="n">
        <f aca="false">SQRT(($B101-AV$8)^2+($C101-AV$9)^2+($D101-AV$10)^2)</f>
        <v>2.95503066632458</v>
      </c>
      <c r="AW101" s="17" t="n">
        <f aca="false">SQRT(($B101-AW$8)^2+($C101-AW$9)^2+($D101-AW$10)^2)</f>
        <v>0.305398340974771</v>
      </c>
      <c r="AX101" s="63" t="n">
        <f aca="false">MATCH(MIN(AV101:AW101),AV101:AW101,0)</f>
        <v>2</v>
      </c>
      <c r="AZ101" s="17" t="n">
        <f aca="false">SQRT(($B101-AZ$8)^2+($C101-AZ$9)^2+($D101-AZ$10)^2)</f>
        <v>2.9147429664391</v>
      </c>
      <c r="BA101" s="17" t="n">
        <f aca="false">SQRT(($B101-BA$8)^2+($C101-BA$9)^2+($D101-BA$10)^2)</f>
        <v>0.301948240361018</v>
      </c>
      <c r="BB101" s="63" t="n">
        <f aca="false">MATCH(MIN(AZ101:BA101),AZ101:BA101,0)</f>
        <v>2</v>
      </c>
      <c r="BD101" s="17" t="n">
        <f aca="false">SQRT(($B101-BD$8)^2+($C101-BD$9)^2+($D101-BD$10)^2)</f>
        <v>2.9147429664391</v>
      </c>
      <c r="BE101" s="17" t="n">
        <f aca="false">SQRT(($B101-BE$8)^2+($C101-BE$9)^2+($D101-BE$10)^2)</f>
        <v>0.301948240361018</v>
      </c>
      <c r="BF101" s="63" t="n">
        <f aca="false">MATCH(MIN(BD101:BE101),BD101:BE101,0)</f>
        <v>2</v>
      </c>
      <c r="BH101" s="17" t="n">
        <f aca="false">SQRT(($B101-BH$8)^2+($C101-BH$9)^2+($D101-BH$10)^2)</f>
        <v>2.9147429664391</v>
      </c>
      <c r="BI101" s="17" t="n">
        <f aca="false">SQRT(($B101-BI$8)^2+($C101-BI$9)^2+($D101-BI$10)^2)</f>
        <v>0.301948240361018</v>
      </c>
      <c r="BJ101" s="63" t="n">
        <f aca="false">MATCH(MIN(BH101:BI101),BH101:BI101,0)</f>
        <v>2</v>
      </c>
      <c r="BL101" s="17" t="n">
        <f aca="false">SQRT(($B101-BL$8)^2+($C101-BL$9)^2+($D101-BL$10)^2)</f>
        <v>2.9147429664391</v>
      </c>
      <c r="BM101" s="17" t="n">
        <f aca="false">SQRT(($B101-BM$8)^2+($C101-BM$9)^2+($D101-BM$10)^2)</f>
        <v>0.301948240361018</v>
      </c>
      <c r="BN101" s="63" t="n">
        <f aca="false">MATCH(MIN(BL101:BM101),BL101:BM101,0)</f>
        <v>2</v>
      </c>
      <c r="BP101" s="17" t="n">
        <f aca="false">SQRT(($B101-BP$8)^2+($C101-BP$9)^2+($D101-BP$10)^2)</f>
        <v>2.9147429664391</v>
      </c>
      <c r="BQ101" s="17" t="n">
        <f aca="false">SQRT(($B101-BQ$8)^2+($C101-BQ$9)^2+($D101-BQ$10)^2)</f>
        <v>0.301948240361018</v>
      </c>
      <c r="BR101" s="63" t="n">
        <f aca="false">MATCH(MIN(BP101:BQ101),BP101:BQ101,0)</f>
        <v>2</v>
      </c>
    </row>
    <row r="102" customFormat="false" ht="15" hidden="false" customHeight="false" outlineLevel="0" collapsed="false">
      <c r="A102" s="36" t="str">
        <f aca="false">KMeans_Data!A92</f>
        <v>Matiari</v>
      </c>
      <c r="B102" s="17" t="n">
        <f aca="false">KMeans_Data!H92</f>
        <v>-0.706187767063518</v>
      </c>
      <c r="C102" s="17" t="n">
        <f aca="false">KMeans_Data!I92</f>
        <v>-0.146983133929529</v>
      </c>
      <c r="D102" s="17" t="n">
        <f aca="false">KMeans_Data!J92</f>
        <v>0.628513491585819</v>
      </c>
      <c r="E102" s="63" t="n">
        <f aca="false">BR102</f>
        <v>2</v>
      </c>
      <c r="F102" s="38" t="n">
        <f aca="false">($B102-INDEX($L$8:$M$8,E102))^2+($C102-INDEX($L$9:$M$9,E102))^2+($D102-INDEX($L$10:$M$10,E102))^2</f>
        <v>1.4533543030631</v>
      </c>
      <c r="G102" s="17" t="n">
        <f aca="false">IF(COUNTIF(Distance_Matrix!$E$8:$DQ$8,$E102)&lt;=1,0,SUMIF(Distance_Matrix!$E$8:$DQ$8,$E102,Distance_Matrix!$E$101:$DQ$101)/(COUNTIF(Distance_Matrix!$E$8:$DQ$8,$E102)-1))</f>
        <v>1.49914998651622</v>
      </c>
      <c r="H102" s="17" t="n">
        <f aca="false">MIN(IF(1=$E102,1E+099,IF(COUNTIF(Distance_Matrix!$E$8:$DQ$8,1)=0,1E+099,SUMIF(Distance_Matrix!$E$8:$DQ$8,1,Distance_Matrix!$E$101:$DQ$101)/COUNTIF(Distance_Matrix!$E$8:$DQ$8,1))),IF(2=$E102,1E+099,IF(COUNTIF(Distance_Matrix!$E$8:$DQ$8,2)=0,1E+099,SUMIF(Distance_Matrix!$E$8:$DQ$8,2,Distance_Matrix!$E$101:$DQ$101)/COUNTIF(Distance_Matrix!$E$8:$DQ$8,2))))</f>
        <v>2.36170452700035</v>
      </c>
      <c r="I102" s="17" t="n">
        <f aca="false">IF(COUNTIF(Distance_Matrix!$E$8:$DQ$8,$E102)&lt;=1,0,(H102-G102)/MAX(G102,H102))</f>
        <v>0.365225425375155</v>
      </c>
      <c r="X102" s="17" t="n">
        <f aca="false">SQRT(($B102-X$8)^2+($C102-X$9)^2+($D102-X$10)^2)</f>
        <v>6.34444553438655</v>
      </c>
      <c r="Y102" s="17" t="n">
        <f aca="false">SQRT(($B102-Y$8)^2+($C102-Y$9)^2+($D102-Y$10)^2)</f>
        <v>2.30447426490723</v>
      </c>
      <c r="Z102" s="63" t="n">
        <f aca="false">MATCH(MIN(X102:Y102),X102:Y102,0)</f>
        <v>2</v>
      </c>
      <c r="AB102" s="17" t="n">
        <f aca="false">SQRT(($B102-AB$8)^2+($C102-AB$9)^2+($D102-AB$10)^2)</f>
        <v>3.86607225514326</v>
      </c>
      <c r="AC102" s="17" t="n">
        <f aca="false">SQRT(($B102-AC$8)^2+($C102-AC$9)^2+($D102-AC$10)^2)</f>
        <v>0.960244866049</v>
      </c>
      <c r="AD102" s="63" t="n">
        <f aca="false">MATCH(MIN(AB102:AC102),AB102:AC102,0)</f>
        <v>2</v>
      </c>
      <c r="AF102" s="17" t="n">
        <f aca="false">SQRT(($B102-AF$8)^2+($C102-AF$9)^2+($D102-AF$10)^2)</f>
        <v>3.27255654878957</v>
      </c>
      <c r="AG102" s="17" t="n">
        <f aca="false">SQRT(($B102-AG$8)^2+($C102-AG$9)^2+($D102-AG$10)^2)</f>
        <v>0.98483603524751</v>
      </c>
      <c r="AH102" s="63" t="n">
        <f aca="false">MATCH(MIN(AF102:AG102),AF102:AG102,0)</f>
        <v>2</v>
      </c>
      <c r="AJ102" s="17" t="n">
        <f aca="false">SQRT(($B102-AJ$8)^2+($C102-AJ$9)^2+($D102-AJ$10)^2)</f>
        <v>2.6631193899529</v>
      </c>
      <c r="AK102" s="17" t="n">
        <f aca="false">SQRT(($B102-AK$8)^2+($C102-AK$9)^2+($D102-AK$10)^2)</f>
        <v>1.08718245627709</v>
      </c>
      <c r="AL102" s="63" t="n">
        <f aca="false">MATCH(MIN(AJ102:AK102),AJ102:AK102,0)</f>
        <v>2</v>
      </c>
      <c r="AN102" s="17" t="n">
        <f aca="false">SQRT(($B102-AN$8)^2+($C102-AN$9)^2+($D102-AN$10)^2)</f>
        <v>2.46518818240917</v>
      </c>
      <c r="AO102" s="17" t="n">
        <f aca="false">SQRT(($B102-AO$8)^2+($C102-AO$9)^2+($D102-AO$10)^2)</f>
        <v>1.1489890395086</v>
      </c>
      <c r="AP102" s="63" t="n">
        <f aca="false">MATCH(MIN(AN102:AO102),AN102:AO102,0)</f>
        <v>2</v>
      </c>
      <c r="AR102" s="17" t="n">
        <f aca="false">SQRT(($B102-AR$8)^2+($C102-AR$9)^2+($D102-AR$10)^2)</f>
        <v>2.34698289235455</v>
      </c>
      <c r="AS102" s="17" t="n">
        <f aca="false">SQRT(($B102-AS$8)^2+($C102-AS$9)^2+($D102-AS$10)^2)</f>
        <v>1.18280275736291</v>
      </c>
      <c r="AT102" s="63" t="n">
        <f aca="false">MATCH(MIN(AR102:AS102),AR102:AS102,0)</f>
        <v>2</v>
      </c>
      <c r="AV102" s="17" t="n">
        <f aca="false">SQRT(($B102-AV$8)^2+($C102-AV$9)^2+($D102-AV$10)^2)</f>
        <v>2.31274102551124</v>
      </c>
      <c r="AW102" s="17" t="n">
        <f aca="false">SQRT(($B102-AW$8)^2+($C102-AW$9)^2+($D102-AW$10)^2)</f>
        <v>1.19168867456189</v>
      </c>
      <c r="AX102" s="63" t="n">
        <f aca="false">MATCH(MIN(AV102:AW102),AV102:AW102,0)</f>
        <v>2</v>
      </c>
      <c r="AZ102" s="17" t="n">
        <f aca="false">SQRT(($B102-AZ$8)^2+($C102-AZ$9)^2+($D102-AZ$10)^2)</f>
        <v>2.27246628973172</v>
      </c>
      <c r="BA102" s="17" t="n">
        <f aca="false">SQRT(($B102-BA$8)^2+($C102-BA$9)^2+($D102-BA$10)^2)</f>
        <v>1.20555145185226</v>
      </c>
      <c r="BB102" s="63" t="n">
        <f aca="false">MATCH(MIN(AZ102:BA102),AZ102:BA102,0)</f>
        <v>2</v>
      </c>
      <c r="BD102" s="17" t="n">
        <f aca="false">SQRT(($B102-BD$8)^2+($C102-BD$9)^2+($D102-BD$10)^2)</f>
        <v>2.27246628973172</v>
      </c>
      <c r="BE102" s="17" t="n">
        <f aca="false">SQRT(($B102-BE$8)^2+($C102-BE$9)^2+($D102-BE$10)^2)</f>
        <v>1.20555145185226</v>
      </c>
      <c r="BF102" s="63" t="n">
        <f aca="false">MATCH(MIN(BD102:BE102),BD102:BE102,0)</f>
        <v>2</v>
      </c>
      <c r="BH102" s="17" t="n">
        <f aca="false">SQRT(($B102-BH$8)^2+($C102-BH$9)^2+($D102-BH$10)^2)</f>
        <v>2.27246628973172</v>
      </c>
      <c r="BI102" s="17" t="n">
        <f aca="false">SQRT(($B102-BI$8)^2+($C102-BI$9)^2+($D102-BI$10)^2)</f>
        <v>1.20555145185226</v>
      </c>
      <c r="BJ102" s="63" t="n">
        <f aca="false">MATCH(MIN(BH102:BI102),BH102:BI102,0)</f>
        <v>2</v>
      </c>
      <c r="BL102" s="17" t="n">
        <f aca="false">SQRT(($B102-BL$8)^2+($C102-BL$9)^2+($D102-BL$10)^2)</f>
        <v>2.27246628973172</v>
      </c>
      <c r="BM102" s="17" t="n">
        <f aca="false">SQRT(($B102-BM$8)^2+($C102-BM$9)^2+($D102-BM$10)^2)</f>
        <v>1.20555145185226</v>
      </c>
      <c r="BN102" s="63" t="n">
        <f aca="false">MATCH(MIN(BL102:BM102),BL102:BM102,0)</f>
        <v>2</v>
      </c>
      <c r="BP102" s="17" t="n">
        <f aca="false">SQRT(($B102-BP$8)^2+($C102-BP$9)^2+($D102-BP$10)^2)</f>
        <v>2.27246628973172</v>
      </c>
      <c r="BQ102" s="17" t="n">
        <f aca="false">SQRT(($B102-BQ$8)^2+($C102-BQ$9)^2+($D102-BQ$10)^2)</f>
        <v>1.20555145185226</v>
      </c>
      <c r="BR102" s="63" t="n">
        <f aca="false">MATCH(MIN(BP102:BQ102),BP102:BQ102,0)</f>
        <v>2</v>
      </c>
    </row>
    <row r="103" customFormat="false" ht="15" hidden="false" customHeight="false" outlineLevel="0" collapsed="false">
      <c r="A103" s="36" t="str">
        <f aca="false">KMeans_Data!A93</f>
        <v>Lakki Marwat</v>
      </c>
      <c r="B103" s="17" t="n">
        <f aca="false">KMeans_Data!H93</f>
        <v>-0.744758744633192</v>
      </c>
      <c r="C103" s="17" t="n">
        <f aca="false">KMeans_Data!I93</f>
        <v>-0.146983133929529</v>
      </c>
      <c r="D103" s="17" t="n">
        <f aca="false">KMeans_Data!J93</f>
        <v>-0.182049815029191</v>
      </c>
      <c r="E103" s="63" t="n">
        <f aca="false">BR103</f>
        <v>2</v>
      </c>
      <c r="F103" s="38" t="n">
        <f aca="false">($B103-INDEX($L$8:$M$8,E103))^2+($C103-INDEX($L$9:$M$9,E103))^2+($D103-INDEX($L$10:$M$10,E103))^2</f>
        <v>0.321289968781211</v>
      </c>
      <c r="G103" s="17" t="n">
        <f aca="false">IF(COUNTIF(Distance_Matrix!$E$8:$DQ$8,$E103)&lt;=1,0,SUMIF(Distance_Matrix!$E$8:$DQ$8,$E103,Distance_Matrix!$E$102:$DQ$102)/(COUNTIF(Distance_Matrix!$E$8:$DQ$8,$E103)-1))</f>
        <v>1.11180977084544</v>
      </c>
      <c r="H103" s="17" t="n">
        <f aca="false">MIN(IF(1=$E103,1E+099,IF(COUNTIF(Distance_Matrix!$E$8:$DQ$8,1)=0,1E+099,SUMIF(Distance_Matrix!$E$8:$DQ$8,1,Distance_Matrix!$E$102:$DQ$102)/COUNTIF(Distance_Matrix!$E$8:$DQ$8,1))),IF(2=$E103,1E+099,IF(COUNTIF(Distance_Matrix!$E$8:$DQ$8,2)=0,1E+099,SUMIF(Distance_Matrix!$E$8:$DQ$8,2,Distance_Matrix!$E$102:$DQ$102)/COUNTIF(Distance_Matrix!$E$8:$DQ$8,2))))</f>
        <v>2.67165087258741</v>
      </c>
      <c r="I103" s="17" t="n">
        <f aca="false">IF(COUNTIF(Distance_Matrix!$E$8:$DQ$8,$E103)&lt;=1,0,(H103-G103)/MAX(G103,H103))</f>
        <v>0.58384915399942</v>
      </c>
      <c r="X103" s="17" t="n">
        <f aca="false">SQRT(($B103-X$8)^2+($C103-X$9)^2+($D103-X$10)^2)</f>
        <v>6.74327164312577</v>
      </c>
      <c r="Y103" s="17" t="n">
        <f aca="false">SQRT(($B103-Y$8)^2+($C103-Y$9)^2+($D103-Y$10)^2)</f>
        <v>1.72829678257275</v>
      </c>
      <c r="Z103" s="63" t="n">
        <f aca="false">MATCH(MIN(X103:Y103),X103:Y103,0)</f>
        <v>2</v>
      </c>
      <c r="AB103" s="17" t="n">
        <f aca="false">SQRT(($B103-AB$8)^2+($C103-AB$9)^2+($D103-AB$10)^2)</f>
        <v>4.22112761532044</v>
      </c>
      <c r="AC103" s="17" t="n">
        <f aca="false">SQRT(($B103-AC$8)^2+($C103-AC$9)^2+($D103-AC$10)^2)</f>
        <v>0.564978911050726</v>
      </c>
      <c r="AD103" s="63" t="n">
        <f aca="false">MATCH(MIN(AB103:AC103),AB103:AC103,0)</f>
        <v>2</v>
      </c>
      <c r="AF103" s="17" t="n">
        <f aca="false">SQRT(($B103-AF$8)^2+($C103-AF$9)^2+($D103-AF$10)^2)</f>
        <v>3.6077706652737</v>
      </c>
      <c r="AG103" s="17" t="n">
        <f aca="false">SQRT(($B103-AG$8)^2+($C103-AG$9)^2+($D103-AG$10)^2)</f>
        <v>0.528977126682024</v>
      </c>
      <c r="AH103" s="63" t="n">
        <f aca="false">MATCH(MIN(AF103:AG103),AF103:AG103,0)</f>
        <v>2</v>
      </c>
      <c r="AJ103" s="17" t="n">
        <f aca="false">SQRT(($B103-AJ$8)^2+($C103-AJ$9)^2+($D103-AJ$10)^2)</f>
        <v>3.00030361091777</v>
      </c>
      <c r="AK103" s="17" t="n">
        <f aca="false">SQRT(($B103-AK$8)^2+($C103-AK$9)^2+($D103-AK$10)^2)</f>
        <v>0.523444611895772</v>
      </c>
      <c r="AL103" s="63" t="n">
        <f aca="false">MATCH(MIN(AJ103:AK103),AJ103:AK103,0)</f>
        <v>2</v>
      </c>
      <c r="AN103" s="17" t="n">
        <f aca="false">SQRT(($B103-AN$8)^2+($C103-AN$9)^2+($D103-AN$10)^2)</f>
        <v>2.80810703335807</v>
      </c>
      <c r="AO103" s="17" t="n">
        <f aca="false">SQRT(($B103-AO$8)^2+($C103-AO$9)^2+($D103-AO$10)^2)</f>
        <v>0.534047392903009</v>
      </c>
      <c r="AP103" s="63" t="n">
        <f aca="false">MATCH(MIN(AN103:AO103),AN103:AO103,0)</f>
        <v>2</v>
      </c>
      <c r="AR103" s="17" t="n">
        <f aca="false">SQRT(($B103-AR$8)^2+($C103-AR$9)^2+($D103-AR$10)^2)</f>
        <v>2.68613825858578</v>
      </c>
      <c r="AS103" s="17" t="n">
        <f aca="false">SQRT(($B103-AS$8)^2+($C103-AS$9)^2+($D103-AS$10)^2)</f>
        <v>0.549822450053089</v>
      </c>
      <c r="AT103" s="63" t="n">
        <f aca="false">MATCH(MIN(AR103:AS103),AR103:AS103,0)</f>
        <v>2</v>
      </c>
      <c r="AV103" s="17" t="n">
        <f aca="false">SQRT(($B103-AV$8)^2+($C103-AV$9)^2+($D103-AV$10)^2)</f>
        <v>2.64791504032787</v>
      </c>
      <c r="AW103" s="17" t="n">
        <f aca="false">SQRT(($B103-AW$8)^2+($C103-AW$9)^2+($D103-AW$10)^2)</f>
        <v>0.554781463993738</v>
      </c>
      <c r="AX103" s="63" t="n">
        <f aca="false">MATCH(MIN(AV103:AW103),AV103:AW103,0)</f>
        <v>2</v>
      </c>
      <c r="AZ103" s="17" t="n">
        <f aca="false">SQRT(($B103-AZ$8)^2+($C103-AZ$9)^2+($D103-AZ$10)^2)</f>
        <v>2.60647507923882</v>
      </c>
      <c r="BA103" s="17" t="n">
        <f aca="false">SQRT(($B103-BA$8)^2+($C103-BA$9)^2+($D103-BA$10)^2)</f>
        <v>0.566824460288378</v>
      </c>
      <c r="BB103" s="63" t="n">
        <f aca="false">MATCH(MIN(AZ103:BA103),AZ103:BA103,0)</f>
        <v>2</v>
      </c>
      <c r="BD103" s="17" t="n">
        <f aca="false">SQRT(($B103-BD$8)^2+($C103-BD$9)^2+($D103-BD$10)^2)</f>
        <v>2.60647507923882</v>
      </c>
      <c r="BE103" s="17" t="n">
        <f aca="false">SQRT(($B103-BE$8)^2+($C103-BE$9)^2+($D103-BE$10)^2)</f>
        <v>0.566824460288378</v>
      </c>
      <c r="BF103" s="63" t="n">
        <f aca="false">MATCH(MIN(BD103:BE103),BD103:BE103,0)</f>
        <v>2</v>
      </c>
      <c r="BH103" s="17" t="n">
        <f aca="false">SQRT(($B103-BH$8)^2+($C103-BH$9)^2+($D103-BH$10)^2)</f>
        <v>2.60647507923882</v>
      </c>
      <c r="BI103" s="17" t="n">
        <f aca="false">SQRT(($B103-BI$8)^2+($C103-BI$9)^2+($D103-BI$10)^2)</f>
        <v>0.566824460288378</v>
      </c>
      <c r="BJ103" s="63" t="n">
        <f aca="false">MATCH(MIN(BH103:BI103),BH103:BI103,0)</f>
        <v>2</v>
      </c>
      <c r="BL103" s="17" t="n">
        <f aca="false">SQRT(($B103-BL$8)^2+($C103-BL$9)^2+($D103-BL$10)^2)</f>
        <v>2.60647507923882</v>
      </c>
      <c r="BM103" s="17" t="n">
        <f aca="false">SQRT(($B103-BM$8)^2+($C103-BM$9)^2+($D103-BM$10)^2)</f>
        <v>0.566824460288378</v>
      </c>
      <c r="BN103" s="63" t="n">
        <f aca="false">MATCH(MIN(BL103:BM103),BL103:BM103,0)</f>
        <v>2</v>
      </c>
      <c r="BP103" s="17" t="n">
        <f aca="false">SQRT(($B103-BP$8)^2+($C103-BP$9)^2+($D103-BP$10)^2)</f>
        <v>2.60647507923882</v>
      </c>
      <c r="BQ103" s="17" t="n">
        <f aca="false">SQRT(($B103-BQ$8)^2+($C103-BQ$9)^2+($D103-BQ$10)^2)</f>
        <v>0.566824460288378</v>
      </c>
      <c r="BR103" s="63" t="n">
        <f aca="false">MATCH(MIN(BP103:BQ103),BP103:BQ103,0)</f>
        <v>2</v>
      </c>
    </row>
    <row r="104" customFormat="false" ht="15" hidden="false" customHeight="false" outlineLevel="0" collapsed="false">
      <c r="A104" s="36" t="str">
        <f aca="false">KMeans_Data!A94</f>
        <v>Taftan</v>
      </c>
      <c r="B104" s="17" t="n">
        <f aca="false">KMeans_Data!H94</f>
        <v>-0.744758744633192</v>
      </c>
      <c r="C104" s="17" t="n">
        <f aca="false">KMeans_Data!I94</f>
        <v>-0.672650545388274</v>
      </c>
      <c r="D104" s="17" t="n">
        <f aca="false">KMeans_Data!J94</f>
        <v>-1.14564411633355</v>
      </c>
      <c r="E104" s="63" t="n">
        <f aca="false">BR104</f>
        <v>2</v>
      </c>
      <c r="F104" s="38" t="n">
        <f aca="false">($B104-INDEX($L$8:$M$8,E104))^2+($C104-INDEX($L$9:$M$9,E104))^2+($D104-INDEX($L$10:$M$10,E104))^2</f>
        <v>0.546360662149838</v>
      </c>
      <c r="G104" s="17" t="n">
        <f aca="false">IF(COUNTIF(Distance_Matrix!$E$8:$DQ$8,$E104)&lt;=1,0,SUMIF(Distance_Matrix!$E$8:$DQ$8,$E104,Distance_Matrix!$E$103:$DQ$103)/(COUNTIF(Distance_Matrix!$E$8:$DQ$8,$E104)-1))</f>
        <v>1.11183685604807</v>
      </c>
      <c r="H104" s="17" t="n">
        <f aca="false">MIN(IF(1=$E104,1E+099,IF(COUNTIF(Distance_Matrix!$E$8:$DQ$8,1)=0,1E+099,SUMIF(Distance_Matrix!$E$8:$DQ$8,1,Distance_Matrix!$E$103:$DQ$103)/COUNTIF(Distance_Matrix!$E$8:$DQ$8,1))),IF(2=$E104,1E+099,IF(COUNTIF(Distance_Matrix!$E$8:$DQ$8,2)=0,1E+099,SUMIF(Distance_Matrix!$E$8:$DQ$8,2,Distance_Matrix!$E$103:$DQ$103)/COUNTIF(Distance_Matrix!$E$8:$DQ$8,2))))</f>
        <v>3.51304833325947</v>
      </c>
      <c r="I104" s="17" t="n">
        <f aca="false">IF(COUNTIF(Distance_Matrix!$E$8:$DQ$8,$E104)&lt;=1,0,(H104-G104)/MAX(G104,H104))</f>
        <v>0.683512223409552</v>
      </c>
      <c r="X104" s="17" t="n">
        <f aca="false">SQRT(($B104-X$8)^2+($C104-X$9)^2+($D104-X$10)^2)</f>
        <v>7.59583452709132</v>
      </c>
      <c r="Y104" s="17" t="n">
        <f aca="false">SQRT(($B104-Y$8)^2+($C104-Y$9)^2+($D104-Y$10)^2)</f>
        <v>1.33497923717013</v>
      </c>
      <c r="Z104" s="63" t="n">
        <f aca="false">MATCH(MIN(X104:Y104),X104:Y104,0)</f>
        <v>2</v>
      </c>
      <c r="AB104" s="17" t="n">
        <f aca="false">SQRT(($B104-AB$8)^2+($C104-AB$9)^2+($D104-AB$10)^2)</f>
        <v>5.05904524361095</v>
      </c>
      <c r="AC104" s="17" t="n">
        <f aca="false">SQRT(($B104-AC$8)^2+($C104-AC$9)^2+($D104-AC$10)^2)</f>
        <v>1.20934540215183</v>
      </c>
      <c r="AD104" s="63" t="n">
        <f aca="false">MATCH(MIN(AB104:AC104),AB104:AC104,0)</f>
        <v>2</v>
      </c>
      <c r="AF104" s="17" t="n">
        <f aca="false">SQRT(($B104-AF$8)^2+($C104-AF$9)^2+($D104-AF$10)^2)</f>
        <v>4.44519574301781</v>
      </c>
      <c r="AG104" s="17" t="n">
        <f aca="false">SQRT(($B104-AG$8)^2+($C104-AG$9)^2+($D104-AG$10)^2)</f>
        <v>1.11794584372399</v>
      </c>
      <c r="AH104" s="63" t="n">
        <f aca="false">MATCH(MIN(AF104:AG104),AF104:AG104,0)</f>
        <v>2</v>
      </c>
      <c r="AJ104" s="17" t="n">
        <f aca="false">SQRT(($B104-AJ$8)^2+($C104-AJ$9)^2+($D104-AJ$10)^2)</f>
        <v>3.85532971505367</v>
      </c>
      <c r="AK104" s="17" t="n">
        <f aca="false">SQRT(($B104-AK$8)^2+($C104-AK$9)^2+($D104-AK$10)^2)</f>
        <v>0.925242383912205</v>
      </c>
      <c r="AL104" s="63" t="n">
        <f aca="false">MATCH(MIN(AJ104:AK104),AJ104:AK104,0)</f>
        <v>2</v>
      </c>
      <c r="AN104" s="17" t="n">
        <f aca="false">SQRT(($B104-AN$8)^2+($C104-AN$9)^2+($D104-AN$10)^2)</f>
        <v>3.66405554570265</v>
      </c>
      <c r="AO104" s="17" t="n">
        <f aca="false">SQRT(($B104-AO$8)^2+($C104-AO$9)^2+($D104-AO$10)^2)</f>
        <v>0.821498219466321</v>
      </c>
      <c r="AP104" s="63" t="n">
        <f aca="false">MATCH(MIN(AN104:AO104),AN104:AO104,0)</f>
        <v>2</v>
      </c>
      <c r="AR104" s="17" t="n">
        <f aca="false">SQRT(($B104-AR$8)^2+($C104-AR$9)^2+($D104-AR$10)^2)</f>
        <v>3.54123312563094</v>
      </c>
      <c r="AS104" s="17" t="n">
        <f aca="false">SQRT(($B104-AS$8)^2+($C104-AS$9)^2+($D104-AS$10)^2)</f>
        <v>0.769691816505395</v>
      </c>
      <c r="AT104" s="63" t="n">
        <f aca="false">MATCH(MIN(AR104:AS104),AR104:AS104,0)</f>
        <v>2</v>
      </c>
      <c r="AV104" s="17" t="n">
        <f aca="false">SQRT(($B104-AV$8)^2+($C104-AV$9)^2+($D104-AV$10)^2)</f>
        <v>3.50115574023382</v>
      </c>
      <c r="AW104" s="17" t="n">
        <f aca="false">SQRT(($B104-AW$8)^2+($C104-AW$9)^2+($D104-AW$10)^2)</f>
        <v>0.754546022761561</v>
      </c>
      <c r="AX104" s="63" t="n">
        <f aca="false">MATCH(MIN(AV104:AW104),AV104:AW104,0)</f>
        <v>2</v>
      </c>
      <c r="AZ104" s="17" t="n">
        <f aca="false">SQRT(($B104-AZ$8)^2+($C104-AZ$9)^2+($D104-AZ$10)^2)</f>
        <v>3.46170502341025</v>
      </c>
      <c r="BA104" s="17" t="n">
        <f aca="false">SQRT(($B104-BA$8)^2+($C104-BA$9)^2+($D104-BA$10)^2)</f>
        <v>0.739162135224633</v>
      </c>
      <c r="BB104" s="63" t="n">
        <f aca="false">MATCH(MIN(AZ104:BA104),AZ104:BA104,0)</f>
        <v>2</v>
      </c>
      <c r="BD104" s="17" t="n">
        <f aca="false">SQRT(($B104-BD$8)^2+($C104-BD$9)^2+($D104-BD$10)^2)</f>
        <v>3.46170502341025</v>
      </c>
      <c r="BE104" s="17" t="n">
        <f aca="false">SQRT(($B104-BE$8)^2+($C104-BE$9)^2+($D104-BE$10)^2)</f>
        <v>0.739162135224633</v>
      </c>
      <c r="BF104" s="63" t="n">
        <f aca="false">MATCH(MIN(BD104:BE104),BD104:BE104,0)</f>
        <v>2</v>
      </c>
      <c r="BH104" s="17" t="n">
        <f aca="false">SQRT(($B104-BH$8)^2+($C104-BH$9)^2+($D104-BH$10)^2)</f>
        <v>3.46170502341025</v>
      </c>
      <c r="BI104" s="17" t="n">
        <f aca="false">SQRT(($B104-BI$8)^2+($C104-BI$9)^2+($D104-BI$10)^2)</f>
        <v>0.739162135224633</v>
      </c>
      <c r="BJ104" s="63" t="n">
        <f aca="false">MATCH(MIN(BH104:BI104),BH104:BI104,0)</f>
        <v>2</v>
      </c>
      <c r="BL104" s="17" t="n">
        <f aca="false">SQRT(($B104-BL$8)^2+($C104-BL$9)^2+($D104-BL$10)^2)</f>
        <v>3.46170502341025</v>
      </c>
      <c r="BM104" s="17" t="n">
        <f aca="false">SQRT(($B104-BM$8)^2+($C104-BM$9)^2+($D104-BM$10)^2)</f>
        <v>0.739162135224633</v>
      </c>
      <c r="BN104" s="63" t="n">
        <f aca="false">MATCH(MIN(BL104:BM104),BL104:BM104,0)</f>
        <v>2</v>
      </c>
      <c r="BP104" s="17" t="n">
        <f aca="false">SQRT(($B104-BP$8)^2+($C104-BP$9)^2+($D104-BP$10)^2)</f>
        <v>3.46170502341025</v>
      </c>
      <c r="BQ104" s="17" t="n">
        <f aca="false">SQRT(($B104-BQ$8)^2+($C104-BQ$9)^2+($D104-BQ$10)^2)</f>
        <v>0.739162135224633</v>
      </c>
      <c r="BR104" s="63" t="n">
        <f aca="false">MATCH(MIN(BP104:BQ104),BP104:BQ104,0)</f>
        <v>2</v>
      </c>
    </row>
    <row r="105" customFormat="false" ht="15" hidden="false" customHeight="false" outlineLevel="0" collapsed="false">
      <c r="A105" s="36" t="str">
        <f aca="false">KMeans_Data!A95</f>
        <v>Orakzai</v>
      </c>
      <c r="B105" s="17" t="n">
        <f aca="false">KMeans_Data!H95</f>
        <v>-0.786418574103199</v>
      </c>
      <c r="C105" s="17" t="n">
        <f aca="false">KMeans_Data!I95</f>
        <v>-0.672650545388274</v>
      </c>
      <c r="D105" s="17" t="n">
        <f aca="false">KMeans_Data!J95</f>
        <v>-0.399845222909568</v>
      </c>
      <c r="E105" s="63" t="n">
        <f aca="false">BR105</f>
        <v>2</v>
      </c>
      <c r="F105" s="38" t="n">
        <f aca="false">($B105-INDEX($L$8:$M$8,E105))^2+($C105-INDEX($L$9:$M$9,E105))^2+($D105-INDEX($L$10:$M$10,E105))^2</f>
        <v>0.149115525054764</v>
      </c>
      <c r="G105" s="17" t="n">
        <f aca="false">IF(COUNTIF(Distance_Matrix!$E$8:$DQ$8,$E105)&lt;=1,0,SUMIF(Distance_Matrix!$E$8:$DQ$8,$E105,Distance_Matrix!$E$104:$DQ$104)/(COUNTIF(Distance_Matrix!$E$8:$DQ$8,$E105)-1))</f>
        <v>1.00194023014198</v>
      </c>
      <c r="H105" s="17" t="n">
        <f aca="false">MIN(IF(1=$E105,1E+099,IF(COUNTIF(Distance_Matrix!$E$8:$DQ$8,1)=0,1E+099,SUMIF(Distance_Matrix!$E$8:$DQ$8,1,Distance_Matrix!$E$104:$DQ$104)/COUNTIF(Distance_Matrix!$E$8:$DQ$8,1))),IF(2=$E105,1E+099,IF(COUNTIF(Distance_Matrix!$E$8:$DQ$8,2)=0,1E+099,SUMIF(Distance_Matrix!$E$8:$DQ$8,2,Distance_Matrix!$E$104:$DQ$104)/COUNTIF(Distance_Matrix!$E$8:$DQ$8,2))))</f>
        <v>3.09296094042527</v>
      </c>
      <c r="I105" s="17" t="n">
        <f aca="false">IF(COUNTIF(Distance_Matrix!$E$8:$DQ$8,$E105)&lt;=1,0,(H105-G105)/MAX(G105,H105))</f>
        <v>0.676057910384016</v>
      </c>
      <c r="X105" s="17" t="n">
        <f aca="false">SQRT(($B105-X$8)^2+($C105-X$9)^2+($D105-X$10)^2)</f>
        <v>7.21310900361067</v>
      </c>
      <c r="Y105" s="17" t="n">
        <f aca="false">SQRT(($B105-Y$8)^2+($C105-Y$9)^2+($D105-Y$10)^2)</f>
        <v>1.49294711217988</v>
      </c>
      <c r="Z105" s="63" t="n">
        <f aca="false">MATCH(MIN(X105:Y105),X105:Y105,0)</f>
        <v>2</v>
      </c>
      <c r="AB105" s="17" t="n">
        <f aca="false">SQRT(($B105-AB$8)^2+($C105-AB$9)^2+($D105-AB$10)^2)</f>
        <v>4.67827654588584</v>
      </c>
      <c r="AC105" s="17" t="n">
        <f aca="false">SQRT(($B105-AC$8)^2+($C105-AC$9)^2+($D105-AC$10)^2)</f>
        <v>0.786404014084759</v>
      </c>
      <c r="AD105" s="63" t="n">
        <f aca="false">MATCH(MIN(AB105:AC105),AB105:AC105,0)</f>
        <v>2</v>
      </c>
      <c r="AF105" s="17" t="n">
        <f aca="false">SQRT(($B105-AF$8)^2+($C105-AF$9)^2+($D105-AF$10)^2)</f>
        <v>4.06405046321526</v>
      </c>
      <c r="AG105" s="17" t="n">
        <f aca="false">SQRT(($B105-AG$8)^2+($C105-AG$9)^2+($D105-AG$10)^2)</f>
        <v>0.691226607649297</v>
      </c>
      <c r="AH105" s="63" t="n">
        <f aca="false">MATCH(MIN(AF105:AG105),AF105:AG105,0)</f>
        <v>2</v>
      </c>
      <c r="AJ105" s="17" t="n">
        <f aca="false">SQRT(($B105-AJ$8)^2+($C105-AJ$9)^2+($D105-AJ$10)^2)</f>
        <v>3.45339729602846</v>
      </c>
      <c r="AK105" s="17" t="n">
        <f aca="false">SQRT(($B105-AK$8)^2+($C105-AK$9)^2+($D105-AK$10)^2)</f>
        <v>0.519252660420926</v>
      </c>
      <c r="AL105" s="63" t="n">
        <f aca="false">MATCH(MIN(AJ105:AK105),AJ105:AK105,0)</f>
        <v>2</v>
      </c>
      <c r="AN105" s="17" t="n">
        <f aca="false">SQRT(($B105-AN$8)^2+($C105-AN$9)^2+($D105-AN$10)^2)</f>
        <v>3.25092904196256</v>
      </c>
      <c r="AO105" s="17" t="n">
        <f aca="false">SQRT(($B105-AO$8)^2+($C105-AO$9)^2+($D105-AO$10)^2)</f>
        <v>0.442327854940933</v>
      </c>
      <c r="AP105" s="63" t="n">
        <f aca="false">MATCH(MIN(AN105:AO105),AN105:AO105,0)</f>
        <v>2</v>
      </c>
      <c r="AR105" s="17" t="n">
        <f aca="false">SQRT(($B105-AR$8)^2+($C105-AR$9)^2+($D105-AR$10)^2)</f>
        <v>3.12528156630998</v>
      </c>
      <c r="AS105" s="17" t="n">
        <f aca="false">SQRT(($B105-AS$8)^2+($C105-AS$9)^2+($D105-AS$10)^2)</f>
        <v>0.406454281129596</v>
      </c>
      <c r="AT105" s="63" t="n">
        <f aca="false">MATCH(MIN(AR105:AS105),AR105:AS105,0)</f>
        <v>2</v>
      </c>
      <c r="AV105" s="17" t="n">
        <f aca="false">SQRT(($B105-AV$8)^2+($C105-AV$9)^2+($D105-AV$10)^2)</f>
        <v>3.08600086703466</v>
      </c>
      <c r="AW105" s="17" t="n">
        <f aca="false">SQRT(($B105-AW$8)^2+($C105-AW$9)^2+($D105-AW$10)^2)</f>
        <v>0.393331298791005</v>
      </c>
      <c r="AX105" s="63" t="n">
        <f aca="false">MATCH(MIN(AV105:AW105),AV105:AW105,0)</f>
        <v>2</v>
      </c>
      <c r="AZ105" s="17" t="n">
        <f aca="false">SQRT(($B105-AZ$8)^2+($C105-AZ$9)^2+($D105-AZ$10)^2)</f>
        <v>3.0453683251652</v>
      </c>
      <c r="BA105" s="17" t="n">
        <f aca="false">SQRT(($B105-BA$8)^2+($C105-BA$9)^2+($D105-BA$10)^2)</f>
        <v>0.386154794162606</v>
      </c>
      <c r="BB105" s="63" t="n">
        <f aca="false">MATCH(MIN(AZ105:BA105),AZ105:BA105,0)</f>
        <v>2</v>
      </c>
      <c r="BD105" s="17" t="n">
        <f aca="false">SQRT(($B105-BD$8)^2+($C105-BD$9)^2+($D105-BD$10)^2)</f>
        <v>3.0453683251652</v>
      </c>
      <c r="BE105" s="17" t="n">
        <f aca="false">SQRT(($B105-BE$8)^2+($C105-BE$9)^2+($D105-BE$10)^2)</f>
        <v>0.386154794162606</v>
      </c>
      <c r="BF105" s="63" t="n">
        <f aca="false">MATCH(MIN(BD105:BE105),BD105:BE105,0)</f>
        <v>2</v>
      </c>
      <c r="BH105" s="17" t="n">
        <f aca="false">SQRT(($B105-BH$8)^2+($C105-BH$9)^2+($D105-BH$10)^2)</f>
        <v>3.0453683251652</v>
      </c>
      <c r="BI105" s="17" t="n">
        <f aca="false">SQRT(($B105-BI$8)^2+($C105-BI$9)^2+($D105-BI$10)^2)</f>
        <v>0.386154794162606</v>
      </c>
      <c r="BJ105" s="63" t="n">
        <f aca="false">MATCH(MIN(BH105:BI105),BH105:BI105,0)</f>
        <v>2</v>
      </c>
      <c r="BL105" s="17" t="n">
        <f aca="false">SQRT(($B105-BL$8)^2+($C105-BL$9)^2+($D105-BL$10)^2)</f>
        <v>3.0453683251652</v>
      </c>
      <c r="BM105" s="17" t="n">
        <f aca="false">SQRT(($B105-BM$8)^2+($C105-BM$9)^2+($D105-BM$10)^2)</f>
        <v>0.386154794162606</v>
      </c>
      <c r="BN105" s="63" t="n">
        <f aca="false">MATCH(MIN(BL105:BM105),BL105:BM105,0)</f>
        <v>2</v>
      </c>
      <c r="BP105" s="17" t="n">
        <f aca="false">SQRT(($B105-BP$8)^2+($C105-BP$9)^2+($D105-BP$10)^2)</f>
        <v>3.0453683251652</v>
      </c>
      <c r="BQ105" s="17" t="n">
        <f aca="false">SQRT(($B105-BQ$8)^2+($C105-BQ$9)^2+($D105-BQ$10)^2)</f>
        <v>0.386154794162606</v>
      </c>
      <c r="BR105" s="63" t="n">
        <f aca="false">MATCH(MIN(BP105:BQ105),BP105:BQ105,0)</f>
        <v>2</v>
      </c>
    </row>
    <row r="106" customFormat="false" ht="15" hidden="false" customHeight="false" outlineLevel="0" collapsed="false">
      <c r="A106" s="36" t="str">
        <f aca="false">KMeans_Data!A96</f>
        <v>North Waziristan</v>
      </c>
      <c r="B106" s="17" t="n">
        <f aca="false">KMeans_Data!H96</f>
        <v>-0.831705387014662</v>
      </c>
      <c r="C106" s="17" t="n">
        <f aca="false">KMeans_Data!I96</f>
        <v>-0.672650545388274</v>
      </c>
      <c r="D106" s="17" t="n">
        <f aca="false">KMeans_Data!J96</f>
        <v>-0.31535907140676</v>
      </c>
      <c r="E106" s="63" t="n">
        <f aca="false">BR106</f>
        <v>2</v>
      </c>
      <c r="F106" s="38" t="n">
        <f aca="false">($B106-INDEX($L$8:$M$8,E106))^2+($C106-INDEX($L$9:$M$9,E106))^2+($D106-INDEX($L$10:$M$10,E106))^2</f>
        <v>0.204273956345796</v>
      </c>
      <c r="G106" s="17" t="n">
        <f aca="false">IF(COUNTIF(Distance_Matrix!$E$8:$DQ$8,$E106)&lt;=1,0,SUMIF(Distance_Matrix!$E$8:$DQ$8,$E106,Distance_Matrix!$E$105:$DQ$105)/(COUNTIF(Distance_Matrix!$E$8:$DQ$8,$E106)-1))</f>
        <v>1.03060154887892</v>
      </c>
      <c r="H106" s="17" t="n">
        <f aca="false">MIN(IF(1=$E106,1E+099,IF(COUNTIF(Distance_Matrix!$E$8:$DQ$8,1)=0,1E+099,SUMIF(Distance_Matrix!$E$8:$DQ$8,1,Distance_Matrix!$E$105:$DQ$105)/COUNTIF(Distance_Matrix!$E$8:$DQ$8,1))),IF(2=$E106,1E+099,IF(COUNTIF(Distance_Matrix!$E$8:$DQ$8,2)=0,1E+099,SUMIF(Distance_Matrix!$E$8:$DQ$8,2,Distance_Matrix!$E$105:$DQ$105)/COUNTIF(Distance_Matrix!$E$8:$DQ$8,2))))</f>
        <v>3.07881602144507</v>
      </c>
      <c r="I106" s="17" t="n">
        <f aca="false">IF(COUNTIF(Distance_Matrix!$E$8:$DQ$8,$E106)&lt;=1,0,(H106-G106)/MAX(G106,H106))</f>
        <v>0.665260430730382</v>
      </c>
      <c r="X106" s="17" t="n">
        <f aca="false">SQRT(($B106-X$8)^2+($C106-X$9)^2+($D106-X$10)^2)</f>
        <v>7.19643967194252</v>
      </c>
      <c r="Y106" s="17" t="n">
        <f aca="false">SQRT(($B106-Y$8)^2+($C106-Y$9)^2+($D106-Y$10)^2)</f>
        <v>1.49898586166915</v>
      </c>
      <c r="Z106" s="63" t="n">
        <f aca="false">MATCH(MIN(X106:Y106),X106:Y106,0)</f>
        <v>2</v>
      </c>
      <c r="AB106" s="17" t="n">
        <f aca="false">SQRT(($B106-AB$8)^2+($C106-AB$9)^2+($D106-AB$10)^2)</f>
        <v>4.66504442640424</v>
      </c>
      <c r="AC106" s="17" t="n">
        <f aca="false">SQRT(($B106-AC$8)^2+($C106-AC$9)^2+($D106-AC$10)^2)</f>
        <v>0.80252218903386</v>
      </c>
      <c r="AD106" s="63" t="n">
        <f aca="false">MATCH(MIN(AB106:AC106),AB106:AC106,0)</f>
        <v>2</v>
      </c>
      <c r="AF106" s="17" t="n">
        <f aca="false">SQRT(($B106-AF$8)^2+($C106-AF$9)^2+($D106-AF$10)^2)</f>
        <v>4.0517054743308</v>
      </c>
      <c r="AG106" s="17" t="n">
        <f aca="false">SQRT(($B106-AG$8)^2+($C106-AG$9)^2+($D106-AG$10)^2)</f>
        <v>0.712231086524546</v>
      </c>
      <c r="AH106" s="63" t="n">
        <f aca="false">MATCH(MIN(AF106:AG106),AF106:AG106,0)</f>
        <v>2</v>
      </c>
      <c r="AJ106" s="17" t="n">
        <f aca="false">SQRT(($B106-AJ$8)^2+($C106-AJ$9)^2+($D106-AJ$10)^2)</f>
        <v>3.43935219733977</v>
      </c>
      <c r="AK106" s="17" t="n">
        <f aca="false">SQRT(($B106-AK$8)^2+($C106-AK$9)^2+($D106-AK$10)^2)</f>
        <v>0.558818565443167</v>
      </c>
      <c r="AL106" s="63" t="n">
        <f aca="false">MATCH(MIN(AJ106:AK106),AJ106:AK106,0)</f>
        <v>2</v>
      </c>
      <c r="AN106" s="17" t="n">
        <f aca="false">SQRT(($B106-AN$8)^2+($C106-AN$9)^2+($D106-AN$10)^2)</f>
        <v>3.23641628337942</v>
      </c>
      <c r="AO106" s="17" t="n">
        <f aca="false">SQRT(($B106-AO$8)^2+($C106-AO$9)^2+($D106-AO$10)^2)</f>
        <v>0.495385419523569</v>
      </c>
      <c r="AP106" s="63" t="n">
        <f aca="false">MATCH(MIN(AN106:AO106),AN106:AO106,0)</f>
        <v>2</v>
      </c>
      <c r="AR106" s="17" t="n">
        <f aca="false">SQRT(($B106-AR$8)^2+($C106-AR$9)^2+($D106-AR$10)^2)</f>
        <v>3.11091496540383</v>
      </c>
      <c r="AS106" s="17" t="n">
        <f aca="false">SQRT(($B106-AS$8)^2+($C106-AS$9)^2+($D106-AS$10)^2)</f>
        <v>0.467233600904372</v>
      </c>
      <c r="AT106" s="63" t="n">
        <f aca="false">MATCH(MIN(AR106:AS106),AR106:AS106,0)</f>
        <v>2</v>
      </c>
      <c r="AV106" s="17" t="n">
        <f aca="false">SQRT(($B106-AV$8)^2+($C106-AV$9)^2+($D106-AV$10)^2)</f>
        <v>3.07193958549256</v>
      </c>
      <c r="AW106" s="17" t="n">
        <f aca="false">SQRT(($B106-AW$8)^2+($C106-AW$9)^2+($D106-AW$10)^2)</f>
        <v>0.456399124396565</v>
      </c>
      <c r="AX106" s="63" t="n">
        <f aca="false">MATCH(MIN(AV106:AW106),AV106:AW106,0)</f>
        <v>2</v>
      </c>
      <c r="AZ106" s="17" t="n">
        <f aca="false">SQRT(($B106-AZ$8)^2+($C106-AZ$9)^2+($D106-AZ$10)^2)</f>
        <v>3.03117332625355</v>
      </c>
      <c r="BA106" s="17" t="n">
        <f aca="false">SQRT(($B106-BA$8)^2+($C106-BA$9)^2+($D106-BA$10)^2)</f>
        <v>0.451966764647353</v>
      </c>
      <c r="BB106" s="63" t="n">
        <f aca="false">MATCH(MIN(AZ106:BA106),AZ106:BA106,0)</f>
        <v>2</v>
      </c>
      <c r="BD106" s="17" t="n">
        <f aca="false">SQRT(($B106-BD$8)^2+($C106-BD$9)^2+($D106-BD$10)^2)</f>
        <v>3.03117332625355</v>
      </c>
      <c r="BE106" s="17" t="n">
        <f aca="false">SQRT(($B106-BE$8)^2+($C106-BE$9)^2+($D106-BE$10)^2)</f>
        <v>0.451966764647353</v>
      </c>
      <c r="BF106" s="63" t="n">
        <f aca="false">MATCH(MIN(BD106:BE106),BD106:BE106,0)</f>
        <v>2</v>
      </c>
      <c r="BH106" s="17" t="n">
        <f aca="false">SQRT(($B106-BH$8)^2+($C106-BH$9)^2+($D106-BH$10)^2)</f>
        <v>3.03117332625355</v>
      </c>
      <c r="BI106" s="17" t="n">
        <f aca="false">SQRT(($B106-BI$8)^2+($C106-BI$9)^2+($D106-BI$10)^2)</f>
        <v>0.451966764647353</v>
      </c>
      <c r="BJ106" s="63" t="n">
        <f aca="false">MATCH(MIN(BH106:BI106),BH106:BI106,0)</f>
        <v>2</v>
      </c>
      <c r="BL106" s="17" t="n">
        <f aca="false">SQRT(($B106-BL$8)^2+($C106-BL$9)^2+($D106-BL$10)^2)</f>
        <v>3.03117332625355</v>
      </c>
      <c r="BM106" s="17" t="n">
        <f aca="false">SQRT(($B106-BM$8)^2+($C106-BM$9)^2+($D106-BM$10)^2)</f>
        <v>0.451966764647353</v>
      </c>
      <c r="BN106" s="63" t="n">
        <f aca="false">MATCH(MIN(BL106:BM106),BL106:BM106,0)</f>
        <v>2</v>
      </c>
      <c r="BP106" s="17" t="n">
        <f aca="false">SQRT(($B106-BP$8)^2+($C106-BP$9)^2+($D106-BP$10)^2)</f>
        <v>3.03117332625355</v>
      </c>
      <c r="BQ106" s="17" t="n">
        <f aca="false">SQRT(($B106-BQ$8)^2+($C106-BQ$9)^2+($D106-BQ$10)^2)</f>
        <v>0.451966764647353</v>
      </c>
      <c r="BR106" s="63" t="n">
        <f aca="false">MATCH(MIN(BP106:BQ106),BP106:BQ106,0)</f>
        <v>2</v>
      </c>
    </row>
    <row r="107" customFormat="false" ht="15" hidden="false" customHeight="false" outlineLevel="0" collapsed="false">
      <c r="A107" s="36" t="str">
        <f aca="false">KMeans_Data!A97</f>
        <v>Kasur</v>
      </c>
      <c r="B107" s="17" t="n">
        <f aca="false">KMeans_Data!H97</f>
        <v>-0.831705387014662</v>
      </c>
      <c r="C107" s="17" t="n">
        <f aca="false">KMeans_Data!I97</f>
        <v>-0.672650545388274</v>
      </c>
      <c r="D107" s="17" t="n">
        <f aca="false">KMeans_Data!J97</f>
        <v>-1.14564411633355</v>
      </c>
      <c r="E107" s="63" t="n">
        <f aca="false">BR107</f>
        <v>2</v>
      </c>
      <c r="F107" s="38" t="n">
        <f aca="false">($B107-INDEX($L$8:$M$8,E107))^2+($C107-INDEX($L$9:$M$9,E107))^2+($D107-INDEX($L$10:$M$10,E107))^2</f>
        <v>0.606182266251697</v>
      </c>
      <c r="G107" s="17" t="n">
        <f aca="false">IF(COUNTIF(Distance_Matrix!$E$8:$DQ$8,$E107)&lt;=1,0,SUMIF(Distance_Matrix!$E$8:$DQ$8,$E107,Distance_Matrix!$E$106:$DQ$106)/(COUNTIF(Distance_Matrix!$E$8:$DQ$8,$E107)-1))</f>
        <v>1.12611350710492</v>
      </c>
      <c r="H107" s="17" t="n">
        <f aca="false">MIN(IF(1=$E107,1E+099,IF(COUNTIF(Distance_Matrix!$E$8:$DQ$8,1)=0,1E+099,SUMIF(Distance_Matrix!$E$8:$DQ$8,1,Distance_Matrix!$E$106:$DQ$106)/COUNTIF(Distance_Matrix!$E$8:$DQ$8,1))),IF(2=$E107,1E+099,IF(COUNTIF(Distance_Matrix!$E$8:$DQ$8,2)=0,1E+099,SUMIF(Distance_Matrix!$E$8:$DQ$8,2,Distance_Matrix!$E$106:$DQ$106)/COUNTIF(Distance_Matrix!$E$8:$DQ$8,2))))</f>
        <v>3.55757042646378</v>
      </c>
      <c r="I107" s="17" t="n">
        <f aca="false">IF(COUNTIF(Distance_Matrix!$E$8:$DQ$8,$E107)&lt;=1,0,(H107-G107)/MAX(G107,H107))</f>
        <v>0.683459953813401</v>
      </c>
      <c r="X107" s="17" t="n">
        <f aca="false">SQRT(($B107-X$8)^2+($C107-X$9)^2+($D107-X$10)^2)</f>
        <v>7.64219541328385</v>
      </c>
      <c r="Y107" s="17" t="n">
        <f aca="false">SQRT(($B107-Y$8)^2+($C107-Y$9)^2+($D107-Y$10)^2)</f>
        <v>1.24803259478866</v>
      </c>
      <c r="Z107" s="63" t="n">
        <f aca="false">MATCH(MIN(X107:Y107),X107:Y107,0)</f>
        <v>2</v>
      </c>
      <c r="AB107" s="17" t="n">
        <f aca="false">SQRT(($B107-AB$8)^2+($C107-AB$9)^2+($D107-AB$10)^2)</f>
        <v>5.10630180077607</v>
      </c>
      <c r="AC107" s="17" t="n">
        <f aca="false">SQRT(($B107-AC$8)^2+($C107-AC$9)^2+($D107-AC$10)^2)</f>
        <v>1.25199817124617</v>
      </c>
      <c r="AD107" s="63" t="n">
        <f aca="false">MATCH(MIN(AB107:AC107),AB107:AC107,0)</f>
        <v>2</v>
      </c>
      <c r="AF107" s="17" t="n">
        <f aca="false">SQRT(($B107-AF$8)^2+($C107-AF$9)^2+($D107-AF$10)^2)</f>
        <v>4.49195205406177</v>
      </c>
      <c r="AG107" s="17" t="n">
        <f aca="false">SQRT(($B107-AG$8)^2+($C107-AG$9)^2+($D107-AG$10)^2)</f>
        <v>1.15999012257385</v>
      </c>
      <c r="AH107" s="63" t="n">
        <f aca="false">MATCH(MIN(AF107:AG107),AF107:AG107,0)</f>
        <v>2</v>
      </c>
      <c r="AJ107" s="17" t="n">
        <f aca="false">SQRT(($B107-AJ$8)^2+($C107-AJ$9)^2+($D107-AJ$10)^2)</f>
        <v>3.9005730030022</v>
      </c>
      <c r="AK107" s="17" t="n">
        <f aca="false">SQRT(($B107-AK$8)^2+($C107-AK$9)^2+($D107-AK$10)^2)</f>
        <v>0.966971867020602</v>
      </c>
      <c r="AL107" s="63" t="n">
        <f aca="false">MATCH(MIN(AJ107:AK107),AJ107:AK107,0)</f>
        <v>2</v>
      </c>
      <c r="AN107" s="17" t="n">
        <f aca="false">SQRT(($B107-AN$8)^2+($C107-AN$9)^2+($D107-AN$10)^2)</f>
        <v>3.70975425787615</v>
      </c>
      <c r="AO107" s="17" t="n">
        <f aca="false">SQRT(($B107-AO$8)^2+($C107-AO$9)^2+($D107-AO$10)^2)</f>
        <v>0.861971408335073</v>
      </c>
      <c r="AP107" s="63" t="n">
        <f aca="false">MATCH(MIN(AN107:AO107),AN107:AO107,0)</f>
        <v>2</v>
      </c>
      <c r="AR107" s="17" t="n">
        <f aca="false">SQRT(($B107-AR$8)^2+($C107-AR$9)^2+($D107-AR$10)^2)</f>
        <v>3.58702118085276</v>
      </c>
      <c r="AS107" s="17" t="n">
        <f aca="false">SQRT(($B107-AS$8)^2+($C107-AS$9)^2+($D107-AS$10)^2)</f>
        <v>0.80939347060508</v>
      </c>
      <c r="AT107" s="63" t="n">
        <f aca="false">MATCH(MIN(AR107:AS107),AR107:AS107,0)</f>
        <v>2</v>
      </c>
      <c r="AV107" s="17" t="n">
        <f aca="false">SQRT(($B107-AV$8)^2+($C107-AV$9)^2+($D107-AV$10)^2)</f>
        <v>3.54705949585533</v>
      </c>
      <c r="AW107" s="17" t="n">
        <f aca="false">SQRT(($B107-AW$8)^2+($C107-AW$9)^2+($D107-AW$10)^2)</f>
        <v>0.793739337104347</v>
      </c>
      <c r="AX107" s="63" t="n">
        <f aca="false">MATCH(MIN(AV107:AW107),AV107:AW107,0)</f>
        <v>2</v>
      </c>
      <c r="AZ107" s="17" t="n">
        <f aca="false">SQRT(($B107-AZ$8)^2+($C107-AZ$9)^2+($D107-AZ$10)^2)</f>
        <v>3.50734198773628</v>
      </c>
      <c r="BA107" s="17" t="n">
        <f aca="false">SQRT(($B107-BA$8)^2+($C107-BA$9)^2+($D107-BA$10)^2)</f>
        <v>0.778577077913097</v>
      </c>
      <c r="BB107" s="63" t="n">
        <f aca="false">MATCH(MIN(AZ107:BA107),AZ107:BA107,0)</f>
        <v>2</v>
      </c>
      <c r="BD107" s="17" t="n">
        <f aca="false">SQRT(($B107-BD$8)^2+($C107-BD$9)^2+($D107-BD$10)^2)</f>
        <v>3.50734198773628</v>
      </c>
      <c r="BE107" s="17" t="n">
        <f aca="false">SQRT(($B107-BE$8)^2+($C107-BE$9)^2+($D107-BE$10)^2)</f>
        <v>0.778577077913097</v>
      </c>
      <c r="BF107" s="63" t="n">
        <f aca="false">MATCH(MIN(BD107:BE107),BD107:BE107,0)</f>
        <v>2</v>
      </c>
      <c r="BH107" s="17" t="n">
        <f aca="false">SQRT(($B107-BH$8)^2+($C107-BH$9)^2+($D107-BH$10)^2)</f>
        <v>3.50734198773628</v>
      </c>
      <c r="BI107" s="17" t="n">
        <f aca="false">SQRT(($B107-BI$8)^2+($C107-BI$9)^2+($D107-BI$10)^2)</f>
        <v>0.778577077913097</v>
      </c>
      <c r="BJ107" s="63" t="n">
        <f aca="false">MATCH(MIN(BH107:BI107),BH107:BI107,0)</f>
        <v>2</v>
      </c>
      <c r="BL107" s="17" t="n">
        <f aca="false">SQRT(($B107-BL$8)^2+($C107-BL$9)^2+($D107-BL$10)^2)</f>
        <v>3.50734198773628</v>
      </c>
      <c r="BM107" s="17" t="n">
        <f aca="false">SQRT(($B107-BM$8)^2+($C107-BM$9)^2+($D107-BM$10)^2)</f>
        <v>0.778577077913097</v>
      </c>
      <c r="BN107" s="63" t="n">
        <f aca="false">MATCH(MIN(BL107:BM107),BL107:BM107,0)</f>
        <v>2</v>
      </c>
      <c r="BP107" s="17" t="n">
        <f aca="false">SQRT(($B107-BP$8)^2+($C107-BP$9)^2+($D107-BP$10)^2)</f>
        <v>3.50734198773628</v>
      </c>
      <c r="BQ107" s="17" t="n">
        <f aca="false">SQRT(($B107-BQ$8)^2+($C107-BQ$9)^2+($D107-BQ$10)^2)</f>
        <v>0.778577077913097</v>
      </c>
      <c r="BR107" s="63" t="n">
        <f aca="false">MATCH(MIN(BP107:BQ107),BP107:BQ107,0)</f>
        <v>2</v>
      </c>
    </row>
    <row r="108" customFormat="false" ht="15" hidden="false" customHeight="false" outlineLevel="0" collapsed="false">
      <c r="A108" s="36" t="str">
        <f aca="false">KMeans_Data!A98</f>
        <v>Rajanpur</v>
      </c>
      <c r="B108" s="17" t="n">
        <f aca="false">KMeans_Data!H98</f>
        <v>-0.881311477972984</v>
      </c>
      <c r="C108" s="17" t="n">
        <f aca="false">KMeans_Data!I98</f>
        <v>-0.672650545388274</v>
      </c>
      <c r="D108" s="17" t="n">
        <f aca="false">KMeans_Data!J98</f>
        <v>-1.14564411633355</v>
      </c>
      <c r="E108" s="63" t="n">
        <f aca="false">BR108</f>
        <v>2</v>
      </c>
      <c r="F108" s="38" t="n">
        <f aca="false">($B108-INDEX($L$8:$M$8,E108))^2+($C108-INDEX($L$9:$M$9,E108))^2+($D108-INDEX($L$10:$M$10,E108))^2</f>
        <v>0.647086424441182</v>
      </c>
      <c r="G108" s="17" t="n">
        <f aca="false">IF(COUNTIF(Distance_Matrix!$E$8:$DQ$8,$E108)&lt;=1,0,SUMIF(Distance_Matrix!$E$8:$DQ$8,$E108,Distance_Matrix!$E$107:$DQ$107)/(COUNTIF(Distance_Matrix!$E$8:$DQ$8,$E108)-1))</f>
        <v>1.13679454929753</v>
      </c>
      <c r="H108" s="17" t="n">
        <f aca="false">MIN(IF(1=$E108,1E+099,IF(COUNTIF(Distance_Matrix!$E$8:$DQ$8,1)=0,1E+099,SUMIF(Distance_Matrix!$E$8:$DQ$8,1,Distance_Matrix!$E$107:$DQ$107)/COUNTIF(Distance_Matrix!$E$8:$DQ$8,1))),IF(2=$E108,1E+099,IF(COUNTIF(Distance_Matrix!$E$8:$DQ$8,2)=0,1E+099,SUMIF(Distance_Matrix!$E$8:$DQ$8,2,Distance_Matrix!$E$107:$DQ$107)/COUNTIF(Distance_Matrix!$E$8:$DQ$8,2))))</f>
        <v>3.58373421732228</v>
      </c>
      <c r="I108" s="17" t="n">
        <f aca="false">IF(COUNTIF(Distance_Matrix!$E$8:$DQ$8,$E108)&lt;=1,0,(H108-G108)/MAX(G108,H108))</f>
        <v>0.682790497185106</v>
      </c>
      <c r="X108" s="17" t="n">
        <f aca="false">SQRT(($B108-X$8)^2+($C108-X$9)^2+($D108-X$10)^2)</f>
        <v>7.66896199778013</v>
      </c>
      <c r="Y108" s="17" t="n">
        <f aca="false">SQRT(($B108-Y$8)^2+($C108-Y$9)^2+($D108-Y$10)^2)</f>
        <v>1.19842650383034</v>
      </c>
      <c r="Z108" s="63" t="n">
        <f aca="false">MATCH(MIN(X108:Y108),X108:Y108,0)</f>
        <v>2</v>
      </c>
      <c r="AB108" s="17" t="n">
        <f aca="false">SQRT(($B108-AB$8)^2+($C108-AB$9)^2+($D108-AB$10)^2)</f>
        <v>5.13372818423202</v>
      </c>
      <c r="AC108" s="17" t="n">
        <f aca="false">SQRT(($B108-AC$8)^2+($C108-AC$9)^2+($D108-AC$10)^2)</f>
        <v>1.27834650932323</v>
      </c>
      <c r="AD108" s="63" t="n">
        <f aca="false">MATCH(MIN(AB108:AC108),AB108:AC108,0)</f>
        <v>2</v>
      </c>
      <c r="AF108" s="17" t="n">
        <f aca="false">SQRT(($B108-AF$8)^2+($C108-AF$9)^2+($D108-AF$10)^2)</f>
        <v>4.51916091793492</v>
      </c>
      <c r="AG108" s="17" t="n">
        <f aca="false">SQRT(($B108-AG$8)^2+($C108-AG$9)^2+($D108-AG$10)^2)</f>
        <v>1.18616754206972</v>
      </c>
      <c r="AH108" s="63" t="n">
        <f aca="false">MATCH(MIN(AF108:AG108),AF108:AG108,0)</f>
        <v>2</v>
      </c>
      <c r="AJ108" s="17" t="n">
        <f aca="false">SQRT(($B108-AJ$8)^2+($C108-AJ$9)^2+($D108-AJ$10)^2)</f>
        <v>3.92701486280297</v>
      </c>
      <c r="AK108" s="17" t="n">
        <f aca="false">SQRT(($B108-AK$8)^2+($C108-AK$9)^2+($D108-AK$10)^2)</f>
        <v>0.993407525858561</v>
      </c>
      <c r="AL108" s="63" t="n">
        <f aca="false">MATCH(MIN(AJ108:AK108),AJ108:AK108,0)</f>
        <v>2</v>
      </c>
      <c r="AN108" s="17" t="n">
        <f aca="false">SQRT(($B108-AN$8)^2+($C108-AN$9)^2+($D108-AN$10)^2)</f>
        <v>3.73648306507706</v>
      </c>
      <c r="AO108" s="17" t="n">
        <f aca="false">SQRT(($B108-AO$8)^2+($C108-AO$9)^2+($D108-AO$10)^2)</f>
        <v>0.888055273274788</v>
      </c>
      <c r="AP108" s="63" t="n">
        <f aca="false">MATCH(MIN(AN108:AO108),AN108:AO108,0)</f>
        <v>2</v>
      </c>
      <c r="AR108" s="17" t="n">
        <f aca="false">SQRT(($B108-AR$8)^2+($C108-AR$9)^2+($D108-AR$10)^2)</f>
        <v>3.61382222135425</v>
      </c>
      <c r="AS108" s="17" t="n">
        <f aca="false">SQRT(($B108-AS$8)^2+($C108-AS$9)^2+($D108-AS$10)^2)</f>
        <v>0.835260306328369</v>
      </c>
      <c r="AT108" s="63" t="n">
        <f aca="false">MATCH(MIN(AR108:AS108),AR108:AS108,0)</f>
        <v>2</v>
      </c>
      <c r="AV108" s="17" t="n">
        <f aca="false">SQRT(($B108-AV$8)^2+($C108-AV$9)^2+($D108-AV$10)^2)</f>
        <v>3.57393277890224</v>
      </c>
      <c r="AW108" s="17" t="n">
        <f aca="false">SQRT(($B108-AW$8)^2+($C108-AW$9)^2+($D108-AW$10)^2)</f>
        <v>0.819400651320351</v>
      </c>
      <c r="AX108" s="63" t="n">
        <f aca="false">MATCH(MIN(AV108:AW108),AV108:AW108,0)</f>
        <v>2</v>
      </c>
      <c r="AZ108" s="17" t="n">
        <f aca="false">SQRT(($B108-AZ$8)^2+($C108-AZ$9)^2+($D108-AZ$10)^2)</f>
        <v>3.53407386506266</v>
      </c>
      <c r="BA108" s="17" t="n">
        <f aca="false">SQRT(($B108-BA$8)^2+($C108-BA$9)^2+($D108-BA$10)^2)</f>
        <v>0.804416822574703</v>
      </c>
      <c r="BB108" s="63" t="n">
        <f aca="false">MATCH(MIN(AZ108:BA108),AZ108:BA108,0)</f>
        <v>2</v>
      </c>
      <c r="BD108" s="17" t="n">
        <f aca="false">SQRT(($B108-BD$8)^2+($C108-BD$9)^2+($D108-BD$10)^2)</f>
        <v>3.53407386506266</v>
      </c>
      <c r="BE108" s="17" t="n">
        <f aca="false">SQRT(($B108-BE$8)^2+($C108-BE$9)^2+($D108-BE$10)^2)</f>
        <v>0.804416822574703</v>
      </c>
      <c r="BF108" s="63" t="n">
        <f aca="false">MATCH(MIN(BD108:BE108),BD108:BE108,0)</f>
        <v>2</v>
      </c>
      <c r="BH108" s="17" t="n">
        <f aca="false">SQRT(($B108-BH$8)^2+($C108-BH$9)^2+($D108-BH$10)^2)</f>
        <v>3.53407386506266</v>
      </c>
      <c r="BI108" s="17" t="n">
        <f aca="false">SQRT(($B108-BI$8)^2+($C108-BI$9)^2+($D108-BI$10)^2)</f>
        <v>0.804416822574703</v>
      </c>
      <c r="BJ108" s="63" t="n">
        <f aca="false">MATCH(MIN(BH108:BI108),BH108:BI108,0)</f>
        <v>2</v>
      </c>
      <c r="BL108" s="17" t="n">
        <f aca="false">SQRT(($B108-BL$8)^2+($C108-BL$9)^2+($D108-BL$10)^2)</f>
        <v>3.53407386506266</v>
      </c>
      <c r="BM108" s="17" t="n">
        <f aca="false">SQRT(($B108-BM$8)^2+($C108-BM$9)^2+($D108-BM$10)^2)</f>
        <v>0.804416822574703</v>
      </c>
      <c r="BN108" s="63" t="n">
        <f aca="false">MATCH(MIN(BL108:BM108),BL108:BM108,0)</f>
        <v>2</v>
      </c>
      <c r="BP108" s="17" t="n">
        <f aca="false">SQRT(($B108-BP$8)^2+($C108-BP$9)^2+($D108-BP$10)^2)</f>
        <v>3.53407386506266</v>
      </c>
      <c r="BQ108" s="17" t="n">
        <f aca="false">SQRT(($B108-BQ$8)^2+($C108-BQ$9)^2+($D108-BQ$10)^2)</f>
        <v>0.804416822574703</v>
      </c>
      <c r="BR108" s="63" t="n">
        <f aca="false">MATCH(MIN(BP108:BQ108),BP108:BQ108,0)</f>
        <v>2</v>
      </c>
    </row>
    <row r="109" customFormat="false" ht="15" hidden="false" customHeight="false" outlineLevel="0" collapsed="false">
      <c r="A109" s="36" t="str">
        <f aca="false">KMeans_Data!A99</f>
        <v>Umerkot</v>
      </c>
      <c r="B109" s="17" t="n">
        <f aca="false">KMeans_Data!H99</f>
        <v>-0.881311477972984</v>
      </c>
      <c r="C109" s="17" t="n">
        <f aca="false">KMeans_Data!I99</f>
        <v>-0.146983133929529</v>
      </c>
      <c r="D109" s="17" t="n">
        <f aca="false">KMeans_Data!J99</f>
        <v>-0.824446015898766</v>
      </c>
      <c r="E109" s="63" t="n">
        <f aca="false">BR109</f>
        <v>2</v>
      </c>
      <c r="F109" s="38" t="n">
        <f aca="false">($B109-INDEX($L$8:$M$8,E109))^2+($C109-INDEX($L$9:$M$9,E109))^2+($D109-INDEX($L$10:$M$10,E109))^2</f>
        <v>0.441000647664999</v>
      </c>
      <c r="G109" s="17" t="n">
        <f aca="false">IF(COUNTIF(Distance_Matrix!$E$8:$DQ$8,$E109)&lt;=1,0,SUMIF(Distance_Matrix!$E$8:$DQ$8,$E109,Distance_Matrix!$E$108:$DQ$108)/(COUNTIF(Distance_Matrix!$E$8:$DQ$8,$E109)-1))</f>
        <v>1.14019015346006</v>
      </c>
      <c r="H109" s="17" t="n">
        <f aca="false">MIN(IF(1=$E109,1E+099,IF(COUNTIF(Distance_Matrix!$E$8:$DQ$8,1)=0,1E+099,SUMIF(Distance_Matrix!$E$8:$DQ$8,1,Distance_Matrix!$E$108:$DQ$108)/COUNTIF(Distance_Matrix!$E$8:$DQ$8,1))),IF(2=$E109,1E+099,IF(COUNTIF(Distance_Matrix!$E$8:$DQ$8,2)=0,1E+099,SUMIF(Distance_Matrix!$E$8:$DQ$8,2,Distance_Matrix!$E$108:$DQ$108)/COUNTIF(Distance_Matrix!$E$8:$DQ$8,2))))</f>
        <v>3.13260654534729</v>
      </c>
      <c r="I109" s="17" t="n">
        <f aca="false">IF(COUNTIF(Distance_Matrix!$E$8:$DQ$8,$E109)&lt;=1,0,(H109-G109)/MAX(G109,H109))</f>
        <v>0.636025100198578</v>
      </c>
      <c r="X109" s="17" t="n">
        <f aca="false">SQRT(($B109-X$8)^2+($C109-X$9)^2+($D109-X$10)^2)</f>
        <v>7.1703290216323</v>
      </c>
      <c r="Y109" s="17" t="n">
        <f aca="false">SQRT(($B109-Y$8)^2+($C109-Y$9)^2+($D109-Y$10)^2)</f>
        <v>1.34748674660483</v>
      </c>
      <c r="Z109" s="63" t="n">
        <f aca="false">MATCH(MIN(X109:Y109),X109:Y109,0)</f>
        <v>2</v>
      </c>
      <c r="AB109" s="17" t="n">
        <f aca="false">SQRT(($B109-AB$8)^2+($C109-AB$9)^2+($D109-AB$10)^2)</f>
        <v>4.65006889879757</v>
      </c>
      <c r="AC109" s="17" t="n">
        <f aca="false">SQRT(($B109-AC$8)^2+($C109-AC$9)^2+($D109-AC$10)^2)</f>
        <v>0.95570139863265</v>
      </c>
      <c r="AD109" s="63" t="n">
        <f aca="false">MATCH(MIN(AB109:AC109),AB109:AC109,0)</f>
        <v>2</v>
      </c>
      <c r="AF109" s="17" t="n">
        <f aca="false">SQRT(($B109-AF$8)^2+($C109-AF$9)^2+($D109-AF$10)^2)</f>
        <v>4.03698363799515</v>
      </c>
      <c r="AG109" s="17" t="n">
        <f aca="false">SQRT(($B109-AG$8)^2+($C109-AG$9)^2+($D109-AG$10)^2)</f>
        <v>0.890861388262539</v>
      </c>
      <c r="AH109" s="63" t="n">
        <f aca="false">MATCH(MIN(AF109:AG109),AF109:AG109,0)</f>
        <v>2</v>
      </c>
      <c r="AJ109" s="17" t="n">
        <f aca="false">SQRT(($B109-AJ$8)^2+($C109-AJ$9)^2+($D109-AJ$10)^2)</f>
        <v>3.44774888560577</v>
      </c>
      <c r="AK109" s="17" t="n">
        <f aca="false">SQRT(($B109-AK$8)^2+($C109-AK$9)^2+($D109-AK$10)^2)</f>
        <v>0.771126209491354</v>
      </c>
      <c r="AL109" s="63" t="n">
        <f aca="false">MATCH(MIN(AJ109:AK109),AJ109:AK109,0)</f>
        <v>2</v>
      </c>
      <c r="AN109" s="17" t="n">
        <f aca="false">SQRT(($B109-AN$8)^2+($C109-AN$9)^2+($D109-AN$10)^2)</f>
        <v>3.26700934356189</v>
      </c>
      <c r="AO109" s="17" t="n">
        <f aca="false">SQRT(($B109-AO$8)^2+($C109-AO$9)^2+($D109-AO$10)^2)</f>
        <v>0.7014287474452</v>
      </c>
      <c r="AP109" s="63" t="n">
        <f aca="false">MATCH(MIN(AN109:AO109),AN109:AO109,0)</f>
        <v>2</v>
      </c>
      <c r="AR109" s="17" t="n">
        <f aca="false">SQRT(($B109-AR$8)^2+($C109-AR$9)^2+($D109-AR$10)^2)</f>
        <v>3.14802100327008</v>
      </c>
      <c r="AS109" s="17" t="n">
        <f aca="false">SQRT(($B109-AS$8)^2+($C109-AS$9)^2+($D109-AS$10)^2)</f>
        <v>0.673444868654113</v>
      </c>
      <c r="AT109" s="63" t="n">
        <f aca="false">MATCH(MIN(AR109:AS109),AR109:AS109,0)</f>
        <v>2</v>
      </c>
      <c r="AV109" s="17" t="n">
        <f aca="false">SQRT(($B109-AV$8)^2+($C109-AV$9)^2+($D109-AV$10)^2)</f>
        <v>3.10926804713452</v>
      </c>
      <c r="AW109" s="17" t="n">
        <f aca="false">SQRT(($B109-AW$8)^2+($C109-AW$9)^2+($D109-AW$10)^2)</f>
        <v>0.666464597600759</v>
      </c>
      <c r="AX109" s="63" t="n">
        <f aca="false">MATCH(MIN(AV109:AW109),AV109:AW109,0)</f>
        <v>2</v>
      </c>
      <c r="AZ109" s="17" t="n">
        <f aca="false">SQRT(($B109-AZ$8)^2+($C109-AZ$9)^2+($D109-AZ$10)^2)</f>
        <v>3.06869645507558</v>
      </c>
      <c r="BA109" s="17" t="n">
        <f aca="false">SQRT(($B109-BA$8)^2+($C109-BA$9)^2+($D109-BA$10)^2)</f>
        <v>0.664078796277218</v>
      </c>
      <c r="BB109" s="63" t="n">
        <f aca="false">MATCH(MIN(AZ109:BA109),AZ109:BA109,0)</f>
        <v>2</v>
      </c>
      <c r="BD109" s="17" t="n">
        <f aca="false">SQRT(($B109-BD$8)^2+($C109-BD$9)^2+($D109-BD$10)^2)</f>
        <v>3.06869645507558</v>
      </c>
      <c r="BE109" s="17" t="n">
        <f aca="false">SQRT(($B109-BE$8)^2+($C109-BE$9)^2+($D109-BE$10)^2)</f>
        <v>0.664078796277218</v>
      </c>
      <c r="BF109" s="63" t="n">
        <f aca="false">MATCH(MIN(BD109:BE109),BD109:BE109,0)</f>
        <v>2</v>
      </c>
      <c r="BH109" s="17" t="n">
        <f aca="false">SQRT(($B109-BH$8)^2+($C109-BH$9)^2+($D109-BH$10)^2)</f>
        <v>3.06869645507558</v>
      </c>
      <c r="BI109" s="17" t="n">
        <f aca="false">SQRT(($B109-BI$8)^2+($C109-BI$9)^2+($D109-BI$10)^2)</f>
        <v>0.664078796277218</v>
      </c>
      <c r="BJ109" s="63" t="n">
        <f aca="false">MATCH(MIN(BH109:BI109),BH109:BI109,0)</f>
        <v>2</v>
      </c>
      <c r="BL109" s="17" t="n">
        <f aca="false">SQRT(($B109-BL$8)^2+($C109-BL$9)^2+($D109-BL$10)^2)</f>
        <v>3.06869645507558</v>
      </c>
      <c r="BM109" s="17" t="n">
        <f aca="false">SQRT(($B109-BM$8)^2+($C109-BM$9)^2+($D109-BM$10)^2)</f>
        <v>0.664078796277218</v>
      </c>
      <c r="BN109" s="63" t="n">
        <f aca="false">MATCH(MIN(BL109:BM109),BL109:BM109,0)</f>
        <v>2</v>
      </c>
      <c r="BP109" s="17" t="n">
        <f aca="false">SQRT(($B109-BP$8)^2+($C109-BP$9)^2+($D109-BP$10)^2)</f>
        <v>3.06869645507558</v>
      </c>
      <c r="BQ109" s="17" t="n">
        <f aca="false">SQRT(($B109-BQ$8)^2+($C109-BQ$9)^2+($D109-BQ$10)^2)</f>
        <v>0.664078796277218</v>
      </c>
      <c r="BR109" s="63" t="n">
        <f aca="false">MATCH(MIN(BP109:BQ109),BP109:BQ109,0)</f>
        <v>2</v>
      </c>
    </row>
    <row r="110" customFormat="false" ht="15" hidden="false" customHeight="false" outlineLevel="0" collapsed="false">
      <c r="A110" s="36" t="str">
        <f aca="false">KMeans_Data!A100</f>
        <v>Tando Allahyar</v>
      </c>
      <c r="B110" s="17" t="n">
        <f aca="false">KMeans_Data!H100</f>
        <v>-0.881311477972984</v>
      </c>
      <c r="C110" s="17" t="n">
        <f aca="false">KMeans_Data!I100</f>
        <v>-0.672650545388274</v>
      </c>
      <c r="D110" s="17" t="n">
        <f aca="false">KMeans_Data!J100</f>
        <v>0.265159896369606</v>
      </c>
      <c r="E110" s="63" t="n">
        <f aca="false">BR110</f>
        <v>2</v>
      </c>
      <c r="F110" s="38" t="n">
        <f aca="false">($B110-INDEX($L$8:$M$8,E110))^2+($C110-INDEX($L$9:$M$9,E110))^2+($D110-INDEX($L$10:$M$10,E110))^2</f>
        <v>0.783170220876896</v>
      </c>
      <c r="G110" s="17" t="n">
        <f aca="false">IF(COUNTIF(Distance_Matrix!$E$8:$DQ$8,$E110)&lt;=1,0,SUMIF(Distance_Matrix!$E$8:$DQ$8,$E110,Distance_Matrix!$E$109:$DQ$109)/(COUNTIF(Distance_Matrix!$E$8:$DQ$8,$E110)-1))</f>
        <v>1.28106715252453</v>
      </c>
      <c r="H110" s="17" t="n">
        <f aca="false">MIN(IF(1=$E110,1E+099,IF(COUNTIF(Distance_Matrix!$E$8:$DQ$8,1)=0,1E+099,SUMIF(Distance_Matrix!$E$8:$DQ$8,1,Distance_Matrix!$E$109:$DQ$109)/COUNTIF(Distance_Matrix!$E$8:$DQ$8,1))),IF(2=$E110,1E+099,IF(COUNTIF(Distance_Matrix!$E$8:$DQ$8,2)=0,1E+099,SUMIF(Distance_Matrix!$E$8:$DQ$8,2,Distance_Matrix!$E$109:$DQ$109)/COUNTIF(Distance_Matrix!$E$8:$DQ$8,2))))</f>
        <v>2.88731197527262</v>
      </c>
      <c r="I110" s="17" t="n">
        <f aca="false">IF(COUNTIF(Distance_Matrix!$E$8:$DQ$8,$E110)&lt;=1,0,(H110-G110)/MAX(G110,H110))</f>
        <v>0.55631148850703</v>
      </c>
      <c r="X110" s="17" t="n">
        <f aca="false">SQRT(($B110-X$8)^2+($C110-X$9)^2+($D110-X$10)^2)</f>
        <v>6.95650104174171</v>
      </c>
      <c r="Y110" s="17" t="n">
        <f aca="false">SQRT(($B110-Y$8)^2+($C110-Y$9)^2+($D110-Y$10)^2)</f>
        <v>1.8511061685766</v>
      </c>
      <c r="Z110" s="63" t="n">
        <f aca="false">MATCH(MIN(X110:Y110),X110:Y110,0)</f>
        <v>2</v>
      </c>
      <c r="AB110" s="17" t="n">
        <f aca="false">SQRT(($B110-AB$8)^2+($C110-AB$9)^2+($D110-AB$10)^2)</f>
        <v>4.45509193466012</v>
      </c>
      <c r="AC110" s="17" t="n">
        <f aca="false">SQRT(($B110-AC$8)^2+($C110-AC$9)^2+($D110-AC$10)^2)</f>
        <v>0.940237935399261</v>
      </c>
      <c r="AD110" s="63" t="n">
        <f aca="false">MATCH(MIN(AB110:AC110),AB110:AC110,0)</f>
        <v>2</v>
      </c>
      <c r="AF110" s="17" t="n">
        <f aca="false">SQRT(($B110-AF$8)^2+($C110-AF$9)^2+($D110-AF$10)^2)</f>
        <v>3.85365537355333</v>
      </c>
      <c r="AG110" s="17" t="n">
        <f aca="false">SQRT(($B110-AG$8)^2+($C110-AG$9)^2+($D110-AG$10)^2)</f>
        <v>0.895300131279836</v>
      </c>
      <c r="AH110" s="63" t="n">
        <f aca="false">MATCH(MIN(AF110:AG110),AF110:AG110,0)</f>
        <v>2</v>
      </c>
      <c r="AJ110" s="17" t="n">
        <f aca="false">SQRT(($B110-AJ$8)^2+($C110-AJ$9)^2+($D110-AJ$10)^2)</f>
        <v>3.23854358064527</v>
      </c>
      <c r="AK110" s="17" t="n">
        <f aca="false">SQRT(($B110-AK$8)^2+($C110-AK$9)^2+($D110-AK$10)^2)</f>
        <v>0.86468582445672</v>
      </c>
      <c r="AL110" s="63" t="n">
        <f aca="false">MATCH(MIN(AJ110:AK110),AJ110:AK110,0)</f>
        <v>2</v>
      </c>
      <c r="AN110" s="17" t="n">
        <f aca="false">SQRT(($B110-AN$8)^2+($C110-AN$9)^2+($D110-AN$10)^2)</f>
        <v>3.03209374549262</v>
      </c>
      <c r="AO110" s="17" t="n">
        <f aca="false">SQRT(($B110-AO$8)^2+($C110-AO$9)^2+($D110-AO$10)^2)</f>
        <v>0.873011412605311</v>
      </c>
      <c r="AP110" s="63" t="n">
        <f aca="false">MATCH(MIN(AN110:AO110),AN110:AO110,0)</f>
        <v>2</v>
      </c>
      <c r="AR110" s="17" t="n">
        <f aca="false">SQRT(($B110-AR$8)^2+($C110-AR$9)^2+($D110-AR$10)^2)</f>
        <v>2.90863268056347</v>
      </c>
      <c r="AS110" s="17" t="n">
        <f aca="false">SQRT(($B110-AS$8)^2+($C110-AS$9)^2+($D110-AS$10)^2)</f>
        <v>0.880021801965676</v>
      </c>
      <c r="AT110" s="63" t="n">
        <f aca="false">MATCH(MIN(AR110:AS110),AR110:AS110,0)</f>
        <v>2</v>
      </c>
      <c r="AV110" s="17" t="n">
        <f aca="false">SQRT(($B110-AV$8)^2+($C110-AV$9)^2+($D110-AV$10)^2)</f>
        <v>2.87199942548464</v>
      </c>
      <c r="AW110" s="17" t="n">
        <f aca="false">SQRT(($B110-AW$8)^2+($C110-AW$9)^2+($D110-AW$10)^2)</f>
        <v>0.879678483732257</v>
      </c>
      <c r="AX110" s="63" t="n">
        <f aca="false">MATCH(MIN(AV110:AW110),AV110:AW110,0)</f>
        <v>2</v>
      </c>
      <c r="AZ110" s="17" t="n">
        <f aca="false">SQRT(($B110-AZ$8)^2+($C110-AZ$9)^2+($D110-AZ$10)^2)</f>
        <v>2.83167569348075</v>
      </c>
      <c r="BA110" s="17" t="n">
        <f aca="false">SQRT(($B110-BA$8)^2+($C110-BA$9)^2+($D110-BA$10)^2)</f>
        <v>0.884969050801719</v>
      </c>
      <c r="BB110" s="63" t="n">
        <f aca="false">MATCH(MIN(AZ110:BA110),AZ110:BA110,0)</f>
        <v>2</v>
      </c>
      <c r="BD110" s="17" t="n">
        <f aca="false">SQRT(($B110-BD$8)^2+($C110-BD$9)^2+($D110-BD$10)^2)</f>
        <v>2.83167569348075</v>
      </c>
      <c r="BE110" s="17" t="n">
        <f aca="false">SQRT(($B110-BE$8)^2+($C110-BE$9)^2+($D110-BE$10)^2)</f>
        <v>0.884969050801719</v>
      </c>
      <c r="BF110" s="63" t="n">
        <f aca="false">MATCH(MIN(BD110:BE110),BD110:BE110,0)</f>
        <v>2</v>
      </c>
      <c r="BH110" s="17" t="n">
        <f aca="false">SQRT(($B110-BH$8)^2+($C110-BH$9)^2+($D110-BH$10)^2)</f>
        <v>2.83167569348075</v>
      </c>
      <c r="BI110" s="17" t="n">
        <f aca="false">SQRT(($B110-BI$8)^2+($C110-BI$9)^2+($D110-BI$10)^2)</f>
        <v>0.884969050801719</v>
      </c>
      <c r="BJ110" s="63" t="n">
        <f aca="false">MATCH(MIN(BH110:BI110),BH110:BI110,0)</f>
        <v>2</v>
      </c>
      <c r="BL110" s="17" t="n">
        <f aca="false">SQRT(($B110-BL$8)^2+($C110-BL$9)^2+($D110-BL$10)^2)</f>
        <v>2.83167569348075</v>
      </c>
      <c r="BM110" s="17" t="n">
        <f aca="false">SQRT(($B110-BM$8)^2+($C110-BM$9)^2+($D110-BM$10)^2)</f>
        <v>0.884969050801719</v>
      </c>
      <c r="BN110" s="63" t="n">
        <f aca="false">MATCH(MIN(BL110:BM110),BL110:BM110,0)</f>
        <v>2</v>
      </c>
      <c r="BP110" s="17" t="n">
        <f aca="false">SQRT(($B110-BP$8)^2+($C110-BP$9)^2+($D110-BP$10)^2)</f>
        <v>2.83167569348075</v>
      </c>
      <c r="BQ110" s="17" t="n">
        <f aca="false">SQRT(($B110-BQ$8)^2+($C110-BQ$9)^2+($D110-BQ$10)^2)</f>
        <v>0.884969050801719</v>
      </c>
      <c r="BR110" s="63" t="n">
        <f aca="false">MATCH(MIN(BP110:BQ110),BP110:BQ110,0)</f>
        <v>2</v>
      </c>
    </row>
    <row r="111" customFormat="false" ht="15" hidden="false" customHeight="false" outlineLevel="0" collapsed="false">
      <c r="A111" s="36" t="str">
        <f aca="false">KMeans_Data!A101</f>
        <v>Mirpur</v>
      </c>
      <c r="B111" s="17" t="n">
        <f aca="false">KMeans_Data!H101</f>
        <v>-0.881311477972984</v>
      </c>
      <c r="C111" s="17" t="n">
        <f aca="false">KMeans_Data!I101</f>
        <v>-0.672650545388274</v>
      </c>
      <c r="D111" s="17" t="n">
        <f aca="false">KMeans_Data!J101</f>
        <v>-1.14564411633355</v>
      </c>
      <c r="E111" s="63" t="n">
        <f aca="false">BR111</f>
        <v>2</v>
      </c>
      <c r="F111" s="38" t="n">
        <f aca="false">($B111-INDEX($L$8:$M$8,E111))^2+($C111-INDEX($L$9:$M$9,E111))^2+($D111-INDEX($L$10:$M$10,E111))^2</f>
        <v>0.647086424441182</v>
      </c>
      <c r="G111" s="17" t="n">
        <f aca="false">IF(COUNTIF(Distance_Matrix!$E$8:$DQ$8,$E111)&lt;=1,0,SUMIF(Distance_Matrix!$E$8:$DQ$8,$E111,Distance_Matrix!$E$110:$DQ$110)/(COUNTIF(Distance_Matrix!$E$8:$DQ$8,$E111)-1))</f>
        <v>1.13679454929753</v>
      </c>
      <c r="H111" s="17" t="n">
        <f aca="false">MIN(IF(1=$E111,1E+099,IF(COUNTIF(Distance_Matrix!$E$8:$DQ$8,1)=0,1E+099,SUMIF(Distance_Matrix!$E$8:$DQ$8,1,Distance_Matrix!$E$110:$DQ$110)/COUNTIF(Distance_Matrix!$E$8:$DQ$8,1))),IF(2=$E111,1E+099,IF(COUNTIF(Distance_Matrix!$E$8:$DQ$8,2)=0,1E+099,SUMIF(Distance_Matrix!$E$8:$DQ$8,2,Distance_Matrix!$E$110:$DQ$110)/COUNTIF(Distance_Matrix!$E$8:$DQ$8,2))))</f>
        <v>3.58373421732228</v>
      </c>
      <c r="I111" s="17" t="n">
        <f aca="false">IF(COUNTIF(Distance_Matrix!$E$8:$DQ$8,$E111)&lt;=1,0,(H111-G111)/MAX(G111,H111))</f>
        <v>0.682790497185106</v>
      </c>
      <c r="X111" s="17" t="n">
        <f aca="false">SQRT(($B111-X$8)^2+($C111-X$9)^2+($D111-X$10)^2)</f>
        <v>7.66896199778013</v>
      </c>
      <c r="Y111" s="17" t="n">
        <f aca="false">SQRT(($B111-Y$8)^2+($C111-Y$9)^2+($D111-Y$10)^2)</f>
        <v>1.19842650383034</v>
      </c>
      <c r="Z111" s="63" t="n">
        <f aca="false">MATCH(MIN(X111:Y111),X111:Y111,0)</f>
        <v>2</v>
      </c>
      <c r="AB111" s="17" t="n">
        <f aca="false">SQRT(($B111-AB$8)^2+($C111-AB$9)^2+($D111-AB$10)^2)</f>
        <v>5.13372818423202</v>
      </c>
      <c r="AC111" s="17" t="n">
        <f aca="false">SQRT(($B111-AC$8)^2+($C111-AC$9)^2+($D111-AC$10)^2)</f>
        <v>1.27834650932323</v>
      </c>
      <c r="AD111" s="63" t="n">
        <f aca="false">MATCH(MIN(AB111:AC111),AB111:AC111,0)</f>
        <v>2</v>
      </c>
      <c r="AF111" s="17" t="n">
        <f aca="false">SQRT(($B111-AF$8)^2+($C111-AF$9)^2+($D111-AF$10)^2)</f>
        <v>4.51916091793492</v>
      </c>
      <c r="AG111" s="17" t="n">
        <f aca="false">SQRT(($B111-AG$8)^2+($C111-AG$9)^2+($D111-AG$10)^2)</f>
        <v>1.18616754206972</v>
      </c>
      <c r="AH111" s="63" t="n">
        <f aca="false">MATCH(MIN(AF111:AG111),AF111:AG111,0)</f>
        <v>2</v>
      </c>
      <c r="AJ111" s="17" t="n">
        <f aca="false">SQRT(($B111-AJ$8)^2+($C111-AJ$9)^2+($D111-AJ$10)^2)</f>
        <v>3.92701486280297</v>
      </c>
      <c r="AK111" s="17" t="n">
        <f aca="false">SQRT(($B111-AK$8)^2+($C111-AK$9)^2+($D111-AK$10)^2)</f>
        <v>0.993407525858561</v>
      </c>
      <c r="AL111" s="63" t="n">
        <f aca="false">MATCH(MIN(AJ111:AK111),AJ111:AK111,0)</f>
        <v>2</v>
      </c>
      <c r="AN111" s="17" t="n">
        <f aca="false">SQRT(($B111-AN$8)^2+($C111-AN$9)^2+($D111-AN$10)^2)</f>
        <v>3.73648306507706</v>
      </c>
      <c r="AO111" s="17" t="n">
        <f aca="false">SQRT(($B111-AO$8)^2+($C111-AO$9)^2+($D111-AO$10)^2)</f>
        <v>0.888055273274788</v>
      </c>
      <c r="AP111" s="63" t="n">
        <f aca="false">MATCH(MIN(AN111:AO111),AN111:AO111,0)</f>
        <v>2</v>
      </c>
      <c r="AR111" s="17" t="n">
        <f aca="false">SQRT(($B111-AR$8)^2+($C111-AR$9)^2+($D111-AR$10)^2)</f>
        <v>3.61382222135425</v>
      </c>
      <c r="AS111" s="17" t="n">
        <f aca="false">SQRT(($B111-AS$8)^2+($C111-AS$9)^2+($D111-AS$10)^2)</f>
        <v>0.835260306328369</v>
      </c>
      <c r="AT111" s="63" t="n">
        <f aca="false">MATCH(MIN(AR111:AS111),AR111:AS111,0)</f>
        <v>2</v>
      </c>
      <c r="AV111" s="17" t="n">
        <f aca="false">SQRT(($B111-AV$8)^2+($C111-AV$9)^2+($D111-AV$10)^2)</f>
        <v>3.57393277890224</v>
      </c>
      <c r="AW111" s="17" t="n">
        <f aca="false">SQRT(($B111-AW$8)^2+($C111-AW$9)^2+($D111-AW$10)^2)</f>
        <v>0.819400651320351</v>
      </c>
      <c r="AX111" s="63" t="n">
        <f aca="false">MATCH(MIN(AV111:AW111),AV111:AW111,0)</f>
        <v>2</v>
      </c>
      <c r="AZ111" s="17" t="n">
        <f aca="false">SQRT(($B111-AZ$8)^2+($C111-AZ$9)^2+($D111-AZ$10)^2)</f>
        <v>3.53407386506266</v>
      </c>
      <c r="BA111" s="17" t="n">
        <f aca="false">SQRT(($B111-BA$8)^2+($C111-BA$9)^2+($D111-BA$10)^2)</f>
        <v>0.804416822574703</v>
      </c>
      <c r="BB111" s="63" t="n">
        <f aca="false">MATCH(MIN(AZ111:BA111),AZ111:BA111,0)</f>
        <v>2</v>
      </c>
      <c r="BD111" s="17" t="n">
        <f aca="false">SQRT(($B111-BD$8)^2+($C111-BD$9)^2+($D111-BD$10)^2)</f>
        <v>3.53407386506266</v>
      </c>
      <c r="BE111" s="17" t="n">
        <f aca="false">SQRT(($B111-BE$8)^2+($C111-BE$9)^2+($D111-BE$10)^2)</f>
        <v>0.804416822574703</v>
      </c>
      <c r="BF111" s="63" t="n">
        <f aca="false">MATCH(MIN(BD111:BE111),BD111:BE111,0)</f>
        <v>2</v>
      </c>
      <c r="BH111" s="17" t="n">
        <f aca="false">SQRT(($B111-BH$8)^2+($C111-BH$9)^2+($D111-BH$10)^2)</f>
        <v>3.53407386506266</v>
      </c>
      <c r="BI111" s="17" t="n">
        <f aca="false">SQRT(($B111-BI$8)^2+($C111-BI$9)^2+($D111-BI$10)^2)</f>
        <v>0.804416822574703</v>
      </c>
      <c r="BJ111" s="63" t="n">
        <f aca="false">MATCH(MIN(BH111:BI111),BH111:BI111,0)</f>
        <v>2</v>
      </c>
      <c r="BL111" s="17" t="n">
        <f aca="false">SQRT(($B111-BL$8)^2+($C111-BL$9)^2+($D111-BL$10)^2)</f>
        <v>3.53407386506266</v>
      </c>
      <c r="BM111" s="17" t="n">
        <f aca="false">SQRT(($B111-BM$8)^2+($C111-BM$9)^2+($D111-BM$10)^2)</f>
        <v>0.804416822574703</v>
      </c>
      <c r="BN111" s="63" t="n">
        <f aca="false">MATCH(MIN(BL111:BM111),BL111:BM111,0)</f>
        <v>2</v>
      </c>
      <c r="BP111" s="17" t="n">
        <f aca="false">SQRT(($B111-BP$8)^2+($C111-BP$9)^2+($D111-BP$10)^2)</f>
        <v>3.53407386506266</v>
      </c>
      <c r="BQ111" s="17" t="n">
        <f aca="false">SQRT(($B111-BQ$8)^2+($C111-BQ$9)^2+($D111-BQ$10)^2)</f>
        <v>0.804416822574703</v>
      </c>
      <c r="BR111" s="63" t="n">
        <f aca="false">MATCH(MIN(BP111:BQ111),BP111:BQ111,0)</f>
        <v>2</v>
      </c>
    </row>
    <row r="112" customFormat="false" ht="15" hidden="false" customHeight="false" outlineLevel="0" collapsed="false">
      <c r="A112" s="36" t="str">
        <f aca="false">KMeans_Data!A102</f>
        <v>Tank</v>
      </c>
      <c r="B112" s="17" t="n">
        <f aca="false">KMeans_Data!H102</f>
        <v>-0.936148467409663</v>
      </c>
      <c r="C112" s="17" t="n">
        <f aca="false">KMeans_Data!I102</f>
        <v>-0.672650545388274</v>
      </c>
      <c r="D112" s="17" t="n">
        <f aca="false">KMeans_Data!J102</f>
        <v>-0.0344812518432112</v>
      </c>
      <c r="E112" s="63" t="n">
        <f aca="false">BR112</f>
        <v>2</v>
      </c>
      <c r="F112" s="38" t="n">
        <f aca="false">($B112-INDEX($L$8:$M$8,E112))^2+($C112-INDEX($L$9:$M$9,E112))^2+($D112-INDEX($L$10:$M$10,E112))^2</f>
        <v>0.472262013250992</v>
      </c>
      <c r="G112" s="17" t="n">
        <f aca="false">IF(COUNTIF(Distance_Matrix!$E$8:$DQ$8,$E112)&lt;=1,0,SUMIF(Distance_Matrix!$E$8:$DQ$8,$E112,Distance_Matrix!$E$111:$DQ$111)/(COUNTIF(Distance_Matrix!$E$8:$DQ$8,$E112)-1))</f>
        <v>1.1578860192621</v>
      </c>
      <c r="H112" s="17" t="n">
        <f aca="false">MIN(IF(1=$E112,1E+099,IF(COUNTIF(Distance_Matrix!$E$8:$DQ$8,1)=0,1E+099,SUMIF(Distance_Matrix!$E$8:$DQ$8,1,Distance_Matrix!$E$111:$DQ$111)/COUNTIF(Distance_Matrix!$E$8:$DQ$8,1))),IF(2=$E112,1E+099,IF(COUNTIF(Distance_Matrix!$E$8:$DQ$8,2)=0,1E+099,SUMIF(Distance_Matrix!$E$8:$DQ$8,2,Distance_Matrix!$E$111:$DQ$111)/COUNTIF(Distance_Matrix!$E$8:$DQ$8,2))))</f>
        <v>3.02473455701392</v>
      </c>
      <c r="I112" s="17" t="n">
        <f aca="false">IF(COUNTIF(Distance_Matrix!$E$8:$DQ$8,$E112)&lt;=1,0,(H112-G112)/MAX(G112,H112))</f>
        <v>0.617194171112593</v>
      </c>
      <c r="X112" s="17" t="n">
        <f aca="false">SQRT(($B112-X$8)^2+($C112-X$9)^2+($D112-X$10)^2)</f>
        <v>7.12262940672578</v>
      </c>
      <c r="Y112" s="17" t="n">
        <f aca="false">SQRT(($B112-Y$8)^2+($C112-Y$9)^2+($D112-Y$10)^2)</f>
        <v>1.59451556557266</v>
      </c>
      <c r="Z112" s="63" t="n">
        <f aca="false">MATCH(MIN(X112:Y112),X112:Y112,0)</f>
        <v>2</v>
      </c>
      <c r="AB112" s="17" t="n">
        <f aca="false">SQRT(($B112-AB$8)^2+($C112-AB$9)^2+($D112-AB$10)^2)</f>
        <v>4.60577631237291</v>
      </c>
      <c r="AC112" s="17" t="n">
        <f aca="false">SQRT(($B112-AC$8)^2+($C112-AC$9)^2+($D112-AC$10)^2)</f>
        <v>0.888731705280505</v>
      </c>
      <c r="AD112" s="63" t="n">
        <f aca="false">MATCH(MIN(AB112:AC112),AB112:AC112,0)</f>
        <v>2</v>
      </c>
      <c r="AF112" s="17" t="n">
        <f aca="false">SQRT(($B112-AF$8)^2+($C112-AF$9)^2+($D112-AF$10)^2)</f>
        <v>3.99724221266321</v>
      </c>
      <c r="AG112" s="17" t="n">
        <f aca="false">SQRT(($B112-AG$8)^2+($C112-AG$9)^2+($D112-AG$10)^2)</f>
        <v>0.819035959636745</v>
      </c>
      <c r="AH112" s="63" t="n">
        <f aca="false">MATCH(MIN(AF112:AG112),AF112:AG112,0)</f>
        <v>2</v>
      </c>
      <c r="AJ112" s="17" t="n">
        <f aca="false">SQRT(($B112-AJ$8)^2+($C112-AJ$9)^2+($D112-AJ$10)^2)</f>
        <v>3.38194091778398</v>
      </c>
      <c r="AK112" s="17" t="n">
        <f aca="false">SQRT(($B112-AK$8)^2+($C112-AK$9)^2+($D112-AK$10)^2)</f>
        <v>0.72701194002363</v>
      </c>
      <c r="AL112" s="63" t="n">
        <f aca="false">MATCH(MIN(AJ112:AK112),AJ112:AK112,0)</f>
        <v>2</v>
      </c>
      <c r="AN112" s="17" t="n">
        <f aca="false">SQRT(($B112-AN$8)^2+($C112-AN$9)^2+($D112-AN$10)^2)</f>
        <v>3.17789275341881</v>
      </c>
      <c r="AO112" s="17" t="n">
        <f aca="false">SQRT(($B112-AO$8)^2+($C112-AO$9)^2+($D112-AO$10)^2)</f>
        <v>0.700723903040017</v>
      </c>
      <c r="AP112" s="63" t="n">
        <f aca="false">MATCH(MIN(AN112:AO112),AN112:AO112,0)</f>
        <v>2</v>
      </c>
      <c r="AR112" s="17" t="n">
        <f aca="false">SQRT(($B112-AR$8)^2+($C112-AR$9)^2+($D112-AR$10)^2)</f>
        <v>3.05338591714908</v>
      </c>
      <c r="AS112" s="17" t="n">
        <f aca="false">SQRT(($B112-AS$8)^2+($C112-AS$9)^2+($D112-AS$10)^2)</f>
        <v>0.691329555952479</v>
      </c>
      <c r="AT112" s="63" t="n">
        <f aca="false">MATCH(MIN(AR112:AS112),AR112:AS112,0)</f>
        <v>2</v>
      </c>
      <c r="AV112" s="17" t="n">
        <f aca="false">SQRT(($B112-AV$8)^2+($C112-AV$9)^2+($D112-AV$10)^2)</f>
        <v>3.01557390786825</v>
      </c>
      <c r="AW112" s="17" t="n">
        <f aca="false">SQRT(($B112-AW$8)^2+($C112-AW$9)^2+($D112-AW$10)^2)</f>
        <v>0.686017123579056</v>
      </c>
      <c r="AX112" s="63" t="n">
        <f aca="false">MATCH(MIN(AV112:AW112),AV112:AW112,0)</f>
        <v>2</v>
      </c>
      <c r="AZ112" s="17" t="n">
        <f aca="false">SQRT(($B112-AZ$8)^2+($C112-AZ$9)^2+($D112-AZ$10)^2)</f>
        <v>2.974710466957</v>
      </c>
      <c r="BA112" s="17" t="n">
        <f aca="false">SQRT(($B112-BA$8)^2+($C112-BA$9)^2+($D112-BA$10)^2)</f>
        <v>0.6872132225525</v>
      </c>
      <c r="BB112" s="63" t="n">
        <f aca="false">MATCH(MIN(AZ112:BA112),AZ112:BA112,0)</f>
        <v>2</v>
      </c>
      <c r="BD112" s="17" t="n">
        <f aca="false">SQRT(($B112-BD$8)^2+($C112-BD$9)^2+($D112-BD$10)^2)</f>
        <v>2.974710466957</v>
      </c>
      <c r="BE112" s="17" t="n">
        <f aca="false">SQRT(($B112-BE$8)^2+($C112-BE$9)^2+($D112-BE$10)^2)</f>
        <v>0.6872132225525</v>
      </c>
      <c r="BF112" s="63" t="n">
        <f aca="false">MATCH(MIN(BD112:BE112),BD112:BE112,0)</f>
        <v>2</v>
      </c>
      <c r="BH112" s="17" t="n">
        <f aca="false">SQRT(($B112-BH$8)^2+($C112-BH$9)^2+($D112-BH$10)^2)</f>
        <v>2.974710466957</v>
      </c>
      <c r="BI112" s="17" t="n">
        <f aca="false">SQRT(($B112-BI$8)^2+($C112-BI$9)^2+($D112-BI$10)^2)</f>
        <v>0.6872132225525</v>
      </c>
      <c r="BJ112" s="63" t="n">
        <f aca="false">MATCH(MIN(BH112:BI112),BH112:BI112,0)</f>
        <v>2</v>
      </c>
      <c r="BL112" s="17" t="n">
        <f aca="false">SQRT(($B112-BL$8)^2+($C112-BL$9)^2+($D112-BL$10)^2)</f>
        <v>2.974710466957</v>
      </c>
      <c r="BM112" s="17" t="n">
        <f aca="false">SQRT(($B112-BM$8)^2+($C112-BM$9)^2+($D112-BM$10)^2)</f>
        <v>0.6872132225525</v>
      </c>
      <c r="BN112" s="63" t="n">
        <f aca="false">MATCH(MIN(BL112:BM112),BL112:BM112,0)</f>
        <v>2</v>
      </c>
      <c r="BP112" s="17" t="n">
        <f aca="false">SQRT(($B112-BP$8)^2+($C112-BP$9)^2+($D112-BP$10)^2)</f>
        <v>2.974710466957</v>
      </c>
      <c r="BQ112" s="17" t="n">
        <f aca="false">SQRT(($B112-BQ$8)^2+($C112-BQ$9)^2+($D112-BQ$10)^2)</f>
        <v>0.6872132225525</v>
      </c>
      <c r="BR112" s="63" t="n">
        <f aca="false">MATCH(MIN(BP112:BQ112),BP112:BQ112,0)</f>
        <v>2</v>
      </c>
    </row>
    <row r="113" customFormat="false" ht="15" hidden="false" customHeight="false" outlineLevel="0" collapsed="false">
      <c r="A113" s="36" t="str">
        <f aca="false">KMeans_Data!A103</f>
        <v>Sahiwal</v>
      </c>
      <c r="B113" s="17" t="n">
        <f aca="false">KMeans_Data!H103</f>
        <v>-0.936148467409663</v>
      </c>
      <c r="C113" s="17" t="n">
        <f aca="false">KMeans_Data!I103</f>
        <v>-0.672650545388274</v>
      </c>
      <c r="D113" s="17" t="n">
        <f aca="false">KMeans_Data!J103</f>
        <v>-1.14564411633355</v>
      </c>
      <c r="E113" s="63" t="n">
        <f aca="false">BR113</f>
        <v>2</v>
      </c>
      <c r="F113" s="38" t="n">
        <f aca="false">($B113-INDEX($L$8:$M$8,E113))^2+($C113-INDEX($L$9:$M$9,E113))^2+($D113-INDEX($L$10:$M$10,E113))^2</f>
        <v>0.698031217589059</v>
      </c>
      <c r="G113" s="17" t="n">
        <f aca="false">IF(COUNTIF(Distance_Matrix!$E$8:$DQ$8,$E113)&lt;=1,0,SUMIF(Distance_Matrix!$E$8:$DQ$8,$E113,Distance_Matrix!$E$112:$DQ$112)/(COUNTIF(Distance_Matrix!$E$8:$DQ$8,$E113)-1))</f>
        <v>1.15238212927934</v>
      </c>
      <c r="H113" s="17" t="n">
        <f aca="false">MIN(IF(1=$E113,1E+099,IF(COUNTIF(Distance_Matrix!$E$8:$DQ$8,1)=0,1E+099,SUMIF(Distance_Matrix!$E$8:$DQ$8,1,Distance_Matrix!$E$112:$DQ$112)/COUNTIF(Distance_Matrix!$E$8:$DQ$8,1))),IF(2=$E113,1E+099,IF(COUNTIF(Distance_Matrix!$E$8:$DQ$8,2)=0,1E+099,SUMIF(Distance_Matrix!$E$8:$DQ$8,2,Distance_Matrix!$E$112:$DQ$112)/COUNTIF(Distance_Matrix!$E$8:$DQ$8,2))))</f>
        <v>3.61328102980824</v>
      </c>
      <c r="I113" s="17" t="n">
        <f aca="false">IF(COUNTIF(Distance_Matrix!$E$8:$DQ$8,$E113)&lt;=1,0,(H113-G113)/MAX(G113,H113))</f>
        <v>0.681070439920778</v>
      </c>
      <c r="X113" s="17" t="n">
        <f aca="false">SQRT(($B113-X$8)^2+($C113-X$9)^2+($D113-X$10)^2)</f>
        <v>7.69881475468762</v>
      </c>
      <c r="Y113" s="17" t="n">
        <f aca="false">SQRT(($B113-Y$8)^2+($C113-Y$9)^2+($D113-Y$10)^2)</f>
        <v>1.14358951439366</v>
      </c>
      <c r="Z113" s="63" t="n">
        <f aca="false">MATCH(MIN(X113:Y113),X113:Y113,0)</f>
        <v>2</v>
      </c>
      <c r="AB113" s="17" t="n">
        <f aca="false">SQRT(($B113-AB$8)^2+($C113-AB$9)^2+($D113-AB$10)^2)</f>
        <v>5.16443165859995</v>
      </c>
      <c r="AC113" s="17" t="n">
        <f aca="false">SQRT(($B113-AC$8)^2+($C113-AC$9)^2+($D113-AC$10)^2)</f>
        <v>1.30904462284156</v>
      </c>
      <c r="AD113" s="63" t="n">
        <f aca="false">MATCH(MIN(AB113:AC113),AB113:AC113,0)</f>
        <v>2</v>
      </c>
      <c r="AF113" s="17" t="n">
        <f aca="false">SQRT(($B113-AF$8)^2+($C113-AF$9)^2+($D113-AF$10)^2)</f>
        <v>4.54967900344654</v>
      </c>
      <c r="AG113" s="17" t="n">
        <f aca="false">SQRT(($B113-AG$8)^2+($C113-AG$9)^2+($D113-AG$10)^2)</f>
        <v>1.21680459023052</v>
      </c>
      <c r="AH113" s="63" t="n">
        <f aca="false">MATCH(MIN(AF113:AG113),AF113:AG113,0)</f>
        <v>2</v>
      </c>
      <c r="AJ113" s="17" t="n">
        <f aca="false">SQRT(($B113-AJ$8)^2+($C113-AJ$9)^2+($D113-AJ$10)^2)</f>
        <v>3.95676312263353</v>
      </c>
      <c r="AK113" s="17" t="n">
        <f aca="false">SQRT(($B113-AK$8)^2+($C113-AK$9)^2+($D113-AK$10)^2)</f>
        <v>1.02463385808614</v>
      </c>
      <c r="AL113" s="63" t="n">
        <f aca="false">MATCH(MIN(AJ113:AK113),AJ113:AK113,0)</f>
        <v>2</v>
      </c>
      <c r="AN113" s="17" t="n">
        <f aca="false">SQRT(($B113-AN$8)^2+($C113-AN$9)^2+($D113-AN$10)^2)</f>
        <v>3.76656998314199</v>
      </c>
      <c r="AO113" s="17" t="n">
        <f aca="false">SQRT(($B113-AO$8)^2+($C113-AO$9)^2+($D113-AO$10)^2)</f>
        <v>0.919146581338334</v>
      </c>
      <c r="AP113" s="63" t="n">
        <f aca="false">MATCH(MIN(AN113:AO113),AN113:AO113,0)</f>
        <v>2</v>
      </c>
      <c r="AR113" s="17" t="n">
        <f aca="false">SQRT(($B113-AR$8)^2+($C113-AR$9)^2+($D113-AR$10)^2)</f>
        <v>3.6440059062306</v>
      </c>
      <c r="AS113" s="17" t="n">
        <f aca="false">SQRT(($B113-AS$8)^2+($C113-AS$9)^2+($D113-AS$10)^2)</f>
        <v>0.866265034798926</v>
      </c>
      <c r="AT113" s="63" t="n">
        <f aca="false">MATCH(MIN(AR113:AS113),AR113:AS113,0)</f>
        <v>2</v>
      </c>
      <c r="AV113" s="17" t="n">
        <f aca="false">SQRT(($B113-AV$8)^2+($C113-AV$9)^2+($D113-AV$10)^2)</f>
        <v>3.60420121903766</v>
      </c>
      <c r="AW113" s="17" t="n">
        <f aca="false">SQRT(($B113-AW$8)^2+($C113-AW$9)^2+($D113-AW$10)^2)</f>
        <v>0.850238286541412</v>
      </c>
      <c r="AX113" s="63" t="n">
        <f aca="false">MATCH(MIN(AV113:AW113),AV113:AW113,0)</f>
        <v>2</v>
      </c>
      <c r="AZ113" s="17" t="n">
        <f aca="false">SQRT(($B113-AZ$8)^2+($C113-AZ$9)^2+($D113-AZ$10)^2)</f>
        <v>3.56419476626605</v>
      </c>
      <c r="BA113" s="17" t="n">
        <f aca="false">SQRT(($B113-BA$8)^2+($C113-BA$9)^2+($D113-BA$10)^2)</f>
        <v>0.835482625545893</v>
      </c>
      <c r="BB113" s="63" t="n">
        <f aca="false">MATCH(MIN(AZ113:BA113),AZ113:BA113,0)</f>
        <v>2</v>
      </c>
      <c r="BD113" s="17" t="n">
        <f aca="false">SQRT(($B113-BD$8)^2+($C113-BD$9)^2+($D113-BD$10)^2)</f>
        <v>3.56419476626605</v>
      </c>
      <c r="BE113" s="17" t="n">
        <f aca="false">SQRT(($B113-BE$8)^2+($C113-BE$9)^2+($D113-BE$10)^2)</f>
        <v>0.835482625545893</v>
      </c>
      <c r="BF113" s="63" t="n">
        <f aca="false">MATCH(MIN(BD113:BE113),BD113:BE113,0)</f>
        <v>2</v>
      </c>
      <c r="BH113" s="17" t="n">
        <f aca="false">SQRT(($B113-BH$8)^2+($C113-BH$9)^2+($D113-BH$10)^2)</f>
        <v>3.56419476626605</v>
      </c>
      <c r="BI113" s="17" t="n">
        <f aca="false">SQRT(($B113-BI$8)^2+($C113-BI$9)^2+($D113-BI$10)^2)</f>
        <v>0.835482625545893</v>
      </c>
      <c r="BJ113" s="63" t="n">
        <f aca="false">MATCH(MIN(BH113:BI113),BH113:BI113,0)</f>
        <v>2</v>
      </c>
      <c r="BL113" s="17" t="n">
        <f aca="false">SQRT(($B113-BL$8)^2+($C113-BL$9)^2+($D113-BL$10)^2)</f>
        <v>3.56419476626605</v>
      </c>
      <c r="BM113" s="17" t="n">
        <f aca="false">SQRT(($B113-BM$8)^2+($C113-BM$9)^2+($D113-BM$10)^2)</f>
        <v>0.835482625545893</v>
      </c>
      <c r="BN113" s="63" t="n">
        <f aca="false">MATCH(MIN(BL113:BM113),BL113:BM113,0)</f>
        <v>2</v>
      </c>
      <c r="BP113" s="17" t="n">
        <f aca="false">SQRT(($B113-BP$8)^2+($C113-BP$9)^2+($D113-BP$10)^2)</f>
        <v>3.56419476626605</v>
      </c>
      <c r="BQ113" s="17" t="n">
        <f aca="false">SQRT(($B113-BQ$8)^2+($C113-BQ$9)^2+($D113-BQ$10)^2)</f>
        <v>0.835482625545893</v>
      </c>
      <c r="BR113" s="63" t="n">
        <f aca="false">MATCH(MIN(BP113:BQ113),BP113:BQ113,0)</f>
        <v>2</v>
      </c>
    </row>
    <row r="114" customFormat="false" ht="15" hidden="false" customHeight="false" outlineLevel="0" collapsed="false">
      <c r="A114" s="36" t="str">
        <f aca="false">KMeans_Data!A104</f>
        <v>Chiniot</v>
      </c>
      <c r="B114" s="17" t="n">
        <f aca="false">KMeans_Data!H104</f>
        <v>-0.936148467409663</v>
      </c>
      <c r="C114" s="17" t="n">
        <f aca="false">KMeans_Data!I104</f>
        <v>-0.672650545388274</v>
      </c>
      <c r="D114" s="17" t="n">
        <f aca="false">KMeans_Data!J104</f>
        <v>-1.14564411633355</v>
      </c>
      <c r="E114" s="63" t="n">
        <f aca="false">BR114</f>
        <v>2</v>
      </c>
      <c r="F114" s="38" t="n">
        <f aca="false">($B114-INDEX($L$8:$M$8,E114))^2+($C114-INDEX($L$9:$M$9,E114))^2+($D114-INDEX($L$10:$M$10,E114))^2</f>
        <v>0.698031217589059</v>
      </c>
      <c r="G114" s="17" t="n">
        <f aca="false">IF(COUNTIF(Distance_Matrix!$E$8:$DQ$8,$E114)&lt;=1,0,SUMIF(Distance_Matrix!$E$8:$DQ$8,$E114,Distance_Matrix!$E$113:$DQ$113)/(COUNTIF(Distance_Matrix!$E$8:$DQ$8,$E114)-1))</f>
        <v>1.15238212927934</v>
      </c>
      <c r="H114" s="17" t="n">
        <f aca="false">MIN(IF(1=$E114,1E+099,IF(COUNTIF(Distance_Matrix!$E$8:$DQ$8,1)=0,1E+099,SUMIF(Distance_Matrix!$E$8:$DQ$8,1,Distance_Matrix!$E$113:$DQ$113)/COUNTIF(Distance_Matrix!$E$8:$DQ$8,1))),IF(2=$E114,1E+099,IF(COUNTIF(Distance_Matrix!$E$8:$DQ$8,2)=0,1E+099,SUMIF(Distance_Matrix!$E$8:$DQ$8,2,Distance_Matrix!$E$113:$DQ$113)/COUNTIF(Distance_Matrix!$E$8:$DQ$8,2))))</f>
        <v>3.61328102980824</v>
      </c>
      <c r="I114" s="17" t="n">
        <f aca="false">IF(COUNTIF(Distance_Matrix!$E$8:$DQ$8,$E114)&lt;=1,0,(H114-G114)/MAX(G114,H114))</f>
        <v>0.681070439920778</v>
      </c>
      <c r="X114" s="17" t="n">
        <f aca="false">SQRT(($B114-X$8)^2+($C114-X$9)^2+($D114-X$10)^2)</f>
        <v>7.69881475468762</v>
      </c>
      <c r="Y114" s="17" t="n">
        <f aca="false">SQRT(($B114-Y$8)^2+($C114-Y$9)^2+($D114-Y$10)^2)</f>
        <v>1.14358951439366</v>
      </c>
      <c r="Z114" s="63" t="n">
        <f aca="false">MATCH(MIN(X114:Y114),X114:Y114,0)</f>
        <v>2</v>
      </c>
      <c r="AB114" s="17" t="n">
        <f aca="false">SQRT(($B114-AB$8)^2+($C114-AB$9)^2+($D114-AB$10)^2)</f>
        <v>5.16443165859995</v>
      </c>
      <c r="AC114" s="17" t="n">
        <f aca="false">SQRT(($B114-AC$8)^2+($C114-AC$9)^2+($D114-AC$10)^2)</f>
        <v>1.30904462284156</v>
      </c>
      <c r="AD114" s="63" t="n">
        <f aca="false">MATCH(MIN(AB114:AC114),AB114:AC114,0)</f>
        <v>2</v>
      </c>
      <c r="AF114" s="17" t="n">
        <f aca="false">SQRT(($B114-AF$8)^2+($C114-AF$9)^2+($D114-AF$10)^2)</f>
        <v>4.54967900344654</v>
      </c>
      <c r="AG114" s="17" t="n">
        <f aca="false">SQRT(($B114-AG$8)^2+($C114-AG$9)^2+($D114-AG$10)^2)</f>
        <v>1.21680459023052</v>
      </c>
      <c r="AH114" s="63" t="n">
        <f aca="false">MATCH(MIN(AF114:AG114),AF114:AG114,0)</f>
        <v>2</v>
      </c>
      <c r="AJ114" s="17" t="n">
        <f aca="false">SQRT(($B114-AJ$8)^2+($C114-AJ$9)^2+($D114-AJ$10)^2)</f>
        <v>3.95676312263353</v>
      </c>
      <c r="AK114" s="17" t="n">
        <f aca="false">SQRT(($B114-AK$8)^2+($C114-AK$9)^2+($D114-AK$10)^2)</f>
        <v>1.02463385808614</v>
      </c>
      <c r="AL114" s="63" t="n">
        <f aca="false">MATCH(MIN(AJ114:AK114),AJ114:AK114,0)</f>
        <v>2</v>
      </c>
      <c r="AN114" s="17" t="n">
        <f aca="false">SQRT(($B114-AN$8)^2+($C114-AN$9)^2+($D114-AN$10)^2)</f>
        <v>3.76656998314199</v>
      </c>
      <c r="AO114" s="17" t="n">
        <f aca="false">SQRT(($B114-AO$8)^2+($C114-AO$9)^2+($D114-AO$10)^2)</f>
        <v>0.919146581338334</v>
      </c>
      <c r="AP114" s="63" t="n">
        <f aca="false">MATCH(MIN(AN114:AO114),AN114:AO114,0)</f>
        <v>2</v>
      </c>
      <c r="AR114" s="17" t="n">
        <f aca="false">SQRT(($B114-AR$8)^2+($C114-AR$9)^2+($D114-AR$10)^2)</f>
        <v>3.6440059062306</v>
      </c>
      <c r="AS114" s="17" t="n">
        <f aca="false">SQRT(($B114-AS$8)^2+($C114-AS$9)^2+($D114-AS$10)^2)</f>
        <v>0.866265034798926</v>
      </c>
      <c r="AT114" s="63" t="n">
        <f aca="false">MATCH(MIN(AR114:AS114),AR114:AS114,0)</f>
        <v>2</v>
      </c>
      <c r="AV114" s="17" t="n">
        <f aca="false">SQRT(($B114-AV$8)^2+($C114-AV$9)^2+($D114-AV$10)^2)</f>
        <v>3.60420121903766</v>
      </c>
      <c r="AW114" s="17" t="n">
        <f aca="false">SQRT(($B114-AW$8)^2+($C114-AW$9)^2+($D114-AW$10)^2)</f>
        <v>0.850238286541412</v>
      </c>
      <c r="AX114" s="63" t="n">
        <f aca="false">MATCH(MIN(AV114:AW114),AV114:AW114,0)</f>
        <v>2</v>
      </c>
      <c r="AZ114" s="17" t="n">
        <f aca="false">SQRT(($B114-AZ$8)^2+($C114-AZ$9)^2+($D114-AZ$10)^2)</f>
        <v>3.56419476626605</v>
      </c>
      <c r="BA114" s="17" t="n">
        <f aca="false">SQRT(($B114-BA$8)^2+($C114-BA$9)^2+($D114-BA$10)^2)</f>
        <v>0.835482625545893</v>
      </c>
      <c r="BB114" s="63" t="n">
        <f aca="false">MATCH(MIN(AZ114:BA114),AZ114:BA114,0)</f>
        <v>2</v>
      </c>
      <c r="BD114" s="17" t="n">
        <f aca="false">SQRT(($B114-BD$8)^2+($C114-BD$9)^2+($D114-BD$10)^2)</f>
        <v>3.56419476626605</v>
      </c>
      <c r="BE114" s="17" t="n">
        <f aca="false">SQRT(($B114-BE$8)^2+($C114-BE$9)^2+($D114-BE$10)^2)</f>
        <v>0.835482625545893</v>
      </c>
      <c r="BF114" s="63" t="n">
        <f aca="false">MATCH(MIN(BD114:BE114),BD114:BE114,0)</f>
        <v>2</v>
      </c>
      <c r="BH114" s="17" t="n">
        <f aca="false">SQRT(($B114-BH$8)^2+($C114-BH$9)^2+($D114-BH$10)^2)</f>
        <v>3.56419476626605</v>
      </c>
      <c r="BI114" s="17" t="n">
        <f aca="false">SQRT(($B114-BI$8)^2+($C114-BI$9)^2+($D114-BI$10)^2)</f>
        <v>0.835482625545893</v>
      </c>
      <c r="BJ114" s="63" t="n">
        <f aca="false">MATCH(MIN(BH114:BI114),BH114:BI114,0)</f>
        <v>2</v>
      </c>
      <c r="BL114" s="17" t="n">
        <f aca="false">SQRT(($B114-BL$8)^2+($C114-BL$9)^2+($D114-BL$10)^2)</f>
        <v>3.56419476626605</v>
      </c>
      <c r="BM114" s="17" t="n">
        <f aca="false">SQRT(($B114-BM$8)^2+($C114-BM$9)^2+($D114-BM$10)^2)</f>
        <v>0.835482625545893</v>
      </c>
      <c r="BN114" s="63" t="n">
        <f aca="false">MATCH(MIN(BL114:BM114),BL114:BM114,0)</f>
        <v>2</v>
      </c>
      <c r="BP114" s="17" t="n">
        <f aca="false">SQRT(($B114-BP$8)^2+($C114-BP$9)^2+($D114-BP$10)^2)</f>
        <v>3.56419476626605</v>
      </c>
      <c r="BQ114" s="17" t="n">
        <f aca="false">SQRT(($B114-BQ$8)^2+($C114-BQ$9)^2+($D114-BQ$10)^2)</f>
        <v>0.835482625545893</v>
      </c>
      <c r="BR114" s="63" t="n">
        <f aca="false">MATCH(MIN(BP114:BQ114),BP114:BQ114,0)</f>
        <v>2</v>
      </c>
    </row>
    <row r="115" customFormat="false" ht="15" hidden="false" customHeight="false" outlineLevel="0" collapsed="false">
      <c r="A115" s="36" t="str">
        <f aca="false">KMeans_Data!A105</f>
        <v>South Waziristan</v>
      </c>
      <c r="B115" s="17" t="n">
        <f aca="false">KMeans_Data!H105</f>
        <v>-0.936148467409663</v>
      </c>
      <c r="C115" s="17" t="n">
        <f aca="false">KMeans_Data!I105</f>
        <v>-0.672650545388274</v>
      </c>
      <c r="D115" s="17" t="n">
        <f aca="false">KMeans_Data!J105</f>
        <v>-0.503247915463979</v>
      </c>
      <c r="E115" s="63" t="n">
        <f aca="false">BR115</f>
        <v>2</v>
      </c>
      <c r="F115" s="38" t="n">
        <f aca="false">($B115-INDEX($L$8:$M$8,E115))^2+($C115-INDEX($L$9:$M$9,E115))^2+($D115-INDEX($L$10:$M$10,E115))^2</f>
        <v>0.26637342210495</v>
      </c>
      <c r="G115" s="17" t="n">
        <f aca="false">IF(COUNTIF(Distance_Matrix!$E$8:$DQ$8,$E115)&lt;=1,0,SUMIF(Distance_Matrix!$E$8:$DQ$8,$E115,Distance_Matrix!$E$114:$DQ$114)/(COUNTIF(Distance_Matrix!$E$8:$DQ$8,$E115)-1))</f>
        <v>1.04499383844888</v>
      </c>
      <c r="H115" s="17" t="n">
        <f aca="false">MIN(IF(1=$E115,1E+099,IF(COUNTIF(Distance_Matrix!$E$8:$DQ$8,1)=0,1E+099,SUMIF(Distance_Matrix!$E$8:$DQ$8,1,Distance_Matrix!$E$114:$DQ$114)/COUNTIF(Distance_Matrix!$E$8:$DQ$8,1))),IF(2=$E115,1E+099,IF(COUNTIF(Distance_Matrix!$E$8:$DQ$8,2)=0,1E+099,SUMIF(Distance_Matrix!$E$8:$DQ$8,2,Distance_Matrix!$E$114:$DQ$114)/COUNTIF(Distance_Matrix!$E$8:$DQ$8,2))))</f>
        <v>3.23650299151922</v>
      </c>
      <c r="I115" s="17" t="n">
        <f aca="false">IF(COUNTIF(Distance_Matrix!$E$8:$DQ$8,$E115)&lt;=1,0,(H115-G115)/MAX(G115,H115))</f>
        <v>0.677122548260537</v>
      </c>
      <c r="X115" s="17" t="n">
        <f aca="false">SQRT(($B115-X$8)^2+($C115-X$9)^2+($D115-X$10)^2)</f>
        <v>7.35074458018159</v>
      </c>
      <c r="Y115" s="17" t="n">
        <f aca="false">SQRT(($B115-Y$8)^2+($C115-Y$9)^2+($D115-Y$10)^2)</f>
        <v>1.31166682367238</v>
      </c>
      <c r="Z115" s="63" t="n">
        <f aca="false">MATCH(MIN(X115:Y115),X115:Y115,0)</f>
        <v>2</v>
      </c>
      <c r="AB115" s="17" t="n">
        <f aca="false">SQRT(($B115-AB$8)^2+($C115-AB$9)^2+($D115-AB$10)^2)</f>
        <v>4.81816203042091</v>
      </c>
      <c r="AC115" s="17" t="n">
        <f aca="false">SQRT(($B115-AC$8)^2+($C115-AC$9)^2+($D115-AC$10)^2)</f>
        <v>0.937237669150956</v>
      </c>
      <c r="AD115" s="63" t="n">
        <f aca="false">MATCH(MIN(AB115:AC115),AB115:AC115,0)</f>
        <v>2</v>
      </c>
      <c r="AF115" s="17" t="n">
        <f aca="false">SQRT(($B115-AF$8)^2+($C115-AF$9)^2+($D115-AF$10)^2)</f>
        <v>4.20341868527585</v>
      </c>
      <c r="AG115" s="17" t="n">
        <f aca="false">SQRT(($B115-AG$8)^2+($C115-AG$9)^2+($D115-AG$10)^2)</f>
        <v>0.843394242172726</v>
      </c>
      <c r="AH115" s="63" t="n">
        <f aca="false">MATCH(MIN(AF115:AG115),AF115:AG115,0)</f>
        <v>2</v>
      </c>
      <c r="AJ115" s="17" t="n">
        <f aca="false">SQRT(($B115-AJ$8)^2+($C115-AJ$9)^2+($D115-AJ$10)^2)</f>
        <v>3.59388778763765</v>
      </c>
      <c r="AK115" s="17" t="n">
        <f aca="false">SQRT(($B115-AK$8)^2+($C115-AK$9)^2+($D115-AK$10)^2)</f>
        <v>0.668838798551584</v>
      </c>
      <c r="AL115" s="63" t="n">
        <f aca="false">MATCH(MIN(AJ115:AK115),AJ115:AK115,0)</f>
        <v>2</v>
      </c>
      <c r="AN115" s="17" t="n">
        <f aca="false">SQRT(($B115-AN$8)^2+($C115-AN$9)^2+($D115-AN$10)^2)</f>
        <v>3.39447997085007</v>
      </c>
      <c r="AO115" s="17" t="n">
        <f aca="false">SQRT(($B115-AO$8)^2+($C115-AO$9)^2+($D115-AO$10)^2)</f>
        <v>0.582361342315117</v>
      </c>
      <c r="AP115" s="63" t="n">
        <f aca="false">MATCH(MIN(AN115:AO115),AN115:AO115,0)</f>
        <v>2</v>
      </c>
      <c r="AR115" s="17" t="n">
        <f aca="false">SQRT(($B115-AR$8)^2+($C115-AR$9)^2+($D115-AR$10)^2)</f>
        <v>3.26967699787737</v>
      </c>
      <c r="AS115" s="17" t="n">
        <f aca="false">SQRT(($B115-AS$8)^2+($C115-AS$9)^2+($D115-AS$10)^2)</f>
        <v>0.540141883232297</v>
      </c>
      <c r="AT115" s="63" t="n">
        <f aca="false">MATCH(MIN(AR115:AS115),AR115:AS115,0)</f>
        <v>2</v>
      </c>
      <c r="AV115" s="17" t="n">
        <f aca="false">SQRT(($B115-AV$8)^2+($C115-AV$9)^2+($D115-AV$10)^2)</f>
        <v>3.23054234007595</v>
      </c>
      <c r="AW115" s="17" t="n">
        <f aca="false">SQRT(($B115-AW$8)^2+($C115-AW$9)^2+($D115-AW$10)^2)</f>
        <v>0.525278407003403</v>
      </c>
      <c r="AX115" s="63" t="n">
        <f aca="false">MATCH(MIN(AV115:AW115),AV115:AW115,0)</f>
        <v>2</v>
      </c>
      <c r="AZ115" s="17" t="n">
        <f aca="false">SQRT(($B115-AZ$8)^2+($C115-AZ$9)^2+($D115-AZ$10)^2)</f>
        <v>3.18965551006709</v>
      </c>
      <c r="BA115" s="17" t="n">
        <f aca="false">SQRT(($B115-BA$8)^2+($C115-BA$9)^2+($D115-BA$10)^2)</f>
        <v>0.516113768567503</v>
      </c>
      <c r="BB115" s="63" t="n">
        <f aca="false">MATCH(MIN(AZ115:BA115),AZ115:BA115,0)</f>
        <v>2</v>
      </c>
      <c r="BD115" s="17" t="n">
        <f aca="false">SQRT(($B115-BD$8)^2+($C115-BD$9)^2+($D115-BD$10)^2)</f>
        <v>3.18965551006709</v>
      </c>
      <c r="BE115" s="17" t="n">
        <f aca="false">SQRT(($B115-BE$8)^2+($C115-BE$9)^2+($D115-BE$10)^2)</f>
        <v>0.516113768567503</v>
      </c>
      <c r="BF115" s="63" t="n">
        <f aca="false">MATCH(MIN(BD115:BE115),BD115:BE115,0)</f>
        <v>2</v>
      </c>
      <c r="BH115" s="17" t="n">
        <f aca="false">SQRT(($B115-BH$8)^2+($C115-BH$9)^2+($D115-BH$10)^2)</f>
        <v>3.18965551006709</v>
      </c>
      <c r="BI115" s="17" t="n">
        <f aca="false">SQRT(($B115-BI$8)^2+($C115-BI$9)^2+($D115-BI$10)^2)</f>
        <v>0.516113768567503</v>
      </c>
      <c r="BJ115" s="63" t="n">
        <f aca="false">MATCH(MIN(BH115:BI115),BH115:BI115,0)</f>
        <v>2</v>
      </c>
      <c r="BL115" s="17" t="n">
        <f aca="false">SQRT(($B115-BL$8)^2+($C115-BL$9)^2+($D115-BL$10)^2)</f>
        <v>3.18965551006709</v>
      </c>
      <c r="BM115" s="17" t="n">
        <f aca="false">SQRT(($B115-BM$8)^2+($C115-BM$9)^2+($D115-BM$10)^2)</f>
        <v>0.516113768567503</v>
      </c>
      <c r="BN115" s="63" t="n">
        <f aca="false">MATCH(MIN(BL115:BM115),BL115:BM115,0)</f>
        <v>2</v>
      </c>
      <c r="BP115" s="17" t="n">
        <f aca="false">SQRT(($B115-BP$8)^2+($C115-BP$9)^2+($D115-BP$10)^2)</f>
        <v>3.18965551006709</v>
      </c>
      <c r="BQ115" s="17" t="n">
        <f aca="false">SQRT(($B115-BQ$8)^2+($C115-BQ$9)^2+($D115-BQ$10)^2)</f>
        <v>0.516113768567503</v>
      </c>
      <c r="BR115" s="63" t="n">
        <f aca="false">MATCH(MIN(BP115:BQ115),BP115:BQ115,0)</f>
        <v>2</v>
      </c>
    </row>
    <row r="116" customFormat="false" ht="15" hidden="false" customHeight="false" outlineLevel="0" collapsed="false">
      <c r="A116" s="36" t="str">
        <f aca="false">KMeans_Data!A106</f>
        <v>Toba Tek Singh</v>
      </c>
      <c r="B116" s="17" t="n">
        <f aca="false">KMeans_Data!H106</f>
        <v>-0.997451006048382</v>
      </c>
      <c r="C116" s="17" t="n">
        <f aca="false">KMeans_Data!I106</f>
        <v>-0.672650545388274</v>
      </c>
      <c r="D116" s="17" t="n">
        <f aca="false">KMeans_Data!J106</f>
        <v>-1.14564411633355</v>
      </c>
      <c r="E116" s="63" t="n">
        <f aca="false">BR116</f>
        <v>2</v>
      </c>
      <c r="F116" s="38" t="n">
        <f aca="false">($B116-INDEX($L$8:$M$8,E116))^2+($C116-INDEX($L$9:$M$9,E116))^2+($D116-INDEX($L$10:$M$10,E116))^2</f>
        <v>0.762102298871394</v>
      </c>
      <c r="G116" s="17" t="n">
        <f aca="false">IF(COUNTIF(Distance_Matrix!$E$8:$DQ$8,$E116)&lt;=1,0,SUMIF(Distance_Matrix!$E$8:$DQ$8,$E116,Distance_Matrix!$E$115:$DQ$115)/(COUNTIF(Distance_Matrix!$E$8:$DQ$8,$E116)-1))</f>
        <v>1.17412875507923</v>
      </c>
      <c r="H116" s="17" t="n">
        <f aca="false">MIN(IF(1=$E116,1E+099,IF(COUNTIF(Distance_Matrix!$E$8:$DQ$8,1)=0,1E+099,SUMIF(Distance_Matrix!$E$8:$DQ$8,1,Distance_Matrix!$E$115:$DQ$115)/COUNTIF(Distance_Matrix!$E$8:$DQ$8,1))),IF(2=$E116,1E+099,IF(COUNTIF(Distance_Matrix!$E$8:$DQ$8,2)=0,1E+099,SUMIF(Distance_Matrix!$E$8:$DQ$8,2,Distance_Matrix!$E$115:$DQ$115)/COUNTIF(Distance_Matrix!$E$8:$DQ$8,2))))</f>
        <v>3.6470656080178</v>
      </c>
      <c r="I116" s="17" t="n">
        <f aca="false">IF(COUNTIF(Distance_Matrix!$E$8:$DQ$8,$E116)&lt;=1,0,(H116-G116)/MAX(G116,H116))</f>
        <v>0.678062069270705</v>
      </c>
      <c r="X116" s="17" t="n">
        <f aca="false">SQRT(($B116-X$8)^2+($C116-X$9)^2+($D116-X$10)^2)</f>
        <v>7.73251123919131</v>
      </c>
      <c r="Y116" s="17" t="n">
        <f aca="false">SQRT(($B116-Y$8)^2+($C116-Y$9)^2+($D116-Y$10)^2)</f>
        <v>1.08228697575494</v>
      </c>
      <c r="Z116" s="63" t="n">
        <f aca="false">MATCH(MIN(X116:Y116),X116:Y116,0)</f>
        <v>2</v>
      </c>
      <c r="AB116" s="17" t="n">
        <f aca="false">SQRT(($B116-AB$8)^2+($C116-AB$9)^2+($D116-AB$10)^2)</f>
        <v>5.19922528402768</v>
      </c>
      <c r="AC116" s="17" t="n">
        <f aca="false">SQRT(($B116-AC$8)^2+($C116-AC$9)^2+($D116-AC$10)^2)</f>
        <v>1.34518045329664</v>
      </c>
      <c r="AD116" s="63" t="n">
        <f aca="false">MATCH(MIN(AB116:AC116),AB116:AC116,0)</f>
        <v>2</v>
      </c>
      <c r="AF116" s="17" t="n">
        <f aca="false">SQRT(($B116-AF$8)^2+($C116-AF$9)^2+($D116-AF$10)^2)</f>
        <v>4.5843313689246</v>
      </c>
      <c r="AG116" s="17" t="n">
        <f aca="false">SQRT(($B116-AG$8)^2+($C116-AG$9)^2+($D116-AG$10)^2)</f>
        <v>1.25300965138521</v>
      </c>
      <c r="AH116" s="63" t="n">
        <f aca="false">MATCH(MIN(AF116:AG116),AF116:AG116,0)</f>
        <v>2</v>
      </c>
      <c r="AJ116" s="17" t="n">
        <f aca="false">SQRT(($B116-AJ$8)^2+($C116-AJ$9)^2+($D116-AJ$10)^2)</f>
        <v>3.99064841977023</v>
      </c>
      <c r="AK116" s="17" t="n">
        <f aca="false">SQRT(($B116-AK$8)^2+($C116-AK$9)^2+($D116-AK$10)^2)</f>
        <v>1.06180983227226</v>
      </c>
      <c r="AL116" s="63" t="n">
        <f aca="false">MATCH(MIN(AJ116:AK116),AJ116:AK116,0)</f>
        <v>2</v>
      </c>
      <c r="AN116" s="17" t="n">
        <f aca="false">SQRT(($B116-AN$8)^2+($C116-AN$9)^2+($D116-AN$10)^2)</f>
        <v>3.80085899754171</v>
      </c>
      <c r="AO116" s="17" t="n">
        <f aca="false">SQRT(($B116-AO$8)^2+($C116-AO$9)^2+($D116-AO$10)^2)</f>
        <v>0.956432552367581</v>
      </c>
      <c r="AP116" s="63" t="n">
        <f aca="false">MATCH(MIN(AN116:AO116),AN116:AO116,0)</f>
        <v>2</v>
      </c>
      <c r="AR116" s="17" t="n">
        <f aca="false">SQRT(($B116-AR$8)^2+($C116-AR$9)^2+($D116-AR$10)^2)</f>
        <v>3.67842301505934</v>
      </c>
      <c r="AS116" s="17" t="n">
        <f aca="false">SQRT(($B116-AS$8)^2+($C116-AS$9)^2+($D116-AS$10)^2)</f>
        <v>0.903609540191604</v>
      </c>
      <c r="AT116" s="63" t="n">
        <f aca="false">MATCH(MIN(AR116:AS116),AR116:AS116,0)</f>
        <v>2</v>
      </c>
      <c r="AV116" s="17" t="n">
        <f aca="false">SQRT(($B116-AV$8)^2+($C116-AV$9)^2+($D116-AV$10)^2)</f>
        <v>3.63871877152214</v>
      </c>
      <c r="AW116" s="17" t="n">
        <f aca="false">SQRT(($B116-AW$8)^2+($C116-AW$9)^2+($D116-AW$10)^2)</f>
        <v>0.887458822634615</v>
      </c>
      <c r="AX116" s="63" t="n">
        <f aca="false">MATCH(MIN(AV116:AW116),AV116:AW116,0)</f>
        <v>2</v>
      </c>
      <c r="AZ116" s="17" t="n">
        <f aca="false">SQRT(($B116-AZ$8)^2+($C116-AZ$9)^2+($D116-AZ$10)^2)</f>
        <v>3.59855790978753</v>
      </c>
      <c r="BA116" s="17" t="n">
        <f aca="false">SQRT(($B116-BA$8)^2+($C116-BA$9)^2+($D116-BA$10)^2)</f>
        <v>0.872984707123438</v>
      </c>
      <c r="BB116" s="63" t="n">
        <f aca="false">MATCH(MIN(AZ116:BA116),AZ116:BA116,0)</f>
        <v>2</v>
      </c>
      <c r="BD116" s="17" t="n">
        <f aca="false">SQRT(($B116-BD$8)^2+($C116-BD$9)^2+($D116-BD$10)^2)</f>
        <v>3.59855790978753</v>
      </c>
      <c r="BE116" s="17" t="n">
        <f aca="false">SQRT(($B116-BE$8)^2+($C116-BE$9)^2+($D116-BE$10)^2)</f>
        <v>0.872984707123438</v>
      </c>
      <c r="BF116" s="63" t="n">
        <f aca="false">MATCH(MIN(BD116:BE116),BD116:BE116,0)</f>
        <v>2</v>
      </c>
      <c r="BH116" s="17" t="n">
        <f aca="false">SQRT(($B116-BH$8)^2+($C116-BH$9)^2+($D116-BH$10)^2)</f>
        <v>3.59855790978753</v>
      </c>
      <c r="BI116" s="17" t="n">
        <f aca="false">SQRT(($B116-BI$8)^2+($C116-BI$9)^2+($D116-BI$10)^2)</f>
        <v>0.872984707123438</v>
      </c>
      <c r="BJ116" s="63" t="n">
        <f aca="false">MATCH(MIN(BH116:BI116),BH116:BI116,0)</f>
        <v>2</v>
      </c>
      <c r="BL116" s="17" t="n">
        <f aca="false">SQRT(($B116-BL$8)^2+($C116-BL$9)^2+($D116-BL$10)^2)</f>
        <v>3.59855790978753</v>
      </c>
      <c r="BM116" s="17" t="n">
        <f aca="false">SQRT(($B116-BM$8)^2+($C116-BM$9)^2+($D116-BM$10)^2)</f>
        <v>0.872984707123438</v>
      </c>
      <c r="BN116" s="63" t="n">
        <f aca="false">MATCH(MIN(BL116:BM116),BL116:BM116,0)</f>
        <v>2</v>
      </c>
      <c r="BP116" s="17" t="n">
        <f aca="false">SQRT(($B116-BP$8)^2+($C116-BP$9)^2+($D116-BP$10)^2)</f>
        <v>3.59855790978753</v>
      </c>
      <c r="BQ116" s="17" t="n">
        <f aca="false">SQRT(($B116-BQ$8)^2+($C116-BQ$9)^2+($D116-BQ$10)^2)</f>
        <v>0.872984707123438</v>
      </c>
      <c r="BR116" s="63" t="n">
        <f aca="false">MATCH(MIN(BP116:BQ116),BP116:BQ116,0)</f>
        <v>2</v>
      </c>
    </row>
    <row r="117" customFormat="false" ht="15" hidden="false" customHeight="false" outlineLevel="0" collapsed="false">
      <c r="A117" s="36" t="str">
        <f aca="false">KMeans_Data!A107</f>
        <v>Khanewal</v>
      </c>
      <c r="B117" s="17" t="n">
        <f aca="false">KMeans_Data!H107</f>
        <v>-0.997451006048382</v>
      </c>
      <c r="C117" s="17" t="n">
        <f aca="false">KMeans_Data!I107</f>
        <v>-0.672650545388274</v>
      </c>
      <c r="D117" s="17" t="n">
        <f aca="false">KMeans_Data!J107</f>
        <v>-1.14564411633355</v>
      </c>
      <c r="E117" s="63" t="n">
        <f aca="false">BR117</f>
        <v>2</v>
      </c>
      <c r="F117" s="38" t="n">
        <f aca="false">($B117-INDEX($L$8:$M$8,E117))^2+($C117-INDEX($L$9:$M$9,E117))^2+($D117-INDEX($L$10:$M$10,E117))^2</f>
        <v>0.762102298871394</v>
      </c>
      <c r="G117" s="17" t="n">
        <f aca="false">IF(COUNTIF(Distance_Matrix!$E$8:$DQ$8,$E117)&lt;=1,0,SUMIF(Distance_Matrix!$E$8:$DQ$8,$E117,Distance_Matrix!$E$116:$DQ$116)/(COUNTIF(Distance_Matrix!$E$8:$DQ$8,$E117)-1))</f>
        <v>1.17412875507923</v>
      </c>
      <c r="H117" s="17" t="n">
        <f aca="false">MIN(IF(1=$E117,1E+099,IF(COUNTIF(Distance_Matrix!$E$8:$DQ$8,1)=0,1E+099,SUMIF(Distance_Matrix!$E$8:$DQ$8,1,Distance_Matrix!$E$116:$DQ$116)/COUNTIF(Distance_Matrix!$E$8:$DQ$8,1))),IF(2=$E117,1E+099,IF(COUNTIF(Distance_Matrix!$E$8:$DQ$8,2)=0,1E+099,SUMIF(Distance_Matrix!$E$8:$DQ$8,2,Distance_Matrix!$E$116:$DQ$116)/COUNTIF(Distance_Matrix!$E$8:$DQ$8,2))))</f>
        <v>3.6470656080178</v>
      </c>
      <c r="I117" s="17" t="n">
        <f aca="false">IF(COUNTIF(Distance_Matrix!$E$8:$DQ$8,$E117)&lt;=1,0,(H117-G117)/MAX(G117,H117))</f>
        <v>0.678062069270705</v>
      </c>
      <c r="X117" s="17" t="n">
        <f aca="false">SQRT(($B117-X$8)^2+($C117-X$9)^2+($D117-X$10)^2)</f>
        <v>7.73251123919131</v>
      </c>
      <c r="Y117" s="17" t="n">
        <f aca="false">SQRT(($B117-Y$8)^2+($C117-Y$9)^2+($D117-Y$10)^2)</f>
        <v>1.08228697575494</v>
      </c>
      <c r="Z117" s="63" t="n">
        <f aca="false">MATCH(MIN(X117:Y117),X117:Y117,0)</f>
        <v>2</v>
      </c>
      <c r="AB117" s="17" t="n">
        <f aca="false">SQRT(($B117-AB$8)^2+($C117-AB$9)^2+($D117-AB$10)^2)</f>
        <v>5.19922528402768</v>
      </c>
      <c r="AC117" s="17" t="n">
        <f aca="false">SQRT(($B117-AC$8)^2+($C117-AC$9)^2+($D117-AC$10)^2)</f>
        <v>1.34518045329664</v>
      </c>
      <c r="AD117" s="63" t="n">
        <f aca="false">MATCH(MIN(AB117:AC117),AB117:AC117,0)</f>
        <v>2</v>
      </c>
      <c r="AF117" s="17" t="n">
        <f aca="false">SQRT(($B117-AF$8)^2+($C117-AF$9)^2+($D117-AF$10)^2)</f>
        <v>4.5843313689246</v>
      </c>
      <c r="AG117" s="17" t="n">
        <f aca="false">SQRT(($B117-AG$8)^2+($C117-AG$9)^2+($D117-AG$10)^2)</f>
        <v>1.25300965138521</v>
      </c>
      <c r="AH117" s="63" t="n">
        <f aca="false">MATCH(MIN(AF117:AG117),AF117:AG117,0)</f>
        <v>2</v>
      </c>
      <c r="AJ117" s="17" t="n">
        <f aca="false">SQRT(($B117-AJ$8)^2+($C117-AJ$9)^2+($D117-AJ$10)^2)</f>
        <v>3.99064841977023</v>
      </c>
      <c r="AK117" s="17" t="n">
        <f aca="false">SQRT(($B117-AK$8)^2+($C117-AK$9)^2+($D117-AK$10)^2)</f>
        <v>1.06180983227226</v>
      </c>
      <c r="AL117" s="63" t="n">
        <f aca="false">MATCH(MIN(AJ117:AK117),AJ117:AK117,0)</f>
        <v>2</v>
      </c>
      <c r="AN117" s="17" t="n">
        <f aca="false">SQRT(($B117-AN$8)^2+($C117-AN$9)^2+($D117-AN$10)^2)</f>
        <v>3.80085899754171</v>
      </c>
      <c r="AO117" s="17" t="n">
        <f aca="false">SQRT(($B117-AO$8)^2+($C117-AO$9)^2+($D117-AO$10)^2)</f>
        <v>0.956432552367581</v>
      </c>
      <c r="AP117" s="63" t="n">
        <f aca="false">MATCH(MIN(AN117:AO117),AN117:AO117,0)</f>
        <v>2</v>
      </c>
      <c r="AR117" s="17" t="n">
        <f aca="false">SQRT(($B117-AR$8)^2+($C117-AR$9)^2+($D117-AR$10)^2)</f>
        <v>3.67842301505934</v>
      </c>
      <c r="AS117" s="17" t="n">
        <f aca="false">SQRT(($B117-AS$8)^2+($C117-AS$9)^2+($D117-AS$10)^2)</f>
        <v>0.903609540191604</v>
      </c>
      <c r="AT117" s="63" t="n">
        <f aca="false">MATCH(MIN(AR117:AS117),AR117:AS117,0)</f>
        <v>2</v>
      </c>
      <c r="AV117" s="17" t="n">
        <f aca="false">SQRT(($B117-AV$8)^2+($C117-AV$9)^2+($D117-AV$10)^2)</f>
        <v>3.63871877152214</v>
      </c>
      <c r="AW117" s="17" t="n">
        <f aca="false">SQRT(($B117-AW$8)^2+($C117-AW$9)^2+($D117-AW$10)^2)</f>
        <v>0.887458822634615</v>
      </c>
      <c r="AX117" s="63" t="n">
        <f aca="false">MATCH(MIN(AV117:AW117),AV117:AW117,0)</f>
        <v>2</v>
      </c>
      <c r="AZ117" s="17" t="n">
        <f aca="false">SQRT(($B117-AZ$8)^2+($C117-AZ$9)^2+($D117-AZ$10)^2)</f>
        <v>3.59855790978753</v>
      </c>
      <c r="BA117" s="17" t="n">
        <f aca="false">SQRT(($B117-BA$8)^2+($C117-BA$9)^2+($D117-BA$10)^2)</f>
        <v>0.872984707123438</v>
      </c>
      <c r="BB117" s="63" t="n">
        <f aca="false">MATCH(MIN(AZ117:BA117),AZ117:BA117,0)</f>
        <v>2</v>
      </c>
      <c r="BD117" s="17" t="n">
        <f aca="false">SQRT(($B117-BD$8)^2+($C117-BD$9)^2+($D117-BD$10)^2)</f>
        <v>3.59855790978753</v>
      </c>
      <c r="BE117" s="17" t="n">
        <f aca="false">SQRT(($B117-BE$8)^2+($C117-BE$9)^2+($D117-BE$10)^2)</f>
        <v>0.872984707123438</v>
      </c>
      <c r="BF117" s="63" t="n">
        <f aca="false">MATCH(MIN(BD117:BE117),BD117:BE117,0)</f>
        <v>2</v>
      </c>
      <c r="BH117" s="17" t="n">
        <f aca="false">SQRT(($B117-BH$8)^2+($C117-BH$9)^2+($D117-BH$10)^2)</f>
        <v>3.59855790978753</v>
      </c>
      <c r="BI117" s="17" t="n">
        <f aca="false">SQRT(($B117-BI$8)^2+($C117-BI$9)^2+($D117-BI$10)^2)</f>
        <v>0.872984707123438</v>
      </c>
      <c r="BJ117" s="63" t="n">
        <f aca="false">MATCH(MIN(BH117:BI117),BH117:BI117,0)</f>
        <v>2</v>
      </c>
      <c r="BL117" s="17" t="n">
        <f aca="false">SQRT(($B117-BL$8)^2+($C117-BL$9)^2+($D117-BL$10)^2)</f>
        <v>3.59855790978753</v>
      </c>
      <c r="BM117" s="17" t="n">
        <f aca="false">SQRT(($B117-BM$8)^2+($C117-BM$9)^2+($D117-BM$10)^2)</f>
        <v>0.872984707123438</v>
      </c>
      <c r="BN117" s="63" t="n">
        <f aca="false">MATCH(MIN(BL117:BM117),BL117:BM117,0)</f>
        <v>2</v>
      </c>
      <c r="BP117" s="17" t="n">
        <f aca="false">SQRT(($B117-BP$8)^2+($C117-BP$9)^2+($D117-BP$10)^2)</f>
        <v>3.59855790978753</v>
      </c>
      <c r="BQ117" s="17" t="n">
        <f aca="false">SQRT(($B117-BQ$8)^2+($C117-BQ$9)^2+($D117-BQ$10)^2)</f>
        <v>0.872984707123438</v>
      </c>
      <c r="BR117" s="63" t="n">
        <f aca="false">MATCH(MIN(BP117:BQ117),BP117:BQ117,0)</f>
        <v>2</v>
      </c>
    </row>
    <row r="118" customFormat="false" ht="15" hidden="false" customHeight="false" outlineLevel="0" collapsed="false">
      <c r="A118" s="36" t="str">
        <f aca="false">KMeans_Data!A108</f>
        <v>Tharparkar</v>
      </c>
      <c r="B118" s="17" t="n">
        <f aca="false">KMeans_Data!H108</f>
        <v>-0.997451006048382</v>
      </c>
      <c r="C118" s="17" t="n">
        <f aca="false">KMeans_Data!I108</f>
        <v>-0.672650545388274</v>
      </c>
      <c r="D118" s="17" t="n">
        <f aca="false">KMeans_Data!J108</f>
        <v>-0.636557171841548</v>
      </c>
      <c r="E118" s="63" t="n">
        <f aca="false">BR118</f>
        <v>2</v>
      </c>
      <c r="F118" s="38" t="n">
        <f aca="false">($B118-INDEX($L$8:$M$8,E118))^2+($C118-INDEX($L$9:$M$9,E118))^2+($D118-INDEX($L$10:$M$10,E118))^2</f>
        <v>0.352155587376499</v>
      </c>
      <c r="G118" s="17" t="n">
        <f aca="false">IF(COUNTIF(Distance_Matrix!$E$8:$DQ$8,$E118)&lt;=1,0,SUMIF(Distance_Matrix!$E$8:$DQ$8,$E118,Distance_Matrix!$E$117:$DQ$117)/(COUNTIF(Distance_Matrix!$E$8:$DQ$8,$E118)-1))</f>
        <v>1.06738553667001</v>
      </c>
      <c r="H118" s="17" t="n">
        <f aca="false">MIN(IF(1=$E118,1E+099,IF(COUNTIF(Distance_Matrix!$E$8:$DQ$8,1)=0,1E+099,SUMIF(Distance_Matrix!$E$8:$DQ$8,1,Distance_Matrix!$E$117:$DQ$117)/COUNTIF(Distance_Matrix!$E$8:$DQ$8,1))),IF(2=$E118,1E+099,IF(COUNTIF(Distance_Matrix!$E$8:$DQ$8,2)=0,1E+099,SUMIF(Distance_Matrix!$E$8:$DQ$8,2,Distance_Matrix!$E$117:$DQ$117)/COUNTIF(Distance_Matrix!$E$8:$DQ$8,2))))</f>
        <v>3.34465834856376</v>
      </c>
      <c r="I118" s="17" t="n">
        <f aca="false">IF(COUNTIF(Distance_Matrix!$E$8:$DQ$8,$E118)&lt;=1,0,(H118-G118)/MAX(G118,H118))</f>
        <v>0.680868589424578</v>
      </c>
      <c r="X118" s="17" t="n">
        <f aca="false">SQRT(($B118-X$8)^2+($C118-X$9)^2+($D118-X$10)^2)</f>
        <v>7.45470370665017</v>
      </c>
      <c r="Y118" s="17" t="n">
        <f aca="false">SQRT(($B118-Y$8)^2+($C118-Y$9)^2+($D118-Y$10)^2)</f>
        <v>1.19604122627148</v>
      </c>
      <c r="Z118" s="63" t="n">
        <f aca="false">MATCH(MIN(X118:Y118),X118:Y118,0)</f>
        <v>2</v>
      </c>
      <c r="AB118" s="17" t="n">
        <f aca="false">SQRT(($B118-AB$8)^2+($C118-AB$9)^2+($D118-AB$10)^2)</f>
        <v>4.92186267351476</v>
      </c>
      <c r="AC118" s="17" t="n">
        <f aca="false">SQRT(($B118-AC$8)^2+($C118-AC$9)^2+($D118-AC$10)^2)</f>
        <v>1.03912332460864</v>
      </c>
      <c r="AD118" s="63" t="n">
        <f aca="false">MATCH(MIN(AB118:AC118),AB118:AC118,0)</f>
        <v>2</v>
      </c>
      <c r="AF118" s="17" t="n">
        <f aca="false">SQRT(($B118-AF$8)^2+($C118-AF$9)^2+($D118-AF$10)^2)</f>
        <v>4.30654571447296</v>
      </c>
      <c r="AG118" s="17" t="n">
        <f aca="false">SQRT(($B118-AG$8)^2+($C118-AG$9)^2+($D118-AG$10)^2)</f>
        <v>0.944728376208975</v>
      </c>
      <c r="AH118" s="63" t="n">
        <f aca="false">MATCH(MIN(AF118:AG118),AF118:AG118,0)</f>
        <v>2</v>
      </c>
      <c r="AJ118" s="17" t="n">
        <f aca="false">SQRT(($B118-AJ$8)^2+($C118-AJ$9)^2+($D118-AJ$10)^2)</f>
        <v>3.69946668936628</v>
      </c>
      <c r="AK118" s="17" t="n">
        <f aca="false">SQRT(($B118-AK$8)^2+($C118-AK$9)^2+($D118-AK$10)^2)</f>
        <v>0.762942344085009</v>
      </c>
      <c r="AL118" s="63" t="n">
        <f aca="false">MATCH(MIN(AJ118:AK118),AJ118:AK118,0)</f>
        <v>2</v>
      </c>
      <c r="AN118" s="17" t="n">
        <f aca="false">SQRT(($B118-AN$8)^2+($C118-AN$9)^2+($D118-AN$10)^2)</f>
        <v>3.50243531104544</v>
      </c>
      <c r="AO118" s="17" t="n">
        <f aca="false">SQRT(($B118-AO$8)^2+($C118-AO$9)^2+($D118-AO$10)^2)</f>
        <v>0.667945196455631</v>
      </c>
      <c r="AP118" s="63" t="n">
        <f aca="false">MATCH(MIN(AN118:AO118),AN118:AO118,0)</f>
        <v>2</v>
      </c>
      <c r="AR118" s="17" t="n">
        <f aca="false">SQRT(($B118-AR$8)^2+($C118-AR$9)^2+($D118-AR$10)^2)</f>
        <v>3.37816447728229</v>
      </c>
      <c r="AS118" s="17" t="n">
        <f aca="false">SQRT(($B118-AS$8)^2+($C118-AS$9)^2+($D118-AS$10)^2)</f>
        <v>0.620615241189651</v>
      </c>
      <c r="AT118" s="63" t="n">
        <f aca="false">MATCH(MIN(AR118:AS118),AR118:AS118,0)</f>
        <v>2</v>
      </c>
      <c r="AV118" s="17" t="n">
        <f aca="false">SQRT(($B118-AV$8)^2+($C118-AV$9)^2+($D118-AV$10)^2)</f>
        <v>3.33893996005018</v>
      </c>
      <c r="AW118" s="17" t="n">
        <f aca="false">SQRT(($B118-AW$8)^2+($C118-AW$9)^2+($D118-AW$10)^2)</f>
        <v>0.604555834925521</v>
      </c>
      <c r="AX118" s="63" t="n">
        <f aca="false">MATCH(MIN(AV118:AW118),AV118:AW118,0)</f>
        <v>2</v>
      </c>
      <c r="AZ118" s="17" t="n">
        <f aca="false">SQRT(($B118-AZ$8)^2+($C118-AZ$9)^2+($D118-AZ$10)^2)</f>
        <v>3.29804588735587</v>
      </c>
      <c r="BA118" s="17" t="n">
        <f aca="false">SQRT(($B118-BA$8)^2+($C118-BA$9)^2+($D118-BA$10)^2)</f>
        <v>0.593426985716439</v>
      </c>
      <c r="BB118" s="63" t="n">
        <f aca="false">MATCH(MIN(AZ118:BA118),AZ118:BA118,0)</f>
        <v>2</v>
      </c>
      <c r="BD118" s="17" t="n">
        <f aca="false">SQRT(($B118-BD$8)^2+($C118-BD$9)^2+($D118-BD$10)^2)</f>
        <v>3.29804588735587</v>
      </c>
      <c r="BE118" s="17" t="n">
        <f aca="false">SQRT(($B118-BE$8)^2+($C118-BE$9)^2+($D118-BE$10)^2)</f>
        <v>0.593426985716439</v>
      </c>
      <c r="BF118" s="63" t="n">
        <f aca="false">MATCH(MIN(BD118:BE118),BD118:BE118,0)</f>
        <v>2</v>
      </c>
      <c r="BH118" s="17" t="n">
        <f aca="false">SQRT(($B118-BH$8)^2+($C118-BH$9)^2+($D118-BH$10)^2)</f>
        <v>3.29804588735587</v>
      </c>
      <c r="BI118" s="17" t="n">
        <f aca="false">SQRT(($B118-BI$8)^2+($C118-BI$9)^2+($D118-BI$10)^2)</f>
        <v>0.593426985716439</v>
      </c>
      <c r="BJ118" s="63" t="n">
        <f aca="false">MATCH(MIN(BH118:BI118),BH118:BI118,0)</f>
        <v>2</v>
      </c>
      <c r="BL118" s="17" t="n">
        <f aca="false">SQRT(($B118-BL$8)^2+($C118-BL$9)^2+($D118-BL$10)^2)</f>
        <v>3.29804588735587</v>
      </c>
      <c r="BM118" s="17" t="n">
        <f aca="false">SQRT(($B118-BM$8)^2+($C118-BM$9)^2+($D118-BM$10)^2)</f>
        <v>0.593426985716439</v>
      </c>
      <c r="BN118" s="63" t="n">
        <f aca="false">MATCH(MIN(BL118:BM118),BL118:BM118,0)</f>
        <v>2</v>
      </c>
      <c r="BP118" s="17" t="n">
        <f aca="false">SQRT(($B118-BP$8)^2+($C118-BP$9)^2+($D118-BP$10)^2)</f>
        <v>3.29804588735587</v>
      </c>
      <c r="BQ118" s="17" t="n">
        <f aca="false">SQRT(($B118-BQ$8)^2+($C118-BQ$9)^2+($D118-BQ$10)^2)</f>
        <v>0.593426985716439</v>
      </c>
      <c r="BR118" s="63" t="n">
        <f aca="false">MATCH(MIN(BP118:BQ118),BP118:BQ118,0)</f>
        <v>2</v>
      </c>
    </row>
    <row r="119" customFormat="false" ht="15" hidden="false" customHeight="false" outlineLevel="0" collapsed="false">
      <c r="A119" s="36" t="str">
        <f aca="false">KMeans_Data!A109</f>
        <v>Chakwal</v>
      </c>
      <c r="B119" s="17" t="n">
        <f aca="false">KMeans_Data!H109</f>
        <v>-1.14718089935485</v>
      </c>
      <c r="C119" s="17" t="n">
        <f aca="false">KMeans_Data!I109</f>
        <v>-0.672650545388274</v>
      </c>
      <c r="D119" s="17" t="n">
        <f aca="false">KMeans_Data!J109</f>
        <v>-0.824446015898766</v>
      </c>
      <c r="E119" s="63" t="n">
        <f aca="false">BR119</f>
        <v>2</v>
      </c>
      <c r="F119" s="38" t="n">
        <f aca="false">($B119-INDEX($L$8:$M$8,E119))^2+($C119-INDEX($L$9:$M$9,E119))^2+($D119-INDEX($L$10:$M$10,E119))^2</f>
        <v>0.631195033307723</v>
      </c>
      <c r="G119" s="17" t="n">
        <f aca="false">IF(COUNTIF(Distance_Matrix!$E$8:$DQ$8,$E119)&lt;=1,0,SUMIF(Distance_Matrix!$E$8:$DQ$8,$E119,Distance_Matrix!$E$118:$DQ$118)/(COUNTIF(Distance_Matrix!$E$8:$DQ$8,$E119)-1))</f>
        <v>1.15141707575453</v>
      </c>
      <c r="H119" s="17" t="n">
        <f aca="false">MIN(IF(1=$E119,1E+099,IF(COUNTIF(Distance_Matrix!$E$8:$DQ$8,1)=0,1E+099,SUMIF(Distance_Matrix!$E$8:$DQ$8,1,Distance_Matrix!$E$118:$DQ$118)/COUNTIF(Distance_Matrix!$E$8:$DQ$8,1))),IF(2=$E119,1E+099,IF(COUNTIF(Distance_Matrix!$E$8:$DQ$8,2)=0,1E+099,SUMIF(Distance_Matrix!$E$8:$DQ$8,2,Distance_Matrix!$E$118:$DQ$118)/COUNTIF(Distance_Matrix!$E$8:$DQ$8,2))))</f>
        <v>3.54120854421887</v>
      </c>
      <c r="I119" s="17" t="n">
        <f aca="false">IF(COUNTIF(Distance_Matrix!$E$8:$DQ$8,$E119)&lt;=1,0,(H119-G119)/MAX(G119,H119))</f>
        <v>0.674851943516783</v>
      </c>
      <c r="X119" s="17" t="n">
        <f aca="false">SQRT(($B119-X$8)^2+($C119-X$9)^2+($D119-X$10)^2)</f>
        <v>7.64009488075629</v>
      </c>
      <c r="Y119" s="17" t="n">
        <f aca="false">SQRT(($B119-Y$8)^2+($C119-Y$9)^2+($D119-Y$10)^2)</f>
        <v>0.986321920950627</v>
      </c>
      <c r="Z119" s="63" t="n">
        <f aca="false">MATCH(MIN(X119:Y119),X119:Y119,0)</f>
        <v>2</v>
      </c>
      <c r="AB119" s="17" t="n">
        <f aca="false">SQRT(($B119-AB$8)^2+($C119-AB$9)^2+($D119-AB$10)^2)</f>
        <v>5.1100654252647</v>
      </c>
      <c r="AC119" s="17" t="n">
        <f aca="false">SQRT(($B119-AC$8)^2+($C119-AC$9)^2+($D119-AC$10)^2)</f>
        <v>1.2468410337343</v>
      </c>
      <c r="AD119" s="63" t="n">
        <f aca="false">MATCH(MIN(AB119:AC119),AB119:AC119,0)</f>
        <v>2</v>
      </c>
      <c r="AF119" s="17" t="n">
        <f aca="false">SQRT(($B119-AF$8)^2+($C119-AF$9)^2+($D119-AF$10)^2)</f>
        <v>4.49468336547241</v>
      </c>
      <c r="AG119" s="17" t="n">
        <f aca="false">SQRT(($B119-AG$8)^2+($C119-AG$9)^2+($D119-AG$10)^2)</f>
        <v>1.15421773472982</v>
      </c>
      <c r="AH119" s="63" t="n">
        <f aca="false">MATCH(MIN(AF119:AG119),AF119:AG119,0)</f>
        <v>2</v>
      </c>
      <c r="AJ119" s="17" t="n">
        <f aca="false">SQRT(($B119-AJ$8)^2+($C119-AJ$9)^2+($D119-AJ$10)^2)</f>
        <v>3.89120692772377</v>
      </c>
      <c r="AK119" s="17" t="n">
        <f aca="false">SQRT(($B119-AK$8)^2+($C119-AK$9)^2+($D119-AK$10)^2)</f>
        <v>0.971626014559985</v>
      </c>
      <c r="AL119" s="63" t="n">
        <f aca="false">MATCH(MIN(AJ119:AK119),AJ119:AK119,0)</f>
        <v>2</v>
      </c>
      <c r="AN119" s="17" t="n">
        <f aca="false">SQRT(($B119-AN$8)^2+($C119-AN$9)^2+($D119-AN$10)^2)</f>
        <v>3.69816896721311</v>
      </c>
      <c r="AO119" s="17" t="n">
        <f aca="false">SQRT(($B119-AO$8)^2+($C119-AO$9)^2+($D119-AO$10)^2)</f>
        <v>0.872444313241849</v>
      </c>
      <c r="AP119" s="63" t="n">
        <f aca="false">MATCH(MIN(AN119:AO119),AN119:AO119,0)</f>
        <v>2</v>
      </c>
      <c r="AR119" s="17" t="n">
        <f aca="false">SQRT(($B119-AR$8)^2+($C119-AR$9)^2+($D119-AR$10)^2)</f>
        <v>3.57502091560486</v>
      </c>
      <c r="AS119" s="17" t="n">
        <f aca="false">SQRT(($B119-AS$8)^2+($C119-AS$9)^2+($D119-AS$10)^2)</f>
        <v>0.822827136415924</v>
      </c>
      <c r="AT119" s="63" t="n">
        <f aca="false">MATCH(MIN(AR119:AS119),AR119:AS119,0)</f>
        <v>2</v>
      </c>
      <c r="AV119" s="17" t="n">
        <f aca="false">SQRT(($B119-AV$8)^2+($C119-AV$9)^2+($D119-AV$10)^2)</f>
        <v>3.53587478673025</v>
      </c>
      <c r="AW119" s="17" t="n">
        <f aca="false">SQRT(($B119-AW$8)^2+($C119-AW$9)^2+($D119-AW$10)^2)</f>
        <v>0.806531680701928</v>
      </c>
      <c r="AX119" s="63" t="n">
        <f aca="false">MATCH(MIN(AV119:AW119),AV119:AW119,0)</f>
        <v>2</v>
      </c>
      <c r="AZ119" s="17" t="n">
        <f aca="false">SQRT(($B119-AZ$8)^2+($C119-AZ$9)^2+($D119-AZ$10)^2)</f>
        <v>3.49491564877236</v>
      </c>
      <c r="BA119" s="17" t="n">
        <f aca="false">SQRT(($B119-BA$8)^2+($C119-BA$9)^2+($D119-BA$10)^2)</f>
        <v>0.794477836888936</v>
      </c>
      <c r="BB119" s="63" t="n">
        <f aca="false">MATCH(MIN(AZ119:BA119),AZ119:BA119,0)</f>
        <v>2</v>
      </c>
      <c r="BD119" s="17" t="n">
        <f aca="false">SQRT(($B119-BD$8)^2+($C119-BD$9)^2+($D119-BD$10)^2)</f>
        <v>3.49491564877236</v>
      </c>
      <c r="BE119" s="17" t="n">
        <f aca="false">SQRT(($B119-BE$8)^2+($C119-BE$9)^2+($D119-BE$10)^2)</f>
        <v>0.794477836888936</v>
      </c>
      <c r="BF119" s="63" t="n">
        <f aca="false">MATCH(MIN(BD119:BE119),BD119:BE119,0)</f>
        <v>2</v>
      </c>
      <c r="BH119" s="17" t="n">
        <f aca="false">SQRT(($B119-BH$8)^2+($C119-BH$9)^2+($D119-BH$10)^2)</f>
        <v>3.49491564877236</v>
      </c>
      <c r="BI119" s="17" t="n">
        <f aca="false">SQRT(($B119-BI$8)^2+($C119-BI$9)^2+($D119-BI$10)^2)</f>
        <v>0.794477836888936</v>
      </c>
      <c r="BJ119" s="63" t="n">
        <f aca="false">MATCH(MIN(BH119:BI119),BH119:BI119,0)</f>
        <v>2</v>
      </c>
      <c r="BL119" s="17" t="n">
        <f aca="false">SQRT(($B119-BL$8)^2+($C119-BL$9)^2+($D119-BL$10)^2)</f>
        <v>3.49491564877236</v>
      </c>
      <c r="BM119" s="17" t="n">
        <f aca="false">SQRT(($B119-BM$8)^2+($C119-BM$9)^2+($D119-BM$10)^2)</f>
        <v>0.794477836888936</v>
      </c>
      <c r="BN119" s="63" t="n">
        <f aca="false">MATCH(MIN(BL119:BM119),BL119:BM119,0)</f>
        <v>2</v>
      </c>
      <c r="BP119" s="17" t="n">
        <f aca="false">SQRT(($B119-BP$8)^2+($C119-BP$9)^2+($D119-BP$10)^2)</f>
        <v>3.49491564877236</v>
      </c>
      <c r="BQ119" s="17" t="n">
        <f aca="false">SQRT(($B119-BQ$8)^2+($C119-BQ$9)^2+($D119-BQ$10)^2)</f>
        <v>0.794477836888936</v>
      </c>
      <c r="BR119" s="63" t="n">
        <f aca="false">MATCH(MIN(BP119:BQ119),BP119:BQ119,0)</f>
        <v>2</v>
      </c>
    </row>
    <row r="120" customFormat="false" ht="15" hidden="false" customHeight="false" outlineLevel="0" collapsed="false">
      <c r="A120" s="36" t="str">
        <f aca="false">KMeans_Data!A110</f>
        <v>Pishin</v>
      </c>
      <c r="B120" s="17" t="n">
        <f aca="false">KMeans_Data!H110</f>
        <v>-1.35821333130003</v>
      </c>
      <c r="C120" s="17" t="n">
        <f aca="false">KMeans_Data!I110</f>
        <v>-0.672650545388274</v>
      </c>
      <c r="D120" s="17" t="n">
        <f aca="false">KMeans_Data!J110</f>
        <v>-1.14564411633355</v>
      </c>
      <c r="E120" s="63" t="n">
        <f aca="false">BR120</f>
        <v>2</v>
      </c>
      <c r="F120" s="38" t="n">
        <f aca="false">($B120-INDEX($L$8:$M$8,E120))^2+($C120-INDEX($L$9:$M$9,E120))^2+($D120-INDEX($L$10:$M$10,E120))^2</f>
        <v>1.29142245862172</v>
      </c>
      <c r="G120" s="17" t="n">
        <f aca="false">IF(COUNTIF(Distance_Matrix!$E$8:$DQ$8,$E120)&lt;=1,0,SUMIF(Distance_Matrix!$E$8:$DQ$8,$E120,Distance_Matrix!$E$119:$DQ$119)/(COUNTIF(Distance_Matrix!$E$8:$DQ$8,$E120)-1))</f>
        <v>1.34448956192817</v>
      </c>
      <c r="H120" s="17" t="n">
        <f aca="false">MIN(IF(1=$E120,1E+099,IF(COUNTIF(Distance_Matrix!$E$8:$DQ$8,1)=0,1E+099,SUMIF(Distance_Matrix!$E$8:$DQ$8,1,Distance_Matrix!$E$119:$DQ$119)/COUNTIF(Distance_Matrix!$E$8:$DQ$8,1))),IF(2=$E120,1E+099,IF(COUNTIF(Distance_Matrix!$E$8:$DQ$8,2)=0,1E+099,SUMIF(Distance_Matrix!$E$8:$DQ$8,2,Distance_Matrix!$E$119:$DQ$119)/COUNTIF(Distance_Matrix!$E$8:$DQ$8,2))))</f>
        <v>3.86072952860895</v>
      </c>
      <c r="I120" s="17" t="n">
        <f aca="false">IF(COUNTIF(Distance_Matrix!$E$8:$DQ$8,$E120)&lt;=1,0,(H120-G120)/MAX(G120,H120))</f>
        <v>0.651752459744932</v>
      </c>
      <c r="X120" s="17" t="n">
        <f aca="false">SQRT(($B120-X$8)^2+($C120-X$9)^2+($D120-X$10)^2)</f>
        <v>7.93750965384981</v>
      </c>
      <c r="Y120" s="17" t="n">
        <f aca="false">SQRT(($B120-Y$8)^2+($C120-Y$9)^2+($D120-Y$10)^2)</f>
        <v>0.721524650503296</v>
      </c>
      <c r="Z120" s="63" t="n">
        <f aca="false">MATCH(MIN(X120:Y120),X120:Y120,0)</f>
        <v>2</v>
      </c>
      <c r="AB120" s="17" t="n">
        <f aca="false">SQRT(($B120-AB$8)^2+($C120-AB$9)^2+($D120-AB$10)^2)</f>
        <v>5.41352544685002</v>
      </c>
      <c r="AC120" s="17" t="n">
        <f aca="false">SQRT(($B120-AC$8)^2+($C120-AC$9)^2+($D120-AC$10)^2)</f>
        <v>1.58940759166519</v>
      </c>
      <c r="AD120" s="63" t="n">
        <f aca="false">MATCH(MIN(AB120:AC120),AB120:AC120,0)</f>
        <v>2</v>
      </c>
      <c r="AF120" s="17" t="n">
        <f aca="false">SQRT(($B120-AF$8)^2+($C120-AF$9)^2+($D120-AF$10)^2)</f>
        <v>4.79906598017717</v>
      </c>
      <c r="AG120" s="17" t="n">
        <f aca="false">SQRT(($B120-AG$8)^2+($C120-AG$9)^2+($D120-AG$10)^2)</f>
        <v>1.49950962808206</v>
      </c>
      <c r="AH120" s="63" t="n">
        <f aca="false">MATCH(MIN(AF120:AG120),AF120:AG120,0)</f>
        <v>2</v>
      </c>
      <c r="AJ120" s="17" t="n">
        <f aca="false">SQRT(($B120-AJ$8)^2+($C120-AJ$9)^2+($D120-AJ$10)^2)</f>
        <v>4.2026609538138</v>
      </c>
      <c r="AK120" s="17" t="n">
        <f aca="false">SQRT(($B120-AK$8)^2+($C120-AK$9)^2+($D120-AK$10)^2)</f>
        <v>1.31763982180365</v>
      </c>
      <c r="AL120" s="63" t="n">
        <f aca="false">MATCH(MIN(AJ120:AK120),AJ120:AK120,0)</f>
        <v>2</v>
      </c>
      <c r="AN120" s="17" t="n">
        <f aca="false">SQRT(($B120-AN$8)^2+($C120-AN$9)^2+($D120-AN$10)^2)</f>
        <v>4.01569657241743</v>
      </c>
      <c r="AO120" s="17" t="n">
        <f aca="false">SQRT(($B120-AO$8)^2+($C120-AO$9)^2+($D120-AO$10)^2)</f>
        <v>1.21596843729771</v>
      </c>
      <c r="AP120" s="63" t="n">
        <f aca="false">MATCH(MIN(AN120:AO120),AN120:AO120,0)</f>
        <v>2</v>
      </c>
      <c r="AR120" s="17" t="n">
        <f aca="false">SQRT(($B120-AR$8)^2+($C120-AR$9)^2+($D120-AR$10)^2)</f>
        <v>3.89437636055984</v>
      </c>
      <c r="AS120" s="17" t="n">
        <f aca="false">SQRT(($B120-AS$8)^2+($C120-AS$9)^2+($D120-AS$10)^2)</f>
        <v>1.16522167544822</v>
      </c>
      <c r="AT120" s="63" t="n">
        <f aca="false">MATCH(MIN(AR120:AS120),AR120:AS120,0)</f>
        <v>2</v>
      </c>
      <c r="AV120" s="17" t="n">
        <f aca="false">SQRT(($B120-AV$8)^2+($C120-AV$9)^2+($D120-AV$10)^2)</f>
        <v>3.85536289056649</v>
      </c>
      <c r="AW120" s="17" t="n">
        <f aca="false">SQRT(($B120-AW$8)^2+($C120-AW$9)^2+($D120-AW$10)^2)</f>
        <v>1.14911927718534</v>
      </c>
      <c r="AX120" s="63" t="n">
        <f aca="false">MATCH(MIN(AV120:AW120),AV120:AW120,0)</f>
        <v>2</v>
      </c>
      <c r="AZ120" s="17" t="n">
        <f aca="false">SQRT(($B120-AZ$8)^2+($C120-AZ$9)^2+($D120-AZ$10)^2)</f>
        <v>3.81449529102838</v>
      </c>
      <c r="BA120" s="17" t="n">
        <f aca="false">SQRT(($B120-BA$8)^2+($C120-BA$9)^2+($D120-BA$10)^2)</f>
        <v>1.1364076991211</v>
      </c>
      <c r="BB120" s="63" t="n">
        <f aca="false">MATCH(MIN(AZ120:BA120),AZ120:BA120,0)</f>
        <v>2</v>
      </c>
      <c r="BD120" s="17" t="n">
        <f aca="false">SQRT(($B120-BD$8)^2+($C120-BD$9)^2+($D120-BD$10)^2)</f>
        <v>3.81449529102838</v>
      </c>
      <c r="BE120" s="17" t="n">
        <f aca="false">SQRT(($B120-BE$8)^2+($C120-BE$9)^2+($D120-BE$10)^2)</f>
        <v>1.1364076991211</v>
      </c>
      <c r="BF120" s="63" t="n">
        <f aca="false">MATCH(MIN(BD120:BE120),BD120:BE120,0)</f>
        <v>2</v>
      </c>
      <c r="BH120" s="17" t="n">
        <f aca="false">SQRT(($B120-BH$8)^2+($C120-BH$9)^2+($D120-BH$10)^2)</f>
        <v>3.81449529102838</v>
      </c>
      <c r="BI120" s="17" t="n">
        <f aca="false">SQRT(($B120-BI$8)^2+($C120-BI$9)^2+($D120-BI$10)^2)</f>
        <v>1.1364076991211</v>
      </c>
      <c r="BJ120" s="63" t="n">
        <f aca="false">MATCH(MIN(BH120:BI120),BH120:BI120,0)</f>
        <v>2</v>
      </c>
      <c r="BL120" s="17" t="n">
        <f aca="false">SQRT(($B120-BL$8)^2+($C120-BL$9)^2+($D120-BL$10)^2)</f>
        <v>3.81449529102838</v>
      </c>
      <c r="BM120" s="17" t="n">
        <f aca="false">SQRT(($B120-BM$8)^2+($C120-BM$9)^2+($D120-BM$10)^2)</f>
        <v>1.1364076991211</v>
      </c>
      <c r="BN120" s="63" t="n">
        <f aca="false">MATCH(MIN(BL120:BM120),BL120:BM120,0)</f>
        <v>2</v>
      </c>
      <c r="BP120" s="17" t="n">
        <f aca="false">SQRT(($B120-BP$8)^2+($C120-BP$9)^2+($D120-BP$10)^2)</f>
        <v>3.81449529102838</v>
      </c>
      <c r="BQ120" s="17" t="n">
        <f aca="false">SQRT(($B120-BQ$8)^2+($C120-BQ$9)^2+($D120-BQ$10)^2)</f>
        <v>1.1364076991211</v>
      </c>
      <c r="BR120" s="63" t="n">
        <f aca="false">MATCH(MIN(BP120:BQ120),BP120:BQ120,0)</f>
        <v>2</v>
      </c>
    </row>
    <row r="121" customFormat="false" ht="15" hidden="false" customHeight="false" outlineLevel="0" collapsed="false">
      <c r="A121" s="36" t="str">
        <f aca="false">KMeans_Data!A111</f>
        <v>Kohistan Lower</v>
      </c>
      <c r="B121" s="17" t="n">
        <f aca="false">KMeans_Data!H111</f>
        <v>-1.50794322460649</v>
      </c>
      <c r="C121" s="17" t="n">
        <f aca="false">KMeans_Data!I111</f>
        <v>-0.672650545388274</v>
      </c>
      <c r="D121" s="17" t="n">
        <f aca="false">KMeans_Data!J111</f>
        <v>-1.14564411633355</v>
      </c>
      <c r="E121" s="63" t="n">
        <f aca="false">BR121</f>
        <v>2</v>
      </c>
      <c r="F121" s="38" t="n">
        <f aca="false">($B121-INDEX($L$8:$M$8,E121))^2+($C121-INDEX($L$9:$M$9,E121))^2+($D121-INDEX($L$10:$M$10,E121))^2</f>
        <v>1.58754611946086</v>
      </c>
      <c r="G121" s="17" t="n">
        <f aca="false">IF(COUNTIF(Distance_Matrix!$E$8:$DQ$8,$E121)&lt;=1,0,SUMIF(Distance_Matrix!$E$8:$DQ$8,$E121,Distance_Matrix!$E$120:$DQ$120)/(COUNTIF(Distance_Matrix!$E$8:$DQ$8,$E121)-1))</f>
        <v>1.42862857751756</v>
      </c>
      <c r="H121" s="17" t="n">
        <f aca="false">MIN(IF(1=$E121,1E+099,IF(COUNTIF(Distance_Matrix!$E$8:$DQ$8,1)=0,1E+099,SUMIF(Distance_Matrix!$E$8:$DQ$8,1,Distance_Matrix!$E$120:$DQ$120)/COUNTIF(Distance_Matrix!$E$8:$DQ$8,1))),IF(2=$E121,1E+099,IF(COUNTIF(Distance_Matrix!$E$8:$DQ$8,2)=0,1E+099,SUMIF(Distance_Matrix!$E$8:$DQ$8,2,Distance_Matrix!$E$120:$DQ$120)/COUNTIF(Distance_Matrix!$E$8:$DQ$8,2))))</f>
        <v>3.95613209487126</v>
      </c>
      <c r="I121" s="17" t="n">
        <f aca="false">IF(COUNTIF(Distance_Matrix!$E$8:$DQ$8,$E121)&lt;=1,0,(H121-G121)/MAX(G121,H121))</f>
        <v>0.638882488436208</v>
      </c>
      <c r="X121" s="17" t="n">
        <f aca="false">SQRT(($B121-X$8)^2+($C121-X$9)^2+($D121-X$10)^2)</f>
        <v>8.02581663311103</v>
      </c>
      <c r="Y121" s="17" t="n">
        <f aca="false">SQRT(($B121-Y$8)^2+($C121-Y$9)^2+($D121-Y$10)^2)</f>
        <v>0.571794757196831</v>
      </c>
      <c r="Z121" s="63" t="n">
        <f aca="false">MATCH(MIN(X121:Y121),X121:Y121,0)</f>
        <v>2</v>
      </c>
      <c r="AB121" s="17" t="n">
        <f aca="false">SQRT(($B121-AB$8)^2+($C121-AB$9)^2+($D121-AB$10)^2)</f>
        <v>5.50696099416423</v>
      </c>
      <c r="AC121" s="17" t="n">
        <f aca="false">SQRT(($B121-AC$8)^2+($C121-AC$9)^2+($D121-AC$10)^2)</f>
        <v>1.70297161474683</v>
      </c>
      <c r="AD121" s="63" t="n">
        <f aca="false">MATCH(MIN(AB121:AC121),AB121:AC121,0)</f>
        <v>2</v>
      </c>
      <c r="AF121" s="17" t="n">
        <f aca="false">SQRT(($B121-AF$8)^2+($C121-AF$9)^2+($D121-AF$10)^2)</f>
        <v>4.89323471354493</v>
      </c>
      <c r="AG121" s="17" t="n">
        <f aca="false">SQRT(($B121-AG$8)^2+($C121-AG$9)^2+($D121-AG$10)^2)</f>
        <v>1.61448639746821</v>
      </c>
      <c r="AH121" s="63" t="n">
        <f aca="false">MATCH(MIN(AF121:AG121),AF121:AG121,0)</f>
        <v>2</v>
      </c>
      <c r="AJ121" s="17" t="n">
        <f aca="false">SQRT(($B121-AJ$8)^2+($C121-AJ$9)^2+($D121-AJ$10)^2)</f>
        <v>4.29648113632232</v>
      </c>
      <c r="AK121" s="17" t="n">
        <f aca="false">SQRT(($B121-AK$8)^2+($C121-AK$9)^2+($D121-AK$10)^2)</f>
        <v>1.43710066566941</v>
      </c>
      <c r="AL121" s="63" t="n">
        <f aca="false">MATCH(MIN(AJ121:AK121),AJ121:AK121,0)</f>
        <v>2</v>
      </c>
      <c r="AN121" s="17" t="n">
        <f aca="false">SQRT(($B121-AN$8)^2+($C121-AN$9)^2+($D121-AN$10)^2)</f>
        <v>4.11086647362233</v>
      </c>
      <c r="AO121" s="17" t="n">
        <f aca="false">SQRT(($B121-AO$8)^2+($C121-AO$9)^2+($D121-AO$10)^2)</f>
        <v>1.33754251301636</v>
      </c>
      <c r="AP121" s="63" t="n">
        <f aca="false">MATCH(MIN(AN121:AO121),AN121:AO121,0)</f>
        <v>2</v>
      </c>
      <c r="AR121" s="17" t="n">
        <f aca="false">SQRT(($B121-AR$8)^2+($C121-AR$9)^2+($D121-AR$10)^2)</f>
        <v>3.99015583940522</v>
      </c>
      <c r="AS121" s="17" t="n">
        <f aca="false">SQRT(($B121-AS$8)^2+($C121-AS$9)^2+($D121-AS$10)^2)</f>
        <v>1.2879475164536</v>
      </c>
      <c r="AT121" s="63" t="n">
        <f aca="false">MATCH(MIN(AR121:AS121),AR121:AS121,0)</f>
        <v>2</v>
      </c>
      <c r="AV121" s="17" t="n">
        <f aca="false">SQRT(($B121-AV$8)^2+($C121-AV$9)^2+($D121-AV$10)^2)</f>
        <v>3.95146714069212</v>
      </c>
      <c r="AW121" s="17" t="n">
        <f aca="false">SQRT(($B121-AW$8)^2+($C121-AW$9)^2+($D121-AW$10)^2)</f>
        <v>1.27203820755588</v>
      </c>
      <c r="AX121" s="63" t="n">
        <f aca="false">MATCH(MIN(AV121:AW121),AV121:AW121,0)</f>
        <v>2</v>
      </c>
      <c r="AZ121" s="17" t="n">
        <f aca="false">SQRT(($B121-AZ$8)^2+($C121-AZ$9)^2+($D121-AZ$10)^2)</f>
        <v>3.91039432095618</v>
      </c>
      <c r="BA121" s="17" t="n">
        <f aca="false">SQRT(($B121-BA$8)^2+($C121-BA$9)^2+($D121-BA$10)^2)</f>
        <v>1.25997861865226</v>
      </c>
      <c r="BB121" s="63" t="n">
        <f aca="false">MATCH(MIN(AZ121:BA121),AZ121:BA121,0)</f>
        <v>2</v>
      </c>
      <c r="BD121" s="17" t="n">
        <f aca="false">SQRT(($B121-BD$8)^2+($C121-BD$9)^2+($D121-BD$10)^2)</f>
        <v>3.91039432095618</v>
      </c>
      <c r="BE121" s="17" t="n">
        <f aca="false">SQRT(($B121-BE$8)^2+($C121-BE$9)^2+($D121-BE$10)^2)</f>
        <v>1.25997861865226</v>
      </c>
      <c r="BF121" s="63" t="n">
        <f aca="false">MATCH(MIN(BD121:BE121),BD121:BE121,0)</f>
        <v>2</v>
      </c>
      <c r="BH121" s="17" t="n">
        <f aca="false">SQRT(($B121-BH$8)^2+($C121-BH$9)^2+($D121-BH$10)^2)</f>
        <v>3.91039432095618</v>
      </c>
      <c r="BI121" s="17" t="n">
        <f aca="false">SQRT(($B121-BI$8)^2+($C121-BI$9)^2+($D121-BI$10)^2)</f>
        <v>1.25997861865226</v>
      </c>
      <c r="BJ121" s="63" t="n">
        <f aca="false">MATCH(MIN(BH121:BI121),BH121:BI121,0)</f>
        <v>2</v>
      </c>
      <c r="BL121" s="17" t="n">
        <f aca="false">SQRT(($B121-BL$8)^2+($C121-BL$9)^2+($D121-BL$10)^2)</f>
        <v>3.91039432095618</v>
      </c>
      <c r="BM121" s="17" t="n">
        <f aca="false">SQRT(($B121-BM$8)^2+($C121-BM$9)^2+($D121-BM$10)^2)</f>
        <v>1.25997861865226</v>
      </c>
      <c r="BN121" s="63" t="n">
        <f aca="false">MATCH(MIN(BL121:BM121),BL121:BM121,0)</f>
        <v>2</v>
      </c>
      <c r="BP121" s="17" t="n">
        <f aca="false">SQRT(($B121-BP$8)^2+($C121-BP$9)^2+($D121-BP$10)^2)</f>
        <v>3.91039432095618</v>
      </c>
      <c r="BQ121" s="17" t="n">
        <f aca="false">SQRT(($B121-BQ$8)^2+($C121-BQ$9)^2+($D121-BQ$10)^2)</f>
        <v>1.25997861865226</v>
      </c>
      <c r="BR121" s="63" t="n">
        <f aca="false">MATCH(MIN(BP121:BQ121),BP121:BQ121,0)</f>
        <v>2</v>
      </c>
    </row>
    <row r="122" customFormat="false" ht="15" hidden="false" customHeight="false" outlineLevel="0" collapsed="false">
      <c r="A122" s="36" t="str">
        <f aca="false">KMeans_Data!A112</f>
        <v>Bhambore</v>
      </c>
      <c r="B122" s="17" t="n">
        <f aca="false">KMeans_Data!H112</f>
        <v>-1.50794322460649</v>
      </c>
      <c r="C122" s="17" t="n">
        <f aca="false">KMeans_Data!I112</f>
        <v>-0.672650545388274</v>
      </c>
      <c r="D122" s="17" t="n">
        <f aca="false">KMeans_Data!J112</f>
        <v>-1.14564411633355</v>
      </c>
      <c r="E122" s="63" t="n">
        <f aca="false">BR122</f>
        <v>2</v>
      </c>
      <c r="F122" s="38" t="n">
        <f aca="false">($B122-INDEX($L$8:$M$8,E122))^2+($C122-INDEX($L$9:$M$9,E122))^2+($D122-INDEX($L$10:$M$10,E122))^2</f>
        <v>1.58754611946086</v>
      </c>
      <c r="G122" s="17" t="n">
        <f aca="false">IF(COUNTIF(Distance_Matrix!$E$8:$DQ$8,$E122)&lt;=1,0,SUMIF(Distance_Matrix!$E$8:$DQ$8,$E122,Distance_Matrix!$E$121:$DQ$121)/(COUNTIF(Distance_Matrix!$E$8:$DQ$8,$E122)-1))</f>
        <v>1.42862857751756</v>
      </c>
      <c r="H122" s="17" t="n">
        <f aca="false">MIN(IF(1=$E122,1E+099,IF(COUNTIF(Distance_Matrix!$E$8:$DQ$8,1)=0,1E+099,SUMIF(Distance_Matrix!$E$8:$DQ$8,1,Distance_Matrix!$E$121:$DQ$121)/COUNTIF(Distance_Matrix!$E$8:$DQ$8,1))),IF(2=$E122,1E+099,IF(COUNTIF(Distance_Matrix!$E$8:$DQ$8,2)=0,1E+099,SUMIF(Distance_Matrix!$E$8:$DQ$8,2,Distance_Matrix!$E$121:$DQ$121)/COUNTIF(Distance_Matrix!$E$8:$DQ$8,2))))</f>
        <v>3.95613209487126</v>
      </c>
      <c r="I122" s="17" t="n">
        <f aca="false">IF(COUNTIF(Distance_Matrix!$E$8:$DQ$8,$E122)&lt;=1,0,(H122-G122)/MAX(G122,H122))</f>
        <v>0.638882488436208</v>
      </c>
      <c r="X122" s="17" t="n">
        <f aca="false">SQRT(($B122-X$8)^2+($C122-X$9)^2+($D122-X$10)^2)</f>
        <v>8.02581663311103</v>
      </c>
      <c r="Y122" s="17" t="n">
        <f aca="false">SQRT(($B122-Y$8)^2+($C122-Y$9)^2+($D122-Y$10)^2)</f>
        <v>0.571794757196831</v>
      </c>
      <c r="Z122" s="63" t="n">
        <f aca="false">MATCH(MIN(X122:Y122),X122:Y122,0)</f>
        <v>2</v>
      </c>
      <c r="AB122" s="17" t="n">
        <f aca="false">SQRT(($B122-AB$8)^2+($C122-AB$9)^2+($D122-AB$10)^2)</f>
        <v>5.50696099416423</v>
      </c>
      <c r="AC122" s="17" t="n">
        <f aca="false">SQRT(($B122-AC$8)^2+($C122-AC$9)^2+($D122-AC$10)^2)</f>
        <v>1.70297161474683</v>
      </c>
      <c r="AD122" s="63" t="n">
        <f aca="false">MATCH(MIN(AB122:AC122),AB122:AC122,0)</f>
        <v>2</v>
      </c>
      <c r="AF122" s="17" t="n">
        <f aca="false">SQRT(($B122-AF$8)^2+($C122-AF$9)^2+($D122-AF$10)^2)</f>
        <v>4.89323471354493</v>
      </c>
      <c r="AG122" s="17" t="n">
        <f aca="false">SQRT(($B122-AG$8)^2+($C122-AG$9)^2+($D122-AG$10)^2)</f>
        <v>1.61448639746821</v>
      </c>
      <c r="AH122" s="63" t="n">
        <f aca="false">MATCH(MIN(AF122:AG122),AF122:AG122,0)</f>
        <v>2</v>
      </c>
      <c r="AJ122" s="17" t="n">
        <f aca="false">SQRT(($B122-AJ$8)^2+($C122-AJ$9)^2+($D122-AJ$10)^2)</f>
        <v>4.29648113632232</v>
      </c>
      <c r="AK122" s="17" t="n">
        <f aca="false">SQRT(($B122-AK$8)^2+($C122-AK$9)^2+($D122-AK$10)^2)</f>
        <v>1.43710066566941</v>
      </c>
      <c r="AL122" s="63" t="n">
        <f aca="false">MATCH(MIN(AJ122:AK122),AJ122:AK122,0)</f>
        <v>2</v>
      </c>
      <c r="AN122" s="17" t="n">
        <f aca="false">SQRT(($B122-AN$8)^2+($C122-AN$9)^2+($D122-AN$10)^2)</f>
        <v>4.11086647362233</v>
      </c>
      <c r="AO122" s="17" t="n">
        <f aca="false">SQRT(($B122-AO$8)^2+($C122-AO$9)^2+($D122-AO$10)^2)</f>
        <v>1.33754251301636</v>
      </c>
      <c r="AP122" s="63" t="n">
        <f aca="false">MATCH(MIN(AN122:AO122),AN122:AO122,0)</f>
        <v>2</v>
      </c>
      <c r="AR122" s="17" t="n">
        <f aca="false">SQRT(($B122-AR$8)^2+($C122-AR$9)^2+($D122-AR$10)^2)</f>
        <v>3.99015583940522</v>
      </c>
      <c r="AS122" s="17" t="n">
        <f aca="false">SQRT(($B122-AS$8)^2+($C122-AS$9)^2+($D122-AS$10)^2)</f>
        <v>1.2879475164536</v>
      </c>
      <c r="AT122" s="63" t="n">
        <f aca="false">MATCH(MIN(AR122:AS122),AR122:AS122,0)</f>
        <v>2</v>
      </c>
      <c r="AV122" s="17" t="n">
        <f aca="false">SQRT(($B122-AV$8)^2+($C122-AV$9)^2+($D122-AV$10)^2)</f>
        <v>3.95146714069212</v>
      </c>
      <c r="AW122" s="17" t="n">
        <f aca="false">SQRT(($B122-AW$8)^2+($C122-AW$9)^2+($D122-AW$10)^2)</f>
        <v>1.27203820755588</v>
      </c>
      <c r="AX122" s="63" t="n">
        <f aca="false">MATCH(MIN(AV122:AW122),AV122:AW122,0)</f>
        <v>2</v>
      </c>
      <c r="AZ122" s="17" t="n">
        <f aca="false">SQRT(($B122-AZ$8)^2+($C122-AZ$9)^2+($D122-AZ$10)^2)</f>
        <v>3.91039432095618</v>
      </c>
      <c r="BA122" s="17" t="n">
        <f aca="false">SQRT(($B122-BA$8)^2+($C122-BA$9)^2+($D122-BA$10)^2)</f>
        <v>1.25997861865226</v>
      </c>
      <c r="BB122" s="63" t="n">
        <f aca="false">MATCH(MIN(AZ122:BA122),AZ122:BA122,0)</f>
        <v>2</v>
      </c>
      <c r="BD122" s="17" t="n">
        <f aca="false">SQRT(($B122-BD$8)^2+($C122-BD$9)^2+($D122-BD$10)^2)</f>
        <v>3.91039432095618</v>
      </c>
      <c r="BE122" s="17" t="n">
        <f aca="false">SQRT(($B122-BE$8)^2+($C122-BE$9)^2+($D122-BE$10)^2)</f>
        <v>1.25997861865226</v>
      </c>
      <c r="BF122" s="63" t="n">
        <f aca="false">MATCH(MIN(BD122:BE122),BD122:BE122,0)</f>
        <v>2</v>
      </c>
      <c r="BH122" s="17" t="n">
        <f aca="false">SQRT(($B122-BH$8)^2+($C122-BH$9)^2+($D122-BH$10)^2)</f>
        <v>3.91039432095618</v>
      </c>
      <c r="BI122" s="17" t="n">
        <f aca="false">SQRT(($B122-BI$8)^2+($C122-BI$9)^2+($D122-BI$10)^2)</f>
        <v>1.25997861865226</v>
      </c>
      <c r="BJ122" s="63" t="n">
        <f aca="false">MATCH(MIN(BH122:BI122),BH122:BI122,0)</f>
        <v>2</v>
      </c>
      <c r="BL122" s="17" t="n">
        <f aca="false">SQRT(($B122-BL$8)^2+($C122-BL$9)^2+($D122-BL$10)^2)</f>
        <v>3.91039432095618</v>
      </c>
      <c r="BM122" s="17" t="n">
        <f aca="false">SQRT(($B122-BM$8)^2+($C122-BM$9)^2+($D122-BM$10)^2)</f>
        <v>1.25997861865226</v>
      </c>
      <c r="BN122" s="63" t="n">
        <f aca="false">MATCH(MIN(BL122:BM122),BL122:BM122,0)</f>
        <v>2</v>
      </c>
      <c r="BP122" s="17" t="n">
        <f aca="false">SQRT(($B122-BP$8)^2+($C122-BP$9)^2+($D122-BP$10)^2)</f>
        <v>3.91039432095618</v>
      </c>
      <c r="BQ122" s="17" t="n">
        <f aca="false">SQRT(($B122-BQ$8)^2+($C122-BQ$9)^2+($D122-BQ$10)^2)</f>
        <v>1.25997861865226</v>
      </c>
      <c r="BR122" s="63" t="n">
        <f aca="false">MATCH(MIN(BP122:BQ122),BP122:BQ122,0)</f>
        <v>2</v>
      </c>
    </row>
    <row r="123" customFormat="false" ht="15" hidden="false" customHeight="false" outlineLevel="0" collapsed="false">
      <c r="A123" s="36" t="str">
        <f aca="false">KMeans_Data!A113</f>
        <v>Jhang</v>
      </c>
      <c r="B123" s="17" t="n">
        <f aca="false">KMeans_Data!H113</f>
        <v>-1.50794322460649</v>
      </c>
      <c r="C123" s="17" t="n">
        <f aca="false">KMeans_Data!I113</f>
        <v>-0.672650545388274</v>
      </c>
      <c r="D123" s="17" t="n">
        <f aca="false">KMeans_Data!J113</f>
        <v>-1.14564411633355</v>
      </c>
      <c r="E123" s="63" t="n">
        <f aca="false">BR123</f>
        <v>2</v>
      </c>
      <c r="F123" s="38" t="n">
        <f aca="false">($B123-INDEX($L$8:$M$8,E123))^2+($C123-INDEX($L$9:$M$9,E123))^2+($D123-INDEX($L$10:$M$10,E123))^2</f>
        <v>1.58754611946086</v>
      </c>
      <c r="G123" s="17" t="n">
        <f aca="false">IF(COUNTIF(Distance_Matrix!$E$8:$DQ$8,$E123)&lt;=1,0,SUMIF(Distance_Matrix!$E$8:$DQ$8,$E123,Distance_Matrix!$E$122:$DQ$122)/(COUNTIF(Distance_Matrix!$E$8:$DQ$8,$E123)-1))</f>
        <v>1.42862857751756</v>
      </c>
      <c r="H123" s="17" t="n">
        <f aca="false">MIN(IF(1=$E123,1E+099,IF(COUNTIF(Distance_Matrix!$E$8:$DQ$8,1)=0,1E+099,SUMIF(Distance_Matrix!$E$8:$DQ$8,1,Distance_Matrix!$E$122:$DQ$122)/COUNTIF(Distance_Matrix!$E$8:$DQ$8,1))),IF(2=$E123,1E+099,IF(COUNTIF(Distance_Matrix!$E$8:$DQ$8,2)=0,1E+099,SUMIF(Distance_Matrix!$E$8:$DQ$8,2,Distance_Matrix!$E$122:$DQ$122)/COUNTIF(Distance_Matrix!$E$8:$DQ$8,2))))</f>
        <v>3.95613209487126</v>
      </c>
      <c r="I123" s="17" t="n">
        <f aca="false">IF(COUNTIF(Distance_Matrix!$E$8:$DQ$8,$E123)&lt;=1,0,(H123-G123)/MAX(G123,H123))</f>
        <v>0.638882488436208</v>
      </c>
      <c r="X123" s="17" t="n">
        <f aca="false">SQRT(($B123-X$8)^2+($C123-X$9)^2+($D123-X$10)^2)</f>
        <v>8.02581663311103</v>
      </c>
      <c r="Y123" s="17" t="n">
        <f aca="false">SQRT(($B123-Y$8)^2+($C123-Y$9)^2+($D123-Y$10)^2)</f>
        <v>0.571794757196831</v>
      </c>
      <c r="Z123" s="63" t="n">
        <f aca="false">MATCH(MIN(X123:Y123),X123:Y123,0)</f>
        <v>2</v>
      </c>
      <c r="AB123" s="17" t="n">
        <f aca="false">SQRT(($B123-AB$8)^2+($C123-AB$9)^2+($D123-AB$10)^2)</f>
        <v>5.50696099416423</v>
      </c>
      <c r="AC123" s="17" t="n">
        <f aca="false">SQRT(($B123-AC$8)^2+($C123-AC$9)^2+($D123-AC$10)^2)</f>
        <v>1.70297161474683</v>
      </c>
      <c r="AD123" s="63" t="n">
        <f aca="false">MATCH(MIN(AB123:AC123),AB123:AC123,0)</f>
        <v>2</v>
      </c>
      <c r="AF123" s="17" t="n">
        <f aca="false">SQRT(($B123-AF$8)^2+($C123-AF$9)^2+($D123-AF$10)^2)</f>
        <v>4.89323471354493</v>
      </c>
      <c r="AG123" s="17" t="n">
        <f aca="false">SQRT(($B123-AG$8)^2+($C123-AG$9)^2+($D123-AG$10)^2)</f>
        <v>1.61448639746821</v>
      </c>
      <c r="AH123" s="63" t="n">
        <f aca="false">MATCH(MIN(AF123:AG123),AF123:AG123,0)</f>
        <v>2</v>
      </c>
      <c r="AJ123" s="17" t="n">
        <f aca="false">SQRT(($B123-AJ$8)^2+($C123-AJ$9)^2+($D123-AJ$10)^2)</f>
        <v>4.29648113632232</v>
      </c>
      <c r="AK123" s="17" t="n">
        <f aca="false">SQRT(($B123-AK$8)^2+($C123-AK$9)^2+($D123-AK$10)^2)</f>
        <v>1.43710066566941</v>
      </c>
      <c r="AL123" s="63" t="n">
        <f aca="false">MATCH(MIN(AJ123:AK123),AJ123:AK123,0)</f>
        <v>2</v>
      </c>
      <c r="AN123" s="17" t="n">
        <f aca="false">SQRT(($B123-AN$8)^2+($C123-AN$9)^2+($D123-AN$10)^2)</f>
        <v>4.11086647362233</v>
      </c>
      <c r="AO123" s="17" t="n">
        <f aca="false">SQRT(($B123-AO$8)^2+($C123-AO$9)^2+($D123-AO$10)^2)</f>
        <v>1.33754251301636</v>
      </c>
      <c r="AP123" s="63" t="n">
        <f aca="false">MATCH(MIN(AN123:AO123),AN123:AO123,0)</f>
        <v>2</v>
      </c>
      <c r="AR123" s="17" t="n">
        <f aca="false">SQRT(($B123-AR$8)^2+($C123-AR$9)^2+($D123-AR$10)^2)</f>
        <v>3.99015583940522</v>
      </c>
      <c r="AS123" s="17" t="n">
        <f aca="false">SQRT(($B123-AS$8)^2+($C123-AS$9)^2+($D123-AS$10)^2)</f>
        <v>1.2879475164536</v>
      </c>
      <c r="AT123" s="63" t="n">
        <f aca="false">MATCH(MIN(AR123:AS123),AR123:AS123,0)</f>
        <v>2</v>
      </c>
      <c r="AV123" s="17" t="n">
        <f aca="false">SQRT(($B123-AV$8)^2+($C123-AV$9)^2+($D123-AV$10)^2)</f>
        <v>3.95146714069212</v>
      </c>
      <c r="AW123" s="17" t="n">
        <f aca="false">SQRT(($B123-AW$8)^2+($C123-AW$9)^2+($D123-AW$10)^2)</f>
        <v>1.27203820755588</v>
      </c>
      <c r="AX123" s="63" t="n">
        <f aca="false">MATCH(MIN(AV123:AW123),AV123:AW123,0)</f>
        <v>2</v>
      </c>
      <c r="AZ123" s="17" t="n">
        <f aca="false">SQRT(($B123-AZ$8)^2+($C123-AZ$9)^2+($D123-AZ$10)^2)</f>
        <v>3.91039432095618</v>
      </c>
      <c r="BA123" s="17" t="n">
        <f aca="false">SQRT(($B123-BA$8)^2+($C123-BA$9)^2+($D123-BA$10)^2)</f>
        <v>1.25997861865226</v>
      </c>
      <c r="BB123" s="63" t="n">
        <f aca="false">MATCH(MIN(AZ123:BA123),AZ123:BA123,0)</f>
        <v>2</v>
      </c>
      <c r="BD123" s="17" t="n">
        <f aca="false">SQRT(($B123-BD$8)^2+($C123-BD$9)^2+($D123-BD$10)^2)</f>
        <v>3.91039432095618</v>
      </c>
      <c r="BE123" s="17" t="n">
        <f aca="false">SQRT(($B123-BE$8)^2+($C123-BE$9)^2+($D123-BE$10)^2)</f>
        <v>1.25997861865226</v>
      </c>
      <c r="BF123" s="63" t="n">
        <f aca="false">MATCH(MIN(BD123:BE123),BD123:BE123,0)</f>
        <v>2</v>
      </c>
      <c r="BH123" s="17" t="n">
        <f aca="false">SQRT(($B123-BH$8)^2+($C123-BH$9)^2+($D123-BH$10)^2)</f>
        <v>3.91039432095618</v>
      </c>
      <c r="BI123" s="17" t="n">
        <f aca="false">SQRT(($B123-BI$8)^2+($C123-BI$9)^2+($D123-BI$10)^2)</f>
        <v>1.25997861865226</v>
      </c>
      <c r="BJ123" s="63" t="n">
        <f aca="false">MATCH(MIN(BH123:BI123),BH123:BI123,0)</f>
        <v>2</v>
      </c>
      <c r="BL123" s="17" t="n">
        <f aca="false">SQRT(($B123-BL$8)^2+($C123-BL$9)^2+($D123-BL$10)^2)</f>
        <v>3.91039432095618</v>
      </c>
      <c r="BM123" s="17" t="n">
        <f aca="false">SQRT(($B123-BM$8)^2+($C123-BM$9)^2+($D123-BM$10)^2)</f>
        <v>1.25997861865226</v>
      </c>
      <c r="BN123" s="63" t="n">
        <f aca="false">MATCH(MIN(BL123:BM123),BL123:BM123,0)</f>
        <v>2</v>
      </c>
      <c r="BP123" s="17" t="n">
        <f aca="false">SQRT(($B123-BP$8)^2+($C123-BP$9)^2+($D123-BP$10)^2)</f>
        <v>3.91039432095618</v>
      </c>
      <c r="BQ123" s="17" t="n">
        <f aca="false">SQRT(($B123-BQ$8)^2+($C123-BQ$9)^2+($D123-BQ$10)^2)</f>
        <v>1.25997861865226</v>
      </c>
      <c r="BR123" s="63" t="n">
        <f aca="false">MATCH(MIN(BP123:BQ123),BP123:BQ123,0)</f>
        <v>2</v>
      </c>
    </row>
    <row r="124" customFormat="false" ht="15" hidden="false" customHeight="false" outlineLevel="0" collapsed="false">
      <c r="A124" s="36" t="str">
        <f aca="false">KMeans_Data!A114</f>
        <v>Tor Ghar</v>
      </c>
      <c r="B124" s="17" t="n">
        <f aca="false">KMeans_Data!H114</f>
        <v>-1.50794322460649</v>
      </c>
      <c r="C124" s="17" t="n">
        <f aca="false">KMeans_Data!I114</f>
        <v>-0.672650545388274</v>
      </c>
      <c r="D124" s="17" t="n">
        <f aca="false">KMeans_Data!J114</f>
        <v>-1.14564411633355</v>
      </c>
      <c r="E124" s="63" t="n">
        <f aca="false">BR124</f>
        <v>2</v>
      </c>
      <c r="F124" s="38" t="n">
        <f aca="false">($B124-INDEX($L$8:$M$8,E124))^2+($C124-INDEX($L$9:$M$9,E124))^2+($D124-INDEX($L$10:$M$10,E124))^2</f>
        <v>1.58754611946086</v>
      </c>
      <c r="G124" s="17" t="n">
        <f aca="false">IF(COUNTIF(Distance_Matrix!$E$8:$DQ$8,$E124)&lt;=1,0,SUMIF(Distance_Matrix!$E$8:$DQ$8,$E124,Distance_Matrix!$E$123:$DQ$123)/(COUNTIF(Distance_Matrix!$E$8:$DQ$8,$E124)-1))</f>
        <v>1.42862857751756</v>
      </c>
      <c r="H124" s="17" t="n">
        <f aca="false">MIN(IF(1=$E124,1E+099,IF(COUNTIF(Distance_Matrix!$E$8:$DQ$8,1)=0,1E+099,SUMIF(Distance_Matrix!$E$8:$DQ$8,1,Distance_Matrix!$E$123:$DQ$123)/COUNTIF(Distance_Matrix!$E$8:$DQ$8,1))),IF(2=$E124,1E+099,IF(COUNTIF(Distance_Matrix!$E$8:$DQ$8,2)=0,1E+099,SUMIF(Distance_Matrix!$E$8:$DQ$8,2,Distance_Matrix!$E$123:$DQ$123)/COUNTIF(Distance_Matrix!$E$8:$DQ$8,2))))</f>
        <v>3.95613209487126</v>
      </c>
      <c r="I124" s="17" t="n">
        <f aca="false">IF(COUNTIF(Distance_Matrix!$E$8:$DQ$8,$E124)&lt;=1,0,(H124-G124)/MAX(G124,H124))</f>
        <v>0.638882488436208</v>
      </c>
      <c r="X124" s="17" t="n">
        <f aca="false">SQRT(($B124-X$8)^2+($C124-X$9)^2+($D124-X$10)^2)</f>
        <v>8.02581663311103</v>
      </c>
      <c r="Y124" s="17" t="n">
        <f aca="false">SQRT(($B124-Y$8)^2+($C124-Y$9)^2+($D124-Y$10)^2)</f>
        <v>0.571794757196831</v>
      </c>
      <c r="Z124" s="63" t="n">
        <f aca="false">MATCH(MIN(X124:Y124),X124:Y124,0)</f>
        <v>2</v>
      </c>
      <c r="AB124" s="17" t="n">
        <f aca="false">SQRT(($B124-AB$8)^2+($C124-AB$9)^2+($D124-AB$10)^2)</f>
        <v>5.50696099416423</v>
      </c>
      <c r="AC124" s="17" t="n">
        <f aca="false">SQRT(($B124-AC$8)^2+($C124-AC$9)^2+($D124-AC$10)^2)</f>
        <v>1.70297161474683</v>
      </c>
      <c r="AD124" s="63" t="n">
        <f aca="false">MATCH(MIN(AB124:AC124),AB124:AC124,0)</f>
        <v>2</v>
      </c>
      <c r="AF124" s="17" t="n">
        <f aca="false">SQRT(($B124-AF$8)^2+($C124-AF$9)^2+($D124-AF$10)^2)</f>
        <v>4.89323471354493</v>
      </c>
      <c r="AG124" s="17" t="n">
        <f aca="false">SQRT(($B124-AG$8)^2+($C124-AG$9)^2+($D124-AG$10)^2)</f>
        <v>1.61448639746821</v>
      </c>
      <c r="AH124" s="63" t="n">
        <f aca="false">MATCH(MIN(AF124:AG124),AF124:AG124,0)</f>
        <v>2</v>
      </c>
      <c r="AJ124" s="17" t="n">
        <f aca="false">SQRT(($B124-AJ$8)^2+($C124-AJ$9)^2+($D124-AJ$10)^2)</f>
        <v>4.29648113632232</v>
      </c>
      <c r="AK124" s="17" t="n">
        <f aca="false">SQRT(($B124-AK$8)^2+($C124-AK$9)^2+($D124-AK$10)^2)</f>
        <v>1.43710066566941</v>
      </c>
      <c r="AL124" s="63" t="n">
        <f aca="false">MATCH(MIN(AJ124:AK124),AJ124:AK124,0)</f>
        <v>2</v>
      </c>
      <c r="AN124" s="17" t="n">
        <f aca="false">SQRT(($B124-AN$8)^2+($C124-AN$9)^2+($D124-AN$10)^2)</f>
        <v>4.11086647362233</v>
      </c>
      <c r="AO124" s="17" t="n">
        <f aca="false">SQRT(($B124-AO$8)^2+($C124-AO$9)^2+($D124-AO$10)^2)</f>
        <v>1.33754251301636</v>
      </c>
      <c r="AP124" s="63" t="n">
        <f aca="false">MATCH(MIN(AN124:AO124),AN124:AO124,0)</f>
        <v>2</v>
      </c>
      <c r="AR124" s="17" t="n">
        <f aca="false">SQRT(($B124-AR$8)^2+($C124-AR$9)^2+($D124-AR$10)^2)</f>
        <v>3.99015583940522</v>
      </c>
      <c r="AS124" s="17" t="n">
        <f aca="false">SQRT(($B124-AS$8)^2+($C124-AS$9)^2+($D124-AS$10)^2)</f>
        <v>1.2879475164536</v>
      </c>
      <c r="AT124" s="63" t="n">
        <f aca="false">MATCH(MIN(AR124:AS124),AR124:AS124,0)</f>
        <v>2</v>
      </c>
      <c r="AV124" s="17" t="n">
        <f aca="false">SQRT(($B124-AV$8)^2+($C124-AV$9)^2+($D124-AV$10)^2)</f>
        <v>3.95146714069212</v>
      </c>
      <c r="AW124" s="17" t="n">
        <f aca="false">SQRT(($B124-AW$8)^2+($C124-AW$9)^2+($D124-AW$10)^2)</f>
        <v>1.27203820755588</v>
      </c>
      <c r="AX124" s="63" t="n">
        <f aca="false">MATCH(MIN(AV124:AW124),AV124:AW124,0)</f>
        <v>2</v>
      </c>
      <c r="AZ124" s="17" t="n">
        <f aca="false">SQRT(($B124-AZ$8)^2+($C124-AZ$9)^2+($D124-AZ$10)^2)</f>
        <v>3.91039432095618</v>
      </c>
      <c r="BA124" s="17" t="n">
        <f aca="false">SQRT(($B124-BA$8)^2+($C124-BA$9)^2+($D124-BA$10)^2)</f>
        <v>1.25997861865226</v>
      </c>
      <c r="BB124" s="63" t="n">
        <f aca="false">MATCH(MIN(AZ124:BA124),AZ124:BA124,0)</f>
        <v>2</v>
      </c>
      <c r="BD124" s="17" t="n">
        <f aca="false">SQRT(($B124-BD$8)^2+($C124-BD$9)^2+($D124-BD$10)^2)</f>
        <v>3.91039432095618</v>
      </c>
      <c r="BE124" s="17" t="n">
        <f aca="false">SQRT(($B124-BE$8)^2+($C124-BE$9)^2+($D124-BE$10)^2)</f>
        <v>1.25997861865226</v>
      </c>
      <c r="BF124" s="63" t="n">
        <f aca="false">MATCH(MIN(BD124:BE124),BD124:BE124,0)</f>
        <v>2</v>
      </c>
      <c r="BH124" s="17" t="n">
        <f aca="false">SQRT(($B124-BH$8)^2+($C124-BH$9)^2+($D124-BH$10)^2)</f>
        <v>3.91039432095618</v>
      </c>
      <c r="BI124" s="17" t="n">
        <f aca="false">SQRT(($B124-BI$8)^2+($C124-BI$9)^2+($D124-BI$10)^2)</f>
        <v>1.25997861865226</v>
      </c>
      <c r="BJ124" s="63" t="n">
        <f aca="false">MATCH(MIN(BH124:BI124),BH124:BI124,0)</f>
        <v>2</v>
      </c>
      <c r="BL124" s="17" t="n">
        <f aca="false">SQRT(($B124-BL$8)^2+($C124-BL$9)^2+($D124-BL$10)^2)</f>
        <v>3.91039432095618</v>
      </c>
      <c r="BM124" s="17" t="n">
        <f aca="false">SQRT(($B124-BM$8)^2+($C124-BM$9)^2+($D124-BM$10)^2)</f>
        <v>1.25997861865226</v>
      </c>
      <c r="BN124" s="63" t="n">
        <f aca="false">MATCH(MIN(BL124:BM124),BL124:BM124,0)</f>
        <v>2</v>
      </c>
      <c r="BP124" s="17" t="n">
        <f aca="false">SQRT(($B124-BP$8)^2+($C124-BP$9)^2+($D124-BP$10)^2)</f>
        <v>3.91039432095618</v>
      </c>
      <c r="BQ124" s="17" t="n">
        <f aca="false">SQRT(($B124-BQ$8)^2+($C124-BQ$9)^2+($D124-BQ$10)^2)</f>
        <v>1.25997861865226</v>
      </c>
      <c r="BR124" s="63" t="n">
        <f aca="false">MATCH(MIN(BP124:BQ124),BP124:BQ124,0)</f>
        <v>2</v>
      </c>
    </row>
    <row r="125" customFormat="false" ht="15" hidden="false" customHeight="false" outlineLevel="0" collapsed="false">
      <c r="A125" s="36" t="str">
        <f aca="false">KMeans_Data!A115</f>
        <v>Trarkhel</v>
      </c>
      <c r="B125" s="17" t="n">
        <f aca="false">KMeans_Data!H115</f>
        <v>-1.71897565655168</v>
      </c>
      <c r="C125" s="17" t="n">
        <f aca="false">KMeans_Data!I115</f>
        <v>-0.672650545388274</v>
      </c>
      <c r="D125" s="17" t="n">
        <f aca="false">KMeans_Data!J115</f>
        <v>-1.14564411633355</v>
      </c>
      <c r="E125" s="63" t="n">
        <f aca="false">BR125</f>
        <v>2</v>
      </c>
      <c r="F125" s="38" t="n">
        <f aca="false">($B125-INDEX($L$8:$M$8,E125))^2+($C125-INDEX($L$9:$M$9,E125))^2+($D125-INDEX($L$10:$M$10,E125))^2</f>
        <v>2.081041529014</v>
      </c>
      <c r="G125" s="17" t="n">
        <f aca="false">IF(COUNTIF(Distance_Matrix!$E$8:$DQ$8,$E125)&lt;=1,0,SUMIF(Distance_Matrix!$E$8:$DQ$8,$E125,Distance_Matrix!$E$124:$DQ$124)/(COUNTIF(Distance_Matrix!$E$8:$DQ$8,$E125)-1))</f>
        <v>1.5745898184515</v>
      </c>
      <c r="H125" s="17" t="n">
        <f aca="false">MIN(IF(1=$E125,1E+099,IF(COUNTIF(Distance_Matrix!$E$8:$DQ$8,1)=0,1E+099,SUMIF(Distance_Matrix!$E$8:$DQ$8,1,Distance_Matrix!$E$124:$DQ$124)/COUNTIF(Distance_Matrix!$E$8:$DQ$8,1))),IF(2=$E125,1E+099,IF(COUNTIF(Distance_Matrix!$E$8:$DQ$8,2)=0,1E+099,SUMIF(Distance_Matrix!$E$8:$DQ$8,2,Distance_Matrix!$E$124:$DQ$124)/COUNTIF(Distance_Matrix!$E$8:$DQ$8,2))))</f>
        <v>4.09645489711546</v>
      </c>
      <c r="I125" s="17" t="n">
        <f aca="false">IF(COUNTIF(Distance_Matrix!$E$8:$DQ$8,$E125)&lt;=1,0,(H125-G125)/MAX(G125,H125))</f>
        <v>0.615621346262043</v>
      </c>
      <c r="X125" s="17" t="n">
        <f aca="false">SQRT(($B125-X$8)^2+($C125-X$9)^2+($D125-X$10)^2)</f>
        <v>8.15332373062299</v>
      </c>
      <c r="Y125" s="17" t="n">
        <f aca="false">SQRT(($B125-Y$8)^2+($C125-Y$9)^2+($D125-Y$10)^2)</f>
        <v>0.360762325251648</v>
      </c>
      <c r="Z125" s="63" t="n">
        <f aca="false">MATCH(MIN(X125:Y125),X125:Y125,0)</f>
        <v>2</v>
      </c>
      <c r="AB125" s="17" t="n">
        <f aca="false">SQRT(($B125-AB$8)^2+($C125-AB$9)^2+($D125-AB$10)^2)</f>
        <v>5.64277156049709</v>
      </c>
      <c r="AC125" s="17" t="n">
        <f aca="false">SQRT(($B125-AC$8)^2+($C125-AC$9)^2+($D125-AC$10)^2)</f>
        <v>1.87168946238325</v>
      </c>
      <c r="AD125" s="63" t="n">
        <f aca="false">MATCH(MIN(AB125:AC125),AB125:AC125,0)</f>
        <v>2</v>
      </c>
      <c r="AF125" s="17" t="n">
        <f aca="false">SQRT(($B125-AF$8)^2+($C125-AF$9)^2+($D125-AF$10)^2)</f>
        <v>5.03053410431971</v>
      </c>
      <c r="AG125" s="17" t="n">
        <f aca="false">SQRT(($B125-AG$8)^2+($C125-AG$9)^2+($D125-AG$10)^2)</f>
        <v>1.78530780920239</v>
      </c>
      <c r="AH125" s="63" t="n">
        <f aca="false">MATCH(MIN(AF125:AG125),AF125:AG125,0)</f>
        <v>2</v>
      </c>
      <c r="AJ125" s="17" t="n">
        <f aca="false">SQRT(($B125-AJ$8)^2+($C125-AJ$9)^2+($D125-AJ$10)^2)</f>
        <v>4.43393079398513</v>
      </c>
      <c r="AK125" s="17" t="n">
        <f aca="false">SQRT(($B125-AK$8)^2+($C125-AK$9)^2+($D125-AK$10)^2)</f>
        <v>1.61406573309063</v>
      </c>
      <c r="AL125" s="63" t="n">
        <f aca="false">MATCH(MIN(AJ125:AK125),AJ125:AK125,0)</f>
        <v>2</v>
      </c>
      <c r="AN125" s="17" t="n">
        <f aca="false">SQRT(($B125-AN$8)^2+($C125-AN$9)^2+($D125-AN$10)^2)</f>
        <v>4.25034207033956</v>
      </c>
      <c r="AO125" s="17" t="n">
        <f aca="false">SQRT(($B125-AO$8)^2+($C125-AO$9)^2+($D125-AO$10)^2)</f>
        <v>1.51746306855293</v>
      </c>
      <c r="AP125" s="63" t="n">
        <f aca="false">MATCH(MIN(AN125:AO125),AN125:AO125,0)</f>
        <v>2</v>
      </c>
      <c r="AR125" s="17" t="n">
        <f aca="false">SQRT(($B125-AR$8)^2+($C125-AR$9)^2+($D125-AR$10)^2)</f>
        <v>4.13059771804255</v>
      </c>
      <c r="AS125" s="17" t="n">
        <f aca="false">SQRT(($B125-AS$8)^2+($C125-AS$9)^2+($D125-AS$10)^2)</f>
        <v>1.46944609135054</v>
      </c>
      <c r="AT125" s="63" t="n">
        <f aca="false">MATCH(MIN(AR125:AS125),AR125:AS125,0)</f>
        <v>2</v>
      </c>
      <c r="AV125" s="17" t="n">
        <f aca="false">SQRT(($B125-AV$8)^2+($C125-AV$9)^2+($D125-AV$10)^2)</f>
        <v>4.09239180044246</v>
      </c>
      <c r="AW125" s="17" t="n">
        <f aca="false">SQRT(($B125-AW$8)^2+($C125-AW$9)^2+($D125-AW$10)^2)</f>
        <v>1.45384523769479</v>
      </c>
      <c r="AX125" s="63" t="n">
        <f aca="false">MATCH(MIN(AV125:AW125),AV125:AW125,0)</f>
        <v>2</v>
      </c>
      <c r="AZ125" s="17" t="n">
        <f aca="false">SQRT(($B125-AZ$8)^2+($C125-AZ$9)^2+($D125-AZ$10)^2)</f>
        <v>4.05110213782655</v>
      </c>
      <c r="BA125" s="17" t="n">
        <f aca="false">SQRT(($B125-BA$8)^2+($C125-BA$9)^2+($D125-BA$10)^2)</f>
        <v>1.44258155021267</v>
      </c>
      <c r="BB125" s="63" t="n">
        <f aca="false">MATCH(MIN(AZ125:BA125),AZ125:BA125,0)</f>
        <v>2</v>
      </c>
      <c r="BD125" s="17" t="n">
        <f aca="false">SQRT(($B125-BD$8)^2+($C125-BD$9)^2+($D125-BD$10)^2)</f>
        <v>4.05110213782655</v>
      </c>
      <c r="BE125" s="17" t="n">
        <f aca="false">SQRT(($B125-BE$8)^2+($C125-BE$9)^2+($D125-BE$10)^2)</f>
        <v>1.44258155021267</v>
      </c>
      <c r="BF125" s="63" t="n">
        <f aca="false">MATCH(MIN(BD125:BE125),BD125:BE125,0)</f>
        <v>2</v>
      </c>
      <c r="BH125" s="17" t="n">
        <f aca="false">SQRT(($B125-BH$8)^2+($C125-BH$9)^2+($D125-BH$10)^2)</f>
        <v>4.05110213782655</v>
      </c>
      <c r="BI125" s="17" t="n">
        <f aca="false">SQRT(($B125-BI$8)^2+($C125-BI$9)^2+($D125-BI$10)^2)</f>
        <v>1.44258155021267</v>
      </c>
      <c r="BJ125" s="63" t="n">
        <f aca="false">MATCH(MIN(BH125:BI125),BH125:BI125,0)</f>
        <v>2</v>
      </c>
      <c r="BL125" s="17" t="n">
        <f aca="false">SQRT(($B125-BL$8)^2+($C125-BL$9)^2+($D125-BL$10)^2)</f>
        <v>4.05110213782655</v>
      </c>
      <c r="BM125" s="17" t="n">
        <f aca="false">SQRT(($B125-BM$8)^2+($C125-BM$9)^2+($D125-BM$10)^2)</f>
        <v>1.44258155021267</v>
      </c>
      <c r="BN125" s="63" t="n">
        <f aca="false">MATCH(MIN(BL125:BM125),BL125:BM125,0)</f>
        <v>2</v>
      </c>
      <c r="BP125" s="17" t="n">
        <f aca="false">SQRT(($B125-BP$8)^2+($C125-BP$9)^2+($D125-BP$10)^2)</f>
        <v>4.05110213782655</v>
      </c>
      <c r="BQ125" s="17" t="n">
        <f aca="false">SQRT(($B125-BQ$8)^2+($C125-BQ$9)^2+($D125-BQ$10)^2)</f>
        <v>1.44258155021267</v>
      </c>
      <c r="BR125" s="63" t="n">
        <f aca="false">MATCH(MIN(BP125:BQ125),BP125:BQ125,0)</f>
        <v>2</v>
      </c>
    </row>
    <row r="126" customFormat="false" ht="15" hidden="false" customHeight="false" outlineLevel="0" collapsed="false">
      <c r="A126" s="36" t="str">
        <f aca="false">KMeans_Data!A116</f>
        <v>Kohistan Upper</v>
      </c>
      <c r="B126" s="17" t="n">
        <f aca="false">KMeans_Data!H116</f>
        <v>-1.71897565655168</v>
      </c>
      <c r="C126" s="17" t="n">
        <f aca="false">KMeans_Data!I116</f>
        <v>-0.672650545388274</v>
      </c>
      <c r="D126" s="17" t="n">
        <f aca="false">KMeans_Data!J116</f>
        <v>-1.14564411633355</v>
      </c>
      <c r="E126" s="63" t="n">
        <f aca="false">BR126</f>
        <v>2</v>
      </c>
      <c r="F126" s="38" t="n">
        <f aca="false">($B126-INDEX($L$8:$M$8,E126))^2+($C126-INDEX($L$9:$M$9,E126))^2+($D126-INDEX($L$10:$M$10,E126))^2</f>
        <v>2.081041529014</v>
      </c>
      <c r="G126" s="17" t="n">
        <f aca="false">IF(COUNTIF(Distance_Matrix!$E$8:$DQ$8,$E126)&lt;=1,0,SUMIF(Distance_Matrix!$E$8:$DQ$8,$E126,Distance_Matrix!$E$125:$DQ$125)/(COUNTIF(Distance_Matrix!$E$8:$DQ$8,$E126)-1))</f>
        <v>1.5745898184515</v>
      </c>
      <c r="H126" s="17" t="n">
        <f aca="false">MIN(IF(1=$E126,1E+099,IF(COUNTIF(Distance_Matrix!$E$8:$DQ$8,1)=0,1E+099,SUMIF(Distance_Matrix!$E$8:$DQ$8,1,Distance_Matrix!$E$125:$DQ$125)/COUNTIF(Distance_Matrix!$E$8:$DQ$8,1))),IF(2=$E126,1E+099,IF(COUNTIF(Distance_Matrix!$E$8:$DQ$8,2)=0,1E+099,SUMIF(Distance_Matrix!$E$8:$DQ$8,2,Distance_Matrix!$E$125:$DQ$125)/COUNTIF(Distance_Matrix!$E$8:$DQ$8,2))))</f>
        <v>4.09645489711546</v>
      </c>
      <c r="I126" s="17" t="n">
        <f aca="false">IF(COUNTIF(Distance_Matrix!$E$8:$DQ$8,$E126)&lt;=1,0,(H126-G126)/MAX(G126,H126))</f>
        <v>0.615621346262043</v>
      </c>
      <c r="X126" s="17" t="n">
        <f aca="false">SQRT(($B126-X$8)^2+($C126-X$9)^2+($D126-X$10)^2)</f>
        <v>8.15332373062299</v>
      </c>
      <c r="Y126" s="17" t="n">
        <f aca="false">SQRT(($B126-Y$8)^2+($C126-Y$9)^2+($D126-Y$10)^2)</f>
        <v>0.360762325251648</v>
      </c>
      <c r="Z126" s="63" t="n">
        <f aca="false">MATCH(MIN(X126:Y126),X126:Y126,0)</f>
        <v>2</v>
      </c>
      <c r="AB126" s="17" t="n">
        <f aca="false">SQRT(($B126-AB$8)^2+($C126-AB$9)^2+($D126-AB$10)^2)</f>
        <v>5.64277156049709</v>
      </c>
      <c r="AC126" s="17" t="n">
        <f aca="false">SQRT(($B126-AC$8)^2+($C126-AC$9)^2+($D126-AC$10)^2)</f>
        <v>1.87168946238325</v>
      </c>
      <c r="AD126" s="63" t="n">
        <f aca="false">MATCH(MIN(AB126:AC126),AB126:AC126,0)</f>
        <v>2</v>
      </c>
      <c r="AF126" s="17" t="n">
        <f aca="false">SQRT(($B126-AF$8)^2+($C126-AF$9)^2+($D126-AF$10)^2)</f>
        <v>5.03053410431971</v>
      </c>
      <c r="AG126" s="17" t="n">
        <f aca="false">SQRT(($B126-AG$8)^2+($C126-AG$9)^2+($D126-AG$10)^2)</f>
        <v>1.78530780920239</v>
      </c>
      <c r="AH126" s="63" t="n">
        <f aca="false">MATCH(MIN(AF126:AG126),AF126:AG126,0)</f>
        <v>2</v>
      </c>
      <c r="AJ126" s="17" t="n">
        <f aca="false">SQRT(($B126-AJ$8)^2+($C126-AJ$9)^2+($D126-AJ$10)^2)</f>
        <v>4.43393079398513</v>
      </c>
      <c r="AK126" s="17" t="n">
        <f aca="false">SQRT(($B126-AK$8)^2+($C126-AK$9)^2+($D126-AK$10)^2)</f>
        <v>1.61406573309063</v>
      </c>
      <c r="AL126" s="63" t="n">
        <f aca="false">MATCH(MIN(AJ126:AK126),AJ126:AK126,0)</f>
        <v>2</v>
      </c>
      <c r="AN126" s="17" t="n">
        <f aca="false">SQRT(($B126-AN$8)^2+($C126-AN$9)^2+($D126-AN$10)^2)</f>
        <v>4.25034207033956</v>
      </c>
      <c r="AO126" s="17" t="n">
        <f aca="false">SQRT(($B126-AO$8)^2+($C126-AO$9)^2+($D126-AO$10)^2)</f>
        <v>1.51746306855293</v>
      </c>
      <c r="AP126" s="63" t="n">
        <f aca="false">MATCH(MIN(AN126:AO126),AN126:AO126,0)</f>
        <v>2</v>
      </c>
      <c r="AR126" s="17" t="n">
        <f aca="false">SQRT(($B126-AR$8)^2+($C126-AR$9)^2+($D126-AR$10)^2)</f>
        <v>4.13059771804255</v>
      </c>
      <c r="AS126" s="17" t="n">
        <f aca="false">SQRT(($B126-AS$8)^2+($C126-AS$9)^2+($D126-AS$10)^2)</f>
        <v>1.46944609135054</v>
      </c>
      <c r="AT126" s="63" t="n">
        <f aca="false">MATCH(MIN(AR126:AS126),AR126:AS126,0)</f>
        <v>2</v>
      </c>
      <c r="AV126" s="17" t="n">
        <f aca="false">SQRT(($B126-AV$8)^2+($C126-AV$9)^2+($D126-AV$10)^2)</f>
        <v>4.09239180044246</v>
      </c>
      <c r="AW126" s="17" t="n">
        <f aca="false">SQRT(($B126-AW$8)^2+($C126-AW$9)^2+($D126-AW$10)^2)</f>
        <v>1.45384523769479</v>
      </c>
      <c r="AX126" s="63" t="n">
        <f aca="false">MATCH(MIN(AV126:AW126),AV126:AW126,0)</f>
        <v>2</v>
      </c>
      <c r="AZ126" s="17" t="n">
        <f aca="false">SQRT(($B126-AZ$8)^2+($C126-AZ$9)^2+($D126-AZ$10)^2)</f>
        <v>4.05110213782655</v>
      </c>
      <c r="BA126" s="17" t="n">
        <f aca="false">SQRT(($B126-BA$8)^2+($C126-BA$9)^2+($D126-BA$10)^2)</f>
        <v>1.44258155021267</v>
      </c>
      <c r="BB126" s="63" t="n">
        <f aca="false">MATCH(MIN(AZ126:BA126),AZ126:BA126,0)</f>
        <v>2</v>
      </c>
      <c r="BD126" s="17" t="n">
        <f aca="false">SQRT(($B126-BD$8)^2+($C126-BD$9)^2+($D126-BD$10)^2)</f>
        <v>4.05110213782655</v>
      </c>
      <c r="BE126" s="17" t="n">
        <f aca="false">SQRT(($B126-BE$8)^2+($C126-BE$9)^2+($D126-BE$10)^2)</f>
        <v>1.44258155021267</v>
      </c>
      <c r="BF126" s="63" t="n">
        <f aca="false">MATCH(MIN(BD126:BE126),BD126:BE126,0)</f>
        <v>2</v>
      </c>
      <c r="BH126" s="17" t="n">
        <f aca="false">SQRT(($B126-BH$8)^2+($C126-BH$9)^2+($D126-BH$10)^2)</f>
        <v>4.05110213782655</v>
      </c>
      <c r="BI126" s="17" t="n">
        <f aca="false">SQRT(($B126-BI$8)^2+($C126-BI$9)^2+($D126-BI$10)^2)</f>
        <v>1.44258155021267</v>
      </c>
      <c r="BJ126" s="63" t="n">
        <f aca="false">MATCH(MIN(BH126:BI126),BH126:BI126,0)</f>
        <v>2</v>
      </c>
      <c r="BL126" s="17" t="n">
        <f aca="false">SQRT(($B126-BL$8)^2+($C126-BL$9)^2+($D126-BL$10)^2)</f>
        <v>4.05110213782655</v>
      </c>
      <c r="BM126" s="17" t="n">
        <f aca="false">SQRT(($B126-BM$8)^2+($C126-BM$9)^2+($D126-BM$10)^2)</f>
        <v>1.44258155021267</v>
      </c>
      <c r="BN126" s="63" t="n">
        <f aca="false">MATCH(MIN(BL126:BM126),BL126:BM126,0)</f>
        <v>2</v>
      </c>
      <c r="BP126" s="17" t="n">
        <f aca="false">SQRT(($B126-BP$8)^2+($C126-BP$9)^2+($D126-BP$10)^2)</f>
        <v>4.05110213782655</v>
      </c>
      <c r="BQ126" s="17" t="n">
        <f aca="false">SQRT(($B126-BQ$8)^2+($C126-BQ$9)^2+($D126-BQ$10)^2)</f>
        <v>1.44258155021267</v>
      </c>
      <c r="BR126" s="63" t="n">
        <f aca="false">MATCH(MIN(BP126:BQ126),BP126:BQ126,0)</f>
        <v>2</v>
      </c>
    </row>
    <row r="127" customFormat="false" ht="15" hidden="false" customHeight="false" outlineLevel="0" collapsed="false">
      <c r="A127" s="36" t="str">
        <f aca="false">KMeans_Data!A117</f>
        <v>Okara</v>
      </c>
      <c r="B127" s="17" t="n">
        <f aca="false">KMeans_Data!H117</f>
        <v>-1.71897565655168</v>
      </c>
      <c r="C127" s="17" t="n">
        <f aca="false">KMeans_Data!I117</f>
        <v>-0.672650545388274</v>
      </c>
      <c r="D127" s="17" t="n">
        <f aca="false">KMeans_Data!J117</f>
        <v>-1.14564411633355</v>
      </c>
      <c r="E127" s="63" t="n">
        <f aca="false">BR127</f>
        <v>2</v>
      </c>
      <c r="F127" s="38" t="n">
        <f aca="false">($B127-INDEX($L$8:$M$8,E127))^2+($C127-INDEX($L$9:$M$9,E127))^2+($D127-INDEX($L$10:$M$10,E127))^2</f>
        <v>2.081041529014</v>
      </c>
      <c r="G127" s="17" t="n">
        <f aca="false">IF(COUNTIF(Distance_Matrix!$E$8:$DQ$8,$E127)&lt;=1,0,SUMIF(Distance_Matrix!$E$8:$DQ$8,$E127,Distance_Matrix!$E$126:$DQ$126)/(COUNTIF(Distance_Matrix!$E$8:$DQ$8,$E127)-1))</f>
        <v>1.5745898184515</v>
      </c>
      <c r="H127" s="17" t="n">
        <f aca="false">MIN(IF(1=$E127,1E+099,IF(COUNTIF(Distance_Matrix!$E$8:$DQ$8,1)=0,1E+099,SUMIF(Distance_Matrix!$E$8:$DQ$8,1,Distance_Matrix!$E$126:$DQ$126)/COUNTIF(Distance_Matrix!$E$8:$DQ$8,1))),IF(2=$E127,1E+099,IF(COUNTIF(Distance_Matrix!$E$8:$DQ$8,2)=0,1E+099,SUMIF(Distance_Matrix!$E$8:$DQ$8,2,Distance_Matrix!$E$126:$DQ$126)/COUNTIF(Distance_Matrix!$E$8:$DQ$8,2))))</f>
        <v>4.09645489711546</v>
      </c>
      <c r="I127" s="17" t="n">
        <f aca="false">IF(COUNTIF(Distance_Matrix!$E$8:$DQ$8,$E127)&lt;=1,0,(H127-G127)/MAX(G127,H127))</f>
        <v>0.615621346262043</v>
      </c>
      <c r="X127" s="17" t="n">
        <f aca="false">SQRT(($B127-X$8)^2+($C127-X$9)^2+($D127-X$10)^2)</f>
        <v>8.15332373062299</v>
      </c>
      <c r="Y127" s="17" t="n">
        <f aca="false">SQRT(($B127-Y$8)^2+($C127-Y$9)^2+($D127-Y$10)^2)</f>
        <v>0.360762325251648</v>
      </c>
      <c r="Z127" s="63" t="n">
        <f aca="false">MATCH(MIN(X127:Y127),X127:Y127,0)</f>
        <v>2</v>
      </c>
      <c r="AB127" s="17" t="n">
        <f aca="false">SQRT(($B127-AB$8)^2+($C127-AB$9)^2+($D127-AB$10)^2)</f>
        <v>5.64277156049709</v>
      </c>
      <c r="AC127" s="17" t="n">
        <f aca="false">SQRT(($B127-AC$8)^2+($C127-AC$9)^2+($D127-AC$10)^2)</f>
        <v>1.87168946238325</v>
      </c>
      <c r="AD127" s="63" t="n">
        <f aca="false">MATCH(MIN(AB127:AC127),AB127:AC127,0)</f>
        <v>2</v>
      </c>
      <c r="AF127" s="17" t="n">
        <f aca="false">SQRT(($B127-AF$8)^2+($C127-AF$9)^2+($D127-AF$10)^2)</f>
        <v>5.03053410431971</v>
      </c>
      <c r="AG127" s="17" t="n">
        <f aca="false">SQRT(($B127-AG$8)^2+($C127-AG$9)^2+($D127-AG$10)^2)</f>
        <v>1.78530780920239</v>
      </c>
      <c r="AH127" s="63" t="n">
        <f aca="false">MATCH(MIN(AF127:AG127),AF127:AG127,0)</f>
        <v>2</v>
      </c>
      <c r="AJ127" s="17" t="n">
        <f aca="false">SQRT(($B127-AJ$8)^2+($C127-AJ$9)^2+($D127-AJ$10)^2)</f>
        <v>4.43393079398513</v>
      </c>
      <c r="AK127" s="17" t="n">
        <f aca="false">SQRT(($B127-AK$8)^2+($C127-AK$9)^2+($D127-AK$10)^2)</f>
        <v>1.61406573309063</v>
      </c>
      <c r="AL127" s="63" t="n">
        <f aca="false">MATCH(MIN(AJ127:AK127),AJ127:AK127,0)</f>
        <v>2</v>
      </c>
      <c r="AN127" s="17" t="n">
        <f aca="false">SQRT(($B127-AN$8)^2+($C127-AN$9)^2+($D127-AN$10)^2)</f>
        <v>4.25034207033956</v>
      </c>
      <c r="AO127" s="17" t="n">
        <f aca="false">SQRT(($B127-AO$8)^2+($C127-AO$9)^2+($D127-AO$10)^2)</f>
        <v>1.51746306855293</v>
      </c>
      <c r="AP127" s="63" t="n">
        <f aca="false">MATCH(MIN(AN127:AO127),AN127:AO127,0)</f>
        <v>2</v>
      </c>
      <c r="AR127" s="17" t="n">
        <f aca="false">SQRT(($B127-AR$8)^2+($C127-AR$9)^2+($D127-AR$10)^2)</f>
        <v>4.13059771804255</v>
      </c>
      <c r="AS127" s="17" t="n">
        <f aca="false">SQRT(($B127-AS$8)^2+($C127-AS$9)^2+($D127-AS$10)^2)</f>
        <v>1.46944609135054</v>
      </c>
      <c r="AT127" s="63" t="n">
        <f aca="false">MATCH(MIN(AR127:AS127),AR127:AS127,0)</f>
        <v>2</v>
      </c>
      <c r="AV127" s="17" t="n">
        <f aca="false">SQRT(($B127-AV$8)^2+($C127-AV$9)^2+($D127-AV$10)^2)</f>
        <v>4.09239180044246</v>
      </c>
      <c r="AW127" s="17" t="n">
        <f aca="false">SQRT(($B127-AW$8)^2+($C127-AW$9)^2+($D127-AW$10)^2)</f>
        <v>1.45384523769479</v>
      </c>
      <c r="AX127" s="63" t="n">
        <f aca="false">MATCH(MIN(AV127:AW127),AV127:AW127,0)</f>
        <v>2</v>
      </c>
      <c r="AZ127" s="17" t="n">
        <f aca="false">SQRT(($B127-AZ$8)^2+($C127-AZ$9)^2+($D127-AZ$10)^2)</f>
        <v>4.05110213782655</v>
      </c>
      <c r="BA127" s="17" t="n">
        <f aca="false">SQRT(($B127-BA$8)^2+($C127-BA$9)^2+($D127-BA$10)^2)</f>
        <v>1.44258155021267</v>
      </c>
      <c r="BB127" s="63" t="n">
        <f aca="false">MATCH(MIN(AZ127:BA127),AZ127:BA127,0)</f>
        <v>2</v>
      </c>
      <c r="BD127" s="17" t="n">
        <f aca="false">SQRT(($B127-BD$8)^2+($C127-BD$9)^2+($D127-BD$10)^2)</f>
        <v>4.05110213782655</v>
      </c>
      <c r="BE127" s="17" t="n">
        <f aca="false">SQRT(($B127-BE$8)^2+($C127-BE$9)^2+($D127-BE$10)^2)</f>
        <v>1.44258155021267</v>
      </c>
      <c r="BF127" s="63" t="n">
        <f aca="false">MATCH(MIN(BD127:BE127),BD127:BE127,0)</f>
        <v>2</v>
      </c>
      <c r="BH127" s="17" t="n">
        <f aca="false">SQRT(($B127-BH$8)^2+($C127-BH$9)^2+($D127-BH$10)^2)</f>
        <v>4.05110213782655</v>
      </c>
      <c r="BI127" s="17" t="n">
        <f aca="false">SQRT(($B127-BI$8)^2+($C127-BI$9)^2+($D127-BI$10)^2)</f>
        <v>1.44258155021267</v>
      </c>
      <c r="BJ127" s="63" t="n">
        <f aca="false">MATCH(MIN(BH127:BI127),BH127:BI127,0)</f>
        <v>2</v>
      </c>
      <c r="BL127" s="17" t="n">
        <f aca="false">SQRT(($B127-BL$8)^2+($C127-BL$9)^2+($D127-BL$10)^2)</f>
        <v>4.05110213782655</v>
      </c>
      <c r="BM127" s="17" t="n">
        <f aca="false">SQRT(($B127-BM$8)^2+($C127-BM$9)^2+($D127-BM$10)^2)</f>
        <v>1.44258155021267</v>
      </c>
      <c r="BN127" s="63" t="n">
        <f aca="false">MATCH(MIN(BL127:BM127),BL127:BM127,0)</f>
        <v>2</v>
      </c>
      <c r="BP127" s="17" t="n">
        <f aca="false">SQRT(($B127-BP$8)^2+($C127-BP$9)^2+($D127-BP$10)^2)</f>
        <v>4.05110213782655</v>
      </c>
      <c r="BQ127" s="17" t="n">
        <f aca="false">SQRT(($B127-BQ$8)^2+($C127-BQ$9)^2+($D127-BQ$10)^2)</f>
        <v>1.44258155021267</v>
      </c>
      <c r="BR127" s="63" t="n">
        <f aca="false">MATCH(MIN(BP127:BQ127),BP127:BQ127,0)</f>
        <v>2</v>
      </c>
    </row>
    <row r="128" customFormat="false" ht="15" hidden="false" customHeight="false" outlineLevel="0" collapsed="false">
      <c r="A128" s="36" t="str">
        <f aca="false">KMeans_Data!A118</f>
        <v>Ziarat</v>
      </c>
      <c r="B128" s="17" t="n">
        <f aca="false">KMeans_Data!H118</f>
        <v>-1.71897565655168</v>
      </c>
      <c r="C128" s="17" t="n">
        <f aca="false">KMeans_Data!I118</f>
        <v>-0.672650545388274</v>
      </c>
      <c r="D128" s="17" t="n">
        <f aca="false">KMeans_Data!J118</f>
        <v>-1.14564411633355</v>
      </c>
      <c r="E128" s="63" t="n">
        <f aca="false">BR128</f>
        <v>2</v>
      </c>
      <c r="F128" s="38" t="n">
        <f aca="false">($B128-INDEX($L$8:$M$8,E128))^2+($C128-INDEX($L$9:$M$9,E128))^2+($D128-INDEX($L$10:$M$10,E128))^2</f>
        <v>2.081041529014</v>
      </c>
      <c r="G128" s="17" t="n">
        <f aca="false">IF(COUNTIF(Distance_Matrix!$E$8:$DQ$8,$E128)&lt;=1,0,SUMIF(Distance_Matrix!$E$8:$DQ$8,$E128,Distance_Matrix!$E$127:$DQ$127)/(COUNTIF(Distance_Matrix!$E$8:$DQ$8,$E128)-1))</f>
        <v>1.5745898184515</v>
      </c>
      <c r="H128" s="17" t="n">
        <f aca="false">MIN(IF(1=$E128,1E+099,IF(COUNTIF(Distance_Matrix!$E$8:$DQ$8,1)=0,1E+099,SUMIF(Distance_Matrix!$E$8:$DQ$8,1,Distance_Matrix!$E$127:$DQ$127)/COUNTIF(Distance_Matrix!$E$8:$DQ$8,1))),IF(2=$E128,1E+099,IF(COUNTIF(Distance_Matrix!$E$8:$DQ$8,2)=0,1E+099,SUMIF(Distance_Matrix!$E$8:$DQ$8,2,Distance_Matrix!$E$127:$DQ$127)/COUNTIF(Distance_Matrix!$E$8:$DQ$8,2))))</f>
        <v>4.09645489711546</v>
      </c>
      <c r="I128" s="17" t="n">
        <f aca="false">IF(COUNTIF(Distance_Matrix!$E$8:$DQ$8,$E128)&lt;=1,0,(H128-G128)/MAX(G128,H128))</f>
        <v>0.615621346262043</v>
      </c>
      <c r="X128" s="17" t="n">
        <f aca="false">SQRT(($B128-X$8)^2+($C128-X$9)^2+($D128-X$10)^2)</f>
        <v>8.15332373062299</v>
      </c>
      <c r="Y128" s="17" t="n">
        <f aca="false">SQRT(($B128-Y$8)^2+($C128-Y$9)^2+($D128-Y$10)^2)</f>
        <v>0.360762325251648</v>
      </c>
      <c r="Z128" s="63" t="n">
        <f aca="false">MATCH(MIN(X128:Y128),X128:Y128,0)</f>
        <v>2</v>
      </c>
      <c r="AB128" s="17" t="n">
        <f aca="false">SQRT(($B128-AB$8)^2+($C128-AB$9)^2+($D128-AB$10)^2)</f>
        <v>5.64277156049709</v>
      </c>
      <c r="AC128" s="17" t="n">
        <f aca="false">SQRT(($B128-AC$8)^2+($C128-AC$9)^2+($D128-AC$10)^2)</f>
        <v>1.87168946238325</v>
      </c>
      <c r="AD128" s="63" t="n">
        <f aca="false">MATCH(MIN(AB128:AC128),AB128:AC128,0)</f>
        <v>2</v>
      </c>
      <c r="AF128" s="17" t="n">
        <f aca="false">SQRT(($B128-AF$8)^2+($C128-AF$9)^2+($D128-AF$10)^2)</f>
        <v>5.03053410431971</v>
      </c>
      <c r="AG128" s="17" t="n">
        <f aca="false">SQRT(($B128-AG$8)^2+($C128-AG$9)^2+($D128-AG$10)^2)</f>
        <v>1.78530780920239</v>
      </c>
      <c r="AH128" s="63" t="n">
        <f aca="false">MATCH(MIN(AF128:AG128),AF128:AG128,0)</f>
        <v>2</v>
      </c>
      <c r="AJ128" s="17" t="n">
        <f aca="false">SQRT(($B128-AJ$8)^2+($C128-AJ$9)^2+($D128-AJ$10)^2)</f>
        <v>4.43393079398513</v>
      </c>
      <c r="AK128" s="17" t="n">
        <f aca="false">SQRT(($B128-AK$8)^2+($C128-AK$9)^2+($D128-AK$10)^2)</f>
        <v>1.61406573309063</v>
      </c>
      <c r="AL128" s="63" t="n">
        <f aca="false">MATCH(MIN(AJ128:AK128),AJ128:AK128,0)</f>
        <v>2</v>
      </c>
      <c r="AN128" s="17" t="n">
        <f aca="false">SQRT(($B128-AN$8)^2+($C128-AN$9)^2+($D128-AN$10)^2)</f>
        <v>4.25034207033956</v>
      </c>
      <c r="AO128" s="17" t="n">
        <f aca="false">SQRT(($B128-AO$8)^2+($C128-AO$9)^2+($D128-AO$10)^2)</f>
        <v>1.51746306855293</v>
      </c>
      <c r="AP128" s="63" t="n">
        <f aca="false">MATCH(MIN(AN128:AO128),AN128:AO128,0)</f>
        <v>2</v>
      </c>
      <c r="AR128" s="17" t="n">
        <f aca="false">SQRT(($B128-AR$8)^2+($C128-AR$9)^2+($D128-AR$10)^2)</f>
        <v>4.13059771804255</v>
      </c>
      <c r="AS128" s="17" t="n">
        <f aca="false">SQRT(($B128-AS$8)^2+($C128-AS$9)^2+($D128-AS$10)^2)</f>
        <v>1.46944609135054</v>
      </c>
      <c r="AT128" s="63" t="n">
        <f aca="false">MATCH(MIN(AR128:AS128),AR128:AS128,0)</f>
        <v>2</v>
      </c>
      <c r="AV128" s="17" t="n">
        <f aca="false">SQRT(($B128-AV$8)^2+($C128-AV$9)^2+($D128-AV$10)^2)</f>
        <v>4.09239180044246</v>
      </c>
      <c r="AW128" s="17" t="n">
        <f aca="false">SQRT(($B128-AW$8)^2+($C128-AW$9)^2+($D128-AW$10)^2)</f>
        <v>1.45384523769479</v>
      </c>
      <c r="AX128" s="63" t="n">
        <f aca="false">MATCH(MIN(AV128:AW128),AV128:AW128,0)</f>
        <v>2</v>
      </c>
      <c r="AZ128" s="17" t="n">
        <f aca="false">SQRT(($B128-AZ$8)^2+($C128-AZ$9)^2+($D128-AZ$10)^2)</f>
        <v>4.05110213782655</v>
      </c>
      <c r="BA128" s="17" t="n">
        <f aca="false">SQRT(($B128-BA$8)^2+($C128-BA$9)^2+($D128-BA$10)^2)</f>
        <v>1.44258155021267</v>
      </c>
      <c r="BB128" s="63" t="n">
        <f aca="false">MATCH(MIN(AZ128:BA128),AZ128:BA128,0)</f>
        <v>2</v>
      </c>
      <c r="BD128" s="17" t="n">
        <f aca="false">SQRT(($B128-BD$8)^2+($C128-BD$9)^2+($D128-BD$10)^2)</f>
        <v>4.05110213782655</v>
      </c>
      <c r="BE128" s="17" t="n">
        <f aca="false">SQRT(($B128-BE$8)^2+($C128-BE$9)^2+($D128-BE$10)^2)</f>
        <v>1.44258155021267</v>
      </c>
      <c r="BF128" s="63" t="n">
        <f aca="false">MATCH(MIN(BD128:BE128),BD128:BE128,0)</f>
        <v>2</v>
      </c>
      <c r="BH128" s="17" t="n">
        <f aca="false">SQRT(($B128-BH$8)^2+($C128-BH$9)^2+($D128-BH$10)^2)</f>
        <v>4.05110213782655</v>
      </c>
      <c r="BI128" s="17" t="n">
        <f aca="false">SQRT(($B128-BI$8)^2+($C128-BI$9)^2+($D128-BI$10)^2)</f>
        <v>1.44258155021267</v>
      </c>
      <c r="BJ128" s="63" t="n">
        <f aca="false">MATCH(MIN(BH128:BI128),BH128:BI128,0)</f>
        <v>2</v>
      </c>
      <c r="BL128" s="17" t="n">
        <f aca="false">SQRT(($B128-BL$8)^2+($C128-BL$9)^2+($D128-BL$10)^2)</f>
        <v>4.05110213782655</v>
      </c>
      <c r="BM128" s="17" t="n">
        <f aca="false">SQRT(($B128-BM$8)^2+($C128-BM$9)^2+($D128-BM$10)^2)</f>
        <v>1.44258155021267</v>
      </c>
      <c r="BN128" s="63" t="n">
        <f aca="false">MATCH(MIN(BL128:BM128),BL128:BM128,0)</f>
        <v>2</v>
      </c>
      <c r="BP128" s="17" t="n">
        <f aca="false">SQRT(($B128-BP$8)^2+($C128-BP$9)^2+($D128-BP$10)^2)</f>
        <v>4.05110213782655</v>
      </c>
      <c r="BQ128" s="17" t="n">
        <f aca="false">SQRT(($B128-BQ$8)^2+($C128-BQ$9)^2+($D128-BQ$10)^2)</f>
        <v>1.44258155021267</v>
      </c>
      <c r="BR128" s="63" t="n">
        <f aca="false">MATCH(MIN(BP128:BQ128),BP128:BQ128,0)</f>
        <v>2</v>
      </c>
    </row>
    <row r="129" customFormat="false" ht="15" hidden="false" customHeight="false" outlineLevel="0" collapsed="false">
      <c r="A129" s="36" t="str">
        <f aca="false">KMeans_Data!A119</f>
        <v>Pakpatan</v>
      </c>
      <c r="B129" s="17" t="n">
        <f aca="false">KMeans_Data!H119</f>
        <v>-1.71897565655168</v>
      </c>
      <c r="C129" s="17" t="n">
        <f aca="false">KMeans_Data!I119</f>
        <v>-0.672650545388274</v>
      </c>
      <c r="D129" s="17" t="n">
        <f aca="false">KMeans_Data!J119</f>
        <v>-1.14564411633355</v>
      </c>
      <c r="E129" s="63" t="n">
        <f aca="false">BR129</f>
        <v>2</v>
      </c>
      <c r="F129" s="38" t="n">
        <f aca="false">($B129-INDEX($L$8:$M$8,E129))^2+($C129-INDEX($L$9:$M$9,E129))^2+($D129-INDEX($L$10:$M$10,E129))^2</f>
        <v>2.081041529014</v>
      </c>
      <c r="G129" s="17" t="n">
        <f aca="false">IF(COUNTIF(Distance_Matrix!$E$8:$DQ$8,$E129)&lt;=1,0,SUMIF(Distance_Matrix!$E$8:$DQ$8,$E129,Distance_Matrix!$E$128:$DQ$128)/(COUNTIF(Distance_Matrix!$E$8:$DQ$8,$E129)-1))</f>
        <v>1.5745898184515</v>
      </c>
      <c r="H129" s="17" t="n">
        <f aca="false">MIN(IF(1=$E129,1E+099,IF(COUNTIF(Distance_Matrix!$E$8:$DQ$8,1)=0,1E+099,SUMIF(Distance_Matrix!$E$8:$DQ$8,1,Distance_Matrix!$E$128:$DQ$128)/COUNTIF(Distance_Matrix!$E$8:$DQ$8,1))),IF(2=$E129,1E+099,IF(COUNTIF(Distance_Matrix!$E$8:$DQ$8,2)=0,1E+099,SUMIF(Distance_Matrix!$E$8:$DQ$8,2,Distance_Matrix!$E$128:$DQ$128)/COUNTIF(Distance_Matrix!$E$8:$DQ$8,2))))</f>
        <v>4.09645489711546</v>
      </c>
      <c r="I129" s="17" t="n">
        <f aca="false">IF(COUNTIF(Distance_Matrix!$E$8:$DQ$8,$E129)&lt;=1,0,(H129-G129)/MAX(G129,H129))</f>
        <v>0.615621346262043</v>
      </c>
      <c r="X129" s="17" t="n">
        <f aca="false">SQRT(($B129-X$8)^2+($C129-X$9)^2+($D129-X$10)^2)</f>
        <v>8.15332373062299</v>
      </c>
      <c r="Y129" s="17" t="n">
        <f aca="false">SQRT(($B129-Y$8)^2+($C129-Y$9)^2+($D129-Y$10)^2)</f>
        <v>0.360762325251648</v>
      </c>
      <c r="Z129" s="63" t="n">
        <f aca="false">MATCH(MIN(X129:Y129),X129:Y129,0)</f>
        <v>2</v>
      </c>
      <c r="AB129" s="17" t="n">
        <f aca="false">SQRT(($B129-AB$8)^2+($C129-AB$9)^2+($D129-AB$10)^2)</f>
        <v>5.64277156049709</v>
      </c>
      <c r="AC129" s="17" t="n">
        <f aca="false">SQRT(($B129-AC$8)^2+($C129-AC$9)^2+($D129-AC$10)^2)</f>
        <v>1.87168946238325</v>
      </c>
      <c r="AD129" s="63" t="n">
        <f aca="false">MATCH(MIN(AB129:AC129),AB129:AC129,0)</f>
        <v>2</v>
      </c>
      <c r="AF129" s="17" t="n">
        <f aca="false">SQRT(($B129-AF$8)^2+($C129-AF$9)^2+($D129-AF$10)^2)</f>
        <v>5.03053410431971</v>
      </c>
      <c r="AG129" s="17" t="n">
        <f aca="false">SQRT(($B129-AG$8)^2+($C129-AG$9)^2+($D129-AG$10)^2)</f>
        <v>1.78530780920239</v>
      </c>
      <c r="AH129" s="63" t="n">
        <f aca="false">MATCH(MIN(AF129:AG129),AF129:AG129,0)</f>
        <v>2</v>
      </c>
      <c r="AJ129" s="17" t="n">
        <f aca="false">SQRT(($B129-AJ$8)^2+($C129-AJ$9)^2+($D129-AJ$10)^2)</f>
        <v>4.43393079398513</v>
      </c>
      <c r="AK129" s="17" t="n">
        <f aca="false">SQRT(($B129-AK$8)^2+($C129-AK$9)^2+($D129-AK$10)^2)</f>
        <v>1.61406573309063</v>
      </c>
      <c r="AL129" s="63" t="n">
        <f aca="false">MATCH(MIN(AJ129:AK129),AJ129:AK129,0)</f>
        <v>2</v>
      </c>
      <c r="AN129" s="17" t="n">
        <f aca="false">SQRT(($B129-AN$8)^2+($C129-AN$9)^2+($D129-AN$10)^2)</f>
        <v>4.25034207033956</v>
      </c>
      <c r="AO129" s="17" t="n">
        <f aca="false">SQRT(($B129-AO$8)^2+($C129-AO$9)^2+($D129-AO$10)^2)</f>
        <v>1.51746306855293</v>
      </c>
      <c r="AP129" s="63" t="n">
        <f aca="false">MATCH(MIN(AN129:AO129),AN129:AO129,0)</f>
        <v>2</v>
      </c>
      <c r="AR129" s="17" t="n">
        <f aca="false">SQRT(($B129-AR$8)^2+($C129-AR$9)^2+($D129-AR$10)^2)</f>
        <v>4.13059771804255</v>
      </c>
      <c r="AS129" s="17" t="n">
        <f aca="false">SQRT(($B129-AS$8)^2+($C129-AS$9)^2+($D129-AS$10)^2)</f>
        <v>1.46944609135054</v>
      </c>
      <c r="AT129" s="63" t="n">
        <f aca="false">MATCH(MIN(AR129:AS129),AR129:AS129,0)</f>
        <v>2</v>
      </c>
      <c r="AV129" s="17" t="n">
        <f aca="false">SQRT(($B129-AV$8)^2+($C129-AV$9)^2+($D129-AV$10)^2)</f>
        <v>4.09239180044246</v>
      </c>
      <c r="AW129" s="17" t="n">
        <f aca="false">SQRT(($B129-AW$8)^2+($C129-AW$9)^2+($D129-AW$10)^2)</f>
        <v>1.45384523769479</v>
      </c>
      <c r="AX129" s="63" t="n">
        <f aca="false">MATCH(MIN(AV129:AW129),AV129:AW129,0)</f>
        <v>2</v>
      </c>
      <c r="AZ129" s="17" t="n">
        <f aca="false">SQRT(($B129-AZ$8)^2+($C129-AZ$9)^2+($D129-AZ$10)^2)</f>
        <v>4.05110213782655</v>
      </c>
      <c r="BA129" s="17" t="n">
        <f aca="false">SQRT(($B129-BA$8)^2+($C129-BA$9)^2+($D129-BA$10)^2)</f>
        <v>1.44258155021267</v>
      </c>
      <c r="BB129" s="63" t="n">
        <f aca="false">MATCH(MIN(AZ129:BA129),AZ129:BA129,0)</f>
        <v>2</v>
      </c>
      <c r="BD129" s="17" t="n">
        <f aca="false">SQRT(($B129-BD$8)^2+($C129-BD$9)^2+($D129-BD$10)^2)</f>
        <v>4.05110213782655</v>
      </c>
      <c r="BE129" s="17" t="n">
        <f aca="false">SQRT(($B129-BE$8)^2+($C129-BE$9)^2+($D129-BE$10)^2)</f>
        <v>1.44258155021267</v>
      </c>
      <c r="BF129" s="63" t="n">
        <f aca="false">MATCH(MIN(BD129:BE129),BD129:BE129,0)</f>
        <v>2</v>
      </c>
      <c r="BH129" s="17" t="n">
        <f aca="false">SQRT(($B129-BH$8)^2+($C129-BH$9)^2+($D129-BH$10)^2)</f>
        <v>4.05110213782655</v>
      </c>
      <c r="BI129" s="17" t="n">
        <f aca="false">SQRT(($B129-BI$8)^2+($C129-BI$9)^2+($D129-BI$10)^2)</f>
        <v>1.44258155021267</v>
      </c>
      <c r="BJ129" s="63" t="n">
        <f aca="false">MATCH(MIN(BH129:BI129),BH129:BI129,0)</f>
        <v>2</v>
      </c>
      <c r="BL129" s="17" t="n">
        <f aca="false">SQRT(($B129-BL$8)^2+($C129-BL$9)^2+($D129-BL$10)^2)</f>
        <v>4.05110213782655</v>
      </c>
      <c r="BM129" s="17" t="n">
        <f aca="false">SQRT(($B129-BM$8)^2+($C129-BM$9)^2+($D129-BM$10)^2)</f>
        <v>1.44258155021267</v>
      </c>
      <c r="BN129" s="63" t="n">
        <f aca="false">MATCH(MIN(BL129:BM129),BL129:BM129,0)</f>
        <v>2</v>
      </c>
      <c r="BP129" s="17" t="n">
        <f aca="false">SQRT(($B129-BP$8)^2+($C129-BP$9)^2+($D129-BP$10)^2)</f>
        <v>4.05110213782655</v>
      </c>
      <c r="BQ129" s="17" t="n">
        <f aca="false">SQRT(($B129-BQ$8)^2+($C129-BQ$9)^2+($D129-BQ$10)^2)</f>
        <v>1.44258155021267</v>
      </c>
      <c r="BR129" s="63" t="n">
        <f aca="false">MATCH(MIN(BP129:BQ129),BP129:BQ129,0)</f>
        <v>2</v>
      </c>
    </row>
    <row r="130" customFormat="false" ht="15" hidden="false" customHeight="false" outlineLevel="0" collapsed="false">
      <c r="A130" s="36" t="str">
        <f aca="false">KMeans_Data!A120</f>
        <v>Chitral</v>
      </c>
      <c r="B130" s="17" t="n">
        <f aca="false">KMeans_Data!H120</f>
        <v>-2.07973798180332</v>
      </c>
      <c r="C130" s="17" t="n">
        <f aca="false">KMeans_Data!I120</f>
        <v>-0.672650545388274</v>
      </c>
      <c r="D130" s="17" t="n">
        <f aca="false">KMeans_Data!J120</f>
        <v>-1.14564411633355</v>
      </c>
      <c r="E130" s="63" t="n">
        <f aca="false">BR130</f>
        <v>2</v>
      </c>
      <c r="F130" s="38" t="n">
        <f aca="false">($B130-INDEX($L$8:$M$8,E130))^2+($C130-INDEX($L$9:$M$9,E130))^2+($D130-INDEX($L$10:$M$10,E130))^2</f>
        <v>3.13095951004824</v>
      </c>
      <c r="G130" s="17" t="n">
        <f aca="false">IF(COUNTIF(Distance_Matrix!$E$8:$DQ$8,$E130)&lt;=1,0,SUMIF(Distance_Matrix!$E$8:$DQ$8,$E130,Distance_Matrix!$E$129:$DQ$129)/(COUNTIF(Distance_Matrix!$E$8:$DQ$8,$E130)-1))</f>
        <v>1.88111411922153</v>
      </c>
      <c r="H130" s="17" t="n">
        <f aca="false">MIN(IF(1=$E130,1E+099,IF(COUNTIF(Distance_Matrix!$E$8:$DQ$8,1)=0,1E+099,SUMIF(Distance_Matrix!$E$8:$DQ$8,1,Distance_Matrix!$E$129:$DQ$129)/COUNTIF(Distance_Matrix!$E$8:$DQ$8,1))),IF(2=$E130,1E+099,IF(COUNTIF(Distance_Matrix!$E$8:$DQ$8,2)=0,1E+099,SUMIF(Distance_Matrix!$E$8:$DQ$8,2,Distance_Matrix!$E$129:$DQ$129)/COUNTIF(Distance_Matrix!$E$8:$DQ$8,2))))</f>
        <v>4.35024577991807</v>
      </c>
      <c r="I130" s="17" t="n">
        <f aca="false">IF(COUNTIF(Distance_Matrix!$E$8:$DQ$8,$E130)&lt;=1,0,(H130-G130)/MAX(G130,H130))</f>
        <v>0.56758440456278</v>
      </c>
      <c r="X130" s="17" t="n">
        <f aca="false">SQRT(($B130-X$8)^2+($C130-X$9)^2+($D130-X$10)^2)</f>
        <v>8.37911780072121</v>
      </c>
      <c r="Y130" s="17" t="n">
        <f aca="false">SQRT(($B130-Y$8)^2+($C130-Y$9)^2+($D130-Y$10)^2)</f>
        <v>0</v>
      </c>
      <c r="Z130" s="63" t="n">
        <f aca="false">MATCH(MIN(X130:Y130),X130:Y130,0)</f>
        <v>2</v>
      </c>
      <c r="AB130" s="17" t="n">
        <f aca="false">SQRT(($B130-AB$8)^2+($C130-AB$9)^2+($D130-AB$10)^2)</f>
        <v>5.88521732095415</v>
      </c>
      <c r="AC130" s="17" t="n">
        <f aca="false">SQRT(($B130-AC$8)^2+($C130-AC$9)^2+($D130-AC$10)^2)</f>
        <v>2.17727474274424</v>
      </c>
      <c r="AD130" s="63" t="n">
        <f aca="false">MATCH(MIN(AB130:AC130),AB130:AC130,0)</f>
        <v>2</v>
      </c>
      <c r="AF130" s="17" t="n">
        <f aca="false">SQRT(($B130-AF$8)^2+($C130-AF$9)^2+($D130-AF$10)^2)</f>
        <v>5.27653403078152</v>
      </c>
      <c r="AG130" s="17" t="n">
        <f aca="false">SQRT(($B130-AG$8)^2+($C130-AG$9)^2+($D130-AG$10)^2)</f>
        <v>2.09437764816407</v>
      </c>
      <c r="AH130" s="63" t="n">
        <f aca="false">MATCH(MIN(AF130:AG130),AF130:AG130,0)</f>
        <v>2</v>
      </c>
      <c r="AJ130" s="17" t="n">
        <f aca="false">SQRT(($B130-AJ$8)^2+($C130-AJ$9)^2+($D130-AJ$10)^2)</f>
        <v>4.68160489465204</v>
      </c>
      <c r="AK130" s="17" t="n">
        <f aca="false">SQRT(($B130-AK$8)^2+($C130-AK$9)^2+($D130-AK$10)^2)</f>
        <v>1.93249594879627</v>
      </c>
      <c r="AL130" s="63" t="n">
        <f aca="false">MATCH(MIN(AJ130:AK130),AJ130:AK130,0)</f>
        <v>2</v>
      </c>
      <c r="AN130" s="17" t="n">
        <f aca="false">SQRT(($B130-AN$8)^2+($C130-AN$9)^2+($D130-AN$10)^2)</f>
        <v>4.50169916572771</v>
      </c>
      <c r="AO130" s="17" t="n">
        <f aca="false">SQRT(($B130-AO$8)^2+($C130-AO$9)^2+($D130-AO$10)^2)</f>
        <v>1.84040973671133</v>
      </c>
      <c r="AP130" s="63" t="n">
        <f aca="false">MATCH(MIN(AN130:AO130),AN130:AO130,0)</f>
        <v>2</v>
      </c>
      <c r="AR130" s="17" t="n">
        <f aca="false">SQRT(($B130-AR$8)^2+($C130-AR$9)^2+($D130-AR$10)^2)</f>
        <v>4.38381189030178</v>
      </c>
      <c r="AS130" s="17" t="n">
        <f aca="false">SQRT(($B130-AS$8)^2+($C130-AS$9)^2+($D130-AS$10)^2)</f>
        <v>1.79474259671919</v>
      </c>
      <c r="AT130" s="63" t="n">
        <f aca="false">MATCH(MIN(AR130:AS130),AR130:AS130,0)</f>
        <v>2</v>
      </c>
      <c r="AV130" s="17" t="n">
        <f aca="false">SQRT(($B130-AV$8)^2+($C130-AV$9)^2+($D130-AV$10)^2)</f>
        <v>4.34647180933481</v>
      </c>
      <c r="AW130" s="17" t="n">
        <f aca="false">SQRT(($B130-AW$8)^2+($C130-AW$9)^2+($D130-AW$10)^2)</f>
        <v>1.77965045662868</v>
      </c>
      <c r="AX130" s="63" t="n">
        <f aca="false">MATCH(MIN(AV130:AW130),AV130:AW130,0)</f>
        <v>2</v>
      </c>
      <c r="AZ130" s="17" t="n">
        <f aca="false">SQRT(($B130-AZ$8)^2+($C130-AZ$9)^2+($D130-AZ$10)^2)</f>
        <v>4.30497173597807</v>
      </c>
      <c r="BA130" s="17" t="n">
        <f aca="false">SQRT(($B130-BA$8)^2+($C130-BA$9)^2+($D130-BA$10)^2)</f>
        <v>1.76945175408889</v>
      </c>
      <c r="BB130" s="63" t="n">
        <f aca="false">MATCH(MIN(AZ130:BA130),AZ130:BA130,0)</f>
        <v>2</v>
      </c>
      <c r="BD130" s="17" t="n">
        <f aca="false">SQRT(($B130-BD$8)^2+($C130-BD$9)^2+($D130-BD$10)^2)</f>
        <v>4.30497173597807</v>
      </c>
      <c r="BE130" s="17" t="n">
        <f aca="false">SQRT(($B130-BE$8)^2+($C130-BE$9)^2+($D130-BE$10)^2)</f>
        <v>1.76945175408889</v>
      </c>
      <c r="BF130" s="63" t="n">
        <f aca="false">MATCH(MIN(BD130:BE130),BD130:BE130,0)</f>
        <v>2</v>
      </c>
      <c r="BH130" s="17" t="n">
        <f aca="false">SQRT(($B130-BH$8)^2+($C130-BH$9)^2+($D130-BH$10)^2)</f>
        <v>4.30497173597807</v>
      </c>
      <c r="BI130" s="17" t="n">
        <f aca="false">SQRT(($B130-BI$8)^2+($C130-BI$9)^2+($D130-BI$10)^2)</f>
        <v>1.76945175408889</v>
      </c>
      <c r="BJ130" s="63" t="n">
        <f aca="false">MATCH(MIN(BH130:BI130),BH130:BI130,0)</f>
        <v>2</v>
      </c>
      <c r="BL130" s="17" t="n">
        <f aca="false">SQRT(($B130-BL$8)^2+($C130-BL$9)^2+($D130-BL$10)^2)</f>
        <v>4.30497173597807</v>
      </c>
      <c r="BM130" s="17" t="n">
        <f aca="false">SQRT(($B130-BM$8)^2+($C130-BM$9)^2+($D130-BM$10)^2)</f>
        <v>1.76945175408889</v>
      </c>
      <c r="BN130" s="63" t="n">
        <f aca="false">MATCH(MIN(BL130:BM130),BL130:BM130,0)</f>
        <v>2</v>
      </c>
      <c r="BP130" s="17" t="n">
        <f aca="false">SQRT(($B130-BP$8)^2+($C130-BP$9)^2+($D130-BP$10)^2)</f>
        <v>4.30497173597807</v>
      </c>
      <c r="BQ130" s="17" t="n">
        <f aca="false">SQRT(($B130-BQ$8)^2+($C130-BQ$9)^2+($D130-BQ$10)^2)</f>
        <v>1.76945175408889</v>
      </c>
      <c r="BR130" s="63" t="n">
        <f aca="false">MATCH(MIN(BP130:BQ130),BP130:BQ130,0)</f>
        <v>2</v>
      </c>
    </row>
    <row r="131" customFormat="false" ht="15" hidden="false" customHeight="false" outlineLevel="0" collapsed="false">
      <c r="A131" s="36" t="str">
        <f aca="false">KMeans_Data!A121</f>
        <v>Kolai Pallas</v>
      </c>
      <c r="B131" s="17" t="n">
        <f aca="false">KMeans_Data!H121</f>
        <v>-2.07973798180332</v>
      </c>
      <c r="C131" s="17" t="n">
        <f aca="false">KMeans_Data!I121</f>
        <v>-0.672650545388274</v>
      </c>
      <c r="D131" s="17" t="n">
        <f aca="false">KMeans_Data!J121</f>
        <v>-1.14564411633355</v>
      </c>
      <c r="E131" s="63" t="n">
        <f aca="false">BR131</f>
        <v>2</v>
      </c>
      <c r="F131" s="38" t="n">
        <f aca="false">($B131-INDEX($L$8:$M$8,E131))^2+($C131-INDEX($L$9:$M$9,E131))^2+($D131-INDEX($L$10:$M$10,E131))^2</f>
        <v>3.13095951004824</v>
      </c>
      <c r="G131" s="17" t="n">
        <f aca="false">IF(COUNTIF(Distance_Matrix!$E$8:$DQ$8,$E131)&lt;=1,0,SUMIF(Distance_Matrix!$E$8:$DQ$8,$E131,Distance_Matrix!$E$130:$DQ$130)/(COUNTIF(Distance_Matrix!$E$8:$DQ$8,$E131)-1))</f>
        <v>1.88111411922153</v>
      </c>
      <c r="H131" s="17" t="n">
        <f aca="false">MIN(IF(1=$E131,1E+099,IF(COUNTIF(Distance_Matrix!$E$8:$DQ$8,1)=0,1E+099,SUMIF(Distance_Matrix!$E$8:$DQ$8,1,Distance_Matrix!$E$130:$DQ$130)/COUNTIF(Distance_Matrix!$E$8:$DQ$8,1))),IF(2=$E131,1E+099,IF(COUNTIF(Distance_Matrix!$E$8:$DQ$8,2)=0,1E+099,SUMIF(Distance_Matrix!$E$8:$DQ$8,2,Distance_Matrix!$E$130:$DQ$130)/COUNTIF(Distance_Matrix!$E$8:$DQ$8,2))))</f>
        <v>4.35024577991807</v>
      </c>
      <c r="I131" s="17" t="n">
        <f aca="false">IF(COUNTIF(Distance_Matrix!$E$8:$DQ$8,$E131)&lt;=1,0,(H131-G131)/MAX(G131,H131))</f>
        <v>0.56758440456278</v>
      </c>
      <c r="X131" s="17" t="n">
        <f aca="false">SQRT(($B131-X$8)^2+($C131-X$9)^2+($D131-X$10)^2)</f>
        <v>8.37911780072121</v>
      </c>
      <c r="Y131" s="17" t="n">
        <f aca="false">SQRT(($B131-Y$8)^2+($C131-Y$9)^2+($D131-Y$10)^2)</f>
        <v>0</v>
      </c>
      <c r="Z131" s="63" t="n">
        <f aca="false">MATCH(MIN(X131:Y131),X131:Y131,0)</f>
        <v>2</v>
      </c>
      <c r="AB131" s="17" t="n">
        <f aca="false">SQRT(($B131-AB$8)^2+($C131-AB$9)^2+($D131-AB$10)^2)</f>
        <v>5.88521732095415</v>
      </c>
      <c r="AC131" s="17" t="n">
        <f aca="false">SQRT(($B131-AC$8)^2+($C131-AC$9)^2+($D131-AC$10)^2)</f>
        <v>2.17727474274424</v>
      </c>
      <c r="AD131" s="63" t="n">
        <f aca="false">MATCH(MIN(AB131:AC131),AB131:AC131,0)</f>
        <v>2</v>
      </c>
      <c r="AF131" s="17" t="n">
        <f aca="false">SQRT(($B131-AF$8)^2+($C131-AF$9)^2+($D131-AF$10)^2)</f>
        <v>5.27653403078152</v>
      </c>
      <c r="AG131" s="17" t="n">
        <f aca="false">SQRT(($B131-AG$8)^2+($C131-AG$9)^2+($D131-AG$10)^2)</f>
        <v>2.09437764816407</v>
      </c>
      <c r="AH131" s="63" t="n">
        <f aca="false">MATCH(MIN(AF131:AG131),AF131:AG131,0)</f>
        <v>2</v>
      </c>
      <c r="AJ131" s="17" t="n">
        <f aca="false">SQRT(($B131-AJ$8)^2+($C131-AJ$9)^2+($D131-AJ$10)^2)</f>
        <v>4.68160489465204</v>
      </c>
      <c r="AK131" s="17" t="n">
        <f aca="false">SQRT(($B131-AK$8)^2+($C131-AK$9)^2+($D131-AK$10)^2)</f>
        <v>1.93249594879627</v>
      </c>
      <c r="AL131" s="63" t="n">
        <f aca="false">MATCH(MIN(AJ131:AK131),AJ131:AK131,0)</f>
        <v>2</v>
      </c>
      <c r="AN131" s="17" t="n">
        <f aca="false">SQRT(($B131-AN$8)^2+($C131-AN$9)^2+($D131-AN$10)^2)</f>
        <v>4.50169916572771</v>
      </c>
      <c r="AO131" s="17" t="n">
        <f aca="false">SQRT(($B131-AO$8)^2+($C131-AO$9)^2+($D131-AO$10)^2)</f>
        <v>1.84040973671133</v>
      </c>
      <c r="AP131" s="63" t="n">
        <f aca="false">MATCH(MIN(AN131:AO131),AN131:AO131,0)</f>
        <v>2</v>
      </c>
      <c r="AR131" s="17" t="n">
        <f aca="false">SQRT(($B131-AR$8)^2+($C131-AR$9)^2+($D131-AR$10)^2)</f>
        <v>4.38381189030178</v>
      </c>
      <c r="AS131" s="17" t="n">
        <f aca="false">SQRT(($B131-AS$8)^2+($C131-AS$9)^2+($D131-AS$10)^2)</f>
        <v>1.79474259671919</v>
      </c>
      <c r="AT131" s="63" t="n">
        <f aca="false">MATCH(MIN(AR131:AS131),AR131:AS131,0)</f>
        <v>2</v>
      </c>
      <c r="AV131" s="17" t="n">
        <f aca="false">SQRT(($B131-AV$8)^2+($C131-AV$9)^2+($D131-AV$10)^2)</f>
        <v>4.34647180933481</v>
      </c>
      <c r="AW131" s="17" t="n">
        <f aca="false">SQRT(($B131-AW$8)^2+($C131-AW$9)^2+($D131-AW$10)^2)</f>
        <v>1.77965045662868</v>
      </c>
      <c r="AX131" s="63" t="n">
        <f aca="false">MATCH(MIN(AV131:AW131),AV131:AW131,0)</f>
        <v>2</v>
      </c>
      <c r="AZ131" s="17" t="n">
        <f aca="false">SQRT(($B131-AZ$8)^2+($C131-AZ$9)^2+($D131-AZ$10)^2)</f>
        <v>4.30497173597807</v>
      </c>
      <c r="BA131" s="17" t="n">
        <f aca="false">SQRT(($B131-BA$8)^2+($C131-BA$9)^2+($D131-BA$10)^2)</f>
        <v>1.76945175408889</v>
      </c>
      <c r="BB131" s="63" t="n">
        <f aca="false">MATCH(MIN(AZ131:BA131),AZ131:BA131,0)</f>
        <v>2</v>
      </c>
      <c r="BD131" s="17" t="n">
        <f aca="false">SQRT(($B131-BD$8)^2+($C131-BD$9)^2+($D131-BD$10)^2)</f>
        <v>4.30497173597807</v>
      </c>
      <c r="BE131" s="17" t="n">
        <f aca="false">SQRT(($B131-BE$8)^2+($C131-BE$9)^2+($D131-BE$10)^2)</f>
        <v>1.76945175408889</v>
      </c>
      <c r="BF131" s="63" t="n">
        <f aca="false">MATCH(MIN(BD131:BE131),BD131:BE131,0)</f>
        <v>2</v>
      </c>
      <c r="BH131" s="17" t="n">
        <f aca="false">SQRT(($B131-BH$8)^2+($C131-BH$9)^2+($D131-BH$10)^2)</f>
        <v>4.30497173597807</v>
      </c>
      <c r="BI131" s="17" t="n">
        <f aca="false">SQRT(($B131-BI$8)^2+($C131-BI$9)^2+($D131-BI$10)^2)</f>
        <v>1.76945175408889</v>
      </c>
      <c r="BJ131" s="63" t="n">
        <f aca="false">MATCH(MIN(BH131:BI131),BH131:BI131,0)</f>
        <v>2</v>
      </c>
      <c r="BL131" s="17" t="n">
        <f aca="false">SQRT(($B131-BL$8)^2+($C131-BL$9)^2+($D131-BL$10)^2)</f>
        <v>4.30497173597807</v>
      </c>
      <c r="BM131" s="17" t="n">
        <f aca="false">SQRT(($B131-BM$8)^2+($C131-BM$9)^2+($D131-BM$10)^2)</f>
        <v>1.76945175408889</v>
      </c>
      <c r="BN131" s="63" t="n">
        <f aca="false">MATCH(MIN(BL131:BM131),BL131:BM131,0)</f>
        <v>2</v>
      </c>
      <c r="BP131" s="17" t="n">
        <f aca="false">SQRT(($B131-BP$8)^2+($C131-BP$9)^2+($D131-BP$10)^2)</f>
        <v>4.30497173597807</v>
      </c>
      <c r="BQ131" s="17" t="n">
        <f aca="false">SQRT(($B131-BQ$8)^2+($C131-BQ$9)^2+($D131-BQ$10)^2)</f>
        <v>1.76945175408889</v>
      </c>
      <c r="BR131" s="63" t="n">
        <f aca="false">MATCH(MIN(BP131:BQ131),BP131:BQ131,0)</f>
        <v>2</v>
      </c>
    </row>
    <row r="135" customFormat="false" ht="15" hidden="false" customHeight="false" outlineLevel="0" collapsed="false">
      <c r="A135" s="68" t="s">
        <v>757</v>
      </c>
      <c r="B135" s="69"/>
    </row>
    <row r="136" customFormat="false" ht="15" hidden="false" customHeight="false" outlineLevel="0" collapsed="false">
      <c r="A136" s="48" t="s">
        <v>755</v>
      </c>
    </row>
    <row r="137" customFormat="false" ht="15" hidden="false" customHeight="false" outlineLevel="0" collapsed="false">
      <c r="A137" s="48" t="s">
        <v>714</v>
      </c>
      <c r="B137" s="32" t="s">
        <v>91</v>
      </c>
    </row>
    <row r="138" customFormat="false" ht="15" hidden="false" customHeight="false" outlineLevel="0" collapsed="false">
      <c r="A138" s="48" t="s">
        <v>715</v>
      </c>
      <c r="B138" s="32" t="s">
        <v>691</v>
      </c>
      <c r="L138" s="68" t="s">
        <v>718</v>
      </c>
      <c r="M138" s="69"/>
      <c r="N138" s="69"/>
      <c r="O138" s="69"/>
      <c r="X138" s="68" t="s">
        <v>719</v>
      </c>
      <c r="Y138" s="69"/>
      <c r="Z138" s="69"/>
      <c r="AA138" s="69"/>
      <c r="AD138" s="68" t="s">
        <v>720</v>
      </c>
      <c r="AE138" s="69"/>
      <c r="AF138" s="69"/>
      <c r="AG138" s="69"/>
      <c r="AJ138" s="68" t="s">
        <v>721</v>
      </c>
      <c r="AK138" s="69"/>
      <c r="AL138" s="69"/>
      <c r="AM138" s="69"/>
      <c r="AP138" s="68" t="s">
        <v>722</v>
      </c>
      <c r="AQ138" s="69"/>
      <c r="AR138" s="69"/>
      <c r="AS138" s="69"/>
      <c r="AV138" s="68" t="s">
        <v>723</v>
      </c>
      <c r="AW138" s="69"/>
      <c r="AX138" s="69"/>
      <c r="AY138" s="69"/>
      <c r="BB138" s="68" t="s">
        <v>724</v>
      </c>
      <c r="BC138" s="69"/>
      <c r="BD138" s="69"/>
      <c r="BE138" s="69"/>
      <c r="BH138" s="68" t="s">
        <v>725</v>
      </c>
      <c r="BI138" s="69"/>
      <c r="BJ138" s="69"/>
      <c r="BK138" s="69"/>
      <c r="BN138" s="68" t="s">
        <v>726</v>
      </c>
      <c r="BO138" s="69"/>
      <c r="BP138" s="69"/>
      <c r="BQ138" s="69"/>
      <c r="BT138" s="68" t="s">
        <v>727</v>
      </c>
      <c r="BU138" s="69"/>
      <c r="BV138" s="69"/>
      <c r="BW138" s="69"/>
      <c r="BZ138" s="68" t="s">
        <v>728</v>
      </c>
      <c r="CA138" s="69"/>
      <c r="CB138" s="69"/>
      <c r="CC138" s="69"/>
      <c r="CF138" s="68" t="s">
        <v>729</v>
      </c>
      <c r="CG138" s="69"/>
      <c r="CH138" s="69"/>
      <c r="CI138" s="69"/>
      <c r="CL138" s="68" t="s">
        <v>730</v>
      </c>
      <c r="CM138" s="69"/>
      <c r="CN138" s="69"/>
      <c r="CO138" s="69"/>
    </row>
    <row r="139" customFormat="false" ht="15" hidden="false" customHeight="false" outlineLevel="0" collapsed="false">
      <c r="A139" s="48" t="s">
        <v>716</v>
      </c>
      <c r="B139" s="32" t="s">
        <v>104</v>
      </c>
      <c r="K139" s="40" t="s">
        <v>701</v>
      </c>
      <c r="L139" s="17" t="n">
        <f aca="false">IFERROR(AVERAGEIF($E$146:$E$262,1,$B$146:$B$262),0)</f>
        <v>2.48318370447707</v>
      </c>
      <c r="M139" s="17" t="n">
        <f aca="false">IFERROR(AVERAGEIF($E$146:$E$262,2,$B$146:$B$262),0)</f>
        <v>-1.27797628168734</v>
      </c>
      <c r="N139" s="17" t="n">
        <f aca="false">IFERROR(AVERAGEIF($E$146:$E$262,3,$B$146:$B$262),0)</f>
        <v>0.631236534407852</v>
      </c>
      <c r="O139" s="17" t="n">
        <f aca="false">IFERROR(AVERAGEIF($E$146:$E$262,4,$B$146:$B$262),0)</f>
        <v>-0.128682590974885</v>
      </c>
      <c r="W139" s="40" t="s">
        <v>701</v>
      </c>
      <c r="X139" s="17" t="n">
        <f aca="false">INDEX($B$146:$B$262,MATCH($B$137,$A$146:$A$262,0))</f>
        <v>3.2743087782752</v>
      </c>
      <c r="Y139" s="17" t="n">
        <f aca="false">INDEX($B$146:$B$262,MATCH($B$138,$A$146:$A$262,0))</f>
        <v>-2.07973798180332</v>
      </c>
      <c r="Z139" s="17" t="n">
        <f aca="false">INDEX($B$146:$B$262,MATCH($B$139,$A$146:$A$262,0))</f>
        <v>1.03733687213202</v>
      </c>
      <c r="AA139" s="17" t="n">
        <f aca="false">INDEX($B$146:$B$262,MATCH($B$140,$A$146:$A$262,0))</f>
        <v>0.645673058648075</v>
      </c>
      <c r="AD139" s="17" t="n">
        <f aca="false">IFERROR(AVERAGEIF($AB$146:$AB$262,1,$B$146:$B$262),X139)</f>
        <v>2.80855647743378</v>
      </c>
      <c r="AE139" s="17" t="n">
        <f aca="false">IFERROR(AVERAGEIF($AB$146:$AB$262,2,$B$146:$B$262),Y139)</f>
        <v>-1.24101079528169</v>
      </c>
      <c r="AF139" s="17" t="n">
        <f aca="false">IFERROR(AVERAGEIF($AB$146:$AB$262,3,$B$146:$B$262),Z139)</f>
        <v>0.607646890119952</v>
      </c>
      <c r="AG139" s="17" t="n">
        <f aca="false">IFERROR(AVERAGEIF($AB$146:$AB$262,4,$B$146:$B$262),AA139)</f>
        <v>-0.0622557123096603</v>
      </c>
      <c r="AJ139" s="17" t="n">
        <f aca="false">IFERROR(AVERAGEIF($AH$146:$AH$262,1,$B$146:$B$262),AD139)</f>
        <v>2.68106995204359</v>
      </c>
      <c r="AK139" s="17" t="n">
        <f aca="false">IFERROR(AVERAGEIF($AH$146:$AH$262,2,$B$146:$B$262),AE139)</f>
        <v>-1.23227426681111</v>
      </c>
      <c r="AL139" s="17" t="n">
        <f aca="false">IFERROR(AVERAGEIF($AH$146:$AH$262,3,$B$146:$B$262),AF139)</f>
        <v>0.653934322098289</v>
      </c>
      <c r="AM139" s="17" t="n">
        <f aca="false">IFERROR(AVERAGEIF($AH$146:$AH$262,4,$B$146:$B$262),AG139)</f>
        <v>-0.0815472723748225</v>
      </c>
      <c r="AP139" s="17" t="n">
        <f aca="false">IFERROR(AVERAGEIF($AN$146:$AN$262,1,$B$146:$B$262),AJ139)</f>
        <v>2.48318370447707</v>
      </c>
      <c r="AQ139" s="17" t="n">
        <f aca="false">IFERROR(AVERAGEIF($AN$146:$AN$262,2,$B$146:$B$262),AK139)</f>
        <v>-1.27797628168734</v>
      </c>
      <c r="AR139" s="17" t="n">
        <f aca="false">IFERROR(AVERAGEIF($AN$146:$AN$262,3,$B$146:$B$262),AL139)</f>
        <v>0.631236534407852</v>
      </c>
      <c r="AS139" s="17" t="n">
        <f aca="false">IFERROR(AVERAGEIF($AN$146:$AN$262,4,$B$146:$B$262),AM139)</f>
        <v>-0.128682590974885</v>
      </c>
      <c r="AV139" s="17" t="n">
        <f aca="false">IFERROR(AVERAGEIF($AT$146:$AT$262,1,$B$146:$B$262),AP139)</f>
        <v>2.48318370447707</v>
      </c>
      <c r="AW139" s="17" t="n">
        <f aca="false">IFERROR(AVERAGEIF($AT$146:$AT$262,2,$B$146:$B$262),AQ139)</f>
        <v>-1.27797628168734</v>
      </c>
      <c r="AX139" s="17" t="n">
        <f aca="false">IFERROR(AVERAGEIF($AT$146:$AT$262,3,$B$146:$B$262),AR139)</f>
        <v>0.631236534407852</v>
      </c>
      <c r="AY139" s="17" t="n">
        <f aca="false">IFERROR(AVERAGEIF($AT$146:$AT$262,4,$B$146:$B$262),AS139)</f>
        <v>-0.128682590974885</v>
      </c>
      <c r="BB139" s="17" t="n">
        <f aca="false">IFERROR(AVERAGEIF($AZ$146:$AZ$262,1,$B$146:$B$262),AV139)</f>
        <v>2.48318370447707</v>
      </c>
      <c r="BC139" s="17" t="n">
        <f aca="false">IFERROR(AVERAGEIF($AZ$146:$AZ$262,2,$B$146:$B$262),AW139)</f>
        <v>-1.27797628168734</v>
      </c>
      <c r="BD139" s="17" t="n">
        <f aca="false">IFERROR(AVERAGEIF($AZ$146:$AZ$262,3,$B$146:$B$262),AX139)</f>
        <v>0.631236534407852</v>
      </c>
      <c r="BE139" s="17" t="n">
        <f aca="false">IFERROR(AVERAGEIF($AZ$146:$AZ$262,4,$B$146:$B$262),AY139)</f>
        <v>-0.128682590974885</v>
      </c>
      <c r="BH139" s="17" t="n">
        <f aca="false">IFERROR(AVERAGEIF($BF$146:$BF$262,1,$B$146:$B$262),BB139)</f>
        <v>2.48318370447707</v>
      </c>
      <c r="BI139" s="17" t="n">
        <f aca="false">IFERROR(AVERAGEIF($BF$146:$BF$262,2,$B$146:$B$262),BC139)</f>
        <v>-1.27797628168734</v>
      </c>
      <c r="BJ139" s="17" t="n">
        <f aca="false">IFERROR(AVERAGEIF($BF$146:$BF$262,3,$B$146:$B$262),BD139)</f>
        <v>0.631236534407852</v>
      </c>
      <c r="BK139" s="17" t="n">
        <f aca="false">IFERROR(AVERAGEIF($BF$146:$BF$262,4,$B$146:$B$262),BE139)</f>
        <v>-0.128682590974885</v>
      </c>
      <c r="BN139" s="17" t="n">
        <f aca="false">IFERROR(AVERAGEIF($BL$146:$BL$262,1,$B$146:$B$262),BH139)</f>
        <v>2.48318370447707</v>
      </c>
      <c r="BO139" s="17" t="n">
        <f aca="false">IFERROR(AVERAGEIF($BL$146:$BL$262,2,$B$146:$B$262),BI139)</f>
        <v>-1.27797628168734</v>
      </c>
      <c r="BP139" s="17" t="n">
        <f aca="false">IFERROR(AVERAGEIF($BL$146:$BL$262,3,$B$146:$B$262),BJ139)</f>
        <v>0.631236534407852</v>
      </c>
      <c r="BQ139" s="17" t="n">
        <f aca="false">IFERROR(AVERAGEIF($BL$146:$BL$262,4,$B$146:$B$262),BK139)</f>
        <v>-0.128682590974885</v>
      </c>
      <c r="BT139" s="17" t="n">
        <f aca="false">IFERROR(AVERAGEIF($BR$146:$BR$262,1,$B$146:$B$262),BN139)</f>
        <v>2.48318370447707</v>
      </c>
      <c r="BU139" s="17" t="n">
        <f aca="false">IFERROR(AVERAGEIF($BR$146:$BR$262,2,$B$146:$B$262),BO139)</f>
        <v>-1.27797628168734</v>
      </c>
      <c r="BV139" s="17" t="n">
        <f aca="false">IFERROR(AVERAGEIF($BR$146:$BR$262,3,$B$146:$B$262),BP139)</f>
        <v>0.631236534407852</v>
      </c>
      <c r="BW139" s="17" t="n">
        <f aca="false">IFERROR(AVERAGEIF($BR$146:$BR$262,4,$B$146:$B$262),BQ139)</f>
        <v>-0.128682590974885</v>
      </c>
      <c r="BZ139" s="17" t="n">
        <f aca="false">IFERROR(AVERAGEIF($BX$146:$BX$262,1,$B$146:$B$262),BT139)</f>
        <v>2.48318370447707</v>
      </c>
      <c r="CA139" s="17" t="n">
        <f aca="false">IFERROR(AVERAGEIF($BX$146:$BX$262,2,$B$146:$B$262),BU139)</f>
        <v>-1.27797628168734</v>
      </c>
      <c r="CB139" s="17" t="n">
        <f aca="false">IFERROR(AVERAGEIF($BX$146:$BX$262,3,$B$146:$B$262),BV139)</f>
        <v>0.631236534407852</v>
      </c>
      <c r="CC139" s="17" t="n">
        <f aca="false">IFERROR(AVERAGEIF($BX$146:$BX$262,4,$B$146:$B$262),BW139)</f>
        <v>-0.128682590974885</v>
      </c>
      <c r="CF139" s="17" t="n">
        <f aca="false">IFERROR(AVERAGEIF($CD$146:$CD$262,1,$B$146:$B$262),BZ139)</f>
        <v>2.48318370447707</v>
      </c>
      <c r="CG139" s="17" t="n">
        <f aca="false">IFERROR(AVERAGEIF($CD$146:$CD$262,2,$B$146:$B$262),CA139)</f>
        <v>-1.27797628168734</v>
      </c>
      <c r="CH139" s="17" t="n">
        <f aca="false">IFERROR(AVERAGEIF($CD$146:$CD$262,3,$B$146:$B$262),CB139)</f>
        <v>0.631236534407852</v>
      </c>
      <c r="CI139" s="17" t="n">
        <f aca="false">IFERROR(AVERAGEIF($CD$146:$CD$262,4,$B$146:$B$262),CC139)</f>
        <v>-0.128682590974885</v>
      </c>
      <c r="CL139" s="17" t="n">
        <f aca="false">IFERROR(AVERAGEIF($CJ$146:$CJ$262,1,$B$146:$B$262),CF139)</f>
        <v>2.48318370447707</v>
      </c>
      <c r="CM139" s="17" t="n">
        <f aca="false">IFERROR(AVERAGEIF($CJ$146:$CJ$262,2,$B$146:$B$262),CG139)</f>
        <v>-1.27797628168734</v>
      </c>
      <c r="CN139" s="17" t="n">
        <f aca="false">IFERROR(AVERAGEIF($CJ$146:$CJ$262,3,$B$146:$B$262),CH139)</f>
        <v>0.631236534407852</v>
      </c>
      <c r="CO139" s="17" t="n">
        <f aca="false">IFERROR(AVERAGEIF($CJ$146:$CJ$262,4,$B$146:$B$262),CI139)</f>
        <v>-0.128682590974885</v>
      </c>
    </row>
    <row r="140" customFormat="false" ht="15" hidden="false" customHeight="false" outlineLevel="0" collapsed="false">
      <c r="A140" s="48" t="s">
        <v>758</v>
      </c>
      <c r="B140" s="32" t="s">
        <v>602</v>
      </c>
      <c r="K140" s="40" t="s">
        <v>702</v>
      </c>
      <c r="L140" s="17" t="n">
        <f aca="false">IFERROR(AVERAGEIF($E$146:$E$262,1,$C$146:$C$262),0)</f>
        <v>3.05804629568506</v>
      </c>
      <c r="M140" s="17" t="n">
        <f aca="false">IFERROR(AVERAGEIF($E$146:$E$262,2,$C$146:$C$262),0)</f>
        <v>-0.651623848929924</v>
      </c>
      <c r="N140" s="17" t="n">
        <f aca="false">IFERROR(AVERAGEIF($E$146:$E$262,3,$C$146:$C$262),0)</f>
        <v>0.617257727837335</v>
      </c>
      <c r="O140" s="17" t="n">
        <f aca="false">IFERROR(AVERAGEIF($E$146:$E$262,4,$C$146:$C$262),0)</f>
        <v>-0.508086071037626</v>
      </c>
      <c r="W140" s="40" t="s">
        <v>702</v>
      </c>
      <c r="X140" s="17" t="n">
        <f aca="false">INDEX($C$146:$C$262,MATCH($B$137,$A$146:$A$262,0))</f>
        <v>4.03885179691129</v>
      </c>
      <c r="Y140" s="17" t="n">
        <f aca="false">INDEX($C$146:$C$262,MATCH($B$138,$A$146:$A$262,0))</f>
        <v>-0.672650545388274</v>
      </c>
      <c r="Z140" s="17" t="n">
        <f aca="false">INDEX($C$146:$C$262,MATCH($B$139,$A$146:$A$262,0))</f>
        <v>0.378684277529216</v>
      </c>
      <c r="AA140" s="17" t="n">
        <f aca="false">INDEX($C$146:$C$262,MATCH($B$140,$A$146:$A$262,0))</f>
        <v>-0.146983133929529</v>
      </c>
      <c r="AD140" s="17" t="n">
        <f aca="false">IFERROR(AVERAGEIF($AB$146:$AB$262,1,$C$146:$C$262),X140)</f>
        <v>3.5128956208973</v>
      </c>
      <c r="AE140" s="17" t="n">
        <f aca="false">IFERROR(AVERAGEIF($AB$146:$AB$262,2,$C$146:$C$262),Y140)</f>
        <v>-0.653876709264748</v>
      </c>
      <c r="AF140" s="17" t="n">
        <f aca="false">IFERROR(AVERAGEIF($AB$146:$AB$262,3,$C$146:$C$262),Z140)</f>
        <v>0.576769054467277</v>
      </c>
      <c r="AG140" s="17" t="n">
        <f aca="false">IFERROR(AVERAGEIF($AB$146:$AB$262,4,$C$146:$C$262),AA140)</f>
        <v>-0.489145332530219</v>
      </c>
      <c r="AJ140" s="17" t="n">
        <f aca="false">IFERROR(AVERAGEIF($AH$146:$AH$262,1,$C$146:$C$262),AD140)</f>
        <v>3.22347436080523</v>
      </c>
      <c r="AK140" s="17" t="n">
        <f aca="false">IFERROR(AVERAGEIF($AH$146:$AH$262,2,$C$146:$C$262),AE140)</f>
        <v>-0.653876709264748</v>
      </c>
      <c r="AL140" s="17" t="n">
        <f aca="false">IFERROR(AVERAGEIF($AH$146:$AH$262,3,$C$146:$C$262),AF140)</f>
        <v>0.659722155264884</v>
      </c>
      <c r="AM140" s="17" t="n">
        <f aca="false">IFERROR(AVERAGEIF($AH$146:$AH$262,4,$C$146:$C$262),AG140)</f>
        <v>-0.497353605319105</v>
      </c>
      <c r="AP140" s="17" t="n">
        <f aca="false">IFERROR(AVERAGEIF($AN$146:$AN$262,1,$C$146:$C$262),AJ140)</f>
        <v>3.05804629568506</v>
      </c>
      <c r="AQ140" s="17" t="n">
        <f aca="false">IFERROR(AVERAGEIF($AN$146:$AN$262,2,$C$146:$C$262),AK140)</f>
        <v>-0.651623848929924</v>
      </c>
      <c r="AR140" s="17" t="n">
        <f aca="false">IFERROR(AVERAGEIF($AN$146:$AN$262,3,$C$146:$C$262),AL140)</f>
        <v>0.617257727837335</v>
      </c>
      <c r="AS140" s="17" t="n">
        <f aca="false">IFERROR(AVERAGEIF($AN$146:$AN$262,4,$C$146:$C$262),AM140)</f>
        <v>-0.508086071037626</v>
      </c>
      <c r="AV140" s="17" t="n">
        <f aca="false">IFERROR(AVERAGEIF($AT$146:$AT$262,1,$C$146:$C$262),AP140)</f>
        <v>3.05804629568506</v>
      </c>
      <c r="AW140" s="17" t="n">
        <f aca="false">IFERROR(AVERAGEIF($AT$146:$AT$262,2,$C$146:$C$262),AQ140)</f>
        <v>-0.651623848929924</v>
      </c>
      <c r="AX140" s="17" t="n">
        <f aca="false">IFERROR(AVERAGEIF($AT$146:$AT$262,3,$C$146:$C$262),AR140)</f>
        <v>0.617257727837335</v>
      </c>
      <c r="AY140" s="17" t="n">
        <f aca="false">IFERROR(AVERAGEIF($AT$146:$AT$262,4,$C$146:$C$262),AS140)</f>
        <v>-0.508086071037626</v>
      </c>
      <c r="BB140" s="17" t="n">
        <f aca="false">IFERROR(AVERAGEIF($AZ$146:$AZ$262,1,$C$146:$C$262),AV140)</f>
        <v>3.05804629568506</v>
      </c>
      <c r="BC140" s="17" t="n">
        <f aca="false">IFERROR(AVERAGEIF($AZ$146:$AZ$262,2,$C$146:$C$262),AW140)</f>
        <v>-0.651623848929924</v>
      </c>
      <c r="BD140" s="17" t="n">
        <f aca="false">IFERROR(AVERAGEIF($AZ$146:$AZ$262,3,$C$146:$C$262),AX140)</f>
        <v>0.617257727837335</v>
      </c>
      <c r="BE140" s="17" t="n">
        <f aca="false">IFERROR(AVERAGEIF($AZ$146:$AZ$262,4,$C$146:$C$262),AY140)</f>
        <v>-0.508086071037626</v>
      </c>
      <c r="BH140" s="17" t="n">
        <f aca="false">IFERROR(AVERAGEIF($BF$146:$BF$262,1,$C$146:$C$262),BB140)</f>
        <v>3.05804629568506</v>
      </c>
      <c r="BI140" s="17" t="n">
        <f aca="false">IFERROR(AVERAGEIF($BF$146:$BF$262,2,$C$146:$C$262),BC140)</f>
        <v>-0.651623848929924</v>
      </c>
      <c r="BJ140" s="17" t="n">
        <f aca="false">IFERROR(AVERAGEIF($BF$146:$BF$262,3,$C$146:$C$262),BD140)</f>
        <v>0.617257727837335</v>
      </c>
      <c r="BK140" s="17" t="n">
        <f aca="false">IFERROR(AVERAGEIF($BF$146:$BF$262,4,$C$146:$C$262),BE140)</f>
        <v>-0.508086071037626</v>
      </c>
      <c r="BN140" s="17" t="n">
        <f aca="false">IFERROR(AVERAGEIF($BL$146:$BL$262,1,$C$146:$C$262),BH140)</f>
        <v>3.05804629568506</v>
      </c>
      <c r="BO140" s="17" t="n">
        <f aca="false">IFERROR(AVERAGEIF($BL$146:$BL$262,2,$C$146:$C$262),BI140)</f>
        <v>-0.651623848929924</v>
      </c>
      <c r="BP140" s="17" t="n">
        <f aca="false">IFERROR(AVERAGEIF($BL$146:$BL$262,3,$C$146:$C$262),BJ140)</f>
        <v>0.617257727837335</v>
      </c>
      <c r="BQ140" s="17" t="n">
        <f aca="false">IFERROR(AVERAGEIF($BL$146:$BL$262,4,$C$146:$C$262),BK140)</f>
        <v>-0.508086071037626</v>
      </c>
      <c r="BT140" s="17" t="n">
        <f aca="false">IFERROR(AVERAGEIF($BR$146:$BR$262,1,$C$146:$C$262),BN140)</f>
        <v>3.05804629568506</v>
      </c>
      <c r="BU140" s="17" t="n">
        <f aca="false">IFERROR(AVERAGEIF($BR$146:$BR$262,2,$C$146:$C$262),BO140)</f>
        <v>-0.651623848929924</v>
      </c>
      <c r="BV140" s="17" t="n">
        <f aca="false">IFERROR(AVERAGEIF($BR$146:$BR$262,3,$C$146:$C$262),BP140)</f>
        <v>0.617257727837335</v>
      </c>
      <c r="BW140" s="17" t="n">
        <f aca="false">IFERROR(AVERAGEIF($BR$146:$BR$262,4,$C$146:$C$262),BQ140)</f>
        <v>-0.508086071037626</v>
      </c>
      <c r="BZ140" s="17" t="n">
        <f aca="false">IFERROR(AVERAGEIF($BX$146:$BX$262,1,$C$146:$C$262),BT140)</f>
        <v>3.05804629568506</v>
      </c>
      <c r="CA140" s="17" t="n">
        <f aca="false">IFERROR(AVERAGEIF($BX$146:$BX$262,2,$C$146:$C$262),BU140)</f>
        <v>-0.651623848929924</v>
      </c>
      <c r="CB140" s="17" t="n">
        <f aca="false">IFERROR(AVERAGEIF($BX$146:$BX$262,3,$C$146:$C$262),BV140)</f>
        <v>0.617257727837335</v>
      </c>
      <c r="CC140" s="17" t="n">
        <f aca="false">IFERROR(AVERAGEIF($BX$146:$BX$262,4,$C$146:$C$262),BW140)</f>
        <v>-0.508086071037626</v>
      </c>
      <c r="CF140" s="17" t="n">
        <f aca="false">IFERROR(AVERAGEIF($CD$146:$CD$262,1,$C$146:$C$262),BZ140)</f>
        <v>3.05804629568506</v>
      </c>
      <c r="CG140" s="17" t="n">
        <f aca="false">IFERROR(AVERAGEIF($CD$146:$CD$262,2,$C$146:$C$262),CA140)</f>
        <v>-0.651623848929924</v>
      </c>
      <c r="CH140" s="17" t="n">
        <f aca="false">IFERROR(AVERAGEIF($CD$146:$CD$262,3,$C$146:$C$262),CB140)</f>
        <v>0.617257727837335</v>
      </c>
      <c r="CI140" s="17" t="n">
        <f aca="false">IFERROR(AVERAGEIF($CD$146:$CD$262,4,$C$146:$C$262),CC140)</f>
        <v>-0.508086071037626</v>
      </c>
      <c r="CL140" s="17" t="n">
        <f aca="false">IFERROR(AVERAGEIF($CJ$146:$CJ$262,1,$C$146:$C$262),CF140)</f>
        <v>3.05804629568506</v>
      </c>
      <c r="CM140" s="17" t="n">
        <f aca="false">IFERROR(AVERAGEIF($CJ$146:$CJ$262,2,$C$146:$C$262),CG140)</f>
        <v>-0.651623848929924</v>
      </c>
      <c r="CN140" s="17" t="n">
        <f aca="false">IFERROR(AVERAGEIF($CJ$146:$CJ$262,3,$C$146:$C$262),CH140)</f>
        <v>0.617257727837335</v>
      </c>
      <c r="CO140" s="17" t="n">
        <f aca="false">IFERROR(AVERAGEIF($CJ$146:$CJ$262,4,$C$146:$C$262),CI140)</f>
        <v>-0.508086071037626</v>
      </c>
    </row>
    <row r="141" customFormat="false" ht="15" hidden="false" customHeight="false" outlineLevel="0" collapsed="false">
      <c r="K141" s="40" t="s">
        <v>703</v>
      </c>
      <c r="L141" s="17" t="n">
        <f aca="false">IFERROR(AVERAGEIF($E$146:$E$262,1,$D$146:$D$262),0)</f>
        <v>2.18090943726866</v>
      </c>
      <c r="M141" s="17" t="n">
        <f aca="false">IFERROR(AVERAGEIF($E$146:$E$262,2,$D$146:$D$262),0)</f>
        <v>-1.07388894248431</v>
      </c>
      <c r="N141" s="17" t="n">
        <f aca="false">IFERROR(AVERAGEIF($E$146:$E$262,3,$D$146:$D$262),0)</f>
        <v>0.868662553084542</v>
      </c>
      <c r="O141" s="17" t="n">
        <f aca="false">IFERROR(AVERAGEIF($E$146:$E$262,4,$D$146:$D$262),0)</f>
        <v>-0.375076480114945</v>
      </c>
      <c r="W141" s="40" t="s">
        <v>703</v>
      </c>
      <c r="X141" s="17" t="n">
        <f aca="false">INDEX($D$146:$D$262,MATCH($B$137,$A$146:$A$262,0))</f>
        <v>3.25271285960204</v>
      </c>
      <c r="Y141" s="17" t="n">
        <f aca="false">INDEX($D$146:$D$262,MATCH($B$138,$A$146:$A$262,0))</f>
        <v>-1.14564411633355</v>
      </c>
      <c r="Z141" s="17" t="n">
        <f aca="false">INDEX($D$146:$D$262,MATCH($B$139,$A$146:$A$262,0))</f>
        <v>1.47040463995458</v>
      </c>
      <c r="AA141" s="17" t="n">
        <f aca="false">INDEX($D$146:$D$262,MATCH($B$140,$A$146:$A$262,0))</f>
        <v>-1.14564411633355</v>
      </c>
      <c r="AD141" s="17" t="n">
        <f aca="false">IFERROR(AVERAGEIF($AB$146:$AB$262,1,$D$146:$D$262),X141)</f>
        <v>2.48637593872725</v>
      </c>
      <c r="AE141" s="17" t="n">
        <f aca="false">IFERROR(AVERAGEIF($AB$146:$AB$262,2,$D$146:$D$262),Y141)</f>
        <v>-0.935218039127288</v>
      </c>
      <c r="AF141" s="17" t="n">
        <f aca="false">IFERROR(AVERAGEIF($AB$146:$AB$262,3,$D$146:$D$262),Z141)</f>
        <v>0.879706654032593</v>
      </c>
      <c r="AG141" s="17" t="n">
        <f aca="false">IFERROR(AVERAGEIF($AB$146:$AB$262,4,$D$146:$D$262),AA141)</f>
        <v>-0.513971066255868</v>
      </c>
      <c r="AJ141" s="17" t="n">
        <f aca="false">IFERROR(AVERAGEIF($AH$146:$AH$262,1,$D$146:$D$262),AD141)</f>
        <v>2.32840410370101</v>
      </c>
      <c r="AK141" s="17" t="n">
        <f aca="false">IFERROR(AVERAGEIF($AH$146:$AH$262,2,$D$146:$D$262),AE141)</f>
        <v>-0.985603896723829</v>
      </c>
      <c r="AL141" s="17" t="n">
        <f aca="false">IFERROR(AVERAGEIF($AH$146:$AH$262,3,$D$146:$D$262),AF141)</f>
        <v>0.883788172874604</v>
      </c>
      <c r="AM141" s="17" t="n">
        <f aca="false">IFERROR(AVERAGEIF($AH$146:$AH$262,4,$D$146:$D$262),AG141)</f>
        <v>-0.383240477814626</v>
      </c>
      <c r="AP141" s="17" t="n">
        <f aca="false">IFERROR(AVERAGEIF($AN$146:$AN$262,1,$D$146:$D$262),AJ141)</f>
        <v>2.18090943726866</v>
      </c>
      <c r="AQ141" s="17" t="n">
        <f aca="false">IFERROR(AVERAGEIF($AN$146:$AN$262,2,$D$146:$D$262),AK141)</f>
        <v>-1.07388894248431</v>
      </c>
      <c r="AR141" s="17" t="n">
        <f aca="false">IFERROR(AVERAGEIF($AN$146:$AN$262,3,$D$146:$D$262),AL141)</f>
        <v>0.868662553084542</v>
      </c>
      <c r="AS141" s="17" t="n">
        <f aca="false">IFERROR(AVERAGEIF($AN$146:$AN$262,4,$D$146:$D$262),AM141)</f>
        <v>-0.375076480114945</v>
      </c>
      <c r="AV141" s="17" t="n">
        <f aca="false">IFERROR(AVERAGEIF($AT$146:$AT$262,1,$D$146:$D$262),AP141)</f>
        <v>2.18090943726866</v>
      </c>
      <c r="AW141" s="17" t="n">
        <f aca="false">IFERROR(AVERAGEIF($AT$146:$AT$262,2,$D$146:$D$262),AQ141)</f>
        <v>-1.07388894248431</v>
      </c>
      <c r="AX141" s="17" t="n">
        <f aca="false">IFERROR(AVERAGEIF($AT$146:$AT$262,3,$D$146:$D$262),AR141)</f>
        <v>0.868662553084542</v>
      </c>
      <c r="AY141" s="17" t="n">
        <f aca="false">IFERROR(AVERAGEIF($AT$146:$AT$262,4,$D$146:$D$262),AS141)</f>
        <v>-0.375076480114945</v>
      </c>
      <c r="BB141" s="17" t="n">
        <f aca="false">IFERROR(AVERAGEIF($AZ$146:$AZ$262,1,$D$146:$D$262),AV141)</f>
        <v>2.18090943726866</v>
      </c>
      <c r="BC141" s="17" t="n">
        <f aca="false">IFERROR(AVERAGEIF($AZ$146:$AZ$262,2,$D$146:$D$262),AW141)</f>
        <v>-1.07388894248431</v>
      </c>
      <c r="BD141" s="17" t="n">
        <f aca="false">IFERROR(AVERAGEIF($AZ$146:$AZ$262,3,$D$146:$D$262),AX141)</f>
        <v>0.868662553084542</v>
      </c>
      <c r="BE141" s="17" t="n">
        <f aca="false">IFERROR(AVERAGEIF($AZ$146:$AZ$262,4,$D$146:$D$262),AY141)</f>
        <v>-0.375076480114945</v>
      </c>
      <c r="BH141" s="17" t="n">
        <f aca="false">IFERROR(AVERAGEIF($BF$146:$BF$262,1,$D$146:$D$262),BB141)</f>
        <v>2.18090943726866</v>
      </c>
      <c r="BI141" s="17" t="n">
        <f aca="false">IFERROR(AVERAGEIF($BF$146:$BF$262,2,$D$146:$D$262),BC141)</f>
        <v>-1.07388894248431</v>
      </c>
      <c r="BJ141" s="17" t="n">
        <f aca="false">IFERROR(AVERAGEIF($BF$146:$BF$262,3,$D$146:$D$262),BD141)</f>
        <v>0.868662553084542</v>
      </c>
      <c r="BK141" s="17" t="n">
        <f aca="false">IFERROR(AVERAGEIF($BF$146:$BF$262,4,$D$146:$D$262),BE141)</f>
        <v>-0.375076480114945</v>
      </c>
      <c r="BN141" s="17" t="n">
        <f aca="false">IFERROR(AVERAGEIF($BL$146:$BL$262,1,$D$146:$D$262),BH141)</f>
        <v>2.18090943726866</v>
      </c>
      <c r="BO141" s="17" t="n">
        <f aca="false">IFERROR(AVERAGEIF($BL$146:$BL$262,2,$D$146:$D$262),BI141)</f>
        <v>-1.07388894248431</v>
      </c>
      <c r="BP141" s="17" t="n">
        <f aca="false">IFERROR(AVERAGEIF($BL$146:$BL$262,3,$D$146:$D$262),BJ141)</f>
        <v>0.868662553084542</v>
      </c>
      <c r="BQ141" s="17" t="n">
        <f aca="false">IFERROR(AVERAGEIF($BL$146:$BL$262,4,$D$146:$D$262),BK141)</f>
        <v>-0.375076480114945</v>
      </c>
      <c r="BT141" s="17" t="n">
        <f aca="false">IFERROR(AVERAGEIF($BR$146:$BR$262,1,$D$146:$D$262),BN141)</f>
        <v>2.18090943726866</v>
      </c>
      <c r="BU141" s="17" t="n">
        <f aca="false">IFERROR(AVERAGEIF($BR$146:$BR$262,2,$D$146:$D$262),BO141)</f>
        <v>-1.07388894248431</v>
      </c>
      <c r="BV141" s="17" t="n">
        <f aca="false">IFERROR(AVERAGEIF($BR$146:$BR$262,3,$D$146:$D$262),BP141)</f>
        <v>0.868662553084542</v>
      </c>
      <c r="BW141" s="17" t="n">
        <f aca="false">IFERROR(AVERAGEIF($BR$146:$BR$262,4,$D$146:$D$262),BQ141)</f>
        <v>-0.375076480114945</v>
      </c>
      <c r="BZ141" s="17" t="n">
        <f aca="false">IFERROR(AVERAGEIF($BX$146:$BX$262,1,$D$146:$D$262),BT141)</f>
        <v>2.18090943726866</v>
      </c>
      <c r="CA141" s="17" t="n">
        <f aca="false">IFERROR(AVERAGEIF($BX$146:$BX$262,2,$D$146:$D$262),BU141)</f>
        <v>-1.07388894248431</v>
      </c>
      <c r="CB141" s="17" t="n">
        <f aca="false">IFERROR(AVERAGEIF($BX$146:$BX$262,3,$D$146:$D$262),BV141)</f>
        <v>0.868662553084542</v>
      </c>
      <c r="CC141" s="17" t="n">
        <f aca="false">IFERROR(AVERAGEIF($BX$146:$BX$262,4,$D$146:$D$262),BW141)</f>
        <v>-0.375076480114945</v>
      </c>
      <c r="CF141" s="17" t="n">
        <f aca="false">IFERROR(AVERAGEIF($CD$146:$CD$262,1,$D$146:$D$262),BZ141)</f>
        <v>2.18090943726866</v>
      </c>
      <c r="CG141" s="17" t="n">
        <f aca="false">IFERROR(AVERAGEIF($CD$146:$CD$262,2,$D$146:$D$262),CA141)</f>
        <v>-1.07388894248431</v>
      </c>
      <c r="CH141" s="17" t="n">
        <f aca="false">IFERROR(AVERAGEIF($CD$146:$CD$262,3,$D$146:$D$262),CB141)</f>
        <v>0.868662553084542</v>
      </c>
      <c r="CI141" s="17" t="n">
        <f aca="false">IFERROR(AVERAGEIF($CD$146:$CD$262,4,$D$146:$D$262),CC141)</f>
        <v>-0.375076480114945</v>
      </c>
      <c r="CL141" s="17" t="n">
        <f aca="false">IFERROR(AVERAGEIF($CJ$146:$CJ$262,1,$D$146:$D$262),CF141)</f>
        <v>2.18090943726866</v>
      </c>
      <c r="CM141" s="17" t="n">
        <f aca="false">IFERROR(AVERAGEIF($CJ$146:$CJ$262,2,$D$146:$D$262),CG141)</f>
        <v>-1.07388894248431</v>
      </c>
      <c r="CN141" s="17" t="n">
        <f aca="false">IFERROR(AVERAGEIF($CJ$146:$CJ$262,3,$D$146:$D$262),CH141)</f>
        <v>0.868662553084542</v>
      </c>
      <c r="CO141" s="17" t="n">
        <f aca="false">IFERROR(AVERAGEIF($CJ$146:$CJ$262,4,$D$146:$D$262),CI141)</f>
        <v>-0.375076480114945</v>
      </c>
    </row>
    <row r="142" customFormat="false" ht="15" hidden="false" customHeight="false" outlineLevel="0" collapsed="false">
      <c r="K142" s="40" t="s">
        <v>731</v>
      </c>
      <c r="L142" s="15" t="n">
        <f aca="false">COUNTIF($E$146:$E$262,1)</f>
        <v>6</v>
      </c>
      <c r="M142" s="15" t="n">
        <f aca="false">COUNTIF($E$146:$E$262,2)</f>
        <v>25</v>
      </c>
      <c r="N142" s="15" t="n">
        <f aca="false">COUNTIF($E$146:$E$262,3)</f>
        <v>37</v>
      </c>
      <c r="O142" s="15" t="n">
        <f aca="false">COUNTIF($E$146:$E$262,4)</f>
        <v>49</v>
      </c>
      <c r="W142" s="40" t="s">
        <v>731</v>
      </c>
      <c r="X142" s="15" t="n">
        <f aca="false">COUNTIF($AB$146:$AB$262,1)</f>
        <v>4</v>
      </c>
      <c r="Y142" s="15" t="n">
        <f aca="false">COUNTIF($AB$146:$AB$262,2)</f>
        <v>28</v>
      </c>
      <c r="Z142" s="15" t="n">
        <f aca="false">COUNTIF($AB$146:$AB$262,3)</f>
        <v>43</v>
      </c>
      <c r="AA142" s="15" t="n">
        <f aca="false">COUNTIF($AB$146:$AB$262,4)</f>
        <v>42</v>
      </c>
      <c r="AD142" s="15" t="n">
        <f aca="false">COUNTIF($AH$146:$AH$262,1)</f>
        <v>5</v>
      </c>
      <c r="AE142" s="15" t="n">
        <f aca="false">COUNTIF($AH$146:$AH$262,2)</f>
        <v>28</v>
      </c>
      <c r="AF142" s="15" t="n">
        <f aca="false">COUNTIF($AH$146:$AH$262,3)</f>
        <v>38</v>
      </c>
      <c r="AG142" s="15" t="n">
        <f aca="false">COUNTIF($AH$146:$AH$262,4)</f>
        <v>46</v>
      </c>
      <c r="AJ142" s="15" t="n">
        <f aca="false">COUNTIF($AN$146:$AN$262,1)</f>
        <v>6</v>
      </c>
      <c r="AK142" s="15" t="n">
        <f aca="false">COUNTIF($AN$146:$AN$262,2)</f>
        <v>25</v>
      </c>
      <c r="AL142" s="15" t="n">
        <f aca="false">COUNTIF($AN$146:$AN$262,3)</f>
        <v>37</v>
      </c>
      <c r="AM142" s="15" t="n">
        <f aca="false">COUNTIF($AN$146:$AN$262,4)</f>
        <v>49</v>
      </c>
      <c r="AP142" s="15" t="n">
        <f aca="false">COUNTIF($AT$146:$AT$262,1)</f>
        <v>6</v>
      </c>
      <c r="AQ142" s="15" t="n">
        <f aca="false">COUNTIF($AT$146:$AT$262,2)</f>
        <v>25</v>
      </c>
      <c r="AR142" s="15" t="n">
        <f aca="false">COUNTIF($AT$146:$AT$262,3)</f>
        <v>37</v>
      </c>
      <c r="AS142" s="15" t="n">
        <f aca="false">COUNTIF($AT$146:$AT$262,4)</f>
        <v>49</v>
      </c>
      <c r="AV142" s="15" t="n">
        <f aca="false">COUNTIF($AZ$146:$AZ$262,1)</f>
        <v>6</v>
      </c>
      <c r="AW142" s="15" t="n">
        <f aca="false">COUNTIF($AZ$146:$AZ$262,2)</f>
        <v>25</v>
      </c>
      <c r="AX142" s="15" t="n">
        <f aca="false">COUNTIF($AZ$146:$AZ$262,3)</f>
        <v>37</v>
      </c>
      <c r="AY142" s="15" t="n">
        <f aca="false">COUNTIF($AZ$146:$AZ$262,4)</f>
        <v>49</v>
      </c>
      <c r="BB142" s="15" t="n">
        <f aca="false">COUNTIF($BF$146:$BF$262,1)</f>
        <v>6</v>
      </c>
      <c r="BC142" s="15" t="n">
        <f aca="false">COUNTIF($BF$146:$BF$262,2)</f>
        <v>25</v>
      </c>
      <c r="BD142" s="15" t="n">
        <f aca="false">COUNTIF($BF$146:$BF$262,3)</f>
        <v>37</v>
      </c>
      <c r="BE142" s="15" t="n">
        <f aca="false">COUNTIF($BF$146:$BF$262,4)</f>
        <v>49</v>
      </c>
      <c r="BH142" s="15" t="n">
        <f aca="false">COUNTIF($BL$146:$BL$262,1)</f>
        <v>6</v>
      </c>
      <c r="BI142" s="15" t="n">
        <f aca="false">COUNTIF($BL$146:$BL$262,2)</f>
        <v>25</v>
      </c>
      <c r="BJ142" s="15" t="n">
        <f aca="false">COUNTIF($BL$146:$BL$262,3)</f>
        <v>37</v>
      </c>
      <c r="BK142" s="15" t="n">
        <f aca="false">COUNTIF($BL$146:$BL$262,4)</f>
        <v>49</v>
      </c>
      <c r="BN142" s="15" t="n">
        <f aca="false">COUNTIF($BR$146:$BR$262,1)</f>
        <v>6</v>
      </c>
      <c r="BO142" s="15" t="n">
        <f aca="false">COUNTIF($BR$146:$BR$262,2)</f>
        <v>25</v>
      </c>
      <c r="BP142" s="15" t="n">
        <f aca="false">COUNTIF($BR$146:$BR$262,3)</f>
        <v>37</v>
      </c>
      <c r="BQ142" s="15" t="n">
        <f aca="false">COUNTIF($BR$146:$BR$262,4)</f>
        <v>49</v>
      </c>
      <c r="BT142" s="15" t="n">
        <f aca="false">COUNTIF($BX$146:$BX$262,1)</f>
        <v>6</v>
      </c>
      <c r="BU142" s="15" t="n">
        <f aca="false">COUNTIF($BX$146:$BX$262,2)</f>
        <v>25</v>
      </c>
      <c r="BV142" s="15" t="n">
        <f aca="false">COUNTIF($BX$146:$BX$262,3)</f>
        <v>37</v>
      </c>
      <c r="BW142" s="15" t="n">
        <f aca="false">COUNTIF($BX$146:$BX$262,4)</f>
        <v>49</v>
      </c>
      <c r="BZ142" s="15" t="n">
        <f aca="false">COUNTIF($CD$146:$CD$262,1)</f>
        <v>6</v>
      </c>
      <c r="CA142" s="15" t="n">
        <f aca="false">COUNTIF($CD$146:$CD$262,2)</f>
        <v>25</v>
      </c>
      <c r="CB142" s="15" t="n">
        <f aca="false">COUNTIF($CD$146:$CD$262,3)</f>
        <v>37</v>
      </c>
      <c r="CC142" s="15" t="n">
        <f aca="false">COUNTIF($CD$146:$CD$262,4)</f>
        <v>49</v>
      </c>
      <c r="CF142" s="15" t="n">
        <f aca="false">COUNTIF($CJ$146:$CJ$262,1)</f>
        <v>6</v>
      </c>
      <c r="CG142" s="15" t="n">
        <f aca="false">COUNTIF($CJ$146:$CJ$262,2)</f>
        <v>25</v>
      </c>
      <c r="CH142" s="15" t="n">
        <f aca="false">COUNTIF($CJ$146:$CJ$262,3)</f>
        <v>37</v>
      </c>
      <c r="CI142" s="15" t="n">
        <f aca="false">COUNTIF($CJ$146:$CJ$262,4)</f>
        <v>49</v>
      </c>
      <c r="CL142" s="15" t="n">
        <f aca="false">COUNTIF($CP$146:$CP$262,1)</f>
        <v>6</v>
      </c>
      <c r="CM142" s="15" t="n">
        <f aca="false">COUNTIF($CP$146:$CP$262,2)</f>
        <v>25</v>
      </c>
      <c r="CN142" s="15" t="n">
        <f aca="false">COUNTIF($CP$146:$CP$262,3)</f>
        <v>37</v>
      </c>
      <c r="CO142" s="15" t="n">
        <f aca="false">COUNTIF($CP$146:$CP$262,4)</f>
        <v>49</v>
      </c>
    </row>
    <row r="143" customFormat="false" ht="15" hidden="false" customHeight="false" outlineLevel="0" collapsed="false">
      <c r="K143" s="40" t="s">
        <v>732</v>
      </c>
      <c r="L143" s="17" t="n">
        <f aca="false">SUMIF($E$146:$E$262,1,$F$146:$F$262)</f>
        <v>9.50510259121389</v>
      </c>
      <c r="M143" s="17" t="n">
        <f aca="false">SUMIF($E$146:$E$262,2,$F$146:$F$262)</f>
        <v>5.46124177010489</v>
      </c>
      <c r="N143" s="17" t="n">
        <f aca="false">SUMIF($E$146:$E$262,3,$F$146:$F$262)</f>
        <v>23.7786432305763</v>
      </c>
      <c r="O143" s="17" t="n">
        <f aca="false">SUMIF($E$146:$E$262,4,$F$146:$F$262)</f>
        <v>30.2190774192816</v>
      </c>
      <c r="W143" s="40" t="s">
        <v>733</v>
      </c>
      <c r="AB143" s="12" t="s">
        <v>734</v>
      </c>
      <c r="AH143" s="15" t="n">
        <f aca="false">SUMPRODUCT(--($AH$146:$AH$262&lt;&gt;$AB$146:$AB$262))</f>
        <v>9</v>
      </c>
      <c r="AN143" s="15" t="n">
        <f aca="false">SUMPRODUCT(--($AN$146:$AN$262&lt;&gt;$AH$146:$AH$262))</f>
        <v>4</v>
      </c>
      <c r="AT143" s="15" t="n">
        <f aca="false">SUMPRODUCT(--($AT$146:$AT$262&lt;&gt;$AN$146:$AN$262))</f>
        <v>0</v>
      </c>
      <c r="AZ143" s="15" t="n">
        <f aca="false">SUMPRODUCT(--($AZ$146:$AZ$262&lt;&gt;$AT$146:$AT$262))</f>
        <v>0</v>
      </c>
      <c r="BF143" s="15" t="n">
        <f aca="false">SUMPRODUCT(--($BF$146:$BF$262&lt;&gt;$AZ$146:$AZ$262))</f>
        <v>0</v>
      </c>
      <c r="BL143" s="15" t="n">
        <f aca="false">SUMPRODUCT(--($BL$146:$BL$262&lt;&gt;$BF$146:$BF$262))</f>
        <v>0</v>
      </c>
      <c r="BR143" s="15" t="n">
        <f aca="false">SUMPRODUCT(--($BR$146:$BR$262&lt;&gt;$BL$146:$BL$262))</f>
        <v>0</v>
      </c>
      <c r="BX143" s="15" t="n">
        <f aca="false">SUMPRODUCT(--($BX$146:$BX$262&lt;&gt;$BR$146:$BR$262))</f>
        <v>0</v>
      </c>
      <c r="CD143" s="15" t="n">
        <f aca="false">SUMPRODUCT(--($CD$146:$CD$262&lt;&gt;$BX$146:$BX$262))</f>
        <v>0</v>
      </c>
      <c r="CJ143" s="15" t="n">
        <f aca="false">SUMPRODUCT(--($CJ$146:$CJ$262&lt;&gt;$CD$146:$CD$262))</f>
        <v>0</v>
      </c>
      <c r="CP143" s="15" t="n">
        <f aca="false">SUMPRODUCT(--($CP$146:$CP$262&lt;&gt;$CJ$146:$CJ$262))</f>
        <v>0</v>
      </c>
    </row>
    <row r="144" customFormat="false" ht="15" hidden="false" customHeight="false" outlineLevel="0" collapsed="false">
      <c r="K144" s="40" t="s">
        <v>526</v>
      </c>
      <c r="L144" s="70" t="n">
        <f aca="false">SUM($F$146:$F$262)</f>
        <v>68.9640650111767</v>
      </c>
      <c r="M144" s="40" t="s">
        <v>52</v>
      </c>
      <c r="N144" s="36" t="str">
        <f aca="false">IF(CP143=0,"Converged","Not converged: more iterations needed")</f>
        <v>Converged</v>
      </c>
    </row>
    <row r="145" customFormat="false" ht="31.5" hidden="false" customHeight="true" outlineLevel="0" collapsed="false">
      <c r="A145" s="10" t="s">
        <v>89</v>
      </c>
      <c r="B145" s="10" t="s">
        <v>701</v>
      </c>
      <c r="C145" s="10" t="s">
        <v>702</v>
      </c>
      <c r="D145" s="10" t="s">
        <v>703</v>
      </c>
      <c r="E145" s="10" t="s">
        <v>707</v>
      </c>
      <c r="F145" s="10" t="s">
        <v>756</v>
      </c>
      <c r="G145" s="10" t="s">
        <v>737</v>
      </c>
      <c r="H145" s="10" t="s">
        <v>738</v>
      </c>
      <c r="I145" s="10" t="s">
        <v>739</v>
      </c>
      <c r="X145" s="10" t="s">
        <v>740</v>
      </c>
      <c r="Y145" s="10" t="s">
        <v>741</v>
      </c>
      <c r="Z145" s="10" t="s">
        <v>742</v>
      </c>
      <c r="AA145" s="10" t="s">
        <v>759</v>
      </c>
      <c r="AB145" s="10" t="s">
        <v>707</v>
      </c>
      <c r="AD145" s="10" t="s">
        <v>740</v>
      </c>
      <c r="AE145" s="10" t="s">
        <v>741</v>
      </c>
      <c r="AF145" s="10" t="s">
        <v>742</v>
      </c>
      <c r="AG145" s="10" t="s">
        <v>759</v>
      </c>
      <c r="AH145" s="10" t="s">
        <v>707</v>
      </c>
      <c r="AJ145" s="10" t="s">
        <v>740</v>
      </c>
      <c r="AK145" s="10" t="s">
        <v>741</v>
      </c>
      <c r="AL145" s="10" t="s">
        <v>742</v>
      </c>
      <c r="AM145" s="10" t="s">
        <v>759</v>
      </c>
      <c r="AN145" s="10" t="s">
        <v>707</v>
      </c>
      <c r="AP145" s="10" t="s">
        <v>740</v>
      </c>
      <c r="AQ145" s="10" t="s">
        <v>741</v>
      </c>
      <c r="AR145" s="10" t="s">
        <v>742</v>
      </c>
      <c r="AS145" s="10" t="s">
        <v>759</v>
      </c>
      <c r="AT145" s="10" t="s">
        <v>707</v>
      </c>
      <c r="AV145" s="10" t="s">
        <v>740</v>
      </c>
      <c r="AW145" s="10" t="s">
        <v>741</v>
      </c>
      <c r="AX145" s="10" t="s">
        <v>742</v>
      </c>
      <c r="AY145" s="10" t="s">
        <v>759</v>
      </c>
      <c r="AZ145" s="10" t="s">
        <v>707</v>
      </c>
      <c r="BB145" s="10" t="s">
        <v>740</v>
      </c>
      <c r="BC145" s="10" t="s">
        <v>741</v>
      </c>
      <c r="BD145" s="10" t="s">
        <v>742</v>
      </c>
      <c r="BE145" s="10" t="s">
        <v>759</v>
      </c>
      <c r="BF145" s="10" t="s">
        <v>707</v>
      </c>
      <c r="BH145" s="10" t="s">
        <v>740</v>
      </c>
      <c r="BI145" s="10" t="s">
        <v>741</v>
      </c>
      <c r="BJ145" s="10" t="s">
        <v>742</v>
      </c>
      <c r="BK145" s="10" t="s">
        <v>759</v>
      </c>
      <c r="BL145" s="10" t="s">
        <v>707</v>
      </c>
      <c r="BN145" s="10" t="s">
        <v>740</v>
      </c>
      <c r="BO145" s="10" t="s">
        <v>741</v>
      </c>
      <c r="BP145" s="10" t="s">
        <v>742</v>
      </c>
      <c r="BQ145" s="10" t="s">
        <v>759</v>
      </c>
      <c r="BR145" s="10" t="s">
        <v>707</v>
      </c>
      <c r="BT145" s="10" t="s">
        <v>740</v>
      </c>
      <c r="BU145" s="10" t="s">
        <v>741</v>
      </c>
      <c r="BV145" s="10" t="s">
        <v>742</v>
      </c>
      <c r="BW145" s="10" t="s">
        <v>759</v>
      </c>
      <c r="BX145" s="10" t="s">
        <v>707</v>
      </c>
      <c r="BZ145" s="10" t="s">
        <v>740</v>
      </c>
      <c r="CA145" s="10" t="s">
        <v>741</v>
      </c>
      <c r="CB145" s="10" t="s">
        <v>742</v>
      </c>
      <c r="CC145" s="10" t="s">
        <v>759</v>
      </c>
      <c r="CD145" s="10" t="s">
        <v>707</v>
      </c>
      <c r="CF145" s="10" t="s">
        <v>740</v>
      </c>
      <c r="CG145" s="10" t="s">
        <v>741</v>
      </c>
      <c r="CH145" s="10" t="s">
        <v>742</v>
      </c>
      <c r="CI145" s="10" t="s">
        <v>759</v>
      </c>
      <c r="CJ145" s="10" t="s">
        <v>707</v>
      </c>
      <c r="CL145" s="10" t="s">
        <v>740</v>
      </c>
      <c r="CM145" s="10" t="s">
        <v>741</v>
      </c>
      <c r="CN145" s="10" t="s">
        <v>742</v>
      </c>
      <c r="CO145" s="10" t="s">
        <v>759</v>
      </c>
      <c r="CP145" s="10" t="s">
        <v>707</v>
      </c>
    </row>
    <row r="146" customFormat="false" ht="15" hidden="false" customHeight="false" outlineLevel="0" collapsed="false">
      <c r="A146" s="36" t="str">
        <f aca="false">KMeans_Data!A5</f>
        <v>Karachi</v>
      </c>
      <c r="B146" s="17" t="n">
        <f aca="false">KMeans_Data!H5</f>
        <v>3.2743087782752</v>
      </c>
      <c r="C146" s="17" t="n">
        <f aca="false">KMeans_Data!I5</f>
        <v>4.03885179691129</v>
      </c>
      <c r="D146" s="17" t="n">
        <f aca="false">KMeans_Data!J5</f>
        <v>3.25271285960204</v>
      </c>
      <c r="E146" s="63" t="n">
        <f aca="false">CP146</f>
        <v>1</v>
      </c>
      <c r="F146" s="38" t="n">
        <f aca="false">($B146-INDEX($L$139:$O$139,E146))^2+($C146-INDEX($L$140:$O$140,E146))^2+($D146-INDEX($L$141:$O$141,E146))^2</f>
        <v>2.7366208897533</v>
      </c>
      <c r="G146" s="17" t="n">
        <f aca="false">IF(COUNTIF(Distance_Matrix!$E$10:$DQ$10,$E146)&lt;=1,0,SUMIF(Distance_Matrix!$E$10:$DQ$10,$E146,Distance_Matrix!$E$14:$DQ$14)/(COUNTIF(Distance_Matrix!$E$10:$DQ$10,$E146)-1))</f>
        <v>2.10453876012587</v>
      </c>
      <c r="H146" s="17" t="n">
        <f aca="false">MIN(IF(1=$E146,1E+099,IF(COUNTIF(Distance_Matrix!$E$10:$DQ$10,1)=0,1E+099,SUMIF(Distance_Matrix!$E$10:$DQ$10,1,Distance_Matrix!$E$14:$DQ$14)/COUNTIF(Distance_Matrix!$E$10:$DQ$10,1))),IF(2=$E146,1E+099,IF(COUNTIF(Distance_Matrix!$E$10:$DQ$10,2)=0,1E+099,SUMIF(Distance_Matrix!$E$10:$DQ$10,2,Distance_Matrix!$E$14:$DQ$14)/COUNTIF(Distance_Matrix!$E$10:$DQ$10,2))),IF(3=$E146,1E+099,IF(COUNTIF(Distance_Matrix!$E$10:$DQ$10,3)=0,1E+099,SUMIF(Distance_Matrix!$E$10:$DQ$10,3,Distance_Matrix!$E$14:$DQ$14)/COUNTIF(Distance_Matrix!$E$10:$DQ$10,3))),IF(4=$E146,1E+099,IF(COUNTIF(Distance_Matrix!$E$10:$DQ$10,4)=0,1E+099,SUMIF(Distance_Matrix!$E$10:$DQ$10,4,Distance_Matrix!$E$14:$DQ$14)/COUNTIF(Distance_Matrix!$E$10:$DQ$10,4))))</f>
        <v>4.9643172152281</v>
      </c>
      <c r="I146" s="17" t="n">
        <f aca="false">IF(COUNTIF(Distance_Matrix!$E$10:$DQ$10,$E146)&lt;=1,0,(H146-G146)/MAX(G146,H146))</f>
        <v>0.576066824724622</v>
      </c>
      <c r="X146" s="17" t="n">
        <f aca="false">SQRT(($B146-X$139)^2+($C146-X$140)^2+($D146-X$141)^2)</f>
        <v>0</v>
      </c>
      <c r="Y146" s="17" t="n">
        <f aca="false">SQRT(($B146-Y$139)^2+($C146-Y$140)^2+($D146-Y$141)^2)</f>
        <v>8.37911780072121</v>
      </c>
      <c r="Z146" s="17" t="n">
        <f aca="false">SQRT(($B146-Z$139)^2+($C146-Z$140)^2+($D146-Z$141)^2)</f>
        <v>4.64515792720078</v>
      </c>
      <c r="AA146" s="17" t="n">
        <f aca="false">SQRT(($B146-AA$139)^2+($C146-AA$140)^2+($D146-AA$141)^2)</f>
        <v>6.61637996962902</v>
      </c>
      <c r="AB146" s="63" t="n">
        <f aca="false">MATCH(MIN(X146:AA146),X146:AA146,0)</f>
        <v>1</v>
      </c>
      <c r="AD146" s="17" t="n">
        <f aca="false">SQRT(($B146-AD$139)^2+($C146-AD$140)^2+($D146-AD$141)^2)</f>
        <v>1.03962848225806</v>
      </c>
      <c r="AE146" s="17" t="n">
        <f aca="false">SQRT(($B146-AE$139)^2+($C146-AE$140)^2+($D146-AE$141)^2)</f>
        <v>7.74264663384266</v>
      </c>
      <c r="AF146" s="17" t="n">
        <f aca="false">SQRT(($B146-AF$139)^2+($C146-AF$140)^2+($D146-AF$141)^2)</f>
        <v>4.97275185314324</v>
      </c>
      <c r="AG146" s="17" t="n">
        <f aca="false">SQRT(($B146-AG$139)^2+($C146-AG$140)^2+($D146-AG$141)^2)</f>
        <v>6.7692930503398</v>
      </c>
      <c r="AH146" s="63" t="n">
        <f aca="false">MATCH(MIN(AD146:AG146),AD146:AG146,0)</f>
        <v>1</v>
      </c>
      <c r="AJ146" s="17" t="n">
        <f aca="false">SQRT(($B146-AJ$139)^2+($C146-AJ$140)^2+($D146-AJ$141)^2)</f>
        <v>1.36788864477153</v>
      </c>
      <c r="AK146" s="17" t="n">
        <f aca="false">SQRT(($B146-AK$139)^2+($C146-AK$140)^2+($D146-AK$141)^2)</f>
        <v>7.76494175779119</v>
      </c>
      <c r="AL146" s="17" t="n">
        <f aca="false">SQRT(($B146-AL$139)^2+($C146-AL$140)^2+($D146-AL$141)^2)</f>
        <v>4.88842342652767</v>
      </c>
      <c r="AM146" s="17" t="n">
        <f aca="false">SQRT(($B146-AM$139)^2+($C146-AM$140)^2+($D146-AM$141)^2)</f>
        <v>6.71260649493027</v>
      </c>
      <c r="AN146" s="63" t="n">
        <f aca="false">MATCH(MIN(AJ146:AM146),AJ146:AM146,0)</f>
        <v>1</v>
      </c>
      <c r="AP146" s="17" t="n">
        <f aca="false">SQRT(($B146-AP$139)^2+($C146-AP$140)^2+($D146-AP$141)^2)</f>
        <v>1.65427352325826</v>
      </c>
      <c r="AQ146" s="17" t="n">
        <f aca="false">SQRT(($B146-AQ$139)^2+($C146-AQ$140)^2+($D146-AQ$141)^2)</f>
        <v>7.83858049682496</v>
      </c>
      <c r="AR146" s="17" t="n">
        <f aca="false">SQRT(($B146-AR$139)^2+($C146-AR$140)^2+($D146-AR$141)^2)</f>
        <v>4.93729001820131</v>
      </c>
      <c r="AS146" s="17" t="n">
        <f aca="false">SQRT(($B146-AS$139)^2+($C146-AS$140)^2+($D146-AS$141)^2)</f>
        <v>6.73912826169251</v>
      </c>
      <c r="AT146" s="63" t="n">
        <f aca="false">MATCH(MIN(AP146:AS146),AP146:AS146,0)</f>
        <v>1</v>
      </c>
      <c r="AV146" s="17" t="n">
        <f aca="false">SQRT(($B146-AV$139)^2+($C146-AV$140)^2+($D146-AV$141)^2)</f>
        <v>1.65427352325826</v>
      </c>
      <c r="AW146" s="17" t="n">
        <f aca="false">SQRT(($B146-AW$139)^2+($C146-AW$140)^2+($D146-AW$141)^2)</f>
        <v>7.83858049682496</v>
      </c>
      <c r="AX146" s="17" t="n">
        <f aca="false">SQRT(($B146-AX$139)^2+($C146-AX$140)^2+($D146-AX$141)^2)</f>
        <v>4.93729001820131</v>
      </c>
      <c r="AY146" s="17" t="n">
        <f aca="false">SQRT(($B146-AY$139)^2+($C146-AY$140)^2+($D146-AY$141)^2)</f>
        <v>6.73912826169251</v>
      </c>
      <c r="AZ146" s="63" t="n">
        <f aca="false">MATCH(MIN(AV146:AY146),AV146:AY146,0)</f>
        <v>1</v>
      </c>
      <c r="BB146" s="17" t="n">
        <f aca="false">SQRT(($B146-BB$139)^2+($C146-BB$140)^2+($D146-BB$141)^2)</f>
        <v>1.65427352325826</v>
      </c>
      <c r="BC146" s="17" t="n">
        <f aca="false">SQRT(($B146-BC$139)^2+($C146-BC$140)^2+($D146-BC$141)^2)</f>
        <v>7.83858049682496</v>
      </c>
      <c r="BD146" s="17" t="n">
        <f aca="false">SQRT(($B146-BD$139)^2+($C146-BD$140)^2+($D146-BD$141)^2)</f>
        <v>4.93729001820131</v>
      </c>
      <c r="BE146" s="17" t="n">
        <f aca="false">SQRT(($B146-BE$139)^2+($C146-BE$140)^2+($D146-BE$141)^2)</f>
        <v>6.73912826169251</v>
      </c>
      <c r="BF146" s="63" t="n">
        <f aca="false">MATCH(MIN(BB146:BE146),BB146:BE146,0)</f>
        <v>1</v>
      </c>
      <c r="BH146" s="17" t="n">
        <f aca="false">SQRT(($B146-BH$139)^2+($C146-BH$140)^2+($D146-BH$141)^2)</f>
        <v>1.65427352325826</v>
      </c>
      <c r="BI146" s="17" t="n">
        <f aca="false">SQRT(($B146-BI$139)^2+($C146-BI$140)^2+($D146-BI$141)^2)</f>
        <v>7.83858049682496</v>
      </c>
      <c r="BJ146" s="17" t="n">
        <f aca="false">SQRT(($B146-BJ$139)^2+($C146-BJ$140)^2+($D146-BJ$141)^2)</f>
        <v>4.93729001820131</v>
      </c>
      <c r="BK146" s="17" t="n">
        <f aca="false">SQRT(($B146-BK$139)^2+($C146-BK$140)^2+($D146-BK$141)^2)</f>
        <v>6.73912826169251</v>
      </c>
      <c r="BL146" s="63" t="n">
        <f aca="false">MATCH(MIN(BH146:BK146),BH146:BK146,0)</f>
        <v>1</v>
      </c>
      <c r="BN146" s="17" t="n">
        <f aca="false">SQRT(($B146-BN$139)^2+($C146-BN$140)^2+($D146-BN$141)^2)</f>
        <v>1.65427352325826</v>
      </c>
      <c r="BO146" s="17" t="n">
        <f aca="false">SQRT(($B146-BO$139)^2+($C146-BO$140)^2+($D146-BO$141)^2)</f>
        <v>7.83858049682496</v>
      </c>
      <c r="BP146" s="17" t="n">
        <f aca="false">SQRT(($B146-BP$139)^2+($C146-BP$140)^2+($D146-BP$141)^2)</f>
        <v>4.93729001820131</v>
      </c>
      <c r="BQ146" s="17" t="n">
        <f aca="false">SQRT(($B146-BQ$139)^2+($C146-BQ$140)^2+($D146-BQ$141)^2)</f>
        <v>6.73912826169251</v>
      </c>
      <c r="BR146" s="63" t="n">
        <f aca="false">MATCH(MIN(BN146:BQ146),BN146:BQ146,0)</f>
        <v>1</v>
      </c>
      <c r="BT146" s="17" t="n">
        <f aca="false">SQRT(($B146-BT$139)^2+($C146-BT$140)^2+($D146-BT$141)^2)</f>
        <v>1.65427352325826</v>
      </c>
      <c r="BU146" s="17" t="n">
        <f aca="false">SQRT(($B146-BU$139)^2+($C146-BU$140)^2+($D146-BU$141)^2)</f>
        <v>7.83858049682496</v>
      </c>
      <c r="BV146" s="17" t="n">
        <f aca="false">SQRT(($B146-BV$139)^2+($C146-BV$140)^2+($D146-BV$141)^2)</f>
        <v>4.93729001820131</v>
      </c>
      <c r="BW146" s="17" t="n">
        <f aca="false">SQRT(($B146-BW$139)^2+($C146-BW$140)^2+($D146-BW$141)^2)</f>
        <v>6.73912826169251</v>
      </c>
      <c r="BX146" s="63" t="n">
        <f aca="false">MATCH(MIN(BT146:BW146),BT146:BW146,0)</f>
        <v>1</v>
      </c>
      <c r="BZ146" s="17" t="n">
        <f aca="false">SQRT(($B146-BZ$139)^2+($C146-BZ$140)^2+($D146-BZ$141)^2)</f>
        <v>1.65427352325826</v>
      </c>
      <c r="CA146" s="17" t="n">
        <f aca="false">SQRT(($B146-CA$139)^2+($C146-CA$140)^2+($D146-CA$141)^2)</f>
        <v>7.83858049682496</v>
      </c>
      <c r="CB146" s="17" t="n">
        <f aca="false">SQRT(($B146-CB$139)^2+($C146-CB$140)^2+($D146-CB$141)^2)</f>
        <v>4.93729001820131</v>
      </c>
      <c r="CC146" s="17" t="n">
        <f aca="false">SQRT(($B146-CC$139)^2+($C146-CC$140)^2+($D146-CC$141)^2)</f>
        <v>6.73912826169251</v>
      </c>
      <c r="CD146" s="63" t="n">
        <f aca="false">MATCH(MIN(BZ146:CC146),BZ146:CC146,0)</f>
        <v>1</v>
      </c>
      <c r="CF146" s="17" t="n">
        <f aca="false">SQRT(($B146-CF$139)^2+($C146-CF$140)^2+($D146-CF$141)^2)</f>
        <v>1.65427352325826</v>
      </c>
      <c r="CG146" s="17" t="n">
        <f aca="false">SQRT(($B146-CG$139)^2+($C146-CG$140)^2+($D146-CG$141)^2)</f>
        <v>7.83858049682496</v>
      </c>
      <c r="CH146" s="17" t="n">
        <f aca="false">SQRT(($B146-CH$139)^2+($C146-CH$140)^2+($D146-CH$141)^2)</f>
        <v>4.93729001820131</v>
      </c>
      <c r="CI146" s="17" t="n">
        <f aca="false">SQRT(($B146-CI$139)^2+($C146-CI$140)^2+($D146-CI$141)^2)</f>
        <v>6.73912826169251</v>
      </c>
      <c r="CJ146" s="63" t="n">
        <f aca="false">MATCH(MIN(CF146:CI146),CF146:CI146,0)</f>
        <v>1</v>
      </c>
      <c r="CL146" s="17" t="n">
        <f aca="false">SQRT(($B146-CL$139)^2+($C146-CL$140)^2+($D146-CL$141)^2)</f>
        <v>1.65427352325826</v>
      </c>
      <c r="CM146" s="17" t="n">
        <f aca="false">SQRT(($B146-CM$139)^2+($C146-CM$140)^2+($D146-CM$141)^2)</f>
        <v>7.83858049682496</v>
      </c>
      <c r="CN146" s="17" t="n">
        <f aca="false">SQRT(($B146-CN$139)^2+($C146-CN$140)^2+($D146-CN$141)^2)</f>
        <v>4.93729001820131</v>
      </c>
      <c r="CO146" s="17" t="n">
        <f aca="false">SQRT(($B146-CO$139)^2+($C146-CO$140)^2+($D146-CO$141)^2)</f>
        <v>6.73912826169251</v>
      </c>
      <c r="CP146" s="63" t="n">
        <f aca="false">MATCH(MIN(CL146:CO146),CL146:CO146,0)</f>
        <v>1</v>
      </c>
    </row>
    <row r="147" customFormat="false" ht="15" hidden="false" customHeight="false" outlineLevel="0" collapsed="false">
      <c r="A147" s="36" t="str">
        <f aca="false">KMeans_Data!A6</f>
        <v>Lahore</v>
      </c>
      <c r="B147" s="17" t="n">
        <f aca="false">KMeans_Data!H6</f>
        <v>3.25015139617543</v>
      </c>
      <c r="C147" s="17" t="n">
        <f aca="false">KMeans_Data!I6</f>
        <v>4.15684103709117</v>
      </c>
      <c r="D147" s="17" t="n">
        <f aca="false">KMeans_Data!J6</f>
        <v>2.68051289882026</v>
      </c>
      <c r="E147" s="63" t="n">
        <f aca="false">CP147</f>
        <v>1</v>
      </c>
      <c r="F147" s="38" t="n">
        <f aca="false">($B147-INDEX($L$139:$O$139,E147))^2+($C147-INDEX($L$140:$O$140,E147))^2+($D147-INDEX($L$141:$O$141,E147))^2</f>
        <v>2.04519294264516</v>
      </c>
      <c r="G147" s="17" t="n">
        <f aca="false">IF(COUNTIF(Distance_Matrix!$E$10:$DQ$10,$E147)&lt;=1,0,SUMIF(Distance_Matrix!$E$10:$DQ$10,$E147,Distance_Matrix!$E$15:$DQ$15)/(COUNTIF(Distance_Matrix!$E$10:$DQ$10,$E147)-1))</f>
        <v>1.92156330749532</v>
      </c>
      <c r="H147" s="17" t="n">
        <f aca="false">MIN(IF(1=$E147,1E+099,IF(COUNTIF(Distance_Matrix!$E$10:$DQ$10,1)=0,1E+099,SUMIF(Distance_Matrix!$E$10:$DQ$10,1,Distance_Matrix!$E$15:$DQ$15)/COUNTIF(Distance_Matrix!$E$10:$DQ$10,1))),IF(2=$E147,1E+099,IF(COUNTIF(Distance_Matrix!$E$10:$DQ$10,2)=0,1E+099,SUMIF(Distance_Matrix!$E$10:$DQ$10,2,Distance_Matrix!$E$15:$DQ$15)/COUNTIF(Distance_Matrix!$E$10:$DQ$10,2))),IF(3=$E147,1E+099,IF(COUNTIF(Distance_Matrix!$E$10:$DQ$10,3)=0,1E+099,SUMIF(Distance_Matrix!$E$10:$DQ$10,3,Distance_Matrix!$E$15:$DQ$15)/COUNTIF(Distance_Matrix!$E$10:$DQ$10,3))),IF(4=$E147,1E+099,IF(COUNTIF(Distance_Matrix!$E$10:$DQ$10,4)=0,1E+099,SUMIF(Distance_Matrix!$E$10:$DQ$10,4,Distance_Matrix!$E$15:$DQ$15)/COUNTIF(Distance_Matrix!$E$10:$DQ$10,4))))</f>
        <v>4.78823395004922</v>
      </c>
      <c r="I147" s="17" t="n">
        <f aca="false">IF(COUNTIF(Distance_Matrix!$E$10:$DQ$10,$E147)&lt;=1,0,(H147-G147)/MAX(G147,H147))</f>
        <v>0.598690597088398</v>
      </c>
      <c r="X147" s="17" t="n">
        <f aca="false">SQRT(($B147-X$139)^2+($C147-X$140)^2+($D147-X$141)^2)</f>
        <v>0.584737406898874</v>
      </c>
      <c r="Y147" s="17" t="n">
        <f aca="false">SQRT(($B147-Y$139)^2+($C147-Y$140)^2+($D147-Y$141)^2)</f>
        <v>8.14685136916964</v>
      </c>
      <c r="Z147" s="17" t="n">
        <f aca="false">SQRT(($B147-Z$139)^2+($C147-Z$140)^2+($D147-Z$141)^2)</f>
        <v>4.54261803543023</v>
      </c>
      <c r="AA147" s="17" t="n">
        <f aca="false">SQRT(($B147-AA$139)^2+($C147-AA$140)^2+($D147-AA$141)^2)</f>
        <v>6.32026007457936</v>
      </c>
      <c r="AB147" s="63" t="n">
        <f aca="false">MATCH(MIN(X147:AA147),X147:AA147,0)</f>
        <v>1</v>
      </c>
      <c r="AD147" s="17" t="n">
        <f aca="false">SQRT(($B147-AD$139)^2+($C147-AD$140)^2+($D147-AD$141)^2)</f>
        <v>0.80458742879173</v>
      </c>
      <c r="AE147" s="17" t="n">
        <f aca="false">SQRT(($B147-AE$139)^2+($C147-AE$140)^2+($D147-AE$141)^2)</f>
        <v>7.50913132663883</v>
      </c>
      <c r="AF147" s="17" t="n">
        <f aca="false">SQRT(($B147-AF$139)^2+($C147-AF$140)^2+($D147-AF$141)^2)</f>
        <v>4.80027588754629</v>
      </c>
      <c r="AG147" s="17" t="n">
        <f aca="false">SQRT(($B147-AG$139)^2+($C147-AG$140)^2+($D147-AG$141)^2)</f>
        <v>6.53926280265434</v>
      </c>
      <c r="AH147" s="63" t="n">
        <f aca="false">MATCH(MIN(AD147:AG147),AD147:AG147,0)</f>
        <v>1</v>
      </c>
      <c r="AJ147" s="17" t="n">
        <f aca="false">SQRT(($B147-AJ$139)^2+($C147-AJ$140)^2+($D147-AJ$141)^2)</f>
        <v>1.14848058148868</v>
      </c>
      <c r="AK147" s="17" t="n">
        <f aca="false">SQRT(($B147-AK$139)^2+($C147-AK$140)^2+($D147-AK$141)^2)</f>
        <v>7.52831703755059</v>
      </c>
      <c r="AL147" s="17" t="n">
        <f aca="false">SQRT(($B147-AL$139)^2+($C147-AL$140)^2+($D147-AL$141)^2)</f>
        <v>4.71151815343845</v>
      </c>
      <c r="AM147" s="17" t="n">
        <f aca="false">SQRT(($B147-AM$139)^2+($C147-AM$140)^2+($D147-AM$141)^2)</f>
        <v>6.49217440772363</v>
      </c>
      <c r="AN147" s="63" t="n">
        <f aca="false">MATCH(MIN(AJ147:AM147),AJ147:AM147,0)</f>
        <v>1</v>
      </c>
      <c r="AP147" s="17" t="n">
        <f aca="false">SQRT(($B147-AP$139)^2+($C147-AP$140)^2+($D147-AP$141)^2)</f>
        <v>1.43010242383025</v>
      </c>
      <c r="AQ147" s="17" t="n">
        <f aca="false">SQRT(($B147-AQ$139)^2+($C147-AQ$140)^2+($D147-AQ$141)^2)</f>
        <v>7.59742114227689</v>
      </c>
      <c r="AR147" s="17" t="n">
        <f aca="false">SQRT(($B147-AR$139)^2+($C147-AR$140)^2+($D147-AR$141)^2)</f>
        <v>4.761319851856</v>
      </c>
      <c r="AS147" s="17" t="n">
        <f aca="false">SQRT(($B147-AS$139)^2+($C147-AS$140)^2+($D147-AS$141)^2)</f>
        <v>6.52032901696982</v>
      </c>
      <c r="AT147" s="63" t="n">
        <f aca="false">MATCH(MIN(AP147:AS147),AP147:AS147,0)</f>
        <v>1</v>
      </c>
      <c r="AV147" s="17" t="n">
        <f aca="false">SQRT(($B147-AV$139)^2+($C147-AV$140)^2+($D147-AV$141)^2)</f>
        <v>1.43010242383025</v>
      </c>
      <c r="AW147" s="17" t="n">
        <f aca="false">SQRT(($B147-AW$139)^2+($C147-AW$140)^2+($D147-AW$141)^2)</f>
        <v>7.59742114227689</v>
      </c>
      <c r="AX147" s="17" t="n">
        <f aca="false">SQRT(($B147-AX$139)^2+($C147-AX$140)^2+($D147-AX$141)^2)</f>
        <v>4.761319851856</v>
      </c>
      <c r="AY147" s="17" t="n">
        <f aca="false">SQRT(($B147-AY$139)^2+($C147-AY$140)^2+($D147-AY$141)^2)</f>
        <v>6.52032901696982</v>
      </c>
      <c r="AZ147" s="63" t="n">
        <f aca="false">MATCH(MIN(AV147:AY147),AV147:AY147,0)</f>
        <v>1</v>
      </c>
      <c r="BB147" s="17" t="n">
        <f aca="false">SQRT(($B147-BB$139)^2+($C147-BB$140)^2+($D147-BB$141)^2)</f>
        <v>1.43010242383025</v>
      </c>
      <c r="BC147" s="17" t="n">
        <f aca="false">SQRT(($B147-BC$139)^2+($C147-BC$140)^2+($D147-BC$141)^2)</f>
        <v>7.59742114227689</v>
      </c>
      <c r="BD147" s="17" t="n">
        <f aca="false">SQRT(($B147-BD$139)^2+($C147-BD$140)^2+($D147-BD$141)^2)</f>
        <v>4.761319851856</v>
      </c>
      <c r="BE147" s="17" t="n">
        <f aca="false">SQRT(($B147-BE$139)^2+($C147-BE$140)^2+($D147-BE$141)^2)</f>
        <v>6.52032901696982</v>
      </c>
      <c r="BF147" s="63" t="n">
        <f aca="false">MATCH(MIN(BB147:BE147),BB147:BE147,0)</f>
        <v>1</v>
      </c>
      <c r="BH147" s="17" t="n">
        <f aca="false">SQRT(($B147-BH$139)^2+($C147-BH$140)^2+($D147-BH$141)^2)</f>
        <v>1.43010242383025</v>
      </c>
      <c r="BI147" s="17" t="n">
        <f aca="false">SQRT(($B147-BI$139)^2+($C147-BI$140)^2+($D147-BI$141)^2)</f>
        <v>7.59742114227689</v>
      </c>
      <c r="BJ147" s="17" t="n">
        <f aca="false">SQRT(($B147-BJ$139)^2+($C147-BJ$140)^2+($D147-BJ$141)^2)</f>
        <v>4.761319851856</v>
      </c>
      <c r="BK147" s="17" t="n">
        <f aca="false">SQRT(($B147-BK$139)^2+($C147-BK$140)^2+($D147-BK$141)^2)</f>
        <v>6.52032901696982</v>
      </c>
      <c r="BL147" s="63" t="n">
        <f aca="false">MATCH(MIN(BH147:BK147),BH147:BK147,0)</f>
        <v>1</v>
      </c>
      <c r="BN147" s="17" t="n">
        <f aca="false">SQRT(($B147-BN$139)^2+($C147-BN$140)^2+($D147-BN$141)^2)</f>
        <v>1.43010242383025</v>
      </c>
      <c r="BO147" s="17" t="n">
        <f aca="false">SQRT(($B147-BO$139)^2+($C147-BO$140)^2+($D147-BO$141)^2)</f>
        <v>7.59742114227689</v>
      </c>
      <c r="BP147" s="17" t="n">
        <f aca="false">SQRT(($B147-BP$139)^2+($C147-BP$140)^2+($D147-BP$141)^2)</f>
        <v>4.761319851856</v>
      </c>
      <c r="BQ147" s="17" t="n">
        <f aca="false">SQRT(($B147-BQ$139)^2+($C147-BQ$140)^2+($D147-BQ$141)^2)</f>
        <v>6.52032901696982</v>
      </c>
      <c r="BR147" s="63" t="n">
        <f aca="false">MATCH(MIN(BN147:BQ147),BN147:BQ147,0)</f>
        <v>1</v>
      </c>
      <c r="BT147" s="17" t="n">
        <f aca="false">SQRT(($B147-BT$139)^2+($C147-BT$140)^2+($D147-BT$141)^2)</f>
        <v>1.43010242383025</v>
      </c>
      <c r="BU147" s="17" t="n">
        <f aca="false">SQRT(($B147-BU$139)^2+($C147-BU$140)^2+($D147-BU$141)^2)</f>
        <v>7.59742114227689</v>
      </c>
      <c r="BV147" s="17" t="n">
        <f aca="false">SQRT(($B147-BV$139)^2+($C147-BV$140)^2+($D147-BV$141)^2)</f>
        <v>4.761319851856</v>
      </c>
      <c r="BW147" s="17" t="n">
        <f aca="false">SQRT(($B147-BW$139)^2+($C147-BW$140)^2+($D147-BW$141)^2)</f>
        <v>6.52032901696982</v>
      </c>
      <c r="BX147" s="63" t="n">
        <f aca="false">MATCH(MIN(BT147:BW147),BT147:BW147,0)</f>
        <v>1</v>
      </c>
      <c r="BZ147" s="17" t="n">
        <f aca="false">SQRT(($B147-BZ$139)^2+($C147-BZ$140)^2+($D147-BZ$141)^2)</f>
        <v>1.43010242383025</v>
      </c>
      <c r="CA147" s="17" t="n">
        <f aca="false">SQRT(($B147-CA$139)^2+($C147-CA$140)^2+($D147-CA$141)^2)</f>
        <v>7.59742114227689</v>
      </c>
      <c r="CB147" s="17" t="n">
        <f aca="false">SQRT(($B147-CB$139)^2+($C147-CB$140)^2+($D147-CB$141)^2)</f>
        <v>4.761319851856</v>
      </c>
      <c r="CC147" s="17" t="n">
        <f aca="false">SQRT(($B147-CC$139)^2+($C147-CC$140)^2+($D147-CC$141)^2)</f>
        <v>6.52032901696982</v>
      </c>
      <c r="CD147" s="63" t="n">
        <f aca="false">MATCH(MIN(BZ147:CC147),BZ147:CC147,0)</f>
        <v>1</v>
      </c>
      <c r="CF147" s="17" t="n">
        <f aca="false">SQRT(($B147-CF$139)^2+($C147-CF$140)^2+($D147-CF$141)^2)</f>
        <v>1.43010242383025</v>
      </c>
      <c r="CG147" s="17" t="n">
        <f aca="false">SQRT(($B147-CG$139)^2+($C147-CG$140)^2+($D147-CG$141)^2)</f>
        <v>7.59742114227689</v>
      </c>
      <c r="CH147" s="17" t="n">
        <f aca="false">SQRT(($B147-CH$139)^2+($C147-CH$140)^2+($D147-CH$141)^2)</f>
        <v>4.761319851856</v>
      </c>
      <c r="CI147" s="17" t="n">
        <f aca="false">SQRT(($B147-CI$139)^2+($C147-CI$140)^2+($D147-CI$141)^2)</f>
        <v>6.52032901696982</v>
      </c>
      <c r="CJ147" s="63" t="n">
        <f aca="false">MATCH(MIN(CF147:CI147),CF147:CI147,0)</f>
        <v>1</v>
      </c>
      <c r="CL147" s="17" t="n">
        <f aca="false">SQRT(($B147-CL$139)^2+($C147-CL$140)^2+($D147-CL$141)^2)</f>
        <v>1.43010242383025</v>
      </c>
      <c r="CM147" s="17" t="n">
        <f aca="false">SQRT(($B147-CM$139)^2+($C147-CM$140)^2+($D147-CM$141)^2)</f>
        <v>7.59742114227689</v>
      </c>
      <c r="CN147" s="17" t="n">
        <f aca="false">SQRT(($B147-CN$139)^2+($C147-CN$140)^2+($D147-CN$141)^2)</f>
        <v>4.761319851856</v>
      </c>
      <c r="CO147" s="17" t="n">
        <f aca="false">SQRT(($B147-CO$139)^2+($C147-CO$140)^2+($D147-CO$141)^2)</f>
        <v>6.52032901696982</v>
      </c>
      <c r="CP147" s="63" t="n">
        <f aca="false">MATCH(MIN(CL147:CO147),CL147:CO147,0)</f>
        <v>1</v>
      </c>
    </row>
    <row r="148" customFormat="false" ht="15" hidden="false" customHeight="false" outlineLevel="0" collapsed="false">
      <c r="A148" s="36" t="str">
        <f aca="false">KMeans_Data!A7</f>
        <v>Quetta</v>
      </c>
      <c r="B148" s="17" t="n">
        <f aca="false">KMeans_Data!H7</f>
        <v>2.36453191227648</v>
      </c>
      <c r="C148" s="17" t="n">
        <f aca="false">KMeans_Data!I7</f>
        <v>2.29414072853602</v>
      </c>
      <c r="D148" s="17" t="n">
        <f aca="false">KMeans_Data!J7</f>
        <v>2.37235556681649</v>
      </c>
      <c r="E148" s="63" t="n">
        <f aca="false">CP148</f>
        <v>1</v>
      </c>
      <c r="F148" s="38" t="n">
        <f aca="false">($B148-INDEX($L$139:$O$139,E148))^2+($C148-INDEX($L$140:$O$140,E148))^2+($D148-INDEX($L$141:$O$141,E148))^2</f>
        <v>0.634281583832555</v>
      </c>
      <c r="G148" s="17" t="n">
        <f aca="false">IF(COUNTIF(Distance_Matrix!$E$10:$DQ$10,$E148)&lt;=1,0,SUMIF(Distance_Matrix!$E$10:$DQ$10,$E148,Distance_Matrix!$E$16:$DQ$16)/(COUNTIF(Distance_Matrix!$E$10:$DQ$10,$E148)-1))</f>
        <v>1.54382086615435</v>
      </c>
      <c r="H148" s="17" t="n">
        <f aca="false">MIN(IF(1=$E148,1E+099,IF(COUNTIF(Distance_Matrix!$E$10:$DQ$10,1)=0,1E+099,SUMIF(Distance_Matrix!$E$10:$DQ$10,1,Distance_Matrix!$E$16:$DQ$16)/COUNTIF(Distance_Matrix!$E$10:$DQ$10,1))),IF(2=$E148,1E+099,IF(COUNTIF(Distance_Matrix!$E$10:$DQ$10,2)=0,1E+099,SUMIF(Distance_Matrix!$E$10:$DQ$10,2,Distance_Matrix!$E$16:$DQ$16)/COUNTIF(Distance_Matrix!$E$10:$DQ$10,2))),IF(3=$E148,1E+099,IF(COUNTIF(Distance_Matrix!$E$10:$DQ$10,3)=0,1E+099,SUMIF(Distance_Matrix!$E$10:$DQ$10,3,Distance_Matrix!$E$16:$DQ$16)/COUNTIF(Distance_Matrix!$E$10:$DQ$10,3))),IF(4=$E148,1E+099,IF(COUNTIF(Distance_Matrix!$E$10:$DQ$10,4)=0,1E+099,SUMIF(Distance_Matrix!$E$10:$DQ$10,4,Distance_Matrix!$E$16:$DQ$16)/COUNTIF(Distance_Matrix!$E$10:$DQ$10,4))))</f>
        <v>2.89307936588751</v>
      </c>
      <c r="I148" s="17" t="n">
        <f aca="false">IF(COUNTIF(Distance_Matrix!$E$10:$DQ$10,$E148)&lt;=1,0,(H148-G148)/MAX(G148,H148))</f>
        <v>0.46637451970463</v>
      </c>
      <c r="X148" s="17" t="n">
        <f aca="false">SQRT(($B148-X$139)^2+($C148-X$140)^2+($D148-X$141)^2)</f>
        <v>2.15562975043914</v>
      </c>
      <c r="Y148" s="17" t="n">
        <f aca="false">SQRT(($B148-Y$139)^2+($C148-Y$140)^2+($D148-Y$141)^2)</f>
        <v>6.3976329314131</v>
      </c>
      <c r="Z148" s="17" t="n">
        <f aca="false">SQRT(($B148-Z$139)^2+($C148-Z$140)^2+($D148-Z$141)^2)</f>
        <v>2.49878681858911</v>
      </c>
      <c r="AA148" s="17" t="n">
        <f aca="false">SQRT(($B148-AA$139)^2+($C148-AA$140)^2+($D148-AA$141)^2)</f>
        <v>4.61409614564319</v>
      </c>
      <c r="AB148" s="63" t="n">
        <f aca="false">MATCH(MIN(X148:AA148),X148:AA148,0)</f>
        <v>1</v>
      </c>
      <c r="AD148" s="17" t="n">
        <f aca="false">SQRT(($B148-AD$139)^2+($C148-AD$140)^2+($D148-AD$141)^2)</f>
        <v>1.30212209386384</v>
      </c>
      <c r="AE148" s="17" t="n">
        <f aca="false">SQRT(($B148-AE$139)^2+($C148-AE$140)^2+($D148-AE$141)^2)</f>
        <v>5.71233649116885</v>
      </c>
      <c r="AF148" s="17" t="n">
        <f aca="false">SQRT(($B148-AF$139)^2+($C148-AF$140)^2+($D148-AF$141)^2)</f>
        <v>2.87471932974449</v>
      </c>
      <c r="AG148" s="17" t="n">
        <f aca="false">SQRT(($B148-AG$139)^2+($C148-AG$140)^2+($D148-AG$141)^2)</f>
        <v>4.68688178913795</v>
      </c>
      <c r="AH148" s="63" t="n">
        <f aca="false">MATCH(MIN(AD148:AG148),AD148:AG148,0)</f>
        <v>1</v>
      </c>
      <c r="AJ148" s="17" t="n">
        <f aca="false">SQRT(($B148-AJ$139)^2+($C148-AJ$140)^2+($D148-AJ$141)^2)</f>
        <v>0.982745675033105</v>
      </c>
      <c r="AK148" s="17" t="n">
        <f aca="false">SQRT(($B148-AK$139)^2+($C148-AK$140)^2+($D148-AK$141)^2)</f>
        <v>5.73617583955375</v>
      </c>
      <c r="AL148" s="17" t="n">
        <f aca="false">SQRT(($B148-AL$139)^2+($C148-AL$140)^2+($D148-AL$141)^2)</f>
        <v>2.79522826876162</v>
      </c>
      <c r="AM148" s="17" t="n">
        <f aca="false">SQRT(($B148-AM$139)^2+($C148-AM$140)^2+($D148-AM$141)^2)</f>
        <v>4.6226673636242</v>
      </c>
      <c r="AN148" s="63" t="n">
        <f aca="false">MATCH(MIN(AJ148:AM148),AJ148:AM148,0)</f>
        <v>1</v>
      </c>
      <c r="AP148" s="17" t="n">
        <f aca="false">SQRT(($B148-AP$139)^2+($C148-AP$140)^2+($D148-AP$141)^2)</f>
        <v>0.796417970561033</v>
      </c>
      <c r="AQ148" s="17" t="n">
        <f aca="false">SQRT(($B148-AQ$139)^2+($C148-AQ$140)^2+($D148-AQ$141)^2)</f>
        <v>5.81566815652618</v>
      </c>
      <c r="AR148" s="17" t="n">
        <f aca="false">SQRT(($B148-AR$139)^2+($C148-AR$140)^2+($D148-AR$141)^2)</f>
        <v>2.84206652711003</v>
      </c>
      <c r="AS148" s="17" t="n">
        <f aca="false">SQRT(($B148-AS$139)^2+($C148-AS$140)^2+($D148-AS$141)^2)</f>
        <v>4.64940603173971</v>
      </c>
      <c r="AT148" s="63" t="n">
        <f aca="false">MATCH(MIN(AP148:AS148),AP148:AS148,0)</f>
        <v>1</v>
      </c>
      <c r="AV148" s="17" t="n">
        <f aca="false">SQRT(($B148-AV$139)^2+($C148-AV$140)^2+($D148-AV$141)^2)</f>
        <v>0.796417970561033</v>
      </c>
      <c r="AW148" s="17" t="n">
        <f aca="false">SQRT(($B148-AW$139)^2+($C148-AW$140)^2+($D148-AW$141)^2)</f>
        <v>5.81566815652618</v>
      </c>
      <c r="AX148" s="17" t="n">
        <f aca="false">SQRT(($B148-AX$139)^2+($C148-AX$140)^2+($D148-AX$141)^2)</f>
        <v>2.84206652711003</v>
      </c>
      <c r="AY148" s="17" t="n">
        <f aca="false">SQRT(($B148-AY$139)^2+($C148-AY$140)^2+($D148-AY$141)^2)</f>
        <v>4.64940603173971</v>
      </c>
      <c r="AZ148" s="63" t="n">
        <f aca="false">MATCH(MIN(AV148:AY148),AV148:AY148,0)</f>
        <v>1</v>
      </c>
      <c r="BB148" s="17" t="n">
        <f aca="false">SQRT(($B148-BB$139)^2+($C148-BB$140)^2+($D148-BB$141)^2)</f>
        <v>0.796417970561033</v>
      </c>
      <c r="BC148" s="17" t="n">
        <f aca="false">SQRT(($B148-BC$139)^2+($C148-BC$140)^2+($D148-BC$141)^2)</f>
        <v>5.81566815652618</v>
      </c>
      <c r="BD148" s="17" t="n">
        <f aca="false">SQRT(($B148-BD$139)^2+($C148-BD$140)^2+($D148-BD$141)^2)</f>
        <v>2.84206652711003</v>
      </c>
      <c r="BE148" s="17" t="n">
        <f aca="false">SQRT(($B148-BE$139)^2+($C148-BE$140)^2+($D148-BE$141)^2)</f>
        <v>4.64940603173971</v>
      </c>
      <c r="BF148" s="63" t="n">
        <f aca="false">MATCH(MIN(BB148:BE148),BB148:BE148,0)</f>
        <v>1</v>
      </c>
      <c r="BH148" s="17" t="n">
        <f aca="false">SQRT(($B148-BH$139)^2+($C148-BH$140)^2+($D148-BH$141)^2)</f>
        <v>0.796417970561033</v>
      </c>
      <c r="BI148" s="17" t="n">
        <f aca="false">SQRT(($B148-BI$139)^2+($C148-BI$140)^2+($D148-BI$141)^2)</f>
        <v>5.81566815652618</v>
      </c>
      <c r="BJ148" s="17" t="n">
        <f aca="false">SQRT(($B148-BJ$139)^2+($C148-BJ$140)^2+($D148-BJ$141)^2)</f>
        <v>2.84206652711003</v>
      </c>
      <c r="BK148" s="17" t="n">
        <f aca="false">SQRT(($B148-BK$139)^2+($C148-BK$140)^2+($D148-BK$141)^2)</f>
        <v>4.64940603173971</v>
      </c>
      <c r="BL148" s="63" t="n">
        <f aca="false">MATCH(MIN(BH148:BK148),BH148:BK148,0)</f>
        <v>1</v>
      </c>
      <c r="BN148" s="17" t="n">
        <f aca="false">SQRT(($B148-BN$139)^2+($C148-BN$140)^2+($D148-BN$141)^2)</f>
        <v>0.796417970561033</v>
      </c>
      <c r="BO148" s="17" t="n">
        <f aca="false">SQRT(($B148-BO$139)^2+($C148-BO$140)^2+($D148-BO$141)^2)</f>
        <v>5.81566815652618</v>
      </c>
      <c r="BP148" s="17" t="n">
        <f aca="false">SQRT(($B148-BP$139)^2+($C148-BP$140)^2+($D148-BP$141)^2)</f>
        <v>2.84206652711003</v>
      </c>
      <c r="BQ148" s="17" t="n">
        <f aca="false">SQRT(($B148-BQ$139)^2+($C148-BQ$140)^2+($D148-BQ$141)^2)</f>
        <v>4.64940603173971</v>
      </c>
      <c r="BR148" s="63" t="n">
        <f aca="false">MATCH(MIN(BN148:BQ148),BN148:BQ148,0)</f>
        <v>1</v>
      </c>
      <c r="BT148" s="17" t="n">
        <f aca="false">SQRT(($B148-BT$139)^2+($C148-BT$140)^2+($D148-BT$141)^2)</f>
        <v>0.796417970561033</v>
      </c>
      <c r="BU148" s="17" t="n">
        <f aca="false">SQRT(($B148-BU$139)^2+($C148-BU$140)^2+($D148-BU$141)^2)</f>
        <v>5.81566815652618</v>
      </c>
      <c r="BV148" s="17" t="n">
        <f aca="false">SQRT(($B148-BV$139)^2+($C148-BV$140)^2+($D148-BV$141)^2)</f>
        <v>2.84206652711003</v>
      </c>
      <c r="BW148" s="17" t="n">
        <f aca="false">SQRT(($B148-BW$139)^2+($C148-BW$140)^2+($D148-BW$141)^2)</f>
        <v>4.64940603173971</v>
      </c>
      <c r="BX148" s="63" t="n">
        <f aca="false">MATCH(MIN(BT148:BW148),BT148:BW148,0)</f>
        <v>1</v>
      </c>
      <c r="BZ148" s="17" t="n">
        <f aca="false">SQRT(($B148-BZ$139)^2+($C148-BZ$140)^2+($D148-BZ$141)^2)</f>
        <v>0.796417970561033</v>
      </c>
      <c r="CA148" s="17" t="n">
        <f aca="false">SQRT(($B148-CA$139)^2+($C148-CA$140)^2+($D148-CA$141)^2)</f>
        <v>5.81566815652618</v>
      </c>
      <c r="CB148" s="17" t="n">
        <f aca="false">SQRT(($B148-CB$139)^2+($C148-CB$140)^2+($D148-CB$141)^2)</f>
        <v>2.84206652711003</v>
      </c>
      <c r="CC148" s="17" t="n">
        <f aca="false">SQRT(($B148-CC$139)^2+($C148-CC$140)^2+($D148-CC$141)^2)</f>
        <v>4.64940603173971</v>
      </c>
      <c r="CD148" s="63" t="n">
        <f aca="false">MATCH(MIN(BZ148:CC148),BZ148:CC148,0)</f>
        <v>1</v>
      </c>
      <c r="CF148" s="17" t="n">
        <f aca="false">SQRT(($B148-CF$139)^2+($C148-CF$140)^2+($D148-CF$141)^2)</f>
        <v>0.796417970561033</v>
      </c>
      <c r="CG148" s="17" t="n">
        <f aca="false">SQRT(($B148-CG$139)^2+($C148-CG$140)^2+($D148-CG$141)^2)</f>
        <v>5.81566815652618</v>
      </c>
      <c r="CH148" s="17" t="n">
        <f aca="false">SQRT(($B148-CH$139)^2+($C148-CH$140)^2+($D148-CH$141)^2)</f>
        <v>2.84206652711003</v>
      </c>
      <c r="CI148" s="17" t="n">
        <f aca="false">SQRT(($B148-CI$139)^2+($C148-CI$140)^2+($D148-CI$141)^2)</f>
        <v>4.64940603173971</v>
      </c>
      <c r="CJ148" s="63" t="n">
        <f aca="false">MATCH(MIN(CF148:CI148),CF148:CI148,0)</f>
        <v>1</v>
      </c>
      <c r="CL148" s="17" t="n">
        <f aca="false">SQRT(($B148-CL$139)^2+($C148-CL$140)^2+($D148-CL$141)^2)</f>
        <v>0.796417970561033</v>
      </c>
      <c r="CM148" s="17" t="n">
        <f aca="false">SQRT(($B148-CM$139)^2+($C148-CM$140)^2+($D148-CM$141)^2)</f>
        <v>5.81566815652618</v>
      </c>
      <c r="CN148" s="17" t="n">
        <f aca="false">SQRT(($B148-CN$139)^2+($C148-CN$140)^2+($D148-CN$141)^2)</f>
        <v>2.84206652711003</v>
      </c>
      <c r="CO148" s="17" t="n">
        <f aca="false">SQRT(($B148-CO$139)^2+($C148-CO$140)^2+($D148-CO$141)^2)</f>
        <v>4.64940603173971</v>
      </c>
      <c r="CP148" s="63" t="n">
        <f aca="false">MATCH(MIN(CL148:CO148),CL148:CO148,0)</f>
        <v>1</v>
      </c>
    </row>
    <row r="149" customFormat="false" ht="15" hidden="false" customHeight="false" outlineLevel="0" collapsed="false">
      <c r="A149" s="36" t="str">
        <f aca="false">KMeans_Data!A8</f>
        <v>Peshawar</v>
      </c>
      <c r="B149" s="17" t="n">
        <f aca="false">KMeans_Data!H8</f>
        <v>2.345233823008</v>
      </c>
      <c r="C149" s="17" t="n">
        <f aca="false">KMeans_Data!I8</f>
        <v>3.56174892105073</v>
      </c>
      <c r="D149" s="17" t="n">
        <f aca="false">KMeans_Data!J8</f>
        <v>1.6399224296702</v>
      </c>
      <c r="E149" s="63" t="n">
        <f aca="false">CP149</f>
        <v>1</v>
      </c>
      <c r="F149" s="38" t="n">
        <f aca="false">($B149-INDEX($L$139:$O$139,E149))^2+($C149-INDEX($L$140:$O$140,E149))^2+($D149-INDEX($L$141:$O$141,E149))^2</f>
        <v>0.565413446987925</v>
      </c>
      <c r="G149" s="17" t="n">
        <f aca="false">IF(COUNTIF(Distance_Matrix!$E$10:$DQ$10,$E149)&lt;=1,0,SUMIF(Distance_Matrix!$E$10:$DQ$10,$E149,Distance_Matrix!$E$17:$DQ$17)/(COUNTIF(Distance_Matrix!$E$10:$DQ$10,$E149)-1))</f>
        <v>1.59734368186843</v>
      </c>
      <c r="H149" s="17" t="n">
        <f aca="false">MIN(IF(1=$E149,1E+099,IF(COUNTIF(Distance_Matrix!$E$10:$DQ$10,1)=0,1E+099,SUMIF(Distance_Matrix!$E$10:$DQ$10,1,Distance_Matrix!$E$17:$DQ$17)/COUNTIF(Distance_Matrix!$E$10:$DQ$10,1))),IF(2=$E149,1E+099,IF(COUNTIF(Distance_Matrix!$E$10:$DQ$10,2)=0,1E+099,SUMIF(Distance_Matrix!$E$10:$DQ$10,2,Distance_Matrix!$E$17:$DQ$17)/COUNTIF(Distance_Matrix!$E$10:$DQ$10,2))),IF(3=$E149,1E+099,IF(COUNTIF(Distance_Matrix!$E$10:$DQ$10,3)=0,1E+099,SUMIF(Distance_Matrix!$E$10:$DQ$10,3,Distance_Matrix!$E$17:$DQ$17)/COUNTIF(Distance_Matrix!$E$10:$DQ$10,3))),IF(4=$E149,1E+099,IF(COUNTIF(Distance_Matrix!$E$10:$DQ$10,4)=0,1E+099,SUMIF(Distance_Matrix!$E$10:$DQ$10,4,Distance_Matrix!$E$17:$DQ$17)/COUNTIF(Distance_Matrix!$E$10:$DQ$10,4))))</f>
        <v>3.52832723341829</v>
      </c>
      <c r="I149" s="17" t="n">
        <f aca="false">IF(COUNTIF(Distance_Matrix!$E$10:$DQ$10,$E149)&lt;=1,0,(H149-G149)/MAX(G149,H149))</f>
        <v>0.547280176640276</v>
      </c>
      <c r="X149" s="17" t="n">
        <f aca="false">SQRT(($B149-X$139)^2+($C149-X$140)^2+($D149-X$141)^2)</f>
        <v>1.92143186127921</v>
      </c>
      <c r="Y149" s="17" t="n">
        <f aca="false">SQRT(($B149-Y$139)^2+($C149-Y$140)^2+($D149-Y$141)^2)</f>
        <v>6.7282906668016</v>
      </c>
      <c r="Z149" s="17" t="n">
        <f aca="false">SQRT(($B149-Z$139)^2+($C149-Z$140)^2+($D149-Z$141)^2)</f>
        <v>3.44546531545124</v>
      </c>
      <c r="AA149" s="17" t="n">
        <f aca="false">SQRT(($B149-AA$139)^2+($C149-AA$140)^2+($D149-AA$141)^2)</f>
        <v>4.93989688451137</v>
      </c>
      <c r="AB149" s="63" t="n">
        <f aca="false">MATCH(MIN(X149:AA149),X149:AA149,0)</f>
        <v>1</v>
      </c>
      <c r="AD149" s="17" t="n">
        <f aca="false">SQRT(($B149-AD$139)^2+($C149-AD$140)^2+($D149-AD$141)^2)</f>
        <v>0.966197738578917</v>
      </c>
      <c r="AE149" s="17" t="n">
        <f aca="false">SQRT(($B149-AE$139)^2+($C149-AE$140)^2+($D149-AE$141)^2)</f>
        <v>6.1044244897634</v>
      </c>
      <c r="AF149" s="17" t="n">
        <f aca="false">SQRT(($B149-AF$139)^2+($C149-AF$140)^2+($D149-AF$141)^2)</f>
        <v>3.53655781499189</v>
      </c>
      <c r="AG149" s="17" t="n">
        <f aca="false">SQRT(($B149-AG$139)^2+($C149-AG$140)^2+($D149-AG$141)^2)</f>
        <v>5.18121677872601</v>
      </c>
      <c r="AH149" s="63" t="n">
        <f aca="false">MATCH(MIN(AD149:AG149),AD149:AG149,0)</f>
        <v>1</v>
      </c>
      <c r="AJ149" s="17" t="n">
        <f aca="false">SQRT(($B149-AJ$139)^2+($C149-AJ$140)^2+($D149-AJ$141)^2)</f>
        <v>0.837390350524262</v>
      </c>
      <c r="AK149" s="17" t="n">
        <f aca="false">SQRT(($B149-AK$139)^2+($C149-AK$140)^2+($D149-AK$141)^2)</f>
        <v>6.12073950420063</v>
      </c>
      <c r="AL149" s="17" t="n">
        <f aca="false">SQRT(($B149-AL$139)^2+($C149-AL$140)^2+($D149-AL$141)^2)</f>
        <v>3.4429627307618</v>
      </c>
      <c r="AM149" s="17" t="n">
        <f aca="false">SQRT(($B149-AM$139)^2+($C149-AM$140)^2+($D149-AM$141)^2)</f>
        <v>5.14380870121663</v>
      </c>
      <c r="AN149" s="63" t="n">
        <f aca="false">MATCH(MIN(AJ149:AM149),AJ149:AM149,0)</f>
        <v>1</v>
      </c>
      <c r="AP149" s="17" t="n">
        <f aca="false">SQRT(($B149-AP$139)^2+($C149-AP$140)^2+($D149-AP$141)^2)</f>
        <v>0.751939789469825</v>
      </c>
      <c r="AQ149" s="17" t="n">
        <f aca="false">SQRT(($B149-AQ$139)^2+($C149-AQ$140)^2+($D149-AQ$141)^2)</f>
        <v>6.18424884082263</v>
      </c>
      <c r="AR149" s="17" t="n">
        <f aca="false">SQRT(($B149-AR$139)^2+($C149-AR$140)^2+($D149-AR$141)^2)</f>
        <v>3.49323015123122</v>
      </c>
      <c r="AS149" s="17" t="n">
        <f aca="false">SQRT(($B149-AS$139)^2+($C149-AS$140)^2+($D149-AS$141)^2)</f>
        <v>5.17146399896936</v>
      </c>
      <c r="AT149" s="63" t="n">
        <f aca="false">MATCH(MIN(AP149:AS149),AP149:AS149,0)</f>
        <v>1</v>
      </c>
      <c r="AV149" s="17" t="n">
        <f aca="false">SQRT(($B149-AV$139)^2+($C149-AV$140)^2+($D149-AV$141)^2)</f>
        <v>0.751939789469825</v>
      </c>
      <c r="AW149" s="17" t="n">
        <f aca="false">SQRT(($B149-AW$139)^2+($C149-AW$140)^2+($D149-AW$141)^2)</f>
        <v>6.18424884082263</v>
      </c>
      <c r="AX149" s="17" t="n">
        <f aca="false">SQRT(($B149-AX$139)^2+($C149-AX$140)^2+($D149-AX$141)^2)</f>
        <v>3.49323015123122</v>
      </c>
      <c r="AY149" s="17" t="n">
        <f aca="false">SQRT(($B149-AY$139)^2+($C149-AY$140)^2+($D149-AY$141)^2)</f>
        <v>5.17146399896936</v>
      </c>
      <c r="AZ149" s="63" t="n">
        <f aca="false">MATCH(MIN(AV149:AY149),AV149:AY149,0)</f>
        <v>1</v>
      </c>
      <c r="BB149" s="17" t="n">
        <f aca="false">SQRT(($B149-BB$139)^2+($C149-BB$140)^2+($D149-BB$141)^2)</f>
        <v>0.751939789469825</v>
      </c>
      <c r="BC149" s="17" t="n">
        <f aca="false">SQRT(($B149-BC$139)^2+($C149-BC$140)^2+($D149-BC$141)^2)</f>
        <v>6.18424884082263</v>
      </c>
      <c r="BD149" s="17" t="n">
        <f aca="false">SQRT(($B149-BD$139)^2+($C149-BD$140)^2+($D149-BD$141)^2)</f>
        <v>3.49323015123122</v>
      </c>
      <c r="BE149" s="17" t="n">
        <f aca="false">SQRT(($B149-BE$139)^2+($C149-BE$140)^2+($D149-BE$141)^2)</f>
        <v>5.17146399896936</v>
      </c>
      <c r="BF149" s="63" t="n">
        <f aca="false">MATCH(MIN(BB149:BE149),BB149:BE149,0)</f>
        <v>1</v>
      </c>
      <c r="BH149" s="17" t="n">
        <f aca="false">SQRT(($B149-BH$139)^2+($C149-BH$140)^2+($D149-BH$141)^2)</f>
        <v>0.751939789469825</v>
      </c>
      <c r="BI149" s="17" t="n">
        <f aca="false">SQRT(($B149-BI$139)^2+($C149-BI$140)^2+($D149-BI$141)^2)</f>
        <v>6.18424884082263</v>
      </c>
      <c r="BJ149" s="17" t="n">
        <f aca="false">SQRT(($B149-BJ$139)^2+($C149-BJ$140)^2+($D149-BJ$141)^2)</f>
        <v>3.49323015123122</v>
      </c>
      <c r="BK149" s="17" t="n">
        <f aca="false">SQRT(($B149-BK$139)^2+($C149-BK$140)^2+($D149-BK$141)^2)</f>
        <v>5.17146399896936</v>
      </c>
      <c r="BL149" s="63" t="n">
        <f aca="false">MATCH(MIN(BH149:BK149),BH149:BK149,0)</f>
        <v>1</v>
      </c>
      <c r="BN149" s="17" t="n">
        <f aca="false">SQRT(($B149-BN$139)^2+($C149-BN$140)^2+($D149-BN$141)^2)</f>
        <v>0.751939789469825</v>
      </c>
      <c r="BO149" s="17" t="n">
        <f aca="false">SQRT(($B149-BO$139)^2+($C149-BO$140)^2+($D149-BO$141)^2)</f>
        <v>6.18424884082263</v>
      </c>
      <c r="BP149" s="17" t="n">
        <f aca="false">SQRT(($B149-BP$139)^2+($C149-BP$140)^2+($D149-BP$141)^2)</f>
        <v>3.49323015123122</v>
      </c>
      <c r="BQ149" s="17" t="n">
        <f aca="false">SQRT(($B149-BQ$139)^2+($C149-BQ$140)^2+($D149-BQ$141)^2)</f>
        <v>5.17146399896936</v>
      </c>
      <c r="BR149" s="63" t="n">
        <f aca="false">MATCH(MIN(BN149:BQ149),BN149:BQ149,0)</f>
        <v>1</v>
      </c>
      <c r="BT149" s="17" t="n">
        <f aca="false">SQRT(($B149-BT$139)^2+($C149-BT$140)^2+($D149-BT$141)^2)</f>
        <v>0.751939789469825</v>
      </c>
      <c r="BU149" s="17" t="n">
        <f aca="false">SQRT(($B149-BU$139)^2+($C149-BU$140)^2+($D149-BU$141)^2)</f>
        <v>6.18424884082263</v>
      </c>
      <c r="BV149" s="17" t="n">
        <f aca="false">SQRT(($B149-BV$139)^2+($C149-BV$140)^2+($D149-BV$141)^2)</f>
        <v>3.49323015123122</v>
      </c>
      <c r="BW149" s="17" t="n">
        <f aca="false">SQRT(($B149-BW$139)^2+($C149-BW$140)^2+($D149-BW$141)^2)</f>
        <v>5.17146399896936</v>
      </c>
      <c r="BX149" s="63" t="n">
        <f aca="false">MATCH(MIN(BT149:BW149),BT149:BW149,0)</f>
        <v>1</v>
      </c>
      <c r="BZ149" s="17" t="n">
        <f aca="false">SQRT(($B149-BZ$139)^2+($C149-BZ$140)^2+($D149-BZ$141)^2)</f>
        <v>0.751939789469825</v>
      </c>
      <c r="CA149" s="17" t="n">
        <f aca="false">SQRT(($B149-CA$139)^2+($C149-CA$140)^2+($D149-CA$141)^2)</f>
        <v>6.18424884082263</v>
      </c>
      <c r="CB149" s="17" t="n">
        <f aca="false">SQRT(($B149-CB$139)^2+($C149-CB$140)^2+($D149-CB$141)^2)</f>
        <v>3.49323015123122</v>
      </c>
      <c r="CC149" s="17" t="n">
        <f aca="false">SQRT(($B149-CC$139)^2+($C149-CC$140)^2+($D149-CC$141)^2)</f>
        <v>5.17146399896936</v>
      </c>
      <c r="CD149" s="63" t="n">
        <f aca="false">MATCH(MIN(BZ149:CC149),BZ149:CC149,0)</f>
        <v>1</v>
      </c>
      <c r="CF149" s="17" t="n">
        <f aca="false">SQRT(($B149-CF$139)^2+($C149-CF$140)^2+($D149-CF$141)^2)</f>
        <v>0.751939789469825</v>
      </c>
      <c r="CG149" s="17" t="n">
        <f aca="false">SQRT(($B149-CG$139)^2+($C149-CG$140)^2+($D149-CG$141)^2)</f>
        <v>6.18424884082263</v>
      </c>
      <c r="CH149" s="17" t="n">
        <f aca="false">SQRT(($B149-CH$139)^2+($C149-CH$140)^2+($D149-CH$141)^2)</f>
        <v>3.49323015123122</v>
      </c>
      <c r="CI149" s="17" t="n">
        <f aca="false">SQRT(($B149-CI$139)^2+($C149-CI$140)^2+($D149-CI$141)^2)</f>
        <v>5.17146399896936</v>
      </c>
      <c r="CJ149" s="63" t="n">
        <f aca="false">MATCH(MIN(CF149:CI149),CF149:CI149,0)</f>
        <v>1</v>
      </c>
      <c r="CL149" s="17" t="n">
        <f aca="false">SQRT(($B149-CL$139)^2+($C149-CL$140)^2+($D149-CL$141)^2)</f>
        <v>0.751939789469825</v>
      </c>
      <c r="CM149" s="17" t="n">
        <f aca="false">SQRT(($B149-CM$139)^2+($C149-CM$140)^2+($D149-CM$141)^2)</f>
        <v>6.18424884082263</v>
      </c>
      <c r="CN149" s="17" t="n">
        <f aca="false">SQRT(($B149-CN$139)^2+($C149-CN$140)^2+($D149-CN$141)^2)</f>
        <v>3.49323015123122</v>
      </c>
      <c r="CO149" s="17" t="n">
        <f aca="false">SQRT(($B149-CO$139)^2+($C149-CO$140)^2+($D149-CO$141)^2)</f>
        <v>5.17146399896936</v>
      </c>
      <c r="CP149" s="63" t="n">
        <f aca="false">MATCH(MIN(CL149:CO149),CL149:CO149,0)</f>
        <v>1</v>
      </c>
    </row>
    <row r="150" customFormat="false" ht="15" hidden="false" customHeight="false" outlineLevel="0" collapsed="false">
      <c r="A150" s="36" t="str">
        <f aca="false">KMeans_Data!A9</f>
        <v>Islamabad</v>
      </c>
      <c r="B150" s="17" t="n">
        <f aca="false">KMeans_Data!H9</f>
        <v>2.1711238504828</v>
      </c>
      <c r="C150" s="17" t="n">
        <f aca="false">KMeans_Data!I9</f>
        <v>2.06578932043694</v>
      </c>
      <c r="D150" s="17" t="n">
        <f aca="false">KMeans_Data!J9</f>
        <v>1.69651676359603</v>
      </c>
      <c r="E150" s="63" t="n">
        <f aca="false">CP150</f>
        <v>1</v>
      </c>
      <c r="F150" s="38" t="n">
        <f aca="false">($B150-INDEX($L$139:$O$139,E150))^2+($C150-INDEX($L$140:$O$140,E150))^2+($D150-INDEX($L$141:$O$141,E150))^2</f>
        <v>1.31659151971118</v>
      </c>
      <c r="G150" s="17" t="n">
        <f aca="false">IF(COUNTIF(Distance_Matrix!$E$10:$DQ$10,$E150)&lt;=1,0,SUMIF(Distance_Matrix!$E$10:$DQ$10,$E150,Distance_Matrix!$E$18:$DQ$18)/(COUNTIF(Distance_Matrix!$E$10:$DQ$10,$E150)-1))</f>
        <v>1.65657323667089</v>
      </c>
      <c r="H150" s="17" t="n">
        <f aca="false">MIN(IF(1=$E150,1E+099,IF(COUNTIF(Distance_Matrix!$E$10:$DQ$10,1)=0,1E+099,SUMIF(Distance_Matrix!$E$10:$DQ$10,1,Distance_Matrix!$E$18:$DQ$18)/COUNTIF(Distance_Matrix!$E$10:$DQ$10,1))),IF(2=$E150,1E+099,IF(COUNTIF(Distance_Matrix!$E$10:$DQ$10,2)=0,1E+099,SUMIF(Distance_Matrix!$E$10:$DQ$10,2,Distance_Matrix!$E$18:$DQ$18)/COUNTIF(Distance_Matrix!$E$10:$DQ$10,2))),IF(3=$E150,1E+099,IF(COUNTIF(Distance_Matrix!$E$10:$DQ$10,3)=0,1E+099,SUMIF(Distance_Matrix!$E$10:$DQ$10,3,Distance_Matrix!$E$18:$DQ$18)/COUNTIF(Distance_Matrix!$E$10:$DQ$10,3))),IF(4=$E150,1E+099,IF(COUNTIF(Distance_Matrix!$E$10:$DQ$10,4)=0,1E+099,SUMIF(Distance_Matrix!$E$10:$DQ$10,4,Distance_Matrix!$E$18:$DQ$18)/COUNTIF(Distance_Matrix!$E$10:$DQ$10,4))))</f>
        <v>2.33414271364921</v>
      </c>
      <c r="I150" s="17" t="n">
        <f aca="false">IF(COUNTIF(Distance_Matrix!$E$10:$DQ$10,$E150)&lt;=1,0,(H150-G150)/MAX(G150,H150))</f>
        <v>0.290286225009354</v>
      </c>
      <c r="X150" s="17" t="n">
        <f aca="false">SQRT(($B150-X$139)^2+($C150-X$140)^2+($D150-X$141)^2)</f>
        <v>2.74440135734622</v>
      </c>
      <c r="Y150" s="17" t="n">
        <f aca="false">SQRT(($B150-Y$139)^2+($C150-Y$140)^2+($D150-Y$141)^2)</f>
        <v>5.80058252965424</v>
      </c>
      <c r="Z150" s="17" t="n">
        <f aca="false">SQRT(($B150-Z$139)^2+($C150-Z$140)^2+($D150-Z$141)^2)</f>
        <v>2.04521955558325</v>
      </c>
      <c r="AA150" s="17" t="n">
        <f aca="false">SQRT(($B150-AA$139)^2+($C150-AA$140)^2+($D150-AA$141)^2)</f>
        <v>3.9116800125412</v>
      </c>
      <c r="AB150" s="63" t="n">
        <f aca="false">MATCH(MIN(X150:AA150),X150:AA150,0)</f>
        <v>3</v>
      </c>
      <c r="AD150" s="17" t="n">
        <f aca="false">SQRT(($B150-AD$139)^2+($C150-AD$140)^2+($D150-AD$141)^2)</f>
        <v>1.76757305797318</v>
      </c>
      <c r="AE150" s="17" t="n">
        <f aca="false">SQRT(($B150-AE$139)^2+($C150-AE$140)^2+($D150-AE$141)^2)</f>
        <v>5.09561323353774</v>
      </c>
      <c r="AF150" s="17" t="n">
        <f aca="false">SQRT(($B150-AF$139)^2+($C150-AF$140)^2+($D150-AF$141)^2)</f>
        <v>2.3084237724341</v>
      </c>
      <c r="AG150" s="17" t="n">
        <f aca="false">SQRT(($B150-AG$139)^2+($C150-AG$140)^2+($D150-AG$141)^2)</f>
        <v>4.04992985104123</v>
      </c>
      <c r="AH150" s="63" t="n">
        <f aca="false">MATCH(MIN(AD150:AG150),AD150:AG150,0)</f>
        <v>1</v>
      </c>
      <c r="AJ150" s="17" t="n">
        <f aca="false">SQRT(($B150-AJ$139)^2+($C150-AJ$140)^2+($D150-AJ$141)^2)</f>
        <v>1.41405844637854</v>
      </c>
      <c r="AK150" s="17" t="n">
        <f aca="false">SQRT(($B150-AK$139)^2+($C150-AK$140)^2+($D150-AK$141)^2)</f>
        <v>5.11600169022918</v>
      </c>
      <c r="AL150" s="17" t="n">
        <f aca="false">SQRT(($B150-AL$139)^2+($C150-AL$140)^2+($D150-AL$141)^2)</f>
        <v>2.22247985371986</v>
      </c>
      <c r="AM150" s="17" t="n">
        <f aca="false">SQRT(($B150-AM$139)^2+($C150-AM$140)^2+($D150-AM$141)^2)</f>
        <v>3.99620057414665</v>
      </c>
      <c r="AN150" s="63" t="n">
        <f aca="false">MATCH(MIN(AJ150:AM150),AJ150:AM150,0)</f>
        <v>1</v>
      </c>
      <c r="AP150" s="17" t="n">
        <f aca="false">SQRT(($B150-AP$139)^2+($C150-AP$140)^2+($D150-AP$141)^2)</f>
        <v>1.14742821985132</v>
      </c>
      <c r="AQ150" s="17" t="n">
        <f aca="false">SQRT(($B150-AQ$139)^2+($C150-AQ$140)^2+($D150-AQ$141)^2)</f>
        <v>5.19189501348661</v>
      </c>
      <c r="AR150" s="17" t="n">
        <f aca="false">SQRT(($B150-AR$139)^2+($C150-AR$140)^2+($D150-AR$141)^2)</f>
        <v>2.27042712167321</v>
      </c>
      <c r="AS150" s="17" t="n">
        <f aca="false">SQRT(($B150-AS$139)^2+($C150-AS$140)^2+($D150-AS$141)^2)</f>
        <v>4.02559843581021</v>
      </c>
      <c r="AT150" s="63" t="n">
        <f aca="false">MATCH(MIN(AP150:AS150),AP150:AS150,0)</f>
        <v>1</v>
      </c>
      <c r="AV150" s="17" t="n">
        <f aca="false">SQRT(($B150-AV$139)^2+($C150-AV$140)^2+($D150-AV$141)^2)</f>
        <v>1.14742821985132</v>
      </c>
      <c r="AW150" s="17" t="n">
        <f aca="false">SQRT(($B150-AW$139)^2+($C150-AW$140)^2+($D150-AW$141)^2)</f>
        <v>5.19189501348661</v>
      </c>
      <c r="AX150" s="17" t="n">
        <f aca="false">SQRT(($B150-AX$139)^2+($C150-AX$140)^2+($D150-AX$141)^2)</f>
        <v>2.27042712167321</v>
      </c>
      <c r="AY150" s="17" t="n">
        <f aca="false">SQRT(($B150-AY$139)^2+($C150-AY$140)^2+($D150-AY$141)^2)</f>
        <v>4.02559843581021</v>
      </c>
      <c r="AZ150" s="63" t="n">
        <f aca="false">MATCH(MIN(AV150:AY150),AV150:AY150,0)</f>
        <v>1</v>
      </c>
      <c r="BB150" s="17" t="n">
        <f aca="false">SQRT(($B150-BB$139)^2+($C150-BB$140)^2+($D150-BB$141)^2)</f>
        <v>1.14742821985132</v>
      </c>
      <c r="BC150" s="17" t="n">
        <f aca="false">SQRT(($B150-BC$139)^2+($C150-BC$140)^2+($D150-BC$141)^2)</f>
        <v>5.19189501348661</v>
      </c>
      <c r="BD150" s="17" t="n">
        <f aca="false">SQRT(($B150-BD$139)^2+($C150-BD$140)^2+($D150-BD$141)^2)</f>
        <v>2.27042712167321</v>
      </c>
      <c r="BE150" s="17" t="n">
        <f aca="false">SQRT(($B150-BE$139)^2+($C150-BE$140)^2+($D150-BE$141)^2)</f>
        <v>4.02559843581021</v>
      </c>
      <c r="BF150" s="63" t="n">
        <f aca="false">MATCH(MIN(BB150:BE150),BB150:BE150,0)</f>
        <v>1</v>
      </c>
      <c r="BH150" s="17" t="n">
        <f aca="false">SQRT(($B150-BH$139)^2+($C150-BH$140)^2+($D150-BH$141)^2)</f>
        <v>1.14742821985132</v>
      </c>
      <c r="BI150" s="17" t="n">
        <f aca="false">SQRT(($B150-BI$139)^2+($C150-BI$140)^2+($D150-BI$141)^2)</f>
        <v>5.19189501348661</v>
      </c>
      <c r="BJ150" s="17" t="n">
        <f aca="false">SQRT(($B150-BJ$139)^2+($C150-BJ$140)^2+($D150-BJ$141)^2)</f>
        <v>2.27042712167321</v>
      </c>
      <c r="BK150" s="17" t="n">
        <f aca="false">SQRT(($B150-BK$139)^2+($C150-BK$140)^2+($D150-BK$141)^2)</f>
        <v>4.02559843581021</v>
      </c>
      <c r="BL150" s="63" t="n">
        <f aca="false">MATCH(MIN(BH150:BK150),BH150:BK150,0)</f>
        <v>1</v>
      </c>
      <c r="BN150" s="17" t="n">
        <f aca="false">SQRT(($B150-BN$139)^2+($C150-BN$140)^2+($D150-BN$141)^2)</f>
        <v>1.14742821985132</v>
      </c>
      <c r="BO150" s="17" t="n">
        <f aca="false">SQRT(($B150-BO$139)^2+($C150-BO$140)^2+($D150-BO$141)^2)</f>
        <v>5.19189501348661</v>
      </c>
      <c r="BP150" s="17" t="n">
        <f aca="false">SQRT(($B150-BP$139)^2+($C150-BP$140)^2+($D150-BP$141)^2)</f>
        <v>2.27042712167321</v>
      </c>
      <c r="BQ150" s="17" t="n">
        <f aca="false">SQRT(($B150-BQ$139)^2+($C150-BQ$140)^2+($D150-BQ$141)^2)</f>
        <v>4.02559843581021</v>
      </c>
      <c r="BR150" s="63" t="n">
        <f aca="false">MATCH(MIN(BN150:BQ150),BN150:BQ150,0)</f>
        <v>1</v>
      </c>
      <c r="BT150" s="17" t="n">
        <f aca="false">SQRT(($B150-BT$139)^2+($C150-BT$140)^2+($D150-BT$141)^2)</f>
        <v>1.14742821985132</v>
      </c>
      <c r="BU150" s="17" t="n">
        <f aca="false">SQRT(($B150-BU$139)^2+($C150-BU$140)^2+($D150-BU$141)^2)</f>
        <v>5.19189501348661</v>
      </c>
      <c r="BV150" s="17" t="n">
        <f aca="false">SQRT(($B150-BV$139)^2+($C150-BV$140)^2+($D150-BV$141)^2)</f>
        <v>2.27042712167321</v>
      </c>
      <c r="BW150" s="17" t="n">
        <f aca="false">SQRT(($B150-BW$139)^2+($C150-BW$140)^2+($D150-BW$141)^2)</f>
        <v>4.02559843581021</v>
      </c>
      <c r="BX150" s="63" t="n">
        <f aca="false">MATCH(MIN(BT150:BW150),BT150:BW150,0)</f>
        <v>1</v>
      </c>
      <c r="BZ150" s="17" t="n">
        <f aca="false">SQRT(($B150-BZ$139)^2+($C150-BZ$140)^2+($D150-BZ$141)^2)</f>
        <v>1.14742821985132</v>
      </c>
      <c r="CA150" s="17" t="n">
        <f aca="false">SQRT(($B150-CA$139)^2+($C150-CA$140)^2+($D150-CA$141)^2)</f>
        <v>5.19189501348661</v>
      </c>
      <c r="CB150" s="17" t="n">
        <f aca="false">SQRT(($B150-CB$139)^2+($C150-CB$140)^2+($D150-CB$141)^2)</f>
        <v>2.27042712167321</v>
      </c>
      <c r="CC150" s="17" t="n">
        <f aca="false">SQRT(($B150-CC$139)^2+($C150-CC$140)^2+($D150-CC$141)^2)</f>
        <v>4.02559843581021</v>
      </c>
      <c r="CD150" s="63" t="n">
        <f aca="false">MATCH(MIN(BZ150:CC150),BZ150:CC150,0)</f>
        <v>1</v>
      </c>
      <c r="CF150" s="17" t="n">
        <f aca="false">SQRT(($B150-CF$139)^2+($C150-CF$140)^2+($D150-CF$141)^2)</f>
        <v>1.14742821985132</v>
      </c>
      <c r="CG150" s="17" t="n">
        <f aca="false">SQRT(($B150-CG$139)^2+($C150-CG$140)^2+($D150-CG$141)^2)</f>
        <v>5.19189501348661</v>
      </c>
      <c r="CH150" s="17" t="n">
        <f aca="false">SQRT(($B150-CH$139)^2+($C150-CH$140)^2+($D150-CH$141)^2)</f>
        <v>2.27042712167321</v>
      </c>
      <c r="CI150" s="17" t="n">
        <f aca="false">SQRT(($B150-CI$139)^2+($C150-CI$140)^2+($D150-CI$141)^2)</f>
        <v>4.02559843581021</v>
      </c>
      <c r="CJ150" s="63" t="n">
        <f aca="false">MATCH(MIN(CF150:CI150),CF150:CI150,0)</f>
        <v>1</v>
      </c>
      <c r="CL150" s="17" t="n">
        <f aca="false">SQRT(($B150-CL$139)^2+($C150-CL$140)^2+($D150-CL$141)^2)</f>
        <v>1.14742821985132</v>
      </c>
      <c r="CM150" s="17" t="n">
        <f aca="false">SQRT(($B150-CM$139)^2+($C150-CM$140)^2+($D150-CM$141)^2)</f>
        <v>5.19189501348661</v>
      </c>
      <c r="CN150" s="17" t="n">
        <f aca="false">SQRT(($B150-CN$139)^2+($C150-CN$140)^2+($D150-CN$141)^2)</f>
        <v>2.27042712167321</v>
      </c>
      <c r="CO150" s="17" t="n">
        <f aca="false">SQRT(($B150-CO$139)^2+($C150-CO$140)^2+($D150-CO$141)^2)</f>
        <v>4.02559843581021</v>
      </c>
      <c r="CP150" s="63" t="n">
        <f aca="false">MATCH(MIN(CL150:CO150),CL150:CO150,0)</f>
        <v>1</v>
      </c>
    </row>
    <row r="151" customFormat="false" ht="15" hidden="false" customHeight="false" outlineLevel="0" collapsed="false">
      <c r="A151" s="36" t="str">
        <f aca="false">KMeans_Data!A10</f>
        <v>Swat</v>
      </c>
      <c r="B151" s="17" t="n">
        <f aca="false">KMeans_Data!H10</f>
        <v>1.49375246664447</v>
      </c>
      <c r="C151" s="17" t="n">
        <f aca="false">KMeans_Data!I10</f>
        <v>2.23090597008422</v>
      </c>
      <c r="D151" s="17" t="n">
        <f aca="false">KMeans_Data!J10</f>
        <v>1.44343610510691</v>
      </c>
      <c r="E151" s="63" t="n">
        <f aca="false">CP151</f>
        <v>1</v>
      </c>
      <c r="F151" s="38" t="n">
        <f aca="false">($B151-INDEX($L$139:$O$139,E151))^2+($C151-INDEX($L$140:$O$140,E151))^2+($D151-INDEX($L$141:$O$141,E151))^2</f>
        <v>2.20700220828376</v>
      </c>
      <c r="G151" s="17" t="n">
        <f aca="false">IF(COUNTIF(Distance_Matrix!$E$10:$DQ$10,$E151)&lt;=1,0,SUMIF(Distance_Matrix!$E$10:$DQ$10,$E151,Distance_Matrix!$E$19:$DQ$19)/(COUNTIF(Distance_Matrix!$E$10:$DQ$10,$E151)-1))</f>
        <v>1.9220689422187</v>
      </c>
      <c r="H151" s="17" t="n">
        <f aca="false">MIN(IF(1=$E151,1E+099,IF(COUNTIF(Distance_Matrix!$E$10:$DQ$10,1)=0,1E+099,SUMIF(Distance_Matrix!$E$10:$DQ$10,1,Distance_Matrix!$E$19:$DQ$19)/COUNTIF(Distance_Matrix!$E$10:$DQ$10,1))),IF(2=$E151,1E+099,IF(COUNTIF(Distance_Matrix!$E$10:$DQ$10,2)=0,1E+099,SUMIF(Distance_Matrix!$E$10:$DQ$10,2,Distance_Matrix!$E$19:$DQ$19)/COUNTIF(Distance_Matrix!$E$10:$DQ$10,2))),IF(3=$E151,1E+099,IF(COUNTIF(Distance_Matrix!$E$10:$DQ$10,3)=0,1E+099,SUMIF(Distance_Matrix!$E$10:$DQ$10,3,Distance_Matrix!$E$19:$DQ$19)/COUNTIF(Distance_Matrix!$E$10:$DQ$10,3))),IF(4=$E151,1E+099,IF(COUNTIF(Distance_Matrix!$E$10:$DQ$10,4)=0,1E+099,SUMIF(Distance_Matrix!$E$10:$DQ$10,4,Distance_Matrix!$E$19:$DQ$19)/COUNTIF(Distance_Matrix!$E$10:$DQ$10,4))))</f>
        <v>1.98412120145458</v>
      </c>
      <c r="I151" s="17" t="n">
        <f aca="false">IF(COUNTIF(Distance_Matrix!$E$10:$DQ$10,$E151)&lt;=1,0,(H151-G151)/MAX(G151,H151))</f>
        <v>0.0312744298031762</v>
      </c>
      <c r="X151" s="17" t="n">
        <f aca="false">SQRT(($B151-X$139)^2+($C151-X$140)^2+($D151-X$141)^2)</f>
        <v>3.11649342466592</v>
      </c>
      <c r="Y151" s="17" t="n">
        <f aca="false">SQRT(($B151-Y$139)^2+($C151-Y$140)^2+($D151-Y$141)^2)</f>
        <v>5.28240577925859</v>
      </c>
      <c r="Z151" s="17" t="n">
        <f aca="false">SQRT(($B151-Z$139)^2+($C151-Z$140)^2+($D151-Z$141)^2)</f>
        <v>1.90781752145149</v>
      </c>
      <c r="AA151" s="17" t="n">
        <f aca="false">SQRT(($B151-AA$139)^2+($C151-AA$140)^2+($D151-AA$141)^2)</f>
        <v>3.61620404102272</v>
      </c>
      <c r="AB151" s="63" t="n">
        <f aca="false">MATCH(MIN(X151:AA151),X151:AA151,0)</f>
        <v>3</v>
      </c>
      <c r="AD151" s="17" t="n">
        <f aca="false">SQRT(($B151-AD$139)^2+($C151-AD$140)^2+($D151-AD$141)^2)</f>
        <v>2.11185476492384</v>
      </c>
      <c r="AE151" s="17" t="n">
        <f aca="false">SQRT(($B151-AE$139)^2+($C151-AE$140)^2+($D151-AE$141)^2)</f>
        <v>4.63237484922532</v>
      </c>
      <c r="AF151" s="17" t="n">
        <f aca="false">SQRT(($B151-AF$139)^2+($C151-AF$140)^2+($D151-AF$141)^2)</f>
        <v>1.95937309422252</v>
      </c>
      <c r="AG151" s="17" t="n">
        <f aca="false">SQRT(($B151-AG$139)^2+($C151-AG$140)^2+($D151-AG$141)^2)</f>
        <v>3.69476431945653</v>
      </c>
      <c r="AH151" s="63" t="n">
        <f aca="false">MATCH(MIN(AD151:AG151),AD151:AG151,0)</f>
        <v>3</v>
      </c>
      <c r="AJ151" s="17" t="n">
        <f aca="false">SQRT(($B151-AJ$139)^2+($C151-AJ$140)^2+($D151-AJ$141)^2)</f>
        <v>1.78271791933795</v>
      </c>
      <c r="AK151" s="17" t="n">
        <f aca="false">SQRT(($B151-AK$139)^2+($C151-AK$140)^2+($D151-AK$141)^2)</f>
        <v>4.65332442336446</v>
      </c>
      <c r="AL151" s="17" t="n">
        <f aca="false">SQRT(($B151-AL$139)^2+($C151-AL$140)^2+($D151-AL$141)^2)</f>
        <v>1.86738290232912</v>
      </c>
      <c r="AM151" s="17" t="n">
        <f aca="false">SQRT(($B151-AM$139)^2+($C151-AM$140)^2+($D151-AM$141)^2)</f>
        <v>3.64166403133623</v>
      </c>
      <c r="AN151" s="63" t="n">
        <f aca="false">MATCH(MIN(AJ151:AM151),AJ151:AM151,0)</f>
        <v>1</v>
      </c>
      <c r="AP151" s="17" t="n">
        <f aca="false">SQRT(($B151-AP$139)^2+($C151-AP$140)^2+($D151-AP$141)^2)</f>
        <v>1.48559826611496</v>
      </c>
      <c r="AQ151" s="17" t="n">
        <f aca="false">SQRT(($B151-AQ$139)^2+($C151-AQ$140)^2+($D151-AQ$141)^2)</f>
        <v>4.72529192823733</v>
      </c>
      <c r="AR151" s="17" t="n">
        <f aca="false">SQRT(($B151-AR$139)^2+($C151-AR$140)^2+($D151-AR$141)^2)</f>
        <v>1.91785271050018</v>
      </c>
      <c r="AS151" s="17" t="n">
        <f aca="false">SQRT(($B151-AS$139)^2+($C151-AS$140)^2+($D151-AS$141)^2)</f>
        <v>3.66624616469372</v>
      </c>
      <c r="AT151" s="63" t="n">
        <f aca="false">MATCH(MIN(AP151:AS151),AP151:AS151,0)</f>
        <v>1</v>
      </c>
      <c r="AV151" s="17" t="n">
        <f aca="false">SQRT(($B151-AV$139)^2+($C151-AV$140)^2+($D151-AV$141)^2)</f>
        <v>1.48559826611496</v>
      </c>
      <c r="AW151" s="17" t="n">
        <f aca="false">SQRT(($B151-AW$139)^2+($C151-AW$140)^2+($D151-AW$141)^2)</f>
        <v>4.72529192823733</v>
      </c>
      <c r="AX151" s="17" t="n">
        <f aca="false">SQRT(($B151-AX$139)^2+($C151-AX$140)^2+($D151-AX$141)^2)</f>
        <v>1.91785271050018</v>
      </c>
      <c r="AY151" s="17" t="n">
        <f aca="false">SQRT(($B151-AY$139)^2+($C151-AY$140)^2+($D151-AY$141)^2)</f>
        <v>3.66624616469372</v>
      </c>
      <c r="AZ151" s="63" t="n">
        <f aca="false">MATCH(MIN(AV151:AY151),AV151:AY151,0)</f>
        <v>1</v>
      </c>
      <c r="BB151" s="17" t="n">
        <f aca="false">SQRT(($B151-BB$139)^2+($C151-BB$140)^2+($D151-BB$141)^2)</f>
        <v>1.48559826611496</v>
      </c>
      <c r="BC151" s="17" t="n">
        <f aca="false">SQRT(($B151-BC$139)^2+($C151-BC$140)^2+($D151-BC$141)^2)</f>
        <v>4.72529192823733</v>
      </c>
      <c r="BD151" s="17" t="n">
        <f aca="false">SQRT(($B151-BD$139)^2+($C151-BD$140)^2+($D151-BD$141)^2)</f>
        <v>1.91785271050018</v>
      </c>
      <c r="BE151" s="17" t="n">
        <f aca="false">SQRT(($B151-BE$139)^2+($C151-BE$140)^2+($D151-BE$141)^2)</f>
        <v>3.66624616469372</v>
      </c>
      <c r="BF151" s="63" t="n">
        <f aca="false">MATCH(MIN(BB151:BE151),BB151:BE151,0)</f>
        <v>1</v>
      </c>
      <c r="BH151" s="17" t="n">
        <f aca="false">SQRT(($B151-BH$139)^2+($C151-BH$140)^2+($D151-BH$141)^2)</f>
        <v>1.48559826611496</v>
      </c>
      <c r="BI151" s="17" t="n">
        <f aca="false">SQRT(($B151-BI$139)^2+($C151-BI$140)^2+($D151-BI$141)^2)</f>
        <v>4.72529192823733</v>
      </c>
      <c r="BJ151" s="17" t="n">
        <f aca="false">SQRT(($B151-BJ$139)^2+($C151-BJ$140)^2+($D151-BJ$141)^2)</f>
        <v>1.91785271050018</v>
      </c>
      <c r="BK151" s="17" t="n">
        <f aca="false">SQRT(($B151-BK$139)^2+($C151-BK$140)^2+($D151-BK$141)^2)</f>
        <v>3.66624616469372</v>
      </c>
      <c r="BL151" s="63" t="n">
        <f aca="false">MATCH(MIN(BH151:BK151),BH151:BK151,0)</f>
        <v>1</v>
      </c>
      <c r="BN151" s="17" t="n">
        <f aca="false">SQRT(($B151-BN$139)^2+($C151-BN$140)^2+($D151-BN$141)^2)</f>
        <v>1.48559826611496</v>
      </c>
      <c r="BO151" s="17" t="n">
        <f aca="false">SQRT(($B151-BO$139)^2+($C151-BO$140)^2+($D151-BO$141)^2)</f>
        <v>4.72529192823733</v>
      </c>
      <c r="BP151" s="17" t="n">
        <f aca="false">SQRT(($B151-BP$139)^2+($C151-BP$140)^2+($D151-BP$141)^2)</f>
        <v>1.91785271050018</v>
      </c>
      <c r="BQ151" s="17" t="n">
        <f aca="false">SQRT(($B151-BQ$139)^2+($C151-BQ$140)^2+($D151-BQ$141)^2)</f>
        <v>3.66624616469372</v>
      </c>
      <c r="BR151" s="63" t="n">
        <f aca="false">MATCH(MIN(BN151:BQ151),BN151:BQ151,0)</f>
        <v>1</v>
      </c>
      <c r="BT151" s="17" t="n">
        <f aca="false">SQRT(($B151-BT$139)^2+($C151-BT$140)^2+($D151-BT$141)^2)</f>
        <v>1.48559826611496</v>
      </c>
      <c r="BU151" s="17" t="n">
        <f aca="false">SQRT(($B151-BU$139)^2+($C151-BU$140)^2+($D151-BU$141)^2)</f>
        <v>4.72529192823733</v>
      </c>
      <c r="BV151" s="17" t="n">
        <f aca="false">SQRT(($B151-BV$139)^2+($C151-BV$140)^2+($D151-BV$141)^2)</f>
        <v>1.91785271050018</v>
      </c>
      <c r="BW151" s="17" t="n">
        <f aca="false">SQRT(($B151-BW$139)^2+($C151-BW$140)^2+($D151-BW$141)^2)</f>
        <v>3.66624616469372</v>
      </c>
      <c r="BX151" s="63" t="n">
        <f aca="false">MATCH(MIN(BT151:BW151),BT151:BW151,0)</f>
        <v>1</v>
      </c>
      <c r="BZ151" s="17" t="n">
        <f aca="false">SQRT(($B151-BZ$139)^2+($C151-BZ$140)^2+($D151-BZ$141)^2)</f>
        <v>1.48559826611496</v>
      </c>
      <c r="CA151" s="17" t="n">
        <f aca="false">SQRT(($B151-CA$139)^2+($C151-CA$140)^2+($D151-CA$141)^2)</f>
        <v>4.72529192823733</v>
      </c>
      <c r="CB151" s="17" t="n">
        <f aca="false">SQRT(($B151-CB$139)^2+($C151-CB$140)^2+($D151-CB$141)^2)</f>
        <v>1.91785271050018</v>
      </c>
      <c r="CC151" s="17" t="n">
        <f aca="false">SQRT(($B151-CC$139)^2+($C151-CC$140)^2+($D151-CC$141)^2)</f>
        <v>3.66624616469372</v>
      </c>
      <c r="CD151" s="63" t="n">
        <f aca="false">MATCH(MIN(BZ151:CC151),BZ151:CC151,0)</f>
        <v>1</v>
      </c>
      <c r="CF151" s="17" t="n">
        <f aca="false">SQRT(($B151-CF$139)^2+($C151-CF$140)^2+($D151-CF$141)^2)</f>
        <v>1.48559826611496</v>
      </c>
      <c r="CG151" s="17" t="n">
        <f aca="false">SQRT(($B151-CG$139)^2+($C151-CG$140)^2+($D151-CG$141)^2)</f>
        <v>4.72529192823733</v>
      </c>
      <c r="CH151" s="17" t="n">
        <f aca="false">SQRT(($B151-CH$139)^2+($C151-CH$140)^2+($D151-CH$141)^2)</f>
        <v>1.91785271050018</v>
      </c>
      <c r="CI151" s="17" t="n">
        <f aca="false">SQRT(($B151-CI$139)^2+($C151-CI$140)^2+($D151-CI$141)^2)</f>
        <v>3.66624616469372</v>
      </c>
      <c r="CJ151" s="63" t="n">
        <f aca="false">MATCH(MIN(CF151:CI151),CF151:CI151,0)</f>
        <v>1</v>
      </c>
      <c r="CL151" s="17" t="n">
        <f aca="false">SQRT(($B151-CL$139)^2+($C151-CL$140)^2+($D151-CL$141)^2)</f>
        <v>1.48559826611496</v>
      </c>
      <c r="CM151" s="17" t="n">
        <f aca="false">SQRT(($B151-CM$139)^2+($C151-CM$140)^2+($D151-CM$141)^2)</f>
        <v>4.72529192823733</v>
      </c>
      <c r="CN151" s="17" t="n">
        <f aca="false">SQRT(($B151-CN$139)^2+($C151-CN$140)^2+($D151-CN$141)^2)</f>
        <v>1.91785271050018</v>
      </c>
      <c r="CO151" s="17" t="n">
        <f aca="false">SQRT(($B151-CO$139)^2+($C151-CO$140)^2+($D151-CO$141)^2)</f>
        <v>3.66624616469372</v>
      </c>
      <c r="CP151" s="63" t="n">
        <f aca="false">MATCH(MIN(CL151:CO151),CL151:CO151,0)</f>
        <v>1</v>
      </c>
    </row>
    <row r="152" customFormat="false" ht="15" hidden="false" customHeight="false" outlineLevel="0" collapsed="false">
      <c r="A152" s="36" t="str">
        <f aca="false">KMeans_Data!A11</f>
        <v>Multan</v>
      </c>
      <c r="B152" s="17" t="n">
        <f aca="false">KMeans_Data!H11</f>
        <v>1.339480128572</v>
      </c>
      <c r="C152" s="17" t="n">
        <f aca="false">KMeans_Data!I11</f>
        <v>0.160512589624996</v>
      </c>
      <c r="D152" s="17" t="n">
        <f aca="false">KMeans_Data!J11</f>
        <v>-0.824446015898766</v>
      </c>
      <c r="E152" s="63" t="n">
        <f aca="false">CP152</f>
        <v>4</v>
      </c>
      <c r="F152" s="38" t="n">
        <f aca="false">($B152-INDEX($L$139:$O$139,E152))^2+($C152-INDEX($L$140:$O$140,E152))^2+($D152-INDEX($L$141:$O$141,E152))^2</f>
        <v>2.80445891979772</v>
      </c>
      <c r="G152" s="17" t="n">
        <f aca="false">IF(COUNTIF(Distance_Matrix!$E$10:$DQ$10,$E152)&lt;=1,0,SUMIF(Distance_Matrix!$E$10:$DQ$10,$E152,Distance_Matrix!$E$20:$DQ$20)/(COUNTIF(Distance_Matrix!$E$10:$DQ$10,$E152)-1))</f>
        <v>1.81606884273683</v>
      </c>
      <c r="H152" s="17" t="n">
        <f aca="false">MIN(IF(1=$E152,1E+099,IF(COUNTIF(Distance_Matrix!$E$10:$DQ$10,1)=0,1E+099,SUMIF(Distance_Matrix!$E$10:$DQ$10,1,Distance_Matrix!$E$20:$DQ$20)/COUNTIF(Distance_Matrix!$E$10:$DQ$10,1))),IF(2=$E152,1E+099,IF(COUNTIF(Distance_Matrix!$E$10:$DQ$10,2)=0,1E+099,SUMIF(Distance_Matrix!$E$10:$DQ$10,2,Distance_Matrix!$E$20:$DQ$20)/COUNTIF(Distance_Matrix!$E$10:$DQ$10,2))),IF(3=$E152,1E+099,IF(COUNTIF(Distance_Matrix!$E$10:$DQ$10,3)=0,1E+099,SUMIF(Distance_Matrix!$E$10:$DQ$10,3,Distance_Matrix!$E$20:$DQ$20)/COUNTIF(Distance_Matrix!$E$10:$DQ$10,3))),IF(4=$E152,1E+099,IF(COUNTIF(Distance_Matrix!$E$10:$DQ$10,4)=0,1E+099,SUMIF(Distance_Matrix!$E$10:$DQ$10,4,Distance_Matrix!$E$20:$DQ$20)/COUNTIF(Distance_Matrix!$E$10:$DQ$10,4))))</f>
        <v>2.03099615941859</v>
      </c>
      <c r="I152" s="17" t="n">
        <f aca="false">IF(COUNTIF(Distance_Matrix!$E$10:$DQ$10,$E152)&lt;=1,0,(H152-G152)/MAX(G152,H152))</f>
        <v>0.105823595817775</v>
      </c>
      <c r="X152" s="17" t="n">
        <f aca="false">SQRT(($B152-X$139)^2+($C152-X$140)^2+($D152-X$141)^2)</f>
        <v>5.95048749318587</v>
      </c>
      <c r="Y152" s="17" t="n">
        <f aca="false">SQRT(($B152-Y$139)^2+($C152-Y$140)^2+($D152-Y$141)^2)</f>
        <v>3.53389042212498</v>
      </c>
      <c r="Z152" s="17" t="n">
        <f aca="false">SQRT(($B152-Z$139)^2+($C152-Z$140)^2+($D152-Z$141)^2)</f>
        <v>2.32491482972725</v>
      </c>
      <c r="AA152" s="17" t="n">
        <f aca="false">SQRT(($B152-AA$139)^2+($C152-AA$140)^2+($D152-AA$141)^2)</f>
        <v>0.824069226463199</v>
      </c>
      <c r="AB152" s="63" t="n">
        <f aca="false">MATCH(MIN(X152:AA152),X152:AA152,0)</f>
        <v>4</v>
      </c>
      <c r="AD152" s="17" t="n">
        <f aca="false">SQRT(($B152-AD$139)^2+($C152-AD$140)^2+($D152-AD$141)^2)</f>
        <v>4.93540265048164</v>
      </c>
      <c r="AE152" s="17" t="n">
        <f aca="false">SQRT(($B152-AE$139)^2+($C152-AE$140)^2+($D152-AE$141)^2)</f>
        <v>2.70821597723807</v>
      </c>
      <c r="AF152" s="17" t="n">
        <f aca="false">SQRT(($B152-AF$139)^2+($C152-AF$140)^2+($D152-AF$141)^2)</f>
        <v>1.90078553652441</v>
      </c>
      <c r="AG152" s="17" t="n">
        <f aca="false">SQRT(($B152-AG$139)^2+($C152-AG$140)^2+($D152-AG$141)^2)</f>
        <v>1.57585325388724</v>
      </c>
      <c r="AH152" s="63" t="n">
        <f aca="false">MATCH(MIN(AD152:AG152),AD152:AG152,0)</f>
        <v>4</v>
      </c>
      <c r="AJ152" s="17" t="n">
        <f aca="false">SQRT(($B152-AJ$139)^2+($C152-AJ$140)^2+($D152-AJ$141)^2)</f>
        <v>4.59587444811261</v>
      </c>
      <c r="AK152" s="17" t="n">
        <f aca="false">SQRT(($B152-AK$139)^2+($C152-AK$140)^2+($D152-AK$141)^2)</f>
        <v>2.70242899312276</v>
      </c>
      <c r="AL152" s="17" t="n">
        <f aca="false">SQRT(($B152-AL$139)^2+($C152-AL$140)^2+($D152-AL$141)^2)</f>
        <v>1.90715685954099</v>
      </c>
      <c r="AM152" s="17" t="n">
        <f aca="false">SQRT(($B152-AM$139)^2+($C152-AM$140)^2+($D152-AM$141)^2)</f>
        <v>1.62688940359449</v>
      </c>
      <c r="AN152" s="63" t="n">
        <f aca="false">MATCH(MIN(AJ152:AM152),AJ152:AM152,0)</f>
        <v>4</v>
      </c>
      <c r="AP152" s="17" t="n">
        <f aca="false">SQRT(($B152-AP$139)^2+($C152-AP$140)^2+($D152-AP$141)^2)</f>
        <v>4.32850099308934</v>
      </c>
      <c r="AQ152" s="17" t="n">
        <f aca="false">SQRT(($B152-AQ$139)^2+($C152-AQ$140)^2+($D152-AQ$141)^2)</f>
        <v>2.7518839779431</v>
      </c>
      <c r="AR152" s="17" t="n">
        <f aca="false">SQRT(($B152-AR$139)^2+($C152-AR$140)^2+($D152-AR$141)^2)</f>
        <v>1.89125401158064</v>
      </c>
      <c r="AS152" s="17" t="n">
        <f aca="false">SQRT(($B152-AS$139)^2+($C152-AS$140)^2+($D152-AS$141)^2)</f>
        <v>1.67465188018218</v>
      </c>
      <c r="AT152" s="63" t="n">
        <f aca="false">MATCH(MIN(AP152:AS152),AP152:AS152,0)</f>
        <v>4</v>
      </c>
      <c r="AV152" s="17" t="n">
        <f aca="false">SQRT(($B152-AV$139)^2+($C152-AV$140)^2+($D152-AV$141)^2)</f>
        <v>4.32850099308934</v>
      </c>
      <c r="AW152" s="17" t="n">
        <f aca="false">SQRT(($B152-AW$139)^2+($C152-AW$140)^2+($D152-AW$141)^2)</f>
        <v>2.7518839779431</v>
      </c>
      <c r="AX152" s="17" t="n">
        <f aca="false">SQRT(($B152-AX$139)^2+($C152-AX$140)^2+($D152-AX$141)^2)</f>
        <v>1.89125401158064</v>
      </c>
      <c r="AY152" s="17" t="n">
        <f aca="false">SQRT(($B152-AY$139)^2+($C152-AY$140)^2+($D152-AY$141)^2)</f>
        <v>1.67465188018218</v>
      </c>
      <c r="AZ152" s="63" t="n">
        <f aca="false">MATCH(MIN(AV152:AY152),AV152:AY152,0)</f>
        <v>4</v>
      </c>
      <c r="BB152" s="17" t="n">
        <f aca="false">SQRT(($B152-BB$139)^2+($C152-BB$140)^2+($D152-BB$141)^2)</f>
        <v>4.32850099308934</v>
      </c>
      <c r="BC152" s="17" t="n">
        <f aca="false">SQRT(($B152-BC$139)^2+($C152-BC$140)^2+($D152-BC$141)^2)</f>
        <v>2.7518839779431</v>
      </c>
      <c r="BD152" s="17" t="n">
        <f aca="false">SQRT(($B152-BD$139)^2+($C152-BD$140)^2+($D152-BD$141)^2)</f>
        <v>1.89125401158064</v>
      </c>
      <c r="BE152" s="17" t="n">
        <f aca="false">SQRT(($B152-BE$139)^2+($C152-BE$140)^2+($D152-BE$141)^2)</f>
        <v>1.67465188018218</v>
      </c>
      <c r="BF152" s="63" t="n">
        <f aca="false">MATCH(MIN(BB152:BE152),BB152:BE152,0)</f>
        <v>4</v>
      </c>
      <c r="BH152" s="17" t="n">
        <f aca="false">SQRT(($B152-BH$139)^2+($C152-BH$140)^2+($D152-BH$141)^2)</f>
        <v>4.32850099308934</v>
      </c>
      <c r="BI152" s="17" t="n">
        <f aca="false">SQRT(($B152-BI$139)^2+($C152-BI$140)^2+($D152-BI$141)^2)</f>
        <v>2.7518839779431</v>
      </c>
      <c r="BJ152" s="17" t="n">
        <f aca="false">SQRT(($B152-BJ$139)^2+($C152-BJ$140)^2+($D152-BJ$141)^2)</f>
        <v>1.89125401158064</v>
      </c>
      <c r="BK152" s="17" t="n">
        <f aca="false">SQRT(($B152-BK$139)^2+($C152-BK$140)^2+($D152-BK$141)^2)</f>
        <v>1.67465188018218</v>
      </c>
      <c r="BL152" s="63" t="n">
        <f aca="false">MATCH(MIN(BH152:BK152),BH152:BK152,0)</f>
        <v>4</v>
      </c>
      <c r="BN152" s="17" t="n">
        <f aca="false">SQRT(($B152-BN$139)^2+($C152-BN$140)^2+($D152-BN$141)^2)</f>
        <v>4.32850099308934</v>
      </c>
      <c r="BO152" s="17" t="n">
        <f aca="false">SQRT(($B152-BO$139)^2+($C152-BO$140)^2+($D152-BO$141)^2)</f>
        <v>2.7518839779431</v>
      </c>
      <c r="BP152" s="17" t="n">
        <f aca="false">SQRT(($B152-BP$139)^2+($C152-BP$140)^2+($D152-BP$141)^2)</f>
        <v>1.89125401158064</v>
      </c>
      <c r="BQ152" s="17" t="n">
        <f aca="false">SQRT(($B152-BQ$139)^2+($C152-BQ$140)^2+($D152-BQ$141)^2)</f>
        <v>1.67465188018218</v>
      </c>
      <c r="BR152" s="63" t="n">
        <f aca="false">MATCH(MIN(BN152:BQ152),BN152:BQ152,0)</f>
        <v>4</v>
      </c>
      <c r="BT152" s="17" t="n">
        <f aca="false">SQRT(($B152-BT$139)^2+($C152-BT$140)^2+($D152-BT$141)^2)</f>
        <v>4.32850099308934</v>
      </c>
      <c r="BU152" s="17" t="n">
        <f aca="false">SQRT(($B152-BU$139)^2+($C152-BU$140)^2+($D152-BU$141)^2)</f>
        <v>2.7518839779431</v>
      </c>
      <c r="BV152" s="17" t="n">
        <f aca="false">SQRT(($B152-BV$139)^2+($C152-BV$140)^2+($D152-BV$141)^2)</f>
        <v>1.89125401158064</v>
      </c>
      <c r="BW152" s="17" t="n">
        <f aca="false">SQRT(($B152-BW$139)^2+($C152-BW$140)^2+($D152-BW$141)^2)</f>
        <v>1.67465188018218</v>
      </c>
      <c r="BX152" s="63" t="n">
        <f aca="false">MATCH(MIN(BT152:BW152),BT152:BW152,0)</f>
        <v>4</v>
      </c>
      <c r="BZ152" s="17" t="n">
        <f aca="false">SQRT(($B152-BZ$139)^2+($C152-BZ$140)^2+($D152-BZ$141)^2)</f>
        <v>4.32850099308934</v>
      </c>
      <c r="CA152" s="17" t="n">
        <f aca="false">SQRT(($B152-CA$139)^2+($C152-CA$140)^2+($D152-CA$141)^2)</f>
        <v>2.7518839779431</v>
      </c>
      <c r="CB152" s="17" t="n">
        <f aca="false">SQRT(($B152-CB$139)^2+($C152-CB$140)^2+($D152-CB$141)^2)</f>
        <v>1.89125401158064</v>
      </c>
      <c r="CC152" s="17" t="n">
        <f aca="false">SQRT(($B152-CC$139)^2+($C152-CC$140)^2+($D152-CC$141)^2)</f>
        <v>1.67465188018218</v>
      </c>
      <c r="CD152" s="63" t="n">
        <f aca="false">MATCH(MIN(BZ152:CC152),BZ152:CC152,0)</f>
        <v>4</v>
      </c>
      <c r="CF152" s="17" t="n">
        <f aca="false">SQRT(($B152-CF$139)^2+($C152-CF$140)^2+($D152-CF$141)^2)</f>
        <v>4.32850099308934</v>
      </c>
      <c r="CG152" s="17" t="n">
        <f aca="false">SQRT(($B152-CG$139)^2+($C152-CG$140)^2+($D152-CG$141)^2)</f>
        <v>2.7518839779431</v>
      </c>
      <c r="CH152" s="17" t="n">
        <f aca="false">SQRT(($B152-CH$139)^2+($C152-CH$140)^2+($D152-CH$141)^2)</f>
        <v>1.89125401158064</v>
      </c>
      <c r="CI152" s="17" t="n">
        <f aca="false">SQRT(($B152-CI$139)^2+($C152-CI$140)^2+($D152-CI$141)^2)</f>
        <v>1.67465188018218</v>
      </c>
      <c r="CJ152" s="63" t="n">
        <f aca="false">MATCH(MIN(CF152:CI152),CF152:CI152,0)</f>
        <v>4</v>
      </c>
      <c r="CL152" s="17" t="n">
        <f aca="false">SQRT(($B152-CL$139)^2+($C152-CL$140)^2+($D152-CL$141)^2)</f>
        <v>4.32850099308934</v>
      </c>
      <c r="CM152" s="17" t="n">
        <f aca="false">SQRT(($B152-CM$139)^2+($C152-CM$140)^2+($D152-CM$141)^2)</f>
        <v>2.7518839779431</v>
      </c>
      <c r="CN152" s="17" t="n">
        <f aca="false">SQRT(($B152-CN$139)^2+($C152-CN$140)^2+($D152-CN$141)^2)</f>
        <v>1.89125401158064</v>
      </c>
      <c r="CO152" s="17" t="n">
        <f aca="false">SQRT(($B152-CO$139)^2+($C152-CO$140)^2+($D152-CO$141)^2)</f>
        <v>1.67465188018218</v>
      </c>
      <c r="CP152" s="63" t="n">
        <f aca="false">MATCH(MIN(CL152:CO152),CL152:CO152,0)</f>
        <v>4</v>
      </c>
    </row>
    <row r="153" customFormat="false" ht="15" hidden="false" customHeight="false" outlineLevel="0" collapsed="false">
      <c r="A153" s="36" t="str">
        <f aca="false">KMeans_Data!A12</f>
        <v>Sukkur</v>
      </c>
      <c r="B153" s="17" t="n">
        <f aca="false">KMeans_Data!H12</f>
        <v>1.31634431892529</v>
      </c>
      <c r="C153" s="17" t="n">
        <f aca="false">KMeans_Data!I12</f>
        <v>0.686180001083741</v>
      </c>
      <c r="D153" s="17" t="n">
        <f aca="false">KMeans_Data!J12</f>
        <v>1.72384035190912</v>
      </c>
      <c r="E153" s="63" t="n">
        <f aca="false">CP153</f>
        <v>3</v>
      </c>
      <c r="F153" s="38" t="n">
        <f aca="false">($B153-INDEX($L$139:$O$139,E153))^2+($C153-INDEX($L$140:$O$140,E153))^2+($D153-INDEX($L$141:$O$141,E153))^2</f>
        <v>1.20545202375829</v>
      </c>
      <c r="G153" s="17" t="n">
        <f aca="false">IF(COUNTIF(Distance_Matrix!$E$10:$DQ$10,$E153)&lt;=1,0,SUMIF(Distance_Matrix!$E$10:$DQ$10,$E153,Distance_Matrix!$E$21:$DQ$21)/(COUNTIF(Distance_Matrix!$E$10:$DQ$10,$E153)-1))</f>
        <v>1.30835938303542</v>
      </c>
      <c r="H153" s="17" t="n">
        <f aca="false">MIN(IF(1=$E153,1E+099,IF(COUNTIF(Distance_Matrix!$E$10:$DQ$10,1)=0,1E+099,SUMIF(Distance_Matrix!$E$10:$DQ$10,1,Distance_Matrix!$E$21:$DQ$21)/COUNTIF(Distance_Matrix!$E$10:$DQ$10,1))),IF(2=$E153,1E+099,IF(COUNTIF(Distance_Matrix!$E$10:$DQ$10,2)=0,1E+099,SUMIF(Distance_Matrix!$E$10:$DQ$10,2,Distance_Matrix!$E$21:$DQ$21)/COUNTIF(Distance_Matrix!$E$10:$DQ$10,2))),IF(3=$E153,1E+099,IF(COUNTIF(Distance_Matrix!$E$10:$DQ$10,3)=0,1E+099,SUMIF(Distance_Matrix!$E$10:$DQ$10,3,Distance_Matrix!$E$21:$DQ$21)/COUNTIF(Distance_Matrix!$E$10:$DQ$10,3))),IF(4=$E153,1E+099,IF(COUNTIF(Distance_Matrix!$E$10:$DQ$10,4)=0,1E+099,SUMIF(Distance_Matrix!$E$10:$DQ$10,4,Distance_Matrix!$E$21:$DQ$21)/COUNTIF(Distance_Matrix!$E$10:$DQ$10,4))))</f>
        <v>2.75728906701159</v>
      </c>
      <c r="I153" s="17" t="n">
        <f aca="false">IF(COUNTIF(Distance_Matrix!$E$10:$DQ$10,$E153)&lt;=1,0,(H153-G153)/MAX(G153,H153))</f>
        <v>0.525490671729444</v>
      </c>
      <c r="X153" s="17" t="n">
        <f aca="false">SQRT(($B153-X$139)^2+($C153-X$140)^2+($D153-X$141)^2)</f>
        <v>4.17270705171046</v>
      </c>
      <c r="Y153" s="17" t="n">
        <f aca="false">SQRT(($B153-Y$139)^2+($C153-Y$140)^2+($D153-Y$141)^2)</f>
        <v>4.64905759921659</v>
      </c>
      <c r="Z153" s="17" t="n">
        <f aca="false">SQRT(($B153-Z$139)^2+($C153-Z$140)^2+($D153-Z$141)^2)</f>
        <v>0.486444689008236</v>
      </c>
      <c r="AA153" s="17" t="n">
        <f aca="false">SQRT(($B153-AA$139)^2+($C153-AA$140)^2+($D153-AA$141)^2)</f>
        <v>3.06233601395942</v>
      </c>
      <c r="AB153" s="63" t="n">
        <f aca="false">MATCH(MIN(X153:AA153),X153:AA153,0)</f>
        <v>3</v>
      </c>
      <c r="AD153" s="17" t="n">
        <f aca="false">SQRT(($B153-AD$139)^2+($C153-AD$140)^2+($D153-AD$141)^2)</f>
        <v>3.28610390013198</v>
      </c>
      <c r="AE153" s="17" t="n">
        <f aca="false">SQRT(($B153-AE$139)^2+($C153-AE$140)^2+($D153-AE$141)^2)</f>
        <v>3.92509983236754</v>
      </c>
      <c r="AF153" s="17" t="n">
        <f aca="false">SQRT(($B153-AF$139)^2+($C153-AF$140)^2+($D153-AF$141)^2)</f>
        <v>1.10760304293799</v>
      </c>
      <c r="AG153" s="17" t="n">
        <f aca="false">SQRT(($B153-AG$139)^2+($C153-AG$140)^2+($D153-AG$141)^2)</f>
        <v>2.87918871024901</v>
      </c>
      <c r="AH153" s="63" t="n">
        <f aca="false">MATCH(MIN(AD153:AG153),AD153:AG153,0)</f>
        <v>3</v>
      </c>
      <c r="AJ153" s="17" t="n">
        <f aca="false">SQRT(($B153-AJ$139)^2+($C153-AJ$140)^2+($D153-AJ$141)^2)</f>
        <v>2.94377921243175</v>
      </c>
      <c r="AK153" s="17" t="n">
        <f aca="false">SQRT(($B153-AK$139)^2+($C153-AK$140)^2+($D153-AK$141)^2)</f>
        <v>3.95376995018187</v>
      </c>
      <c r="AL153" s="17" t="n">
        <f aca="false">SQRT(($B153-AL$139)^2+($C153-AL$140)^2+($D153-AL$141)^2)</f>
        <v>1.07012834977976</v>
      </c>
      <c r="AM153" s="17" t="n">
        <f aca="false">SQRT(($B153-AM$139)^2+($C153-AM$140)^2+($D153-AM$141)^2)</f>
        <v>2.79188866567093</v>
      </c>
      <c r="AN153" s="63" t="n">
        <f aca="false">MATCH(MIN(AJ153:AM153),AJ153:AM153,0)</f>
        <v>3</v>
      </c>
      <c r="AP153" s="17" t="n">
        <f aca="false">SQRT(($B153-AP$139)^2+($C153-AP$140)^2+($D153-AP$141)^2)</f>
        <v>2.68256892174871</v>
      </c>
      <c r="AQ153" s="17" t="n">
        <f aca="false">SQRT(($B153-AQ$139)^2+($C153-AQ$140)^2+($D153-AQ$141)^2)</f>
        <v>4.04320513016364</v>
      </c>
      <c r="AR153" s="17" t="n">
        <f aca="false">SQRT(($B153-AR$139)^2+($C153-AR$140)^2+($D153-AR$141)^2)</f>
        <v>1.09793079188002</v>
      </c>
      <c r="AS153" s="17" t="n">
        <f aca="false">SQRT(($B153-AS$139)^2+($C153-AS$140)^2+($D153-AS$141)^2)</f>
        <v>2.81421855745245</v>
      </c>
      <c r="AT153" s="63" t="n">
        <f aca="false">MATCH(MIN(AP153:AS153),AP153:AS153,0)</f>
        <v>3</v>
      </c>
      <c r="AV153" s="17" t="n">
        <f aca="false">SQRT(($B153-AV$139)^2+($C153-AV$140)^2+($D153-AV$141)^2)</f>
        <v>2.68256892174871</v>
      </c>
      <c r="AW153" s="17" t="n">
        <f aca="false">SQRT(($B153-AW$139)^2+($C153-AW$140)^2+($D153-AW$141)^2)</f>
        <v>4.04320513016364</v>
      </c>
      <c r="AX153" s="17" t="n">
        <f aca="false">SQRT(($B153-AX$139)^2+($C153-AX$140)^2+($D153-AX$141)^2)</f>
        <v>1.09793079188002</v>
      </c>
      <c r="AY153" s="17" t="n">
        <f aca="false">SQRT(($B153-AY$139)^2+($C153-AY$140)^2+($D153-AY$141)^2)</f>
        <v>2.81421855745245</v>
      </c>
      <c r="AZ153" s="63" t="n">
        <f aca="false">MATCH(MIN(AV153:AY153),AV153:AY153,0)</f>
        <v>3</v>
      </c>
      <c r="BB153" s="17" t="n">
        <f aca="false">SQRT(($B153-BB$139)^2+($C153-BB$140)^2+($D153-BB$141)^2)</f>
        <v>2.68256892174871</v>
      </c>
      <c r="BC153" s="17" t="n">
        <f aca="false">SQRT(($B153-BC$139)^2+($C153-BC$140)^2+($D153-BC$141)^2)</f>
        <v>4.04320513016364</v>
      </c>
      <c r="BD153" s="17" t="n">
        <f aca="false">SQRT(($B153-BD$139)^2+($C153-BD$140)^2+($D153-BD$141)^2)</f>
        <v>1.09793079188002</v>
      </c>
      <c r="BE153" s="17" t="n">
        <f aca="false">SQRT(($B153-BE$139)^2+($C153-BE$140)^2+($D153-BE$141)^2)</f>
        <v>2.81421855745245</v>
      </c>
      <c r="BF153" s="63" t="n">
        <f aca="false">MATCH(MIN(BB153:BE153),BB153:BE153,0)</f>
        <v>3</v>
      </c>
      <c r="BH153" s="17" t="n">
        <f aca="false">SQRT(($B153-BH$139)^2+($C153-BH$140)^2+($D153-BH$141)^2)</f>
        <v>2.68256892174871</v>
      </c>
      <c r="BI153" s="17" t="n">
        <f aca="false">SQRT(($B153-BI$139)^2+($C153-BI$140)^2+($D153-BI$141)^2)</f>
        <v>4.04320513016364</v>
      </c>
      <c r="BJ153" s="17" t="n">
        <f aca="false">SQRT(($B153-BJ$139)^2+($C153-BJ$140)^2+($D153-BJ$141)^2)</f>
        <v>1.09793079188002</v>
      </c>
      <c r="BK153" s="17" t="n">
        <f aca="false">SQRT(($B153-BK$139)^2+($C153-BK$140)^2+($D153-BK$141)^2)</f>
        <v>2.81421855745245</v>
      </c>
      <c r="BL153" s="63" t="n">
        <f aca="false">MATCH(MIN(BH153:BK153),BH153:BK153,0)</f>
        <v>3</v>
      </c>
      <c r="BN153" s="17" t="n">
        <f aca="false">SQRT(($B153-BN$139)^2+($C153-BN$140)^2+($D153-BN$141)^2)</f>
        <v>2.68256892174871</v>
      </c>
      <c r="BO153" s="17" t="n">
        <f aca="false">SQRT(($B153-BO$139)^2+($C153-BO$140)^2+($D153-BO$141)^2)</f>
        <v>4.04320513016364</v>
      </c>
      <c r="BP153" s="17" t="n">
        <f aca="false">SQRT(($B153-BP$139)^2+($C153-BP$140)^2+($D153-BP$141)^2)</f>
        <v>1.09793079188002</v>
      </c>
      <c r="BQ153" s="17" t="n">
        <f aca="false">SQRT(($B153-BQ$139)^2+($C153-BQ$140)^2+($D153-BQ$141)^2)</f>
        <v>2.81421855745245</v>
      </c>
      <c r="BR153" s="63" t="n">
        <f aca="false">MATCH(MIN(BN153:BQ153),BN153:BQ153,0)</f>
        <v>3</v>
      </c>
      <c r="BT153" s="17" t="n">
        <f aca="false">SQRT(($B153-BT$139)^2+($C153-BT$140)^2+($D153-BT$141)^2)</f>
        <v>2.68256892174871</v>
      </c>
      <c r="BU153" s="17" t="n">
        <f aca="false">SQRT(($B153-BU$139)^2+($C153-BU$140)^2+($D153-BU$141)^2)</f>
        <v>4.04320513016364</v>
      </c>
      <c r="BV153" s="17" t="n">
        <f aca="false">SQRT(($B153-BV$139)^2+($C153-BV$140)^2+($D153-BV$141)^2)</f>
        <v>1.09793079188002</v>
      </c>
      <c r="BW153" s="17" t="n">
        <f aca="false">SQRT(($B153-BW$139)^2+($C153-BW$140)^2+($D153-BW$141)^2)</f>
        <v>2.81421855745245</v>
      </c>
      <c r="BX153" s="63" t="n">
        <f aca="false">MATCH(MIN(BT153:BW153),BT153:BW153,0)</f>
        <v>3</v>
      </c>
      <c r="BZ153" s="17" t="n">
        <f aca="false">SQRT(($B153-BZ$139)^2+($C153-BZ$140)^2+($D153-BZ$141)^2)</f>
        <v>2.68256892174871</v>
      </c>
      <c r="CA153" s="17" t="n">
        <f aca="false">SQRT(($B153-CA$139)^2+($C153-CA$140)^2+($D153-CA$141)^2)</f>
        <v>4.04320513016364</v>
      </c>
      <c r="CB153" s="17" t="n">
        <f aca="false">SQRT(($B153-CB$139)^2+($C153-CB$140)^2+($D153-CB$141)^2)</f>
        <v>1.09793079188002</v>
      </c>
      <c r="CC153" s="17" t="n">
        <f aca="false">SQRT(($B153-CC$139)^2+($C153-CC$140)^2+($D153-CC$141)^2)</f>
        <v>2.81421855745245</v>
      </c>
      <c r="CD153" s="63" t="n">
        <f aca="false">MATCH(MIN(BZ153:CC153),BZ153:CC153,0)</f>
        <v>3</v>
      </c>
      <c r="CF153" s="17" t="n">
        <f aca="false">SQRT(($B153-CF$139)^2+($C153-CF$140)^2+($D153-CF$141)^2)</f>
        <v>2.68256892174871</v>
      </c>
      <c r="CG153" s="17" t="n">
        <f aca="false">SQRT(($B153-CG$139)^2+($C153-CG$140)^2+($D153-CG$141)^2)</f>
        <v>4.04320513016364</v>
      </c>
      <c r="CH153" s="17" t="n">
        <f aca="false">SQRT(($B153-CH$139)^2+($C153-CH$140)^2+($D153-CH$141)^2)</f>
        <v>1.09793079188002</v>
      </c>
      <c r="CI153" s="17" t="n">
        <f aca="false">SQRT(($B153-CI$139)^2+($C153-CI$140)^2+($D153-CI$141)^2)</f>
        <v>2.81421855745245</v>
      </c>
      <c r="CJ153" s="63" t="n">
        <f aca="false">MATCH(MIN(CF153:CI153),CF153:CI153,0)</f>
        <v>3</v>
      </c>
      <c r="CL153" s="17" t="n">
        <f aca="false">SQRT(($B153-CL$139)^2+($C153-CL$140)^2+($D153-CL$141)^2)</f>
        <v>2.68256892174871</v>
      </c>
      <c r="CM153" s="17" t="n">
        <f aca="false">SQRT(($B153-CM$139)^2+($C153-CM$140)^2+($D153-CM$141)^2)</f>
        <v>4.04320513016364</v>
      </c>
      <c r="CN153" s="17" t="n">
        <f aca="false">SQRT(($B153-CN$139)^2+($C153-CN$140)^2+($D153-CN$141)^2)</f>
        <v>1.09793079188002</v>
      </c>
      <c r="CO153" s="17" t="n">
        <f aca="false">SQRT(($B153-CO$139)^2+($C153-CO$140)^2+($D153-CO$141)^2)</f>
        <v>2.81421855745245</v>
      </c>
      <c r="CP153" s="63" t="n">
        <f aca="false">MATCH(MIN(CL153:CO153),CL153:CO153,0)</f>
        <v>3</v>
      </c>
    </row>
    <row r="154" customFormat="false" ht="15" hidden="false" customHeight="false" outlineLevel="0" collapsed="false">
      <c r="A154" s="36" t="str">
        <f aca="false">KMeans_Data!A13</f>
        <v>Hyderabad</v>
      </c>
      <c r="B154" s="17" t="n">
        <f aca="false">KMeans_Data!H13</f>
        <v>1.25912764531491</v>
      </c>
      <c r="C154" s="17" t="n">
        <f aca="false">KMeans_Data!I13</f>
        <v>1.21184741254249</v>
      </c>
      <c r="D154" s="17" t="n">
        <f aca="false">KMeans_Data!J13</f>
        <v>1.69551048544459</v>
      </c>
      <c r="E154" s="63" t="n">
        <f aca="false">CP154</f>
        <v>3</v>
      </c>
      <c r="F154" s="38" t="n">
        <f aca="false">($B154-INDEX($L$139:$O$139,E154))^2+($C154-INDEX($L$140:$O$140,E154))^2+($D154-INDEX($L$141:$O$141,E154))^2</f>
        <v>1.43146164356196</v>
      </c>
      <c r="G154" s="17" t="n">
        <f aca="false">IF(COUNTIF(Distance_Matrix!$E$10:$DQ$10,$E154)&lt;=1,0,SUMIF(Distance_Matrix!$E$10:$DQ$10,$E154,Distance_Matrix!$E$22:$DQ$22)/(COUNTIF(Distance_Matrix!$E$10:$DQ$10,$E154)-1))</f>
        <v>1.37349745384661</v>
      </c>
      <c r="H154" s="17" t="n">
        <f aca="false">MIN(IF(1=$E154,1E+099,IF(COUNTIF(Distance_Matrix!$E$10:$DQ$10,1)=0,1E+099,SUMIF(Distance_Matrix!$E$10:$DQ$10,1,Distance_Matrix!$E$22:$DQ$22)/COUNTIF(Distance_Matrix!$E$10:$DQ$10,1))),IF(2=$E154,1E+099,IF(COUNTIF(Distance_Matrix!$E$10:$DQ$10,2)=0,1E+099,SUMIF(Distance_Matrix!$E$10:$DQ$10,2,Distance_Matrix!$E$22:$DQ$22)/COUNTIF(Distance_Matrix!$E$10:$DQ$10,2))),IF(3=$E154,1E+099,IF(COUNTIF(Distance_Matrix!$E$10:$DQ$10,3)=0,1E+099,SUMIF(Distance_Matrix!$E$10:$DQ$10,3,Distance_Matrix!$E$22:$DQ$22)/COUNTIF(Distance_Matrix!$E$10:$DQ$10,3))),IF(4=$E154,1E+099,IF(COUNTIF(Distance_Matrix!$E$10:$DQ$10,4)=0,1E+099,SUMIF(Distance_Matrix!$E$10:$DQ$10,4,Distance_Matrix!$E$22:$DQ$22)/COUNTIF(Distance_Matrix!$E$10:$DQ$10,4))))</f>
        <v>2.34946744137042</v>
      </c>
      <c r="I154" s="17" t="n">
        <f aca="false">IF(COUNTIF(Distance_Matrix!$E$10:$DQ$10,$E154)&lt;=1,0,(H154-G154)/MAX(G154,H154))</f>
        <v>0.415400516022704</v>
      </c>
      <c r="X154" s="17" t="n">
        <f aca="false">SQRT(($B154-X$139)^2+($C154-X$140)^2+($D154-X$141)^2)</f>
        <v>3.80496885952581</v>
      </c>
      <c r="Y154" s="17" t="n">
        <f aca="false">SQRT(($B154-Y$139)^2+($C154-Y$140)^2+($D154-Y$141)^2)</f>
        <v>4.77195093233386</v>
      </c>
      <c r="Z154" s="17" t="n">
        <f aca="false">SQRT(($B154-Z$139)^2+($C154-Z$140)^2+($D154-Z$141)^2)</f>
        <v>0.891080579009539</v>
      </c>
      <c r="AA154" s="17" t="n">
        <f aca="false">SQRT(($B154-AA$139)^2+($C154-AA$140)^2+($D154-AA$141)^2)</f>
        <v>3.2085676641039</v>
      </c>
      <c r="AB154" s="63" t="n">
        <f aca="false">MATCH(MIN(X154:AA154),X154:AA154,0)</f>
        <v>3</v>
      </c>
      <c r="AD154" s="17" t="n">
        <f aca="false">SQRT(($B154-AD$139)^2+($C154-AD$140)^2+($D154-AD$141)^2)</f>
        <v>2.88461795185604</v>
      </c>
      <c r="AE154" s="17" t="n">
        <f aca="false">SQRT(($B154-AE$139)^2+($C154-AE$140)^2+($D154-AE$141)^2)</f>
        <v>4.08072925968366</v>
      </c>
      <c r="AF154" s="17" t="n">
        <f aca="false">SQRT(($B154-AF$139)^2+($C154-AF$140)^2+($D154-AF$141)^2)</f>
        <v>1.22200146752424</v>
      </c>
      <c r="AG154" s="17" t="n">
        <f aca="false">SQRT(($B154-AG$139)^2+($C154-AG$140)^2+($D154-AG$141)^2)</f>
        <v>3.08565050255239</v>
      </c>
      <c r="AH154" s="63" t="n">
        <f aca="false">MATCH(MIN(AD154:AG154),AD154:AG154,0)</f>
        <v>3</v>
      </c>
      <c r="AJ154" s="17" t="n">
        <f aca="false">SQRT(($B154-AJ$139)^2+($C154-AJ$140)^2+($D154-AJ$141)^2)</f>
        <v>2.54344593704514</v>
      </c>
      <c r="AK154" s="17" t="n">
        <f aca="false">SQRT(($B154-AK$139)^2+($C154-AK$140)^2+($D154-AK$141)^2)</f>
        <v>4.1080876714974</v>
      </c>
      <c r="AL154" s="17" t="n">
        <f aca="false">SQRT(($B154-AL$139)^2+($C154-AL$140)^2+($D154-AL$141)^2)</f>
        <v>1.15325381894612</v>
      </c>
      <c r="AM154" s="17" t="n">
        <f aca="false">SQRT(($B154-AM$139)^2+($C154-AM$140)^2+($D154-AM$141)^2)</f>
        <v>3.00665643558299</v>
      </c>
      <c r="AN154" s="63" t="n">
        <f aca="false">MATCH(MIN(AJ154:AM154),AJ154:AM154,0)</f>
        <v>3</v>
      </c>
      <c r="AP154" s="17" t="n">
        <f aca="false">SQRT(($B154-AP$139)^2+($C154-AP$140)^2+($D154-AP$141)^2)</f>
        <v>2.26768068619027</v>
      </c>
      <c r="AQ154" s="17" t="n">
        <f aca="false">SQRT(($B154-AQ$139)^2+($C154-AQ$140)^2+($D154-AQ$141)^2)</f>
        <v>4.19273117074739</v>
      </c>
      <c r="AR154" s="17" t="n">
        <f aca="false">SQRT(($B154-AR$139)^2+($C154-AR$140)^2+($D154-AR$141)^2)</f>
        <v>1.19643706209811</v>
      </c>
      <c r="AS154" s="17" t="n">
        <f aca="false">SQRT(($B154-AS$139)^2+($C154-AS$140)^2+($D154-AS$141)^2)</f>
        <v>3.02845155514098</v>
      </c>
      <c r="AT154" s="63" t="n">
        <f aca="false">MATCH(MIN(AP154:AS154),AP154:AS154,0)</f>
        <v>3</v>
      </c>
      <c r="AV154" s="17" t="n">
        <f aca="false">SQRT(($B154-AV$139)^2+($C154-AV$140)^2+($D154-AV$141)^2)</f>
        <v>2.26768068619027</v>
      </c>
      <c r="AW154" s="17" t="n">
        <f aca="false">SQRT(($B154-AW$139)^2+($C154-AW$140)^2+($D154-AW$141)^2)</f>
        <v>4.19273117074739</v>
      </c>
      <c r="AX154" s="17" t="n">
        <f aca="false">SQRT(($B154-AX$139)^2+($C154-AX$140)^2+($D154-AX$141)^2)</f>
        <v>1.19643706209811</v>
      </c>
      <c r="AY154" s="17" t="n">
        <f aca="false">SQRT(($B154-AY$139)^2+($C154-AY$140)^2+($D154-AY$141)^2)</f>
        <v>3.02845155514098</v>
      </c>
      <c r="AZ154" s="63" t="n">
        <f aca="false">MATCH(MIN(AV154:AY154),AV154:AY154,0)</f>
        <v>3</v>
      </c>
      <c r="BB154" s="17" t="n">
        <f aca="false">SQRT(($B154-BB$139)^2+($C154-BB$140)^2+($D154-BB$141)^2)</f>
        <v>2.26768068619027</v>
      </c>
      <c r="BC154" s="17" t="n">
        <f aca="false">SQRT(($B154-BC$139)^2+($C154-BC$140)^2+($D154-BC$141)^2)</f>
        <v>4.19273117074739</v>
      </c>
      <c r="BD154" s="17" t="n">
        <f aca="false">SQRT(($B154-BD$139)^2+($C154-BD$140)^2+($D154-BD$141)^2)</f>
        <v>1.19643706209811</v>
      </c>
      <c r="BE154" s="17" t="n">
        <f aca="false">SQRT(($B154-BE$139)^2+($C154-BE$140)^2+($D154-BE$141)^2)</f>
        <v>3.02845155514098</v>
      </c>
      <c r="BF154" s="63" t="n">
        <f aca="false">MATCH(MIN(BB154:BE154),BB154:BE154,0)</f>
        <v>3</v>
      </c>
      <c r="BH154" s="17" t="n">
        <f aca="false">SQRT(($B154-BH$139)^2+($C154-BH$140)^2+($D154-BH$141)^2)</f>
        <v>2.26768068619027</v>
      </c>
      <c r="BI154" s="17" t="n">
        <f aca="false">SQRT(($B154-BI$139)^2+($C154-BI$140)^2+($D154-BI$141)^2)</f>
        <v>4.19273117074739</v>
      </c>
      <c r="BJ154" s="17" t="n">
        <f aca="false">SQRT(($B154-BJ$139)^2+($C154-BJ$140)^2+($D154-BJ$141)^2)</f>
        <v>1.19643706209811</v>
      </c>
      <c r="BK154" s="17" t="n">
        <f aca="false">SQRT(($B154-BK$139)^2+($C154-BK$140)^2+($D154-BK$141)^2)</f>
        <v>3.02845155514098</v>
      </c>
      <c r="BL154" s="63" t="n">
        <f aca="false">MATCH(MIN(BH154:BK154),BH154:BK154,0)</f>
        <v>3</v>
      </c>
      <c r="BN154" s="17" t="n">
        <f aca="false">SQRT(($B154-BN$139)^2+($C154-BN$140)^2+($D154-BN$141)^2)</f>
        <v>2.26768068619027</v>
      </c>
      <c r="BO154" s="17" t="n">
        <f aca="false">SQRT(($B154-BO$139)^2+($C154-BO$140)^2+($D154-BO$141)^2)</f>
        <v>4.19273117074739</v>
      </c>
      <c r="BP154" s="17" t="n">
        <f aca="false">SQRT(($B154-BP$139)^2+($C154-BP$140)^2+($D154-BP$141)^2)</f>
        <v>1.19643706209811</v>
      </c>
      <c r="BQ154" s="17" t="n">
        <f aca="false">SQRT(($B154-BQ$139)^2+($C154-BQ$140)^2+($D154-BQ$141)^2)</f>
        <v>3.02845155514098</v>
      </c>
      <c r="BR154" s="63" t="n">
        <f aca="false">MATCH(MIN(BN154:BQ154),BN154:BQ154,0)</f>
        <v>3</v>
      </c>
      <c r="BT154" s="17" t="n">
        <f aca="false">SQRT(($B154-BT$139)^2+($C154-BT$140)^2+($D154-BT$141)^2)</f>
        <v>2.26768068619027</v>
      </c>
      <c r="BU154" s="17" t="n">
        <f aca="false">SQRT(($B154-BU$139)^2+($C154-BU$140)^2+($D154-BU$141)^2)</f>
        <v>4.19273117074739</v>
      </c>
      <c r="BV154" s="17" t="n">
        <f aca="false">SQRT(($B154-BV$139)^2+($C154-BV$140)^2+($D154-BV$141)^2)</f>
        <v>1.19643706209811</v>
      </c>
      <c r="BW154" s="17" t="n">
        <f aca="false">SQRT(($B154-BW$139)^2+($C154-BW$140)^2+($D154-BW$141)^2)</f>
        <v>3.02845155514098</v>
      </c>
      <c r="BX154" s="63" t="n">
        <f aca="false">MATCH(MIN(BT154:BW154),BT154:BW154,0)</f>
        <v>3</v>
      </c>
      <c r="BZ154" s="17" t="n">
        <f aca="false">SQRT(($B154-BZ$139)^2+($C154-BZ$140)^2+($D154-BZ$141)^2)</f>
        <v>2.26768068619027</v>
      </c>
      <c r="CA154" s="17" t="n">
        <f aca="false">SQRT(($B154-CA$139)^2+($C154-CA$140)^2+($D154-CA$141)^2)</f>
        <v>4.19273117074739</v>
      </c>
      <c r="CB154" s="17" t="n">
        <f aca="false">SQRT(($B154-CB$139)^2+($C154-CB$140)^2+($D154-CB$141)^2)</f>
        <v>1.19643706209811</v>
      </c>
      <c r="CC154" s="17" t="n">
        <f aca="false">SQRT(($B154-CC$139)^2+($C154-CC$140)^2+($D154-CC$141)^2)</f>
        <v>3.02845155514098</v>
      </c>
      <c r="CD154" s="63" t="n">
        <f aca="false">MATCH(MIN(BZ154:CC154),BZ154:CC154,0)</f>
        <v>3</v>
      </c>
      <c r="CF154" s="17" t="n">
        <f aca="false">SQRT(($B154-CF$139)^2+($C154-CF$140)^2+($D154-CF$141)^2)</f>
        <v>2.26768068619027</v>
      </c>
      <c r="CG154" s="17" t="n">
        <f aca="false">SQRT(($B154-CG$139)^2+($C154-CG$140)^2+($D154-CG$141)^2)</f>
        <v>4.19273117074739</v>
      </c>
      <c r="CH154" s="17" t="n">
        <f aca="false">SQRT(($B154-CH$139)^2+($C154-CH$140)^2+($D154-CH$141)^2)</f>
        <v>1.19643706209811</v>
      </c>
      <c r="CI154" s="17" t="n">
        <f aca="false">SQRT(($B154-CI$139)^2+($C154-CI$140)^2+($D154-CI$141)^2)</f>
        <v>3.02845155514098</v>
      </c>
      <c r="CJ154" s="63" t="n">
        <f aca="false">MATCH(MIN(CF154:CI154),CF154:CI154,0)</f>
        <v>3</v>
      </c>
      <c r="CL154" s="17" t="n">
        <f aca="false">SQRT(($B154-CL$139)^2+($C154-CL$140)^2+($D154-CL$141)^2)</f>
        <v>2.26768068619027</v>
      </c>
      <c r="CM154" s="17" t="n">
        <f aca="false">SQRT(($B154-CM$139)^2+($C154-CM$140)^2+($D154-CM$141)^2)</f>
        <v>4.19273117074739</v>
      </c>
      <c r="CN154" s="17" t="n">
        <f aca="false">SQRT(($B154-CN$139)^2+($C154-CN$140)^2+($D154-CN$141)^2)</f>
        <v>1.19643706209811</v>
      </c>
      <c r="CO154" s="17" t="n">
        <f aca="false">SQRT(($B154-CO$139)^2+($C154-CO$140)^2+($D154-CO$141)^2)</f>
        <v>3.02845155514098</v>
      </c>
      <c r="CP154" s="63" t="n">
        <f aca="false">MATCH(MIN(CL154:CO154),CL154:CO154,0)</f>
        <v>3</v>
      </c>
    </row>
    <row r="155" customFormat="false" ht="15" hidden="false" customHeight="false" outlineLevel="0" collapsed="false">
      <c r="A155" s="36" t="str">
        <f aca="false">KMeans_Data!A14</f>
        <v>Raiwind</v>
      </c>
      <c r="B155" s="17" t="n">
        <f aca="false">KMeans_Data!H14</f>
        <v>1.20153859722623</v>
      </c>
      <c r="C155" s="17" t="n">
        <f aca="false">KMeans_Data!I14</f>
        <v>-0.146983133929529</v>
      </c>
      <c r="D155" s="17" t="n">
        <f aca="false">KMeans_Data!J14</f>
        <v>-0.824446015898766</v>
      </c>
      <c r="E155" s="63" t="n">
        <f aca="false">CP155</f>
        <v>4</v>
      </c>
      <c r="F155" s="38" t="n">
        <f aca="false">($B155-INDEX($L$139:$O$139,E155))^2+($C155-INDEX($L$140:$O$140,E155))^2+($D155-INDEX($L$141:$O$141,E155))^2</f>
        <v>2.10181672041785</v>
      </c>
      <c r="G155" s="17" t="n">
        <f aca="false">IF(COUNTIF(Distance_Matrix!$E$10:$DQ$10,$E155)&lt;=1,0,SUMIF(Distance_Matrix!$E$10:$DQ$10,$E155,Distance_Matrix!$E$23:$DQ$23)/(COUNTIF(Distance_Matrix!$E$10:$DQ$10,$E155)-1))</f>
        <v>1.60704499161326</v>
      </c>
      <c r="H155" s="17" t="n">
        <f aca="false">MIN(IF(1=$E155,1E+099,IF(COUNTIF(Distance_Matrix!$E$10:$DQ$10,1)=0,1E+099,SUMIF(Distance_Matrix!$E$10:$DQ$10,1,Distance_Matrix!$E$23:$DQ$23)/COUNTIF(Distance_Matrix!$E$10:$DQ$10,1))),IF(2=$E155,1E+099,IF(COUNTIF(Distance_Matrix!$E$10:$DQ$10,2)=0,1E+099,SUMIF(Distance_Matrix!$E$10:$DQ$10,2,Distance_Matrix!$E$23:$DQ$23)/COUNTIF(Distance_Matrix!$E$10:$DQ$10,2))),IF(3=$E155,1E+099,IF(COUNTIF(Distance_Matrix!$E$10:$DQ$10,3)=0,1E+099,SUMIF(Distance_Matrix!$E$10:$DQ$10,3,Distance_Matrix!$E$23:$DQ$23)/COUNTIF(Distance_Matrix!$E$10:$DQ$10,3))),IF(4=$E155,1E+099,IF(COUNTIF(Distance_Matrix!$E$10:$DQ$10,4)=0,1E+099,SUMIF(Distance_Matrix!$E$10:$DQ$10,4,Distance_Matrix!$E$23:$DQ$23)/COUNTIF(Distance_Matrix!$E$10:$DQ$10,4))))</f>
        <v>2.07296180607313</v>
      </c>
      <c r="I155" s="17" t="n">
        <f aca="false">IF(COUNTIF(Distance_Matrix!$E$10:$DQ$10,$E155)&lt;=1,0,(H155-G155)/MAX(G155,H155))</f>
        <v>0.224758996087084</v>
      </c>
      <c r="X155" s="17" t="n">
        <f aca="false">SQRT(($B155-X$139)^2+($C155-X$140)^2+($D155-X$141)^2)</f>
        <v>6.20006570834277</v>
      </c>
      <c r="Y155" s="17" t="n">
        <f aca="false">SQRT(($B155-Y$139)^2+($C155-Y$140)^2+($D155-Y$141)^2)</f>
        <v>3.33860306644569</v>
      </c>
      <c r="Z155" s="17" t="n">
        <f aca="false">SQRT(($B155-Z$139)^2+($C155-Z$140)^2+($D155-Z$141)^2)</f>
        <v>2.36000592513328</v>
      </c>
      <c r="AA155" s="17" t="n">
        <f aca="false">SQRT(($B155-AA$139)^2+($C155-AA$140)^2+($D155-AA$141)^2)</f>
        <v>0.641992769976189</v>
      </c>
      <c r="AB155" s="63" t="n">
        <f aca="false">MATCH(MIN(X155:AA155),X155:AA155,0)</f>
        <v>4</v>
      </c>
      <c r="AD155" s="17" t="n">
        <f aca="false">SQRT(($B155-AD$139)^2+($C155-AD$140)^2+($D155-AD$141)^2)</f>
        <v>5.19025635037165</v>
      </c>
      <c r="AE155" s="17" t="n">
        <f aca="false">SQRT(($B155-AE$139)^2+($C155-AE$140)^2+($D155-AE$141)^2)</f>
        <v>2.49705007412488</v>
      </c>
      <c r="AF155" s="17" t="n">
        <f aca="false">SQRT(($B155-AF$139)^2+($C155-AF$140)^2+($D155-AF$141)^2)</f>
        <v>1.94439217042575</v>
      </c>
      <c r="AG155" s="17" t="n">
        <f aca="false">SQRT(($B155-AG$139)^2+($C155-AG$140)^2+($D155-AG$141)^2)</f>
        <v>1.3456023637473</v>
      </c>
      <c r="AH155" s="63" t="n">
        <f aca="false">MATCH(MIN(AD155:AG155),AD155:AG155,0)</f>
        <v>4</v>
      </c>
      <c r="AJ155" s="17" t="n">
        <f aca="false">SQRT(($B155-AJ$139)^2+($C155-AJ$140)^2+($D155-AJ$141)^2)</f>
        <v>4.84659268253086</v>
      </c>
      <c r="AK155" s="17" t="n">
        <f aca="false">SQRT(($B155-AK$139)^2+($C155-AK$140)^2+($D155-AK$141)^2)</f>
        <v>2.49125631287144</v>
      </c>
      <c r="AL155" s="17" t="n">
        <f aca="false">SQRT(($B155-AL$139)^2+($C155-AL$140)^2+($D155-AL$141)^2)</f>
        <v>1.96690312660458</v>
      </c>
      <c r="AM155" s="17" t="n">
        <f aca="false">SQRT(($B155-AM$139)^2+($C155-AM$140)^2+($D155-AM$141)^2)</f>
        <v>1.40133191743704</v>
      </c>
      <c r="AN155" s="63" t="n">
        <f aca="false">MATCH(MIN(AJ155:AM155),AJ155:AM155,0)</f>
        <v>4</v>
      </c>
      <c r="AP155" s="17" t="n">
        <f aca="false">SQRT(($B155-AP$139)^2+($C155-AP$140)^2+($D155-AP$141)^2)</f>
        <v>4.57678809051925</v>
      </c>
      <c r="AQ155" s="17" t="n">
        <f aca="false">SQRT(($B155-AQ$139)^2+($C155-AQ$140)^2+($D155-AQ$141)^2)</f>
        <v>2.54261244778151</v>
      </c>
      <c r="AR155" s="17" t="n">
        <f aca="false">SQRT(($B155-AR$139)^2+($C155-AR$140)^2+($D155-AR$141)^2)</f>
        <v>1.94317399221319</v>
      </c>
      <c r="AS155" s="17" t="n">
        <f aca="false">SQRT(($B155-AS$139)^2+($C155-AS$140)^2+($D155-AS$141)^2)</f>
        <v>1.44976436720519</v>
      </c>
      <c r="AT155" s="63" t="n">
        <f aca="false">MATCH(MIN(AP155:AS155),AP155:AS155,0)</f>
        <v>4</v>
      </c>
      <c r="AV155" s="17" t="n">
        <f aca="false">SQRT(($B155-AV$139)^2+($C155-AV$140)^2+($D155-AV$141)^2)</f>
        <v>4.57678809051925</v>
      </c>
      <c r="AW155" s="17" t="n">
        <f aca="false">SQRT(($B155-AW$139)^2+($C155-AW$140)^2+($D155-AW$141)^2)</f>
        <v>2.54261244778151</v>
      </c>
      <c r="AX155" s="17" t="n">
        <f aca="false">SQRT(($B155-AX$139)^2+($C155-AX$140)^2+($D155-AX$141)^2)</f>
        <v>1.94317399221319</v>
      </c>
      <c r="AY155" s="17" t="n">
        <f aca="false">SQRT(($B155-AY$139)^2+($C155-AY$140)^2+($D155-AY$141)^2)</f>
        <v>1.44976436720519</v>
      </c>
      <c r="AZ155" s="63" t="n">
        <f aca="false">MATCH(MIN(AV155:AY155),AV155:AY155,0)</f>
        <v>4</v>
      </c>
      <c r="BB155" s="17" t="n">
        <f aca="false">SQRT(($B155-BB$139)^2+($C155-BB$140)^2+($D155-BB$141)^2)</f>
        <v>4.57678809051925</v>
      </c>
      <c r="BC155" s="17" t="n">
        <f aca="false">SQRT(($B155-BC$139)^2+($C155-BC$140)^2+($D155-BC$141)^2)</f>
        <v>2.54261244778151</v>
      </c>
      <c r="BD155" s="17" t="n">
        <f aca="false">SQRT(($B155-BD$139)^2+($C155-BD$140)^2+($D155-BD$141)^2)</f>
        <v>1.94317399221319</v>
      </c>
      <c r="BE155" s="17" t="n">
        <f aca="false">SQRT(($B155-BE$139)^2+($C155-BE$140)^2+($D155-BE$141)^2)</f>
        <v>1.44976436720519</v>
      </c>
      <c r="BF155" s="63" t="n">
        <f aca="false">MATCH(MIN(BB155:BE155),BB155:BE155,0)</f>
        <v>4</v>
      </c>
      <c r="BH155" s="17" t="n">
        <f aca="false">SQRT(($B155-BH$139)^2+($C155-BH$140)^2+($D155-BH$141)^2)</f>
        <v>4.57678809051925</v>
      </c>
      <c r="BI155" s="17" t="n">
        <f aca="false">SQRT(($B155-BI$139)^2+($C155-BI$140)^2+($D155-BI$141)^2)</f>
        <v>2.54261244778151</v>
      </c>
      <c r="BJ155" s="17" t="n">
        <f aca="false">SQRT(($B155-BJ$139)^2+($C155-BJ$140)^2+($D155-BJ$141)^2)</f>
        <v>1.94317399221319</v>
      </c>
      <c r="BK155" s="17" t="n">
        <f aca="false">SQRT(($B155-BK$139)^2+($C155-BK$140)^2+($D155-BK$141)^2)</f>
        <v>1.44976436720519</v>
      </c>
      <c r="BL155" s="63" t="n">
        <f aca="false">MATCH(MIN(BH155:BK155),BH155:BK155,0)</f>
        <v>4</v>
      </c>
      <c r="BN155" s="17" t="n">
        <f aca="false">SQRT(($B155-BN$139)^2+($C155-BN$140)^2+($D155-BN$141)^2)</f>
        <v>4.57678809051925</v>
      </c>
      <c r="BO155" s="17" t="n">
        <f aca="false">SQRT(($B155-BO$139)^2+($C155-BO$140)^2+($D155-BO$141)^2)</f>
        <v>2.54261244778151</v>
      </c>
      <c r="BP155" s="17" t="n">
        <f aca="false">SQRT(($B155-BP$139)^2+($C155-BP$140)^2+($D155-BP$141)^2)</f>
        <v>1.94317399221319</v>
      </c>
      <c r="BQ155" s="17" t="n">
        <f aca="false">SQRT(($B155-BQ$139)^2+($C155-BQ$140)^2+($D155-BQ$141)^2)</f>
        <v>1.44976436720519</v>
      </c>
      <c r="BR155" s="63" t="n">
        <f aca="false">MATCH(MIN(BN155:BQ155),BN155:BQ155,0)</f>
        <v>4</v>
      </c>
      <c r="BT155" s="17" t="n">
        <f aca="false">SQRT(($B155-BT$139)^2+($C155-BT$140)^2+($D155-BT$141)^2)</f>
        <v>4.57678809051925</v>
      </c>
      <c r="BU155" s="17" t="n">
        <f aca="false">SQRT(($B155-BU$139)^2+($C155-BU$140)^2+($D155-BU$141)^2)</f>
        <v>2.54261244778151</v>
      </c>
      <c r="BV155" s="17" t="n">
        <f aca="false">SQRT(($B155-BV$139)^2+($C155-BV$140)^2+($D155-BV$141)^2)</f>
        <v>1.94317399221319</v>
      </c>
      <c r="BW155" s="17" t="n">
        <f aca="false">SQRT(($B155-BW$139)^2+($C155-BW$140)^2+($D155-BW$141)^2)</f>
        <v>1.44976436720519</v>
      </c>
      <c r="BX155" s="63" t="n">
        <f aca="false">MATCH(MIN(BT155:BW155),BT155:BW155,0)</f>
        <v>4</v>
      </c>
      <c r="BZ155" s="17" t="n">
        <f aca="false">SQRT(($B155-BZ$139)^2+($C155-BZ$140)^2+($D155-BZ$141)^2)</f>
        <v>4.57678809051925</v>
      </c>
      <c r="CA155" s="17" t="n">
        <f aca="false">SQRT(($B155-CA$139)^2+($C155-CA$140)^2+($D155-CA$141)^2)</f>
        <v>2.54261244778151</v>
      </c>
      <c r="CB155" s="17" t="n">
        <f aca="false">SQRT(($B155-CB$139)^2+($C155-CB$140)^2+($D155-CB$141)^2)</f>
        <v>1.94317399221319</v>
      </c>
      <c r="CC155" s="17" t="n">
        <f aca="false">SQRT(($B155-CC$139)^2+($C155-CC$140)^2+($D155-CC$141)^2)</f>
        <v>1.44976436720519</v>
      </c>
      <c r="CD155" s="63" t="n">
        <f aca="false">MATCH(MIN(BZ155:CC155),BZ155:CC155,0)</f>
        <v>4</v>
      </c>
      <c r="CF155" s="17" t="n">
        <f aca="false">SQRT(($B155-CF$139)^2+($C155-CF$140)^2+($D155-CF$141)^2)</f>
        <v>4.57678809051925</v>
      </c>
      <c r="CG155" s="17" t="n">
        <f aca="false">SQRT(($B155-CG$139)^2+($C155-CG$140)^2+($D155-CG$141)^2)</f>
        <v>2.54261244778151</v>
      </c>
      <c r="CH155" s="17" t="n">
        <f aca="false">SQRT(($B155-CH$139)^2+($C155-CH$140)^2+($D155-CH$141)^2)</f>
        <v>1.94317399221319</v>
      </c>
      <c r="CI155" s="17" t="n">
        <f aca="false">SQRT(($B155-CI$139)^2+($C155-CI$140)^2+($D155-CI$141)^2)</f>
        <v>1.44976436720519</v>
      </c>
      <c r="CJ155" s="63" t="n">
        <f aca="false">MATCH(MIN(CF155:CI155),CF155:CI155,0)</f>
        <v>4</v>
      </c>
      <c r="CL155" s="17" t="n">
        <f aca="false">SQRT(($B155-CL$139)^2+($C155-CL$140)^2+($D155-CL$141)^2)</f>
        <v>4.57678809051925</v>
      </c>
      <c r="CM155" s="17" t="n">
        <f aca="false">SQRT(($B155-CM$139)^2+($C155-CM$140)^2+($D155-CM$141)^2)</f>
        <v>2.54261244778151</v>
      </c>
      <c r="CN155" s="17" t="n">
        <f aca="false">SQRT(($B155-CN$139)^2+($C155-CN$140)^2+($D155-CN$141)^2)</f>
        <v>1.94317399221319</v>
      </c>
      <c r="CO155" s="17" t="n">
        <f aca="false">SQRT(($B155-CO$139)^2+($C155-CO$140)^2+($D155-CO$141)^2)</f>
        <v>1.44976436720519</v>
      </c>
      <c r="CP155" s="63" t="n">
        <f aca="false">MATCH(MIN(CL155:CO155),CL155:CO155,0)</f>
        <v>4</v>
      </c>
    </row>
    <row r="156" customFormat="false" ht="15" hidden="false" customHeight="false" outlineLevel="0" collapsed="false">
      <c r="A156" s="36" t="str">
        <f aca="false">KMeans_Data!A15</f>
        <v>Malakand</v>
      </c>
      <c r="B156" s="17" t="n">
        <f aca="false">KMeans_Data!H15</f>
        <v>1.14106795512792</v>
      </c>
      <c r="C156" s="17" t="n">
        <f aca="false">KMeans_Data!I15</f>
        <v>1.4759954658056</v>
      </c>
      <c r="D156" s="17" t="n">
        <f aca="false">KMeans_Data!J15</f>
        <v>0.988349871383994</v>
      </c>
      <c r="E156" s="63" t="n">
        <f aca="false">CP156</f>
        <v>3</v>
      </c>
      <c r="F156" s="38" t="n">
        <f aca="false">($B156-INDEX($L$139:$O$139,E156))^2+($C156-INDEX($L$140:$O$140,E156))^2+($D156-INDEX($L$141:$O$141,E156))^2</f>
        <v>1.01168363432601</v>
      </c>
      <c r="G156" s="17" t="n">
        <f aca="false">IF(COUNTIF(Distance_Matrix!$E$10:$DQ$10,$E156)&lt;=1,0,SUMIF(Distance_Matrix!$E$10:$DQ$10,$E156,Distance_Matrix!$E$24:$DQ$24)/(COUNTIF(Distance_Matrix!$E$10:$DQ$10,$E156)-1))</f>
        <v>1.18905703019137</v>
      </c>
      <c r="H156" s="17" t="n">
        <f aca="false">MIN(IF(1=$E156,1E+099,IF(COUNTIF(Distance_Matrix!$E$10:$DQ$10,1)=0,1E+099,SUMIF(Distance_Matrix!$E$10:$DQ$10,1,Distance_Matrix!$E$24:$DQ$24)/COUNTIF(Distance_Matrix!$E$10:$DQ$10,1))),IF(2=$E156,1E+099,IF(COUNTIF(Distance_Matrix!$E$10:$DQ$10,2)=0,1E+099,SUMIF(Distance_Matrix!$E$10:$DQ$10,2,Distance_Matrix!$E$24:$DQ$24)/COUNTIF(Distance_Matrix!$E$10:$DQ$10,2))),IF(3=$E156,1E+099,IF(COUNTIF(Distance_Matrix!$E$10:$DQ$10,3)=0,1E+099,SUMIF(Distance_Matrix!$E$10:$DQ$10,3,Distance_Matrix!$E$24:$DQ$24)/COUNTIF(Distance_Matrix!$E$10:$DQ$10,3))),IF(4=$E156,1E+099,IF(COUNTIF(Distance_Matrix!$E$10:$DQ$10,4)=0,1E+099,SUMIF(Distance_Matrix!$E$10:$DQ$10,4,Distance_Matrix!$E$24:$DQ$24)/COUNTIF(Distance_Matrix!$E$10:$DQ$10,4))))</f>
        <v>2.44754054018057</v>
      </c>
      <c r="I156" s="17" t="n">
        <f aca="false">IF(COUNTIF(Distance_Matrix!$E$10:$DQ$10,$E156)&lt;=1,0,(H156-G156)/MAX(G156,H156))</f>
        <v>0.514182907015855</v>
      </c>
      <c r="X156" s="17" t="n">
        <f aca="false">SQRT(($B156-X$139)^2+($C156-X$140)^2+($D156-X$141)^2)</f>
        <v>4.03066852095808</v>
      </c>
      <c r="Y156" s="17" t="n">
        <f aca="false">SQRT(($B156-Y$139)^2+($C156-Y$140)^2+($D156-Y$141)^2)</f>
        <v>4.42088236717576</v>
      </c>
      <c r="Z156" s="17" t="n">
        <f aca="false">SQRT(($B156-Z$139)^2+($C156-Z$140)^2+($D156-Z$141)^2)</f>
        <v>1.2030082216667</v>
      </c>
      <c r="AA156" s="17" t="n">
        <f aca="false">SQRT(($B156-AA$139)^2+($C156-AA$140)^2+($D156-AA$141)^2)</f>
        <v>2.72642732862461</v>
      </c>
      <c r="AB156" s="63" t="n">
        <f aca="false">MATCH(MIN(X156:AA156),X156:AA156,0)</f>
        <v>3</v>
      </c>
      <c r="AD156" s="17" t="n">
        <f aca="false">SQRT(($B156-AD$139)^2+($C156-AD$140)^2+($D156-AD$141)^2)</f>
        <v>3.02878891840853</v>
      </c>
      <c r="AE156" s="17" t="n">
        <f aca="false">SQRT(($B156-AE$139)^2+($C156-AE$140)^2+($D156-AE$141)^2)</f>
        <v>3.72971421983516</v>
      </c>
      <c r="AF156" s="17" t="n">
        <f aca="false">SQRT(($B156-AF$139)^2+($C156-AF$140)^2+($D156-AF$141)^2)</f>
        <v>1.05116579097643</v>
      </c>
      <c r="AG156" s="17" t="n">
        <f aca="false">SQRT(($B156-AG$139)^2+($C156-AG$140)^2+($D156-AG$141)^2)</f>
        <v>2.75076978418233</v>
      </c>
      <c r="AH156" s="63" t="n">
        <f aca="false">MATCH(MIN(AD156:AG156),AD156:AG156,0)</f>
        <v>3</v>
      </c>
      <c r="AJ156" s="17" t="n">
        <f aca="false">SQRT(($B156-AJ$139)^2+($C156-AJ$140)^2+($D156-AJ$141)^2)</f>
        <v>2.68719816621776</v>
      </c>
      <c r="AK156" s="17" t="n">
        <f aca="false">SQRT(($B156-AK$139)^2+($C156-AK$140)^2+($D156-AK$141)^2)</f>
        <v>3.75041361228391</v>
      </c>
      <c r="AL156" s="17" t="n">
        <f aca="false">SQRT(($B156-AL$139)^2+($C156-AL$140)^2+($D156-AL$141)^2)</f>
        <v>0.956312941836987</v>
      </c>
      <c r="AM156" s="17" t="n">
        <f aca="false">SQRT(($B156-AM$139)^2+($C156-AM$140)^2+($D156-AM$141)^2)</f>
        <v>2.69632242824279</v>
      </c>
      <c r="AN156" s="63" t="n">
        <f aca="false">MATCH(MIN(AJ156:AM156),AJ156:AM156,0)</f>
        <v>3</v>
      </c>
      <c r="AP156" s="17" t="n">
        <f aca="false">SQRT(($B156-AP$139)^2+($C156-AP$140)^2+($D156-AP$141)^2)</f>
        <v>2.3929809508553</v>
      </c>
      <c r="AQ156" s="17" t="n">
        <f aca="false">SQRT(($B156-AQ$139)^2+($C156-AQ$140)^2+($D156-AQ$141)^2)</f>
        <v>3.82509710903262</v>
      </c>
      <c r="AR156" s="17" t="n">
        <f aca="false">SQRT(($B156-AR$139)^2+($C156-AR$140)^2+($D156-AR$141)^2)</f>
        <v>1.00582485270847</v>
      </c>
      <c r="AS156" s="17" t="n">
        <f aca="false">SQRT(($B156-AS$139)^2+($C156-AS$140)^2+($D156-AS$141)^2)</f>
        <v>2.72172324275123</v>
      </c>
      <c r="AT156" s="63" t="n">
        <f aca="false">MATCH(MIN(AP156:AS156),AP156:AS156,0)</f>
        <v>3</v>
      </c>
      <c r="AV156" s="17" t="n">
        <f aca="false">SQRT(($B156-AV$139)^2+($C156-AV$140)^2+($D156-AV$141)^2)</f>
        <v>2.3929809508553</v>
      </c>
      <c r="AW156" s="17" t="n">
        <f aca="false">SQRT(($B156-AW$139)^2+($C156-AW$140)^2+($D156-AW$141)^2)</f>
        <v>3.82509710903262</v>
      </c>
      <c r="AX156" s="17" t="n">
        <f aca="false">SQRT(($B156-AX$139)^2+($C156-AX$140)^2+($D156-AX$141)^2)</f>
        <v>1.00582485270847</v>
      </c>
      <c r="AY156" s="17" t="n">
        <f aca="false">SQRT(($B156-AY$139)^2+($C156-AY$140)^2+($D156-AY$141)^2)</f>
        <v>2.72172324275123</v>
      </c>
      <c r="AZ156" s="63" t="n">
        <f aca="false">MATCH(MIN(AV156:AY156),AV156:AY156,0)</f>
        <v>3</v>
      </c>
      <c r="BB156" s="17" t="n">
        <f aca="false">SQRT(($B156-BB$139)^2+($C156-BB$140)^2+($D156-BB$141)^2)</f>
        <v>2.3929809508553</v>
      </c>
      <c r="BC156" s="17" t="n">
        <f aca="false">SQRT(($B156-BC$139)^2+($C156-BC$140)^2+($D156-BC$141)^2)</f>
        <v>3.82509710903262</v>
      </c>
      <c r="BD156" s="17" t="n">
        <f aca="false">SQRT(($B156-BD$139)^2+($C156-BD$140)^2+($D156-BD$141)^2)</f>
        <v>1.00582485270847</v>
      </c>
      <c r="BE156" s="17" t="n">
        <f aca="false">SQRT(($B156-BE$139)^2+($C156-BE$140)^2+($D156-BE$141)^2)</f>
        <v>2.72172324275123</v>
      </c>
      <c r="BF156" s="63" t="n">
        <f aca="false">MATCH(MIN(BB156:BE156),BB156:BE156,0)</f>
        <v>3</v>
      </c>
      <c r="BH156" s="17" t="n">
        <f aca="false">SQRT(($B156-BH$139)^2+($C156-BH$140)^2+($D156-BH$141)^2)</f>
        <v>2.3929809508553</v>
      </c>
      <c r="BI156" s="17" t="n">
        <f aca="false">SQRT(($B156-BI$139)^2+($C156-BI$140)^2+($D156-BI$141)^2)</f>
        <v>3.82509710903262</v>
      </c>
      <c r="BJ156" s="17" t="n">
        <f aca="false">SQRT(($B156-BJ$139)^2+($C156-BJ$140)^2+($D156-BJ$141)^2)</f>
        <v>1.00582485270847</v>
      </c>
      <c r="BK156" s="17" t="n">
        <f aca="false">SQRT(($B156-BK$139)^2+($C156-BK$140)^2+($D156-BK$141)^2)</f>
        <v>2.72172324275123</v>
      </c>
      <c r="BL156" s="63" t="n">
        <f aca="false">MATCH(MIN(BH156:BK156),BH156:BK156,0)</f>
        <v>3</v>
      </c>
      <c r="BN156" s="17" t="n">
        <f aca="false">SQRT(($B156-BN$139)^2+($C156-BN$140)^2+($D156-BN$141)^2)</f>
        <v>2.3929809508553</v>
      </c>
      <c r="BO156" s="17" t="n">
        <f aca="false">SQRT(($B156-BO$139)^2+($C156-BO$140)^2+($D156-BO$141)^2)</f>
        <v>3.82509710903262</v>
      </c>
      <c r="BP156" s="17" t="n">
        <f aca="false">SQRT(($B156-BP$139)^2+($C156-BP$140)^2+($D156-BP$141)^2)</f>
        <v>1.00582485270847</v>
      </c>
      <c r="BQ156" s="17" t="n">
        <f aca="false">SQRT(($B156-BQ$139)^2+($C156-BQ$140)^2+($D156-BQ$141)^2)</f>
        <v>2.72172324275123</v>
      </c>
      <c r="BR156" s="63" t="n">
        <f aca="false">MATCH(MIN(BN156:BQ156),BN156:BQ156,0)</f>
        <v>3</v>
      </c>
      <c r="BT156" s="17" t="n">
        <f aca="false">SQRT(($B156-BT$139)^2+($C156-BT$140)^2+($D156-BT$141)^2)</f>
        <v>2.3929809508553</v>
      </c>
      <c r="BU156" s="17" t="n">
        <f aca="false">SQRT(($B156-BU$139)^2+($C156-BU$140)^2+($D156-BU$141)^2)</f>
        <v>3.82509710903262</v>
      </c>
      <c r="BV156" s="17" t="n">
        <f aca="false">SQRT(($B156-BV$139)^2+($C156-BV$140)^2+($D156-BV$141)^2)</f>
        <v>1.00582485270847</v>
      </c>
      <c r="BW156" s="17" t="n">
        <f aca="false">SQRT(($B156-BW$139)^2+($C156-BW$140)^2+($D156-BW$141)^2)</f>
        <v>2.72172324275123</v>
      </c>
      <c r="BX156" s="63" t="n">
        <f aca="false">MATCH(MIN(BT156:BW156),BT156:BW156,0)</f>
        <v>3</v>
      </c>
      <c r="BZ156" s="17" t="n">
        <f aca="false">SQRT(($B156-BZ$139)^2+($C156-BZ$140)^2+($D156-BZ$141)^2)</f>
        <v>2.3929809508553</v>
      </c>
      <c r="CA156" s="17" t="n">
        <f aca="false">SQRT(($B156-CA$139)^2+($C156-CA$140)^2+($D156-CA$141)^2)</f>
        <v>3.82509710903262</v>
      </c>
      <c r="CB156" s="17" t="n">
        <f aca="false">SQRT(($B156-CB$139)^2+($C156-CB$140)^2+($D156-CB$141)^2)</f>
        <v>1.00582485270847</v>
      </c>
      <c r="CC156" s="17" t="n">
        <f aca="false">SQRT(($B156-CC$139)^2+($C156-CC$140)^2+($D156-CC$141)^2)</f>
        <v>2.72172324275123</v>
      </c>
      <c r="CD156" s="63" t="n">
        <f aca="false">MATCH(MIN(BZ156:CC156),BZ156:CC156,0)</f>
        <v>3</v>
      </c>
      <c r="CF156" s="17" t="n">
        <f aca="false">SQRT(($B156-CF$139)^2+($C156-CF$140)^2+($D156-CF$141)^2)</f>
        <v>2.3929809508553</v>
      </c>
      <c r="CG156" s="17" t="n">
        <f aca="false">SQRT(($B156-CG$139)^2+($C156-CG$140)^2+($D156-CG$141)^2)</f>
        <v>3.82509710903262</v>
      </c>
      <c r="CH156" s="17" t="n">
        <f aca="false">SQRT(($B156-CH$139)^2+($C156-CH$140)^2+($D156-CH$141)^2)</f>
        <v>1.00582485270847</v>
      </c>
      <c r="CI156" s="17" t="n">
        <f aca="false">SQRT(($B156-CI$139)^2+($C156-CI$140)^2+($D156-CI$141)^2)</f>
        <v>2.72172324275123</v>
      </c>
      <c r="CJ156" s="63" t="n">
        <f aca="false">MATCH(MIN(CF156:CI156),CF156:CI156,0)</f>
        <v>3</v>
      </c>
      <c r="CL156" s="17" t="n">
        <f aca="false">SQRT(($B156-CL$139)^2+($C156-CL$140)^2+($D156-CL$141)^2)</f>
        <v>2.3929809508553</v>
      </c>
      <c r="CM156" s="17" t="n">
        <f aca="false">SQRT(($B156-CM$139)^2+($C156-CM$140)^2+($D156-CM$141)^2)</f>
        <v>3.82509710903262</v>
      </c>
      <c r="CN156" s="17" t="n">
        <f aca="false">SQRT(($B156-CN$139)^2+($C156-CN$140)^2+($D156-CN$141)^2)</f>
        <v>1.00582485270847</v>
      </c>
      <c r="CO156" s="17" t="n">
        <f aca="false">SQRT(($B156-CO$139)^2+($C156-CO$140)^2+($D156-CO$141)^2)</f>
        <v>2.72172324275123</v>
      </c>
      <c r="CP156" s="63" t="n">
        <f aca="false">MATCH(MIN(CL156:CO156),CL156:CO156,0)</f>
        <v>3</v>
      </c>
    </row>
    <row r="157" customFormat="false" ht="15" hidden="false" customHeight="false" outlineLevel="0" collapsed="false">
      <c r="A157" s="36" t="str">
        <f aca="false">KMeans_Data!A16</f>
        <v>Mardan</v>
      </c>
      <c r="B157" s="17" t="n">
        <f aca="false">KMeans_Data!H16</f>
        <v>1.1269857012341</v>
      </c>
      <c r="C157" s="17" t="n">
        <f aca="false">KMeans_Data!I16</f>
        <v>1.76847331707728</v>
      </c>
      <c r="D157" s="17" t="n">
        <f aca="false">KMeans_Data!J16</f>
        <v>1.16687696458076</v>
      </c>
      <c r="E157" s="63" t="n">
        <f aca="false">CP157</f>
        <v>3</v>
      </c>
      <c r="F157" s="38" t="n">
        <f aca="false">($B157-INDEX($L$139:$O$139,E157))^2+($C157-INDEX($L$140:$O$140,E157))^2+($D157-INDEX($L$141:$O$141,E157))^2</f>
        <v>1.65999640454202</v>
      </c>
      <c r="G157" s="17" t="n">
        <f aca="false">IF(COUNTIF(Distance_Matrix!$E$10:$DQ$10,$E157)&lt;=1,0,SUMIF(Distance_Matrix!$E$10:$DQ$10,$E157,Distance_Matrix!$E$25:$DQ$25)/(COUNTIF(Distance_Matrix!$E$10:$DQ$10,$E157)-1))</f>
        <v>1.42877390287213</v>
      </c>
      <c r="H157" s="17" t="n">
        <f aca="false">MIN(IF(1=$E157,1E+099,IF(COUNTIF(Distance_Matrix!$E$10:$DQ$10,1)=0,1E+099,SUMIF(Distance_Matrix!$E$10:$DQ$10,1,Distance_Matrix!$E$25:$DQ$25)/COUNTIF(Distance_Matrix!$E$10:$DQ$10,1))),IF(2=$E157,1E+099,IF(COUNTIF(Distance_Matrix!$E$10:$DQ$10,2)=0,1E+099,SUMIF(Distance_Matrix!$E$10:$DQ$10,2,Distance_Matrix!$E$25:$DQ$25)/COUNTIF(Distance_Matrix!$E$10:$DQ$10,2))),IF(3=$E157,1E+099,IF(COUNTIF(Distance_Matrix!$E$10:$DQ$10,3)=0,1E+099,SUMIF(Distance_Matrix!$E$10:$DQ$10,3,Distance_Matrix!$E$25:$DQ$25)/COUNTIF(Distance_Matrix!$E$10:$DQ$10,3))),IF(4=$E157,1E+099,IF(COUNTIF(Distance_Matrix!$E$10:$DQ$10,4)=0,1E+099,SUMIF(Distance_Matrix!$E$10:$DQ$10,4,Distance_Matrix!$E$25:$DQ$25)/COUNTIF(Distance_Matrix!$E$10:$DQ$10,4))))</f>
        <v>2.19628201591619</v>
      </c>
      <c r="I157" s="17" t="n">
        <f aca="false">IF(COUNTIF(Distance_Matrix!$E$10:$DQ$10,$E157)&lt;=1,0,(H157-G157)/MAX(G157,H157))</f>
        <v>0.349457905442934</v>
      </c>
      <c r="X157" s="17" t="n">
        <f aca="false">SQRT(($B157-X$139)^2+($C157-X$140)^2+($D157-X$141)^2)</f>
        <v>3.7571699748409</v>
      </c>
      <c r="Y157" s="17" t="n">
        <f aca="false">SQRT(($B157-Y$139)^2+($C157-Y$140)^2+($D157-Y$141)^2)</f>
        <v>4.64649504905847</v>
      </c>
      <c r="Z157" s="17" t="n">
        <f aca="false">SQRT(($B157-Z$139)^2+($C157-Z$140)^2+($D157-Z$141)^2)</f>
        <v>1.42536996486005</v>
      </c>
      <c r="AA157" s="17" t="n">
        <f aca="false">SQRT(($B157-AA$139)^2+($C157-AA$140)^2+($D157-AA$141)^2)</f>
        <v>3.04111641100597</v>
      </c>
      <c r="AB157" s="63" t="n">
        <f aca="false">MATCH(MIN(X157:AA157),X157:AA157,0)</f>
        <v>3</v>
      </c>
      <c r="AD157" s="17" t="n">
        <f aca="false">SQRT(($B157-AD$139)^2+($C157-AD$140)^2+($D157-AD$141)^2)</f>
        <v>2.75894309332527</v>
      </c>
      <c r="AE157" s="17" t="n">
        <f aca="false">SQRT(($B157-AE$139)^2+($C157-AE$140)^2+($D157-AE$141)^2)</f>
        <v>3.98672678550269</v>
      </c>
      <c r="AF157" s="17" t="n">
        <f aca="false">SQRT(($B157-AF$139)^2+($C157-AF$140)^2+($D157-AF$141)^2)</f>
        <v>1.33129209323598</v>
      </c>
      <c r="AG157" s="17" t="n">
        <f aca="false">SQRT(($B157-AG$139)^2+($C157-AG$140)^2+($D157-AG$141)^2)</f>
        <v>3.05555023023849</v>
      </c>
      <c r="AH157" s="63" t="n">
        <f aca="false">MATCH(MIN(AD157:AG157),AD157:AG157,0)</f>
        <v>3</v>
      </c>
      <c r="AJ157" s="17" t="n">
        <f aca="false">SQRT(($B157-AJ$139)^2+($C157-AJ$140)^2+($D157-AJ$141)^2)</f>
        <v>2.42514972543478</v>
      </c>
      <c r="AK157" s="17" t="n">
        <f aca="false">SQRT(($B157-AK$139)^2+($C157-AK$140)^2+($D157-AK$141)^2)</f>
        <v>4.00837387293431</v>
      </c>
      <c r="AL157" s="17" t="n">
        <f aca="false">SQRT(($B157-AL$139)^2+($C157-AL$140)^2+($D157-AL$141)^2)</f>
        <v>1.23824311430037</v>
      </c>
      <c r="AM157" s="17" t="n">
        <f aca="false">SQRT(($B157-AM$139)^2+($C157-AM$140)^2+($D157-AM$141)^2)</f>
        <v>2.99956458103083</v>
      </c>
      <c r="AN157" s="63" t="n">
        <f aca="false">MATCH(MIN(AJ157:AM157),AJ157:AM157,0)</f>
        <v>3</v>
      </c>
      <c r="AP157" s="17" t="n">
        <f aca="false">SQRT(($B157-AP$139)^2+($C157-AP$140)^2+($D157-AP$141)^2)</f>
        <v>2.12850495578965</v>
      </c>
      <c r="AQ157" s="17" t="n">
        <f aca="false">SQRT(($B157-AQ$139)^2+($C157-AQ$140)^2+($D157-AQ$141)^2)</f>
        <v>4.08187999364002</v>
      </c>
      <c r="AR157" s="17" t="n">
        <f aca="false">SQRT(($B157-AR$139)^2+($C157-AR$140)^2+($D157-AR$141)^2)</f>
        <v>1.28840847736346</v>
      </c>
      <c r="AS157" s="17" t="n">
        <f aca="false">SQRT(($B157-AS$139)^2+($C157-AS$140)^2+($D157-AS$141)^2)</f>
        <v>3.02275469287239</v>
      </c>
      <c r="AT157" s="63" t="n">
        <f aca="false">MATCH(MIN(AP157:AS157),AP157:AS157,0)</f>
        <v>3</v>
      </c>
      <c r="AV157" s="17" t="n">
        <f aca="false">SQRT(($B157-AV$139)^2+($C157-AV$140)^2+($D157-AV$141)^2)</f>
        <v>2.12850495578965</v>
      </c>
      <c r="AW157" s="17" t="n">
        <f aca="false">SQRT(($B157-AW$139)^2+($C157-AW$140)^2+($D157-AW$141)^2)</f>
        <v>4.08187999364002</v>
      </c>
      <c r="AX157" s="17" t="n">
        <f aca="false">SQRT(($B157-AX$139)^2+($C157-AX$140)^2+($D157-AX$141)^2)</f>
        <v>1.28840847736346</v>
      </c>
      <c r="AY157" s="17" t="n">
        <f aca="false">SQRT(($B157-AY$139)^2+($C157-AY$140)^2+($D157-AY$141)^2)</f>
        <v>3.02275469287239</v>
      </c>
      <c r="AZ157" s="63" t="n">
        <f aca="false">MATCH(MIN(AV157:AY157),AV157:AY157,0)</f>
        <v>3</v>
      </c>
      <c r="BB157" s="17" t="n">
        <f aca="false">SQRT(($B157-BB$139)^2+($C157-BB$140)^2+($D157-BB$141)^2)</f>
        <v>2.12850495578965</v>
      </c>
      <c r="BC157" s="17" t="n">
        <f aca="false">SQRT(($B157-BC$139)^2+($C157-BC$140)^2+($D157-BC$141)^2)</f>
        <v>4.08187999364002</v>
      </c>
      <c r="BD157" s="17" t="n">
        <f aca="false">SQRT(($B157-BD$139)^2+($C157-BD$140)^2+($D157-BD$141)^2)</f>
        <v>1.28840847736346</v>
      </c>
      <c r="BE157" s="17" t="n">
        <f aca="false">SQRT(($B157-BE$139)^2+($C157-BE$140)^2+($D157-BE$141)^2)</f>
        <v>3.02275469287239</v>
      </c>
      <c r="BF157" s="63" t="n">
        <f aca="false">MATCH(MIN(BB157:BE157),BB157:BE157,0)</f>
        <v>3</v>
      </c>
      <c r="BH157" s="17" t="n">
        <f aca="false">SQRT(($B157-BH$139)^2+($C157-BH$140)^2+($D157-BH$141)^2)</f>
        <v>2.12850495578965</v>
      </c>
      <c r="BI157" s="17" t="n">
        <f aca="false">SQRT(($B157-BI$139)^2+($C157-BI$140)^2+($D157-BI$141)^2)</f>
        <v>4.08187999364002</v>
      </c>
      <c r="BJ157" s="17" t="n">
        <f aca="false">SQRT(($B157-BJ$139)^2+($C157-BJ$140)^2+($D157-BJ$141)^2)</f>
        <v>1.28840847736346</v>
      </c>
      <c r="BK157" s="17" t="n">
        <f aca="false">SQRT(($B157-BK$139)^2+($C157-BK$140)^2+($D157-BK$141)^2)</f>
        <v>3.02275469287239</v>
      </c>
      <c r="BL157" s="63" t="n">
        <f aca="false">MATCH(MIN(BH157:BK157),BH157:BK157,0)</f>
        <v>3</v>
      </c>
      <c r="BN157" s="17" t="n">
        <f aca="false">SQRT(($B157-BN$139)^2+($C157-BN$140)^2+($D157-BN$141)^2)</f>
        <v>2.12850495578965</v>
      </c>
      <c r="BO157" s="17" t="n">
        <f aca="false">SQRT(($B157-BO$139)^2+($C157-BO$140)^2+($D157-BO$141)^2)</f>
        <v>4.08187999364002</v>
      </c>
      <c r="BP157" s="17" t="n">
        <f aca="false">SQRT(($B157-BP$139)^2+($C157-BP$140)^2+($D157-BP$141)^2)</f>
        <v>1.28840847736346</v>
      </c>
      <c r="BQ157" s="17" t="n">
        <f aca="false">SQRT(($B157-BQ$139)^2+($C157-BQ$140)^2+($D157-BQ$141)^2)</f>
        <v>3.02275469287239</v>
      </c>
      <c r="BR157" s="63" t="n">
        <f aca="false">MATCH(MIN(BN157:BQ157),BN157:BQ157,0)</f>
        <v>3</v>
      </c>
      <c r="BT157" s="17" t="n">
        <f aca="false">SQRT(($B157-BT$139)^2+($C157-BT$140)^2+($D157-BT$141)^2)</f>
        <v>2.12850495578965</v>
      </c>
      <c r="BU157" s="17" t="n">
        <f aca="false">SQRT(($B157-BU$139)^2+($C157-BU$140)^2+($D157-BU$141)^2)</f>
        <v>4.08187999364002</v>
      </c>
      <c r="BV157" s="17" t="n">
        <f aca="false">SQRT(($B157-BV$139)^2+($C157-BV$140)^2+($D157-BV$141)^2)</f>
        <v>1.28840847736346</v>
      </c>
      <c r="BW157" s="17" t="n">
        <f aca="false">SQRT(($B157-BW$139)^2+($C157-BW$140)^2+($D157-BW$141)^2)</f>
        <v>3.02275469287239</v>
      </c>
      <c r="BX157" s="63" t="n">
        <f aca="false">MATCH(MIN(BT157:BW157),BT157:BW157,0)</f>
        <v>3</v>
      </c>
      <c r="BZ157" s="17" t="n">
        <f aca="false">SQRT(($B157-BZ$139)^2+($C157-BZ$140)^2+($D157-BZ$141)^2)</f>
        <v>2.12850495578965</v>
      </c>
      <c r="CA157" s="17" t="n">
        <f aca="false">SQRT(($B157-CA$139)^2+($C157-CA$140)^2+($D157-CA$141)^2)</f>
        <v>4.08187999364002</v>
      </c>
      <c r="CB157" s="17" t="n">
        <f aca="false">SQRT(($B157-CB$139)^2+($C157-CB$140)^2+($D157-CB$141)^2)</f>
        <v>1.28840847736346</v>
      </c>
      <c r="CC157" s="17" t="n">
        <f aca="false">SQRT(($B157-CC$139)^2+($C157-CC$140)^2+($D157-CC$141)^2)</f>
        <v>3.02275469287239</v>
      </c>
      <c r="CD157" s="63" t="n">
        <f aca="false">MATCH(MIN(BZ157:CC157),BZ157:CC157,0)</f>
        <v>3</v>
      </c>
      <c r="CF157" s="17" t="n">
        <f aca="false">SQRT(($B157-CF$139)^2+($C157-CF$140)^2+($D157-CF$141)^2)</f>
        <v>2.12850495578965</v>
      </c>
      <c r="CG157" s="17" t="n">
        <f aca="false">SQRT(($B157-CG$139)^2+($C157-CG$140)^2+($D157-CG$141)^2)</f>
        <v>4.08187999364002</v>
      </c>
      <c r="CH157" s="17" t="n">
        <f aca="false">SQRT(($B157-CH$139)^2+($C157-CH$140)^2+($D157-CH$141)^2)</f>
        <v>1.28840847736346</v>
      </c>
      <c r="CI157" s="17" t="n">
        <f aca="false">SQRT(($B157-CI$139)^2+($C157-CI$140)^2+($D157-CI$141)^2)</f>
        <v>3.02275469287239</v>
      </c>
      <c r="CJ157" s="63" t="n">
        <f aca="false">MATCH(MIN(CF157:CI157),CF157:CI157,0)</f>
        <v>3</v>
      </c>
      <c r="CL157" s="17" t="n">
        <f aca="false">SQRT(($B157-CL$139)^2+($C157-CL$140)^2+($D157-CL$141)^2)</f>
        <v>2.12850495578965</v>
      </c>
      <c r="CM157" s="17" t="n">
        <f aca="false">SQRT(($B157-CM$139)^2+($C157-CM$140)^2+($D157-CM$141)^2)</f>
        <v>4.08187999364002</v>
      </c>
      <c r="CN157" s="17" t="n">
        <f aca="false">SQRT(($B157-CN$139)^2+($C157-CN$140)^2+($D157-CN$141)^2)</f>
        <v>1.28840847736346</v>
      </c>
      <c r="CO157" s="17" t="n">
        <f aca="false">SQRT(($B157-CO$139)^2+($C157-CO$140)^2+($D157-CO$141)^2)</f>
        <v>3.02275469287239</v>
      </c>
      <c r="CP157" s="63" t="n">
        <f aca="false">MATCH(MIN(CL157:CO157),CL157:CO157,0)</f>
        <v>3</v>
      </c>
    </row>
    <row r="158" customFormat="false" ht="15" hidden="false" customHeight="false" outlineLevel="0" collapsed="false">
      <c r="A158" s="36" t="str">
        <f aca="false">KMeans_Data!A17</f>
        <v>Gilgit</v>
      </c>
      <c r="B158" s="17" t="n">
        <f aca="false">KMeans_Data!H17</f>
        <v>1.04252863605511</v>
      </c>
      <c r="C158" s="17" t="n">
        <f aca="false">KMeans_Data!I17</f>
        <v>0.993675724638266</v>
      </c>
      <c r="D158" s="17" t="n">
        <f aca="false">KMeans_Data!J17</f>
        <v>1.0804955511041</v>
      </c>
      <c r="E158" s="63" t="n">
        <f aca="false">CP158</f>
        <v>3</v>
      </c>
      <c r="F158" s="38" t="n">
        <f aca="false">($B158-INDEX($L$139:$O$139,E158))^2+($C158-INDEX($L$140:$O$140,E158))^2+($D158-INDEX($L$141:$O$141,E158))^2</f>
        <v>0.355724920243</v>
      </c>
      <c r="G158" s="17" t="n">
        <f aca="false">IF(COUNTIF(Distance_Matrix!$E$10:$DQ$10,$E158)&lt;=1,0,SUMIF(Distance_Matrix!$E$10:$DQ$10,$E158,Distance_Matrix!$E$26:$DQ$26)/(COUNTIF(Distance_Matrix!$E$10:$DQ$10,$E158)-1))</f>
        <v>0.919752333058415</v>
      </c>
      <c r="H158" s="17" t="n">
        <f aca="false">MIN(IF(1=$E158,1E+099,IF(COUNTIF(Distance_Matrix!$E$10:$DQ$10,1)=0,1E+099,SUMIF(Distance_Matrix!$E$10:$DQ$10,1,Distance_Matrix!$E$26:$DQ$26)/COUNTIF(Distance_Matrix!$E$10:$DQ$10,1))),IF(2=$E158,1E+099,IF(COUNTIF(Distance_Matrix!$E$10:$DQ$10,2)=0,1E+099,SUMIF(Distance_Matrix!$E$10:$DQ$10,2,Distance_Matrix!$E$26:$DQ$26)/COUNTIF(Distance_Matrix!$E$10:$DQ$10,2))),IF(3=$E158,1E+099,IF(COUNTIF(Distance_Matrix!$E$10:$DQ$10,3)=0,1E+099,SUMIF(Distance_Matrix!$E$10:$DQ$10,3,Distance_Matrix!$E$26:$DQ$26)/COUNTIF(Distance_Matrix!$E$10:$DQ$10,3))),IF(4=$E158,1E+099,IF(COUNTIF(Distance_Matrix!$E$10:$DQ$10,4)=0,1E+099,SUMIF(Distance_Matrix!$E$10:$DQ$10,4,Distance_Matrix!$E$26:$DQ$26)/COUNTIF(Distance_Matrix!$E$10:$DQ$10,4))))</f>
        <v>2.48779144475376</v>
      </c>
      <c r="I158" s="17" t="n">
        <f aca="false">IF(COUNTIF(Distance_Matrix!$E$10:$DQ$10,$E158)&lt;=1,0,(H158-G158)/MAX(G158,H158))</f>
        <v>0.6302936345416</v>
      </c>
      <c r="X158" s="17" t="n">
        <f aca="false">SQRT(($B158-X$139)^2+($C158-X$140)^2+($D158-X$141)^2)</f>
        <v>4.35573965586675</v>
      </c>
      <c r="Y158" s="17" t="n">
        <f aca="false">SQRT(($B158-Y$139)^2+($C158-Y$140)^2+($D158-Y$141)^2)</f>
        <v>4.18101541376173</v>
      </c>
      <c r="Z158" s="17" t="n">
        <f aca="false">SQRT(($B158-Z$139)^2+($C158-Z$140)^2+($D158-Z$141)^2)</f>
        <v>0.72819676736314</v>
      </c>
      <c r="AA158" s="17" t="n">
        <f aca="false">SQRT(($B158-AA$139)^2+($C158-AA$140)^2+($D158-AA$141)^2)</f>
        <v>2.53264581019291</v>
      </c>
      <c r="AB158" s="63" t="n">
        <f aca="false">MATCH(MIN(X158:AA158),X158:AA158,0)</f>
        <v>3</v>
      </c>
      <c r="AD158" s="17" t="n">
        <f aca="false">SQRT(($B158-AD$139)^2+($C158-AD$140)^2+($D158-AD$141)^2)</f>
        <v>3.38257636817492</v>
      </c>
      <c r="AE158" s="17" t="n">
        <f aca="false">SQRT(($B158-AE$139)^2+($C158-AE$140)^2+($D158-AE$141)^2)</f>
        <v>3.46295865334446</v>
      </c>
      <c r="AF158" s="17" t="n">
        <f aca="false">SQRT(($B158-AF$139)^2+($C158-AF$140)^2+($D158-AF$141)^2)</f>
        <v>0.635019279839491</v>
      </c>
      <c r="AG158" s="17" t="n">
        <f aca="false">SQRT(($B158-AG$139)^2+($C158-AG$140)^2+($D158-AG$141)^2)</f>
        <v>2.44164504747299</v>
      </c>
      <c r="AH158" s="63" t="n">
        <f aca="false">MATCH(MIN(AD158:AG158),AD158:AG158,0)</f>
        <v>3</v>
      </c>
      <c r="AJ158" s="17" t="n">
        <f aca="false">SQRT(($B158-AJ$139)^2+($C158-AJ$140)^2+($D158-AJ$141)^2)</f>
        <v>3.03547283922914</v>
      </c>
      <c r="AK158" s="17" t="n">
        <f aca="false">SQRT(($B158-AK$139)^2+($C158-AK$140)^2+($D158-AK$141)^2)</f>
        <v>3.48682150355639</v>
      </c>
      <c r="AL158" s="17" t="n">
        <f aca="false">SQRT(($B158-AL$139)^2+($C158-AL$140)^2+($D158-AL$141)^2)</f>
        <v>0.548839065652872</v>
      </c>
      <c r="AM158" s="17" t="n">
        <f aca="false">SQRT(($B158-AM$139)^2+($C158-AM$140)^2+($D158-AM$141)^2)</f>
        <v>2.37260158329638</v>
      </c>
      <c r="AN158" s="63" t="n">
        <f aca="false">MATCH(MIN(AJ158:AM158),AJ158:AM158,0)</f>
        <v>3</v>
      </c>
      <c r="AP158" s="17" t="n">
        <f aca="false">SQRT(($B158-AP$139)^2+($C158-AP$140)^2+($D158-AP$141)^2)</f>
        <v>2.74736666676251</v>
      </c>
      <c r="AQ158" s="17" t="n">
        <f aca="false">SQRT(($B158-AQ$139)^2+($C158-AQ$140)^2+($D158-AQ$141)^2)</f>
        <v>3.56835064228065</v>
      </c>
      <c r="AR158" s="17" t="n">
        <f aca="false">SQRT(($B158-AR$139)^2+($C158-AR$140)^2+($D158-AR$141)^2)</f>
        <v>0.59642679369978</v>
      </c>
      <c r="AS158" s="17" t="n">
        <f aca="false">SQRT(($B158-AS$139)^2+($C158-AS$140)^2+($D158-AS$141)^2)</f>
        <v>2.39702193718371</v>
      </c>
      <c r="AT158" s="63" t="n">
        <f aca="false">MATCH(MIN(AP158:AS158),AP158:AS158,0)</f>
        <v>3</v>
      </c>
      <c r="AV158" s="17" t="n">
        <f aca="false">SQRT(($B158-AV$139)^2+($C158-AV$140)^2+($D158-AV$141)^2)</f>
        <v>2.74736666676251</v>
      </c>
      <c r="AW158" s="17" t="n">
        <f aca="false">SQRT(($B158-AW$139)^2+($C158-AW$140)^2+($D158-AW$141)^2)</f>
        <v>3.56835064228065</v>
      </c>
      <c r="AX158" s="17" t="n">
        <f aca="false">SQRT(($B158-AX$139)^2+($C158-AX$140)^2+($D158-AX$141)^2)</f>
        <v>0.59642679369978</v>
      </c>
      <c r="AY158" s="17" t="n">
        <f aca="false">SQRT(($B158-AY$139)^2+($C158-AY$140)^2+($D158-AY$141)^2)</f>
        <v>2.39702193718371</v>
      </c>
      <c r="AZ158" s="63" t="n">
        <f aca="false">MATCH(MIN(AV158:AY158),AV158:AY158,0)</f>
        <v>3</v>
      </c>
      <c r="BB158" s="17" t="n">
        <f aca="false">SQRT(($B158-BB$139)^2+($C158-BB$140)^2+($D158-BB$141)^2)</f>
        <v>2.74736666676251</v>
      </c>
      <c r="BC158" s="17" t="n">
        <f aca="false">SQRT(($B158-BC$139)^2+($C158-BC$140)^2+($D158-BC$141)^2)</f>
        <v>3.56835064228065</v>
      </c>
      <c r="BD158" s="17" t="n">
        <f aca="false">SQRT(($B158-BD$139)^2+($C158-BD$140)^2+($D158-BD$141)^2)</f>
        <v>0.59642679369978</v>
      </c>
      <c r="BE158" s="17" t="n">
        <f aca="false">SQRT(($B158-BE$139)^2+($C158-BE$140)^2+($D158-BE$141)^2)</f>
        <v>2.39702193718371</v>
      </c>
      <c r="BF158" s="63" t="n">
        <f aca="false">MATCH(MIN(BB158:BE158),BB158:BE158,0)</f>
        <v>3</v>
      </c>
      <c r="BH158" s="17" t="n">
        <f aca="false">SQRT(($B158-BH$139)^2+($C158-BH$140)^2+($D158-BH$141)^2)</f>
        <v>2.74736666676251</v>
      </c>
      <c r="BI158" s="17" t="n">
        <f aca="false">SQRT(($B158-BI$139)^2+($C158-BI$140)^2+($D158-BI$141)^2)</f>
        <v>3.56835064228065</v>
      </c>
      <c r="BJ158" s="17" t="n">
        <f aca="false">SQRT(($B158-BJ$139)^2+($C158-BJ$140)^2+($D158-BJ$141)^2)</f>
        <v>0.59642679369978</v>
      </c>
      <c r="BK158" s="17" t="n">
        <f aca="false">SQRT(($B158-BK$139)^2+($C158-BK$140)^2+($D158-BK$141)^2)</f>
        <v>2.39702193718371</v>
      </c>
      <c r="BL158" s="63" t="n">
        <f aca="false">MATCH(MIN(BH158:BK158),BH158:BK158,0)</f>
        <v>3</v>
      </c>
      <c r="BN158" s="17" t="n">
        <f aca="false">SQRT(($B158-BN$139)^2+($C158-BN$140)^2+($D158-BN$141)^2)</f>
        <v>2.74736666676251</v>
      </c>
      <c r="BO158" s="17" t="n">
        <f aca="false">SQRT(($B158-BO$139)^2+($C158-BO$140)^2+($D158-BO$141)^2)</f>
        <v>3.56835064228065</v>
      </c>
      <c r="BP158" s="17" t="n">
        <f aca="false">SQRT(($B158-BP$139)^2+($C158-BP$140)^2+($D158-BP$141)^2)</f>
        <v>0.59642679369978</v>
      </c>
      <c r="BQ158" s="17" t="n">
        <f aca="false">SQRT(($B158-BQ$139)^2+($C158-BQ$140)^2+($D158-BQ$141)^2)</f>
        <v>2.39702193718371</v>
      </c>
      <c r="BR158" s="63" t="n">
        <f aca="false">MATCH(MIN(BN158:BQ158),BN158:BQ158,0)</f>
        <v>3</v>
      </c>
      <c r="BT158" s="17" t="n">
        <f aca="false">SQRT(($B158-BT$139)^2+($C158-BT$140)^2+($D158-BT$141)^2)</f>
        <v>2.74736666676251</v>
      </c>
      <c r="BU158" s="17" t="n">
        <f aca="false">SQRT(($B158-BU$139)^2+($C158-BU$140)^2+($D158-BU$141)^2)</f>
        <v>3.56835064228065</v>
      </c>
      <c r="BV158" s="17" t="n">
        <f aca="false">SQRT(($B158-BV$139)^2+($C158-BV$140)^2+($D158-BV$141)^2)</f>
        <v>0.59642679369978</v>
      </c>
      <c r="BW158" s="17" t="n">
        <f aca="false">SQRT(($B158-BW$139)^2+($C158-BW$140)^2+($D158-BW$141)^2)</f>
        <v>2.39702193718371</v>
      </c>
      <c r="BX158" s="63" t="n">
        <f aca="false">MATCH(MIN(BT158:BW158),BT158:BW158,0)</f>
        <v>3</v>
      </c>
      <c r="BZ158" s="17" t="n">
        <f aca="false">SQRT(($B158-BZ$139)^2+($C158-BZ$140)^2+($D158-BZ$141)^2)</f>
        <v>2.74736666676251</v>
      </c>
      <c r="CA158" s="17" t="n">
        <f aca="false">SQRT(($B158-CA$139)^2+($C158-CA$140)^2+($D158-CA$141)^2)</f>
        <v>3.56835064228065</v>
      </c>
      <c r="CB158" s="17" t="n">
        <f aca="false">SQRT(($B158-CB$139)^2+($C158-CB$140)^2+($D158-CB$141)^2)</f>
        <v>0.59642679369978</v>
      </c>
      <c r="CC158" s="17" t="n">
        <f aca="false">SQRT(($B158-CC$139)^2+($C158-CC$140)^2+($D158-CC$141)^2)</f>
        <v>2.39702193718371</v>
      </c>
      <c r="CD158" s="63" t="n">
        <f aca="false">MATCH(MIN(BZ158:CC158),BZ158:CC158,0)</f>
        <v>3</v>
      </c>
      <c r="CF158" s="17" t="n">
        <f aca="false">SQRT(($B158-CF$139)^2+($C158-CF$140)^2+($D158-CF$141)^2)</f>
        <v>2.74736666676251</v>
      </c>
      <c r="CG158" s="17" t="n">
        <f aca="false">SQRT(($B158-CG$139)^2+($C158-CG$140)^2+($D158-CG$141)^2)</f>
        <v>3.56835064228065</v>
      </c>
      <c r="CH158" s="17" t="n">
        <f aca="false">SQRT(($B158-CH$139)^2+($C158-CH$140)^2+($D158-CH$141)^2)</f>
        <v>0.59642679369978</v>
      </c>
      <c r="CI158" s="17" t="n">
        <f aca="false">SQRT(($B158-CI$139)^2+($C158-CI$140)^2+($D158-CI$141)^2)</f>
        <v>2.39702193718371</v>
      </c>
      <c r="CJ158" s="63" t="n">
        <f aca="false">MATCH(MIN(CF158:CI158),CF158:CI158,0)</f>
        <v>3</v>
      </c>
      <c r="CL158" s="17" t="n">
        <f aca="false">SQRT(($B158-CL$139)^2+($C158-CL$140)^2+($D158-CL$141)^2)</f>
        <v>2.74736666676251</v>
      </c>
      <c r="CM158" s="17" t="n">
        <f aca="false">SQRT(($B158-CM$139)^2+($C158-CM$140)^2+($D158-CM$141)^2)</f>
        <v>3.56835064228065</v>
      </c>
      <c r="CN158" s="17" t="n">
        <f aca="false">SQRT(($B158-CN$139)^2+($C158-CN$140)^2+($D158-CN$141)^2)</f>
        <v>0.59642679369978</v>
      </c>
      <c r="CO158" s="17" t="n">
        <f aca="false">SQRT(($B158-CO$139)^2+($C158-CO$140)^2+($D158-CO$141)^2)</f>
        <v>2.39702193718371</v>
      </c>
      <c r="CP158" s="63" t="n">
        <f aca="false">MATCH(MIN(CL158:CO158),CL158:CO158,0)</f>
        <v>3</v>
      </c>
    </row>
    <row r="159" customFormat="false" ht="15" hidden="false" customHeight="false" outlineLevel="0" collapsed="false">
      <c r="A159" s="36" t="str">
        <f aca="false">KMeans_Data!A18</f>
        <v>Larkana</v>
      </c>
      <c r="B159" s="17" t="n">
        <f aca="false">KMeans_Data!H18</f>
        <v>1.03733687213202</v>
      </c>
      <c r="C159" s="17" t="n">
        <f aca="false">KMeans_Data!I18</f>
        <v>0.378684277529216</v>
      </c>
      <c r="D159" s="17" t="n">
        <f aca="false">KMeans_Data!J18</f>
        <v>1.47040463995458</v>
      </c>
      <c r="E159" s="63" t="n">
        <f aca="false">CP159</f>
        <v>3</v>
      </c>
      <c r="F159" s="38" t="n">
        <f aca="false">($B159-INDEX($L$139:$O$139,E159))^2+($C159-INDEX($L$140:$O$140,E159))^2+($D159-INDEX($L$141:$O$141,E159))^2</f>
        <v>0.583928314602317</v>
      </c>
      <c r="G159" s="17" t="n">
        <f aca="false">IF(COUNTIF(Distance_Matrix!$E$10:$DQ$10,$E159)&lt;=1,0,SUMIF(Distance_Matrix!$E$10:$DQ$10,$E159,Distance_Matrix!$E$27:$DQ$27)/(COUNTIF(Distance_Matrix!$E$10:$DQ$10,$E159)-1))</f>
        <v>1.06029269045583</v>
      </c>
      <c r="H159" s="17" t="n">
        <f aca="false">MIN(IF(1=$E159,1E+099,IF(COUNTIF(Distance_Matrix!$E$10:$DQ$10,1)=0,1E+099,SUMIF(Distance_Matrix!$E$10:$DQ$10,1,Distance_Matrix!$E$27:$DQ$27)/COUNTIF(Distance_Matrix!$E$10:$DQ$10,1))),IF(2=$E159,1E+099,IF(COUNTIF(Distance_Matrix!$E$10:$DQ$10,2)=0,1E+099,SUMIF(Distance_Matrix!$E$10:$DQ$10,2,Distance_Matrix!$E$27:$DQ$27)/COUNTIF(Distance_Matrix!$E$10:$DQ$10,2))),IF(3=$E159,1E+099,IF(COUNTIF(Distance_Matrix!$E$10:$DQ$10,3)=0,1E+099,SUMIF(Distance_Matrix!$E$10:$DQ$10,3,Distance_Matrix!$E$27:$DQ$27)/COUNTIF(Distance_Matrix!$E$10:$DQ$10,3))),IF(4=$E159,1E+099,IF(COUNTIF(Distance_Matrix!$E$10:$DQ$10,4)=0,1E+099,SUMIF(Distance_Matrix!$E$10:$DQ$10,4,Distance_Matrix!$E$27:$DQ$27)/COUNTIF(Distance_Matrix!$E$10:$DQ$10,4))))</f>
        <v>2.44276156355946</v>
      </c>
      <c r="I159" s="17" t="n">
        <f aca="false">IF(COUNTIF(Distance_Matrix!$E$10:$DQ$10,$E159)&lt;=1,0,(H159-G159)/MAX(G159,H159))</f>
        <v>0.565945073693221</v>
      </c>
      <c r="X159" s="17" t="n">
        <f aca="false">SQRT(($B159-X$139)^2+($C159-X$140)^2+($D159-X$141)^2)</f>
        <v>4.64515792720078</v>
      </c>
      <c r="Y159" s="17" t="n">
        <f aca="false">SQRT(($B159-Y$139)^2+($C159-Y$140)^2+($D159-Y$141)^2)</f>
        <v>4.20299555676564</v>
      </c>
      <c r="Z159" s="17" t="n">
        <f aca="false">SQRT(($B159-Z$139)^2+($C159-Z$140)^2+($D159-Z$141)^2)</f>
        <v>0</v>
      </c>
      <c r="AA159" s="17" t="n">
        <f aca="false">SQRT(($B159-AA$139)^2+($C159-AA$140)^2+($D159-AA$141)^2)</f>
        <v>2.6969311940684</v>
      </c>
      <c r="AB159" s="63" t="n">
        <f aca="false">MATCH(MIN(X159:AA159),X159:AA159,0)</f>
        <v>3</v>
      </c>
      <c r="AD159" s="17" t="n">
        <f aca="false">SQRT(($B159-AD$139)^2+($C159-AD$140)^2+($D159-AD$141)^2)</f>
        <v>3.74068139715645</v>
      </c>
      <c r="AE159" s="17" t="n">
        <f aca="false">SQRT(($B159-AE$139)^2+($C159-AE$140)^2+($D159-AE$141)^2)</f>
        <v>3.47045685165101</v>
      </c>
      <c r="AF159" s="17" t="n">
        <f aca="false">SQRT(($B159-AF$139)^2+($C159-AF$140)^2+($D159-AF$141)^2)</f>
        <v>0.75683232625756</v>
      </c>
      <c r="AG159" s="17" t="n">
        <f aca="false">SQRT(($B159-AG$139)^2+($C159-AG$140)^2+($D159-AG$141)^2)</f>
        <v>2.42898724312279</v>
      </c>
      <c r="AH159" s="63" t="n">
        <f aca="false">MATCH(MIN(AD159:AG159),AD159:AG159,0)</f>
        <v>3</v>
      </c>
      <c r="AJ159" s="17" t="n">
        <f aca="false">SQRT(($B159-AJ$139)^2+($C159-AJ$140)^2+($D159-AJ$141)^2)</f>
        <v>3.39571084394568</v>
      </c>
      <c r="AK159" s="17" t="n">
        <f aca="false">SQRT(($B159-AK$139)^2+($C159-AK$140)^2+($D159-AK$141)^2)</f>
        <v>3.49989926222183</v>
      </c>
      <c r="AL159" s="17" t="n">
        <f aca="false">SQRT(($B159-AL$139)^2+($C159-AL$140)^2+($D159-AL$141)^2)</f>
        <v>0.755048795472142</v>
      </c>
      <c r="AM159" s="17" t="n">
        <f aca="false">SQRT(($B159-AM$139)^2+($C159-AM$140)^2+($D159-AM$141)^2)</f>
        <v>2.33566785387902</v>
      </c>
      <c r="AN159" s="63" t="n">
        <f aca="false">MATCH(MIN(AJ159:AM159),AJ159:AM159,0)</f>
        <v>3</v>
      </c>
      <c r="AP159" s="17" t="n">
        <f aca="false">SQRT(($B159-AP$139)^2+($C159-AP$140)^2+($D159-AP$141)^2)</f>
        <v>3.12638304658029</v>
      </c>
      <c r="AQ159" s="17" t="n">
        <f aca="false">SQRT(($B159-AQ$139)^2+($C159-AQ$140)^2+($D159-AQ$141)^2)</f>
        <v>3.59104993968845</v>
      </c>
      <c r="AR159" s="17" t="n">
        <f aca="false">SQRT(($B159-AR$139)^2+($C159-AR$140)^2+($D159-AR$141)^2)</f>
        <v>0.764152023227262</v>
      </c>
      <c r="AS159" s="17" t="n">
        <f aca="false">SQRT(($B159-AS$139)^2+($C159-AS$140)^2+($D159-AS$141)^2)</f>
        <v>2.35621807224513</v>
      </c>
      <c r="AT159" s="63" t="n">
        <f aca="false">MATCH(MIN(AP159:AS159),AP159:AS159,0)</f>
        <v>3</v>
      </c>
      <c r="AV159" s="17" t="n">
        <f aca="false">SQRT(($B159-AV$139)^2+($C159-AV$140)^2+($D159-AV$141)^2)</f>
        <v>3.12638304658029</v>
      </c>
      <c r="AW159" s="17" t="n">
        <f aca="false">SQRT(($B159-AW$139)^2+($C159-AW$140)^2+($D159-AW$141)^2)</f>
        <v>3.59104993968845</v>
      </c>
      <c r="AX159" s="17" t="n">
        <f aca="false">SQRT(($B159-AX$139)^2+($C159-AX$140)^2+($D159-AX$141)^2)</f>
        <v>0.764152023227262</v>
      </c>
      <c r="AY159" s="17" t="n">
        <f aca="false">SQRT(($B159-AY$139)^2+($C159-AY$140)^2+($D159-AY$141)^2)</f>
        <v>2.35621807224513</v>
      </c>
      <c r="AZ159" s="63" t="n">
        <f aca="false">MATCH(MIN(AV159:AY159),AV159:AY159,0)</f>
        <v>3</v>
      </c>
      <c r="BB159" s="17" t="n">
        <f aca="false">SQRT(($B159-BB$139)^2+($C159-BB$140)^2+($D159-BB$141)^2)</f>
        <v>3.12638304658029</v>
      </c>
      <c r="BC159" s="17" t="n">
        <f aca="false">SQRT(($B159-BC$139)^2+($C159-BC$140)^2+($D159-BC$141)^2)</f>
        <v>3.59104993968845</v>
      </c>
      <c r="BD159" s="17" t="n">
        <f aca="false">SQRT(($B159-BD$139)^2+($C159-BD$140)^2+($D159-BD$141)^2)</f>
        <v>0.764152023227262</v>
      </c>
      <c r="BE159" s="17" t="n">
        <f aca="false">SQRT(($B159-BE$139)^2+($C159-BE$140)^2+($D159-BE$141)^2)</f>
        <v>2.35621807224513</v>
      </c>
      <c r="BF159" s="63" t="n">
        <f aca="false">MATCH(MIN(BB159:BE159),BB159:BE159,0)</f>
        <v>3</v>
      </c>
      <c r="BH159" s="17" t="n">
        <f aca="false">SQRT(($B159-BH$139)^2+($C159-BH$140)^2+($D159-BH$141)^2)</f>
        <v>3.12638304658029</v>
      </c>
      <c r="BI159" s="17" t="n">
        <f aca="false">SQRT(($B159-BI$139)^2+($C159-BI$140)^2+($D159-BI$141)^2)</f>
        <v>3.59104993968845</v>
      </c>
      <c r="BJ159" s="17" t="n">
        <f aca="false">SQRT(($B159-BJ$139)^2+($C159-BJ$140)^2+($D159-BJ$141)^2)</f>
        <v>0.764152023227262</v>
      </c>
      <c r="BK159" s="17" t="n">
        <f aca="false">SQRT(($B159-BK$139)^2+($C159-BK$140)^2+($D159-BK$141)^2)</f>
        <v>2.35621807224513</v>
      </c>
      <c r="BL159" s="63" t="n">
        <f aca="false">MATCH(MIN(BH159:BK159),BH159:BK159,0)</f>
        <v>3</v>
      </c>
      <c r="BN159" s="17" t="n">
        <f aca="false">SQRT(($B159-BN$139)^2+($C159-BN$140)^2+($D159-BN$141)^2)</f>
        <v>3.12638304658029</v>
      </c>
      <c r="BO159" s="17" t="n">
        <f aca="false">SQRT(($B159-BO$139)^2+($C159-BO$140)^2+($D159-BO$141)^2)</f>
        <v>3.59104993968845</v>
      </c>
      <c r="BP159" s="17" t="n">
        <f aca="false">SQRT(($B159-BP$139)^2+($C159-BP$140)^2+($D159-BP$141)^2)</f>
        <v>0.764152023227262</v>
      </c>
      <c r="BQ159" s="17" t="n">
        <f aca="false">SQRT(($B159-BQ$139)^2+($C159-BQ$140)^2+($D159-BQ$141)^2)</f>
        <v>2.35621807224513</v>
      </c>
      <c r="BR159" s="63" t="n">
        <f aca="false">MATCH(MIN(BN159:BQ159),BN159:BQ159,0)</f>
        <v>3</v>
      </c>
      <c r="BT159" s="17" t="n">
        <f aca="false">SQRT(($B159-BT$139)^2+($C159-BT$140)^2+($D159-BT$141)^2)</f>
        <v>3.12638304658029</v>
      </c>
      <c r="BU159" s="17" t="n">
        <f aca="false">SQRT(($B159-BU$139)^2+($C159-BU$140)^2+($D159-BU$141)^2)</f>
        <v>3.59104993968845</v>
      </c>
      <c r="BV159" s="17" t="n">
        <f aca="false">SQRT(($B159-BV$139)^2+($C159-BV$140)^2+($D159-BV$141)^2)</f>
        <v>0.764152023227262</v>
      </c>
      <c r="BW159" s="17" t="n">
        <f aca="false">SQRT(($B159-BW$139)^2+($C159-BW$140)^2+($D159-BW$141)^2)</f>
        <v>2.35621807224513</v>
      </c>
      <c r="BX159" s="63" t="n">
        <f aca="false">MATCH(MIN(BT159:BW159),BT159:BW159,0)</f>
        <v>3</v>
      </c>
      <c r="BZ159" s="17" t="n">
        <f aca="false">SQRT(($B159-BZ$139)^2+($C159-BZ$140)^2+($D159-BZ$141)^2)</f>
        <v>3.12638304658029</v>
      </c>
      <c r="CA159" s="17" t="n">
        <f aca="false">SQRT(($B159-CA$139)^2+($C159-CA$140)^2+($D159-CA$141)^2)</f>
        <v>3.59104993968845</v>
      </c>
      <c r="CB159" s="17" t="n">
        <f aca="false">SQRT(($B159-CB$139)^2+($C159-CB$140)^2+($D159-CB$141)^2)</f>
        <v>0.764152023227262</v>
      </c>
      <c r="CC159" s="17" t="n">
        <f aca="false">SQRT(($B159-CC$139)^2+($C159-CC$140)^2+($D159-CC$141)^2)</f>
        <v>2.35621807224513</v>
      </c>
      <c r="CD159" s="63" t="n">
        <f aca="false">MATCH(MIN(BZ159:CC159),BZ159:CC159,0)</f>
        <v>3</v>
      </c>
      <c r="CF159" s="17" t="n">
        <f aca="false">SQRT(($B159-CF$139)^2+($C159-CF$140)^2+($D159-CF$141)^2)</f>
        <v>3.12638304658029</v>
      </c>
      <c r="CG159" s="17" t="n">
        <f aca="false">SQRT(($B159-CG$139)^2+($C159-CG$140)^2+($D159-CG$141)^2)</f>
        <v>3.59104993968845</v>
      </c>
      <c r="CH159" s="17" t="n">
        <f aca="false">SQRT(($B159-CH$139)^2+($C159-CH$140)^2+($D159-CH$141)^2)</f>
        <v>0.764152023227262</v>
      </c>
      <c r="CI159" s="17" t="n">
        <f aca="false">SQRT(($B159-CI$139)^2+($C159-CI$140)^2+($D159-CI$141)^2)</f>
        <v>2.35621807224513</v>
      </c>
      <c r="CJ159" s="63" t="n">
        <f aca="false">MATCH(MIN(CF159:CI159),CF159:CI159,0)</f>
        <v>3</v>
      </c>
      <c r="CL159" s="17" t="n">
        <f aca="false">SQRT(($B159-CL$139)^2+($C159-CL$140)^2+($D159-CL$141)^2)</f>
        <v>3.12638304658029</v>
      </c>
      <c r="CM159" s="17" t="n">
        <f aca="false">SQRT(($B159-CM$139)^2+($C159-CM$140)^2+($D159-CM$141)^2)</f>
        <v>3.59104993968845</v>
      </c>
      <c r="CN159" s="17" t="n">
        <f aca="false">SQRT(($B159-CN$139)^2+($C159-CN$140)^2+($D159-CN$141)^2)</f>
        <v>0.764152023227262</v>
      </c>
      <c r="CO159" s="17" t="n">
        <f aca="false">SQRT(($B159-CO$139)^2+($C159-CO$140)^2+($D159-CO$141)^2)</f>
        <v>2.35621807224513</v>
      </c>
      <c r="CP159" s="63" t="n">
        <f aca="false">MATCH(MIN(CL159:CO159),CL159:CO159,0)</f>
        <v>3</v>
      </c>
    </row>
    <row r="160" customFormat="false" ht="15" hidden="false" customHeight="false" outlineLevel="0" collapsed="false">
      <c r="A160" s="36" t="str">
        <f aca="false">KMeans_Data!A19</f>
        <v>Ghotki</v>
      </c>
      <c r="B160" s="17" t="n">
        <f aca="false">KMeans_Data!H19</f>
        <v>1.00781777519734</v>
      </c>
      <c r="C160" s="17" t="n">
        <f aca="false">KMeans_Data!I19</f>
        <v>-0.146983133929529</v>
      </c>
      <c r="D160" s="17" t="n">
        <f aca="false">KMeans_Data!J19</f>
        <v>1.16687696458076</v>
      </c>
      <c r="E160" s="63" t="n">
        <f aca="false">CP160</f>
        <v>3</v>
      </c>
      <c r="F160" s="38" t="n">
        <f aca="false">($B160-INDEX($L$139:$O$139,E160))^2+($C160-INDEX($L$140:$O$140,E160))^2+($D160-INDEX($L$141:$O$141,E160))^2</f>
        <v>0.814809360932747</v>
      </c>
      <c r="G160" s="17" t="n">
        <f aca="false">IF(COUNTIF(Distance_Matrix!$E$10:$DQ$10,$E160)&lt;=1,0,SUMIF(Distance_Matrix!$E$10:$DQ$10,$E160,Distance_Matrix!$E$28:$DQ$28)/(COUNTIF(Distance_Matrix!$E$10:$DQ$10,$E160)-1))</f>
        <v>1.16447055525023</v>
      </c>
      <c r="H160" s="17" t="n">
        <f aca="false">MIN(IF(1=$E160,1E+099,IF(COUNTIF(Distance_Matrix!$E$10:$DQ$10,1)=0,1E+099,SUMIF(Distance_Matrix!$E$10:$DQ$10,1,Distance_Matrix!$E$28:$DQ$28)/COUNTIF(Distance_Matrix!$E$10:$DQ$10,1))),IF(2=$E160,1E+099,IF(COUNTIF(Distance_Matrix!$E$10:$DQ$10,2)=0,1E+099,SUMIF(Distance_Matrix!$E$10:$DQ$10,2,Distance_Matrix!$E$28:$DQ$28)/COUNTIF(Distance_Matrix!$E$10:$DQ$10,2))),IF(3=$E160,1E+099,IF(COUNTIF(Distance_Matrix!$E$10:$DQ$10,3)=0,1E+099,SUMIF(Distance_Matrix!$E$10:$DQ$10,3,Distance_Matrix!$E$28:$DQ$28)/COUNTIF(Distance_Matrix!$E$10:$DQ$10,3))),IF(4=$E160,1E+099,IF(COUNTIF(Distance_Matrix!$E$10:$DQ$10,4)=0,1E+099,SUMIF(Distance_Matrix!$E$10:$DQ$10,4,Distance_Matrix!$E$28:$DQ$28)/COUNTIF(Distance_Matrix!$E$10:$DQ$10,4))))</f>
        <v>2.05726068142675</v>
      </c>
      <c r="I160" s="17" t="n">
        <f aca="false">IF(COUNTIF(Distance_Matrix!$E$10:$DQ$10,$E160)&lt;=1,0,(H160-G160)/MAX(G160,H160))</f>
        <v>0.433970344272245</v>
      </c>
      <c r="X160" s="17" t="n">
        <f aca="false">SQRT(($B160-X$139)^2+($C160-X$140)^2+($D160-X$141)^2)</f>
        <v>5.19700942044935</v>
      </c>
      <c r="Y160" s="17" t="n">
        <f aca="false">SQRT(($B160-Y$139)^2+($C160-Y$140)^2+($D160-Y$141)^2)</f>
        <v>3.89320954094829</v>
      </c>
      <c r="Z160" s="17" t="n">
        <f aca="false">SQRT(($B160-Z$139)^2+($C160-Z$140)^2+($D160-Z$141)^2)</f>
        <v>0.607722514204808</v>
      </c>
      <c r="AA160" s="17" t="n">
        <f aca="false">SQRT(($B160-AA$139)^2+($C160-AA$140)^2+($D160-AA$141)^2)</f>
        <v>2.34070556572108</v>
      </c>
      <c r="AB160" s="63" t="n">
        <f aca="false">MATCH(MIN(X160:AA160),X160:AA160,0)</f>
        <v>3</v>
      </c>
      <c r="AD160" s="17" t="n">
        <f aca="false">SQRT(($B160-AD$139)^2+($C160-AD$140)^2+($D160-AD$141)^2)</f>
        <v>4.28700943742122</v>
      </c>
      <c r="AE160" s="17" t="n">
        <f aca="false">SQRT(($B160-AE$139)^2+($C160-AE$140)^2+($D160-AE$141)^2)</f>
        <v>3.11977153662463</v>
      </c>
      <c r="AF160" s="17" t="n">
        <f aca="false">SQRT(($B160-AF$139)^2+($C160-AF$140)^2+($D160-AF$141)^2)</f>
        <v>0.875454598898835</v>
      </c>
      <c r="AG160" s="17" t="n">
        <f aca="false">SQRT(($B160-AG$139)^2+($C160-AG$140)^2+($D160-AG$141)^2)</f>
        <v>2.02172756364057</v>
      </c>
      <c r="AH160" s="63" t="n">
        <f aca="false">MATCH(MIN(AD160:AG160),AD160:AG160,0)</f>
        <v>3</v>
      </c>
      <c r="AJ160" s="17" t="n">
        <f aca="false">SQRT(($B160-AJ$139)^2+($C160-AJ$140)^2+($D160-AJ$141)^2)</f>
        <v>3.93813431285009</v>
      </c>
      <c r="AK160" s="17" t="n">
        <f aca="false">SQRT(($B160-AK$139)^2+($C160-AK$140)^2+($D160-AK$141)^2)</f>
        <v>3.14771779415949</v>
      </c>
      <c r="AL160" s="17" t="n">
        <f aca="false">SQRT(($B160-AL$139)^2+($C160-AL$140)^2+($D160-AL$141)^2)</f>
        <v>0.925281679263782</v>
      </c>
      <c r="AM160" s="17" t="n">
        <f aca="false">SQRT(($B160-AM$139)^2+($C160-AM$140)^2+($D160-AM$141)^2)</f>
        <v>1.92674330394894</v>
      </c>
      <c r="AN160" s="63" t="n">
        <f aca="false">MATCH(MIN(AJ160:AM160),AJ160:AM160,0)</f>
        <v>3</v>
      </c>
      <c r="AP160" s="17" t="n">
        <f aca="false">SQRT(($B160-AP$139)^2+($C160-AP$140)^2+($D160-AP$141)^2)</f>
        <v>3.67112790919093</v>
      </c>
      <c r="AQ160" s="17" t="n">
        <f aca="false">SQRT(($B160-AQ$139)^2+($C160-AQ$140)^2+($D160-AQ$141)^2)</f>
        <v>3.24045499459421</v>
      </c>
      <c r="AR160" s="17" t="n">
        <f aca="false">SQRT(($B160-AR$139)^2+($C160-AR$140)^2+($D160-AR$141)^2)</f>
        <v>0.902667912874246</v>
      </c>
      <c r="AS160" s="17" t="n">
        <f aca="false">SQRT(($B160-AS$139)^2+($C160-AS$140)^2+($D160-AS$141)^2)</f>
        <v>1.94926879601215</v>
      </c>
      <c r="AT160" s="63" t="n">
        <f aca="false">MATCH(MIN(AP160:AS160),AP160:AS160,0)</f>
        <v>3</v>
      </c>
      <c r="AV160" s="17" t="n">
        <f aca="false">SQRT(($B160-AV$139)^2+($C160-AV$140)^2+($D160-AV$141)^2)</f>
        <v>3.67112790919093</v>
      </c>
      <c r="AW160" s="17" t="n">
        <f aca="false">SQRT(($B160-AW$139)^2+($C160-AW$140)^2+($D160-AW$141)^2)</f>
        <v>3.24045499459421</v>
      </c>
      <c r="AX160" s="17" t="n">
        <f aca="false">SQRT(($B160-AX$139)^2+($C160-AX$140)^2+($D160-AX$141)^2)</f>
        <v>0.902667912874246</v>
      </c>
      <c r="AY160" s="17" t="n">
        <f aca="false">SQRT(($B160-AY$139)^2+($C160-AY$140)^2+($D160-AY$141)^2)</f>
        <v>1.94926879601215</v>
      </c>
      <c r="AZ160" s="63" t="n">
        <f aca="false">MATCH(MIN(AV160:AY160),AV160:AY160,0)</f>
        <v>3</v>
      </c>
      <c r="BB160" s="17" t="n">
        <f aca="false">SQRT(($B160-BB$139)^2+($C160-BB$140)^2+($D160-BB$141)^2)</f>
        <v>3.67112790919093</v>
      </c>
      <c r="BC160" s="17" t="n">
        <f aca="false">SQRT(($B160-BC$139)^2+($C160-BC$140)^2+($D160-BC$141)^2)</f>
        <v>3.24045499459421</v>
      </c>
      <c r="BD160" s="17" t="n">
        <f aca="false">SQRT(($B160-BD$139)^2+($C160-BD$140)^2+($D160-BD$141)^2)</f>
        <v>0.902667912874246</v>
      </c>
      <c r="BE160" s="17" t="n">
        <f aca="false">SQRT(($B160-BE$139)^2+($C160-BE$140)^2+($D160-BE$141)^2)</f>
        <v>1.94926879601215</v>
      </c>
      <c r="BF160" s="63" t="n">
        <f aca="false">MATCH(MIN(BB160:BE160),BB160:BE160,0)</f>
        <v>3</v>
      </c>
      <c r="BH160" s="17" t="n">
        <f aca="false">SQRT(($B160-BH$139)^2+($C160-BH$140)^2+($D160-BH$141)^2)</f>
        <v>3.67112790919093</v>
      </c>
      <c r="BI160" s="17" t="n">
        <f aca="false">SQRT(($B160-BI$139)^2+($C160-BI$140)^2+($D160-BI$141)^2)</f>
        <v>3.24045499459421</v>
      </c>
      <c r="BJ160" s="17" t="n">
        <f aca="false">SQRT(($B160-BJ$139)^2+($C160-BJ$140)^2+($D160-BJ$141)^2)</f>
        <v>0.902667912874246</v>
      </c>
      <c r="BK160" s="17" t="n">
        <f aca="false">SQRT(($B160-BK$139)^2+($C160-BK$140)^2+($D160-BK$141)^2)</f>
        <v>1.94926879601215</v>
      </c>
      <c r="BL160" s="63" t="n">
        <f aca="false">MATCH(MIN(BH160:BK160),BH160:BK160,0)</f>
        <v>3</v>
      </c>
      <c r="BN160" s="17" t="n">
        <f aca="false">SQRT(($B160-BN$139)^2+($C160-BN$140)^2+($D160-BN$141)^2)</f>
        <v>3.67112790919093</v>
      </c>
      <c r="BO160" s="17" t="n">
        <f aca="false">SQRT(($B160-BO$139)^2+($C160-BO$140)^2+($D160-BO$141)^2)</f>
        <v>3.24045499459421</v>
      </c>
      <c r="BP160" s="17" t="n">
        <f aca="false">SQRT(($B160-BP$139)^2+($C160-BP$140)^2+($D160-BP$141)^2)</f>
        <v>0.902667912874246</v>
      </c>
      <c r="BQ160" s="17" t="n">
        <f aca="false">SQRT(($B160-BQ$139)^2+($C160-BQ$140)^2+($D160-BQ$141)^2)</f>
        <v>1.94926879601215</v>
      </c>
      <c r="BR160" s="63" t="n">
        <f aca="false">MATCH(MIN(BN160:BQ160),BN160:BQ160,0)</f>
        <v>3</v>
      </c>
      <c r="BT160" s="17" t="n">
        <f aca="false">SQRT(($B160-BT$139)^2+($C160-BT$140)^2+($D160-BT$141)^2)</f>
        <v>3.67112790919093</v>
      </c>
      <c r="BU160" s="17" t="n">
        <f aca="false">SQRT(($B160-BU$139)^2+($C160-BU$140)^2+($D160-BU$141)^2)</f>
        <v>3.24045499459421</v>
      </c>
      <c r="BV160" s="17" t="n">
        <f aca="false">SQRT(($B160-BV$139)^2+($C160-BV$140)^2+($D160-BV$141)^2)</f>
        <v>0.902667912874246</v>
      </c>
      <c r="BW160" s="17" t="n">
        <f aca="false">SQRT(($B160-BW$139)^2+($C160-BW$140)^2+($D160-BW$141)^2)</f>
        <v>1.94926879601215</v>
      </c>
      <c r="BX160" s="63" t="n">
        <f aca="false">MATCH(MIN(BT160:BW160),BT160:BW160,0)</f>
        <v>3</v>
      </c>
      <c r="BZ160" s="17" t="n">
        <f aca="false">SQRT(($B160-BZ$139)^2+($C160-BZ$140)^2+($D160-BZ$141)^2)</f>
        <v>3.67112790919093</v>
      </c>
      <c r="CA160" s="17" t="n">
        <f aca="false">SQRT(($B160-CA$139)^2+($C160-CA$140)^2+($D160-CA$141)^2)</f>
        <v>3.24045499459421</v>
      </c>
      <c r="CB160" s="17" t="n">
        <f aca="false">SQRT(($B160-CB$139)^2+($C160-CB$140)^2+($D160-CB$141)^2)</f>
        <v>0.902667912874246</v>
      </c>
      <c r="CC160" s="17" t="n">
        <f aca="false">SQRT(($B160-CC$139)^2+($C160-CC$140)^2+($D160-CC$141)^2)</f>
        <v>1.94926879601215</v>
      </c>
      <c r="CD160" s="63" t="n">
        <f aca="false">MATCH(MIN(BZ160:CC160),BZ160:CC160,0)</f>
        <v>3</v>
      </c>
      <c r="CF160" s="17" t="n">
        <f aca="false">SQRT(($B160-CF$139)^2+($C160-CF$140)^2+($D160-CF$141)^2)</f>
        <v>3.67112790919093</v>
      </c>
      <c r="CG160" s="17" t="n">
        <f aca="false">SQRT(($B160-CG$139)^2+($C160-CG$140)^2+($D160-CG$141)^2)</f>
        <v>3.24045499459421</v>
      </c>
      <c r="CH160" s="17" t="n">
        <f aca="false">SQRT(($B160-CH$139)^2+($C160-CH$140)^2+($D160-CH$141)^2)</f>
        <v>0.902667912874246</v>
      </c>
      <c r="CI160" s="17" t="n">
        <f aca="false">SQRT(($B160-CI$139)^2+($C160-CI$140)^2+($D160-CI$141)^2)</f>
        <v>1.94926879601215</v>
      </c>
      <c r="CJ160" s="63" t="n">
        <f aca="false">MATCH(MIN(CF160:CI160),CF160:CI160,0)</f>
        <v>3</v>
      </c>
      <c r="CL160" s="17" t="n">
        <f aca="false">SQRT(($B160-CL$139)^2+($C160-CL$140)^2+($D160-CL$141)^2)</f>
        <v>3.67112790919093</v>
      </c>
      <c r="CM160" s="17" t="n">
        <f aca="false">SQRT(($B160-CM$139)^2+($C160-CM$140)^2+($D160-CM$141)^2)</f>
        <v>3.24045499459421</v>
      </c>
      <c r="CN160" s="17" t="n">
        <f aca="false">SQRT(($B160-CN$139)^2+($C160-CN$140)^2+($D160-CN$141)^2)</f>
        <v>0.902667912874246</v>
      </c>
      <c r="CO160" s="17" t="n">
        <f aca="false">SQRT(($B160-CO$139)^2+($C160-CO$140)^2+($D160-CO$141)^2)</f>
        <v>1.94926879601215</v>
      </c>
      <c r="CP160" s="63" t="n">
        <f aca="false">MATCH(MIN(CL160:CO160),CL160:CO160,0)</f>
        <v>3</v>
      </c>
    </row>
    <row r="161" customFormat="false" ht="15" hidden="false" customHeight="false" outlineLevel="0" collapsed="false">
      <c r="A161" s="36" t="str">
        <f aca="false">KMeans_Data!A20</f>
        <v>Dir Lower</v>
      </c>
      <c r="B161" s="17" t="n">
        <f aca="false">KMeans_Data!H20</f>
        <v>0.970625526957299</v>
      </c>
      <c r="C161" s="17" t="n">
        <f aca="false">KMeans_Data!I20</f>
        <v>0.993675724638266</v>
      </c>
      <c r="D161" s="17" t="n">
        <f aca="false">KMeans_Data!J20</f>
        <v>0.997526228800629</v>
      </c>
      <c r="E161" s="63" t="n">
        <f aca="false">CP161</f>
        <v>3</v>
      </c>
      <c r="F161" s="38" t="n">
        <f aca="false">($B161-INDEX($L$139:$O$139,E161))^2+($C161-INDEX($L$140:$O$140,E161))^2+($D161-INDEX($L$141:$O$141,E161))^2</f>
        <v>0.273481243498415</v>
      </c>
      <c r="G161" s="17" t="n">
        <f aca="false">IF(COUNTIF(Distance_Matrix!$E$10:$DQ$10,$E161)&lt;=1,0,SUMIF(Distance_Matrix!$E$10:$DQ$10,$E161,Distance_Matrix!$E$29:$DQ$29)/(COUNTIF(Distance_Matrix!$E$10:$DQ$10,$E161)-1))</f>
        <v>0.877887445520548</v>
      </c>
      <c r="H161" s="17" t="n">
        <f aca="false">MIN(IF(1=$E161,1E+099,IF(COUNTIF(Distance_Matrix!$E$10:$DQ$10,1)=0,1E+099,SUMIF(Distance_Matrix!$E$10:$DQ$10,1,Distance_Matrix!$E$29:$DQ$29)/COUNTIF(Distance_Matrix!$E$10:$DQ$10,1))),IF(2=$E161,1E+099,IF(COUNTIF(Distance_Matrix!$E$10:$DQ$10,2)=0,1E+099,SUMIF(Distance_Matrix!$E$10:$DQ$10,2,Distance_Matrix!$E$29:$DQ$29)/COUNTIF(Distance_Matrix!$E$10:$DQ$10,2))),IF(3=$E161,1E+099,IF(COUNTIF(Distance_Matrix!$E$10:$DQ$10,3)=0,1E+099,SUMIF(Distance_Matrix!$E$10:$DQ$10,3,Distance_Matrix!$E$29:$DQ$29)/COUNTIF(Distance_Matrix!$E$10:$DQ$10,3))),IF(4=$E161,1E+099,IF(COUNTIF(Distance_Matrix!$E$10:$DQ$10,4)=0,1E+099,SUMIF(Distance_Matrix!$E$10:$DQ$10,4,Distance_Matrix!$E$29:$DQ$29)/COUNTIF(Distance_Matrix!$E$10:$DQ$10,4))))</f>
        <v>2.40716733582094</v>
      </c>
      <c r="I161" s="17" t="n">
        <f aca="false">IF(COUNTIF(Distance_Matrix!$E$10:$DQ$10,$E161)&lt;=1,0,(H161-G161)/MAX(G161,H161))</f>
        <v>0.635302692730685</v>
      </c>
      <c r="X161" s="17" t="n">
        <f aca="false">SQRT(($B161-X$139)^2+($C161-X$140)^2+($D161-X$141)^2)</f>
        <v>4.43462744470065</v>
      </c>
      <c r="Y161" s="17" t="n">
        <f aca="false">SQRT(($B161-Y$139)^2+($C161-Y$140)^2+($D161-Y$141)^2)</f>
        <v>4.08344706124881</v>
      </c>
      <c r="Z161" s="17" t="n">
        <f aca="false">SQRT(($B161-Z$139)^2+($C161-Z$140)^2+($D161-Z$141)^2)</f>
        <v>0.778639117517089</v>
      </c>
      <c r="AA161" s="17" t="n">
        <f aca="false">SQRT(($B161-AA$139)^2+($C161-AA$140)^2+($D161-AA$141)^2)</f>
        <v>2.44946440401815</v>
      </c>
      <c r="AB161" s="63" t="n">
        <f aca="false">MATCH(MIN(X161:AA161),X161:AA161,0)</f>
        <v>3</v>
      </c>
      <c r="AD161" s="17" t="n">
        <f aca="false">SQRT(($B161-AD$139)^2+($C161-AD$140)^2+($D161-AD$141)^2)</f>
        <v>3.45559438059147</v>
      </c>
      <c r="AE161" s="17" t="n">
        <f aca="false">SQRT(($B161-AE$139)^2+($C161-AE$140)^2+($D161-AE$141)^2)</f>
        <v>3.36767941608384</v>
      </c>
      <c r="AF161" s="17" t="n">
        <f aca="false">SQRT(($B161-AF$139)^2+($C161-AF$140)^2+($D161-AF$141)^2)</f>
        <v>0.565195642792725</v>
      </c>
      <c r="AG161" s="17" t="n">
        <f aca="false">SQRT(($B161-AG$139)^2+($C161-AG$140)^2+($D161-AG$141)^2)</f>
        <v>2.35589176639654</v>
      </c>
      <c r="AH161" s="63" t="n">
        <f aca="false">MATCH(MIN(AD161:AG161),AD161:AG161,0)</f>
        <v>3</v>
      </c>
      <c r="AJ161" s="17" t="n">
        <f aca="false">SQRT(($B161-AJ$139)^2+($C161-AJ$140)^2+($D161-AJ$141)^2)</f>
        <v>3.10947873558578</v>
      </c>
      <c r="AK161" s="17" t="n">
        <f aca="false">SQRT(($B161-AK$139)^2+($C161-AK$140)^2+($D161-AK$141)^2)</f>
        <v>3.39116523021325</v>
      </c>
      <c r="AL161" s="17" t="n">
        <f aca="false">SQRT(($B161-AL$139)^2+($C161-AL$140)^2+($D161-AL$141)^2)</f>
        <v>0.474082958033828</v>
      </c>
      <c r="AM161" s="17" t="n">
        <f aca="false">SQRT(($B161-AM$139)^2+($C161-AM$140)^2+($D161-AM$141)^2)</f>
        <v>2.28839523696075</v>
      </c>
      <c r="AN161" s="63" t="n">
        <f aca="false">MATCH(MIN(AJ161:AM161),AJ161:AM161,0)</f>
        <v>3</v>
      </c>
      <c r="AP161" s="17" t="n">
        <f aca="false">SQRT(($B161-AP$139)^2+($C161-AP$140)^2+($D161-AP$141)^2)</f>
        <v>2.81954853000797</v>
      </c>
      <c r="AQ161" s="17" t="n">
        <f aca="false">SQRT(($B161-AQ$139)^2+($C161-AQ$140)^2+($D161-AQ$141)^2)</f>
        <v>3.47188444399479</v>
      </c>
      <c r="AR161" s="17" t="n">
        <f aca="false">SQRT(($B161-AR$139)^2+($C161-AR$140)^2+($D161-AR$141)^2)</f>
        <v>0.522954341695731</v>
      </c>
      <c r="AS161" s="17" t="n">
        <f aca="false">SQRT(($B161-AS$139)^2+($C161-AS$140)^2+($D161-AS$141)^2)</f>
        <v>2.31253216747911</v>
      </c>
      <c r="AT161" s="63" t="n">
        <f aca="false">MATCH(MIN(AP161:AS161),AP161:AS161,0)</f>
        <v>3</v>
      </c>
      <c r="AV161" s="17" t="n">
        <f aca="false">SQRT(($B161-AV$139)^2+($C161-AV$140)^2+($D161-AV$141)^2)</f>
        <v>2.81954853000797</v>
      </c>
      <c r="AW161" s="17" t="n">
        <f aca="false">SQRT(($B161-AW$139)^2+($C161-AW$140)^2+($D161-AW$141)^2)</f>
        <v>3.47188444399479</v>
      </c>
      <c r="AX161" s="17" t="n">
        <f aca="false">SQRT(($B161-AX$139)^2+($C161-AX$140)^2+($D161-AX$141)^2)</f>
        <v>0.522954341695731</v>
      </c>
      <c r="AY161" s="17" t="n">
        <f aca="false">SQRT(($B161-AY$139)^2+($C161-AY$140)^2+($D161-AY$141)^2)</f>
        <v>2.31253216747911</v>
      </c>
      <c r="AZ161" s="63" t="n">
        <f aca="false">MATCH(MIN(AV161:AY161),AV161:AY161,0)</f>
        <v>3</v>
      </c>
      <c r="BB161" s="17" t="n">
        <f aca="false">SQRT(($B161-BB$139)^2+($C161-BB$140)^2+($D161-BB$141)^2)</f>
        <v>2.81954853000797</v>
      </c>
      <c r="BC161" s="17" t="n">
        <f aca="false">SQRT(($B161-BC$139)^2+($C161-BC$140)^2+($D161-BC$141)^2)</f>
        <v>3.47188444399479</v>
      </c>
      <c r="BD161" s="17" t="n">
        <f aca="false">SQRT(($B161-BD$139)^2+($C161-BD$140)^2+($D161-BD$141)^2)</f>
        <v>0.522954341695731</v>
      </c>
      <c r="BE161" s="17" t="n">
        <f aca="false">SQRT(($B161-BE$139)^2+($C161-BE$140)^2+($D161-BE$141)^2)</f>
        <v>2.31253216747911</v>
      </c>
      <c r="BF161" s="63" t="n">
        <f aca="false">MATCH(MIN(BB161:BE161),BB161:BE161,0)</f>
        <v>3</v>
      </c>
      <c r="BH161" s="17" t="n">
        <f aca="false">SQRT(($B161-BH$139)^2+($C161-BH$140)^2+($D161-BH$141)^2)</f>
        <v>2.81954853000797</v>
      </c>
      <c r="BI161" s="17" t="n">
        <f aca="false">SQRT(($B161-BI$139)^2+($C161-BI$140)^2+($D161-BI$141)^2)</f>
        <v>3.47188444399479</v>
      </c>
      <c r="BJ161" s="17" t="n">
        <f aca="false">SQRT(($B161-BJ$139)^2+($C161-BJ$140)^2+($D161-BJ$141)^2)</f>
        <v>0.522954341695731</v>
      </c>
      <c r="BK161" s="17" t="n">
        <f aca="false">SQRT(($B161-BK$139)^2+($C161-BK$140)^2+($D161-BK$141)^2)</f>
        <v>2.31253216747911</v>
      </c>
      <c r="BL161" s="63" t="n">
        <f aca="false">MATCH(MIN(BH161:BK161),BH161:BK161,0)</f>
        <v>3</v>
      </c>
      <c r="BN161" s="17" t="n">
        <f aca="false">SQRT(($B161-BN$139)^2+($C161-BN$140)^2+($D161-BN$141)^2)</f>
        <v>2.81954853000797</v>
      </c>
      <c r="BO161" s="17" t="n">
        <f aca="false">SQRT(($B161-BO$139)^2+($C161-BO$140)^2+($D161-BO$141)^2)</f>
        <v>3.47188444399479</v>
      </c>
      <c r="BP161" s="17" t="n">
        <f aca="false">SQRT(($B161-BP$139)^2+($C161-BP$140)^2+($D161-BP$141)^2)</f>
        <v>0.522954341695731</v>
      </c>
      <c r="BQ161" s="17" t="n">
        <f aca="false">SQRT(($B161-BQ$139)^2+($C161-BQ$140)^2+($D161-BQ$141)^2)</f>
        <v>2.31253216747911</v>
      </c>
      <c r="BR161" s="63" t="n">
        <f aca="false">MATCH(MIN(BN161:BQ161),BN161:BQ161,0)</f>
        <v>3</v>
      </c>
      <c r="BT161" s="17" t="n">
        <f aca="false">SQRT(($B161-BT$139)^2+($C161-BT$140)^2+($D161-BT$141)^2)</f>
        <v>2.81954853000797</v>
      </c>
      <c r="BU161" s="17" t="n">
        <f aca="false">SQRT(($B161-BU$139)^2+($C161-BU$140)^2+($D161-BU$141)^2)</f>
        <v>3.47188444399479</v>
      </c>
      <c r="BV161" s="17" t="n">
        <f aca="false">SQRT(($B161-BV$139)^2+($C161-BV$140)^2+($D161-BV$141)^2)</f>
        <v>0.522954341695731</v>
      </c>
      <c r="BW161" s="17" t="n">
        <f aca="false">SQRT(($B161-BW$139)^2+($C161-BW$140)^2+($D161-BW$141)^2)</f>
        <v>2.31253216747911</v>
      </c>
      <c r="BX161" s="63" t="n">
        <f aca="false">MATCH(MIN(BT161:BW161),BT161:BW161,0)</f>
        <v>3</v>
      </c>
      <c r="BZ161" s="17" t="n">
        <f aca="false">SQRT(($B161-BZ$139)^2+($C161-BZ$140)^2+($D161-BZ$141)^2)</f>
        <v>2.81954853000797</v>
      </c>
      <c r="CA161" s="17" t="n">
        <f aca="false">SQRT(($B161-CA$139)^2+($C161-CA$140)^2+($D161-CA$141)^2)</f>
        <v>3.47188444399479</v>
      </c>
      <c r="CB161" s="17" t="n">
        <f aca="false">SQRT(($B161-CB$139)^2+($C161-CB$140)^2+($D161-CB$141)^2)</f>
        <v>0.522954341695731</v>
      </c>
      <c r="CC161" s="17" t="n">
        <f aca="false">SQRT(($B161-CC$139)^2+($C161-CC$140)^2+($D161-CC$141)^2)</f>
        <v>2.31253216747911</v>
      </c>
      <c r="CD161" s="63" t="n">
        <f aca="false">MATCH(MIN(BZ161:CC161),BZ161:CC161,0)</f>
        <v>3</v>
      </c>
      <c r="CF161" s="17" t="n">
        <f aca="false">SQRT(($B161-CF$139)^2+($C161-CF$140)^2+($D161-CF$141)^2)</f>
        <v>2.81954853000797</v>
      </c>
      <c r="CG161" s="17" t="n">
        <f aca="false">SQRT(($B161-CG$139)^2+($C161-CG$140)^2+($D161-CG$141)^2)</f>
        <v>3.47188444399479</v>
      </c>
      <c r="CH161" s="17" t="n">
        <f aca="false">SQRT(($B161-CH$139)^2+($C161-CH$140)^2+($D161-CH$141)^2)</f>
        <v>0.522954341695731</v>
      </c>
      <c r="CI161" s="17" t="n">
        <f aca="false">SQRT(($B161-CI$139)^2+($C161-CI$140)^2+($D161-CI$141)^2)</f>
        <v>2.31253216747911</v>
      </c>
      <c r="CJ161" s="63" t="n">
        <f aca="false">MATCH(MIN(CF161:CI161),CF161:CI161,0)</f>
        <v>3</v>
      </c>
      <c r="CL161" s="17" t="n">
        <f aca="false">SQRT(($B161-CL$139)^2+($C161-CL$140)^2+($D161-CL$141)^2)</f>
        <v>2.81954853000797</v>
      </c>
      <c r="CM161" s="17" t="n">
        <f aca="false">SQRT(($B161-CM$139)^2+($C161-CM$140)^2+($D161-CM$141)^2)</f>
        <v>3.47188444399479</v>
      </c>
      <c r="CN161" s="17" t="n">
        <f aca="false">SQRT(($B161-CN$139)^2+($C161-CN$140)^2+($D161-CN$141)^2)</f>
        <v>0.522954341695731</v>
      </c>
      <c r="CO161" s="17" t="n">
        <f aca="false">SQRT(($B161-CO$139)^2+($C161-CO$140)^2+($D161-CO$141)^2)</f>
        <v>2.31253216747911</v>
      </c>
      <c r="CP161" s="63" t="n">
        <f aca="false">MATCH(MIN(CL161:CO161),CL161:CO161,0)</f>
        <v>3</v>
      </c>
    </row>
    <row r="162" customFormat="false" ht="15" hidden="false" customHeight="false" outlineLevel="0" collapsed="false">
      <c r="A162" s="36" t="str">
        <f aca="false">KMeans_Data!A21</f>
        <v>Khairpur</v>
      </c>
      <c r="B162" s="17" t="n">
        <f aca="false">KMeans_Data!H21</f>
        <v>0.88016218188859</v>
      </c>
      <c r="C162" s="17" t="n">
        <f aca="false">KMeans_Data!I21</f>
        <v>0.378684277529216</v>
      </c>
      <c r="D162" s="17" t="n">
        <f aca="false">KMeans_Data!J21</f>
        <v>1.58320837987195</v>
      </c>
      <c r="E162" s="63" t="n">
        <f aca="false">CP162</f>
        <v>3</v>
      </c>
      <c r="F162" s="38" t="n">
        <f aca="false">($B162-INDEX($L$139:$O$139,E162))^2+($C162-INDEX($L$140:$O$140,E162))^2+($D162-INDEX($L$141:$O$141,E162))^2</f>
        <v>0.629457007744921</v>
      </c>
      <c r="G162" s="17" t="n">
        <f aca="false">IF(COUNTIF(Distance_Matrix!$E$10:$DQ$10,$E162)&lt;=1,0,SUMIF(Distance_Matrix!$E$10:$DQ$10,$E162,Distance_Matrix!$E$30:$DQ$30)/(COUNTIF(Distance_Matrix!$E$10:$DQ$10,$E162)-1))</f>
        <v>1.08489267310287</v>
      </c>
      <c r="H162" s="17" t="n">
        <f aca="false">MIN(IF(1=$E162,1E+099,IF(COUNTIF(Distance_Matrix!$E$10:$DQ$10,1)=0,1E+099,SUMIF(Distance_Matrix!$E$10:$DQ$10,1,Distance_Matrix!$E$30:$DQ$30)/COUNTIF(Distance_Matrix!$E$10:$DQ$10,1))),IF(2=$E162,1E+099,IF(COUNTIF(Distance_Matrix!$E$10:$DQ$10,2)=0,1E+099,SUMIF(Distance_Matrix!$E$10:$DQ$10,2,Distance_Matrix!$E$30:$DQ$30)/COUNTIF(Distance_Matrix!$E$10:$DQ$10,2))),IF(3=$E162,1E+099,IF(COUNTIF(Distance_Matrix!$E$10:$DQ$10,3)=0,1E+099,SUMIF(Distance_Matrix!$E$10:$DQ$10,3,Distance_Matrix!$E$30:$DQ$30)/COUNTIF(Distance_Matrix!$E$10:$DQ$10,3))),IF(4=$E162,1E+099,IF(COUNTIF(Distance_Matrix!$E$10:$DQ$10,4)=0,1E+099,SUMIF(Distance_Matrix!$E$10:$DQ$10,4,Distance_Matrix!$E$30:$DQ$30)/COUNTIF(Distance_Matrix!$E$10:$DQ$10,4))))</f>
        <v>2.45763956192457</v>
      </c>
      <c r="I162" s="17" t="n">
        <f aca="false">IF(COUNTIF(Distance_Matrix!$E$10:$DQ$10,$E162)&lt;=1,0,(H162-G162)/MAX(G162,H162))</f>
        <v>0.558563147374917</v>
      </c>
      <c r="X162" s="17" t="n">
        <f aca="false">SQRT(($B162-X$139)^2+($C162-X$140)^2+($D162-X$141)^2)</f>
        <v>4.68145377022651</v>
      </c>
      <c r="Y162" s="17" t="n">
        <f aca="false">SQRT(($B162-Y$139)^2+($C162-Y$140)^2+($D162-Y$141)^2)</f>
        <v>4.16088329984745</v>
      </c>
      <c r="Z162" s="17" t="n">
        <f aca="false">SQRT(($B162-Z$139)^2+($C162-Z$140)^2+($D162-Z$141)^2)</f>
        <v>0.193464640160583</v>
      </c>
      <c r="AA162" s="17" t="n">
        <f aca="false">SQRT(($B162-AA$139)^2+($C162-AA$140)^2+($D162-AA$141)^2)</f>
        <v>2.78889715164164</v>
      </c>
      <c r="AB162" s="63" t="n">
        <f aca="false">MATCH(MIN(X162:AA162),X162:AA162,0)</f>
        <v>3</v>
      </c>
      <c r="AD162" s="17" t="n">
        <f aca="false">SQRT(($B162-AD$139)^2+($C162-AD$140)^2+($D162-AD$141)^2)</f>
        <v>3.78915517541273</v>
      </c>
      <c r="AE162" s="17" t="n">
        <f aca="false">SQRT(($B162-AE$139)^2+($C162-AE$140)^2+($D162-AE$141)^2)</f>
        <v>3.45080115602735</v>
      </c>
      <c r="AF162" s="17" t="n">
        <f aca="false">SQRT(($B162-AF$139)^2+($C162-AF$140)^2+($D162-AF$141)^2)</f>
        <v>0.780010795669711</v>
      </c>
      <c r="AG162" s="17" t="n">
        <f aca="false">SQRT(($B162-AG$139)^2+($C162-AG$140)^2+($D162-AG$141)^2)</f>
        <v>2.45752748685787</v>
      </c>
      <c r="AH162" s="63" t="n">
        <f aca="false">MATCH(MIN(AD162:AG162),AD162:AG162,0)</f>
        <v>3</v>
      </c>
      <c r="AJ162" s="17" t="n">
        <f aca="false">SQRT(($B162-AJ$139)^2+($C162-AJ$140)^2+($D162-AJ$141)^2)</f>
        <v>3.44839326082791</v>
      </c>
      <c r="AK162" s="17" t="n">
        <f aca="false">SQRT(($B162-AK$139)^2+($C162-AK$140)^2+($D162-AK$141)^2)</f>
        <v>3.48243685565627</v>
      </c>
      <c r="AL162" s="17" t="n">
        <f aca="false">SQRT(($B162-AL$139)^2+($C162-AL$140)^2+($D162-AL$141)^2)</f>
        <v>0.786987902844557</v>
      </c>
      <c r="AM162" s="17" t="n">
        <f aca="false">SQRT(($B162-AM$139)^2+($C162-AM$140)^2+($D162-AM$141)^2)</f>
        <v>2.35780587761203</v>
      </c>
      <c r="AN162" s="63" t="n">
        <f aca="false">MATCH(MIN(AJ162:AM162),AJ162:AM162,0)</f>
        <v>3</v>
      </c>
      <c r="AP162" s="17" t="n">
        <f aca="false">SQRT(($B162-AP$139)^2+($C162-AP$140)^2+($D162-AP$141)^2)</f>
        <v>3.17897866935769</v>
      </c>
      <c r="AQ162" s="17" t="n">
        <f aca="false">SQRT(($B162-AQ$139)^2+($C162-AQ$140)^2+($D162-AQ$141)^2)</f>
        <v>3.57480945560549</v>
      </c>
      <c r="AR162" s="17" t="n">
        <f aca="false">SQRT(($B162-AR$139)^2+($C162-AR$140)^2+($D162-AR$141)^2)</f>
        <v>0.793383266615147</v>
      </c>
      <c r="AS162" s="17" t="n">
        <f aca="false">SQRT(($B162-AS$139)^2+($C162-AS$140)^2+($D162-AS$141)^2)</f>
        <v>2.37465976924805</v>
      </c>
      <c r="AT162" s="63" t="n">
        <f aca="false">MATCH(MIN(AP162:AS162),AP162:AS162,0)</f>
        <v>3</v>
      </c>
      <c r="AV162" s="17" t="n">
        <f aca="false">SQRT(($B162-AV$139)^2+($C162-AV$140)^2+($D162-AV$141)^2)</f>
        <v>3.17897866935769</v>
      </c>
      <c r="AW162" s="17" t="n">
        <f aca="false">SQRT(($B162-AW$139)^2+($C162-AW$140)^2+($D162-AW$141)^2)</f>
        <v>3.57480945560549</v>
      </c>
      <c r="AX162" s="17" t="n">
        <f aca="false">SQRT(($B162-AX$139)^2+($C162-AX$140)^2+($D162-AX$141)^2)</f>
        <v>0.793383266615147</v>
      </c>
      <c r="AY162" s="17" t="n">
        <f aca="false">SQRT(($B162-AY$139)^2+($C162-AY$140)^2+($D162-AY$141)^2)</f>
        <v>2.37465976924805</v>
      </c>
      <c r="AZ162" s="63" t="n">
        <f aca="false">MATCH(MIN(AV162:AY162),AV162:AY162,0)</f>
        <v>3</v>
      </c>
      <c r="BB162" s="17" t="n">
        <f aca="false">SQRT(($B162-BB$139)^2+($C162-BB$140)^2+($D162-BB$141)^2)</f>
        <v>3.17897866935769</v>
      </c>
      <c r="BC162" s="17" t="n">
        <f aca="false">SQRT(($B162-BC$139)^2+($C162-BC$140)^2+($D162-BC$141)^2)</f>
        <v>3.57480945560549</v>
      </c>
      <c r="BD162" s="17" t="n">
        <f aca="false">SQRT(($B162-BD$139)^2+($C162-BD$140)^2+($D162-BD$141)^2)</f>
        <v>0.793383266615147</v>
      </c>
      <c r="BE162" s="17" t="n">
        <f aca="false">SQRT(($B162-BE$139)^2+($C162-BE$140)^2+($D162-BE$141)^2)</f>
        <v>2.37465976924805</v>
      </c>
      <c r="BF162" s="63" t="n">
        <f aca="false">MATCH(MIN(BB162:BE162),BB162:BE162,0)</f>
        <v>3</v>
      </c>
      <c r="BH162" s="17" t="n">
        <f aca="false">SQRT(($B162-BH$139)^2+($C162-BH$140)^2+($D162-BH$141)^2)</f>
        <v>3.17897866935769</v>
      </c>
      <c r="BI162" s="17" t="n">
        <f aca="false">SQRT(($B162-BI$139)^2+($C162-BI$140)^2+($D162-BI$141)^2)</f>
        <v>3.57480945560549</v>
      </c>
      <c r="BJ162" s="17" t="n">
        <f aca="false">SQRT(($B162-BJ$139)^2+($C162-BJ$140)^2+($D162-BJ$141)^2)</f>
        <v>0.793383266615147</v>
      </c>
      <c r="BK162" s="17" t="n">
        <f aca="false">SQRT(($B162-BK$139)^2+($C162-BK$140)^2+($D162-BK$141)^2)</f>
        <v>2.37465976924805</v>
      </c>
      <c r="BL162" s="63" t="n">
        <f aca="false">MATCH(MIN(BH162:BK162),BH162:BK162,0)</f>
        <v>3</v>
      </c>
      <c r="BN162" s="17" t="n">
        <f aca="false">SQRT(($B162-BN$139)^2+($C162-BN$140)^2+($D162-BN$141)^2)</f>
        <v>3.17897866935769</v>
      </c>
      <c r="BO162" s="17" t="n">
        <f aca="false">SQRT(($B162-BO$139)^2+($C162-BO$140)^2+($D162-BO$141)^2)</f>
        <v>3.57480945560549</v>
      </c>
      <c r="BP162" s="17" t="n">
        <f aca="false">SQRT(($B162-BP$139)^2+($C162-BP$140)^2+($D162-BP$141)^2)</f>
        <v>0.793383266615147</v>
      </c>
      <c r="BQ162" s="17" t="n">
        <f aca="false">SQRT(($B162-BQ$139)^2+($C162-BQ$140)^2+($D162-BQ$141)^2)</f>
        <v>2.37465976924805</v>
      </c>
      <c r="BR162" s="63" t="n">
        <f aca="false">MATCH(MIN(BN162:BQ162),BN162:BQ162,0)</f>
        <v>3</v>
      </c>
      <c r="BT162" s="17" t="n">
        <f aca="false">SQRT(($B162-BT$139)^2+($C162-BT$140)^2+($D162-BT$141)^2)</f>
        <v>3.17897866935769</v>
      </c>
      <c r="BU162" s="17" t="n">
        <f aca="false">SQRT(($B162-BU$139)^2+($C162-BU$140)^2+($D162-BU$141)^2)</f>
        <v>3.57480945560549</v>
      </c>
      <c r="BV162" s="17" t="n">
        <f aca="false">SQRT(($B162-BV$139)^2+($C162-BV$140)^2+($D162-BV$141)^2)</f>
        <v>0.793383266615147</v>
      </c>
      <c r="BW162" s="17" t="n">
        <f aca="false">SQRT(($B162-BW$139)^2+($C162-BW$140)^2+($D162-BW$141)^2)</f>
        <v>2.37465976924805</v>
      </c>
      <c r="BX162" s="63" t="n">
        <f aca="false">MATCH(MIN(BT162:BW162),BT162:BW162,0)</f>
        <v>3</v>
      </c>
      <c r="BZ162" s="17" t="n">
        <f aca="false">SQRT(($B162-BZ$139)^2+($C162-BZ$140)^2+($D162-BZ$141)^2)</f>
        <v>3.17897866935769</v>
      </c>
      <c r="CA162" s="17" t="n">
        <f aca="false">SQRT(($B162-CA$139)^2+($C162-CA$140)^2+($D162-CA$141)^2)</f>
        <v>3.57480945560549</v>
      </c>
      <c r="CB162" s="17" t="n">
        <f aca="false">SQRT(($B162-CB$139)^2+($C162-CB$140)^2+($D162-CB$141)^2)</f>
        <v>0.793383266615147</v>
      </c>
      <c r="CC162" s="17" t="n">
        <f aca="false">SQRT(($B162-CC$139)^2+($C162-CC$140)^2+($D162-CC$141)^2)</f>
        <v>2.37465976924805</v>
      </c>
      <c r="CD162" s="63" t="n">
        <f aca="false">MATCH(MIN(BZ162:CC162),BZ162:CC162,0)</f>
        <v>3</v>
      </c>
      <c r="CF162" s="17" t="n">
        <f aca="false">SQRT(($B162-CF$139)^2+($C162-CF$140)^2+($D162-CF$141)^2)</f>
        <v>3.17897866935769</v>
      </c>
      <c r="CG162" s="17" t="n">
        <f aca="false">SQRT(($B162-CG$139)^2+($C162-CG$140)^2+($D162-CG$141)^2)</f>
        <v>3.57480945560549</v>
      </c>
      <c r="CH162" s="17" t="n">
        <f aca="false">SQRT(($B162-CH$139)^2+($C162-CH$140)^2+($D162-CH$141)^2)</f>
        <v>0.793383266615147</v>
      </c>
      <c r="CI162" s="17" t="n">
        <f aca="false">SQRT(($B162-CI$139)^2+($C162-CI$140)^2+($D162-CI$141)^2)</f>
        <v>2.37465976924805</v>
      </c>
      <c r="CJ162" s="63" t="n">
        <f aca="false">MATCH(MIN(CF162:CI162),CF162:CI162,0)</f>
        <v>3</v>
      </c>
      <c r="CL162" s="17" t="n">
        <f aca="false">SQRT(($B162-CL$139)^2+($C162-CL$140)^2+($D162-CL$141)^2)</f>
        <v>3.17897866935769</v>
      </c>
      <c r="CM162" s="17" t="n">
        <f aca="false">SQRT(($B162-CM$139)^2+($C162-CM$140)^2+($D162-CM$141)^2)</f>
        <v>3.57480945560549</v>
      </c>
      <c r="CN162" s="17" t="n">
        <f aca="false">SQRT(($B162-CN$139)^2+($C162-CN$140)^2+($D162-CN$141)^2)</f>
        <v>0.793383266615147</v>
      </c>
      <c r="CO162" s="17" t="n">
        <f aca="false">SQRT(($B162-CO$139)^2+($C162-CO$140)^2+($D162-CO$141)^2)</f>
        <v>2.37465976924805</v>
      </c>
      <c r="CP162" s="63" t="n">
        <f aca="false">MATCH(MIN(CL162:CO162),CL162:CO162,0)</f>
        <v>3</v>
      </c>
    </row>
    <row r="163" customFormat="false" ht="15" hidden="false" customHeight="false" outlineLevel="0" collapsed="false">
      <c r="A163" s="36" t="str">
        <f aca="false">KMeans_Data!A22</f>
        <v>Abbottabad</v>
      </c>
      <c r="B163" s="17" t="n">
        <f aca="false">KMeans_Data!H22</f>
        <v>0.853001062018471</v>
      </c>
      <c r="C163" s="17" t="n">
        <f aca="false">KMeans_Data!I22</f>
        <v>1.38107452085777</v>
      </c>
      <c r="D163" s="17" t="n">
        <f aca="false">KMeans_Data!J22</f>
        <v>0.618328666074444</v>
      </c>
      <c r="E163" s="63" t="n">
        <f aca="false">CP163</f>
        <v>3</v>
      </c>
      <c r="F163" s="38" t="n">
        <f aca="false">($B163-INDEX($L$139:$O$139,E163))^2+($C163-INDEX($L$140:$O$140,E163))^2+($D163-INDEX($L$141:$O$141,E163))^2</f>
        <v>0.69526265399197</v>
      </c>
      <c r="G163" s="17" t="n">
        <f aca="false">IF(COUNTIF(Distance_Matrix!$E$10:$DQ$10,$E163)&lt;=1,0,SUMIF(Distance_Matrix!$E$10:$DQ$10,$E163,Distance_Matrix!$E$31:$DQ$31)/(COUNTIF(Distance_Matrix!$E$10:$DQ$10,$E163)-1))</f>
        <v>1.06369149279844</v>
      </c>
      <c r="H163" s="17" t="n">
        <f aca="false">MIN(IF(1=$E163,1E+099,IF(COUNTIF(Distance_Matrix!$E$10:$DQ$10,1)=0,1E+099,SUMIF(Distance_Matrix!$E$10:$DQ$10,1,Distance_Matrix!$E$31:$DQ$31)/COUNTIF(Distance_Matrix!$E$10:$DQ$10,1))),IF(2=$E163,1E+099,IF(COUNTIF(Distance_Matrix!$E$10:$DQ$10,2)=0,1E+099,SUMIF(Distance_Matrix!$E$10:$DQ$10,2,Distance_Matrix!$E$31:$DQ$31)/COUNTIF(Distance_Matrix!$E$10:$DQ$10,2))),IF(3=$E163,1E+099,IF(COUNTIF(Distance_Matrix!$E$10:$DQ$10,3)=0,1E+099,SUMIF(Distance_Matrix!$E$10:$DQ$10,3,Distance_Matrix!$E$31:$DQ$31)/COUNTIF(Distance_Matrix!$E$10:$DQ$10,3))),IF(4=$E163,1E+099,IF(COUNTIF(Distance_Matrix!$E$10:$DQ$10,4)=0,1E+099,SUMIF(Distance_Matrix!$E$10:$DQ$10,4,Distance_Matrix!$E$31:$DQ$31)/COUNTIF(Distance_Matrix!$E$10:$DQ$10,4))))</f>
        <v>2.44825846557325</v>
      </c>
      <c r="I163" s="17" t="n">
        <f aca="false">IF(COUNTIF(Distance_Matrix!$E$10:$DQ$10,$E163)&lt;=1,0,(H163-G163)/MAX(G163,H163))</f>
        <v>0.56553137352294</v>
      </c>
      <c r="X163" s="17" t="n">
        <f aca="false">SQRT(($B163-X$139)^2+($C163-X$140)^2+($D163-X$141)^2)</f>
        <v>4.45718422157071</v>
      </c>
      <c r="Y163" s="17" t="n">
        <f aca="false">SQRT(($B163-Y$139)^2+($C163-Y$140)^2+($D163-Y$141)^2)</f>
        <v>3.99128361858191</v>
      </c>
      <c r="Z163" s="17" t="n">
        <f aca="false">SQRT(($B163-Z$139)^2+($C163-Z$140)^2+($D163-Z$141)^2)</f>
        <v>1.32845751007486</v>
      </c>
      <c r="AA163" s="17" t="n">
        <f aca="false">SQRT(($B163-AA$139)^2+($C163-AA$140)^2+($D163-AA$141)^2)</f>
        <v>2.34297782200597</v>
      </c>
      <c r="AB163" s="63" t="n">
        <f aca="false">MATCH(MIN(X163:AA163),X163:AA163,0)</f>
        <v>3</v>
      </c>
      <c r="AD163" s="17" t="n">
        <f aca="false">SQRT(($B163-AD$139)^2+($C163-AD$140)^2+($D163-AD$141)^2)</f>
        <v>3.44361130184571</v>
      </c>
      <c r="AE163" s="17" t="n">
        <f aca="false">SQRT(($B163-AE$139)^2+($C163-AE$140)^2+($D163-AE$141)^2)</f>
        <v>3.30747933217034</v>
      </c>
      <c r="AF163" s="17" t="n">
        <f aca="false">SQRT(($B163-AF$139)^2+($C163-AF$140)^2+($D163-AF$141)^2)</f>
        <v>0.880581856230691</v>
      </c>
      <c r="AG163" s="17" t="n">
        <f aca="false">SQRT(($B163-AG$139)^2+($C163-AG$140)^2+($D163-AG$141)^2)</f>
        <v>2.37013078685448</v>
      </c>
      <c r="AH163" s="63" t="n">
        <f aca="false">MATCH(MIN(AD163:AG163),AD163:AG163,0)</f>
        <v>3</v>
      </c>
      <c r="AJ163" s="17" t="n">
        <f aca="false">SQRT(($B163-AJ$139)^2+($C163-AJ$140)^2+($D163-AJ$141)^2)</f>
        <v>3.10815556870787</v>
      </c>
      <c r="AK163" s="17" t="n">
        <f aca="false">SQRT(($B163-AK$139)^2+($C163-AK$140)^2+($D163-AK$141)^2)</f>
        <v>3.32595841405257</v>
      </c>
      <c r="AL163" s="17" t="n">
        <f aca="false">SQRT(($B163-AL$139)^2+($C163-AL$140)^2+($D163-AL$141)^2)</f>
        <v>0.794006015115432</v>
      </c>
      <c r="AM163" s="17" t="n">
        <f aca="false">SQRT(($B163-AM$139)^2+($C163-AM$140)^2+($D163-AM$141)^2)</f>
        <v>2.3248685047805</v>
      </c>
      <c r="AN163" s="63" t="n">
        <f aca="false">MATCH(MIN(AJ163:AM163),AJ163:AM163,0)</f>
        <v>3</v>
      </c>
      <c r="AP163" s="17" t="n">
        <f aca="false">SQRT(($B163-AP$139)^2+($C163-AP$140)^2+($D163-AP$141)^2)</f>
        <v>2.81271904886474</v>
      </c>
      <c r="AQ163" s="17" t="n">
        <f aca="false">SQRT(($B163-AQ$139)^2+($C163-AQ$140)^2+($D163-AQ$141)^2)</f>
        <v>3.396546413144</v>
      </c>
      <c r="AR163" s="17" t="n">
        <f aca="false">SQRT(($B163-AR$139)^2+($C163-AR$140)^2+($D163-AR$141)^2)</f>
        <v>0.833824114542132</v>
      </c>
      <c r="AS163" s="17" t="n">
        <f aca="false">SQRT(($B163-AS$139)^2+($C163-AS$140)^2+($D163-AS$141)^2)</f>
        <v>2.34935827855193</v>
      </c>
      <c r="AT163" s="63" t="n">
        <f aca="false">MATCH(MIN(AP163:AS163),AP163:AS163,0)</f>
        <v>3</v>
      </c>
      <c r="AV163" s="17" t="n">
        <f aca="false">SQRT(($B163-AV$139)^2+($C163-AV$140)^2+($D163-AV$141)^2)</f>
        <v>2.81271904886474</v>
      </c>
      <c r="AW163" s="17" t="n">
        <f aca="false">SQRT(($B163-AW$139)^2+($C163-AW$140)^2+($D163-AW$141)^2)</f>
        <v>3.396546413144</v>
      </c>
      <c r="AX163" s="17" t="n">
        <f aca="false">SQRT(($B163-AX$139)^2+($C163-AX$140)^2+($D163-AX$141)^2)</f>
        <v>0.833824114542132</v>
      </c>
      <c r="AY163" s="17" t="n">
        <f aca="false">SQRT(($B163-AY$139)^2+($C163-AY$140)^2+($D163-AY$141)^2)</f>
        <v>2.34935827855193</v>
      </c>
      <c r="AZ163" s="63" t="n">
        <f aca="false">MATCH(MIN(AV163:AY163),AV163:AY163,0)</f>
        <v>3</v>
      </c>
      <c r="BB163" s="17" t="n">
        <f aca="false">SQRT(($B163-BB$139)^2+($C163-BB$140)^2+($D163-BB$141)^2)</f>
        <v>2.81271904886474</v>
      </c>
      <c r="BC163" s="17" t="n">
        <f aca="false">SQRT(($B163-BC$139)^2+($C163-BC$140)^2+($D163-BC$141)^2)</f>
        <v>3.396546413144</v>
      </c>
      <c r="BD163" s="17" t="n">
        <f aca="false">SQRT(($B163-BD$139)^2+($C163-BD$140)^2+($D163-BD$141)^2)</f>
        <v>0.833824114542132</v>
      </c>
      <c r="BE163" s="17" t="n">
        <f aca="false">SQRT(($B163-BE$139)^2+($C163-BE$140)^2+($D163-BE$141)^2)</f>
        <v>2.34935827855193</v>
      </c>
      <c r="BF163" s="63" t="n">
        <f aca="false">MATCH(MIN(BB163:BE163),BB163:BE163,0)</f>
        <v>3</v>
      </c>
      <c r="BH163" s="17" t="n">
        <f aca="false">SQRT(($B163-BH$139)^2+($C163-BH$140)^2+($D163-BH$141)^2)</f>
        <v>2.81271904886474</v>
      </c>
      <c r="BI163" s="17" t="n">
        <f aca="false">SQRT(($B163-BI$139)^2+($C163-BI$140)^2+($D163-BI$141)^2)</f>
        <v>3.396546413144</v>
      </c>
      <c r="BJ163" s="17" t="n">
        <f aca="false">SQRT(($B163-BJ$139)^2+($C163-BJ$140)^2+($D163-BJ$141)^2)</f>
        <v>0.833824114542132</v>
      </c>
      <c r="BK163" s="17" t="n">
        <f aca="false">SQRT(($B163-BK$139)^2+($C163-BK$140)^2+($D163-BK$141)^2)</f>
        <v>2.34935827855193</v>
      </c>
      <c r="BL163" s="63" t="n">
        <f aca="false">MATCH(MIN(BH163:BK163),BH163:BK163,0)</f>
        <v>3</v>
      </c>
      <c r="BN163" s="17" t="n">
        <f aca="false">SQRT(($B163-BN$139)^2+($C163-BN$140)^2+($D163-BN$141)^2)</f>
        <v>2.81271904886474</v>
      </c>
      <c r="BO163" s="17" t="n">
        <f aca="false">SQRT(($B163-BO$139)^2+($C163-BO$140)^2+($D163-BO$141)^2)</f>
        <v>3.396546413144</v>
      </c>
      <c r="BP163" s="17" t="n">
        <f aca="false">SQRT(($B163-BP$139)^2+($C163-BP$140)^2+($D163-BP$141)^2)</f>
        <v>0.833824114542132</v>
      </c>
      <c r="BQ163" s="17" t="n">
        <f aca="false">SQRT(($B163-BQ$139)^2+($C163-BQ$140)^2+($D163-BQ$141)^2)</f>
        <v>2.34935827855193</v>
      </c>
      <c r="BR163" s="63" t="n">
        <f aca="false">MATCH(MIN(BN163:BQ163),BN163:BQ163,0)</f>
        <v>3</v>
      </c>
      <c r="BT163" s="17" t="n">
        <f aca="false">SQRT(($B163-BT$139)^2+($C163-BT$140)^2+($D163-BT$141)^2)</f>
        <v>2.81271904886474</v>
      </c>
      <c r="BU163" s="17" t="n">
        <f aca="false">SQRT(($B163-BU$139)^2+($C163-BU$140)^2+($D163-BU$141)^2)</f>
        <v>3.396546413144</v>
      </c>
      <c r="BV163" s="17" t="n">
        <f aca="false">SQRT(($B163-BV$139)^2+($C163-BV$140)^2+($D163-BV$141)^2)</f>
        <v>0.833824114542132</v>
      </c>
      <c r="BW163" s="17" t="n">
        <f aca="false">SQRT(($B163-BW$139)^2+($C163-BW$140)^2+($D163-BW$141)^2)</f>
        <v>2.34935827855193</v>
      </c>
      <c r="BX163" s="63" t="n">
        <f aca="false">MATCH(MIN(BT163:BW163),BT163:BW163,0)</f>
        <v>3</v>
      </c>
      <c r="BZ163" s="17" t="n">
        <f aca="false">SQRT(($B163-BZ$139)^2+($C163-BZ$140)^2+($D163-BZ$141)^2)</f>
        <v>2.81271904886474</v>
      </c>
      <c r="CA163" s="17" t="n">
        <f aca="false">SQRT(($B163-CA$139)^2+($C163-CA$140)^2+($D163-CA$141)^2)</f>
        <v>3.396546413144</v>
      </c>
      <c r="CB163" s="17" t="n">
        <f aca="false">SQRT(($B163-CB$139)^2+($C163-CB$140)^2+($D163-CB$141)^2)</f>
        <v>0.833824114542132</v>
      </c>
      <c r="CC163" s="17" t="n">
        <f aca="false">SQRT(($B163-CC$139)^2+($C163-CC$140)^2+($D163-CC$141)^2)</f>
        <v>2.34935827855193</v>
      </c>
      <c r="CD163" s="63" t="n">
        <f aca="false">MATCH(MIN(BZ163:CC163),BZ163:CC163,0)</f>
        <v>3</v>
      </c>
      <c r="CF163" s="17" t="n">
        <f aca="false">SQRT(($B163-CF$139)^2+($C163-CF$140)^2+($D163-CF$141)^2)</f>
        <v>2.81271904886474</v>
      </c>
      <c r="CG163" s="17" t="n">
        <f aca="false">SQRT(($B163-CG$139)^2+($C163-CG$140)^2+($D163-CG$141)^2)</f>
        <v>3.396546413144</v>
      </c>
      <c r="CH163" s="17" t="n">
        <f aca="false">SQRT(($B163-CH$139)^2+($C163-CH$140)^2+($D163-CH$141)^2)</f>
        <v>0.833824114542132</v>
      </c>
      <c r="CI163" s="17" t="n">
        <f aca="false">SQRT(($B163-CI$139)^2+($C163-CI$140)^2+($D163-CI$141)^2)</f>
        <v>2.34935827855193</v>
      </c>
      <c r="CJ163" s="63" t="n">
        <f aca="false">MATCH(MIN(CF163:CI163),CF163:CI163,0)</f>
        <v>3</v>
      </c>
      <c r="CL163" s="17" t="n">
        <f aca="false">SQRT(($B163-CL$139)^2+($C163-CL$140)^2+($D163-CL$141)^2)</f>
        <v>2.81271904886474</v>
      </c>
      <c r="CM163" s="17" t="n">
        <f aca="false">SQRT(($B163-CM$139)^2+($C163-CM$140)^2+($D163-CM$141)^2)</f>
        <v>3.396546413144</v>
      </c>
      <c r="CN163" s="17" t="n">
        <f aca="false">SQRT(($B163-CN$139)^2+($C163-CN$140)^2+($D163-CN$141)^2)</f>
        <v>0.833824114542132</v>
      </c>
      <c r="CO163" s="17" t="n">
        <f aca="false">SQRT(($B163-CO$139)^2+($C163-CO$140)^2+($D163-CO$141)^2)</f>
        <v>2.34935827855193</v>
      </c>
      <c r="CP163" s="63" t="n">
        <f aca="false">MATCH(MIN(CL163:CO163),CL163:CO163,0)</f>
        <v>3</v>
      </c>
    </row>
    <row r="164" customFormat="false" ht="15" hidden="false" customHeight="false" outlineLevel="0" collapsed="false">
      <c r="A164" s="36" t="str">
        <f aca="false">KMeans_Data!A23</f>
        <v>Nowshera</v>
      </c>
      <c r="B164" s="17" t="n">
        <f aca="false">KMeans_Data!H23</f>
        <v>0.851138913278639</v>
      </c>
      <c r="C164" s="17" t="n">
        <f aca="false">KMeans_Data!I23</f>
        <v>1.38107452085777</v>
      </c>
      <c r="D164" s="17" t="n">
        <f aca="false">KMeans_Data!J23</f>
        <v>0.934349160614903</v>
      </c>
      <c r="E164" s="63" t="n">
        <f aca="false">CP164</f>
        <v>3</v>
      </c>
      <c r="F164" s="38" t="n">
        <f aca="false">($B164-INDEX($L$139:$O$139,E164))^2+($C164-INDEX($L$140:$O$140,E164))^2+($D164-INDEX($L$141:$O$141,E164))^2</f>
        <v>0.636087879941903</v>
      </c>
      <c r="G164" s="17" t="n">
        <f aca="false">IF(COUNTIF(Distance_Matrix!$E$10:$DQ$10,$E164)&lt;=1,0,SUMIF(Distance_Matrix!$E$10:$DQ$10,$E164,Distance_Matrix!$E$32:$DQ$32)/(COUNTIF(Distance_Matrix!$E$10:$DQ$10,$E164)-1))</f>
        <v>1.03008298628953</v>
      </c>
      <c r="H164" s="17" t="n">
        <f aca="false">MIN(IF(1=$E164,1E+099,IF(COUNTIF(Distance_Matrix!$E$10:$DQ$10,1)=0,1E+099,SUMIF(Distance_Matrix!$E$10:$DQ$10,1,Distance_Matrix!$E$32:$DQ$32)/COUNTIF(Distance_Matrix!$E$10:$DQ$10,1))),IF(2=$E164,1E+099,IF(COUNTIF(Distance_Matrix!$E$10:$DQ$10,2)=0,1E+099,SUMIF(Distance_Matrix!$E$10:$DQ$10,2,Distance_Matrix!$E$32:$DQ$32)/COUNTIF(Distance_Matrix!$E$10:$DQ$10,2))),IF(3=$E164,1E+099,IF(COUNTIF(Distance_Matrix!$E$10:$DQ$10,3)=0,1E+099,SUMIF(Distance_Matrix!$E$10:$DQ$10,3,Distance_Matrix!$E$32:$DQ$32)/COUNTIF(Distance_Matrix!$E$10:$DQ$10,3))),IF(4=$E164,1E+099,IF(COUNTIF(Distance_Matrix!$E$10:$DQ$10,4)=0,1E+099,SUMIF(Distance_Matrix!$E$10:$DQ$10,4,Distance_Matrix!$E$32:$DQ$32)/COUNTIF(Distance_Matrix!$E$10:$DQ$10,4))))</f>
        <v>2.58851706957314</v>
      </c>
      <c r="I164" s="17" t="n">
        <f aca="false">IF(COUNTIF(Distance_Matrix!$E$10:$DQ$10,$E164)&lt;=1,0,(H164-G164)/MAX(G164,H164))</f>
        <v>0.602056714866712</v>
      </c>
      <c r="X164" s="17" t="n">
        <f aca="false">SQRT(($B164-X$139)^2+($C164-X$140)^2+($D164-X$141)^2)</f>
        <v>4.2790585979296</v>
      </c>
      <c r="Y164" s="17" t="n">
        <f aca="false">SQRT(($B164-Y$139)^2+($C164-Y$140)^2+($D164-Y$141)^2)</f>
        <v>4.13934753964962</v>
      </c>
      <c r="Z164" s="17" t="n">
        <f aca="false">SQRT(($B164-Z$139)^2+($C164-Z$140)^2+($D164-Z$141)^2)</f>
        <v>1.15187297768961</v>
      </c>
      <c r="AA164" s="17" t="n">
        <f aca="false">SQRT(($B164-AA$139)^2+($C164-AA$140)^2+($D164-AA$141)^2)</f>
        <v>2.58912117250698</v>
      </c>
      <c r="AB164" s="63" t="n">
        <f aca="false">MATCH(MIN(X164:AA164),X164:AA164,0)</f>
        <v>3</v>
      </c>
      <c r="AD164" s="17" t="n">
        <f aca="false">SQRT(($B164-AD$139)^2+($C164-AD$140)^2+($D164-AD$141)^2)</f>
        <v>3.28404199775438</v>
      </c>
      <c r="AE164" s="17" t="n">
        <f aca="false">SQRT(($B164-AE$139)^2+($C164-AE$140)^2+($D164-AE$141)^2)</f>
        <v>3.46603497188907</v>
      </c>
      <c r="AF164" s="17" t="n">
        <f aca="false">SQRT(($B164-AF$139)^2+($C164-AF$140)^2+($D164-AF$141)^2)</f>
        <v>0.84212911844511</v>
      </c>
      <c r="AG164" s="17" t="n">
        <f aca="false">SQRT(($B164-AG$139)^2+($C164-AG$140)^2+($D164-AG$141)^2)</f>
        <v>2.53567417497264</v>
      </c>
      <c r="AH164" s="63" t="n">
        <f aca="false">MATCH(MIN(AD164:AG164),AD164:AG164,0)</f>
        <v>3</v>
      </c>
      <c r="AJ164" s="17" t="n">
        <f aca="false">SQRT(($B164-AJ$139)^2+($C164-AJ$140)^2+($D164-AJ$141)^2)</f>
        <v>2.94728247055089</v>
      </c>
      <c r="AK164" s="17" t="n">
        <f aca="false">SQRT(($B164-AK$139)^2+($C164-AK$140)^2+($D164-AK$141)^2)</f>
        <v>3.48824550889601</v>
      </c>
      <c r="AL164" s="17" t="n">
        <f aca="false">SQRT(($B164-AL$139)^2+($C164-AL$140)^2+($D164-AL$141)^2)</f>
        <v>0.749530052506461</v>
      </c>
      <c r="AM164" s="17" t="n">
        <f aca="false">SQRT(($B164-AM$139)^2+($C164-AM$140)^2+($D164-AM$141)^2)</f>
        <v>2.47677980479049</v>
      </c>
      <c r="AN164" s="63" t="n">
        <f aca="false">MATCH(MIN(AJ164:AM164),AJ164:AM164,0)</f>
        <v>3</v>
      </c>
      <c r="AP164" s="17" t="n">
        <f aca="false">SQRT(($B164-AP$139)^2+($C164-AP$140)^2+($D164-AP$141)^2)</f>
        <v>2.65136135925988</v>
      </c>
      <c r="AQ164" s="17" t="n">
        <f aca="false">SQRT(($B164-AQ$139)^2+($C164-AQ$140)^2+($D164-AQ$141)^2)</f>
        <v>3.56342734663022</v>
      </c>
      <c r="AR164" s="17" t="n">
        <f aca="false">SQRT(($B164-AR$139)^2+($C164-AR$140)^2+($D164-AR$141)^2)</f>
        <v>0.797551177004901</v>
      </c>
      <c r="AS164" s="17" t="n">
        <f aca="false">SQRT(($B164-AS$139)^2+($C164-AS$140)^2+($D164-AS$141)^2)</f>
        <v>2.49871435557748</v>
      </c>
      <c r="AT164" s="63" t="n">
        <f aca="false">MATCH(MIN(AP164:AS164),AP164:AS164,0)</f>
        <v>3</v>
      </c>
      <c r="AV164" s="17" t="n">
        <f aca="false">SQRT(($B164-AV$139)^2+($C164-AV$140)^2+($D164-AV$141)^2)</f>
        <v>2.65136135925988</v>
      </c>
      <c r="AW164" s="17" t="n">
        <f aca="false">SQRT(($B164-AW$139)^2+($C164-AW$140)^2+($D164-AW$141)^2)</f>
        <v>3.56342734663022</v>
      </c>
      <c r="AX164" s="17" t="n">
        <f aca="false">SQRT(($B164-AX$139)^2+($C164-AX$140)^2+($D164-AX$141)^2)</f>
        <v>0.797551177004901</v>
      </c>
      <c r="AY164" s="17" t="n">
        <f aca="false">SQRT(($B164-AY$139)^2+($C164-AY$140)^2+($D164-AY$141)^2)</f>
        <v>2.49871435557748</v>
      </c>
      <c r="AZ164" s="63" t="n">
        <f aca="false">MATCH(MIN(AV164:AY164),AV164:AY164,0)</f>
        <v>3</v>
      </c>
      <c r="BB164" s="17" t="n">
        <f aca="false">SQRT(($B164-BB$139)^2+($C164-BB$140)^2+($D164-BB$141)^2)</f>
        <v>2.65136135925988</v>
      </c>
      <c r="BC164" s="17" t="n">
        <f aca="false">SQRT(($B164-BC$139)^2+($C164-BC$140)^2+($D164-BC$141)^2)</f>
        <v>3.56342734663022</v>
      </c>
      <c r="BD164" s="17" t="n">
        <f aca="false">SQRT(($B164-BD$139)^2+($C164-BD$140)^2+($D164-BD$141)^2)</f>
        <v>0.797551177004901</v>
      </c>
      <c r="BE164" s="17" t="n">
        <f aca="false">SQRT(($B164-BE$139)^2+($C164-BE$140)^2+($D164-BE$141)^2)</f>
        <v>2.49871435557748</v>
      </c>
      <c r="BF164" s="63" t="n">
        <f aca="false">MATCH(MIN(BB164:BE164),BB164:BE164,0)</f>
        <v>3</v>
      </c>
      <c r="BH164" s="17" t="n">
        <f aca="false">SQRT(($B164-BH$139)^2+($C164-BH$140)^2+($D164-BH$141)^2)</f>
        <v>2.65136135925988</v>
      </c>
      <c r="BI164" s="17" t="n">
        <f aca="false">SQRT(($B164-BI$139)^2+($C164-BI$140)^2+($D164-BI$141)^2)</f>
        <v>3.56342734663022</v>
      </c>
      <c r="BJ164" s="17" t="n">
        <f aca="false">SQRT(($B164-BJ$139)^2+($C164-BJ$140)^2+($D164-BJ$141)^2)</f>
        <v>0.797551177004901</v>
      </c>
      <c r="BK164" s="17" t="n">
        <f aca="false">SQRT(($B164-BK$139)^2+($C164-BK$140)^2+($D164-BK$141)^2)</f>
        <v>2.49871435557748</v>
      </c>
      <c r="BL164" s="63" t="n">
        <f aca="false">MATCH(MIN(BH164:BK164),BH164:BK164,0)</f>
        <v>3</v>
      </c>
      <c r="BN164" s="17" t="n">
        <f aca="false">SQRT(($B164-BN$139)^2+($C164-BN$140)^2+($D164-BN$141)^2)</f>
        <v>2.65136135925988</v>
      </c>
      <c r="BO164" s="17" t="n">
        <f aca="false">SQRT(($B164-BO$139)^2+($C164-BO$140)^2+($D164-BO$141)^2)</f>
        <v>3.56342734663022</v>
      </c>
      <c r="BP164" s="17" t="n">
        <f aca="false">SQRT(($B164-BP$139)^2+($C164-BP$140)^2+($D164-BP$141)^2)</f>
        <v>0.797551177004901</v>
      </c>
      <c r="BQ164" s="17" t="n">
        <f aca="false">SQRT(($B164-BQ$139)^2+($C164-BQ$140)^2+($D164-BQ$141)^2)</f>
        <v>2.49871435557748</v>
      </c>
      <c r="BR164" s="63" t="n">
        <f aca="false">MATCH(MIN(BN164:BQ164),BN164:BQ164,0)</f>
        <v>3</v>
      </c>
      <c r="BT164" s="17" t="n">
        <f aca="false">SQRT(($B164-BT$139)^2+($C164-BT$140)^2+($D164-BT$141)^2)</f>
        <v>2.65136135925988</v>
      </c>
      <c r="BU164" s="17" t="n">
        <f aca="false">SQRT(($B164-BU$139)^2+($C164-BU$140)^2+($D164-BU$141)^2)</f>
        <v>3.56342734663022</v>
      </c>
      <c r="BV164" s="17" t="n">
        <f aca="false">SQRT(($B164-BV$139)^2+($C164-BV$140)^2+($D164-BV$141)^2)</f>
        <v>0.797551177004901</v>
      </c>
      <c r="BW164" s="17" t="n">
        <f aca="false">SQRT(($B164-BW$139)^2+($C164-BW$140)^2+($D164-BW$141)^2)</f>
        <v>2.49871435557748</v>
      </c>
      <c r="BX164" s="63" t="n">
        <f aca="false">MATCH(MIN(BT164:BW164),BT164:BW164,0)</f>
        <v>3</v>
      </c>
      <c r="BZ164" s="17" t="n">
        <f aca="false">SQRT(($B164-BZ$139)^2+($C164-BZ$140)^2+($D164-BZ$141)^2)</f>
        <v>2.65136135925988</v>
      </c>
      <c r="CA164" s="17" t="n">
        <f aca="false">SQRT(($B164-CA$139)^2+($C164-CA$140)^2+($D164-CA$141)^2)</f>
        <v>3.56342734663022</v>
      </c>
      <c r="CB164" s="17" t="n">
        <f aca="false">SQRT(($B164-CB$139)^2+($C164-CB$140)^2+($D164-CB$141)^2)</f>
        <v>0.797551177004901</v>
      </c>
      <c r="CC164" s="17" t="n">
        <f aca="false">SQRT(($B164-CC$139)^2+($C164-CC$140)^2+($D164-CC$141)^2)</f>
        <v>2.49871435557748</v>
      </c>
      <c r="CD164" s="63" t="n">
        <f aca="false">MATCH(MIN(BZ164:CC164),BZ164:CC164,0)</f>
        <v>3</v>
      </c>
      <c r="CF164" s="17" t="n">
        <f aca="false">SQRT(($B164-CF$139)^2+($C164-CF$140)^2+($D164-CF$141)^2)</f>
        <v>2.65136135925988</v>
      </c>
      <c r="CG164" s="17" t="n">
        <f aca="false">SQRT(($B164-CG$139)^2+($C164-CG$140)^2+($D164-CG$141)^2)</f>
        <v>3.56342734663022</v>
      </c>
      <c r="CH164" s="17" t="n">
        <f aca="false">SQRT(($B164-CH$139)^2+($C164-CH$140)^2+($D164-CH$141)^2)</f>
        <v>0.797551177004901</v>
      </c>
      <c r="CI164" s="17" t="n">
        <f aca="false">SQRT(($B164-CI$139)^2+($C164-CI$140)^2+($D164-CI$141)^2)</f>
        <v>2.49871435557748</v>
      </c>
      <c r="CJ164" s="63" t="n">
        <f aca="false">MATCH(MIN(CF164:CI164),CF164:CI164,0)</f>
        <v>3</v>
      </c>
      <c r="CL164" s="17" t="n">
        <f aca="false">SQRT(($B164-CL$139)^2+($C164-CL$140)^2+($D164-CL$141)^2)</f>
        <v>2.65136135925988</v>
      </c>
      <c r="CM164" s="17" t="n">
        <f aca="false">SQRT(($B164-CM$139)^2+($C164-CM$140)^2+($D164-CM$141)^2)</f>
        <v>3.56342734663022</v>
      </c>
      <c r="CN164" s="17" t="n">
        <f aca="false">SQRT(($B164-CN$139)^2+($C164-CN$140)^2+($D164-CN$141)^2)</f>
        <v>0.797551177004901</v>
      </c>
      <c r="CO164" s="17" t="n">
        <f aca="false">SQRT(($B164-CO$139)^2+($C164-CO$140)^2+($D164-CO$141)^2)</f>
        <v>2.49871435557748</v>
      </c>
      <c r="CP164" s="63" t="n">
        <f aca="false">MATCH(MIN(CL164:CO164),CL164:CO164,0)</f>
        <v>3</v>
      </c>
    </row>
    <row r="165" customFormat="false" ht="15" hidden="false" customHeight="false" outlineLevel="0" collapsed="false">
      <c r="A165" s="36" t="str">
        <f aca="false">KMeans_Data!A24</f>
        <v>Muzaffarabad</v>
      </c>
      <c r="B165" s="17" t="n">
        <f aca="false">KMeans_Data!H24</f>
        <v>0.841726902407959</v>
      </c>
      <c r="C165" s="17" t="n">
        <f aca="false">KMeans_Data!I24</f>
        <v>0.803084449535714</v>
      </c>
      <c r="D165" s="17" t="n">
        <f aca="false">KMeans_Data!J24</f>
        <v>1.03670935350208</v>
      </c>
      <c r="E165" s="63" t="n">
        <f aca="false">CP165</f>
        <v>3</v>
      </c>
      <c r="F165" s="38" t="n">
        <f aca="false">($B165-INDEX($L$139:$O$139,E165))^2+($C165-INDEX($L$140:$O$140,E165))^2+($D165-INDEX($L$141:$O$141,E165))^2</f>
        <v>0.10707749264856</v>
      </c>
      <c r="G165" s="17" t="n">
        <f aca="false">IF(COUNTIF(Distance_Matrix!$E$10:$DQ$10,$E165)&lt;=1,0,SUMIF(Distance_Matrix!$E$10:$DQ$10,$E165,Distance_Matrix!$E$33:$DQ$33)/(COUNTIF(Distance_Matrix!$E$10:$DQ$10,$E165)-1))</f>
        <v>0.803927645959198</v>
      </c>
      <c r="H165" s="17" t="n">
        <f aca="false">MIN(IF(1=$E165,1E+099,IF(COUNTIF(Distance_Matrix!$E$10:$DQ$10,1)=0,1E+099,SUMIF(Distance_Matrix!$E$10:$DQ$10,1,Distance_Matrix!$E$33:$DQ$33)/COUNTIF(Distance_Matrix!$E$10:$DQ$10,1))),IF(2=$E165,1E+099,IF(COUNTIF(Distance_Matrix!$E$10:$DQ$10,2)=0,1E+099,SUMIF(Distance_Matrix!$E$10:$DQ$10,2,Distance_Matrix!$E$33:$DQ$33)/COUNTIF(Distance_Matrix!$E$10:$DQ$10,2))),IF(3=$E165,1E+099,IF(COUNTIF(Distance_Matrix!$E$10:$DQ$10,3)=0,1E+099,SUMIF(Distance_Matrix!$E$10:$DQ$10,3,Distance_Matrix!$E$33:$DQ$33)/COUNTIF(Distance_Matrix!$E$10:$DQ$10,3))),IF(4=$E165,1E+099,IF(COUNTIF(Distance_Matrix!$E$10:$DQ$10,4)=0,1E+099,SUMIF(Distance_Matrix!$E$10:$DQ$10,4,Distance_Matrix!$E$33:$DQ$33)/COUNTIF(Distance_Matrix!$E$10:$DQ$10,4))))</f>
        <v>2.25644503827899</v>
      </c>
      <c r="I165" s="17" t="n">
        <f aca="false">IF(COUNTIF(Distance_Matrix!$E$10:$DQ$10,$E165)&lt;=1,0,(H165-G165)/MAX(G165,H165))</f>
        <v>0.643719376133193</v>
      </c>
      <c r="X165" s="17" t="n">
        <f aca="false">SQRT(($B165-X$139)^2+($C165-X$140)^2+($D165-X$141)^2)</f>
        <v>4.61500990770194</v>
      </c>
      <c r="Y165" s="17" t="n">
        <f aca="false">SQRT(($B165-Y$139)^2+($C165-Y$140)^2+($D165-Y$141)^2)</f>
        <v>3.93388071911523</v>
      </c>
      <c r="Z165" s="17" t="n">
        <f aca="false">SQRT(($B165-Z$139)^2+($C165-Z$140)^2+($D165-Z$141)^2)</f>
        <v>0.637550286444693</v>
      </c>
      <c r="AA165" s="17" t="n">
        <f aca="false">SQRT(($B165-AA$139)^2+($C165-AA$140)^2+($D165-AA$141)^2)</f>
        <v>2.38824877056561</v>
      </c>
      <c r="AB165" s="63" t="n">
        <f aca="false">MATCH(MIN(X165:AA165),X165:AA165,0)</f>
        <v>3</v>
      </c>
      <c r="AD165" s="17" t="n">
        <f aca="false">SQRT(($B165-AD$139)^2+($C165-AD$140)^2+($D165-AD$141)^2)</f>
        <v>3.64870228573814</v>
      </c>
      <c r="AE165" s="17" t="n">
        <f aca="false">SQRT(($B165-AE$139)^2+($C165-AE$140)^2+($D165-AE$141)^2)</f>
        <v>3.21699079536029</v>
      </c>
      <c r="AF165" s="17" t="n">
        <f aca="false">SQRT(($B165-AF$139)^2+($C165-AF$140)^2+($D165-AF$141)^2)</f>
        <v>0.361471932296884</v>
      </c>
      <c r="AG165" s="17" t="n">
        <f aca="false">SQRT(($B165-AG$139)^2+($C165-AG$140)^2+($D165-AG$141)^2)</f>
        <v>2.21170796932836</v>
      </c>
      <c r="AH165" s="63" t="n">
        <f aca="false">MATCH(MIN(AD165:AG165),AD165:AG165,0)</f>
        <v>3</v>
      </c>
      <c r="AJ165" s="17" t="n">
        <f aca="false">SQRT(($B165-AJ$139)^2+($C165-AJ$140)^2+($D165-AJ$141)^2)</f>
        <v>3.30302066365162</v>
      </c>
      <c r="AK165" s="17" t="n">
        <f aca="false">SQRT(($B165-AK$139)^2+($C165-AK$140)^2+($D165-AK$141)^2)</f>
        <v>3.24252487272103</v>
      </c>
      <c r="AL165" s="17" t="n">
        <f aca="false">SQRT(($B165-AL$139)^2+($C165-AL$140)^2+($D165-AL$141)^2)</f>
        <v>0.28143149809938</v>
      </c>
      <c r="AM165" s="17" t="n">
        <f aca="false">SQRT(($B165-AM$139)^2+($C165-AM$140)^2+($D165-AM$141)^2)</f>
        <v>2.13537628060999</v>
      </c>
      <c r="AN165" s="63" t="n">
        <f aca="false">MATCH(MIN(AJ165:AM165),AJ165:AM165,0)</f>
        <v>3</v>
      </c>
      <c r="AP165" s="17" t="n">
        <f aca="false">SQRT(($B165-AP$139)^2+($C165-AP$140)^2+($D165-AP$141)^2)</f>
        <v>3.01470184136668</v>
      </c>
      <c r="AQ165" s="17" t="n">
        <f aca="false">SQRT(($B165-AQ$139)^2+($C165-AQ$140)^2+($D165-AQ$141)^2)</f>
        <v>3.32625059027566</v>
      </c>
      <c r="AR165" s="17" t="n">
        <f aca="false">SQRT(($B165-AR$139)^2+($C165-AR$140)^2+($D165-AR$141)^2)</f>
        <v>0.327226974206834</v>
      </c>
      <c r="AS165" s="17" t="n">
        <f aca="false">SQRT(($B165-AS$139)^2+($C165-AS$140)^2+($D165-AS$141)^2)</f>
        <v>2.15731359771124</v>
      </c>
      <c r="AT165" s="63" t="n">
        <f aca="false">MATCH(MIN(AP165:AS165),AP165:AS165,0)</f>
        <v>3</v>
      </c>
      <c r="AV165" s="17" t="n">
        <f aca="false">SQRT(($B165-AV$139)^2+($C165-AV$140)^2+($D165-AV$141)^2)</f>
        <v>3.01470184136668</v>
      </c>
      <c r="AW165" s="17" t="n">
        <f aca="false">SQRT(($B165-AW$139)^2+($C165-AW$140)^2+($D165-AW$141)^2)</f>
        <v>3.32625059027566</v>
      </c>
      <c r="AX165" s="17" t="n">
        <f aca="false">SQRT(($B165-AX$139)^2+($C165-AX$140)^2+($D165-AX$141)^2)</f>
        <v>0.327226974206834</v>
      </c>
      <c r="AY165" s="17" t="n">
        <f aca="false">SQRT(($B165-AY$139)^2+($C165-AY$140)^2+($D165-AY$141)^2)</f>
        <v>2.15731359771124</v>
      </c>
      <c r="AZ165" s="63" t="n">
        <f aca="false">MATCH(MIN(AV165:AY165),AV165:AY165,0)</f>
        <v>3</v>
      </c>
      <c r="BB165" s="17" t="n">
        <f aca="false">SQRT(($B165-BB$139)^2+($C165-BB$140)^2+($D165-BB$141)^2)</f>
        <v>3.01470184136668</v>
      </c>
      <c r="BC165" s="17" t="n">
        <f aca="false">SQRT(($B165-BC$139)^2+($C165-BC$140)^2+($D165-BC$141)^2)</f>
        <v>3.32625059027566</v>
      </c>
      <c r="BD165" s="17" t="n">
        <f aca="false">SQRT(($B165-BD$139)^2+($C165-BD$140)^2+($D165-BD$141)^2)</f>
        <v>0.327226974206834</v>
      </c>
      <c r="BE165" s="17" t="n">
        <f aca="false">SQRT(($B165-BE$139)^2+($C165-BE$140)^2+($D165-BE$141)^2)</f>
        <v>2.15731359771124</v>
      </c>
      <c r="BF165" s="63" t="n">
        <f aca="false">MATCH(MIN(BB165:BE165),BB165:BE165,0)</f>
        <v>3</v>
      </c>
      <c r="BH165" s="17" t="n">
        <f aca="false">SQRT(($B165-BH$139)^2+($C165-BH$140)^2+($D165-BH$141)^2)</f>
        <v>3.01470184136668</v>
      </c>
      <c r="BI165" s="17" t="n">
        <f aca="false">SQRT(($B165-BI$139)^2+($C165-BI$140)^2+($D165-BI$141)^2)</f>
        <v>3.32625059027566</v>
      </c>
      <c r="BJ165" s="17" t="n">
        <f aca="false">SQRT(($B165-BJ$139)^2+($C165-BJ$140)^2+($D165-BJ$141)^2)</f>
        <v>0.327226974206834</v>
      </c>
      <c r="BK165" s="17" t="n">
        <f aca="false">SQRT(($B165-BK$139)^2+($C165-BK$140)^2+($D165-BK$141)^2)</f>
        <v>2.15731359771124</v>
      </c>
      <c r="BL165" s="63" t="n">
        <f aca="false">MATCH(MIN(BH165:BK165),BH165:BK165,0)</f>
        <v>3</v>
      </c>
      <c r="BN165" s="17" t="n">
        <f aca="false">SQRT(($B165-BN$139)^2+($C165-BN$140)^2+($D165-BN$141)^2)</f>
        <v>3.01470184136668</v>
      </c>
      <c r="BO165" s="17" t="n">
        <f aca="false">SQRT(($B165-BO$139)^2+($C165-BO$140)^2+($D165-BO$141)^2)</f>
        <v>3.32625059027566</v>
      </c>
      <c r="BP165" s="17" t="n">
        <f aca="false">SQRT(($B165-BP$139)^2+($C165-BP$140)^2+($D165-BP$141)^2)</f>
        <v>0.327226974206834</v>
      </c>
      <c r="BQ165" s="17" t="n">
        <f aca="false">SQRT(($B165-BQ$139)^2+($C165-BQ$140)^2+($D165-BQ$141)^2)</f>
        <v>2.15731359771124</v>
      </c>
      <c r="BR165" s="63" t="n">
        <f aca="false">MATCH(MIN(BN165:BQ165),BN165:BQ165,0)</f>
        <v>3</v>
      </c>
      <c r="BT165" s="17" t="n">
        <f aca="false">SQRT(($B165-BT$139)^2+($C165-BT$140)^2+($D165-BT$141)^2)</f>
        <v>3.01470184136668</v>
      </c>
      <c r="BU165" s="17" t="n">
        <f aca="false">SQRT(($B165-BU$139)^2+($C165-BU$140)^2+($D165-BU$141)^2)</f>
        <v>3.32625059027566</v>
      </c>
      <c r="BV165" s="17" t="n">
        <f aca="false">SQRT(($B165-BV$139)^2+($C165-BV$140)^2+($D165-BV$141)^2)</f>
        <v>0.327226974206834</v>
      </c>
      <c r="BW165" s="17" t="n">
        <f aca="false">SQRT(($B165-BW$139)^2+($C165-BW$140)^2+($D165-BW$141)^2)</f>
        <v>2.15731359771124</v>
      </c>
      <c r="BX165" s="63" t="n">
        <f aca="false">MATCH(MIN(BT165:BW165),BT165:BW165,0)</f>
        <v>3</v>
      </c>
      <c r="BZ165" s="17" t="n">
        <f aca="false">SQRT(($B165-BZ$139)^2+($C165-BZ$140)^2+($D165-BZ$141)^2)</f>
        <v>3.01470184136668</v>
      </c>
      <c r="CA165" s="17" t="n">
        <f aca="false">SQRT(($B165-CA$139)^2+($C165-CA$140)^2+($D165-CA$141)^2)</f>
        <v>3.32625059027566</v>
      </c>
      <c r="CB165" s="17" t="n">
        <f aca="false">SQRT(($B165-CB$139)^2+($C165-CB$140)^2+($D165-CB$141)^2)</f>
        <v>0.327226974206834</v>
      </c>
      <c r="CC165" s="17" t="n">
        <f aca="false">SQRT(($B165-CC$139)^2+($C165-CC$140)^2+($D165-CC$141)^2)</f>
        <v>2.15731359771124</v>
      </c>
      <c r="CD165" s="63" t="n">
        <f aca="false">MATCH(MIN(BZ165:CC165),BZ165:CC165,0)</f>
        <v>3</v>
      </c>
      <c r="CF165" s="17" t="n">
        <f aca="false">SQRT(($B165-CF$139)^2+($C165-CF$140)^2+($D165-CF$141)^2)</f>
        <v>3.01470184136668</v>
      </c>
      <c r="CG165" s="17" t="n">
        <f aca="false">SQRT(($B165-CG$139)^2+($C165-CG$140)^2+($D165-CG$141)^2)</f>
        <v>3.32625059027566</v>
      </c>
      <c r="CH165" s="17" t="n">
        <f aca="false">SQRT(($B165-CH$139)^2+($C165-CH$140)^2+($D165-CH$141)^2)</f>
        <v>0.327226974206834</v>
      </c>
      <c r="CI165" s="17" t="n">
        <f aca="false">SQRT(($B165-CI$139)^2+($C165-CI$140)^2+($D165-CI$141)^2)</f>
        <v>2.15731359771124</v>
      </c>
      <c r="CJ165" s="63" t="n">
        <f aca="false">MATCH(MIN(CF165:CI165),CF165:CI165,0)</f>
        <v>3</v>
      </c>
      <c r="CL165" s="17" t="n">
        <f aca="false">SQRT(($B165-CL$139)^2+($C165-CL$140)^2+($D165-CL$141)^2)</f>
        <v>3.01470184136668</v>
      </c>
      <c r="CM165" s="17" t="n">
        <f aca="false">SQRT(($B165-CM$139)^2+($C165-CM$140)^2+($D165-CM$141)^2)</f>
        <v>3.32625059027566</v>
      </c>
      <c r="CN165" s="17" t="n">
        <f aca="false">SQRT(($B165-CN$139)^2+($C165-CN$140)^2+($D165-CN$141)^2)</f>
        <v>0.327226974206834</v>
      </c>
      <c r="CO165" s="17" t="n">
        <f aca="false">SQRT(($B165-CO$139)^2+($C165-CO$140)^2+($D165-CO$141)^2)</f>
        <v>2.15731359771124</v>
      </c>
      <c r="CP165" s="63" t="n">
        <f aca="false">MATCH(MIN(CL165:CO165),CL165:CO165,0)</f>
        <v>3</v>
      </c>
    </row>
    <row r="166" customFormat="false" ht="15" hidden="false" customHeight="false" outlineLevel="0" collapsed="false">
      <c r="A166" s="36" t="str">
        <f aca="false">KMeans_Data!A25</f>
        <v>Dera Ghazi Khan</v>
      </c>
      <c r="B166" s="17" t="n">
        <f aca="false">KMeans_Data!H25</f>
        <v>0.789836374639921</v>
      </c>
      <c r="C166" s="17" t="n">
        <f aca="false">KMeans_Data!I25</f>
        <v>0.803084449535714</v>
      </c>
      <c r="D166" s="17" t="n">
        <f aca="false">KMeans_Data!J25</f>
        <v>1.26838439516132</v>
      </c>
      <c r="E166" s="63" t="n">
        <f aca="false">CP166</f>
        <v>3</v>
      </c>
      <c r="F166" s="38" t="n">
        <f aca="false">($B166-INDEX($L$139:$O$139,E166))^2+($C166-INDEX($L$140:$O$140,E166))^2+($D166-INDEX($L$141:$O$141,E166))^2</f>
        <v>0.219463030852059</v>
      </c>
      <c r="G166" s="17" t="n">
        <f aca="false">IF(COUNTIF(Distance_Matrix!$E$10:$DQ$10,$E166)&lt;=1,0,SUMIF(Distance_Matrix!$E$10:$DQ$10,$E166,Distance_Matrix!$E$34:$DQ$34)/(COUNTIF(Distance_Matrix!$E$10:$DQ$10,$E166)-1))</f>
        <v>0.867400940314736</v>
      </c>
      <c r="H166" s="17" t="n">
        <f aca="false">MIN(IF(1=$E166,1E+099,IF(COUNTIF(Distance_Matrix!$E$10:$DQ$10,1)=0,1E+099,SUMIF(Distance_Matrix!$E$10:$DQ$10,1,Distance_Matrix!$E$34:$DQ$34)/COUNTIF(Distance_Matrix!$E$10:$DQ$10,1))),IF(2=$E166,1E+099,IF(COUNTIF(Distance_Matrix!$E$10:$DQ$10,2)=0,1E+099,SUMIF(Distance_Matrix!$E$10:$DQ$10,2,Distance_Matrix!$E$34:$DQ$34)/COUNTIF(Distance_Matrix!$E$10:$DQ$10,2))),IF(3=$E166,1E+099,IF(COUNTIF(Distance_Matrix!$E$10:$DQ$10,3)=0,1E+099,SUMIF(Distance_Matrix!$E$10:$DQ$10,3,Distance_Matrix!$E$34:$DQ$34)/COUNTIF(Distance_Matrix!$E$10:$DQ$10,3))),IF(4=$E166,1E+099,IF(COUNTIF(Distance_Matrix!$E$10:$DQ$10,4)=0,1E+099,SUMIF(Distance_Matrix!$E$10:$DQ$10,4,Distance_Matrix!$E$34:$DQ$34)/COUNTIF(Distance_Matrix!$E$10:$DQ$10,4))))</f>
        <v>2.38434235791423</v>
      </c>
      <c r="I166" s="17" t="n">
        <f aca="false">IF(COUNTIF(Distance_Matrix!$E$10:$DQ$10,$E166)&lt;=1,0,(H166-G166)/MAX(G166,H166))</f>
        <v>0.636209566367172</v>
      </c>
      <c r="X166" s="17" t="n">
        <f aca="false">SQRT(($B166-X$139)^2+($C166-X$140)^2+($D166-X$141)^2)</f>
        <v>4.53655738479708</v>
      </c>
      <c r="Y166" s="17" t="n">
        <f aca="false">SQRT(($B166-Y$139)^2+($C166-Y$140)^2+($D166-Y$141)^2)</f>
        <v>4.02986158778563</v>
      </c>
      <c r="Z166" s="17" t="n">
        <f aca="false">SQRT(($B166-Z$139)^2+($C166-Z$140)^2+($D166-Z$141)^2)</f>
        <v>0.53121011056296</v>
      </c>
      <c r="AA166" s="17" t="n">
        <f aca="false">SQRT(($B166-AA$139)^2+($C166-AA$140)^2+($D166-AA$141)^2)</f>
        <v>2.59825809517442</v>
      </c>
      <c r="AB166" s="63" t="n">
        <f aca="false">MATCH(MIN(X166:AA166),X166:AA166,0)</f>
        <v>3</v>
      </c>
      <c r="AD166" s="17" t="n">
        <f aca="false">SQRT(($B166-AD$139)^2+($C166-AD$140)^2+($D166-AD$141)^2)</f>
        <v>3.59190907987079</v>
      </c>
      <c r="AE166" s="17" t="n">
        <f aca="false">SQRT(($B166-AE$139)^2+($C166-AE$140)^2+($D166-AE$141)^2)</f>
        <v>3.33210740136546</v>
      </c>
      <c r="AF166" s="17" t="n">
        <f aca="false">SQRT(($B166-AF$139)^2+($C166-AF$140)^2+($D166-AF$141)^2)</f>
        <v>0.485264930490104</v>
      </c>
      <c r="AG166" s="17" t="n">
        <f aca="false">SQRT(($B166-AG$139)^2+($C166-AG$140)^2+($D166-AG$141)^2)</f>
        <v>2.3606587481345</v>
      </c>
      <c r="AH166" s="63" t="n">
        <f aca="false">MATCH(MIN(AD166:AG166),AD166:AG166,0)</f>
        <v>3</v>
      </c>
      <c r="AJ166" s="17" t="n">
        <f aca="false">SQRT(($B166-AJ$139)^2+($C166-AJ$140)^2+($D166-AJ$141)^2)</f>
        <v>3.24941433944132</v>
      </c>
      <c r="AK166" s="17" t="n">
        <f aca="false">SQRT(($B166-AK$139)^2+($C166-AK$140)^2+($D166-AK$141)^2)</f>
        <v>3.36037653909172</v>
      </c>
      <c r="AL166" s="17" t="n">
        <f aca="false">SQRT(($B166-AL$139)^2+($C166-AL$140)^2+($D166-AL$141)^2)</f>
        <v>0.432361387615544</v>
      </c>
      <c r="AM166" s="17" t="n">
        <f aca="false">SQRT(($B166-AM$139)^2+($C166-AM$140)^2+($D166-AM$141)^2)</f>
        <v>2.2755907619412</v>
      </c>
      <c r="AN166" s="63" t="n">
        <f aca="false">MATCH(MIN(AJ166:AM166),AJ166:AM166,0)</f>
        <v>3</v>
      </c>
      <c r="AP166" s="17" t="n">
        <f aca="false">SQRT(($B166-AP$139)^2+($C166-AP$140)^2+($D166-AP$141)^2)</f>
        <v>2.96394670322003</v>
      </c>
      <c r="AQ166" s="17" t="n">
        <f aca="false">SQRT(($B166-AQ$139)^2+($C166-AQ$140)^2+($D166-AQ$141)^2)</f>
        <v>3.44648658832986</v>
      </c>
      <c r="AR166" s="17" t="n">
        <f aca="false">SQRT(($B166-AR$139)^2+($C166-AR$140)^2+($D166-AR$141)^2)</f>
        <v>0.468468815239669</v>
      </c>
      <c r="AS166" s="17" t="n">
        <f aca="false">SQRT(($B166-AS$139)^2+($C166-AS$140)^2+($D166-AS$141)^2)</f>
        <v>2.29429921169373</v>
      </c>
      <c r="AT166" s="63" t="n">
        <f aca="false">MATCH(MIN(AP166:AS166),AP166:AS166,0)</f>
        <v>3</v>
      </c>
      <c r="AV166" s="17" t="n">
        <f aca="false">SQRT(($B166-AV$139)^2+($C166-AV$140)^2+($D166-AV$141)^2)</f>
        <v>2.96394670322003</v>
      </c>
      <c r="AW166" s="17" t="n">
        <f aca="false">SQRT(($B166-AW$139)^2+($C166-AW$140)^2+($D166-AW$141)^2)</f>
        <v>3.44648658832986</v>
      </c>
      <c r="AX166" s="17" t="n">
        <f aca="false">SQRT(($B166-AX$139)^2+($C166-AX$140)^2+($D166-AX$141)^2)</f>
        <v>0.468468815239669</v>
      </c>
      <c r="AY166" s="17" t="n">
        <f aca="false">SQRT(($B166-AY$139)^2+($C166-AY$140)^2+($D166-AY$141)^2)</f>
        <v>2.29429921169373</v>
      </c>
      <c r="AZ166" s="63" t="n">
        <f aca="false">MATCH(MIN(AV166:AY166),AV166:AY166,0)</f>
        <v>3</v>
      </c>
      <c r="BB166" s="17" t="n">
        <f aca="false">SQRT(($B166-BB$139)^2+($C166-BB$140)^2+($D166-BB$141)^2)</f>
        <v>2.96394670322003</v>
      </c>
      <c r="BC166" s="17" t="n">
        <f aca="false">SQRT(($B166-BC$139)^2+($C166-BC$140)^2+($D166-BC$141)^2)</f>
        <v>3.44648658832986</v>
      </c>
      <c r="BD166" s="17" t="n">
        <f aca="false">SQRT(($B166-BD$139)^2+($C166-BD$140)^2+($D166-BD$141)^2)</f>
        <v>0.468468815239669</v>
      </c>
      <c r="BE166" s="17" t="n">
        <f aca="false">SQRT(($B166-BE$139)^2+($C166-BE$140)^2+($D166-BE$141)^2)</f>
        <v>2.29429921169373</v>
      </c>
      <c r="BF166" s="63" t="n">
        <f aca="false">MATCH(MIN(BB166:BE166),BB166:BE166,0)</f>
        <v>3</v>
      </c>
      <c r="BH166" s="17" t="n">
        <f aca="false">SQRT(($B166-BH$139)^2+($C166-BH$140)^2+($D166-BH$141)^2)</f>
        <v>2.96394670322003</v>
      </c>
      <c r="BI166" s="17" t="n">
        <f aca="false">SQRT(($B166-BI$139)^2+($C166-BI$140)^2+($D166-BI$141)^2)</f>
        <v>3.44648658832986</v>
      </c>
      <c r="BJ166" s="17" t="n">
        <f aca="false">SQRT(($B166-BJ$139)^2+($C166-BJ$140)^2+($D166-BJ$141)^2)</f>
        <v>0.468468815239669</v>
      </c>
      <c r="BK166" s="17" t="n">
        <f aca="false">SQRT(($B166-BK$139)^2+($C166-BK$140)^2+($D166-BK$141)^2)</f>
        <v>2.29429921169373</v>
      </c>
      <c r="BL166" s="63" t="n">
        <f aca="false">MATCH(MIN(BH166:BK166),BH166:BK166,0)</f>
        <v>3</v>
      </c>
      <c r="BN166" s="17" t="n">
        <f aca="false">SQRT(($B166-BN$139)^2+($C166-BN$140)^2+($D166-BN$141)^2)</f>
        <v>2.96394670322003</v>
      </c>
      <c r="BO166" s="17" t="n">
        <f aca="false">SQRT(($B166-BO$139)^2+($C166-BO$140)^2+($D166-BO$141)^2)</f>
        <v>3.44648658832986</v>
      </c>
      <c r="BP166" s="17" t="n">
        <f aca="false">SQRT(($B166-BP$139)^2+($C166-BP$140)^2+($D166-BP$141)^2)</f>
        <v>0.468468815239669</v>
      </c>
      <c r="BQ166" s="17" t="n">
        <f aca="false">SQRT(($B166-BQ$139)^2+($C166-BQ$140)^2+($D166-BQ$141)^2)</f>
        <v>2.29429921169373</v>
      </c>
      <c r="BR166" s="63" t="n">
        <f aca="false">MATCH(MIN(BN166:BQ166),BN166:BQ166,0)</f>
        <v>3</v>
      </c>
      <c r="BT166" s="17" t="n">
        <f aca="false">SQRT(($B166-BT$139)^2+($C166-BT$140)^2+($D166-BT$141)^2)</f>
        <v>2.96394670322003</v>
      </c>
      <c r="BU166" s="17" t="n">
        <f aca="false">SQRT(($B166-BU$139)^2+($C166-BU$140)^2+($D166-BU$141)^2)</f>
        <v>3.44648658832986</v>
      </c>
      <c r="BV166" s="17" t="n">
        <f aca="false">SQRT(($B166-BV$139)^2+($C166-BV$140)^2+($D166-BV$141)^2)</f>
        <v>0.468468815239669</v>
      </c>
      <c r="BW166" s="17" t="n">
        <f aca="false">SQRT(($B166-BW$139)^2+($C166-BW$140)^2+($D166-BW$141)^2)</f>
        <v>2.29429921169373</v>
      </c>
      <c r="BX166" s="63" t="n">
        <f aca="false">MATCH(MIN(BT166:BW166),BT166:BW166,0)</f>
        <v>3</v>
      </c>
      <c r="BZ166" s="17" t="n">
        <f aca="false">SQRT(($B166-BZ$139)^2+($C166-BZ$140)^2+($D166-BZ$141)^2)</f>
        <v>2.96394670322003</v>
      </c>
      <c r="CA166" s="17" t="n">
        <f aca="false">SQRT(($B166-CA$139)^2+($C166-CA$140)^2+($D166-CA$141)^2)</f>
        <v>3.44648658832986</v>
      </c>
      <c r="CB166" s="17" t="n">
        <f aca="false">SQRT(($B166-CB$139)^2+($C166-CB$140)^2+($D166-CB$141)^2)</f>
        <v>0.468468815239669</v>
      </c>
      <c r="CC166" s="17" t="n">
        <f aca="false">SQRT(($B166-CC$139)^2+($C166-CC$140)^2+($D166-CC$141)^2)</f>
        <v>2.29429921169373</v>
      </c>
      <c r="CD166" s="63" t="n">
        <f aca="false">MATCH(MIN(BZ166:CC166),BZ166:CC166,0)</f>
        <v>3</v>
      </c>
      <c r="CF166" s="17" t="n">
        <f aca="false">SQRT(($B166-CF$139)^2+($C166-CF$140)^2+($D166-CF$141)^2)</f>
        <v>2.96394670322003</v>
      </c>
      <c r="CG166" s="17" t="n">
        <f aca="false">SQRT(($B166-CG$139)^2+($C166-CG$140)^2+($D166-CG$141)^2)</f>
        <v>3.44648658832986</v>
      </c>
      <c r="CH166" s="17" t="n">
        <f aca="false">SQRT(($B166-CH$139)^2+($C166-CH$140)^2+($D166-CH$141)^2)</f>
        <v>0.468468815239669</v>
      </c>
      <c r="CI166" s="17" t="n">
        <f aca="false">SQRT(($B166-CI$139)^2+($C166-CI$140)^2+($D166-CI$141)^2)</f>
        <v>2.29429921169373</v>
      </c>
      <c r="CJ166" s="63" t="n">
        <f aca="false">MATCH(MIN(CF166:CI166),CF166:CI166,0)</f>
        <v>3</v>
      </c>
      <c r="CL166" s="17" t="n">
        <f aca="false">SQRT(($B166-CL$139)^2+($C166-CL$140)^2+($D166-CL$141)^2)</f>
        <v>2.96394670322003</v>
      </c>
      <c r="CM166" s="17" t="n">
        <f aca="false">SQRT(($B166-CM$139)^2+($C166-CM$140)^2+($D166-CM$141)^2)</f>
        <v>3.44648658832986</v>
      </c>
      <c r="CN166" s="17" t="n">
        <f aca="false">SQRT(($B166-CN$139)^2+($C166-CN$140)^2+($D166-CN$141)^2)</f>
        <v>0.468468815239669</v>
      </c>
      <c r="CO166" s="17" t="n">
        <f aca="false">SQRT(($B166-CO$139)^2+($C166-CO$140)^2+($D166-CO$141)^2)</f>
        <v>2.29429921169373</v>
      </c>
      <c r="CP166" s="63" t="n">
        <f aca="false">MATCH(MIN(CL166:CO166),CL166:CO166,0)</f>
        <v>3</v>
      </c>
    </row>
    <row r="167" customFormat="false" ht="15" hidden="false" customHeight="false" outlineLevel="0" collapsed="false">
      <c r="A167" s="36" t="str">
        <f aca="false">KMeans_Data!A26</f>
        <v>Charsadda</v>
      </c>
      <c r="B167" s="17" t="n">
        <f aca="false">KMeans_Data!H26</f>
        <v>0.7856220194878</v>
      </c>
      <c r="C167" s="17" t="n">
        <f aca="false">KMeans_Data!I26</f>
        <v>0.803084449535714</v>
      </c>
      <c r="D167" s="17" t="n">
        <f aca="false">KMeans_Data!J26</f>
        <v>0.618328666074444</v>
      </c>
      <c r="E167" s="63" t="n">
        <f aca="false">CP167</f>
        <v>3</v>
      </c>
      <c r="F167" s="38" t="n">
        <f aca="false">($B167-INDEX($L$139:$O$139,E167))^2+($C167-INDEX($L$140:$O$140,E167))^2+($D167-INDEX($L$141:$O$141,E167))^2</f>
        <v>0.121033503486122</v>
      </c>
      <c r="G167" s="17" t="n">
        <f aca="false">IF(COUNTIF(Distance_Matrix!$E$10:$DQ$10,$E167)&lt;=1,0,SUMIF(Distance_Matrix!$E$10:$DQ$10,$E167,Distance_Matrix!$E$35:$DQ$35)/(COUNTIF(Distance_Matrix!$E$10:$DQ$10,$E167)-1))</f>
        <v>0.824232270207734</v>
      </c>
      <c r="H167" s="17" t="n">
        <f aca="false">MIN(IF(1=$E167,1E+099,IF(COUNTIF(Distance_Matrix!$E$10:$DQ$10,1)=0,1E+099,SUMIF(Distance_Matrix!$E$10:$DQ$10,1,Distance_Matrix!$E$35:$DQ$35)/COUNTIF(Distance_Matrix!$E$10:$DQ$10,1))),IF(2=$E167,1E+099,IF(COUNTIF(Distance_Matrix!$E$10:$DQ$10,2)=0,1E+099,SUMIF(Distance_Matrix!$E$10:$DQ$10,2,Distance_Matrix!$E$35:$DQ$35)/COUNTIF(Distance_Matrix!$E$10:$DQ$10,2))),IF(3=$E167,1E+099,IF(COUNTIF(Distance_Matrix!$E$10:$DQ$10,3)=0,1E+099,SUMIF(Distance_Matrix!$E$10:$DQ$10,3,Distance_Matrix!$E$35:$DQ$35)/COUNTIF(Distance_Matrix!$E$10:$DQ$10,3))),IF(4=$E167,1E+099,IF(COUNTIF(Distance_Matrix!$E$10:$DQ$10,4)=0,1E+099,SUMIF(Distance_Matrix!$E$10:$DQ$10,4,Distance_Matrix!$E$35:$DQ$35)/COUNTIF(Distance_Matrix!$E$10:$DQ$10,4))))</f>
        <v>2.00155750420841</v>
      </c>
      <c r="I167" s="17" t="n">
        <f aca="false">IF(COUNTIF(Distance_Matrix!$E$10:$DQ$10,$E167)&lt;=1,0,(H167-G167)/MAX(G167,H167))</f>
        <v>0.588204551468179</v>
      </c>
      <c r="X167" s="17" t="n">
        <f aca="false">SQRT(($B167-X$139)^2+($C167-X$140)^2+($D167-X$141)^2)</f>
        <v>4.85836723486541</v>
      </c>
      <c r="Y167" s="17" t="n">
        <f aca="false">SQRT(($B167-Y$139)^2+($C167-Y$140)^2+($D167-Y$141)^2)</f>
        <v>3.67419129732225</v>
      </c>
      <c r="Z167" s="17" t="n">
        <f aca="false">SQRT(($B167-Z$139)^2+($C167-Z$140)^2+($D167-Z$141)^2)</f>
        <v>0.984636652935809</v>
      </c>
      <c r="AA167" s="17" t="n">
        <f aca="false">SQRT(($B167-AA$139)^2+($C167-AA$140)^2+($D167-AA$141)^2)</f>
        <v>2.00843573506045</v>
      </c>
      <c r="AB167" s="63" t="n">
        <f aca="false">MATCH(MIN(X167:AA167),X167:AA167,0)</f>
        <v>3</v>
      </c>
      <c r="AD167" s="17" t="n">
        <f aca="false">SQRT(($B167-AD$139)^2+($C167-AD$140)^2+($D167-AD$141)^2)</f>
        <v>3.86328112081516</v>
      </c>
      <c r="AE167" s="17" t="n">
        <f aca="false">SQRT(($B167-AE$139)^2+($C167-AE$140)^2+($D167-AE$141)^2)</f>
        <v>2.93998022942278</v>
      </c>
      <c r="AF167" s="17" t="n">
        <f aca="false">SQRT(($B167-AF$139)^2+($C167-AF$140)^2+($D167-AF$141)^2)</f>
        <v>0.388860202781842</v>
      </c>
      <c r="AG167" s="17" t="n">
        <f aca="false">SQRT(($B167-AG$139)^2+($C167-AG$140)^2+($D167-AG$141)^2)</f>
        <v>1.91594810513528</v>
      </c>
      <c r="AH167" s="63" t="n">
        <f aca="false">MATCH(MIN(AD167:AG167),AD167:AG167,0)</f>
        <v>3</v>
      </c>
      <c r="AJ167" s="17" t="n">
        <f aca="false">SQRT(($B167-AJ$139)^2+($C167-AJ$140)^2+($D167-AJ$141)^2)</f>
        <v>3.51786415172317</v>
      </c>
      <c r="AK167" s="17" t="n">
        <f aca="false">SQRT(($B167-AK$139)^2+($C167-AK$140)^2+($D167-AK$141)^2)</f>
        <v>2.96095270251261</v>
      </c>
      <c r="AL167" s="17" t="n">
        <f aca="false">SQRT(($B167-AL$139)^2+($C167-AL$140)^2+($D167-AL$141)^2)</f>
        <v>0.329185581113346</v>
      </c>
      <c r="AM167" s="17" t="n">
        <f aca="false">SQRT(($B167-AM$139)^2+($C167-AM$140)^2+($D167-AM$141)^2)</f>
        <v>1.8564111789296</v>
      </c>
      <c r="AN167" s="63" t="n">
        <f aca="false">MATCH(MIN(AJ167:AM167),AJ167:AM167,0)</f>
        <v>3</v>
      </c>
      <c r="AP167" s="17" t="n">
        <f aca="false">SQRT(($B167-AP$139)^2+($C167-AP$140)^2+($D167-AP$141)^2)</f>
        <v>3.22617843096732</v>
      </c>
      <c r="AQ167" s="17" t="n">
        <f aca="false">SQRT(($B167-AQ$139)^2+($C167-AQ$140)^2+($D167-AQ$141)^2)</f>
        <v>3.03944314257629</v>
      </c>
      <c r="AR167" s="17" t="n">
        <f aca="false">SQRT(($B167-AR$139)^2+($C167-AR$140)^2+($D167-AR$141)^2)</f>
        <v>0.347898697160714</v>
      </c>
      <c r="AS167" s="17" t="n">
        <f aca="false">SQRT(($B167-AS$139)^2+($C167-AS$140)^2+($D167-AS$141)^2)</f>
        <v>1.88201350664905</v>
      </c>
      <c r="AT167" s="63" t="n">
        <f aca="false">MATCH(MIN(AP167:AS167),AP167:AS167,0)</f>
        <v>3</v>
      </c>
      <c r="AV167" s="17" t="n">
        <f aca="false">SQRT(($B167-AV$139)^2+($C167-AV$140)^2+($D167-AV$141)^2)</f>
        <v>3.22617843096732</v>
      </c>
      <c r="AW167" s="17" t="n">
        <f aca="false">SQRT(($B167-AW$139)^2+($C167-AW$140)^2+($D167-AW$141)^2)</f>
        <v>3.03944314257629</v>
      </c>
      <c r="AX167" s="17" t="n">
        <f aca="false">SQRT(($B167-AX$139)^2+($C167-AX$140)^2+($D167-AX$141)^2)</f>
        <v>0.347898697160714</v>
      </c>
      <c r="AY167" s="17" t="n">
        <f aca="false">SQRT(($B167-AY$139)^2+($C167-AY$140)^2+($D167-AY$141)^2)</f>
        <v>1.88201350664905</v>
      </c>
      <c r="AZ167" s="63" t="n">
        <f aca="false">MATCH(MIN(AV167:AY167),AV167:AY167,0)</f>
        <v>3</v>
      </c>
      <c r="BB167" s="17" t="n">
        <f aca="false">SQRT(($B167-BB$139)^2+($C167-BB$140)^2+($D167-BB$141)^2)</f>
        <v>3.22617843096732</v>
      </c>
      <c r="BC167" s="17" t="n">
        <f aca="false">SQRT(($B167-BC$139)^2+($C167-BC$140)^2+($D167-BC$141)^2)</f>
        <v>3.03944314257629</v>
      </c>
      <c r="BD167" s="17" t="n">
        <f aca="false">SQRT(($B167-BD$139)^2+($C167-BD$140)^2+($D167-BD$141)^2)</f>
        <v>0.347898697160714</v>
      </c>
      <c r="BE167" s="17" t="n">
        <f aca="false">SQRT(($B167-BE$139)^2+($C167-BE$140)^2+($D167-BE$141)^2)</f>
        <v>1.88201350664905</v>
      </c>
      <c r="BF167" s="63" t="n">
        <f aca="false">MATCH(MIN(BB167:BE167),BB167:BE167,0)</f>
        <v>3</v>
      </c>
      <c r="BH167" s="17" t="n">
        <f aca="false">SQRT(($B167-BH$139)^2+($C167-BH$140)^2+($D167-BH$141)^2)</f>
        <v>3.22617843096732</v>
      </c>
      <c r="BI167" s="17" t="n">
        <f aca="false">SQRT(($B167-BI$139)^2+($C167-BI$140)^2+($D167-BI$141)^2)</f>
        <v>3.03944314257629</v>
      </c>
      <c r="BJ167" s="17" t="n">
        <f aca="false">SQRT(($B167-BJ$139)^2+($C167-BJ$140)^2+($D167-BJ$141)^2)</f>
        <v>0.347898697160714</v>
      </c>
      <c r="BK167" s="17" t="n">
        <f aca="false">SQRT(($B167-BK$139)^2+($C167-BK$140)^2+($D167-BK$141)^2)</f>
        <v>1.88201350664905</v>
      </c>
      <c r="BL167" s="63" t="n">
        <f aca="false">MATCH(MIN(BH167:BK167),BH167:BK167,0)</f>
        <v>3</v>
      </c>
      <c r="BN167" s="17" t="n">
        <f aca="false">SQRT(($B167-BN$139)^2+($C167-BN$140)^2+($D167-BN$141)^2)</f>
        <v>3.22617843096732</v>
      </c>
      <c r="BO167" s="17" t="n">
        <f aca="false">SQRT(($B167-BO$139)^2+($C167-BO$140)^2+($D167-BO$141)^2)</f>
        <v>3.03944314257629</v>
      </c>
      <c r="BP167" s="17" t="n">
        <f aca="false">SQRT(($B167-BP$139)^2+($C167-BP$140)^2+($D167-BP$141)^2)</f>
        <v>0.347898697160714</v>
      </c>
      <c r="BQ167" s="17" t="n">
        <f aca="false">SQRT(($B167-BQ$139)^2+($C167-BQ$140)^2+($D167-BQ$141)^2)</f>
        <v>1.88201350664905</v>
      </c>
      <c r="BR167" s="63" t="n">
        <f aca="false">MATCH(MIN(BN167:BQ167),BN167:BQ167,0)</f>
        <v>3</v>
      </c>
      <c r="BT167" s="17" t="n">
        <f aca="false">SQRT(($B167-BT$139)^2+($C167-BT$140)^2+($D167-BT$141)^2)</f>
        <v>3.22617843096732</v>
      </c>
      <c r="BU167" s="17" t="n">
        <f aca="false">SQRT(($B167-BU$139)^2+($C167-BU$140)^2+($D167-BU$141)^2)</f>
        <v>3.03944314257629</v>
      </c>
      <c r="BV167" s="17" t="n">
        <f aca="false">SQRT(($B167-BV$139)^2+($C167-BV$140)^2+($D167-BV$141)^2)</f>
        <v>0.347898697160714</v>
      </c>
      <c r="BW167" s="17" t="n">
        <f aca="false">SQRT(($B167-BW$139)^2+($C167-BW$140)^2+($D167-BW$141)^2)</f>
        <v>1.88201350664905</v>
      </c>
      <c r="BX167" s="63" t="n">
        <f aca="false">MATCH(MIN(BT167:BW167),BT167:BW167,0)</f>
        <v>3</v>
      </c>
      <c r="BZ167" s="17" t="n">
        <f aca="false">SQRT(($B167-BZ$139)^2+($C167-BZ$140)^2+($D167-BZ$141)^2)</f>
        <v>3.22617843096732</v>
      </c>
      <c r="CA167" s="17" t="n">
        <f aca="false">SQRT(($B167-CA$139)^2+($C167-CA$140)^2+($D167-CA$141)^2)</f>
        <v>3.03944314257629</v>
      </c>
      <c r="CB167" s="17" t="n">
        <f aca="false">SQRT(($B167-CB$139)^2+($C167-CB$140)^2+($D167-CB$141)^2)</f>
        <v>0.347898697160714</v>
      </c>
      <c r="CC167" s="17" t="n">
        <f aca="false">SQRT(($B167-CC$139)^2+($C167-CC$140)^2+($D167-CC$141)^2)</f>
        <v>1.88201350664905</v>
      </c>
      <c r="CD167" s="63" t="n">
        <f aca="false">MATCH(MIN(BZ167:CC167),BZ167:CC167,0)</f>
        <v>3</v>
      </c>
      <c r="CF167" s="17" t="n">
        <f aca="false">SQRT(($B167-CF$139)^2+($C167-CF$140)^2+($D167-CF$141)^2)</f>
        <v>3.22617843096732</v>
      </c>
      <c r="CG167" s="17" t="n">
        <f aca="false">SQRT(($B167-CG$139)^2+($C167-CG$140)^2+($D167-CG$141)^2)</f>
        <v>3.03944314257629</v>
      </c>
      <c r="CH167" s="17" t="n">
        <f aca="false">SQRT(($B167-CH$139)^2+($C167-CH$140)^2+($D167-CH$141)^2)</f>
        <v>0.347898697160714</v>
      </c>
      <c r="CI167" s="17" t="n">
        <f aca="false">SQRT(($B167-CI$139)^2+($C167-CI$140)^2+($D167-CI$141)^2)</f>
        <v>1.88201350664905</v>
      </c>
      <c r="CJ167" s="63" t="n">
        <f aca="false">MATCH(MIN(CF167:CI167),CF167:CI167,0)</f>
        <v>3</v>
      </c>
      <c r="CL167" s="17" t="n">
        <f aca="false">SQRT(($B167-CL$139)^2+($C167-CL$140)^2+($D167-CL$141)^2)</f>
        <v>3.22617843096732</v>
      </c>
      <c r="CM167" s="17" t="n">
        <f aca="false">SQRT(($B167-CM$139)^2+($C167-CM$140)^2+($D167-CM$141)^2)</f>
        <v>3.03944314257629</v>
      </c>
      <c r="CN167" s="17" t="n">
        <f aca="false">SQRT(($B167-CN$139)^2+($C167-CN$140)^2+($D167-CN$141)^2)</f>
        <v>0.347898697160714</v>
      </c>
      <c r="CO167" s="17" t="n">
        <f aca="false">SQRT(($B167-CO$139)^2+($C167-CO$140)^2+($D167-CO$141)^2)</f>
        <v>1.88201350664905</v>
      </c>
      <c r="CP167" s="63" t="n">
        <f aca="false">MATCH(MIN(CL167:CO167),CL167:CO167,0)</f>
        <v>3</v>
      </c>
    </row>
    <row r="168" customFormat="false" ht="15" hidden="false" customHeight="false" outlineLevel="0" collapsed="false">
      <c r="A168" s="36" t="str">
        <f aca="false">KMeans_Data!A27</f>
        <v>Dir Upper</v>
      </c>
      <c r="B168" s="17" t="n">
        <f aca="false">KMeans_Data!H27</f>
        <v>0.783501975751688</v>
      </c>
      <c r="C168" s="17" t="n">
        <f aca="false">KMeans_Data!I27</f>
        <v>0.160512589624996</v>
      </c>
      <c r="D168" s="17" t="n">
        <f aca="false">KMeans_Data!J27</f>
        <v>0.959677371956339</v>
      </c>
      <c r="E168" s="63" t="n">
        <f aca="false">CP168</f>
        <v>3</v>
      </c>
      <c r="F168" s="38" t="n">
        <f aca="false">($B168-INDEX($L$139:$O$139,E168))^2+($C168-INDEX($L$140:$O$140,E168))^2+($D168-INDEX($L$141:$O$141,E168))^2</f>
        <v>0.240084583162508</v>
      </c>
      <c r="G168" s="17" t="n">
        <f aca="false">IF(COUNTIF(Distance_Matrix!$E$10:$DQ$10,$E168)&lt;=1,0,SUMIF(Distance_Matrix!$E$10:$DQ$10,$E168,Distance_Matrix!$E$36:$DQ$36)/(COUNTIF(Distance_Matrix!$E$10:$DQ$10,$E168)-1))</f>
        <v>0.892170522222311</v>
      </c>
      <c r="H168" s="17" t="n">
        <f aca="false">MIN(IF(1=$E168,1E+099,IF(COUNTIF(Distance_Matrix!$E$10:$DQ$10,1)=0,1E+099,SUMIF(Distance_Matrix!$E$10:$DQ$10,1,Distance_Matrix!$E$36:$DQ$36)/COUNTIF(Distance_Matrix!$E$10:$DQ$10,1))),IF(2=$E168,1E+099,IF(COUNTIF(Distance_Matrix!$E$10:$DQ$10,2)=0,1E+099,SUMIF(Distance_Matrix!$E$10:$DQ$10,2,Distance_Matrix!$E$36:$DQ$36)/COUNTIF(Distance_Matrix!$E$10:$DQ$10,2))),IF(3=$E168,1E+099,IF(COUNTIF(Distance_Matrix!$E$10:$DQ$10,3)=0,1E+099,SUMIF(Distance_Matrix!$E$10:$DQ$10,3,Distance_Matrix!$E$36:$DQ$36)/COUNTIF(Distance_Matrix!$E$10:$DQ$10,3))),IF(4=$E168,1E+099,IF(COUNTIF(Distance_Matrix!$E$10:$DQ$10,4)=0,1E+099,SUMIF(Distance_Matrix!$E$10:$DQ$10,4,Distance_Matrix!$E$36:$DQ$36)/COUNTIF(Distance_Matrix!$E$10:$DQ$10,4))))</f>
        <v>1.8687896125085</v>
      </c>
      <c r="I168" s="17" t="n">
        <f aca="false">IF(COUNTIF(Distance_Matrix!$E$10:$DQ$10,$E168)&lt;=1,0,(H168-G168)/MAX(G168,H168))</f>
        <v>0.52259445565692</v>
      </c>
      <c r="X168" s="17" t="n">
        <f aca="false">SQRT(($B168-X$139)^2+($C168-X$140)^2+($D168-X$141)^2)</f>
        <v>5.14816911939323</v>
      </c>
      <c r="Y168" s="17" t="n">
        <f aca="false">SQRT(($B168-Y$139)^2+($C168-Y$140)^2+($D168-Y$141)^2)</f>
        <v>3.65029895120111</v>
      </c>
      <c r="Z168" s="17" t="n">
        <f aca="false">SQRT(($B168-Z$139)^2+($C168-Z$140)^2+($D168-Z$141)^2)</f>
        <v>0.61063359087127</v>
      </c>
      <c r="AA168" s="17" t="n">
        <f aca="false">SQRT(($B168-AA$139)^2+($C168-AA$140)^2+($D168-AA$141)^2)</f>
        <v>2.13211842997744</v>
      </c>
      <c r="AB168" s="63" t="n">
        <f aca="false">MATCH(MIN(X168:AA168),X168:AA168,0)</f>
        <v>3</v>
      </c>
      <c r="AD168" s="17" t="n">
        <f aca="false">SQRT(($B168-AD$139)^2+($C168-AD$140)^2+($D168-AD$141)^2)</f>
        <v>4.20358492681256</v>
      </c>
      <c r="AE168" s="17" t="n">
        <f aca="false">SQRT(($B168-AE$139)^2+($C168-AE$140)^2+($D168-AE$141)^2)</f>
        <v>2.89007102147493</v>
      </c>
      <c r="AF168" s="17" t="n">
        <f aca="false">SQRT(($B168-AF$139)^2+($C168-AF$140)^2+($D168-AF$141)^2)</f>
        <v>0.458900611669649</v>
      </c>
      <c r="AG168" s="17" t="n">
        <f aca="false">SQRT(($B168-AG$139)^2+($C168-AG$140)^2+($D168-AG$141)^2)</f>
        <v>1.81906602468937</v>
      </c>
      <c r="AH168" s="63" t="n">
        <f aca="false">MATCH(MIN(AD168:AG168),AD168:AG168,0)</f>
        <v>3</v>
      </c>
      <c r="AJ168" s="17" t="n">
        <f aca="false">SQRT(($B168-AJ$139)^2+($C168-AJ$140)^2+($D168-AJ$141)^2)</f>
        <v>3.8543367655866</v>
      </c>
      <c r="AK168" s="17" t="n">
        <f aca="false">SQRT(($B168-AK$139)^2+($C168-AK$140)^2+($D168-AK$141)^2)</f>
        <v>2.91731092009485</v>
      </c>
      <c r="AL168" s="17" t="n">
        <f aca="false">SQRT(($B168-AL$139)^2+($C168-AL$140)^2+($D168-AL$141)^2)</f>
        <v>0.52130330694988</v>
      </c>
      <c r="AM168" s="17" t="n">
        <f aca="false">SQRT(($B168-AM$139)^2+($C168-AM$140)^2+($D168-AM$141)^2)</f>
        <v>1.72757821338657</v>
      </c>
      <c r="AN168" s="63" t="n">
        <f aca="false">MATCH(MIN(AJ168:AM168),AJ168:AM168,0)</f>
        <v>3</v>
      </c>
      <c r="AP168" s="17" t="n">
        <f aca="false">SQRT(($B168-AP$139)^2+($C168-AP$140)^2+($D168-AP$141)^2)</f>
        <v>3.57435690916059</v>
      </c>
      <c r="AQ168" s="17" t="n">
        <f aca="false">SQRT(($B168-AQ$139)^2+($C168-AQ$140)^2+($D168-AQ$141)^2)</f>
        <v>3.00743248568447</v>
      </c>
      <c r="AR168" s="17" t="n">
        <f aca="false">SQRT(($B168-AR$139)^2+($C168-AR$140)^2+($D168-AR$141)^2)</f>
        <v>0.489984268280633</v>
      </c>
      <c r="AS168" s="17" t="n">
        <f aca="false">SQRT(($B168-AS$139)^2+($C168-AS$140)^2+($D168-AS$141)^2)</f>
        <v>1.74947783593652</v>
      </c>
      <c r="AT168" s="63" t="n">
        <f aca="false">MATCH(MIN(AP168:AS168),AP168:AS168,0)</f>
        <v>3</v>
      </c>
      <c r="AV168" s="17" t="n">
        <f aca="false">SQRT(($B168-AV$139)^2+($C168-AV$140)^2+($D168-AV$141)^2)</f>
        <v>3.57435690916059</v>
      </c>
      <c r="AW168" s="17" t="n">
        <f aca="false">SQRT(($B168-AW$139)^2+($C168-AW$140)^2+($D168-AW$141)^2)</f>
        <v>3.00743248568447</v>
      </c>
      <c r="AX168" s="17" t="n">
        <f aca="false">SQRT(($B168-AX$139)^2+($C168-AX$140)^2+($D168-AX$141)^2)</f>
        <v>0.489984268280633</v>
      </c>
      <c r="AY168" s="17" t="n">
        <f aca="false">SQRT(($B168-AY$139)^2+($C168-AY$140)^2+($D168-AY$141)^2)</f>
        <v>1.74947783593652</v>
      </c>
      <c r="AZ168" s="63" t="n">
        <f aca="false">MATCH(MIN(AV168:AY168),AV168:AY168,0)</f>
        <v>3</v>
      </c>
      <c r="BB168" s="17" t="n">
        <f aca="false">SQRT(($B168-BB$139)^2+($C168-BB$140)^2+($D168-BB$141)^2)</f>
        <v>3.57435690916059</v>
      </c>
      <c r="BC168" s="17" t="n">
        <f aca="false">SQRT(($B168-BC$139)^2+($C168-BC$140)^2+($D168-BC$141)^2)</f>
        <v>3.00743248568447</v>
      </c>
      <c r="BD168" s="17" t="n">
        <f aca="false">SQRT(($B168-BD$139)^2+($C168-BD$140)^2+($D168-BD$141)^2)</f>
        <v>0.489984268280633</v>
      </c>
      <c r="BE168" s="17" t="n">
        <f aca="false">SQRT(($B168-BE$139)^2+($C168-BE$140)^2+($D168-BE$141)^2)</f>
        <v>1.74947783593652</v>
      </c>
      <c r="BF168" s="63" t="n">
        <f aca="false">MATCH(MIN(BB168:BE168),BB168:BE168,0)</f>
        <v>3</v>
      </c>
      <c r="BH168" s="17" t="n">
        <f aca="false">SQRT(($B168-BH$139)^2+($C168-BH$140)^2+($D168-BH$141)^2)</f>
        <v>3.57435690916059</v>
      </c>
      <c r="BI168" s="17" t="n">
        <f aca="false">SQRT(($B168-BI$139)^2+($C168-BI$140)^2+($D168-BI$141)^2)</f>
        <v>3.00743248568447</v>
      </c>
      <c r="BJ168" s="17" t="n">
        <f aca="false">SQRT(($B168-BJ$139)^2+($C168-BJ$140)^2+($D168-BJ$141)^2)</f>
        <v>0.489984268280633</v>
      </c>
      <c r="BK168" s="17" t="n">
        <f aca="false">SQRT(($B168-BK$139)^2+($C168-BK$140)^2+($D168-BK$141)^2)</f>
        <v>1.74947783593652</v>
      </c>
      <c r="BL168" s="63" t="n">
        <f aca="false">MATCH(MIN(BH168:BK168),BH168:BK168,0)</f>
        <v>3</v>
      </c>
      <c r="BN168" s="17" t="n">
        <f aca="false">SQRT(($B168-BN$139)^2+($C168-BN$140)^2+($D168-BN$141)^2)</f>
        <v>3.57435690916059</v>
      </c>
      <c r="BO168" s="17" t="n">
        <f aca="false">SQRT(($B168-BO$139)^2+($C168-BO$140)^2+($D168-BO$141)^2)</f>
        <v>3.00743248568447</v>
      </c>
      <c r="BP168" s="17" t="n">
        <f aca="false">SQRT(($B168-BP$139)^2+($C168-BP$140)^2+($D168-BP$141)^2)</f>
        <v>0.489984268280633</v>
      </c>
      <c r="BQ168" s="17" t="n">
        <f aca="false">SQRT(($B168-BQ$139)^2+($C168-BQ$140)^2+($D168-BQ$141)^2)</f>
        <v>1.74947783593652</v>
      </c>
      <c r="BR168" s="63" t="n">
        <f aca="false">MATCH(MIN(BN168:BQ168),BN168:BQ168,0)</f>
        <v>3</v>
      </c>
      <c r="BT168" s="17" t="n">
        <f aca="false">SQRT(($B168-BT$139)^2+($C168-BT$140)^2+($D168-BT$141)^2)</f>
        <v>3.57435690916059</v>
      </c>
      <c r="BU168" s="17" t="n">
        <f aca="false">SQRT(($B168-BU$139)^2+($C168-BU$140)^2+($D168-BU$141)^2)</f>
        <v>3.00743248568447</v>
      </c>
      <c r="BV168" s="17" t="n">
        <f aca="false">SQRT(($B168-BV$139)^2+($C168-BV$140)^2+($D168-BV$141)^2)</f>
        <v>0.489984268280633</v>
      </c>
      <c r="BW168" s="17" t="n">
        <f aca="false">SQRT(($B168-BW$139)^2+($C168-BW$140)^2+($D168-BW$141)^2)</f>
        <v>1.74947783593652</v>
      </c>
      <c r="BX168" s="63" t="n">
        <f aca="false">MATCH(MIN(BT168:BW168),BT168:BW168,0)</f>
        <v>3</v>
      </c>
      <c r="BZ168" s="17" t="n">
        <f aca="false">SQRT(($B168-BZ$139)^2+($C168-BZ$140)^2+($D168-BZ$141)^2)</f>
        <v>3.57435690916059</v>
      </c>
      <c r="CA168" s="17" t="n">
        <f aca="false">SQRT(($B168-CA$139)^2+($C168-CA$140)^2+($D168-CA$141)^2)</f>
        <v>3.00743248568447</v>
      </c>
      <c r="CB168" s="17" t="n">
        <f aca="false">SQRT(($B168-CB$139)^2+($C168-CB$140)^2+($D168-CB$141)^2)</f>
        <v>0.489984268280633</v>
      </c>
      <c r="CC168" s="17" t="n">
        <f aca="false">SQRT(($B168-CC$139)^2+($C168-CC$140)^2+($D168-CC$141)^2)</f>
        <v>1.74947783593652</v>
      </c>
      <c r="CD168" s="63" t="n">
        <f aca="false">MATCH(MIN(BZ168:CC168),BZ168:CC168,0)</f>
        <v>3</v>
      </c>
      <c r="CF168" s="17" t="n">
        <f aca="false">SQRT(($B168-CF$139)^2+($C168-CF$140)^2+($D168-CF$141)^2)</f>
        <v>3.57435690916059</v>
      </c>
      <c r="CG168" s="17" t="n">
        <f aca="false">SQRT(($B168-CG$139)^2+($C168-CG$140)^2+($D168-CG$141)^2)</f>
        <v>3.00743248568447</v>
      </c>
      <c r="CH168" s="17" t="n">
        <f aca="false">SQRT(($B168-CH$139)^2+($C168-CH$140)^2+($D168-CH$141)^2)</f>
        <v>0.489984268280633</v>
      </c>
      <c r="CI168" s="17" t="n">
        <f aca="false">SQRT(($B168-CI$139)^2+($C168-CI$140)^2+($D168-CI$141)^2)</f>
        <v>1.74947783593652</v>
      </c>
      <c r="CJ168" s="63" t="n">
        <f aca="false">MATCH(MIN(CF168:CI168),CF168:CI168,0)</f>
        <v>3</v>
      </c>
      <c r="CL168" s="17" t="n">
        <f aca="false">SQRT(($B168-CL$139)^2+($C168-CL$140)^2+($D168-CL$141)^2)</f>
        <v>3.57435690916059</v>
      </c>
      <c r="CM168" s="17" t="n">
        <f aca="false">SQRT(($B168-CM$139)^2+($C168-CM$140)^2+($D168-CM$141)^2)</f>
        <v>3.00743248568447</v>
      </c>
      <c r="CN168" s="17" t="n">
        <f aca="false">SQRT(($B168-CN$139)^2+($C168-CN$140)^2+($D168-CN$141)^2)</f>
        <v>0.489984268280633</v>
      </c>
      <c r="CO168" s="17" t="n">
        <f aca="false">SQRT(($B168-CO$139)^2+($C168-CO$140)^2+($D168-CO$141)^2)</f>
        <v>1.74947783593652</v>
      </c>
      <c r="CP168" s="63" t="n">
        <f aca="false">MATCH(MIN(CL168:CO168),CL168:CO168,0)</f>
        <v>3</v>
      </c>
    </row>
    <row r="169" customFormat="false" ht="15" hidden="false" customHeight="false" outlineLevel="0" collapsed="false">
      <c r="A169" s="36" t="str">
        <f aca="false">KMeans_Data!A28</f>
        <v>Khyber</v>
      </c>
      <c r="B169" s="17" t="n">
        <f aca="false">KMeans_Data!H28</f>
        <v>0.783501975751688</v>
      </c>
      <c r="C169" s="17" t="n">
        <f aca="false">KMeans_Data!I28</f>
        <v>0.547911385844501</v>
      </c>
      <c r="D169" s="17" t="n">
        <f aca="false">KMeans_Data!J28</f>
        <v>0.667151770949206</v>
      </c>
      <c r="E169" s="63" t="n">
        <f aca="false">CP169</f>
        <v>3</v>
      </c>
      <c r="F169" s="38" t="n">
        <f aca="false">($B169-INDEX($L$139:$O$139,E169))^2+($C169-INDEX($L$140:$O$140,E169))^2+($D169-INDEX($L$141:$O$141,E169))^2</f>
        <v>0.0686002750922149</v>
      </c>
      <c r="G169" s="17" t="n">
        <f aca="false">IF(COUNTIF(Distance_Matrix!$E$10:$DQ$10,$E169)&lt;=1,0,SUMIF(Distance_Matrix!$E$10:$DQ$10,$E169,Distance_Matrix!$E$37:$DQ$37)/(COUNTIF(Distance_Matrix!$E$10:$DQ$10,$E169)-1))</f>
        <v>0.802158503976427</v>
      </c>
      <c r="H169" s="17" t="n">
        <f aca="false">MIN(IF(1=$E169,1E+099,IF(COUNTIF(Distance_Matrix!$E$10:$DQ$10,1)=0,1E+099,SUMIF(Distance_Matrix!$E$10:$DQ$10,1,Distance_Matrix!$E$37:$DQ$37)/COUNTIF(Distance_Matrix!$E$10:$DQ$10,1))),IF(2=$E169,1E+099,IF(COUNTIF(Distance_Matrix!$E$10:$DQ$10,2)=0,1E+099,SUMIF(Distance_Matrix!$E$10:$DQ$10,2,Distance_Matrix!$E$37:$DQ$37)/COUNTIF(Distance_Matrix!$E$10:$DQ$10,2))),IF(3=$E169,1E+099,IF(COUNTIF(Distance_Matrix!$E$10:$DQ$10,3)=0,1E+099,SUMIF(Distance_Matrix!$E$10:$DQ$10,3,Distance_Matrix!$E$37:$DQ$37)/COUNTIF(Distance_Matrix!$E$10:$DQ$10,3))),IF(4=$E169,1E+099,IF(COUNTIF(Distance_Matrix!$E$10:$DQ$10,4)=0,1E+099,SUMIF(Distance_Matrix!$E$10:$DQ$10,4,Distance_Matrix!$E$37:$DQ$37)/COUNTIF(Distance_Matrix!$E$10:$DQ$10,4))))</f>
        <v>1.86836452405525</v>
      </c>
      <c r="I169" s="17" t="n">
        <f aca="false">IF(COUNTIF(Distance_Matrix!$E$10:$DQ$10,$E169)&lt;=1,0,(H169-G169)/MAX(G169,H169))</f>
        <v>0.570662740782856</v>
      </c>
      <c r="X169" s="17" t="n">
        <f aca="false">SQRT(($B169-X$139)^2+($C169-X$140)^2+($D169-X$141)^2)</f>
        <v>5.00758520888784</v>
      </c>
      <c r="Y169" s="17" t="n">
        <f aca="false">SQRT(($B169-Y$139)^2+($C169-Y$140)^2+($D169-Y$141)^2)</f>
        <v>3.60196382706207</v>
      </c>
      <c r="Z169" s="17" t="n">
        <f aca="false">SQRT(($B169-Z$139)^2+($C169-Z$140)^2+($D169-Z$141)^2)</f>
        <v>0.859235206666101</v>
      </c>
      <c r="AA169" s="17" t="n">
        <f aca="false">SQRT(($B169-AA$139)^2+($C169-AA$140)^2+($D169-AA$141)^2)</f>
        <v>1.94630525174013</v>
      </c>
      <c r="AB169" s="63" t="n">
        <f aca="false">MATCH(MIN(X169:AA169),X169:AA169,0)</f>
        <v>3</v>
      </c>
      <c r="AD169" s="17" t="n">
        <f aca="false">SQRT(($B169-AD$139)^2+($C169-AD$140)^2+($D169-AD$141)^2)</f>
        <v>4.02511537990183</v>
      </c>
      <c r="AE169" s="17" t="n">
        <f aca="false">SQRT(($B169-AE$139)^2+($C169-AE$140)^2+($D169-AE$141)^2)</f>
        <v>2.84790020784931</v>
      </c>
      <c r="AF169" s="17" t="n">
        <f aca="false">SQRT(($B169-AF$139)^2+($C169-AF$140)^2+($D169-AF$141)^2)</f>
        <v>0.277375836192483</v>
      </c>
      <c r="AG169" s="17" t="n">
        <f aca="false">SQRT(($B169-AG$139)^2+($C169-AG$140)^2+($D169-AG$141)^2)</f>
        <v>1.78489323507273</v>
      </c>
      <c r="AH169" s="63" t="n">
        <f aca="false">MATCH(MIN(AD169:AG169),AD169:AG169,0)</f>
        <v>3</v>
      </c>
      <c r="AJ169" s="17" t="n">
        <f aca="false">SQRT(($B169-AJ$139)^2+($C169-AJ$140)^2+($D169-AJ$141)^2)</f>
        <v>3.6768411402592</v>
      </c>
      <c r="AK169" s="17" t="n">
        <f aca="false">SQRT(($B169-AK$139)^2+($C169-AK$140)^2+($D169-AK$141)^2)</f>
        <v>2.87040934060845</v>
      </c>
      <c r="AL169" s="17" t="n">
        <f aca="false">SQRT(($B169-AL$139)^2+($C169-AL$140)^2+($D169-AL$141)^2)</f>
        <v>0.27608106720818</v>
      </c>
      <c r="AM169" s="17" t="n">
        <f aca="false">SQRT(($B169-AM$139)^2+($C169-AM$140)^2+($D169-AM$141)^2)</f>
        <v>1.71587090997535</v>
      </c>
      <c r="AN169" s="63" t="n">
        <f aca="false">MATCH(MIN(AJ169:AM169),AJ169:AM169,0)</f>
        <v>3</v>
      </c>
      <c r="AP169" s="17" t="n">
        <f aca="false">SQRT(($B169-AP$139)^2+($C169-AP$140)^2+($D169-AP$141)^2)</f>
        <v>3.3883856800701</v>
      </c>
      <c r="AQ169" s="17" t="n">
        <f aca="false">SQRT(($B169-AQ$139)^2+($C169-AQ$140)^2+($D169-AQ$141)^2)</f>
        <v>2.9529307731798</v>
      </c>
      <c r="AR169" s="17" t="n">
        <f aca="false">SQRT(($B169-AR$139)^2+($C169-AR$140)^2+($D169-AR$141)^2)</f>
        <v>0.261916542227128</v>
      </c>
      <c r="AS169" s="17" t="n">
        <f aca="false">SQRT(($B169-AS$139)^2+($C169-AS$140)^2+($D169-AS$141)^2)</f>
        <v>1.74168052180413</v>
      </c>
      <c r="AT169" s="63" t="n">
        <f aca="false">MATCH(MIN(AP169:AS169),AP169:AS169,0)</f>
        <v>3</v>
      </c>
      <c r="AV169" s="17" t="n">
        <f aca="false">SQRT(($B169-AV$139)^2+($C169-AV$140)^2+($D169-AV$141)^2)</f>
        <v>3.3883856800701</v>
      </c>
      <c r="AW169" s="17" t="n">
        <f aca="false">SQRT(($B169-AW$139)^2+($C169-AW$140)^2+($D169-AW$141)^2)</f>
        <v>2.9529307731798</v>
      </c>
      <c r="AX169" s="17" t="n">
        <f aca="false">SQRT(($B169-AX$139)^2+($C169-AX$140)^2+($D169-AX$141)^2)</f>
        <v>0.261916542227128</v>
      </c>
      <c r="AY169" s="17" t="n">
        <f aca="false">SQRT(($B169-AY$139)^2+($C169-AY$140)^2+($D169-AY$141)^2)</f>
        <v>1.74168052180413</v>
      </c>
      <c r="AZ169" s="63" t="n">
        <f aca="false">MATCH(MIN(AV169:AY169),AV169:AY169,0)</f>
        <v>3</v>
      </c>
      <c r="BB169" s="17" t="n">
        <f aca="false">SQRT(($B169-BB$139)^2+($C169-BB$140)^2+($D169-BB$141)^2)</f>
        <v>3.3883856800701</v>
      </c>
      <c r="BC169" s="17" t="n">
        <f aca="false">SQRT(($B169-BC$139)^2+($C169-BC$140)^2+($D169-BC$141)^2)</f>
        <v>2.9529307731798</v>
      </c>
      <c r="BD169" s="17" t="n">
        <f aca="false">SQRT(($B169-BD$139)^2+($C169-BD$140)^2+($D169-BD$141)^2)</f>
        <v>0.261916542227128</v>
      </c>
      <c r="BE169" s="17" t="n">
        <f aca="false">SQRT(($B169-BE$139)^2+($C169-BE$140)^2+($D169-BE$141)^2)</f>
        <v>1.74168052180413</v>
      </c>
      <c r="BF169" s="63" t="n">
        <f aca="false">MATCH(MIN(BB169:BE169),BB169:BE169,0)</f>
        <v>3</v>
      </c>
      <c r="BH169" s="17" t="n">
        <f aca="false">SQRT(($B169-BH$139)^2+($C169-BH$140)^2+($D169-BH$141)^2)</f>
        <v>3.3883856800701</v>
      </c>
      <c r="BI169" s="17" t="n">
        <f aca="false">SQRT(($B169-BI$139)^2+($C169-BI$140)^2+($D169-BI$141)^2)</f>
        <v>2.9529307731798</v>
      </c>
      <c r="BJ169" s="17" t="n">
        <f aca="false">SQRT(($B169-BJ$139)^2+($C169-BJ$140)^2+($D169-BJ$141)^2)</f>
        <v>0.261916542227128</v>
      </c>
      <c r="BK169" s="17" t="n">
        <f aca="false">SQRT(($B169-BK$139)^2+($C169-BK$140)^2+($D169-BK$141)^2)</f>
        <v>1.74168052180413</v>
      </c>
      <c r="BL169" s="63" t="n">
        <f aca="false">MATCH(MIN(BH169:BK169),BH169:BK169,0)</f>
        <v>3</v>
      </c>
      <c r="BN169" s="17" t="n">
        <f aca="false">SQRT(($B169-BN$139)^2+($C169-BN$140)^2+($D169-BN$141)^2)</f>
        <v>3.3883856800701</v>
      </c>
      <c r="BO169" s="17" t="n">
        <f aca="false">SQRT(($B169-BO$139)^2+($C169-BO$140)^2+($D169-BO$141)^2)</f>
        <v>2.9529307731798</v>
      </c>
      <c r="BP169" s="17" t="n">
        <f aca="false">SQRT(($B169-BP$139)^2+($C169-BP$140)^2+($D169-BP$141)^2)</f>
        <v>0.261916542227128</v>
      </c>
      <c r="BQ169" s="17" t="n">
        <f aca="false">SQRT(($B169-BQ$139)^2+($C169-BQ$140)^2+($D169-BQ$141)^2)</f>
        <v>1.74168052180413</v>
      </c>
      <c r="BR169" s="63" t="n">
        <f aca="false">MATCH(MIN(BN169:BQ169),BN169:BQ169,0)</f>
        <v>3</v>
      </c>
      <c r="BT169" s="17" t="n">
        <f aca="false">SQRT(($B169-BT$139)^2+($C169-BT$140)^2+($D169-BT$141)^2)</f>
        <v>3.3883856800701</v>
      </c>
      <c r="BU169" s="17" t="n">
        <f aca="false">SQRT(($B169-BU$139)^2+($C169-BU$140)^2+($D169-BU$141)^2)</f>
        <v>2.9529307731798</v>
      </c>
      <c r="BV169" s="17" t="n">
        <f aca="false">SQRT(($B169-BV$139)^2+($C169-BV$140)^2+($D169-BV$141)^2)</f>
        <v>0.261916542227128</v>
      </c>
      <c r="BW169" s="17" t="n">
        <f aca="false">SQRT(($B169-BW$139)^2+($C169-BW$140)^2+($D169-BW$141)^2)</f>
        <v>1.74168052180413</v>
      </c>
      <c r="BX169" s="63" t="n">
        <f aca="false">MATCH(MIN(BT169:BW169),BT169:BW169,0)</f>
        <v>3</v>
      </c>
      <c r="BZ169" s="17" t="n">
        <f aca="false">SQRT(($B169-BZ$139)^2+($C169-BZ$140)^2+($D169-BZ$141)^2)</f>
        <v>3.3883856800701</v>
      </c>
      <c r="CA169" s="17" t="n">
        <f aca="false">SQRT(($B169-CA$139)^2+($C169-CA$140)^2+($D169-CA$141)^2)</f>
        <v>2.9529307731798</v>
      </c>
      <c r="CB169" s="17" t="n">
        <f aca="false">SQRT(($B169-CB$139)^2+($C169-CB$140)^2+($D169-CB$141)^2)</f>
        <v>0.261916542227128</v>
      </c>
      <c r="CC169" s="17" t="n">
        <f aca="false">SQRT(($B169-CC$139)^2+($C169-CC$140)^2+($D169-CC$141)^2)</f>
        <v>1.74168052180413</v>
      </c>
      <c r="CD169" s="63" t="n">
        <f aca="false">MATCH(MIN(BZ169:CC169),BZ169:CC169,0)</f>
        <v>3</v>
      </c>
      <c r="CF169" s="17" t="n">
        <f aca="false">SQRT(($B169-CF$139)^2+($C169-CF$140)^2+($D169-CF$141)^2)</f>
        <v>3.3883856800701</v>
      </c>
      <c r="CG169" s="17" t="n">
        <f aca="false">SQRT(($B169-CG$139)^2+($C169-CG$140)^2+($D169-CG$141)^2)</f>
        <v>2.9529307731798</v>
      </c>
      <c r="CH169" s="17" t="n">
        <f aca="false">SQRT(($B169-CH$139)^2+($C169-CH$140)^2+($D169-CH$141)^2)</f>
        <v>0.261916542227128</v>
      </c>
      <c r="CI169" s="17" t="n">
        <f aca="false">SQRT(($B169-CI$139)^2+($C169-CI$140)^2+($D169-CI$141)^2)</f>
        <v>1.74168052180413</v>
      </c>
      <c r="CJ169" s="63" t="n">
        <f aca="false">MATCH(MIN(CF169:CI169),CF169:CI169,0)</f>
        <v>3</v>
      </c>
      <c r="CL169" s="17" t="n">
        <f aca="false">SQRT(($B169-CL$139)^2+($C169-CL$140)^2+($D169-CL$141)^2)</f>
        <v>3.3883856800701</v>
      </c>
      <c r="CM169" s="17" t="n">
        <f aca="false">SQRT(($B169-CM$139)^2+($C169-CM$140)^2+($D169-CM$141)^2)</f>
        <v>2.9529307731798</v>
      </c>
      <c r="CN169" s="17" t="n">
        <f aca="false">SQRT(($B169-CN$139)^2+($C169-CN$140)^2+($D169-CN$141)^2)</f>
        <v>0.261916542227128</v>
      </c>
      <c r="CO169" s="17" t="n">
        <f aca="false">SQRT(($B169-CO$139)^2+($C169-CO$140)^2+($D169-CO$141)^2)</f>
        <v>1.74168052180413</v>
      </c>
      <c r="CP169" s="63" t="n">
        <f aca="false">MATCH(MIN(CL169:CO169),CL169:CO169,0)</f>
        <v>3</v>
      </c>
    </row>
    <row r="170" customFormat="false" ht="15" hidden="false" customHeight="false" outlineLevel="0" collapsed="false">
      <c r="A170" s="36" t="str">
        <f aca="false">KMeans_Data!A29</f>
        <v>Bajaur</v>
      </c>
      <c r="B170" s="17" t="n">
        <f aca="false">KMeans_Data!H29</f>
        <v>0.761812586723473</v>
      </c>
      <c r="C170" s="17" t="n">
        <f aca="false">KMeans_Data!I29</f>
        <v>1.38107452085777</v>
      </c>
      <c r="D170" s="17" t="n">
        <f aca="false">KMeans_Data!J29</f>
        <v>0.727869076261203</v>
      </c>
      <c r="E170" s="63" t="n">
        <f aca="false">CP170</f>
        <v>3</v>
      </c>
      <c r="F170" s="38" t="n">
        <f aca="false">($B170-INDEX($L$139:$O$139,E170))^2+($C170-INDEX($L$140:$O$140,E170))^2+($D170-INDEX($L$141:$O$141,E170))^2</f>
        <v>0.62028900185436</v>
      </c>
      <c r="G170" s="17" t="n">
        <f aca="false">IF(COUNTIF(Distance_Matrix!$E$10:$DQ$10,$E170)&lt;=1,0,SUMIF(Distance_Matrix!$E$10:$DQ$10,$E170,Distance_Matrix!$E$38:$DQ$38)/(COUNTIF(Distance_Matrix!$E$10:$DQ$10,$E170)-1))</f>
        <v>1.02510573252713</v>
      </c>
      <c r="H170" s="17" t="n">
        <f aca="false">MIN(IF(1=$E170,1E+099,IF(COUNTIF(Distance_Matrix!$E$10:$DQ$10,1)=0,1E+099,SUMIF(Distance_Matrix!$E$10:$DQ$10,1,Distance_Matrix!$E$38:$DQ$38)/COUNTIF(Distance_Matrix!$E$10:$DQ$10,1))),IF(2=$E170,1E+099,IF(COUNTIF(Distance_Matrix!$E$10:$DQ$10,2)=0,1E+099,SUMIF(Distance_Matrix!$E$10:$DQ$10,2,Distance_Matrix!$E$38:$DQ$38)/COUNTIF(Distance_Matrix!$E$10:$DQ$10,2))),IF(3=$E170,1E+099,IF(COUNTIF(Distance_Matrix!$E$10:$DQ$10,3)=0,1E+099,SUMIF(Distance_Matrix!$E$10:$DQ$10,3,Distance_Matrix!$E$38:$DQ$38)/COUNTIF(Distance_Matrix!$E$10:$DQ$10,3))),IF(4=$E170,1E+099,IF(COUNTIF(Distance_Matrix!$E$10:$DQ$10,4)=0,1E+099,SUMIF(Distance_Matrix!$E$10:$DQ$10,4,Distance_Matrix!$E$38:$DQ$38)/COUNTIF(Distance_Matrix!$E$10:$DQ$10,4))))</f>
        <v>2.45907339347257</v>
      </c>
      <c r="I170" s="17" t="n">
        <f aca="false">IF(COUNTIF(Distance_Matrix!$E$10:$DQ$10,$E170)&lt;=1,0,(H170-G170)/MAX(G170,H170))</f>
        <v>0.583133331746746</v>
      </c>
      <c r="X170" s="17" t="n">
        <f aca="false">SQRT(($B170-X$139)^2+($C170-X$140)^2+($D170-X$141)^2)</f>
        <v>4.44423821278105</v>
      </c>
      <c r="Y170" s="17" t="n">
        <f aca="false">SQRT(($B170-Y$139)^2+($C170-Y$140)^2+($D170-Y$141)^2)</f>
        <v>3.97520414117928</v>
      </c>
      <c r="Z170" s="17" t="n">
        <f aca="false">SQRT(($B170-Z$139)^2+($C170-Z$140)^2+($D170-Z$141)^2)</f>
        <v>1.27752060457733</v>
      </c>
      <c r="AA170" s="17" t="n">
        <f aca="false">SQRT(($B170-AA$139)^2+($C170-AA$140)^2+($D170-AA$141)^2)</f>
        <v>2.42043390101077</v>
      </c>
      <c r="AB170" s="63" t="n">
        <f aca="false">MATCH(MIN(X170:AA170),X170:AA170,0)</f>
        <v>3</v>
      </c>
      <c r="AD170" s="17" t="n">
        <f aca="false">SQRT(($B170-AD$139)^2+($C170-AD$140)^2+($D170-AD$141)^2)</f>
        <v>3.43891961843744</v>
      </c>
      <c r="AE170" s="17" t="n">
        <f aca="false">SQRT(($B170-AE$139)^2+($C170-AE$140)^2+($D170-AE$141)^2)</f>
        <v>3.30426796156955</v>
      </c>
      <c r="AF170" s="17" t="n">
        <f aca="false">SQRT(($B170-AF$139)^2+($C170-AF$140)^2+($D170-AF$141)^2)</f>
        <v>0.832903953225318</v>
      </c>
      <c r="AG170" s="17" t="n">
        <f aca="false">SQRT(($B170-AG$139)^2+($C170-AG$140)^2+($D170-AG$141)^2)</f>
        <v>2.39143843764475</v>
      </c>
      <c r="AH170" s="63" t="n">
        <f aca="false">MATCH(MIN(AD170:AG170),AD170:AG170,0)</f>
        <v>3</v>
      </c>
      <c r="AJ170" s="17" t="n">
        <f aca="false">SQRT(($B170-AJ$139)^2+($C170-AJ$140)^2+($D170-AJ$141)^2)</f>
        <v>3.10478636602193</v>
      </c>
      <c r="AK170" s="17" t="n">
        <f aca="false">SQRT(($B170-AK$139)^2+($C170-AK$140)^2+($D170-AK$141)^2)</f>
        <v>3.32466517375311</v>
      </c>
      <c r="AL170" s="17" t="n">
        <f aca="false">SQRT(($B170-AL$139)^2+($C170-AL$140)^2+($D170-AL$141)^2)</f>
        <v>0.745853685392607</v>
      </c>
      <c r="AM170" s="17" t="n">
        <f aca="false">SQRT(($B170-AM$139)^2+($C170-AM$140)^2+($D170-AM$141)^2)</f>
        <v>2.33972488090144</v>
      </c>
      <c r="AN170" s="63" t="n">
        <f aca="false">MATCH(MIN(AJ170:AM170),AJ170:AM170,0)</f>
        <v>3</v>
      </c>
      <c r="AP170" s="17" t="n">
        <f aca="false">SQRT(($B170-AP$139)^2+($C170-AP$140)^2+($D170-AP$141)^2)</f>
        <v>2.8083231917499</v>
      </c>
      <c r="AQ170" s="17" t="n">
        <f aca="false">SQRT(($B170-AQ$139)^2+($C170-AQ$140)^2+($D170-AQ$141)^2)</f>
        <v>3.39690053553883</v>
      </c>
      <c r="AR170" s="17" t="n">
        <f aca="false">SQRT(($B170-AR$139)^2+($C170-AR$140)^2+($D170-AR$141)^2)</f>
        <v>0.787584282381486</v>
      </c>
      <c r="AS170" s="17" t="n">
        <f aca="false">SQRT(($B170-AS$139)^2+($C170-AS$140)^2+($D170-AS$141)^2)</f>
        <v>2.3618633118376</v>
      </c>
      <c r="AT170" s="63" t="n">
        <f aca="false">MATCH(MIN(AP170:AS170),AP170:AS170,0)</f>
        <v>3</v>
      </c>
      <c r="AV170" s="17" t="n">
        <f aca="false">SQRT(($B170-AV$139)^2+($C170-AV$140)^2+($D170-AV$141)^2)</f>
        <v>2.8083231917499</v>
      </c>
      <c r="AW170" s="17" t="n">
        <f aca="false">SQRT(($B170-AW$139)^2+($C170-AW$140)^2+($D170-AW$141)^2)</f>
        <v>3.39690053553883</v>
      </c>
      <c r="AX170" s="17" t="n">
        <f aca="false">SQRT(($B170-AX$139)^2+($C170-AX$140)^2+($D170-AX$141)^2)</f>
        <v>0.787584282381486</v>
      </c>
      <c r="AY170" s="17" t="n">
        <f aca="false">SQRT(($B170-AY$139)^2+($C170-AY$140)^2+($D170-AY$141)^2)</f>
        <v>2.3618633118376</v>
      </c>
      <c r="AZ170" s="63" t="n">
        <f aca="false">MATCH(MIN(AV170:AY170),AV170:AY170,0)</f>
        <v>3</v>
      </c>
      <c r="BB170" s="17" t="n">
        <f aca="false">SQRT(($B170-BB$139)^2+($C170-BB$140)^2+($D170-BB$141)^2)</f>
        <v>2.8083231917499</v>
      </c>
      <c r="BC170" s="17" t="n">
        <f aca="false">SQRT(($B170-BC$139)^2+($C170-BC$140)^2+($D170-BC$141)^2)</f>
        <v>3.39690053553883</v>
      </c>
      <c r="BD170" s="17" t="n">
        <f aca="false">SQRT(($B170-BD$139)^2+($C170-BD$140)^2+($D170-BD$141)^2)</f>
        <v>0.787584282381486</v>
      </c>
      <c r="BE170" s="17" t="n">
        <f aca="false">SQRT(($B170-BE$139)^2+($C170-BE$140)^2+($D170-BE$141)^2)</f>
        <v>2.3618633118376</v>
      </c>
      <c r="BF170" s="63" t="n">
        <f aca="false">MATCH(MIN(BB170:BE170),BB170:BE170,0)</f>
        <v>3</v>
      </c>
      <c r="BH170" s="17" t="n">
        <f aca="false">SQRT(($B170-BH$139)^2+($C170-BH$140)^2+($D170-BH$141)^2)</f>
        <v>2.8083231917499</v>
      </c>
      <c r="BI170" s="17" t="n">
        <f aca="false">SQRT(($B170-BI$139)^2+($C170-BI$140)^2+($D170-BI$141)^2)</f>
        <v>3.39690053553883</v>
      </c>
      <c r="BJ170" s="17" t="n">
        <f aca="false">SQRT(($B170-BJ$139)^2+($C170-BJ$140)^2+($D170-BJ$141)^2)</f>
        <v>0.787584282381486</v>
      </c>
      <c r="BK170" s="17" t="n">
        <f aca="false">SQRT(($B170-BK$139)^2+($C170-BK$140)^2+($D170-BK$141)^2)</f>
        <v>2.3618633118376</v>
      </c>
      <c r="BL170" s="63" t="n">
        <f aca="false">MATCH(MIN(BH170:BK170),BH170:BK170,0)</f>
        <v>3</v>
      </c>
      <c r="BN170" s="17" t="n">
        <f aca="false">SQRT(($B170-BN$139)^2+($C170-BN$140)^2+($D170-BN$141)^2)</f>
        <v>2.8083231917499</v>
      </c>
      <c r="BO170" s="17" t="n">
        <f aca="false">SQRT(($B170-BO$139)^2+($C170-BO$140)^2+($D170-BO$141)^2)</f>
        <v>3.39690053553883</v>
      </c>
      <c r="BP170" s="17" t="n">
        <f aca="false">SQRT(($B170-BP$139)^2+($C170-BP$140)^2+($D170-BP$141)^2)</f>
        <v>0.787584282381486</v>
      </c>
      <c r="BQ170" s="17" t="n">
        <f aca="false">SQRT(($B170-BQ$139)^2+($C170-BQ$140)^2+($D170-BQ$141)^2)</f>
        <v>2.3618633118376</v>
      </c>
      <c r="BR170" s="63" t="n">
        <f aca="false">MATCH(MIN(BN170:BQ170),BN170:BQ170,0)</f>
        <v>3</v>
      </c>
      <c r="BT170" s="17" t="n">
        <f aca="false">SQRT(($B170-BT$139)^2+($C170-BT$140)^2+($D170-BT$141)^2)</f>
        <v>2.8083231917499</v>
      </c>
      <c r="BU170" s="17" t="n">
        <f aca="false">SQRT(($B170-BU$139)^2+($C170-BU$140)^2+($D170-BU$141)^2)</f>
        <v>3.39690053553883</v>
      </c>
      <c r="BV170" s="17" t="n">
        <f aca="false">SQRT(($B170-BV$139)^2+($C170-BV$140)^2+($D170-BV$141)^2)</f>
        <v>0.787584282381486</v>
      </c>
      <c r="BW170" s="17" t="n">
        <f aca="false">SQRT(($B170-BW$139)^2+($C170-BW$140)^2+($D170-BW$141)^2)</f>
        <v>2.3618633118376</v>
      </c>
      <c r="BX170" s="63" t="n">
        <f aca="false">MATCH(MIN(BT170:BW170),BT170:BW170,0)</f>
        <v>3</v>
      </c>
      <c r="BZ170" s="17" t="n">
        <f aca="false">SQRT(($B170-BZ$139)^2+($C170-BZ$140)^2+($D170-BZ$141)^2)</f>
        <v>2.8083231917499</v>
      </c>
      <c r="CA170" s="17" t="n">
        <f aca="false">SQRT(($B170-CA$139)^2+($C170-CA$140)^2+($D170-CA$141)^2)</f>
        <v>3.39690053553883</v>
      </c>
      <c r="CB170" s="17" t="n">
        <f aca="false">SQRT(($B170-CB$139)^2+($C170-CB$140)^2+($D170-CB$141)^2)</f>
        <v>0.787584282381486</v>
      </c>
      <c r="CC170" s="17" t="n">
        <f aca="false">SQRT(($B170-CC$139)^2+($C170-CC$140)^2+($D170-CC$141)^2)</f>
        <v>2.3618633118376</v>
      </c>
      <c r="CD170" s="63" t="n">
        <f aca="false">MATCH(MIN(BZ170:CC170),BZ170:CC170,0)</f>
        <v>3</v>
      </c>
      <c r="CF170" s="17" t="n">
        <f aca="false">SQRT(($B170-CF$139)^2+($C170-CF$140)^2+($D170-CF$141)^2)</f>
        <v>2.8083231917499</v>
      </c>
      <c r="CG170" s="17" t="n">
        <f aca="false">SQRT(($B170-CG$139)^2+($C170-CG$140)^2+($D170-CG$141)^2)</f>
        <v>3.39690053553883</v>
      </c>
      <c r="CH170" s="17" t="n">
        <f aca="false">SQRT(($B170-CH$139)^2+($C170-CH$140)^2+($D170-CH$141)^2)</f>
        <v>0.787584282381486</v>
      </c>
      <c r="CI170" s="17" t="n">
        <f aca="false">SQRT(($B170-CI$139)^2+($C170-CI$140)^2+($D170-CI$141)^2)</f>
        <v>2.3618633118376</v>
      </c>
      <c r="CJ170" s="63" t="n">
        <f aca="false">MATCH(MIN(CF170:CI170),CF170:CI170,0)</f>
        <v>3</v>
      </c>
      <c r="CL170" s="17" t="n">
        <f aca="false">SQRT(($B170-CL$139)^2+($C170-CL$140)^2+($D170-CL$141)^2)</f>
        <v>2.8083231917499</v>
      </c>
      <c r="CM170" s="17" t="n">
        <f aca="false">SQRT(($B170-CM$139)^2+($C170-CM$140)^2+($D170-CM$141)^2)</f>
        <v>3.39690053553883</v>
      </c>
      <c r="CN170" s="17" t="n">
        <f aca="false">SQRT(($B170-CN$139)^2+($C170-CN$140)^2+($D170-CN$141)^2)</f>
        <v>0.787584282381486</v>
      </c>
      <c r="CO170" s="17" t="n">
        <f aca="false">SQRT(($B170-CO$139)^2+($C170-CO$140)^2+($D170-CO$141)^2)</f>
        <v>2.3618633118376</v>
      </c>
      <c r="CP170" s="63" t="n">
        <f aca="false">MATCH(MIN(CL170:CO170),CL170:CO170,0)</f>
        <v>3</v>
      </c>
    </row>
    <row r="171" customFormat="false" ht="15" hidden="false" customHeight="false" outlineLevel="0" collapsed="false">
      <c r="A171" s="36" t="str">
        <f aca="false">KMeans_Data!A30</f>
        <v>Shikarpur</v>
      </c>
      <c r="B171" s="17" t="n">
        <f aca="false">KMeans_Data!H30</f>
        <v>0.708204570744665</v>
      </c>
      <c r="C171" s="17" t="n">
        <f aca="false">KMeans_Data!I30</f>
        <v>0.803084449535714</v>
      </c>
      <c r="D171" s="17" t="n">
        <f aca="false">KMeans_Data!J30</f>
        <v>1.27840404836418</v>
      </c>
      <c r="E171" s="63" t="n">
        <f aca="false">CP171</f>
        <v>3</v>
      </c>
      <c r="F171" s="38" t="n">
        <f aca="false">($B171-INDEX($L$139:$O$139,E171))^2+($C171-INDEX($L$140:$O$140,E171))^2+($D171-INDEX($L$141:$O$141,E171))^2</f>
        <v>0.208343742068704</v>
      </c>
      <c r="G171" s="17" t="n">
        <f aca="false">IF(COUNTIF(Distance_Matrix!$E$10:$DQ$10,$E171)&lt;=1,0,SUMIF(Distance_Matrix!$E$10:$DQ$10,$E171,Distance_Matrix!$E$39:$DQ$39)/(COUNTIF(Distance_Matrix!$E$10:$DQ$10,$E171)-1))</f>
        <v>0.867476100403664</v>
      </c>
      <c r="H171" s="17" t="n">
        <f aca="false">MIN(IF(1=$E171,1E+099,IF(COUNTIF(Distance_Matrix!$E$10:$DQ$10,1)=0,1E+099,SUMIF(Distance_Matrix!$E$10:$DQ$10,1,Distance_Matrix!$E$39:$DQ$39)/COUNTIF(Distance_Matrix!$E$10:$DQ$10,1))),IF(2=$E171,1E+099,IF(COUNTIF(Distance_Matrix!$E$10:$DQ$10,2)=0,1E+099,SUMIF(Distance_Matrix!$E$10:$DQ$10,2,Distance_Matrix!$E$39:$DQ$39)/COUNTIF(Distance_Matrix!$E$10:$DQ$10,2))),IF(3=$E171,1E+099,IF(COUNTIF(Distance_Matrix!$E$10:$DQ$10,3)=0,1E+099,SUMIF(Distance_Matrix!$E$10:$DQ$10,3,Distance_Matrix!$E$39:$DQ$39)/COUNTIF(Distance_Matrix!$E$10:$DQ$10,3))),IF(4=$E171,1E+099,IF(COUNTIF(Distance_Matrix!$E$10:$DQ$10,4)=0,1E+099,SUMIF(Distance_Matrix!$E$10:$DQ$10,4,Distance_Matrix!$E$39:$DQ$39)/COUNTIF(Distance_Matrix!$E$10:$DQ$10,4))))</f>
        <v>2.36021692159168</v>
      </c>
      <c r="I171" s="17" t="n">
        <f aca="false">IF(COUNTIF(Distance_Matrix!$E$10:$DQ$10,$E171)&lt;=1,0,(H171-G171)/MAX(G171,H171))</f>
        <v>0.632459164042153</v>
      </c>
      <c r="X171" s="17" t="n">
        <f aca="false">SQRT(($B171-X$139)^2+($C171-X$140)^2+($D171-X$141)^2)</f>
        <v>4.57744212550846</v>
      </c>
      <c r="Y171" s="17" t="n">
        <f aca="false">SQRT(($B171-Y$139)^2+($C171-Y$140)^2+($D171-Y$141)^2)</f>
        <v>3.97824420521485</v>
      </c>
      <c r="Z171" s="17" t="n">
        <f aca="false">SQRT(($B171-Z$139)^2+($C171-Z$140)^2+($D171-Z$141)^2)</f>
        <v>0.570357611491903</v>
      </c>
      <c r="AA171" s="17" t="n">
        <f aca="false">SQRT(($B171-AA$139)^2+($C171-AA$140)^2+($D171-AA$141)^2)</f>
        <v>2.60433256477183</v>
      </c>
      <c r="AB171" s="63" t="n">
        <f aca="false">MATCH(MIN(X171:AA171),X171:AA171,0)</f>
        <v>3</v>
      </c>
      <c r="AD171" s="17" t="n">
        <f aca="false">SQRT(($B171-AD$139)^2+($C171-AD$140)^2+($D171-AD$141)^2)</f>
        <v>3.63507232449039</v>
      </c>
      <c r="AE171" s="17" t="n">
        <f aca="false">SQRT(($B171-AE$139)^2+($C171-AE$140)^2+($D171-AE$141)^2)</f>
        <v>3.28972629676642</v>
      </c>
      <c r="AF171" s="17" t="n">
        <f aca="false">SQRT(($B171-AF$139)^2+($C171-AF$140)^2+($D171-AF$141)^2)</f>
        <v>0.469350740304519</v>
      </c>
      <c r="AG171" s="17" t="n">
        <f aca="false">SQRT(($B171-AG$139)^2+($C171-AG$140)^2+($D171-AG$141)^2)</f>
        <v>2.34010158090018</v>
      </c>
      <c r="AH171" s="63" t="n">
        <f aca="false">MATCH(MIN(AD171:AG171),AD171:AG171,0)</f>
        <v>3</v>
      </c>
      <c r="AJ171" s="17" t="n">
        <f aca="false">SQRT(($B171-AJ$139)^2+($C171-AJ$140)^2+($D171-AJ$141)^2)</f>
        <v>3.29438693105566</v>
      </c>
      <c r="AK171" s="17" t="n">
        <f aca="false">SQRT(($B171-AK$139)^2+($C171-AK$140)^2+($D171-AK$141)^2)</f>
        <v>3.31872353664427</v>
      </c>
      <c r="AL171" s="17" t="n">
        <f aca="false">SQRT(($B171-AL$139)^2+($C171-AL$140)^2+($D171-AL$141)^2)</f>
        <v>0.423343473429245</v>
      </c>
      <c r="AM171" s="17" t="n">
        <f aca="false">SQRT(($B171-AM$139)^2+($C171-AM$140)^2+($D171-AM$141)^2)</f>
        <v>2.25297794920527</v>
      </c>
      <c r="AN171" s="63" t="n">
        <f aca="false">MATCH(MIN(AJ171:AM171),AJ171:AM171,0)</f>
        <v>3</v>
      </c>
      <c r="AP171" s="17" t="n">
        <f aca="false">SQRT(($B171-AP$139)^2+($C171-AP$140)^2+($D171-AP$141)^2)</f>
        <v>3.00830846652672</v>
      </c>
      <c r="AQ171" s="17" t="n">
        <f aca="false">SQRT(($B171-AQ$139)^2+($C171-AQ$140)^2+($D171-AQ$141)^2)</f>
        <v>3.40505109021689</v>
      </c>
      <c r="AR171" s="17" t="n">
        <f aca="false">SQRT(($B171-AR$139)^2+($C171-AR$140)^2+($D171-AR$141)^2)</f>
        <v>0.456446866643538</v>
      </c>
      <c r="AS171" s="17" t="n">
        <f aca="false">SQRT(($B171-AS$139)^2+($C171-AS$140)^2+($D171-AS$141)^2)</f>
        <v>2.27014231129486</v>
      </c>
      <c r="AT171" s="63" t="n">
        <f aca="false">MATCH(MIN(AP171:AS171),AP171:AS171,0)</f>
        <v>3</v>
      </c>
      <c r="AV171" s="17" t="n">
        <f aca="false">SQRT(($B171-AV$139)^2+($C171-AV$140)^2+($D171-AV$141)^2)</f>
        <v>3.00830846652672</v>
      </c>
      <c r="AW171" s="17" t="n">
        <f aca="false">SQRT(($B171-AW$139)^2+($C171-AW$140)^2+($D171-AW$141)^2)</f>
        <v>3.40505109021689</v>
      </c>
      <c r="AX171" s="17" t="n">
        <f aca="false">SQRT(($B171-AX$139)^2+($C171-AX$140)^2+($D171-AX$141)^2)</f>
        <v>0.456446866643538</v>
      </c>
      <c r="AY171" s="17" t="n">
        <f aca="false">SQRT(($B171-AY$139)^2+($C171-AY$140)^2+($D171-AY$141)^2)</f>
        <v>2.27014231129486</v>
      </c>
      <c r="AZ171" s="63" t="n">
        <f aca="false">MATCH(MIN(AV171:AY171),AV171:AY171,0)</f>
        <v>3</v>
      </c>
      <c r="BB171" s="17" t="n">
        <f aca="false">SQRT(($B171-BB$139)^2+($C171-BB$140)^2+($D171-BB$141)^2)</f>
        <v>3.00830846652672</v>
      </c>
      <c r="BC171" s="17" t="n">
        <f aca="false">SQRT(($B171-BC$139)^2+($C171-BC$140)^2+($D171-BC$141)^2)</f>
        <v>3.40505109021689</v>
      </c>
      <c r="BD171" s="17" t="n">
        <f aca="false">SQRT(($B171-BD$139)^2+($C171-BD$140)^2+($D171-BD$141)^2)</f>
        <v>0.456446866643538</v>
      </c>
      <c r="BE171" s="17" t="n">
        <f aca="false">SQRT(($B171-BE$139)^2+($C171-BE$140)^2+($D171-BE$141)^2)</f>
        <v>2.27014231129486</v>
      </c>
      <c r="BF171" s="63" t="n">
        <f aca="false">MATCH(MIN(BB171:BE171),BB171:BE171,0)</f>
        <v>3</v>
      </c>
      <c r="BH171" s="17" t="n">
        <f aca="false">SQRT(($B171-BH$139)^2+($C171-BH$140)^2+($D171-BH$141)^2)</f>
        <v>3.00830846652672</v>
      </c>
      <c r="BI171" s="17" t="n">
        <f aca="false">SQRT(($B171-BI$139)^2+($C171-BI$140)^2+($D171-BI$141)^2)</f>
        <v>3.40505109021689</v>
      </c>
      <c r="BJ171" s="17" t="n">
        <f aca="false">SQRT(($B171-BJ$139)^2+($C171-BJ$140)^2+($D171-BJ$141)^2)</f>
        <v>0.456446866643538</v>
      </c>
      <c r="BK171" s="17" t="n">
        <f aca="false">SQRT(($B171-BK$139)^2+($C171-BK$140)^2+($D171-BK$141)^2)</f>
        <v>2.27014231129486</v>
      </c>
      <c r="BL171" s="63" t="n">
        <f aca="false">MATCH(MIN(BH171:BK171),BH171:BK171,0)</f>
        <v>3</v>
      </c>
      <c r="BN171" s="17" t="n">
        <f aca="false">SQRT(($B171-BN$139)^2+($C171-BN$140)^2+($D171-BN$141)^2)</f>
        <v>3.00830846652672</v>
      </c>
      <c r="BO171" s="17" t="n">
        <f aca="false">SQRT(($B171-BO$139)^2+($C171-BO$140)^2+($D171-BO$141)^2)</f>
        <v>3.40505109021689</v>
      </c>
      <c r="BP171" s="17" t="n">
        <f aca="false">SQRT(($B171-BP$139)^2+($C171-BP$140)^2+($D171-BP$141)^2)</f>
        <v>0.456446866643538</v>
      </c>
      <c r="BQ171" s="17" t="n">
        <f aca="false">SQRT(($B171-BQ$139)^2+($C171-BQ$140)^2+($D171-BQ$141)^2)</f>
        <v>2.27014231129486</v>
      </c>
      <c r="BR171" s="63" t="n">
        <f aca="false">MATCH(MIN(BN171:BQ171),BN171:BQ171,0)</f>
        <v>3</v>
      </c>
      <c r="BT171" s="17" t="n">
        <f aca="false">SQRT(($B171-BT$139)^2+($C171-BT$140)^2+($D171-BT$141)^2)</f>
        <v>3.00830846652672</v>
      </c>
      <c r="BU171" s="17" t="n">
        <f aca="false">SQRT(($B171-BU$139)^2+($C171-BU$140)^2+($D171-BU$141)^2)</f>
        <v>3.40505109021689</v>
      </c>
      <c r="BV171" s="17" t="n">
        <f aca="false">SQRT(($B171-BV$139)^2+($C171-BV$140)^2+($D171-BV$141)^2)</f>
        <v>0.456446866643538</v>
      </c>
      <c r="BW171" s="17" t="n">
        <f aca="false">SQRT(($B171-BW$139)^2+($C171-BW$140)^2+($D171-BW$141)^2)</f>
        <v>2.27014231129486</v>
      </c>
      <c r="BX171" s="63" t="n">
        <f aca="false">MATCH(MIN(BT171:BW171),BT171:BW171,0)</f>
        <v>3</v>
      </c>
      <c r="BZ171" s="17" t="n">
        <f aca="false">SQRT(($B171-BZ$139)^2+($C171-BZ$140)^2+($D171-BZ$141)^2)</f>
        <v>3.00830846652672</v>
      </c>
      <c r="CA171" s="17" t="n">
        <f aca="false">SQRT(($B171-CA$139)^2+($C171-CA$140)^2+($D171-CA$141)^2)</f>
        <v>3.40505109021689</v>
      </c>
      <c r="CB171" s="17" t="n">
        <f aca="false">SQRT(($B171-CB$139)^2+($C171-CB$140)^2+($D171-CB$141)^2)</f>
        <v>0.456446866643538</v>
      </c>
      <c r="CC171" s="17" t="n">
        <f aca="false">SQRT(($B171-CC$139)^2+($C171-CC$140)^2+($D171-CC$141)^2)</f>
        <v>2.27014231129486</v>
      </c>
      <c r="CD171" s="63" t="n">
        <f aca="false">MATCH(MIN(BZ171:CC171),BZ171:CC171,0)</f>
        <v>3</v>
      </c>
      <c r="CF171" s="17" t="n">
        <f aca="false">SQRT(($B171-CF$139)^2+($C171-CF$140)^2+($D171-CF$141)^2)</f>
        <v>3.00830846652672</v>
      </c>
      <c r="CG171" s="17" t="n">
        <f aca="false">SQRT(($B171-CG$139)^2+($C171-CG$140)^2+($D171-CG$141)^2)</f>
        <v>3.40505109021689</v>
      </c>
      <c r="CH171" s="17" t="n">
        <f aca="false">SQRT(($B171-CH$139)^2+($C171-CH$140)^2+($D171-CH$141)^2)</f>
        <v>0.456446866643538</v>
      </c>
      <c r="CI171" s="17" t="n">
        <f aca="false">SQRT(($B171-CI$139)^2+($C171-CI$140)^2+($D171-CI$141)^2)</f>
        <v>2.27014231129486</v>
      </c>
      <c r="CJ171" s="63" t="n">
        <f aca="false">MATCH(MIN(CF171:CI171),CF171:CI171,0)</f>
        <v>3</v>
      </c>
      <c r="CL171" s="17" t="n">
        <f aca="false">SQRT(($B171-CL$139)^2+($C171-CL$140)^2+($D171-CL$141)^2)</f>
        <v>3.00830846652672</v>
      </c>
      <c r="CM171" s="17" t="n">
        <f aca="false">SQRT(($B171-CM$139)^2+($C171-CM$140)^2+($D171-CM$141)^2)</f>
        <v>3.40505109021689</v>
      </c>
      <c r="CN171" s="17" t="n">
        <f aca="false">SQRT(($B171-CN$139)^2+($C171-CN$140)^2+($D171-CN$141)^2)</f>
        <v>0.456446866643538</v>
      </c>
      <c r="CO171" s="17" t="n">
        <f aca="false">SQRT(($B171-CO$139)^2+($C171-CO$140)^2+($D171-CO$141)^2)</f>
        <v>2.27014231129486</v>
      </c>
      <c r="CP171" s="63" t="n">
        <f aca="false">MATCH(MIN(CL171:CO171),CL171:CO171,0)</f>
        <v>3</v>
      </c>
    </row>
    <row r="172" customFormat="false" ht="15" hidden="false" customHeight="false" outlineLevel="0" collapsed="false">
      <c r="A172" s="36" t="str">
        <f aca="false">KMeans_Data!A31</f>
        <v>Rawalpindi</v>
      </c>
      <c r="B172" s="17" t="n">
        <f aca="false">KMeans_Data!H31</f>
        <v>0.645673058648075</v>
      </c>
      <c r="C172" s="17" t="n">
        <f aca="false">KMeans_Data!I31</f>
        <v>-0.146983133929529</v>
      </c>
      <c r="D172" s="17" t="n">
        <f aca="false">KMeans_Data!J31</f>
        <v>-1.14564411633355</v>
      </c>
      <c r="E172" s="63" t="n">
        <f aca="false">CP172</f>
        <v>4</v>
      </c>
      <c r="F172" s="38" t="n">
        <f aca="false">($B172-INDEX($L$139:$O$139,E172))^2+($C172-INDEX($L$140:$O$140,E172))^2+($D172-INDEX($L$141:$O$141,E172))^2</f>
        <v>1.32379648527862</v>
      </c>
      <c r="G172" s="17" t="n">
        <f aca="false">IF(COUNTIF(Distance_Matrix!$E$10:$DQ$10,$E172)&lt;=1,0,SUMIF(Distance_Matrix!$E$10:$DQ$10,$E172,Distance_Matrix!$E$40:$DQ$40)/(COUNTIF(Distance_Matrix!$E$10:$DQ$10,$E172)-1))</f>
        <v>1.33936948129784</v>
      </c>
      <c r="H172" s="17" t="n">
        <f aca="false">MIN(IF(1=$E172,1E+099,IF(COUNTIF(Distance_Matrix!$E$10:$DQ$10,1)=0,1E+099,SUMIF(Distance_Matrix!$E$10:$DQ$10,1,Distance_Matrix!$E$40:$DQ$40)/COUNTIF(Distance_Matrix!$E$10:$DQ$10,1))),IF(2=$E172,1E+099,IF(COUNTIF(Distance_Matrix!$E$10:$DQ$10,2)=0,1E+099,SUMIF(Distance_Matrix!$E$10:$DQ$10,2,Distance_Matrix!$E$40:$DQ$40)/COUNTIF(Distance_Matrix!$E$10:$DQ$10,2))),IF(3=$E172,1E+099,IF(COUNTIF(Distance_Matrix!$E$10:$DQ$10,3)=0,1E+099,SUMIF(Distance_Matrix!$E$10:$DQ$10,3,Distance_Matrix!$E$40:$DQ$40)/COUNTIF(Distance_Matrix!$E$10:$DQ$10,3))),IF(4=$E172,1E+099,IF(COUNTIF(Distance_Matrix!$E$10:$DQ$10,4)=0,1E+099,SUMIF(Distance_Matrix!$E$10:$DQ$10,4,Distance_Matrix!$E$40:$DQ$40)/COUNTIF(Distance_Matrix!$E$10:$DQ$10,4))))</f>
        <v>2.00391573949704</v>
      </c>
      <c r="I172" s="17" t="n">
        <f aca="false">IF(COUNTIF(Distance_Matrix!$E$10:$DQ$10,$E172)&lt;=1,0,(H172-G172)/MAX(G172,H172))</f>
        <v>0.331623852790332</v>
      </c>
      <c r="X172" s="17" t="n">
        <f aca="false">SQRT(($B172-X$139)^2+($C172-X$140)^2+($D172-X$141)^2)</f>
        <v>6.61637996962902</v>
      </c>
      <c r="Y172" s="17" t="n">
        <f aca="false">SQRT(($B172-Y$139)^2+($C172-Y$140)^2+($D172-Y$141)^2)</f>
        <v>2.77564255027266</v>
      </c>
      <c r="Z172" s="17" t="n">
        <f aca="false">SQRT(($B172-Z$139)^2+($C172-Z$140)^2+($D172-Z$141)^2)</f>
        <v>2.6969311940684</v>
      </c>
      <c r="AA172" s="17" t="n">
        <f aca="false">SQRT(($B172-AA$139)^2+($C172-AA$140)^2+($D172-AA$141)^2)</f>
        <v>0</v>
      </c>
      <c r="AB172" s="63" t="n">
        <f aca="false">MATCH(MIN(X172:AA172),X172:AA172,0)</f>
        <v>4</v>
      </c>
      <c r="AD172" s="17" t="n">
        <f aca="false">SQRT(($B172-AD$139)^2+($C172-AD$140)^2+($D172-AD$141)^2)</f>
        <v>5.59145301899737</v>
      </c>
      <c r="AE172" s="17" t="n">
        <f aca="false">SQRT(($B172-AE$139)^2+($C172-AE$140)^2+($D172-AE$141)^2)</f>
        <v>1.96489088637609</v>
      </c>
      <c r="AF172" s="17" t="n">
        <f aca="false">SQRT(($B172-AF$139)^2+($C172-AF$140)^2+($D172-AF$141)^2)</f>
        <v>2.15111807270657</v>
      </c>
      <c r="AG172" s="17" t="n">
        <f aca="false">SQRT(($B172-AG$139)^2+($C172-AG$140)^2+($D172-AG$141)^2)</f>
        <v>1.00858760506732</v>
      </c>
      <c r="AH172" s="63" t="n">
        <f aca="false">MATCH(MIN(AD172:AG172),AD172:AG172,0)</f>
        <v>4</v>
      </c>
      <c r="AJ172" s="17" t="n">
        <f aca="false">SQRT(($B172-AJ$139)^2+($C172-AJ$140)^2+($D172-AJ$141)^2)</f>
        <v>5.25088899831096</v>
      </c>
      <c r="AK172" s="17" t="n">
        <f aca="false">SQRT(($B172-AK$139)^2+($C172-AK$140)^2+($D172-AK$141)^2)</f>
        <v>1.95172747221741</v>
      </c>
      <c r="AL172" s="17" t="n">
        <f aca="false">SQRT(($B172-AL$139)^2+($C172-AL$140)^2+($D172-AL$141)^2)</f>
        <v>2.1839040932625</v>
      </c>
      <c r="AM172" s="17" t="n">
        <f aca="false">SQRT(($B172-AM$139)^2+($C172-AM$140)^2+($D172-AM$141)^2)</f>
        <v>1.11034597540663</v>
      </c>
      <c r="AN172" s="63" t="n">
        <f aca="false">MATCH(MIN(AJ172:AM172),AJ172:AM172,0)</f>
        <v>4</v>
      </c>
      <c r="AP172" s="17" t="n">
        <f aca="false">SQRT(($B172-AP$139)^2+($C172-AP$140)^2+($D172-AP$141)^2)</f>
        <v>4.97137984499415</v>
      </c>
      <c r="AQ172" s="17" t="n">
        <f aca="false">SQRT(($B172-AQ$139)^2+($C172-AQ$140)^2+($D172-AQ$141)^2)</f>
        <v>1.99003463306123</v>
      </c>
      <c r="AR172" s="17" t="n">
        <f aca="false">SQRT(($B172-AR$139)^2+($C172-AR$140)^2+($D172-AR$141)^2)</f>
        <v>2.15446138663206</v>
      </c>
      <c r="AS172" s="17" t="n">
        <f aca="false">SQRT(($B172-AS$139)^2+($C172-AS$140)^2+($D172-AS$141)^2)</f>
        <v>1.150563551169</v>
      </c>
      <c r="AT172" s="63" t="n">
        <f aca="false">MATCH(MIN(AP172:AS172),AP172:AS172,0)</f>
        <v>4</v>
      </c>
      <c r="AV172" s="17" t="n">
        <f aca="false">SQRT(($B172-AV$139)^2+($C172-AV$140)^2+($D172-AV$141)^2)</f>
        <v>4.97137984499415</v>
      </c>
      <c r="AW172" s="17" t="n">
        <f aca="false">SQRT(($B172-AW$139)^2+($C172-AW$140)^2+($D172-AW$141)^2)</f>
        <v>1.99003463306123</v>
      </c>
      <c r="AX172" s="17" t="n">
        <f aca="false">SQRT(($B172-AX$139)^2+($C172-AX$140)^2+($D172-AX$141)^2)</f>
        <v>2.15446138663206</v>
      </c>
      <c r="AY172" s="17" t="n">
        <f aca="false">SQRT(($B172-AY$139)^2+($C172-AY$140)^2+($D172-AY$141)^2)</f>
        <v>1.150563551169</v>
      </c>
      <c r="AZ172" s="63" t="n">
        <f aca="false">MATCH(MIN(AV172:AY172),AV172:AY172,0)</f>
        <v>4</v>
      </c>
      <c r="BB172" s="17" t="n">
        <f aca="false">SQRT(($B172-BB$139)^2+($C172-BB$140)^2+($D172-BB$141)^2)</f>
        <v>4.97137984499415</v>
      </c>
      <c r="BC172" s="17" t="n">
        <f aca="false">SQRT(($B172-BC$139)^2+($C172-BC$140)^2+($D172-BC$141)^2)</f>
        <v>1.99003463306123</v>
      </c>
      <c r="BD172" s="17" t="n">
        <f aca="false">SQRT(($B172-BD$139)^2+($C172-BD$140)^2+($D172-BD$141)^2)</f>
        <v>2.15446138663206</v>
      </c>
      <c r="BE172" s="17" t="n">
        <f aca="false">SQRT(($B172-BE$139)^2+($C172-BE$140)^2+($D172-BE$141)^2)</f>
        <v>1.150563551169</v>
      </c>
      <c r="BF172" s="63" t="n">
        <f aca="false">MATCH(MIN(BB172:BE172),BB172:BE172,0)</f>
        <v>4</v>
      </c>
      <c r="BH172" s="17" t="n">
        <f aca="false">SQRT(($B172-BH$139)^2+($C172-BH$140)^2+($D172-BH$141)^2)</f>
        <v>4.97137984499415</v>
      </c>
      <c r="BI172" s="17" t="n">
        <f aca="false">SQRT(($B172-BI$139)^2+($C172-BI$140)^2+($D172-BI$141)^2)</f>
        <v>1.99003463306123</v>
      </c>
      <c r="BJ172" s="17" t="n">
        <f aca="false">SQRT(($B172-BJ$139)^2+($C172-BJ$140)^2+($D172-BJ$141)^2)</f>
        <v>2.15446138663206</v>
      </c>
      <c r="BK172" s="17" t="n">
        <f aca="false">SQRT(($B172-BK$139)^2+($C172-BK$140)^2+($D172-BK$141)^2)</f>
        <v>1.150563551169</v>
      </c>
      <c r="BL172" s="63" t="n">
        <f aca="false">MATCH(MIN(BH172:BK172),BH172:BK172,0)</f>
        <v>4</v>
      </c>
      <c r="BN172" s="17" t="n">
        <f aca="false">SQRT(($B172-BN$139)^2+($C172-BN$140)^2+($D172-BN$141)^2)</f>
        <v>4.97137984499415</v>
      </c>
      <c r="BO172" s="17" t="n">
        <f aca="false">SQRT(($B172-BO$139)^2+($C172-BO$140)^2+($D172-BO$141)^2)</f>
        <v>1.99003463306123</v>
      </c>
      <c r="BP172" s="17" t="n">
        <f aca="false">SQRT(($B172-BP$139)^2+($C172-BP$140)^2+($D172-BP$141)^2)</f>
        <v>2.15446138663206</v>
      </c>
      <c r="BQ172" s="17" t="n">
        <f aca="false">SQRT(($B172-BQ$139)^2+($C172-BQ$140)^2+($D172-BQ$141)^2)</f>
        <v>1.150563551169</v>
      </c>
      <c r="BR172" s="63" t="n">
        <f aca="false">MATCH(MIN(BN172:BQ172),BN172:BQ172,0)</f>
        <v>4</v>
      </c>
      <c r="BT172" s="17" t="n">
        <f aca="false">SQRT(($B172-BT$139)^2+($C172-BT$140)^2+($D172-BT$141)^2)</f>
        <v>4.97137984499415</v>
      </c>
      <c r="BU172" s="17" t="n">
        <f aca="false">SQRT(($B172-BU$139)^2+($C172-BU$140)^2+($D172-BU$141)^2)</f>
        <v>1.99003463306123</v>
      </c>
      <c r="BV172" s="17" t="n">
        <f aca="false">SQRT(($B172-BV$139)^2+($C172-BV$140)^2+($D172-BV$141)^2)</f>
        <v>2.15446138663206</v>
      </c>
      <c r="BW172" s="17" t="n">
        <f aca="false">SQRT(($B172-BW$139)^2+($C172-BW$140)^2+($D172-BW$141)^2)</f>
        <v>1.150563551169</v>
      </c>
      <c r="BX172" s="63" t="n">
        <f aca="false">MATCH(MIN(BT172:BW172),BT172:BW172,0)</f>
        <v>4</v>
      </c>
      <c r="BZ172" s="17" t="n">
        <f aca="false">SQRT(($B172-BZ$139)^2+($C172-BZ$140)^2+($D172-BZ$141)^2)</f>
        <v>4.97137984499415</v>
      </c>
      <c r="CA172" s="17" t="n">
        <f aca="false">SQRT(($B172-CA$139)^2+($C172-CA$140)^2+($D172-CA$141)^2)</f>
        <v>1.99003463306123</v>
      </c>
      <c r="CB172" s="17" t="n">
        <f aca="false">SQRT(($B172-CB$139)^2+($C172-CB$140)^2+($D172-CB$141)^2)</f>
        <v>2.15446138663206</v>
      </c>
      <c r="CC172" s="17" t="n">
        <f aca="false">SQRT(($B172-CC$139)^2+($C172-CC$140)^2+($D172-CC$141)^2)</f>
        <v>1.150563551169</v>
      </c>
      <c r="CD172" s="63" t="n">
        <f aca="false">MATCH(MIN(BZ172:CC172),BZ172:CC172,0)</f>
        <v>4</v>
      </c>
      <c r="CF172" s="17" t="n">
        <f aca="false">SQRT(($B172-CF$139)^2+($C172-CF$140)^2+($D172-CF$141)^2)</f>
        <v>4.97137984499415</v>
      </c>
      <c r="CG172" s="17" t="n">
        <f aca="false">SQRT(($B172-CG$139)^2+($C172-CG$140)^2+($D172-CG$141)^2)</f>
        <v>1.99003463306123</v>
      </c>
      <c r="CH172" s="17" t="n">
        <f aca="false">SQRT(($B172-CH$139)^2+($C172-CH$140)^2+($D172-CH$141)^2)</f>
        <v>2.15446138663206</v>
      </c>
      <c r="CI172" s="17" t="n">
        <f aca="false">SQRT(($B172-CI$139)^2+($C172-CI$140)^2+($D172-CI$141)^2)</f>
        <v>1.150563551169</v>
      </c>
      <c r="CJ172" s="63" t="n">
        <f aca="false">MATCH(MIN(CF172:CI172),CF172:CI172,0)</f>
        <v>4</v>
      </c>
      <c r="CL172" s="17" t="n">
        <f aca="false">SQRT(($B172-CL$139)^2+($C172-CL$140)^2+($D172-CL$141)^2)</f>
        <v>4.97137984499415</v>
      </c>
      <c r="CM172" s="17" t="n">
        <f aca="false">SQRT(($B172-CM$139)^2+($C172-CM$140)^2+($D172-CM$141)^2)</f>
        <v>1.99003463306123</v>
      </c>
      <c r="CN172" s="17" t="n">
        <f aca="false">SQRT(($B172-CN$139)^2+($C172-CN$140)^2+($D172-CN$141)^2)</f>
        <v>2.15446138663206</v>
      </c>
      <c r="CO172" s="17" t="n">
        <f aca="false">SQRT(($B172-CO$139)^2+($C172-CO$140)^2+($D172-CO$141)^2)</f>
        <v>1.150563551169</v>
      </c>
      <c r="CP172" s="63" t="n">
        <f aca="false">MATCH(MIN(CL172:CO172),CL172:CO172,0)</f>
        <v>4</v>
      </c>
    </row>
    <row r="173" customFormat="false" ht="15" hidden="false" customHeight="false" outlineLevel="0" collapsed="false">
      <c r="A173" s="36" t="str">
        <f aca="false">KMeans_Data!A32</f>
        <v>Buner</v>
      </c>
      <c r="B173" s="17" t="n">
        <f aca="false">KMeans_Data!H32</f>
        <v>0.602395784980437</v>
      </c>
      <c r="C173" s="17" t="n">
        <f aca="false">KMeans_Data!I32</f>
        <v>0.686180001083741</v>
      </c>
      <c r="D173" s="17" t="n">
        <f aca="false">KMeans_Data!J32</f>
        <v>0.8732151368336</v>
      </c>
      <c r="E173" s="63" t="n">
        <f aca="false">CP173</f>
        <v>3</v>
      </c>
      <c r="F173" s="38" t="n">
        <f aca="false">($B173-INDEX($L$139:$O$139,E173))^2+($C173-INDEX($L$140:$O$140,E173))^2+($D173-INDEX($L$141:$O$141,E173))^2</f>
        <v>0.00560279459577942</v>
      </c>
      <c r="G173" s="17" t="n">
        <f aca="false">IF(COUNTIF(Distance_Matrix!$E$10:$DQ$10,$E173)&lt;=1,0,SUMIF(Distance_Matrix!$E$10:$DQ$10,$E173,Distance_Matrix!$E$41:$DQ$41)/(COUNTIF(Distance_Matrix!$E$10:$DQ$10,$E173)-1))</f>
        <v>0.761216164988357</v>
      </c>
      <c r="H173" s="17" t="n">
        <f aca="false">MIN(IF(1=$E173,1E+099,IF(COUNTIF(Distance_Matrix!$E$10:$DQ$10,1)=0,1E+099,SUMIF(Distance_Matrix!$E$10:$DQ$10,1,Distance_Matrix!$E$41:$DQ$41)/COUNTIF(Distance_Matrix!$E$10:$DQ$10,1))),IF(2=$E173,1E+099,IF(COUNTIF(Distance_Matrix!$E$10:$DQ$10,2)=0,1E+099,SUMIF(Distance_Matrix!$E$10:$DQ$10,2,Distance_Matrix!$E$41:$DQ$41)/COUNTIF(Distance_Matrix!$E$10:$DQ$10,2))),IF(3=$E173,1E+099,IF(COUNTIF(Distance_Matrix!$E$10:$DQ$10,3)=0,1E+099,SUMIF(Distance_Matrix!$E$10:$DQ$10,3,Distance_Matrix!$E$41:$DQ$41)/COUNTIF(Distance_Matrix!$E$10:$DQ$10,3))),IF(4=$E173,1E+099,IF(COUNTIF(Distance_Matrix!$E$10:$DQ$10,4)=0,1E+099,SUMIF(Distance_Matrix!$E$10:$DQ$10,4,Distance_Matrix!$E$41:$DQ$41)/COUNTIF(Distance_Matrix!$E$10:$DQ$10,4))))</f>
        <v>1.98896062899302</v>
      </c>
      <c r="I173" s="17" t="n">
        <f aca="false">IF(COUNTIF(Distance_Matrix!$E$10:$DQ$10,$E173)&lt;=1,0,(H173-G173)/MAX(G173,H173))</f>
        <v>0.617279420269999</v>
      </c>
      <c r="X173" s="17" t="n">
        <f aca="false">SQRT(($B173-X$139)^2+($C173-X$140)^2+($D173-X$141)^2)</f>
        <v>4.90321696714872</v>
      </c>
      <c r="Y173" s="17" t="n">
        <f aca="false">SQRT(($B173-Y$139)^2+($C173-Y$140)^2+($D173-Y$141)^2)</f>
        <v>3.62160940481517</v>
      </c>
      <c r="Z173" s="17" t="n">
        <f aca="false">SQRT(($B173-Z$139)^2+($C173-Z$140)^2+($D173-Z$141)^2)</f>
        <v>0.800226637856308</v>
      </c>
      <c r="AA173" s="17" t="n">
        <f aca="false">SQRT(($B173-AA$139)^2+($C173-AA$140)^2+($D173-AA$141)^2)</f>
        <v>2.18445105600008</v>
      </c>
      <c r="AB173" s="63" t="n">
        <f aca="false">MATCH(MIN(X173:AA173),X173:AA173,0)</f>
        <v>3</v>
      </c>
      <c r="AD173" s="17" t="n">
        <f aca="false">SQRT(($B173-AD$139)^2+($C173-AD$140)^2+($D173-AD$141)^2)</f>
        <v>3.93188936377797</v>
      </c>
      <c r="AE173" s="17" t="n">
        <f aca="false">SQRT(($B173-AE$139)^2+($C173-AE$140)^2+($D173-AE$141)^2)</f>
        <v>2.90935222326547</v>
      </c>
      <c r="AF173" s="17" t="n">
        <f aca="false">SQRT(($B173-AF$139)^2+($C173-AF$140)^2+($D173-AF$141)^2)</f>
        <v>0.109729071536406</v>
      </c>
      <c r="AG173" s="17" t="n">
        <f aca="false">SQRT(($B173-AG$139)^2+($C173-AG$140)^2+($D173-AG$141)^2)</f>
        <v>1.9358297483835</v>
      </c>
      <c r="AH173" s="63" t="n">
        <f aca="false">MATCH(MIN(AD173:AG173),AD173:AG173,0)</f>
        <v>3</v>
      </c>
      <c r="AJ173" s="17" t="n">
        <f aca="false">SQRT(($B173-AJ$139)^2+($C173-AJ$140)^2+($D173-AJ$141)^2)</f>
        <v>3.58835949843139</v>
      </c>
      <c r="AK173" s="17" t="n">
        <f aca="false">SQRT(($B173-AK$139)^2+($C173-AK$140)^2+($D173-AK$141)^2)</f>
        <v>2.93546834174824</v>
      </c>
      <c r="AL173" s="17" t="n">
        <f aca="false">SQRT(($B173-AL$139)^2+($C173-AL$140)^2+($D173-AL$141)^2)</f>
        <v>0.0588899609844245</v>
      </c>
      <c r="AM173" s="17" t="n">
        <f aca="false">SQRT(($B173-AM$139)^2+($C173-AM$140)^2+($D173-AM$141)^2)</f>
        <v>1.85666653300221</v>
      </c>
      <c r="AN173" s="63" t="n">
        <f aca="false">MATCH(MIN(AJ173:AM173),AJ173:AM173,0)</f>
        <v>3</v>
      </c>
      <c r="AP173" s="17" t="n">
        <f aca="false">SQRT(($B173-AP$139)^2+($C173-AP$140)^2+($D173-AP$141)^2)</f>
        <v>3.29745012107546</v>
      </c>
      <c r="AQ173" s="17" t="n">
        <f aca="false">SQRT(($B173-AQ$139)^2+($C173-AQ$140)^2+($D173-AQ$141)^2)</f>
        <v>3.01939274456177</v>
      </c>
      <c r="AR173" s="17" t="n">
        <f aca="false">SQRT(($B173-AR$139)^2+($C173-AR$140)^2+($D173-AR$141)^2)</f>
        <v>0.0748518175850087</v>
      </c>
      <c r="AS173" s="17" t="n">
        <f aca="false">SQRT(($B173-AS$139)^2+($C173-AS$140)^2+($D173-AS$141)^2)</f>
        <v>1.87589418778184</v>
      </c>
      <c r="AT173" s="63" t="n">
        <f aca="false">MATCH(MIN(AP173:AS173),AP173:AS173,0)</f>
        <v>3</v>
      </c>
      <c r="AV173" s="17" t="n">
        <f aca="false">SQRT(($B173-AV$139)^2+($C173-AV$140)^2+($D173-AV$141)^2)</f>
        <v>3.29745012107546</v>
      </c>
      <c r="AW173" s="17" t="n">
        <f aca="false">SQRT(($B173-AW$139)^2+($C173-AW$140)^2+($D173-AW$141)^2)</f>
        <v>3.01939274456177</v>
      </c>
      <c r="AX173" s="17" t="n">
        <f aca="false">SQRT(($B173-AX$139)^2+($C173-AX$140)^2+($D173-AX$141)^2)</f>
        <v>0.0748518175850087</v>
      </c>
      <c r="AY173" s="17" t="n">
        <f aca="false">SQRT(($B173-AY$139)^2+($C173-AY$140)^2+($D173-AY$141)^2)</f>
        <v>1.87589418778184</v>
      </c>
      <c r="AZ173" s="63" t="n">
        <f aca="false">MATCH(MIN(AV173:AY173),AV173:AY173,0)</f>
        <v>3</v>
      </c>
      <c r="BB173" s="17" t="n">
        <f aca="false">SQRT(($B173-BB$139)^2+($C173-BB$140)^2+($D173-BB$141)^2)</f>
        <v>3.29745012107546</v>
      </c>
      <c r="BC173" s="17" t="n">
        <f aca="false">SQRT(($B173-BC$139)^2+($C173-BC$140)^2+($D173-BC$141)^2)</f>
        <v>3.01939274456177</v>
      </c>
      <c r="BD173" s="17" t="n">
        <f aca="false">SQRT(($B173-BD$139)^2+($C173-BD$140)^2+($D173-BD$141)^2)</f>
        <v>0.0748518175850087</v>
      </c>
      <c r="BE173" s="17" t="n">
        <f aca="false">SQRT(($B173-BE$139)^2+($C173-BE$140)^2+($D173-BE$141)^2)</f>
        <v>1.87589418778184</v>
      </c>
      <c r="BF173" s="63" t="n">
        <f aca="false">MATCH(MIN(BB173:BE173),BB173:BE173,0)</f>
        <v>3</v>
      </c>
      <c r="BH173" s="17" t="n">
        <f aca="false">SQRT(($B173-BH$139)^2+($C173-BH$140)^2+($D173-BH$141)^2)</f>
        <v>3.29745012107546</v>
      </c>
      <c r="BI173" s="17" t="n">
        <f aca="false">SQRT(($B173-BI$139)^2+($C173-BI$140)^2+($D173-BI$141)^2)</f>
        <v>3.01939274456177</v>
      </c>
      <c r="BJ173" s="17" t="n">
        <f aca="false">SQRT(($B173-BJ$139)^2+($C173-BJ$140)^2+($D173-BJ$141)^2)</f>
        <v>0.0748518175850087</v>
      </c>
      <c r="BK173" s="17" t="n">
        <f aca="false">SQRT(($B173-BK$139)^2+($C173-BK$140)^2+($D173-BK$141)^2)</f>
        <v>1.87589418778184</v>
      </c>
      <c r="BL173" s="63" t="n">
        <f aca="false">MATCH(MIN(BH173:BK173),BH173:BK173,0)</f>
        <v>3</v>
      </c>
      <c r="BN173" s="17" t="n">
        <f aca="false">SQRT(($B173-BN$139)^2+($C173-BN$140)^2+($D173-BN$141)^2)</f>
        <v>3.29745012107546</v>
      </c>
      <c r="BO173" s="17" t="n">
        <f aca="false">SQRT(($B173-BO$139)^2+($C173-BO$140)^2+($D173-BO$141)^2)</f>
        <v>3.01939274456177</v>
      </c>
      <c r="BP173" s="17" t="n">
        <f aca="false">SQRT(($B173-BP$139)^2+($C173-BP$140)^2+($D173-BP$141)^2)</f>
        <v>0.0748518175850087</v>
      </c>
      <c r="BQ173" s="17" t="n">
        <f aca="false">SQRT(($B173-BQ$139)^2+($C173-BQ$140)^2+($D173-BQ$141)^2)</f>
        <v>1.87589418778184</v>
      </c>
      <c r="BR173" s="63" t="n">
        <f aca="false">MATCH(MIN(BN173:BQ173),BN173:BQ173,0)</f>
        <v>3</v>
      </c>
      <c r="BT173" s="17" t="n">
        <f aca="false">SQRT(($B173-BT$139)^2+($C173-BT$140)^2+($D173-BT$141)^2)</f>
        <v>3.29745012107546</v>
      </c>
      <c r="BU173" s="17" t="n">
        <f aca="false">SQRT(($B173-BU$139)^2+($C173-BU$140)^2+($D173-BU$141)^2)</f>
        <v>3.01939274456177</v>
      </c>
      <c r="BV173" s="17" t="n">
        <f aca="false">SQRT(($B173-BV$139)^2+($C173-BV$140)^2+($D173-BV$141)^2)</f>
        <v>0.0748518175850087</v>
      </c>
      <c r="BW173" s="17" t="n">
        <f aca="false">SQRT(($B173-BW$139)^2+($C173-BW$140)^2+($D173-BW$141)^2)</f>
        <v>1.87589418778184</v>
      </c>
      <c r="BX173" s="63" t="n">
        <f aca="false">MATCH(MIN(BT173:BW173),BT173:BW173,0)</f>
        <v>3</v>
      </c>
      <c r="BZ173" s="17" t="n">
        <f aca="false">SQRT(($B173-BZ$139)^2+($C173-BZ$140)^2+($D173-BZ$141)^2)</f>
        <v>3.29745012107546</v>
      </c>
      <c r="CA173" s="17" t="n">
        <f aca="false">SQRT(($B173-CA$139)^2+($C173-CA$140)^2+($D173-CA$141)^2)</f>
        <v>3.01939274456177</v>
      </c>
      <c r="CB173" s="17" t="n">
        <f aca="false">SQRT(($B173-CB$139)^2+($C173-CB$140)^2+($D173-CB$141)^2)</f>
        <v>0.0748518175850087</v>
      </c>
      <c r="CC173" s="17" t="n">
        <f aca="false">SQRT(($B173-CC$139)^2+($C173-CC$140)^2+($D173-CC$141)^2)</f>
        <v>1.87589418778184</v>
      </c>
      <c r="CD173" s="63" t="n">
        <f aca="false">MATCH(MIN(BZ173:CC173),BZ173:CC173,0)</f>
        <v>3</v>
      </c>
      <c r="CF173" s="17" t="n">
        <f aca="false">SQRT(($B173-CF$139)^2+($C173-CF$140)^2+($D173-CF$141)^2)</f>
        <v>3.29745012107546</v>
      </c>
      <c r="CG173" s="17" t="n">
        <f aca="false">SQRT(($B173-CG$139)^2+($C173-CG$140)^2+($D173-CG$141)^2)</f>
        <v>3.01939274456177</v>
      </c>
      <c r="CH173" s="17" t="n">
        <f aca="false">SQRT(($B173-CH$139)^2+($C173-CH$140)^2+($D173-CH$141)^2)</f>
        <v>0.0748518175850087</v>
      </c>
      <c r="CI173" s="17" t="n">
        <f aca="false">SQRT(($B173-CI$139)^2+($C173-CI$140)^2+($D173-CI$141)^2)</f>
        <v>1.87589418778184</v>
      </c>
      <c r="CJ173" s="63" t="n">
        <f aca="false">MATCH(MIN(CF173:CI173),CF173:CI173,0)</f>
        <v>3</v>
      </c>
      <c r="CL173" s="17" t="n">
        <f aca="false">SQRT(($B173-CL$139)^2+($C173-CL$140)^2+($D173-CL$141)^2)</f>
        <v>3.29745012107546</v>
      </c>
      <c r="CM173" s="17" t="n">
        <f aca="false">SQRT(($B173-CM$139)^2+($C173-CM$140)^2+($D173-CM$141)^2)</f>
        <v>3.01939274456177</v>
      </c>
      <c r="CN173" s="17" t="n">
        <f aca="false">SQRT(($B173-CN$139)^2+($C173-CN$140)^2+($D173-CN$141)^2)</f>
        <v>0.0748518175850087</v>
      </c>
      <c r="CO173" s="17" t="n">
        <f aca="false">SQRT(($B173-CO$139)^2+($C173-CO$140)^2+($D173-CO$141)^2)</f>
        <v>1.87589418778184</v>
      </c>
      <c r="CP173" s="63" t="n">
        <f aca="false">MATCH(MIN(CL173:CO173),CL173:CO173,0)</f>
        <v>3</v>
      </c>
    </row>
    <row r="174" customFormat="false" ht="15" hidden="false" customHeight="false" outlineLevel="0" collapsed="false">
      <c r="A174" s="36" t="str">
        <f aca="false">KMeans_Data!A33</f>
        <v>Sargodha</v>
      </c>
      <c r="B174" s="17" t="n">
        <f aca="false">KMeans_Data!H33</f>
        <v>0.577753548760862</v>
      </c>
      <c r="C174" s="17" t="n">
        <f aca="false">KMeans_Data!I33</f>
        <v>-0.672650545388274</v>
      </c>
      <c r="D174" s="17" t="n">
        <f aca="false">KMeans_Data!J33</f>
        <v>-0.399845222909568</v>
      </c>
      <c r="E174" s="63" t="n">
        <f aca="false">CP174</f>
        <v>4</v>
      </c>
      <c r="F174" s="38" t="n">
        <f aca="false">($B174-INDEX($L$139:$O$139,E174))^2+($C174-INDEX($L$140:$O$140,E174))^2+($D174-INDEX($L$141:$O$141,E174))^2</f>
        <v>0.526746976362675</v>
      </c>
      <c r="G174" s="17" t="n">
        <f aca="false">IF(COUNTIF(Distance_Matrix!$E$10:$DQ$10,$E174)&lt;=1,0,SUMIF(Distance_Matrix!$E$10:$DQ$10,$E174,Distance_Matrix!$E$42:$DQ$42)/(COUNTIF(Distance_Matrix!$E$10:$DQ$10,$E174)-1))</f>
        <v>1.03469601991588</v>
      </c>
      <c r="H174" s="17" t="n">
        <f aca="false">MIN(IF(1=$E174,1E+099,IF(COUNTIF(Distance_Matrix!$E$10:$DQ$10,1)=0,1E+099,SUMIF(Distance_Matrix!$E$10:$DQ$10,1,Distance_Matrix!$E$42:$DQ$42)/COUNTIF(Distance_Matrix!$E$10:$DQ$10,1))),IF(2=$E174,1E+099,IF(COUNTIF(Distance_Matrix!$E$10:$DQ$10,2)=0,1E+099,SUMIF(Distance_Matrix!$E$10:$DQ$10,2,Distance_Matrix!$E$42:$DQ$42)/COUNTIF(Distance_Matrix!$E$10:$DQ$10,2))),IF(3=$E174,1E+099,IF(COUNTIF(Distance_Matrix!$E$10:$DQ$10,3)=0,1E+099,SUMIF(Distance_Matrix!$E$10:$DQ$10,3,Distance_Matrix!$E$42:$DQ$42)/COUNTIF(Distance_Matrix!$E$10:$DQ$10,3))),IF(4=$E174,1E+099,IF(COUNTIF(Distance_Matrix!$E$10:$DQ$10,4)=0,1E+099,SUMIF(Distance_Matrix!$E$10:$DQ$10,4,Distance_Matrix!$E$42:$DQ$42)/COUNTIF(Distance_Matrix!$E$10:$DQ$10,4))))</f>
        <v>1.91498104705059</v>
      </c>
      <c r="I174" s="17" t="n">
        <f aca="false">IF(COUNTIF(Distance_Matrix!$E$10:$DQ$10,$E174)&lt;=1,0,(H174-G174)/MAX(G174,H174))</f>
        <v>0.459683414877919</v>
      </c>
      <c r="X174" s="17" t="n">
        <f aca="false">SQRT(($B174-X$139)^2+($C174-X$140)^2+($D174-X$141)^2)</f>
        <v>6.54299969229988</v>
      </c>
      <c r="Y174" s="17" t="n">
        <f aca="false">SQRT(($B174-Y$139)^2+($C174-Y$140)^2+($D174-Y$141)^2)</f>
        <v>2.76015891289846</v>
      </c>
      <c r="Z174" s="17" t="n">
        <f aca="false">SQRT(($B174-Z$139)^2+($C174-Z$140)^2+($D174-Z$141)^2)</f>
        <v>2.19416414393801</v>
      </c>
      <c r="AA174" s="17" t="n">
        <f aca="false">SQRT(($B174-AA$139)^2+($C174-AA$140)^2+($D174-AA$141)^2)</f>
        <v>0.914961899056731</v>
      </c>
      <c r="AB174" s="63" t="n">
        <f aca="false">MATCH(MIN(X174:AA174),X174:AA174,0)</f>
        <v>4</v>
      </c>
      <c r="AD174" s="17" t="n">
        <f aca="false">SQRT(($B174-AD$139)^2+($C174-AD$140)^2+($D174-AD$141)^2)</f>
        <v>5.55207627924579</v>
      </c>
      <c r="AE174" s="17" t="n">
        <f aca="false">SQRT(($B174-AE$139)^2+($C174-AE$140)^2+($D174-AE$141)^2)</f>
        <v>1.8960169430752</v>
      </c>
      <c r="AF174" s="17" t="n">
        <f aca="false">SQRT(($B174-AF$139)^2+($C174-AF$140)^2+($D174-AF$141)^2)</f>
        <v>1.78862963023288</v>
      </c>
      <c r="AG174" s="17" t="n">
        <f aca="false">SQRT(($B174-AG$139)^2+($C174-AG$140)^2+($D174-AG$141)^2)</f>
        <v>0.675507753857511</v>
      </c>
      <c r="AH174" s="63" t="n">
        <f aca="false">MATCH(MIN(AD174:AG174),AD174:AG174,0)</f>
        <v>4</v>
      </c>
      <c r="AJ174" s="17" t="n">
        <f aca="false">SQRT(($B174-AJ$139)^2+($C174-AJ$140)^2+($D174-AJ$141)^2)</f>
        <v>5.20068010601792</v>
      </c>
      <c r="AK174" s="17" t="n">
        <f aca="false">SQRT(($B174-AK$139)^2+($C174-AK$140)^2+($D174-AK$141)^2)</f>
        <v>1.9025420820617</v>
      </c>
      <c r="AL174" s="17" t="n">
        <f aca="false">SQRT(($B174-AL$139)^2+($C174-AL$140)^2+($D174-AL$141)^2)</f>
        <v>1.85168442733758</v>
      </c>
      <c r="AM174" s="17" t="n">
        <f aca="false">SQRT(($B174-AM$139)^2+($C174-AM$140)^2+($D174-AM$141)^2)</f>
        <v>0.682409193598291</v>
      </c>
      <c r="AN174" s="63" t="n">
        <f aca="false">MATCH(MIN(AJ174:AM174),AJ174:AM174,0)</f>
        <v>4</v>
      </c>
      <c r="AP174" s="17" t="n">
        <f aca="false">SQRT(($B174-AP$139)^2+($C174-AP$140)^2+($D174-AP$141)^2)</f>
        <v>4.92027007534534</v>
      </c>
      <c r="AQ174" s="17" t="n">
        <f aca="false">SQRT(($B174-AQ$139)^2+($C174-AQ$140)^2+($D174-AQ$141)^2)</f>
        <v>1.97446455057502</v>
      </c>
      <c r="AR174" s="17" t="n">
        <f aca="false">SQRT(($B174-AR$139)^2+($C174-AR$140)^2+($D174-AR$141)^2)</f>
        <v>1.80992700428694</v>
      </c>
      <c r="AS174" s="17" t="n">
        <f aca="false">SQRT(($B174-AS$139)^2+($C174-AS$140)^2+($D174-AS$141)^2)</f>
        <v>0.725773364324342</v>
      </c>
      <c r="AT174" s="63" t="n">
        <f aca="false">MATCH(MIN(AP174:AS174),AP174:AS174,0)</f>
        <v>4</v>
      </c>
      <c r="AV174" s="17" t="n">
        <f aca="false">SQRT(($B174-AV$139)^2+($C174-AV$140)^2+($D174-AV$141)^2)</f>
        <v>4.92027007534534</v>
      </c>
      <c r="AW174" s="17" t="n">
        <f aca="false">SQRT(($B174-AW$139)^2+($C174-AW$140)^2+($D174-AW$141)^2)</f>
        <v>1.97446455057502</v>
      </c>
      <c r="AX174" s="17" t="n">
        <f aca="false">SQRT(($B174-AX$139)^2+($C174-AX$140)^2+($D174-AX$141)^2)</f>
        <v>1.80992700428694</v>
      </c>
      <c r="AY174" s="17" t="n">
        <f aca="false">SQRT(($B174-AY$139)^2+($C174-AY$140)^2+($D174-AY$141)^2)</f>
        <v>0.725773364324342</v>
      </c>
      <c r="AZ174" s="63" t="n">
        <f aca="false">MATCH(MIN(AV174:AY174),AV174:AY174,0)</f>
        <v>4</v>
      </c>
      <c r="BB174" s="17" t="n">
        <f aca="false">SQRT(($B174-BB$139)^2+($C174-BB$140)^2+($D174-BB$141)^2)</f>
        <v>4.92027007534534</v>
      </c>
      <c r="BC174" s="17" t="n">
        <f aca="false">SQRT(($B174-BC$139)^2+($C174-BC$140)^2+($D174-BC$141)^2)</f>
        <v>1.97446455057502</v>
      </c>
      <c r="BD174" s="17" t="n">
        <f aca="false">SQRT(($B174-BD$139)^2+($C174-BD$140)^2+($D174-BD$141)^2)</f>
        <v>1.80992700428694</v>
      </c>
      <c r="BE174" s="17" t="n">
        <f aca="false">SQRT(($B174-BE$139)^2+($C174-BE$140)^2+($D174-BE$141)^2)</f>
        <v>0.725773364324342</v>
      </c>
      <c r="BF174" s="63" t="n">
        <f aca="false">MATCH(MIN(BB174:BE174),BB174:BE174,0)</f>
        <v>4</v>
      </c>
      <c r="BH174" s="17" t="n">
        <f aca="false">SQRT(($B174-BH$139)^2+($C174-BH$140)^2+($D174-BH$141)^2)</f>
        <v>4.92027007534534</v>
      </c>
      <c r="BI174" s="17" t="n">
        <f aca="false">SQRT(($B174-BI$139)^2+($C174-BI$140)^2+($D174-BI$141)^2)</f>
        <v>1.97446455057502</v>
      </c>
      <c r="BJ174" s="17" t="n">
        <f aca="false">SQRT(($B174-BJ$139)^2+($C174-BJ$140)^2+($D174-BJ$141)^2)</f>
        <v>1.80992700428694</v>
      </c>
      <c r="BK174" s="17" t="n">
        <f aca="false">SQRT(($B174-BK$139)^2+($C174-BK$140)^2+($D174-BK$141)^2)</f>
        <v>0.725773364324342</v>
      </c>
      <c r="BL174" s="63" t="n">
        <f aca="false">MATCH(MIN(BH174:BK174),BH174:BK174,0)</f>
        <v>4</v>
      </c>
      <c r="BN174" s="17" t="n">
        <f aca="false">SQRT(($B174-BN$139)^2+($C174-BN$140)^2+($D174-BN$141)^2)</f>
        <v>4.92027007534534</v>
      </c>
      <c r="BO174" s="17" t="n">
        <f aca="false">SQRT(($B174-BO$139)^2+($C174-BO$140)^2+($D174-BO$141)^2)</f>
        <v>1.97446455057502</v>
      </c>
      <c r="BP174" s="17" t="n">
        <f aca="false">SQRT(($B174-BP$139)^2+($C174-BP$140)^2+($D174-BP$141)^2)</f>
        <v>1.80992700428694</v>
      </c>
      <c r="BQ174" s="17" t="n">
        <f aca="false">SQRT(($B174-BQ$139)^2+($C174-BQ$140)^2+($D174-BQ$141)^2)</f>
        <v>0.725773364324342</v>
      </c>
      <c r="BR174" s="63" t="n">
        <f aca="false">MATCH(MIN(BN174:BQ174),BN174:BQ174,0)</f>
        <v>4</v>
      </c>
      <c r="BT174" s="17" t="n">
        <f aca="false">SQRT(($B174-BT$139)^2+($C174-BT$140)^2+($D174-BT$141)^2)</f>
        <v>4.92027007534534</v>
      </c>
      <c r="BU174" s="17" t="n">
        <f aca="false">SQRT(($B174-BU$139)^2+($C174-BU$140)^2+($D174-BU$141)^2)</f>
        <v>1.97446455057502</v>
      </c>
      <c r="BV174" s="17" t="n">
        <f aca="false">SQRT(($B174-BV$139)^2+($C174-BV$140)^2+($D174-BV$141)^2)</f>
        <v>1.80992700428694</v>
      </c>
      <c r="BW174" s="17" t="n">
        <f aca="false">SQRT(($B174-BW$139)^2+($C174-BW$140)^2+($D174-BW$141)^2)</f>
        <v>0.725773364324342</v>
      </c>
      <c r="BX174" s="63" t="n">
        <f aca="false">MATCH(MIN(BT174:BW174),BT174:BW174,0)</f>
        <v>4</v>
      </c>
      <c r="BZ174" s="17" t="n">
        <f aca="false">SQRT(($B174-BZ$139)^2+($C174-BZ$140)^2+($D174-BZ$141)^2)</f>
        <v>4.92027007534534</v>
      </c>
      <c r="CA174" s="17" t="n">
        <f aca="false">SQRT(($B174-CA$139)^2+($C174-CA$140)^2+($D174-CA$141)^2)</f>
        <v>1.97446455057502</v>
      </c>
      <c r="CB174" s="17" t="n">
        <f aca="false">SQRT(($B174-CB$139)^2+($C174-CB$140)^2+($D174-CB$141)^2)</f>
        <v>1.80992700428694</v>
      </c>
      <c r="CC174" s="17" t="n">
        <f aca="false">SQRT(($B174-CC$139)^2+($C174-CC$140)^2+($D174-CC$141)^2)</f>
        <v>0.725773364324342</v>
      </c>
      <c r="CD174" s="63" t="n">
        <f aca="false">MATCH(MIN(BZ174:CC174),BZ174:CC174,0)</f>
        <v>4</v>
      </c>
      <c r="CF174" s="17" t="n">
        <f aca="false">SQRT(($B174-CF$139)^2+($C174-CF$140)^2+($D174-CF$141)^2)</f>
        <v>4.92027007534534</v>
      </c>
      <c r="CG174" s="17" t="n">
        <f aca="false">SQRT(($B174-CG$139)^2+($C174-CG$140)^2+($D174-CG$141)^2)</f>
        <v>1.97446455057502</v>
      </c>
      <c r="CH174" s="17" t="n">
        <f aca="false">SQRT(($B174-CH$139)^2+($C174-CH$140)^2+($D174-CH$141)^2)</f>
        <v>1.80992700428694</v>
      </c>
      <c r="CI174" s="17" t="n">
        <f aca="false">SQRT(($B174-CI$139)^2+($C174-CI$140)^2+($D174-CI$141)^2)</f>
        <v>0.725773364324342</v>
      </c>
      <c r="CJ174" s="63" t="n">
        <f aca="false">MATCH(MIN(CF174:CI174),CF174:CI174,0)</f>
        <v>4</v>
      </c>
      <c r="CL174" s="17" t="n">
        <f aca="false">SQRT(($B174-CL$139)^2+($C174-CL$140)^2+($D174-CL$141)^2)</f>
        <v>4.92027007534534</v>
      </c>
      <c r="CM174" s="17" t="n">
        <f aca="false">SQRT(($B174-CM$139)^2+($C174-CM$140)^2+($D174-CM$141)^2)</f>
        <v>1.97446455057502</v>
      </c>
      <c r="CN174" s="17" t="n">
        <f aca="false">SQRT(($B174-CN$139)^2+($C174-CN$140)^2+($D174-CN$141)^2)</f>
        <v>1.80992700428694</v>
      </c>
      <c r="CO174" s="17" t="n">
        <f aca="false">SQRT(($B174-CO$139)^2+($C174-CO$140)^2+($D174-CO$141)^2)</f>
        <v>0.725773364324342</v>
      </c>
      <c r="CP174" s="63" t="n">
        <f aca="false">MATCH(MIN(CL174:CO174),CL174:CO174,0)</f>
        <v>4</v>
      </c>
    </row>
    <row r="175" customFormat="false" ht="15" hidden="false" customHeight="false" outlineLevel="0" collapsed="false">
      <c r="A175" s="36" t="str">
        <f aca="false">KMeans_Data!A34</f>
        <v>Shaheed Benazirabad</v>
      </c>
      <c r="B175" s="17" t="n">
        <f aca="false">KMeans_Data!H34</f>
        <v>0.577753548760862</v>
      </c>
      <c r="C175" s="17" t="n">
        <f aca="false">KMeans_Data!I34</f>
        <v>0.160512589624996</v>
      </c>
      <c r="D175" s="17" t="n">
        <f aca="false">KMeans_Data!J34</f>
        <v>0.781544486275172</v>
      </c>
      <c r="E175" s="63" t="n">
        <f aca="false">CP175</f>
        <v>3</v>
      </c>
      <c r="F175" s="38" t="n">
        <f aca="false">($B175-INDEX($L$139:$O$139,E175))^2+($C175-INDEX($L$140:$O$140,E175))^2+($D175-INDEX($L$141:$O$141,E175))^2</f>
        <v>0.219066108598927</v>
      </c>
      <c r="G175" s="17" t="n">
        <f aca="false">IF(COUNTIF(Distance_Matrix!$E$10:$DQ$10,$E175)&lt;=1,0,SUMIF(Distance_Matrix!$E$10:$DQ$10,$E175,Distance_Matrix!$E$43:$DQ$43)/(COUNTIF(Distance_Matrix!$E$10:$DQ$10,$E175)-1))</f>
        <v>0.86543907177616</v>
      </c>
      <c r="H175" s="17" t="n">
        <f aca="false">MIN(IF(1=$E175,1E+099,IF(COUNTIF(Distance_Matrix!$E$10:$DQ$10,1)=0,1E+099,SUMIF(Distance_Matrix!$E$10:$DQ$10,1,Distance_Matrix!$E$43:$DQ$43)/COUNTIF(Distance_Matrix!$E$10:$DQ$10,1))),IF(2=$E175,1E+099,IF(COUNTIF(Distance_Matrix!$E$10:$DQ$10,2)=0,1E+099,SUMIF(Distance_Matrix!$E$10:$DQ$10,2,Distance_Matrix!$E$43:$DQ$43)/COUNTIF(Distance_Matrix!$E$10:$DQ$10,2))),IF(3=$E175,1E+099,IF(COUNTIF(Distance_Matrix!$E$10:$DQ$10,3)=0,1E+099,SUMIF(Distance_Matrix!$E$10:$DQ$10,3,Distance_Matrix!$E$43:$DQ$43)/COUNTIF(Distance_Matrix!$E$10:$DQ$10,3))),IF(4=$E175,1E+099,IF(COUNTIF(Distance_Matrix!$E$10:$DQ$10,4)=0,1E+099,SUMIF(Distance_Matrix!$E$10:$DQ$10,4,Distance_Matrix!$E$43:$DQ$43)/COUNTIF(Distance_Matrix!$E$10:$DQ$10,4))))</f>
        <v>1.64808908617512</v>
      </c>
      <c r="I175" s="17" t="n">
        <f aca="false">IF(COUNTIF(Distance_Matrix!$E$10:$DQ$10,$E175)&lt;=1,0,(H175-G175)/MAX(G175,H175))</f>
        <v>0.474883318483307</v>
      </c>
      <c r="X175" s="17" t="n">
        <f aca="false">SQRT(($B175-X$139)^2+($C175-X$140)^2+($D175-X$141)^2)</f>
        <v>5.33100349295761</v>
      </c>
      <c r="Y175" s="17" t="n">
        <f aca="false">SQRT(($B175-Y$139)^2+($C175-Y$140)^2+($D175-Y$141)^2)</f>
        <v>3.38680940629828</v>
      </c>
      <c r="Z175" s="17" t="n">
        <f aca="false">SQRT(($B175-Z$139)^2+($C175-Z$140)^2+($D175-Z$141)^2)</f>
        <v>0.85635508280799</v>
      </c>
      <c r="AA175" s="17" t="n">
        <f aca="false">SQRT(($B175-AA$139)^2+($C175-AA$140)^2+($D175-AA$141)^2)</f>
        <v>1.95274744651033</v>
      </c>
      <c r="AB175" s="63" t="n">
        <f aca="false">MATCH(MIN(X175:AA175),X175:AA175,0)</f>
        <v>3</v>
      </c>
      <c r="AD175" s="17" t="n">
        <f aca="false">SQRT(($B175-AD$139)^2+($C175-AD$140)^2+($D175-AD$141)^2)</f>
        <v>4.3728027598107</v>
      </c>
      <c r="AE175" s="17" t="n">
        <f aca="false">SQRT(($B175-AE$139)^2+($C175-AE$140)^2+($D175-AE$141)^2)</f>
        <v>2.63028653152711</v>
      </c>
      <c r="AF175" s="17" t="n">
        <f aca="false">SQRT(($B175-AF$139)^2+($C175-AF$140)^2+($D175-AF$141)^2)</f>
        <v>0.428717701476672</v>
      </c>
      <c r="AG175" s="17" t="n">
        <f aca="false">SQRT(($B175-AG$139)^2+($C175-AG$140)^2+($D175-AG$141)^2)</f>
        <v>1.58430673069481</v>
      </c>
      <c r="AH175" s="63" t="n">
        <f aca="false">MATCH(MIN(AD175:AG175),AD175:AG175,0)</f>
        <v>3</v>
      </c>
      <c r="AJ175" s="17" t="n">
        <f aca="false">SQRT(($B175-AJ$139)^2+($C175-AJ$140)^2+($D175-AJ$141)^2)</f>
        <v>4.02472972757831</v>
      </c>
      <c r="AK175" s="17" t="n">
        <f aca="false">SQRT(($B175-AK$139)^2+($C175-AK$140)^2+($D175-AK$141)^2)</f>
        <v>2.65748829363863</v>
      </c>
      <c r="AL175" s="17" t="n">
        <f aca="false">SQRT(($B175-AL$139)^2+($C175-AL$140)^2+($D175-AL$141)^2)</f>
        <v>0.515235356028774</v>
      </c>
      <c r="AM175" s="17" t="n">
        <f aca="false">SQRT(($B175-AM$139)^2+($C175-AM$140)^2+($D175-AM$141)^2)</f>
        <v>1.49137168934176</v>
      </c>
      <c r="AN175" s="63" t="n">
        <f aca="false">MATCH(MIN(AJ175:AM175),AJ175:AM175,0)</f>
        <v>3</v>
      </c>
      <c r="AP175" s="17" t="n">
        <f aca="false">SQRT(($B175-AP$139)^2+($C175-AP$140)^2+($D175-AP$141)^2)</f>
        <v>3.73959729411281</v>
      </c>
      <c r="AQ175" s="17" t="n">
        <f aca="false">SQRT(($B175-AQ$139)^2+($C175-AQ$140)^2+($D175-AQ$141)^2)</f>
        <v>2.74698598594935</v>
      </c>
      <c r="AR175" s="17" t="n">
        <f aca="false">SQRT(($B175-AR$139)^2+($C175-AR$140)^2+($D175-AR$141)^2)</f>
        <v>0.468044985657283</v>
      </c>
      <c r="AS175" s="17" t="n">
        <f aca="false">SQRT(($B175-AS$139)^2+($C175-AS$140)^2+($D175-AS$141)^2)</f>
        <v>1.51124063221507</v>
      </c>
      <c r="AT175" s="63" t="n">
        <f aca="false">MATCH(MIN(AP175:AS175),AP175:AS175,0)</f>
        <v>3</v>
      </c>
      <c r="AV175" s="17" t="n">
        <f aca="false">SQRT(($B175-AV$139)^2+($C175-AV$140)^2+($D175-AV$141)^2)</f>
        <v>3.73959729411281</v>
      </c>
      <c r="AW175" s="17" t="n">
        <f aca="false">SQRT(($B175-AW$139)^2+($C175-AW$140)^2+($D175-AW$141)^2)</f>
        <v>2.74698598594935</v>
      </c>
      <c r="AX175" s="17" t="n">
        <f aca="false">SQRT(($B175-AX$139)^2+($C175-AX$140)^2+($D175-AX$141)^2)</f>
        <v>0.468044985657283</v>
      </c>
      <c r="AY175" s="17" t="n">
        <f aca="false">SQRT(($B175-AY$139)^2+($C175-AY$140)^2+($D175-AY$141)^2)</f>
        <v>1.51124063221507</v>
      </c>
      <c r="AZ175" s="63" t="n">
        <f aca="false">MATCH(MIN(AV175:AY175),AV175:AY175,0)</f>
        <v>3</v>
      </c>
      <c r="BB175" s="17" t="n">
        <f aca="false">SQRT(($B175-BB$139)^2+($C175-BB$140)^2+($D175-BB$141)^2)</f>
        <v>3.73959729411281</v>
      </c>
      <c r="BC175" s="17" t="n">
        <f aca="false">SQRT(($B175-BC$139)^2+($C175-BC$140)^2+($D175-BC$141)^2)</f>
        <v>2.74698598594935</v>
      </c>
      <c r="BD175" s="17" t="n">
        <f aca="false">SQRT(($B175-BD$139)^2+($C175-BD$140)^2+($D175-BD$141)^2)</f>
        <v>0.468044985657283</v>
      </c>
      <c r="BE175" s="17" t="n">
        <f aca="false">SQRT(($B175-BE$139)^2+($C175-BE$140)^2+($D175-BE$141)^2)</f>
        <v>1.51124063221507</v>
      </c>
      <c r="BF175" s="63" t="n">
        <f aca="false">MATCH(MIN(BB175:BE175),BB175:BE175,0)</f>
        <v>3</v>
      </c>
      <c r="BH175" s="17" t="n">
        <f aca="false">SQRT(($B175-BH$139)^2+($C175-BH$140)^2+($D175-BH$141)^2)</f>
        <v>3.73959729411281</v>
      </c>
      <c r="BI175" s="17" t="n">
        <f aca="false">SQRT(($B175-BI$139)^2+($C175-BI$140)^2+($D175-BI$141)^2)</f>
        <v>2.74698598594935</v>
      </c>
      <c r="BJ175" s="17" t="n">
        <f aca="false">SQRT(($B175-BJ$139)^2+($C175-BJ$140)^2+($D175-BJ$141)^2)</f>
        <v>0.468044985657283</v>
      </c>
      <c r="BK175" s="17" t="n">
        <f aca="false">SQRT(($B175-BK$139)^2+($C175-BK$140)^2+($D175-BK$141)^2)</f>
        <v>1.51124063221507</v>
      </c>
      <c r="BL175" s="63" t="n">
        <f aca="false">MATCH(MIN(BH175:BK175),BH175:BK175,0)</f>
        <v>3</v>
      </c>
      <c r="BN175" s="17" t="n">
        <f aca="false">SQRT(($B175-BN$139)^2+($C175-BN$140)^2+($D175-BN$141)^2)</f>
        <v>3.73959729411281</v>
      </c>
      <c r="BO175" s="17" t="n">
        <f aca="false">SQRT(($B175-BO$139)^2+($C175-BO$140)^2+($D175-BO$141)^2)</f>
        <v>2.74698598594935</v>
      </c>
      <c r="BP175" s="17" t="n">
        <f aca="false">SQRT(($B175-BP$139)^2+($C175-BP$140)^2+($D175-BP$141)^2)</f>
        <v>0.468044985657283</v>
      </c>
      <c r="BQ175" s="17" t="n">
        <f aca="false">SQRT(($B175-BQ$139)^2+($C175-BQ$140)^2+($D175-BQ$141)^2)</f>
        <v>1.51124063221507</v>
      </c>
      <c r="BR175" s="63" t="n">
        <f aca="false">MATCH(MIN(BN175:BQ175),BN175:BQ175,0)</f>
        <v>3</v>
      </c>
      <c r="BT175" s="17" t="n">
        <f aca="false">SQRT(($B175-BT$139)^2+($C175-BT$140)^2+($D175-BT$141)^2)</f>
        <v>3.73959729411281</v>
      </c>
      <c r="BU175" s="17" t="n">
        <f aca="false">SQRT(($B175-BU$139)^2+($C175-BU$140)^2+($D175-BU$141)^2)</f>
        <v>2.74698598594935</v>
      </c>
      <c r="BV175" s="17" t="n">
        <f aca="false">SQRT(($B175-BV$139)^2+($C175-BV$140)^2+($D175-BV$141)^2)</f>
        <v>0.468044985657283</v>
      </c>
      <c r="BW175" s="17" t="n">
        <f aca="false">SQRT(($B175-BW$139)^2+($C175-BW$140)^2+($D175-BW$141)^2)</f>
        <v>1.51124063221507</v>
      </c>
      <c r="BX175" s="63" t="n">
        <f aca="false">MATCH(MIN(BT175:BW175),BT175:BW175,0)</f>
        <v>3</v>
      </c>
      <c r="BZ175" s="17" t="n">
        <f aca="false">SQRT(($B175-BZ$139)^2+($C175-BZ$140)^2+($D175-BZ$141)^2)</f>
        <v>3.73959729411281</v>
      </c>
      <c r="CA175" s="17" t="n">
        <f aca="false">SQRT(($B175-CA$139)^2+($C175-CA$140)^2+($D175-CA$141)^2)</f>
        <v>2.74698598594935</v>
      </c>
      <c r="CB175" s="17" t="n">
        <f aca="false">SQRT(($B175-CB$139)^2+($C175-CB$140)^2+($D175-CB$141)^2)</f>
        <v>0.468044985657283</v>
      </c>
      <c r="CC175" s="17" t="n">
        <f aca="false">SQRT(($B175-CC$139)^2+($C175-CC$140)^2+($D175-CC$141)^2)</f>
        <v>1.51124063221507</v>
      </c>
      <c r="CD175" s="63" t="n">
        <f aca="false">MATCH(MIN(BZ175:CC175),BZ175:CC175,0)</f>
        <v>3</v>
      </c>
      <c r="CF175" s="17" t="n">
        <f aca="false">SQRT(($B175-CF$139)^2+($C175-CF$140)^2+($D175-CF$141)^2)</f>
        <v>3.73959729411281</v>
      </c>
      <c r="CG175" s="17" t="n">
        <f aca="false">SQRT(($B175-CG$139)^2+($C175-CG$140)^2+($D175-CG$141)^2)</f>
        <v>2.74698598594935</v>
      </c>
      <c r="CH175" s="17" t="n">
        <f aca="false">SQRT(($B175-CH$139)^2+($C175-CH$140)^2+($D175-CH$141)^2)</f>
        <v>0.468044985657283</v>
      </c>
      <c r="CI175" s="17" t="n">
        <f aca="false">SQRT(($B175-CI$139)^2+($C175-CI$140)^2+($D175-CI$141)^2)</f>
        <v>1.51124063221507</v>
      </c>
      <c r="CJ175" s="63" t="n">
        <f aca="false">MATCH(MIN(CF175:CI175),CF175:CI175,0)</f>
        <v>3</v>
      </c>
      <c r="CL175" s="17" t="n">
        <f aca="false">SQRT(($B175-CL$139)^2+($C175-CL$140)^2+($D175-CL$141)^2)</f>
        <v>3.73959729411281</v>
      </c>
      <c r="CM175" s="17" t="n">
        <f aca="false">SQRT(($B175-CM$139)^2+($C175-CM$140)^2+($D175-CM$141)^2)</f>
        <v>2.74698598594935</v>
      </c>
      <c r="CN175" s="17" t="n">
        <f aca="false">SQRT(($B175-CN$139)^2+($C175-CN$140)^2+($D175-CN$141)^2)</f>
        <v>0.468044985657283</v>
      </c>
      <c r="CO175" s="17" t="n">
        <f aca="false">SQRT(($B175-CO$139)^2+($C175-CO$140)^2+($D175-CO$141)^2)</f>
        <v>1.51124063221507</v>
      </c>
      <c r="CP175" s="63" t="n">
        <f aca="false">MATCH(MIN(CL175:CO175),CL175:CO175,0)</f>
        <v>3</v>
      </c>
    </row>
    <row r="176" customFormat="false" ht="15" hidden="false" customHeight="false" outlineLevel="0" collapsed="false">
      <c r="A176" s="36" t="str">
        <f aca="false">KMeans_Data!A35</f>
        <v>Gujrat</v>
      </c>
      <c r="B176" s="17" t="n">
        <f aca="false">KMeans_Data!H35</f>
        <v>0.574589587542617</v>
      </c>
      <c r="C176" s="17" t="n">
        <f aca="false">KMeans_Data!I35</f>
        <v>-0.672650545388274</v>
      </c>
      <c r="D176" s="17" t="n">
        <f aca="false">KMeans_Data!J35</f>
        <v>-0.399845222909568</v>
      </c>
      <c r="E176" s="63" t="n">
        <f aca="false">CP176</f>
        <v>4</v>
      </c>
      <c r="F176" s="38" t="n">
        <f aca="false">($B176-INDEX($L$139:$O$139,E176))^2+($C176-INDEX($L$140:$O$140,E176))^2+($D176-INDEX($L$141:$O$141,E176))^2</f>
        <v>0.522286713914684</v>
      </c>
      <c r="G176" s="17" t="n">
        <f aca="false">IF(COUNTIF(Distance_Matrix!$E$10:$DQ$10,$E176)&lt;=1,0,SUMIF(Distance_Matrix!$E$10:$DQ$10,$E176,Distance_Matrix!$E$44:$DQ$44)/(COUNTIF(Distance_Matrix!$E$10:$DQ$10,$E176)-1))</f>
        <v>1.03257650501075</v>
      </c>
      <c r="H176" s="17" t="n">
        <f aca="false">MIN(IF(1=$E176,1E+099,IF(COUNTIF(Distance_Matrix!$E$10:$DQ$10,1)=0,1E+099,SUMIF(Distance_Matrix!$E$10:$DQ$10,1,Distance_Matrix!$E$44:$DQ$44)/COUNTIF(Distance_Matrix!$E$10:$DQ$10,1))),IF(2=$E176,1E+099,IF(COUNTIF(Distance_Matrix!$E$10:$DQ$10,2)=0,1E+099,SUMIF(Distance_Matrix!$E$10:$DQ$10,2,Distance_Matrix!$E$44:$DQ$44)/COUNTIF(Distance_Matrix!$E$10:$DQ$10,2))),IF(3=$E176,1E+099,IF(COUNTIF(Distance_Matrix!$E$10:$DQ$10,3)=0,1E+099,SUMIF(Distance_Matrix!$E$10:$DQ$10,3,Distance_Matrix!$E$44:$DQ$44)/COUNTIF(Distance_Matrix!$E$10:$DQ$10,3))),IF(4=$E176,1E+099,IF(COUNTIF(Distance_Matrix!$E$10:$DQ$10,4)=0,1E+099,SUMIF(Distance_Matrix!$E$10:$DQ$10,4,Distance_Matrix!$E$44:$DQ$44)/COUNTIF(Distance_Matrix!$E$10:$DQ$10,4))))</f>
        <v>1.91496443949916</v>
      </c>
      <c r="I176" s="17" t="n">
        <f aca="false">IF(COUNTIF(Distance_Matrix!$E$10:$DQ$10,$E176)&lt;=1,0,(H176-G176)/MAX(G176,H176))</f>
        <v>0.460785545824127</v>
      </c>
      <c r="X176" s="17" t="n">
        <f aca="false">SQRT(($B176-X$139)^2+($C176-X$140)^2+($D176-X$141)^2)</f>
        <v>6.54430428513413</v>
      </c>
      <c r="Y176" s="17" t="n">
        <f aca="false">SQRT(($B176-Y$139)^2+($C176-Y$140)^2+($D176-Y$141)^2)</f>
        <v>2.75711277150979</v>
      </c>
      <c r="Z176" s="17" t="n">
        <f aca="false">SQRT(($B176-Z$139)^2+($C176-Z$140)^2+($D176-Z$141)^2)</f>
        <v>2.19482903863084</v>
      </c>
      <c r="AA176" s="17" t="n">
        <f aca="false">SQRT(($B176-AA$139)^2+($C176-AA$140)^2+($D176-AA$141)^2)</f>
        <v>0.915202205398665</v>
      </c>
      <c r="AB176" s="63" t="n">
        <f aca="false">MATCH(MIN(X176:AA176),X176:AA176,0)</f>
        <v>4</v>
      </c>
      <c r="AD176" s="17" t="n">
        <f aca="false">SQRT(($B176-AD$139)^2+($C176-AD$140)^2+($D176-AD$141)^2)</f>
        <v>5.55334830252147</v>
      </c>
      <c r="AE176" s="17" t="n">
        <f aca="false">SQRT(($B176-AE$139)^2+($C176-AE$140)^2+($D176-AE$141)^2)</f>
        <v>1.89298210751699</v>
      </c>
      <c r="AF176" s="17" t="n">
        <f aca="false">SQRT(($B176-AF$139)^2+($C176-AF$140)^2+($D176-AF$141)^2)</f>
        <v>1.78868530701829</v>
      </c>
      <c r="AG176" s="17" t="n">
        <f aca="false">SQRT(($B176-AG$139)^2+($C176-AG$140)^2+($D176-AG$141)^2)</f>
        <v>0.672510823117012</v>
      </c>
      <c r="AH176" s="63" t="n">
        <f aca="false">MATCH(MIN(AD176:AG176),AD176:AG176,0)</f>
        <v>4</v>
      </c>
      <c r="AJ176" s="17" t="n">
        <f aca="false">SQRT(($B176-AJ$139)^2+($C176-AJ$140)^2+($D176-AJ$141)^2)</f>
        <v>5.20196051492517</v>
      </c>
      <c r="AK176" s="17" t="n">
        <f aca="false">SQRT(($B176-AK$139)^2+($C176-AK$140)^2+($D176-AK$141)^2)</f>
        <v>1.8995322237439</v>
      </c>
      <c r="AL176" s="17" t="n">
        <f aca="false">SQRT(($B176-AL$139)^2+($C176-AL$140)^2+($D176-AL$141)^2)</f>
        <v>1.85181729528588</v>
      </c>
      <c r="AM176" s="17" t="n">
        <f aca="false">SQRT(($B176-AM$139)^2+($C176-AM$140)^2+($D176-AM$141)^2)</f>
        <v>0.679352863907704</v>
      </c>
      <c r="AN176" s="63" t="n">
        <f aca="false">MATCH(MIN(AJ176:AM176),AJ176:AM176,0)</f>
        <v>4</v>
      </c>
      <c r="AP176" s="17" t="n">
        <f aca="false">SQRT(($B176-AP$139)^2+($C176-AP$140)^2+($D176-AP$141)^2)</f>
        <v>4.92149621956809</v>
      </c>
      <c r="AQ176" s="17" t="n">
        <f aca="false">SQRT(($B176-AQ$139)^2+($C176-AQ$140)^2+($D176-AQ$141)^2)</f>
        <v>1.97149115080384</v>
      </c>
      <c r="AR176" s="17" t="n">
        <f aca="false">SQRT(($B176-AR$139)^2+($C176-AR$140)^2+($D176-AR$141)^2)</f>
        <v>1.81002326164128</v>
      </c>
      <c r="AS176" s="17" t="n">
        <f aca="false">SQRT(($B176-AS$139)^2+($C176-AS$140)^2+($D176-AS$141)^2)</f>
        <v>0.722694066610958</v>
      </c>
      <c r="AT176" s="63" t="n">
        <f aca="false">MATCH(MIN(AP176:AS176),AP176:AS176,0)</f>
        <v>4</v>
      </c>
      <c r="AV176" s="17" t="n">
        <f aca="false">SQRT(($B176-AV$139)^2+($C176-AV$140)^2+($D176-AV$141)^2)</f>
        <v>4.92149621956809</v>
      </c>
      <c r="AW176" s="17" t="n">
        <f aca="false">SQRT(($B176-AW$139)^2+($C176-AW$140)^2+($D176-AW$141)^2)</f>
        <v>1.97149115080384</v>
      </c>
      <c r="AX176" s="17" t="n">
        <f aca="false">SQRT(($B176-AX$139)^2+($C176-AX$140)^2+($D176-AX$141)^2)</f>
        <v>1.81002326164128</v>
      </c>
      <c r="AY176" s="17" t="n">
        <f aca="false">SQRT(($B176-AY$139)^2+($C176-AY$140)^2+($D176-AY$141)^2)</f>
        <v>0.722694066610958</v>
      </c>
      <c r="AZ176" s="63" t="n">
        <f aca="false">MATCH(MIN(AV176:AY176),AV176:AY176,0)</f>
        <v>4</v>
      </c>
      <c r="BB176" s="17" t="n">
        <f aca="false">SQRT(($B176-BB$139)^2+($C176-BB$140)^2+($D176-BB$141)^2)</f>
        <v>4.92149621956809</v>
      </c>
      <c r="BC176" s="17" t="n">
        <f aca="false">SQRT(($B176-BC$139)^2+($C176-BC$140)^2+($D176-BC$141)^2)</f>
        <v>1.97149115080384</v>
      </c>
      <c r="BD176" s="17" t="n">
        <f aca="false">SQRT(($B176-BD$139)^2+($C176-BD$140)^2+($D176-BD$141)^2)</f>
        <v>1.81002326164128</v>
      </c>
      <c r="BE176" s="17" t="n">
        <f aca="false">SQRT(($B176-BE$139)^2+($C176-BE$140)^2+($D176-BE$141)^2)</f>
        <v>0.722694066610958</v>
      </c>
      <c r="BF176" s="63" t="n">
        <f aca="false">MATCH(MIN(BB176:BE176),BB176:BE176,0)</f>
        <v>4</v>
      </c>
      <c r="BH176" s="17" t="n">
        <f aca="false">SQRT(($B176-BH$139)^2+($C176-BH$140)^2+($D176-BH$141)^2)</f>
        <v>4.92149621956809</v>
      </c>
      <c r="BI176" s="17" t="n">
        <f aca="false">SQRT(($B176-BI$139)^2+($C176-BI$140)^2+($D176-BI$141)^2)</f>
        <v>1.97149115080384</v>
      </c>
      <c r="BJ176" s="17" t="n">
        <f aca="false">SQRT(($B176-BJ$139)^2+($C176-BJ$140)^2+($D176-BJ$141)^2)</f>
        <v>1.81002326164128</v>
      </c>
      <c r="BK176" s="17" t="n">
        <f aca="false">SQRT(($B176-BK$139)^2+($C176-BK$140)^2+($D176-BK$141)^2)</f>
        <v>0.722694066610958</v>
      </c>
      <c r="BL176" s="63" t="n">
        <f aca="false">MATCH(MIN(BH176:BK176),BH176:BK176,0)</f>
        <v>4</v>
      </c>
      <c r="BN176" s="17" t="n">
        <f aca="false">SQRT(($B176-BN$139)^2+($C176-BN$140)^2+($D176-BN$141)^2)</f>
        <v>4.92149621956809</v>
      </c>
      <c r="BO176" s="17" t="n">
        <f aca="false">SQRT(($B176-BO$139)^2+($C176-BO$140)^2+($D176-BO$141)^2)</f>
        <v>1.97149115080384</v>
      </c>
      <c r="BP176" s="17" t="n">
        <f aca="false">SQRT(($B176-BP$139)^2+($C176-BP$140)^2+($D176-BP$141)^2)</f>
        <v>1.81002326164128</v>
      </c>
      <c r="BQ176" s="17" t="n">
        <f aca="false">SQRT(($B176-BQ$139)^2+($C176-BQ$140)^2+($D176-BQ$141)^2)</f>
        <v>0.722694066610958</v>
      </c>
      <c r="BR176" s="63" t="n">
        <f aca="false">MATCH(MIN(BN176:BQ176),BN176:BQ176,0)</f>
        <v>4</v>
      </c>
      <c r="BT176" s="17" t="n">
        <f aca="false">SQRT(($B176-BT$139)^2+($C176-BT$140)^2+($D176-BT$141)^2)</f>
        <v>4.92149621956809</v>
      </c>
      <c r="BU176" s="17" t="n">
        <f aca="false">SQRT(($B176-BU$139)^2+($C176-BU$140)^2+($D176-BU$141)^2)</f>
        <v>1.97149115080384</v>
      </c>
      <c r="BV176" s="17" t="n">
        <f aca="false">SQRT(($B176-BV$139)^2+($C176-BV$140)^2+($D176-BV$141)^2)</f>
        <v>1.81002326164128</v>
      </c>
      <c r="BW176" s="17" t="n">
        <f aca="false">SQRT(($B176-BW$139)^2+($C176-BW$140)^2+($D176-BW$141)^2)</f>
        <v>0.722694066610958</v>
      </c>
      <c r="BX176" s="63" t="n">
        <f aca="false">MATCH(MIN(BT176:BW176),BT176:BW176,0)</f>
        <v>4</v>
      </c>
      <c r="BZ176" s="17" t="n">
        <f aca="false">SQRT(($B176-BZ$139)^2+($C176-BZ$140)^2+($D176-BZ$141)^2)</f>
        <v>4.92149621956809</v>
      </c>
      <c r="CA176" s="17" t="n">
        <f aca="false">SQRT(($B176-CA$139)^2+($C176-CA$140)^2+($D176-CA$141)^2)</f>
        <v>1.97149115080384</v>
      </c>
      <c r="CB176" s="17" t="n">
        <f aca="false">SQRT(($B176-CB$139)^2+($C176-CB$140)^2+($D176-CB$141)^2)</f>
        <v>1.81002326164128</v>
      </c>
      <c r="CC176" s="17" t="n">
        <f aca="false">SQRT(($B176-CC$139)^2+($C176-CC$140)^2+($D176-CC$141)^2)</f>
        <v>0.722694066610958</v>
      </c>
      <c r="CD176" s="63" t="n">
        <f aca="false">MATCH(MIN(BZ176:CC176),BZ176:CC176,0)</f>
        <v>4</v>
      </c>
      <c r="CF176" s="17" t="n">
        <f aca="false">SQRT(($B176-CF$139)^2+($C176-CF$140)^2+($D176-CF$141)^2)</f>
        <v>4.92149621956809</v>
      </c>
      <c r="CG176" s="17" t="n">
        <f aca="false">SQRT(($B176-CG$139)^2+($C176-CG$140)^2+($D176-CG$141)^2)</f>
        <v>1.97149115080384</v>
      </c>
      <c r="CH176" s="17" t="n">
        <f aca="false">SQRT(($B176-CH$139)^2+($C176-CH$140)^2+($D176-CH$141)^2)</f>
        <v>1.81002326164128</v>
      </c>
      <c r="CI176" s="17" t="n">
        <f aca="false">SQRT(($B176-CI$139)^2+($C176-CI$140)^2+($D176-CI$141)^2)</f>
        <v>0.722694066610958</v>
      </c>
      <c r="CJ176" s="63" t="n">
        <f aca="false">MATCH(MIN(CF176:CI176),CF176:CI176,0)</f>
        <v>4</v>
      </c>
      <c r="CL176" s="17" t="n">
        <f aca="false">SQRT(($B176-CL$139)^2+($C176-CL$140)^2+($D176-CL$141)^2)</f>
        <v>4.92149621956809</v>
      </c>
      <c r="CM176" s="17" t="n">
        <f aca="false">SQRT(($B176-CM$139)^2+($C176-CM$140)^2+($D176-CM$141)^2)</f>
        <v>1.97149115080384</v>
      </c>
      <c r="CN176" s="17" t="n">
        <f aca="false">SQRT(($B176-CN$139)^2+($C176-CN$140)^2+($D176-CN$141)^2)</f>
        <v>1.81002326164128</v>
      </c>
      <c r="CO176" s="17" t="n">
        <f aca="false">SQRT(($B176-CO$139)^2+($C176-CO$140)^2+($D176-CO$141)^2)</f>
        <v>0.722694066610958</v>
      </c>
      <c r="CP176" s="63" t="n">
        <f aca="false">MATCH(MIN(CL176:CO176),CL176:CO176,0)</f>
        <v>4</v>
      </c>
    </row>
    <row r="177" customFormat="false" ht="15" hidden="false" customHeight="false" outlineLevel="0" collapsed="false">
      <c r="A177" s="36" t="str">
        <f aca="false">KMeans_Data!A36</f>
        <v>Dera Ismail Khan</v>
      </c>
      <c r="B177" s="17" t="n">
        <f aca="false">KMeans_Data!H36</f>
        <v>0.568203372235645</v>
      </c>
      <c r="C177" s="17" t="n">
        <f aca="false">KMeans_Data!I36</f>
        <v>0.547911385844501</v>
      </c>
      <c r="D177" s="17" t="n">
        <f aca="false">KMeans_Data!J36</f>
        <v>1.11347799131462</v>
      </c>
      <c r="E177" s="63" t="n">
        <f aca="false">CP177</f>
        <v>3</v>
      </c>
      <c r="F177" s="38" t="n">
        <f aca="false">($B177-INDEX($L$139:$O$139,E177))^2+($C177-INDEX($L$140:$O$140,E177))^2+($D177-INDEX($L$141:$O$141,E177))^2</f>
        <v>0.0687166934769986</v>
      </c>
      <c r="G177" s="17" t="n">
        <f aca="false">IF(COUNTIF(Distance_Matrix!$E$10:$DQ$10,$E177)&lt;=1,0,SUMIF(Distance_Matrix!$E$10:$DQ$10,$E177,Distance_Matrix!$E$45:$DQ$45)/(COUNTIF(Distance_Matrix!$E$10:$DQ$10,$E177)-1))</f>
        <v>0.808206891935256</v>
      </c>
      <c r="H177" s="17" t="n">
        <f aca="false">MIN(IF(1=$E177,1E+099,IF(COUNTIF(Distance_Matrix!$E$10:$DQ$10,1)=0,1E+099,SUMIF(Distance_Matrix!$E$10:$DQ$10,1,Distance_Matrix!$E$45:$DQ$45)/COUNTIF(Distance_Matrix!$E$10:$DQ$10,1))),IF(2=$E177,1E+099,IF(COUNTIF(Distance_Matrix!$E$10:$DQ$10,2)=0,1E+099,SUMIF(Distance_Matrix!$E$10:$DQ$10,2,Distance_Matrix!$E$45:$DQ$45)/COUNTIF(Distance_Matrix!$E$10:$DQ$10,2))),IF(3=$E177,1E+099,IF(COUNTIF(Distance_Matrix!$E$10:$DQ$10,3)=0,1E+099,SUMIF(Distance_Matrix!$E$10:$DQ$10,3,Distance_Matrix!$E$45:$DQ$45)/COUNTIF(Distance_Matrix!$E$10:$DQ$10,3))),IF(4=$E177,1E+099,IF(COUNTIF(Distance_Matrix!$E$10:$DQ$10,4)=0,1E+099,SUMIF(Distance_Matrix!$E$10:$DQ$10,4,Distance_Matrix!$E$45:$DQ$45)/COUNTIF(Distance_Matrix!$E$10:$DQ$10,4))))</f>
        <v>2.05654906040797</v>
      </c>
      <c r="I177" s="17" t="n">
        <f aca="false">IF(COUNTIF(Distance_Matrix!$E$10:$DQ$10,$E177)&lt;=1,0,(H177-G177)/MAX(G177,H177))</f>
        <v>0.607008212206263</v>
      </c>
      <c r="X177" s="17" t="n">
        <f aca="false">SQRT(($B177-X$139)^2+($C177-X$140)^2+($D177-X$141)^2)</f>
        <v>4.90774869404622</v>
      </c>
      <c r="Y177" s="17" t="n">
        <f aca="false">SQRT(($B177-Y$139)^2+($C177-Y$140)^2+($D177-Y$141)^2)</f>
        <v>3.68849529478745</v>
      </c>
      <c r="Z177" s="17" t="n">
        <f aca="false">SQRT(($B177-Z$139)^2+($C177-Z$140)^2+($D177-Z$141)^2)</f>
        <v>0.613286790517401</v>
      </c>
      <c r="AA177" s="17" t="n">
        <f aca="false">SQRT(($B177-AA$139)^2+($C177-AA$140)^2+($D177-AA$141)^2)</f>
        <v>2.3648493912276</v>
      </c>
      <c r="AB177" s="63" t="n">
        <f aca="false">MATCH(MIN(X177:AA177),X177:AA177,0)</f>
        <v>3</v>
      </c>
      <c r="AD177" s="17" t="n">
        <f aca="false">SQRT(($B177-AD$139)^2+($C177-AD$140)^2+($D177-AD$141)^2)</f>
        <v>3.96171204457017</v>
      </c>
      <c r="AE177" s="17" t="n">
        <f aca="false">SQRT(($B177-AE$139)^2+($C177-AE$140)^2+($D177-AE$141)^2)</f>
        <v>2.98575048432386</v>
      </c>
      <c r="AF177" s="17" t="n">
        <f aca="false">SQRT(($B177-AF$139)^2+($C177-AF$140)^2+($D177-AF$141)^2)</f>
        <v>0.238825447295839</v>
      </c>
      <c r="AG177" s="17" t="n">
        <f aca="false">SQRT(($B177-AG$139)^2+($C177-AG$140)^2+($D177-AG$141)^2)</f>
        <v>2.0301615032797</v>
      </c>
      <c r="AH177" s="63" t="n">
        <f aca="false">MATCH(MIN(AD177:AG177),AD177:AG177,0)</f>
        <v>3</v>
      </c>
      <c r="AJ177" s="17" t="n">
        <f aca="false">SQRT(($B177-AJ$139)^2+($C177-AJ$140)^2+($D177-AJ$141)^2)</f>
        <v>3.61923857677389</v>
      </c>
      <c r="AK177" s="17" t="n">
        <f aca="false">SQRT(($B177-AK$139)^2+($C177-AK$140)^2+($D177-AK$141)^2)</f>
        <v>3.01532073367739</v>
      </c>
      <c r="AL177" s="17" t="n">
        <f aca="false">SQRT(($B177-AL$139)^2+($C177-AL$140)^2+($D177-AL$141)^2)</f>
        <v>0.269460306200627</v>
      </c>
      <c r="AM177" s="17" t="n">
        <f aca="false">SQRT(($B177-AM$139)^2+($C177-AM$140)^2+($D177-AM$141)^2)</f>
        <v>1.93776184753353</v>
      </c>
      <c r="AN177" s="63" t="n">
        <f aca="false">MATCH(MIN(AJ177:AM177),AJ177:AM177,0)</f>
        <v>3</v>
      </c>
      <c r="AP177" s="17" t="n">
        <f aca="false">SQRT(($B177-AP$139)^2+($C177-AP$140)^2+($D177-AP$141)^2)</f>
        <v>3.33276714312346</v>
      </c>
      <c r="AQ177" s="17" t="n">
        <f aca="false">SQRT(($B177-AQ$139)^2+($C177-AQ$140)^2+($D177-AQ$141)^2)</f>
        <v>3.10352029107294</v>
      </c>
      <c r="AR177" s="17" t="n">
        <f aca="false">SQRT(($B177-AR$139)^2+($C177-AR$140)^2+($D177-AR$141)^2)</f>
        <v>0.262138691300996</v>
      </c>
      <c r="AS177" s="17" t="n">
        <f aca="false">SQRT(($B177-AS$139)^2+($C177-AS$140)^2+($D177-AS$141)^2)</f>
        <v>1.95360566365742</v>
      </c>
      <c r="AT177" s="63" t="n">
        <f aca="false">MATCH(MIN(AP177:AS177),AP177:AS177,0)</f>
        <v>3</v>
      </c>
      <c r="AV177" s="17" t="n">
        <f aca="false">SQRT(($B177-AV$139)^2+($C177-AV$140)^2+($D177-AV$141)^2)</f>
        <v>3.33276714312346</v>
      </c>
      <c r="AW177" s="17" t="n">
        <f aca="false">SQRT(($B177-AW$139)^2+($C177-AW$140)^2+($D177-AW$141)^2)</f>
        <v>3.10352029107294</v>
      </c>
      <c r="AX177" s="17" t="n">
        <f aca="false">SQRT(($B177-AX$139)^2+($C177-AX$140)^2+($D177-AX$141)^2)</f>
        <v>0.262138691300996</v>
      </c>
      <c r="AY177" s="17" t="n">
        <f aca="false">SQRT(($B177-AY$139)^2+($C177-AY$140)^2+($D177-AY$141)^2)</f>
        <v>1.95360566365742</v>
      </c>
      <c r="AZ177" s="63" t="n">
        <f aca="false">MATCH(MIN(AV177:AY177),AV177:AY177,0)</f>
        <v>3</v>
      </c>
      <c r="BB177" s="17" t="n">
        <f aca="false">SQRT(($B177-BB$139)^2+($C177-BB$140)^2+($D177-BB$141)^2)</f>
        <v>3.33276714312346</v>
      </c>
      <c r="BC177" s="17" t="n">
        <f aca="false">SQRT(($B177-BC$139)^2+($C177-BC$140)^2+($D177-BC$141)^2)</f>
        <v>3.10352029107294</v>
      </c>
      <c r="BD177" s="17" t="n">
        <f aca="false">SQRT(($B177-BD$139)^2+($C177-BD$140)^2+($D177-BD$141)^2)</f>
        <v>0.262138691300996</v>
      </c>
      <c r="BE177" s="17" t="n">
        <f aca="false">SQRT(($B177-BE$139)^2+($C177-BE$140)^2+($D177-BE$141)^2)</f>
        <v>1.95360566365742</v>
      </c>
      <c r="BF177" s="63" t="n">
        <f aca="false">MATCH(MIN(BB177:BE177),BB177:BE177,0)</f>
        <v>3</v>
      </c>
      <c r="BH177" s="17" t="n">
        <f aca="false">SQRT(($B177-BH$139)^2+($C177-BH$140)^2+($D177-BH$141)^2)</f>
        <v>3.33276714312346</v>
      </c>
      <c r="BI177" s="17" t="n">
        <f aca="false">SQRT(($B177-BI$139)^2+($C177-BI$140)^2+($D177-BI$141)^2)</f>
        <v>3.10352029107294</v>
      </c>
      <c r="BJ177" s="17" t="n">
        <f aca="false">SQRT(($B177-BJ$139)^2+($C177-BJ$140)^2+($D177-BJ$141)^2)</f>
        <v>0.262138691300996</v>
      </c>
      <c r="BK177" s="17" t="n">
        <f aca="false">SQRT(($B177-BK$139)^2+($C177-BK$140)^2+($D177-BK$141)^2)</f>
        <v>1.95360566365742</v>
      </c>
      <c r="BL177" s="63" t="n">
        <f aca="false">MATCH(MIN(BH177:BK177),BH177:BK177,0)</f>
        <v>3</v>
      </c>
      <c r="BN177" s="17" t="n">
        <f aca="false">SQRT(($B177-BN$139)^2+($C177-BN$140)^2+($D177-BN$141)^2)</f>
        <v>3.33276714312346</v>
      </c>
      <c r="BO177" s="17" t="n">
        <f aca="false">SQRT(($B177-BO$139)^2+($C177-BO$140)^2+($D177-BO$141)^2)</f>
        <v>3.10352029107294</v>
      </c>
      <c r="BP177" s="17" t="n">
        <f aca="false">SQRT(($B177-BP$139)^2+($C177-BP$140)^2+($D177-BP$141)^2)</f>
        <v>0.262138691300996</v>
      </c>
      <c r="BQ177" s="17" t="n">
        <f aca="false">SQRT(($B177-BQ$139)^2+($C177-BQ$140)^2+($D177-BQ$141)^2)</f>
        <v>1.95360566365742</v>
      </c>
      <c r="BR177" s="63" t="n">
        <f aca="false">MATCH(MIN(BN177:BQ177),BN177:BQ177,0)</f>
        <v>3</v>
      </c>
      <c r="BT177" s="17" t="n">
        <f aca="false">SQRT(($B177-BT$139)^2+($C177-BT$140)^2+($D177-BT$141)^2)</f>
        <v>3.33276714312346</v>
      </c>
      <c r="BU177" s="17" t="n">
        <f aca="false">SQRT(($B177-BU$139)^2+($C177-BU$140)^2+($D177-BU$141)^2)</f>
        <v>3.10352029107294</v>
      </c>
      <c r="BV177" s="17" t="n">
        <f aca="false">SQRT(($B177-BV$139)^2+($C177-BV$140)^2+($D177-BV$141)^2)</f>
        <v>0.262138691300996</v>
      </c>
      <c r="BW177" s="17" t="n">
        <f aca="false">SQRT(($B177-BW$139)^2+($C177-BW$140)^2+($D177-BW$141)^2)</f>
        <v>1.95360566365742</v>
      </c>
      <c r="BX177" s="63" t="n">
        <f aca="false">MATCH(MIN(BT177:BW177),BT177:BW177,0)</f>
        <v>3</v>
      </c>
      <c r="BZ177" s="17" t="n">
        <f aca="false">SQRT(($B177-BZ$139)^2+($C177-BZ$140)^2+($D177-BZ$141)^2)</f>
        <v>3.33276714312346</v>
      </c>
      <c r="CA177" s="17" t="n">
        <f aca="false">SQRT(($B177-CA$139)^2+($C177-CA$140)^2+($D177-CA$141)^2)</f>
        <v>3.10352029107294</v>
      </c>
      <c r="CB177" s="17" t="n">
        <f aca="false">SQRT(($B177-CB$139)^2+($C177-CB$140)^2+($D177-CB$141)^2)</f>
        <v>0.262138691300996</v>
      </c>
      <c r="CC177" s="17" t="n">
        <f aca="false">SQRT(($B177-CC$139)^2+($C177-CC$140)^2+($D177-CC$141)^2)</f>
        <v>1.95360566365742</v>
      </c>
      <c r="CD177" s="63" t="n">
        <f aca="false">MATCH(MIN(BZ177:CC177),BZ177:CC177,0)</f>
        <v>3</v>
      </c>
      <c r="CF177" s="17" t="n">
        <f aca="false">SQRT(($B177-CF$139)^2+($C177-CF$140)^2+($D177-CF$141)^2)</f>
        <v>3.33276714312346</v>
      </c>
      <c r="CG177" s="17" t="n">
        <f aca="false">SQRT(($B177-CG$139)^2+($C177-CG$140)^2+($D177-CG$141)^2)</f>
        <v>3.10352029107294</v>
      </c>
      <c r="CH177" s="17" t="n">
        <f aca="false">SQRT(($B177-CH$139)^2+($C177-CH$140)^2+($D177-CH$141)^2)</f>
        <v>0.262138691300996</v>
      </c>
      <c r="CI177" s="17" t="n">
        <f aca="false">SQRT(($B177-CI$139)^2+($C177-CI$140)^2+($D177-CI$141)^2)</f>
        <v>1.95360566365742</v>
      </c>
      <c r="CJ177" s="63" t="n">
        <f aca="false">MATCH(MIN(CF177:CI177),CF177:CI177,0)</f>
        <v>3</v>
      </c>
      <c r="CL177" s="17" t="n">
        <f aca="false">SQRT(($B177-CL$139)^2+($C177-CL$140)^2+($D177-CL$141)^2)</f>
        <v>3.33276714312346</v>
      </c>
      <c r="CM177" s="17" t="n">
        <f aca="false">SQRT(($B177-CM$139)^2+($C177-CM$140)^2+($D177-CM$141)^2)</f>
        <v>3.10352029107294</v>
      </c>
      <c r="CN177" s="17" t="n">
        <f aca="false">SQRT(($B177-CN$139)^2+($C177-CN$140)^2+($D177-CN$141)^2)</f>
        <v>0.262138691300996</v>
      </c>
      <c r="CO177" s="17" t="n">
        <f aca="false">SQRT(($B177-CO$139)^2+($C177-CO$140)^2+($D177-CO$141)^2)</f>
        <v>1.95360566365742</v>
      </c>
      <c r="CP177" s="63" t="n">
        <f aca="false">MATCH(MIN(CL177:CO177),CL177:CO177,0)</f>
        <v>3</v>
      </c>
    </row>
    <row r="178" customFormat="false" ht="15" hidden="false" customHeight="false" outlineLevel="0" collapsed="false">
      <c r="A178" s="36" t="str">
        <f aca="false">KMeans_Data!A37</f>
        <v>Karak</v>
      </c>
      <c r="B178" s="17" t="n">
        <f aca="false">KMeans_Data!H37</f>
        <v>0.531605743068138</v>
      </c>
      <c r="C178" s="17" t="n">
        <f aca="false">KMeans_Data!I37</f>
        <v>0.378684277529216</v>
      </c>
      <c r="D178" s="17" t="n">
        <f aca="false">KMeans_Data!J37</f>
        <v>0.286716848591577</v>
      </c>
      <c r="E178" s="63" t="n">
        <f aca="false">CP178</f>
        <v>3</v>
      </c>
      <c r="F178" s="38" t="n">
        <f aca="false">($B178-INDEX($L$139:$O$139,E178))^2+($C178-INDEX($L$140:$O$140,E178))^2+($D178-INDEX($L$141:$O$141,E178))^2</f>
        <v>0.405504388752712</v>
      </c>
      <c r="G178" s="17" t="n">
        <f aca="false">IF(COUNTIF(Distance_Matrix!$E$10:$DQ$10,$E178)&lt;=1,0,SUMIF(Distance_Matrix!$E$10:$DQ$10,$E178,Distance_Matrix!$E$46:$DQ$46)/(COUNTIF(Distance_Matrix!$E$10:$DQ$10,$E178)-1))</f>
        <v>0.963524610772044</v>
      </c>
      <c r="H178" s="17" t="n">
        <f aca="false">MIN(IF(1=$E178,1E+099,IF(COUNTIF(Distance_Matrix!$E$10:$DQ$10,1)=0,1E+099,SUMIF(Distance_Matrix!$E$10:$DQ$10,1,Distance_Matrix!$E$46:$DQ$46)/COUNTIF(Distance_Matrix!$E$10:$DQ$10,1))),IF(2=$E178,1E+099,IF(COUNTIF(Distance_Matrix!$E$10:$DQ$10,2)=0,1E+099,SUMIF(Distance_Matrix!$E$10:$DQ$10,2,Distance_Matrix!$E$46:$DQ$46)/COUNTIF(Distance_Matrix!$E$10:$DQ$10,2))),IF(3=$E178,1E+099,IF(COUNTIF(Distance_Matrix!$E$10:$DQ$10,3)=0,1E+099,SUMIF(Distance_Matrix!$E$10:$DQ$10,3,Distance_Matrix!$E$46:$DQ$46)/COUNTIF(Distance_Matrix!$E$10:$DQ$10,3))),IF(4=$E178,1E+099,IF(COUNTIF(Distance_Matrix!$E$10:$DQ$10,4)=0,1E+099,SUMIF(Distance_Matrix!$E$10:$DQ$10,4,Distance_Matrix!$E$46:$DQ$46)/COUNTIF(Distance_Matrix!$E$10:$DQ$10,4))))</f>
        <v>1.46376404485437</v>
      </c>
      <c r="I178" s="17" t="n">
        <f aca="false">IF(COUNTIF(Distance_Matrix!$E$10:$DQ$10,$E178)&lt;=1,0,(H178-G178)/MAX(G178,H178))</f>
        <v>0.341748682679314</v>
      </c>
      <c r="X178" s="17" t="n">
        <f aca="false">SQRT(($B178-X$139)^2+($C178-X$140)^2+($D178-X$141)^2)</f>
        <v>5.45127311245764</v>
      </c>
      <c r="Y178" s="17" t="n">
        <f aca="false">SQRT(($B178-Y$139)^2+($C178-Y$140)^2+($D178-Y$141)^2)</f>
        <v>3.1584931364728</v>
      </c>
      <c r="Z178" s="17" t="n">
        <f aca="false">SQRT(($B178-Z$139)^2+($C178-Z$140)^2+($D178-Z$141)^2)</f>
        <v>1.2871988045077</v>
      </c>
      <c r="AA178" s="17" t="n">
        <f aca="false">SQRT(($B178-AA$139)^2+($C178-AA$140)^2+($D178-AA$141)^2)</f>
        <v>1.53003121333998</v>
      </c>
      <c r="AB178" s="63" t="n">
        <f aca="false">MATCH(MIN(X178:AA178),X178:AA178,0)</f>
        <v>3</v>
      </c>
      <c r="AD178" s="17" t="n">
        <f aca="false">SQRT(($B178-AD$139)^2+($C178-AD$140)^2+($D178-AD$141)^2)</f>
        <v>4.45491700309242</v>
      </c>
      <c r="AE178" s="17" t="n">
        <f aca="false">SQRT(($B178-AE$139)^2+($C178-AE$140)^2+($D178-AE$141)^2)</f>
        <v>2.38777646636044</v>
      </c>
      <c r="AF178" s="17" t="n">
        <f aca="false">SQRT(($B178-AF$139)^2+($C178-AF$140)^2+($D178-AF$141)^2)</f>
        <v>0.629806910295951</v>
      </c>
      <c r="AG178" s="17" t="n">
        <f aca="false">SQRT(($B178-AG$139)^2+($C178-AG$140)^2+($D178-AG$141)^2)</f>
        <v>1.32170374791861</v>
      </c>
      <c r="AH178" s="63" t="n">
        <f aca="false">MATCH(MIN(AD178:AG178),AD178:AG178,0)</f>
        <v>3</v>
      </c>
      <c r="AJ178" s="17" t="n">
        <f aca="false">SQRT(($B178-AJ$139)^2+($C178-AJ$140)^2+($D178-AJ$141)^2)</f>
        <v>4.10871194551873</v>
      </c>
      <c r="AK178" s="17" t="n">
        <f aca="false">SQRT(($B178-AK$139)^2+($C178-AK$140)^2+($D178-AK$141)^2)</f>
        <v>2.40754126852698</v>
      </c>
      <c r="AL178" s="17" t="n">
        <f aca="false">SQRT(($B178-AL$139)^2+($C178-AL$140)^2+($D178-AL$141)^2)</f>
        <v>0.671148818259253</v>
      </c>
      <c r="AM178" s="17" t="n">
        <f aca="false">SQRT(($B178-AM$139)^2+($C178-AM$140)^2+($D178-AM$141)^2)</f>
        <v>1.26184064435154</v>
      </c>
      <c r="AN178" s="63" t="n">
        <f aca="false">MATCH(MIN(AJ178:AM178),AJ178:AM178,0)</f>
        <v>3</v>
      </c>
      <c r="AP178" s="17" t="n">
        <f aca="false">SQRT(($B178-AP$139)^2+($C178-AP$140)^2+($D178-AP$141)^2)</f>
        <v>3.81780079715959</v>
      </c>
      <c r="AQ178" s="17" t="n">
        <f aca="false">SQRT(($B178-AQ$139)^2+($C178-AQ$140)^2+($D178-AQ$141)^2)</f>
        <v>2.48744247340016</v>
      </c>
      <c r="AR178" s="17" t="n">
        <f aca="false">SQRT(($B178-AR$139)^2+($C178-AR$140)^2+($D178-AR$141)^2)</f>
        <v>0.63679226499127</v>
      </c>
      <c r="AS178" s="17" t="n">
        <f aca="false">SQRT(($B178-AS$139)^2+($C178-AS$140)^2+($D178-AS$141)^2)</f>
        <v>1.28853123559001</v>
      </c>
      <c r="AT178" s="63" t="n">
        <f aca="false">MATCH(MIN(AP178:AS178),AP178:AS178,0)</f>
        <v>3</v>
      </c>
      <c r="AV178" s="17" t="n">
        <f aca="false">SQRT(($B178-AV$139)^2+($C178-AV$140)^2+($D178-AV$141)^2)</f>
        <v>3.81780079715959</v>
      </c>
      <c r="AW178" s="17" t="n">
        <f aca="false">SQRT(($B178-AW$139)^2+($C178-AW$140)^2+($D178-AW$141)^2)</f>
        <v>2.48744247340016</v>
      </c>
      <c r="AX178" s="17" t="n">
        <f aca="false">SQRT(($B178-AX$139)^2+($C178-AX$140)^2+($D178-AX$141)^2)</f>
        <v>0.63679226499127</v>
      </c>
      <c r="AY178" s="17" t="n">
        <f aca="false">SQRT(($B178-AY$139)^2+($C178-AY$140)^2+($D178-AY$141)^2)</f>
        <v>1.28853123559001</v>
      </c>
      <c r="AZ178" s="63" t="n">
        <f aca="false">MATCH(MIN(AV178:AY178),AV178:AY178,0)</f>
        <v>3</v>
      </c>
      <c r="BB178" s="17" t="n">
        <f aca="false">SQRT(($B178-BB$139)^2+($C178-BB$140)^2+($D178-BB$141)^2)</f>
        <v>3.81780079715959</v>
      </c>
      <c r="BC178" s="17" t="n">
        <f aca="false">SQRT(($B178-BC$139)^2+($C178-BC$140)^2+($D178-BC$141)^2)</f>
        <v>2.48744247340016</v>
      </c>
      <c r="BD178" s="17" t="n">
        <f aca="false">SQRT(($B178-BD$139)^2+($C178-BD$140)^2+($D178-BD$141)^2)</f>
        <v>0.63679226499127</v>
      </c>
      <c r="BE178" s="17" t="n">
        <f aca="false">SQRT(($B178-BE$139)^2+($C178-BE$140)^2+($D178-BE$141)^2)</f>
        <v>1.28853123559001</v>
      </c>
      <c r="BF178" s="63" t="n">
        <f aca="false">MATCH(MIN(BB178:BE178),BB178:BE178,0)</f>
        <v>3</v>
      </c>
      <c r="BH178" s="17" t="n">
        <f aca="false">SQRT(($B178-BH$139)^2+($C178-BH$140)^2+($D178-BH$141)^2)</f>
        <v>3.81780079715959</v>
      </c>
      <c r="BI178" s="17" t="n">
        <f aca="false">SQRT(($B178-BI$139)^2+($C178-BI$140)^2+($D178-BI$141)^2)</f>
        <v>2.48744247340016</v>
      </c>
      <c r="BJ178" s="17" t="n">
        <f aca="false">SQRT(($B178-BJ$139)^2+($C178-BJ$140)^2+($D178-BJ$141)^2)</f>
        <v>0.63679226499127</v>
      </c>
      <c r="BK178" s="17" t="n">
        <f aca="false">SQRT(($B178-BK$139)^2+($C178-BK$140)^2+($D178-BK$141)^2)</f>
        <v>1.28853123559001</v>
      </c>
      <c r="BL178" s="63" t="n">
        <f aca="false">MATCH(MIN(BH178:BK178),BH178:BK178,0)</f>
        <v>3</v>
      </c>
      <c r="BN178" s="17" t="n">
        <f aca="false">SQRT(($B178-BN$139)^2+($C178-BN$140)^2+($D178-BN$141)^2)</f>
        <v>3.81780079715959</v>
      </c>
      <c r="BO178" s="17" t="n">
        <f aca="false">SQRT(($B178-BO$139)^2+($C178-BO$140)^2+($D178-BO$141)^2)</f>
        <v>2.48744247340016</v>
      </c>
      <c r="BP178" s="17" t="n">
        <f aca="false">SQRT(($B178-BP$139)^2+($C178-BP$140)^2+($D178-BP$141)^2)</f>
        <v>0.63679226499127</v>
      </c>
      <c r="BQ178" s="17" t="n">
        <f aca="false">SQRT(($B178-BQ$139)^2+($C178-BQ$140)^2+($D178-BQ$141)^2)</f>
        <v>1.28853123559001</v>
      </c>
      <c r="BR178" s="63" t="n">
        <f aca="false">MATCH(MIN(BN178:BQ178),BN178:BQ178,0)</f>
        <v>3</v>
      </c>
      <c r="BT178" s="17" t="n">
        <f aca="false">SQRT(($B178-BT$139)^2+($C178-BT$140)^2+($D178-BT$141)^2)</f>
        <v>3.81780079715959</v>
      </c>
      <c r="BU178" s="17" t="n">
        <f aca="false">SQRT(($B178-BU$139)^2+($C178-BU$140)^2+($D178-BU$141)^2)</f>
        <v>2.48744247340016</v>
      </c>
      <c r="BV178" s="17" t="n">
        <f aca="false">SQRT(($B178-BV$139)^2+($C178-BV$140)^2+($D178-BV$141)^2)</f>
        <v>0.63679226499127</v>
      </c>
      <c r="BW178" s="17" t="n">
        <f aca="false">SQRT(($B178-BW$139)^2+($C178-BW$140)^2+($D178-BW$141)^2)</f>
        <v>1.28853123559001</v>
      </c>
      <c r="BX178" s="63" t="n">
        <f aca="false">MATCH(MIN(BT178:BW178),BT178:BW178,0)</f>
        <v>3</v>
      </c>
      <c r="BZ178" s="17" t="n">
        <f aca="false">SQRT(($B178-BZ$139)^2+($C178-BZ$140)^2+($D178-BZ$141)^2)</f>
        <v>3.81780079715959</v>
      </c>
      <c r="CA178" s="17" t="n">
        <f aca="false">SQRT(($B178-CA$139)^2+($C178-CA$140)^2+($D178-CA$141)^2)</f>
        <v>2.48744247340016</v>
      </c>
      <c r="CB178" s="17" t="n">
        <f aca="false">SQRT(($B178-CB$139)^2+($C178-CB$140)^2+($D178-CB$141)^2)</f>
        <v>0.63679226499127</v>
      </c>
      <c r="CC178" s="17" t="n">
        <f aca="false">SQRT(($B178-CC$139)^2+($C178-CC$140)^2+($D178-CC$141)^2)</f>
        <v>1.28853123559001</v>
      </c>
      <c r="CD178" s="63" t="n">
        <f aca="false">MATCH(MIN(BZ178:CC178),BZ178:CC178,0)</f>
        <v>3</v>
      </c>
      <c r="CF178" s="17" t="n">
        <f aca="false">SQRT(($B178-CF$139)^2+($C178-CF$140)^2+($D178-CF$141)^2)</f>
        <v>3.81780079715959</v>
      </c>
      <c r="CG178" s="17" t="n">
        <f aca="false">SQRT(($B178-CG$139)^2+($C178-CG$140)^2+($D178-CG$141)^2)</f>
        <v>2.48744247340016</v>
      </c>
      <c r="CH178" s="17" t="n">
        <f aca="false">SQRT(($B178-CH$139)^2+($C178-CH$140)^2+($D178-CH$141)^2)</f>
        <v>0.63679226499127</v>
      </c>
      <c r="CI178" s="17" t="n">
        <f aca="false">SQRT(($B178-CI$139)^2+($C178-CI$140)^2+($D178-CI$141)^2)</f>
        <v>1.28853123559001</v>
      </c>
      <c r="CJ178" s="63" t="n">
        <f aca="false">MATCH(MIN(CF178:CI178),CF178:CI178,0)</f>
        <v>3</v>
      </c>
      <c r="CL178" s="17" t="n">
        <f aca="false">SQRT(($B178-CL$139)^2+($C178-CL$140)^2+($D178-CL$141)^2)</f>
        <v>3.81780079715959</v>
      </c>
      <c r="CM178" s="17" t="n">
        <f aca="false">SQRT(($B178-CM$139)^2+($C178-CM$140)^2+($D178-CM$141)^2)</f>
        <v>2.48744247340016</v>
      </c>
      <c r="CN178" s="17" t="n">
        <f aca="false">SQRT(($B178-CN$139)^2+($C178-CN$140)^2+($D178-CN$141)^2)</f>
        <v>0.63679226499127</v>
      </c>
      <c r="CO178" s="17" t="n">
        <f aca="false">SQRT(($B178-CO$139)^2+($C178-CO$140)^2+($D178-CO$141)^2)</f>
        <v>1.28853123559001</v>
      </c>
      <c r="CP178" s="63" t="n">
        <f aca="false">MATCH(MIN(CL178:CO178),CL178:CO178,0)</f>
        <v>3</v>
      </c>
    </row>
    <row r="179" customFormat="false" ht="15" hidden="false" customHeight="false" outlineLevel="0" collapsed="false">
      <c r="A179" s="36" t="str">
        <f aca="false">KMeans_Data!A38</f>
        <v>Shangla</v>
      </c>
      <c r="B179" s="17" t="n">
        <f aca="false">KMeans_Data!H38</f>
        <v>0.484749830332174</v>
      </c>
      <c r="C179" s="17" t="n">
        <f aca="false">KMeans_Data!I38</f>
        <v>-0.146983133929529</v>
      </c>
      <c r="D179" s="17" t="n">
        <f aca="false">KMeans_Data!J38</f>
        <v>0.552017036398812</v>
      </c>
      <c r="E179" s="63" t="n">
        <f aca="false">CP179</f>
        <v>3</v>
      </c>
      <c r="F179" s="38" t="n">
        <f aca="false">($B179-INDEX($L$139:$O$139,E179))^2+($C179-INDEX($L$140:$O$140,E179))^2+($D179-INDEX($L$141:$O$141,E179))^2</f>
        <v>0.705786832502286</v>
      </c>
      <c r="G179" s="17" t="n">
        <f aca="false">IF(COUNTIF(Distance_Matrix!$E$10:$DQ$10,$E179)&lt;=1,0,SUMIF(Distance_Matrix!$E$10:$DQ$10,$E179,Distance_Matrix!$E$47:$DQ$47)/(COUNTIF(Distance_Matrix!$E$10:$DQ$10,$E179)-1))</f>
        <v>1.07428272518366</v>
      </c>
      <c r="H179" s="17" t="n">
        <f aca="false">MIN(IF(1=$E179,1E+099,IF(COUNTIF(Distance_Matrix!$E$10:$DQ$10,1)=0,1E+099,SUMIF(Distance_Matrix!$E$10:$DQ$10,1,Distance_Matrix!$E$47:$DQ$47)/COUNTIF(Distance_Matrix!$E$10:$DQ$10,1))),IF(2=$E179,1E+099,IF(COUNTIF(Distance_Matrix!$E$10:$DQ$10,2)=0,1E+099,SUMIF(Distance_Matrix!$E$10:$DQ$10,2,Distance_Matrix!$E$47:$DQ$47)/COUNTIF(Distance_Matrix!$E$10:$DQ$10,2))),IF(3=$E179,1E+099,IF(COUNTIF(Distance_Matrix!$E$10:$DQ$10,3)=0,1E+099,SUMIF(Distance_Matrix!$E$10:$DQ$10,3,Distance_Matrix!$E$47:$DQ$47)/COUNTIF(Distance_Matrix!$E$10:$DQ$10,3))),IF(4=$E179,1E+099,IF(COUNTIF(Distance_Matrix!$E$10:$DQ$10,4)=0,1E+099,SUMIF(Distance_Matrix!$E$10:$DQ$10,4,Distance_Matrix!$E$47:$DQ$47)/COUNTIF(Distance_Matrix!$E$10:$DQ$10,4))))</f>
        <v>1.34764794009955</v>
      </c>
      <c r="I179" s="17" t="n">
        <f aca="false">IF(COUNTIF(Distance_Matrix!$E$10:$DQ$10,$E179)&lt;=1,0,(H179-G179)/MAX(G179,H179))</f>
        <v>0.202846163884383</v>
      </c>
      <c r="X179" s="17" t="n">
        <f aca="false">SQRT(($B179-X$139)^2+($C179-X$140)^2+($D179-X$141)^2)</f>
        <v>5.70934419366739</v>
      </c>
      <c r="Y179" s="17" t="n">
        <f aca="false">SQRT(($B179-Y$139)^2+($C179-Y$140)^2+($D179-Y$141)^2)</f>
        <v>3.12009252355725</v>
      </c>
      <c r="Z179" s="17" t="n">
        <f aca="false">SQRT(($B179-Z$139)^2+($C179-Z$140)^2+($D179-Z$141)^2)</f>
        <v>1.19378157826286</v>
      </c>
      <c r="AA179" s="17" t="n">
        <f aca="false">SQRT(($B179-AA$139)^2+($C179-AA$140)^2+($D179-AA$141)^2)</f>
        <v>1.70527114410237</v>
      </c>
      <c r="AB179" s="63" t="n">
        <f aca="false">MATCH(MIN(X179:AA179),X179:AA179,0)</f>
        <v>3</v>
      </c>
      <c r="AD179" s="17" t="n">
        <f aca="false">SQRT(($B179-AD$139)^2+($C179-AD$140)^2+($D179-AD$141)^2)</f>
        <v>4.74726597065761</v>
      </c>
      <c r="AE179" s="17" t="n">
        <f aca="false">SQRT(($B179-AE$139)^2+($C179-AE$140)^2+($D179-AE$141)^2)</f>
        <v>2.33389352874342</v>
      </c>
      <c r="AF179" s="17" t="n">
        <f aca="false">SQRT(($B179-AF$139)^2+($C179-AF$140)^2+($D179-AF$141)^2)</f>
        <v>0.803928730061701</v>
      </c>
      <c r="AG179" s="17" t="n">
        <f aca="false">SQRT(($B179-AG$139)^2+($C179-AG$140)^2+($D179-AG$141)^2)</f>
        <v>1.24604200123169</v>
      </c>
      <c r="AH179" s="63" t="n">
        <f aca="false">MATCH(MIN(AD179:AG179),AD179:AG179,0)</f>
        <v>3</v>
      </c>
      <c r="AJ179" s="17" t="n">
        <f aca="false">SQRT(($B179-AJ$139)^2+($C179-AJ$140)^2+($D179-AJ$141)^2)</f>
        <v>4.39765355771992</v>
      </c>
      <c r="AK179" s="17" t="n">
        <f aca="false">SQRT(($B179-AK$139)^2+($C179-AK$140)^2+($D179-AK$141)^2)</f>
        <v>2.35995571586921</v>
      </c>
      <c r="AL179" s="17" t="n">
        <f aca="false">SQRT(($B179-AL$139)^2+($C179-AL$140)^2+($D179-AL$141)^2)</f>
        <v>0.888520626022176</v>
      </c>
      <c r="AM179" s="17" t="n">
        <f aca="false">SQRT(($B179-AM$139)^2+($C179-AM$140)^2+($D179-AM$141)^2)</f>
        <v>1.14811083683101</v>
      </c>
      <c r="AN179" s="63" t="n">
        <f aca="false">MATCH(MIN(AJ179:AM179),AJ179:AM179,0)</f>
        <v>3</v>
      </c>
      <c r="AP179" s="17" t="n">
        <f aca="false">SQRT(($B179-AP$139)^2+($C179-AP$140)^2+($D179-AP$141)^2)</f>
        <v>4.11330062694631</v>
      </c>
      <c r="AQ179" s="17" t="n">
        <f aca="false">SQRT(($B179-AQ$139)^2+($C179-AQ$140)^2+($D179-AQ$141)^2)</f>
        <v>2.45059907969448</v>
      </c>
      <c r="AR179" s="17" t="n">
        <f aca="false">SQRT(($B179-AR$139)^2+($C179-AR$140)^2+($D179-AR$141)^2)</f>
        <v>0.840111202462083</v>
      </c>
      <c r="AS179" s="17" t="n">
        <f aca="false">SQRT(($B179-AS$139)^2+($C179-AS$140)^2+($D179-AS$141)^2)</f>
        <v>1.16884432456191</v>
      </c>
      <c r="AT179" s="63" t="n">
        <f aca="false">MATCH(MIN(AP179:AS179),AP179:AS179,0)</f>
        <v>3</v>
      </c>
      <c r="AV179" s="17" t="n">
        <f aca="false">SQRT(($B179-AV$139)^2+($C179-AV$140)^2+($D179-AV$141)^2)</f>
        <v>4.11330062694631</v>
      </c>
      <c r="AW179" s="17" t="n">
        <f aca="false">SQRT(($B179-AW$139)^2+($C179-AW$140)^2+($D179-AW$141)^2)</f>
        <v>2.45059907969448</v>
      </c>
      <c r="AX179" s="17" t="n">
        <f aca="false">SQRT(($B179-AX$139)^2+($C179-AX$140)^2+($D179-AX$141)^2)</f>
        <v>0.840111202462083</v>
      </c>
      <c r="AY179" s="17" t="n">
        <f aca="false">SQRT(($B179-AY$139)^2+($C179-AY$140)^2+($D179-AY$141)^2)</f>
        <v>1.16884432456191</v>
      </c>
      <c r="AZ179" s="63" t="n">
        <f aca="false">MATCH(MIN(AV179:AY179),AV179:AY179,0)</f>
        <v>3</v>
      </c>
      <c r="BB179" s="17" t="n">
        <f aca="false">SQRT(($B179-BB$139)^2+($C179-BB$140)^2+($D179-BB$141)^2)</f>
        <v>4.11330062694631</v>
      </c>
      <c r="BC179" s="17" t="n">
        <f aca="false">SQRT(($B179-BC$139)^2+($C179-BC$140)^2+($D179-BC$141)^2)</f>
        <v>2.45059907969448</v>
      </c>
      <c r="BD179" s="17" t="n">
        <f aca="false">SQRT(($B179-BD$139)^2+($C179-BD$140)^2+($D179-BD$141)^2)</f>
        <v>0.840111202462083</v>
      </c>
      <c r="BE179" s="17" t="n">
        <f aca="false">SQRT(($B179-BE$139)^2+($C179-BE$140)^2+($D179-BE$141)^2)</f>
        <v>1.16884432456191</v>
      </c>
      <c r="BF179" s="63" t="n">
        <f aca="false">MATCH(MIN(BB179:BE179),BB179:BE179,0)</f>
        <v>3</v>
      </c>
      <c r="BH179" s="17" t="n">
        <f aca="false">SQRT(($B179-BH$139)^2+($C179-BH$140)^2+($D179-BH$141)^2)</f>
        <v>4.11330062694631</v>
      </c>
      <c r="BI179" s="17" t="n">
        <f aca="false">SQRT(($B179-BI$139)^2+($C179-BI$140)^2+($D179-BI$141)^2)</f>
        <v>2.45059907969448</v>
      </c>
      <c r="BJ179" s="17" t="n">
        <f aca="false">SQRT(($B179-BJ$139)^2+($C179-BJ$140)^2+($D179-BJ$141)^2)</f>
        <v>0.840111202462083</v>
      </c>
      <c r="BK179" s="17" t="n">
        <f aca="false">SQRT(($B179-BK$139)^2+($C179-BK$140)^2+($D179-BK$141)^2)</f>
        <v>1.16884432456191</v>
      </c>
      <c r="BL179" s="63" t="n">
        <f aca="false">MATCH(MIN(BH179:BK179),BH179:BK179,0)</f>
        <v>3</v>
      </c>
      <c r="BN179" s="17" t="n">
        <f aca="false">SQRT(($B179-BN$139)^2+($C179-BN$140)^2+($D179-BN$141)^2)</f>
        <v>4.11330062694631</v>
      </c>
      <c r="BO179" s="17" t="n">
        <f aca="false">SQRT(($B179-BO$139)^2+($C179-BO$140)^2+($D179-BO$141)^2)</f>
        <v>2.45059907969448</v>
      </c>
      <c r="BP179" s="17" t="n">
        <f aca="false">SQRT(($B179-BP$139)^2+($C179-BP$140)^2+($D179-BP$141)^2)</f>
        <v>0.840111202462083</v>
      </c>
      <c r="BQ179" s="17" t="n">
        <f aca="false">SQRT(($B179-BQ$139)^2+($C179-BQ$140)^2+($D179-BQ$141)^2)</f>
        <v>1.16884432456191</v>
      </c>
      <c r="BR179" s="63" t="n">
        <f aca="false">MATCH(MIN(BN179:BQ179),BN179:BQ179,0)</f>
        <v>3</v>
      </c>
      <c r="BT179" s="17" t="n">
        <f aca="false">SQRT(($B179-BT$139)^2+($C179-BT$140)^2+($D179-BT$141)^2)</f>
        <v>4.11330062694631</v>
      </c>
      <c r="BU179" s="17" t="n">
        <f aca="false">SQRT(($B179-BU$139)^2+($C179-BU$140)^2+($D179-BU$141)^2)</f>
        <v>2.45059907969448</v>
      </c>
      <c r="BV179" s="17" t="n">
        <f aca="false">SQRT(($B179-BV$139)^2+($C179-BV$140)^2+($D179-BV$141)^2)</f>
        <v>0.840111202462083</v>
      </c>
      <c r="BW179" s="17" t="n">
        <f aca="false">SQRT(($B179-BW$139)^2+($C179-BW$140)^2+($D179-BW$141)^2)</f>
        <v>1.16884432456191</v>
      </c>
      <c r="BX179" s="63" t="n">
        <f aca="false">MATCH(MIN(BT179:BW179),BT179:BW179,0)</f>
        <v>3</v>
      </c>
      <c r="BZ179" s="17" t="n">
        <f aca="false">SQRT(($B179-BZ$139)^2+($C179-BZ$140)^2+($D179-BZ$141)^2)</f>
        <v>4.11330062694631</v>
      </c>
      <c r="CA179" s="17" t="n">
        <f aca="false">SQRT(($B179-CA$139)^2+($C179-CA$140)^2+($D179-CA$141)^2)</f>
        <v>2.45059907969448</v>
      </c>
      <c r="CB179" s="17" t="n">
        <f aca="false">SQRT(($B179-CB$139)^2+($C179-CB$140)^2+($D179-CB$141)^2)</f>
        <v>0.840111202462083</v>
      </c>
      <c r="CC179" s="17" t="n">
        <f aca="false">SQRT(($B179-CC$139)^2+($C179-CC$140)^2+($D179-CC$141)^2)</f>
        <v>1.16884432456191</v>
      </c>
      <c r="CD179" s="63" t="n">
        <f aca="false">MATCH(MIN(BZ179:CC179),BZ179:CC179,0)</f>
        <v>3</v>
      </c>
      <c r="CF179" s="17" t="n">
        <f aca="false">SQRT(($B179-CF$139)^2+($C179-CF$140)^2+($D179-CF$141)^2)</f>
        <v>4.11330062694631</v>
      </c>
      <c r="CG179" s="17" t="n">
        <f aca="false">SQRT(($B179-CG$139)^2+($C179-CG$140)^2+($D179-CG$141)^2)</f>
        <v>2.45059907969448</v>
      </c>
      <c r="CH179" s="17" t="n">
        <f aca="false">SQRT(($B179-CH$139)^2+($C179-CH$140)^2+($D179-CH$141)^2)</f>
        <v>0.840111202462083</v>
      </c>
      <c r="CI179" s="17" t="n">
        <f aca="false">SQRT(($B179-CI$139)^2+($C179-CI$140)^2+($D179-CI$141)^2)</f>
        <v>1.16884432456191</v>
      </c>
      <c r="CJ179" s="63" t="n">
        <f aca="false">MATCH(MIN(CF179:CI179),CF179:CI179,0)</f>
        <v>3</v>
      </c>
      <c r="CL179" s="17" t="n">
        <f aca="false">SQRT(($B179-CL$139)^2+($C179-CL$140)^2+($D179-CL$141)^2)</f>
        <v>4.11330062694631</v>
      </c>
      <c r="CM179" s="17" t="n">
        <f aca="false">SQRT(($B179-CM$139)^2+($C179-CM$140)^2+($D179-CM$141)^2)</f>
        <v>2.45059907969448</v>
      </c>
      <c r="CN179" s="17" t="n">
        <f aca="false">SQRT(($B179-CN$139)^2+($C179-CN$140)^2+($D179-CN$141)^2)</f>
        <v>0.840111202462083</v>
      </c>
      <c r="CO179" s="17" t="n">
        <f aca="false">SQRT(($B179-CO$139)^2+($C179-CO$140)^2+($D179-CO$141)^2)</f>
        <v>1.16884432456191</v>
      </c>
      <c r="CP179" s="63" t="n">
        <f aca="false">MATCH(MIN(CL179:CO179),CL179:CO179,0)</f>
        <v>3</v>
      </c>
    </row>
    <row r="180" customFormat="false" ht="15" hidden="false" customHeight="false" outlineLevel="0" collapsed="false">
      <c r="A180" s="36" t="str">
        <f aca="false">KMeans_Data!A39</f>
        <v>Mansehra</v>
      </c>
      <c r="B180" s="17" t="n">
        <f aca="false">KMeans_Data!H39</f>
        <v>0.484749830332174</v>
      </c>
      <c r="C180" s="17" t="n">
        <f aca="false">KMeans_Data!I39</f>
        <v>1.38107452085777</v>
      </c>
      <c r="D180" s="17" t="n">
        <f aca="false">KMeans_Data!J39</f>
        <v>0.307315391151031</v>
      </c>
      <c r="E180" s="63" t="n">
        <f aca="false">CP180</f>
        <v>3</v>
      </c>
      <c r="F180" s="38" t="n">
        <f aca="false">($B180-INDEX($L$139:$O$139,E180))^2+($C180-INDEX($L$140:$O$140,E180))^2+($D180-INDEX($L$141:$O$141,E180))^2</f>
        <v>0.919985083981787</v>
      </c>
      <c r="G180" s="17" t="n">
        <f aca="false">IF(COUNTIF(Distance_Matrix!$E$10:$DQ$10,$E180)&lt;=1,0,SUMIF(Distance_Matrix!$E$10:$DQ$10,$E180,Distance_Matrix!$E$48:$DQ$48)/(COUNTIF(Distance_Matrix!$E$10:$DQ$10,$E180)-1))</f>
        <v>1.18146537510284</v>
      </c>
      <c r="H180" s="17" t="n">
        <f aca="false">MIN(IF(1=$E180,1E+099,IF(COUNTIF(Distance_Matrix!$E$10:$DQ$10,1)=0,1E+099,SUMIF(Distance_Matrix!$E$10:$DQ$10,1,Distance_Matrix!$E$48:$DQ$48)/COUNTIF(Distance_Matrix!$E$10:$DQ$10,1))),IF(2=$E180,1E+099,IF(COUNTIF(Distance_Matrix!$E$10:$DQ$10,2)=0,1E+099,SUMIF(Distance_Matrix!$E$10:$DQ$10,2,Distance_Matrix!$E$48:$DQ$48)/COUNTIF(Distance_Matrix!$E$10:$DQ$10,2))),IF(3=$E180,1E+099,IF(COUNTIF(Distance_Matrix!$E$10:$DQ$10,3)=0,1E+099,SUMIF(Distance_Matrix!$E$10:$DQ$10,3,Distance_Matrix!$E$48:$DQ$48)/COUNTIF(Distance_Matrix!$E$10:$DQ$10,3))),IF(4=$E180,1E+099,IF(COUNTIF(Distance_Matrix!$E$10:$DQ$10,4)=0,1E+099,SUMIF(Distance_Matrix!$E$10:$DQ$10,4,Distance_Matrix!$E$48:$DQ$48)/COUNTIF(Distance_Matrix!$E$10:$DQ$10,4))))</f>
        <v>2.21556244481444</v>
      </c>
      <c r="I180" s="17" t="n">
        <f aca="false">IF(COUNTIF(Distance_Matrix!$E$10:$DQ$10,$E180)&lt;=1,0,(H180-G180)/MAX(G180,H180))</f>
        <v>0.466742461776204</v>
      </c>
      <c r="X180" s="17" t="n">
        <f aca="false">SQRT(($B180-X$139)^2+($C180-X$140)^2+($D180-X$141)^2)</f>
        <v>4.84982323598635</v>
      </c>
      <c r="Y180" s="17" t="n">
        <f aca="false">SQRT(($B180-Y$139)^2+($C180-Y$140)^2+($D180-Y$141)^2)</f>
        <v>3.59241920113851</v>
      </c>
      <c r="Z180" s="17" t="n">
        <f aca="false">SQRT(($B180-Z$139)^2+($C180-Z$140)^2+($D180-Z$141)^2)</f>
        <v>1.63184412226407</v>
      </c>
      <c r="AA180" s="17" t="n">
        <f aca="false">SQRT(($B180-AA$139)^2+($C180-AA$140)^2+($D180-AA$141)^2)</f>
        <v>2.11469804278425</v>
      </c>
      <c r="AB180" s="63" t="n">
        <f aca="false">MATCH(MIN(X180:AA180),X180:AA180,0)</f>
        <v>3</v>
      </c>
      <c r="AD180" s="17" t="n">
        <f aca="false">SQRT(($B180-AD$139)^2+($C180-AD$140)^2+($D180-AD$141)^2)</f>
        <v>3.83315058479191</v>
      </c>
      <c r="AE180" s="17" t="n">
        <f aca="false">SQRT(($B180-AE$139)^2+($C180-AE$140)^2+($D180-AE$141)^2)</f>
        <v>2.94332559722086</v>
      </c>
      <c r="AF180" s="17" t="n">
        <f aca="false">SQRT(($B180-AF$139)^2+($C180-AF$140)^2+($D180-AF$141)^2)</f>
        <v>0.994807885168418</v>
      </c>
      <c r="AG180" s="17" t="n">
        <f aca="false">SQRT(($B180-AG$139)^2+($C180-AG$140)^2+($D180-AG$141)^2)</f>
        <v>2.11458005495357</v>
      </c>
      <c r="AH180" s="63" t="n">
        <f aca="false">MATCH(MIN(AD180:AG180),AD180:AG180,0)</f>
        <v>3</v>
      </c>
      <c r="AJ180" s="17" t="n">
        <f aca="false">SQRT(($B180-AJ$139)^2+($C180-AJ$140)^2+($D180-AJ$141)^2)</f>
        <v>3.50757164307014</v>
      </c>
      <c r="AK180" s="17" t="n">
        <f aca="false">SQRT(($B180-AK$139)^2+($C180-AK$140)^2+($D180-AK$141)^2)</f>
        <v>2.95987137289895</v>
      </c>
      <c r="AL180" s="17" t="n">
        <f aca="false">SQRT(($B180-AL$139)^2+($C180-AL$140)^2+($D180-AL$141)^2)</f>
        <v>0.938772334311534</v>
      </c>
      <c r="AM180" s="17" t="n">
        <f aca="false">SQRT(($B180-AM$139)^2+($C180-AM$140)^2+($D180-AM$141)^2)</f>
        <v>2.07991635454641</v>
      </c>
      <c r="AN180" s="63" t="n">
        <f aca="false">MATCH(MIN(AJ180:AM180),AJ180:AM180,0)</f>
        <v>3</v>
      </c>
      <c r="AP180" s="17" t="n">
        <f aca="false">SQRT(($B180-AP$139)^2+($C180-AP$140)^2+($D180-AP$141)^2)</f>
        <v>3.2119039419859</v>
      </c>
      <c r="AQ180" s="17" t="n">
        <f aca="false">SQRT(($B180-AQ$139)^2+($C180-AQ$140)^2+($D180-AQ$141)^2)</f>
        <v>3.02436628399836</v>
      </c>
      <c r="AR180" s="17" t="n">
        <f aca="false">SQRT(($B180-AR$139)^2+($C180-AR$140)^2+($D180-AR$141)^2)</f>
        <v>0.959158529119033</v>
      </c>
      <c r="AS180" s="17" t="n">
        <f aca="false">SQRT(($B180-AS$139)^2+($C180-AS$140)^2+($D180-AS$141)^2)</f>
        <v>2.10021088070962</v>
      </c>
      <c r="AT180" s="63" t="n">
        <f aca="false">MATCH(MIN(AP180:AS180),AP180:AS180,0)</f>
        <v>3</v>
      </c>
      <c r="AV180" s="17" t="n">
        <f aca="false">SQRT(($B180-AV$139)^2+($C180-AV$140)^2+($D180-AV$141)^2)</f>
        <v>3.2119039419859</v>
      </c>
      <c r="AW180" s="17" t="n">
        <f aca="false">SQRT(($B180-AW$139)^2+($C180-AW$140)^2+($D180-AW$141)^2)</f>
        <v>3.02436628399836</v>
      </c>
      <c r="AX180" s="17" t="n">
        <f aca="false">SQRT(($B180-AX$139)^2+($C180-AX$140)^2+($D180-AX$141)^2)</f>
        <v>0.959158529119033</v>
      </c>
      <c r="AY180" s="17" t="n">
        <f aca="false">SQRT(($B180-AY$139)^2+($C180-AY$140)^2+($D180-AY$141)^2)</f>
        <v>2.10021088070962</v>
      </c>
      <c r="AZ180" s="63" t="n">
        <f aca="false">MATCH(MIN(AV180:AY180),AV180:AY180,0)</f>
        <v>3</v>
      </c>
      <c r="BB180" s="17" t="n">
        <f aca="false">SQRT(($B180-BB$139)^2+($C180-BB$140)^2+($D180-BB$141)^2)</f>
        <v>3.2119039419859</v>
      </c>
      <c r="BC180" s="17" t="n">
        <f aca="false">SQRT(($B180-BC$139)^2+($C180-BC$140)^2+($D180-BC$141)^2)</f>
        <v>3.02436628399836</v>
      </c>
      <c r="BD180" s="17" t="n">
        <f aca="false">SQRT(($B180-BD$139)^2+($C180-BD$140)^2+($D180-BD$141)^2)</f>
        <v>0.959158529119033</v>
      </c>
      <c r="BE180" s="17" t="n">
        <f aca="false">SQRT(($B180-BE$139)^2+($C180-BE$140)^2+($D180-BE$141)^2)</f>
        <v>2.10021088070962</v>
      </c>
      <c r="BF180" s="63" t="n">
        <f aca="false">MATCH(MIN(BB180:BE180),BB180:BE180,0)</f>
        <v>3</v>
      </c>
      <c r="BH180" s="17" t="n">
        <f aca="false">SQRT(($B180-BH$139)^2+($C180-BH$140)^2+($D180-BH$141)^2)</f>
        <v>3.2119039419859</v>
      </c>
      <c r="BI180" s="17" t="n">
        <f aca="false">SQRT(($B180-BI$139)^2+($C180-BI$140)^2+($D180-BI$141)^2)</f>
        <v>3.02436628399836</v>
      </c>
      <c r="BJ180" s="17" t="n">
        <f aca="false">SQRT(($B180-BJ$139)^2+($C180-BJ$140)^2+($D180-BJ$141)^2)</f>
        <v>0.959158529119033</v>
      </c>
      <c r="BK180" s="17" t="n">
        <f aca="false">SQRT(($B180-BK$139)^2+($C180-BK$140)^2+($D180-BK$141)^2)</f>
        <v>2.10021088070962</v>
      </c>
      <c r="BL180" s="63" t="n">
        <f aca="false">MATCH(MIN(BH180:BK180),BH180:BK180,0)</f>
        <v>3</v>
      </c>
      <c r="BN180" s="17" t="n">
        <f aca="false">SQRT(($B180-BN$139)^2+($C180-BN$140)^2+($D180-BN$141)^2)</f>
        <v>3.2119039419859</v>
      </c>
      <c r="BO180" s="17" t="n">
        <f aca="false">SQRT(($B180-BO$139)^2+($C180-BO$140)^2+($D180-BO$141)^2)</f>
        <v>3.02436628399836</v>
      </c>
      <c r="BP180" s="17" t="n">
        <f aca="false">SQRT(($B180-BP$139)^2+($C180-BP$140)^2+($D180-BP$141)^2)</f>
        <v>0.959158529119033</v>
      </c>
      <c r="BQ180" s="17" t="n">
        <f aca="false">SQRT(($B180-BQ$139)^2+($C180-BQ$140)^2+($D180-BQ$141)^2)</f>
        <v>2.10021088070962</v>
      </c>
      <c r="BR180" s="63" t="n">
        <f aca="false">MATCH(MIN(BN180:BQ180),BN180:BQ180,0)</f>
        <v>3</v>
      </c>
      <c r="BT180" s="17" t="n">
        <f aca="false">SQRT(($B180-BT$139)^2+($C180-BT$140)^2+($D180-BT$141)^2)</f>
        <v>3.2119039419859</v>
      </c>
      <c r="BU180" s="17" t="n">
        <f aca="false">SQRT(($B180-BU$139)^2+($C180-BU$140)^2+($D180-BU$141)^2)</f>
        <v>3.02436628399836</v>
      </c>
      <c r="BV180" s="17" t="n">
        <f aca="false">SQRT(($B180-BV$139)^2+($C180-BV$140)^2+($D180-BV$141)^2)</f>
        <v>0.959158529119033</v>
      </c>
      <c r="BW180" s="17" t="n">
        <f aca="false">SQRT(($B180-BW$139)^2+($C180-BW$140)^2+($D180-BW$141)^2)</f>
        <v>2.10021088070962</v>
      </c>
      <c r="BX180" s="63" t="n">
        <f aca="false">MATCH(MIN(BT180:BW180),BT180:BW180,0)</f>
        <v>3</v>
      </c>
      <c r="BZ180" s="17" t="n">
        <f aca="false">SQRT(($B180-BZ$139)^2+($C180-BZ$140)^2+($D180-BZ$141)^2)</f>
        <v>3.2119039419859</v>
      </c>
      <c r="CA180" s="17" t="n">
        <f aca="false">SQRT(($B180-CA$139)^2+($C180-CA$140)^2+($D180-CA$141)^2)</f>
        <v>3.02436628399836</v>
      </c>
      <c r="CB180" s="17" t="n">
        <f aca="false">SQRT(($B180-CB$139)^2+($C180-CB$140)^2+($D180-CB$141)^2)</f>
        <v>0.959158529119033</v>
      </c>
      <c r="CC180" s="17" t="n">
        <f aca="false">SQRT(($B180-CC$139)^2+($C180-CC$140)^2+($D180-CC$141)^2)</f>
        <v>2.10021088070962</v>
      </c>
      <c r="CD180" s="63" t="n">
        <f aca="false">MATCH(MIN(BZ180:CC180),BZ180:CC180,0)</f>
        <v>3</v>
      </c>
      <c r="CF180" s="17" t="n">
        <f aca="false">SQRT(($B180-CF$139)^2+($C180-CF$140)^2+($D180-CF$141)^2)</f>
        <v>3.2119039419859</v>
      </c>
      <c r="CG180" s="17" t="n">
        <f aca="false">SQRT(($B180-CG$139)^2+($C180-CG$140)^2+($D180-CG$141)^2)</f>
        <v>3.02436628399836</v>
      </c>
      <c r="CH180" s="17" t="n">
        <f aca="false">SQRT(($B180-CH$139)^2+($C180-CH$140)^2+($D180-CH$141)^2)</f>
        <v>0.959158529119033</v>
      </c>
      <c r="CI180" s="17" t="n">
        <f aca="false">SQRT(($B180-CI$139)^2+($C180-CI$140)^2+($D180-CI$141)^2)</f>
        <v>2.10021088070962</v>
      </c>
      <c r="CJ180" s="63" t="n">
        <f aca="false">MATCH(MIN(CF180:CI180),CF180:CI180,0)</f>
        <v>3</v>
      </c>
      <c r="CL180" s="17" t="n">
        <f aca="false">SQRT(($B180-CL$139)^2+($C180-CL$140)^2+($D180-CL$141)^2)</f>
        <v>3.2119039419859</v>
      </c>
      <c r="CM180" s="17" t="n">
        <f aca="false">SQRT(($B180-CM$139)^2+($C180-CM$140)^2+($D180-CM$141)^2)</f>
        <v>3.02436628399836</v>
      </c>
      <c r="CN180" s="17" t="n">
        <f aca="false">SQRT(($B180-CN$139)^2+($C180-CN$140)^2+($D180-CN$141)^2)</f>
        <v>0.959158529119033</v>
      </c>
      <c r="CO180" s="17" t="n">
        <f aca="false">SQRT(($B180-CO$139)^2+($C180-CO$140)^2+($D180-CO$141)^2)</f>
        <v>2.10021088070962</v>
      </c>
      <c r="CP180" s="63" t="n">
        <f aca="false">MATCH(MIN(CL180:CO180),CL180:CO180,0)</f>
        <v>3</v>
      </c>
    </row>
    <row r="181" customFormat="false" ht="15" hidden="false" customHeight="false" outlineLevel="0" collapsed="false">
      <c r="A181" s="36" t="str">
        <f aca="false">KMeans_Data!A40</f>
        <v>Swabi</v>
      </c>
      <c r="B181" s="17" t="n">
        <f aca="false">KMeans_Data!H40</f>
        <v>0.453667759197148</v>
      </c>
      <c r="C181" s="17" t="n">
        <f aca="false">KMeans_Data!I40</f>
        <v>1.14585991869933</v>
      </c>
      <c r="D181" s="17" t="n">
        <f aca="false">KMeans_Data!J40</f>
        <v>0.719667253181963</v>
      </c>
      <c r="E181" s="63" t="n">
        <f aca="false">CP181</f>
        <v>3</v>
      </c>
      <c r="F181" s="38" t="n">
        <f aca="false">($B181-INDEX($L$139:$O$139,E181))^2+($C181-INDEX($L$140:$O$140,E181))^2+($D181-INDEX($L$141:$O$141,E181))^2</f>
        <v>0.333150545506991</v>
      </c>
      <c r="G181" s="17" t="n">
        <f aca="false">IF(COUNTIF(Distance_Matrix!$E$10:$DQ$10,$E181)&lt;=1,0,SUMIF(Distance_Matrix!$E$10:$DQ$10,$E181,Distance_Matrix!$E$49:$DQ$49)/(COUNTIF(Distance_Matrix!$E$10:$DQ$10,$E181)-1))</f>
        <v>0.917133299960616</v>
      </c>
      <c r="H181" s="17" t="n">
        <f aca="false">MIN(IF(1=$E181,1E+099,IF(COUNTIF(Distance_Matrix!$E$10:$DQ$10,1)=0,1E+099,SUMIF(Distance_Matrix!$E$10:$DQ$10,1,Distance_Matrix!$E$49:$DQ$49)/COUNTIF(Distance_Matrix!$E$10:$DQ$10,1))),IF(2=$E181,1E+099,IF(COUNTIF(Distance_Matrix!$E$10:$DQ$10,2)=0,1E+099,SUMIF(Distance_Matrix!$E$10:$DQ$10,2,Distance_Matrix!$E$49:$DQ$49)/COUNTIF(Distance_Matrix!$E$10:$DQ$10,2))),IF(3=$E181,1E+099,IF(COUNTIF(Distance_Matrix!$E$10:$DQ$10,3)=0,1E+099,SUMIF(Distance_Matrix!$E$10:$DQ$10,3,Distance_Matrix!$E$49:$DQ$49)/COUNTIF(Distance_Matrix!$E$10:$DQ$10,3))),IF(4=$E181,1E+099,IF(COUNTIF(Distance_Matrix!$E$10:$DQ$10,4)=0,1E+099,SUMIF(Distance_Matrix!$E$10:$DQ$10,4,Distance_Matrix!$E$49:$DQ$49)/COUNTIF(Distance_Matrix!$E$10:$DQ$10,4))))</f>
        <v>2.17556095956623</v>
      </c>
      <c r="I181" s="17" t="n">
        <f aca="false">IF(COUNTIF(Distance_Matrix!$E$10:$DQ$10,$E181)&lt;=1,0,(H181-G181)/MAX(G181,H181))</f>
        <v>0.578438243282562</v>
      </c>
      <c r="X181" s="17" t="n">
        <f aca="false">SQRT(($B181-X$139)^2+($C181-X$140)^2+($D181-X$141)^2)</f>
        <v>4.76882981559524</v>
      </c>
      <c r="Y181" s="17" t="n">
        <f aca="false">SQRT(($B181-Y$139)^2+($C181-Y$140)^2+($D181-Y$141)^2)</f>
        <v>3.6338012413689</v>
      </c>
      <c r="Z181" s="17" t="n">
        <f aca="false">SQRT(($B181-Z$139)^2+($C181-Z$140)^2+($D181-Z$141)^2)</f>
        <v>1.22181615707812</v>
      </c>
      <c r="AA181" s="17" t="n">
        <f aca="false">SQRT(($B181-AA$139)^2+($C181-AA$140)^2+($D181-AA$141)^2)</f>
        <v>2.27765135589093</v>
      </c>
      <c r="AB181" s="63" t="n">
        <f aca="false">MATCH(MIN(X181:AA181),X181:AA181,0)</f>
        <v>3</v>
      </c>
      <c r="AD181" s="17" t="n">
        <f aca="false">SQRT(($B181-AD$139)^2+($C181-AD$140)^2+($D181-AD$141)^2)</f>
        <v>3.77751485375494</v>
      </c>
      <c r="AE181" s="17" t="n">
        <f aca="false">SQRT(($B181-AE$139)^2+($C181-AE$140)^2+($D181-AE$141)^2)</f>
        <v>2.97483321612279</v>
      </c>
      <c r="AF181" s="17" t="n">
        <f aca="false">SQRT(($B181-AF$139)^2+($C181-AF$140)^2+($D181-AF$141)^2)</f>
        <v>0.610890001830736</v>
      </c>
      <c r="AG181" s="17" t="n">
        <f aca="false">SQRT(($B181-AG$139)^2+($C181-AG$140)^2+($D181-AG$141)^2)</f>
        <v>2.11217487514297</v>
      </c>
      <c r="AH181" s="63" t="n">
        <f aca="false">MATCH(MIN(AD181:AG181),AD181:AG181,0)</f>
        <v>3</v>
      </c>
      <c r="AJ181" s="17" t="n">
        <f aca="false">SQRT(($B181-AJ$139)^2+($C181-AJ$140)^2+($D181-AJ$141)^2)</f>
        <v>3.44468235879044</v>
      </c>
      <c r="AK181" s="17" t="n">
        <f aca="false">SQRT(($B181-AK$139)^2+($C181-AK$140)^2+($D181-AK$141)^2)</f>
        <v>2.99823316968467</v>
      </c>
      <c r="AL181" s="17" t="n">
        <f aca="false">SQRT(($B181-AL$139)^2+($C181-AL$140)^2+($D181-AL$141)^2)</f>
        <v>0.550792426903313</v>
      </c>
      <c r="AM181" s="17" t="n">
        <f aca="false">SQRT(($B181-AM$139)^2+($C181-AM$140)^2+($D181-AM$141)^2)</f>
        <v>2.05012469831221</v>
      </c>
      <c r="AN181" s="63" t="n">
        <f aca="false">MATCH(MIN(AJ181:AM181),AJ181:AM181,0)</f>
        <v>3</v>
      </c>
      <c r="AP181" s="17" t="n">
        <f aca="false">SQRT(($B181-AP$139)^2+($C181-AP$140)^2+($D181-AP$141)^2)</f>
        <v>3.14811378972071</v>
      </c>
      <c r="AQ181" s="17" t="n">
        <f aca="false">SQRT(($B181-AQ$139)^2+($C181-AQ$140)^2+($D181-AQ$141)^2)</f>
        <v>3.07349683686746</v>
      </c>
      <c r="AR181" s="17" t="n">
        <f aca="false">SQRT(($B181-AR$139)^2+($C181-AR$140)^2+($D181-AR$141)^2)</f>
        <v>0.577191948581225</v>
      </c>
      <c r="AS181" s="17" t="n">
        <f aca="false">SQRT(($B181-AS$139)^2+($C181-AS$140)^2+($D181-AS$141)^2)</f>
        <v>2.06715580179756</v>
      </c>
      <c r="AT181" s="63" t="n">
        <f aca="false">MATCH(MIN(AP181:AS181),AP181:AS181,0)</f>
        <v>3</v>
      </c>
      <c r="AV181" s="17" t="n">
        <f aca="false">SQRT(($B181-AV$139)^2+($C181-AV$140)^2+($D181-AV$141)^2)</f>
        <v>3.14811378972071</v>
      </c>
      <c r="AW181" s="17" t="n">
        <f aca="false">SQRT(($B181-AW$139)^2+($C181-AW$140)^2+($D181-AW$141)^2)</f>
        <v>3.07349683686746</v>
      </c>
      <c r="AX181" s="17" t="n">
        <f aca="false">SQRT(($B181-AX$139)^2+($C181-AX$140)^2+($D181-AX$141)^2)</f>
        <v>0.577191948581225</v>
      </c>
      <c r="AY181" s="17" t="n">
        <f aca="false">SQRT(($B181-AY$139)^2+($C181-AY$140)^2+($D181-AY$141)^2)</f>
        <v>2.06715580179756</v>
      </c>
      <c r="AZ181" s="63" t="n">
        <f aca="false">MATCH(MIN(AV181:AY181),AV181:AY181,0)</f>
        <v>3</v>
      </c>
      <c r="BB181" s="17" t="n">
        <f aca="false">SQRT(($B181-BB$139)^2+($C181-BB$140)^2+($D181-BB$141)^2)</f>
        <v>3.14811378972071</v>
      </c>
      <c r="BC181" s="17" t="n">
        <f aca="false">SQRT(($B181-BC$139)^2+($C181-BC$140)^2+($D181-BC$141)^2)</f>
        <v>3.07349683686746</v>
      </c>
      <c r="BD181" s="17" t="n">
        <f aca="false">SQRT(($B181-BD$139)^2+($C181-BD$140)^2+($D181-BD$141)^2)</f>
        <v>0.577191948581225</v>
      </c>
      <c r="BE181" s="17" t="n">
        <f aca="false">SQRT(($B181-BE$139)^2+($C181-BE$140)^2+($D181-BE$141)^2)</f>
        <v>2.06715580179756</v>
      </c>
      <c r="BF181" s="63" t="n">
        <f aca="false">MATCH(MIN(BB181:BE181),BB181:BE181,0)</f>
        <v>3</v>
      </c>
      <c r="BH181" s="17" t="n">
        <f aca="false">SQRT(($B181-BH$139)^2+($C181-BH$140)^2+($D181-BH$141)^2)</f>
        <v>3.14811378972071</v>
      </c>
      <c r="BI181" s="17" t="n">
        <f aca="false">SQRT(($B181-BI$139)^2+($C181-BI$140)^2+($D181-BI$141)^2)</f>
        <v>3.07349683686746</v>
      </c>
      <c r="BJ181" s="17" t="n">
        <f aca="false">SQRT(($B181-BJ$139)^2+($C181-BJ$140)^2+($D181-BJ$141)^2)</f>
        <v>0.577191948581225</v>
      </c>
      <c r="BK181" s="17" t="n">
        <f aca="false">SQRT(($B181-BK$139)^2+($C181-BK$140)^2+($D181-BK$141)^2)</f>
        <v>2.06715580179756</v>
      </c>
      <c r="BL181" s="63" t="n">
        <f aca="false">MATCH(MIN(BH181:BK181),BH181:BK181,0)</f>
        <v>3</v>
      </c>
      <c r="BN181" s="17" t="n">
        <f aca="false">SQRT(($B181-BN$139)^2+($C181-BN$140)^2+($D181-BN$141)^2)</f>
        <v>3.14811378972071</v>
      </c>
      <c r="BO181" s="17" t="n">
        <f aca="false">SQRT(($B181-BO$139)^2+($C181-BO$140)^2+($D181-BO$141)^2)</f>
        <v>3.07349683686746</v>
      </c>
      <c r="BP181" s="17" t="n">
        <f aca="false">SQRT(($B181-BP$139)^2+($C181-BP$140)^2+($D181-BP$141)^2)</f>
        <v>0.577191948581225</v>
      </c>
      <c r="BQ181" s="17" t="n">
        <f aca="false">SQRT(($B181-BQ$139)^2+($C181-BQ$140)^2+($D181-BQ$141)^2)</f>
        <v>2.06715580179756</v>
      </c>
      <c r="BR181" s="63" t="n">
        <f aca="false">MATCH(MIN(BN181:BQ181),BN181:BQ181,0)</f>
        <v>3</v>
      </c>
      <c r="BT181" s="17" t="n">
        <f aca="false">SQRT(($B181-BT$139)^2+($C181-BT$140)^2+($D181-BT$141)^2)</f>
        <v>3.14811378972071</v>
      </c>
      <c r="BU181" s="17" t="n">
        <f aca="false">SQRT(($B181-BU$139)^2+($C181-BU$140)^2+($D181-BU$141)^2)</f>
        <v>3.07349683686746</v>
      </c>
      <c r="BV181" s="17" t="n">
        <f aca="false">SQRT(($B181-BV$139)^2+($C181-BV$140)^2+($D181-BV$141)^2)</f>
        <v>0.577191948581225</v>
      </c>
      <c r="BW181" s="17" t="n">
        <f aca="false">SQRT(($B181-BW$139)^2+($C181-BW$140)^2+($D181-BW$141)^2)</f>
        <v>2.06715580179756</v>
      </c>
      <c r="BX181" s="63" t="n">
        <f aca="false">MATCH(MIN(BT181:BW181),BT181:BW181,0)</f>
        <v>3</v>
      </c>
      <c r="BZ181" s="17" t="n">
        <f aca="false">SQRT(($B181-BZ$139)^2+($C181-BZ$140)^2+($D181-BZ$141)^2)</f>
        <v>3.14811378972071</v>
      </c>
      <c r="CA181" s="17" t="n">
        <f aca="false">SQRT(($B181-CA$139)^2+($C181-CA$140)^2+($D181-CA$141)^2)</f>
        <v>3.07349683686746</v>
      </c>
      <c r="CB181" s="17" t="n">
        <f aca="false">SQRT(($B181-CB$139)^2+($C181-CB$140)^2+($D181-CB$141)^2)</f>
        <v>0.577191948581225</v>
      </c>
      <c r="CC181" s="17" t="n">
        <f aca="false">SQRT(($B181-CC$139)^2+($C181-CC$140)^2+($D181-CC$141)^2)</f>
        <v>2.06715580179756</v>
      </c>
      <c r="CD181" s="63" t="n">
        <f aca="false">MATCH(MIN(BZ181:CC181),BZ181:CC181,0)</f>
        <v>3</v>
      </c>
      <c r="CF181" s="17" t="n">
        <f aca="false">SQRT(($B181-CF$139)^2+($C181-CF$140)^2+($D181-CF$141)^2)</f>
        <v>3.14811378972071</v>
      </c>
      <c r="CG181" s="17" t="n">
        <f aca="false">SQRT(($B181-CG$139)^2+($C181-CG$140)^2+($D181-CG$141)^2)</f>
        <v>3.07349683686746</v>
      </c>
      <c r="CH181" s="17" t="n">
        <f aca="false">SQRT(($B181-CH$139)^2+($C181-CH$140)^2+($D181-CH$141)^2)</f>
        <v>0.577191948581225</v>
      </c>
      <c r="CI181" s="17" t="n">
        <f aca="false">SQRT(($B181-CI$139)^2+($C181-CI$140)^2+($D181-CI$141)^2)</f>
        <v>2.06715580179756</v>
      </c>
      <c r="CJ181" s="63" t="n">
        <f aca="false">MATCH(MIN(CF181:CI181),CF181:CI181,0)</f>
        <v>3</v>
      </c>
      <c r="CL181" s="17" t="n">
        <f aca="false">SQRT(($B181-CL$139)^2+($C181-CL$140)^2+($D181-CL$141)^2)</f>
        <v>3.14811378972071</v>
      </c>
      <c r="CM181" s="17" t="n">
        <f aca="false">SQRT(($B181-CM$139)^2+($C181-CM$140)^2+($D181-CM$141)^2)</f>
        <v>3.07349683686746</v>
      </c>
      <c r="CN181" s="17" t="n">
        <f aca="false">SQRT(($B181-CN$139)^2+($C181-CN$140)^2+($D181-CN$141)^2)</f>
        <v>0.577191948581225</v>
      </c>
      <c r="CO181" s="17" t="n">
        <f aca="false">SQRT(($B181-CO$139)^2+($C181-CO$140)^2+($D181-CO$141)^2)</f>
        <v>2.06715580179756</v>
      </c>
      <c r="CP181" s="63" t="n">
        <f aca="false">MATCH(MIN(CL181:CO181),CL181:CO181,0)</f>
        <v>3</v>
      </c>
    </row>
    <row r="182" customFormat="false" ht="15" hidden="false" customHeight="false" outlineLevel="0" collapsed="false">
      <c r="A182" s="36" t="str">
        <f aca="false">KMeans_Data!A41</f>
        <v>Haripur</v>
      </c>
      <c r="B182" s="17" t="n">
        <f aca="false">KMeans_Data!H41</f>
        <v>0.433254553932755</v>
      </c>
      <c r="C182" s="17" t="n">
        <f aca="false">KMeans_Data!I41</f>
        <v>0.378684277529216</v>
      </c>
      <c r="D182" s="17" t="n">
        <f aca="false">KMeans_Data!J41</f>
        <v>0.539980232203984</v>
      </c>
      <c r="E182" s="63" t="n">
        <f aca="false">CP182</f>
        <v>3</v>
      </c>
      <c r="F182" s="38" t="n">
        <f aca="false">($B182-INDEX($L$139:$O$139,E182))^2+($C182-INDEX($L$140:$O$140,E182))^2+($D182-INDEX($L$141:$O$141,E182))^2</f>
        <v>0.204146223844192</v>
      </c>
      <c r="G182" s="17" t="n">
        <f aca="false">IF(COUNTIF(Distance_Matrix!$E$10:$DQ$10,$E182)&lt;=1,0,SUMIF(Distance_Matrix!$E$10:$DQ$10,$E182,Distance_Matrix!$E$50:$DQ$50)/(COUNTIF(Distance_Matrix!$E$10:$DQ$10,$E182)-1))</f>
        <v>0.853094020255139</v>
      </c>
      <c r="H182" s="17" t="n">
        <f aca="false">MIN(IF(1=$E182,1E+099,IF(COUNTIF(Distance_Matrix!$E$10:$DQ$10,1)=0,1E+099,SUMIF(Distance_Matrix!$E$10:$DQ$10,1,Distance_Matrix!$E$50:$DQ$50)/COUNTIF(Distance_Matrix!$E$10:$DQ$10,1))),IF(2=$E182,1E+099,IF(COUNTIF(Distance_Matrix!$E$10:$DQ$10,2)=0,1E+099,SUMIF(Distance_Matrix!$E$10:$DQ$10,2,Distance_Matrix!$E$50:$DQ$50)/COUNTIF(Distance_Matrix!$E$10:$DQ$10,2))),IF(3=$E182,1E+099,IF(COUNTIF(Distance_Matrix!$E$10:$DQ$10,3)=0,1E+099,SUMIF(Distance_Matrix!$E$10:$DQ$10,3,Distance_Matrix!$E$50:$DQ$50)/COUNTIF(Distance_Matrix!$E$10:$DQ$10,3))),IF(4=$E182,1E+099,IF(COUNTIF(Distance_Matrix!$E$10:$DQ$10,4)=0,1E+099,SUMIF(Distance_Matrix!$E$10:$DQ$10,4,Distance_Matrix!$E$50:$DQ$50)/COUNTIF(Distance_Matrix!$E$10:$DQ$10,4))))</f>
        <v>1.54586015062084</v>
      </c>
      <c r="I182" s="17" t="n">
        <f aca="false">IF(COUNTIF(Distance_Matrix!$E$10:$DQ$10,$E182)&lt;=1,0,(H182-G182)/MAX(G182,H182))</f>
        <v>0.448142822031782</v>
      </c>
      <c r="X182" s="17" t="n">
        <f aca="false">SQRT(($B182-X$139)^2+($C182-X$140)^2+($D182-X$141)^2)</f>
        <v>5.36910920761941</v>
      </c>
      <c r="Y182" s="17" t="n">
        <f aca="false">SQRT(($B182-Y$139)^2+($C182-Y$140)^2+($D182-Y$141)^2)</f>
        <v>3.20339910703097</v>
      </c>
      <c r="Z182" s="17" t="n">
        <f aca="false">SQRT(($B182-Z$139)^2+($C182-Z$140)^2+($D182-Z$141)^2)</f>
        <v>1.10932638375685</v>
      </c>
      <c r="AA182" s="17" t="n">
        <f aca="false">SQRT(($B182-AA$139)^2+($C182-AA$140)^2+($D182-AA$141)^2)</f>
        <v>1.77841988658411</v>
      </c>
      <c r="AB182" s="63" t="n">
        <f aca="false">MATCH(MIN(X182:AA182),X182:AA182,0)</f>
        <v>3</v>
      </c>
      <c r="AD182" s="17" t="n">
        <f aca="false">SQRT(($B182-AD$139)^2+($C182-AD$140)^2+($D182-AD$141)^2)</f>
        <v>4.38791479168147</v>
      </c>
      <c r="AE182" s="17" t="n">
        <f aca="false">SQRT(($B182-AE$139)^2+($C182-AE$140)^2+($D182-AE$141)^2)</f>
        <v>2.45877135796883</v>
      </c>
      <c r="AF182" s="17" t="n">
        <f aca="false">SQRT(($B182-AF$139)^2+($C182-AF$140)^2+($D182-AF$141)^2)</f>
        <v>0.430191012765143</v>
      </c>
      <c r="AG182" s="17" t="n">
        <f aca="false">SQRT(($B182-AG$139)^2+($C182-AG$140)^2+($D182-AG$141)^2)</f>
        <v>1.45240214664285</v>
      </c>
      <c r="AH182" s="63" t="n">
        <f aca="false">MATCH(MIN(AD182:AG182),AD182:AG182,0)</f>
        <v>3</v>
      </c>
      <c r="AJ182" s="17" t="n">
        <f aca="false">SQRT(($B182-AJ$139)^2+($C182-AJ$140)^2+($D182-AJ$141)^2)</f>
        <v>4.04276695173369</v>
      </c>
      <c r="AK182" s="17" t="n">
        <f aca="false">SQRT(($B182-AK$139)^2+($C182-AK$140)^2+($D182-AK$141)^2)</f>
        <v>2.4834603638097</v>
      </c>
      <c r="AL182" s="17" t="n">
        <f aca="false">SQRT(($B182-AL$139)^2+($C182-AL$140)^2+($D182-AL$141)^2)</f>
        <v>0.495868681071848</v>
      </c>
      <c r="AM182" s="17" t="n">
        <f aca="false">SQRT(($B182-AM$139)^2+($C182-AM$140)^2+($D182-AM$141)^2)</f>
        <v>1.37288010108758</v>
      </c>
      <c r="AN182" s="63" t="n">
        <f aca="false">MATCH(MIN(AJ182:AM182),AJ182:AM182,0)</f>
        <v>3</v>
      </c>
      <c r="AP182" s="17" t="n">
        <f aca="false">SQRT(($B182-AP$139)^2+($C182-AP$140)^2+($D182-AP$141)^2)</f>
        <v>3.75151156237345</v>
      </c>
      <c r="AQ182" s="17" t="n">
        <f aca="false">SQRT(($B182-AQ$139)^2+($C182-AQ$140)^2+($D182-AQ$141)^2)</f>
        <v>2.5679601868475</v>
      </c>
      <c r="AR182" s="17" t="n">
        <f aca="false">SQRT(($B182-AR$139)^2+($C182-AR$140)^2+($D182-AR$141)^2)</f>
        <v>0.451825435145247</v>
      </c>
      <c r="AS182" s="17" t="n">
        <f aca="false">SQRT(($B182-AS$139)^2+($C182-AS$140)^2+($D182-AS$141)^2)</f>
        <v>1.39264632720739</v>
      </c>
      <c r="AT182" s="63" t="n">
        <f aca="false">MATCH(MIN(AP182:AS182),AP182:AS182,0)</f>
        <v>3</v>
      </c>
      <c r="AV182" s="17" t="n">
        <f aca="false">SQRT(($B182-AV$139)^2+($C182-AV$140)^2+($D182-AV$141)^2)</f>
        <v>3.75151156237345</v>
      </c>
      <c r="AW182" s="17" t="n">
        <f aca="false">SQRT(($B182-AW$139)^2+($C182-AW$140)^2+($D182-AW$141)^2)</f>
        <v>2.5679601868475</v>
      </c>
      <c r="AX182" s="17" t="n">
        <f aca="false">SQRT(($B182-AX$139)^2+($C182-AX$140)^2+($D182-AX$141)^2)</f>
        <v>0.451825435145247</v>
      </c>
      <c r="AY182" s="17" t="n">
        <f aca="false">SQRT(($B182-AY$139)^2+($C182-AY$140)^2+($D182-AY$141)^2)</f>
        <v>1.39264632720739</v>
      </c>
      <c r="AZ182" s="63" t="n">
        <f aca="false">MATCH(MIN(AV182:AY182),AV182:AY182,0)</f>
        <v>3</v>
      </c>
      <c r="BB182" s="17" t="n">
        <f aca="false">SQRT(($B182-BB$139)^2+($C182-BB$140)^2+($D182-BB$141)^2)</f>
        <v>3.75151156237345</v>
      </c>
      <c r="BC182" s="17" t="n">
        <f aca="false">SQRT(($B182-BC$139)^2+($C182-BC$140)^2+($D182-BC$141)^2)</f>
        <v>2.5679601868475</v>
      </c>
      <c r="BD182" s="17" t="n">
        <f aca="false">SQRT(($B182-BD$139)^2+($C182-BD$140)^2+($D182-BD$141)^2)</f>
        <v>0.451825435145247</v>
      </c>
      <c r="BE182" s="17" t="n">
        <f aca="false">SQRT(($B182-BE$139)^2+($C182-BE$140)^2+($D182-BE$141)^2)</f>
        <v>1.39264632720739</v>
      </c>
      <c r="BF182" s="63" t="n">
        <f aca="false">MATCH(MIN(BB182:BE182),BB182:BE182,0)</f>
        <v>3</v>
      </c>
      <c r="BH182" s="17" t="n">
        <f aca="false">SQRT(($B182-BH$139)^2+($C182-BH$140)^2+($D182-BH$141)^2)</f>
        <v>3.75151156237345</v>
      </c>
      <c r="BI182" s="17" t="n">
        <f aca="false">SQRT(($B182-BI$139)^2+($C182-BI$140)^2+($D182-BI$141)^2)</f>
        <v>2.5679601868475</v>
      </c>
      <c r="BJ182" s="17" t="n">
        <f aca="false">SQRT(($B182-BJ$139)^2+($C182-BJ$140)^2+($D182-BJ$141)^2)</f>
        <v>0.451825435145247</v>
      </c>
      <c r="BK182" s="17" t="n">
        <f aca="false">SQRT(($B182-BK$139)^2+($C182-BK$140)^2+($D182-BK$141)^2)</f>
        <v>1.39264632720739</v>
      </c>
      <c r="BL182" s="63" t="n">
        <f aca="false">MATCH(MIN(BH182:BK182),BH182:BK182,0)</f>
        <v>3</v>
      </c>
      <c r="BN182" s="17" t="n">
        <f aca="false">SQRT(($B182-BN$139)^2+($C182-BN$140)^2+($D182-BN$141)^2)</f>
        <v>3.75151156237345</v>
      </c>
      <c r="BO182" s="17" t="n">
        <f aca="false">SQRT(($B182-BO$139)^2+($C182-BO$140)^2+($D182-BO$141)^2)</f>
        <v>2.5679601868475</v>
      </c>
      <c r="BP182" s="17" t="n">
        <f aca="false">SQRT(($B182-BP$139)^2+($C182-BP$140)^2+($D182-BP$141)^2)</f>
        <v>0.451825435145247</v>
      </c>
      <c r="BQ182" s="17" t="n">
        <f aca="false">SQRT(($B182-BQ$139)^2+($C182-BQ$140)^2+($D182-BQ$141)^2)</f>
        <v>1.39264632720739</v>
      </c>
      <c r="BR182" s="63" t="n">
        <f aca="false">MATCH(MIN(BN182:BQ182),BN182:BQ182,0)</f>
        <v>3</v>
      </c>
      <c r="BT182" s="17" t="n">
        <f aca="false">SQRT(($B182-BT$139)^2+($C182-BT$140)^2+($D182-BT$141)^2)</f>
        <v>3.75151156237345</v>
      </c>
      <c r="BU182" s="17" t="n">
        <f aca="false">SQRT(($B182-BU$139)^2+($C182-BU$140)^2+($D182-BU$141)^2)</f>
        <v>2.5679601868475</v>
      </c>
      <c r="BV182" s="17" t="n">
        <f aca="false">SQRT(($B182-BV$139)^2+($C182-BV$140)^2+($D182-BV$141)^2)</f>
        <v>0.451825435145247</v>
      </c>
      <c r="BW182" s="17" t="n">
        <f aca="false">SQRT(($B182-BW$139)^2+($C182-BW$140)^2+($D182-BW$141)^2)</f>
        <v>1.39264632720739</v>
      </c>
      <c r="BX182" s="63" t="n">
        <f aca="false">MATCH(MIN(BT182:BW182),BT182:BW182,0)</f>
        <v>3</v>
      </c>
      <c r="BZ182" s="17" t="n">
        <f aca="false">SQRT(($B182-BZ$139)^2+($C182-BZ$140)^2+($D182-BZ$141)^2)</f>
        <v>3.75151156237345</v>
      </c>
      <c r="CA182" s="17" t="n">
        <f aca="false">SQRT(($B182-CA$139)^2+($C182-CA$140)^2+($D182-CA$141)^2)</f>
        <v>2.5679601868475</v>
      </c>
      <c r="CB182" s="17" t="n">
        <f aca="false">SQRT(($B182-CB$139)^2+($C182-CB$140)^2+($D182-CB$141)^2)</f>
        <v>0.451825435145247</v>
      </c>
      <c r="CC182" s="17" t="n">
        <f aca="false">SQRT(($B182-CC$139)^2+($C182-CC$140)^2+($D182-CC$141)^2)</f>
        <v>1.39264632720739</v>
      </c>
      <c r="CD182" s="63" t="n">
        <f aca="false">MATCH(MIN(BZ182:CC182),BZ182:CC182,0)</f>
        <v>3</v>
      </c>
      <c r="CF182" s="17" t="n">
        <f aca="false">SQRT(($B182-CF$139)^2+($C182-CF$140)^2+($D182-CF$141)^2)</f>
        <v>3.75151156237345</v>
      </c>
      <c r="CG182" s="17" t="n">
        <f aca="false">SQRT(($B182-CG$139)^2+($C182-CG$140)^2+($D182-CG$141)^2)</f>
        <v>2.5679601868475</v>
      </c>
      <c r="CH182" s="17" t="n">
        <f aca="false">SQRT(($B182-CH$139)^2+($C182-CH$140)^2+($D182-CH$141)^2)</f>
        <v>0.451825435145247</v>
      </c>
      <c r="CI182" s="17" t="n">
        <f aca="false">SQRT(($B182-CI$139)^2+($C182-CI$140)^2+($D182-CI$141)^2)</f>
        <v>1.39264632720739</v>
      </c>
      <c r="CJ182" s="63" t="n">
        <f aca="false">MATCH(MIN(CF182:CI182),CF182:CI182,0)</f>
        <v>3</v>
      </c>
      <c r="CL182" s="17" t="n">
        <f aca="false">SQRT(($B182-CL$139)^2+($C182-CL$140)^2+($D182-CL$141)^2)</f>
        <v>3.75151156237345</v>
      </c>
      <c r="CM182" s="17" t="n">
        <f aca="false">SQRT(($B182-CM$139)^2+($C182-CM$140)^2+($D182-CM$141)^2)</f>
        <v>2.5679601868475</v>
      </c>
      <c r="CN182" s="17" t="n">
        <f aca="false">SQRT(($B182-CN$139)^2+($C182-CN$140)^2+($D182-CN$141)^2)</f>
        <v>0.451825435145247</v>
      </c>
      <c r="CO182" s="17" t="n">
        <f aca="false">SQRT(($B182-CO$139)^2+($C182-CO$140)^2+($D182-CO$141)^2)</f>
        <v>1.39264632720739</v>
      </c>
      <c r="CP182" s="63" t="n">
        <f aca="false">MATCH(MIN(CL182:CO182),CL182:CO182,0)</f>
        <v>3</v>
      </c>
    </row>
    <row r="183" customFormat="false" ht="15" hidden="false" customHeight="false" outlineLevel="0" collapsed="false">
      <c r="A183" s="36" t="str">
        <f aca="false">KMeans_Data!A42</f>
        <v>Battagram</v>
      </c>
      <c r="B183" s="17" t="n">
        <f aca="false">KMeans_Data!H42</f>
        <v>0.429074049388274</v>
      </c>
      <c r="C183" s="17" t="n">
        <f aca="false">KMeans_Data!I42</f>
        <v>0.378684277529216</v>
      </c>
      <c r="D183" s="17" t="n">
        <f aca="false">KMeans_Data!J42</f>
        <v>0.460346385840384</v>
      </c>
      <c r="E183" s="63" t="n">
        <f aca="false">CP183</f>
        <v>3</v>
      </c>
      <c r="F183" s="38" t="n">
        <f aca="false">($B183-INDEX($L$139:$O$139,E183))^2+($C183-INDEX($L$140:$O$140,E183))^2+($D183-INDEX($L$141:$O$141,E183))^2</f>
        <v>0.26450905397417</v>
      </c>
      <c r="G183" s="17" t="n">
        <f aca="false">IF(COUNTIF(Distance_Matrix!$E$10:$DQ$10,$E183)&lt;=1,0,SUMIF(Distance_Matrix!$E$10:$DQ$10,$E183,Distance_Matrix!$E$51:$DQ$51)/(COUNTIF(Distance_Matrix!$E$10:$DQ$10,$E183)-1))</f>
        <v>0.882662649105476</v>
      </c>
      <c r="H183" s="17" t="n">
        <f aca="false">MIN(IF(1=$E183,1E+099,IF(COUNTIF(Distance_Matrix!$E$10:$DQ$10,1)=0,1E+099,SUMIF(Distance_Matrix!$E$10:$DQ$10,1,Distance_Matrix!$E$51:$DQ$51)/COUNTIF(Distance_Matrix!$E$10:$DQ$10,1))),IF(2=$E183,1E+099,IF(COUNTIF(Distance_Matrix!$E$10:$DQ$10,2)=0,1E+099,SUMIF(Distance_Matrix!$E$10:$DQ$10,2,Distance_Matrix!$E$51:$DQ$51)/COUNTIF(Distance_Matrix!$E$10:$DQ$10,2))),IF(3=$E183,1E+099,IF(COUNTIF(Distance_Matrix!$E$10:$DQ$10,3)=0,1E+099,SUMIF(Distance_Matrix!$E$10:$DQ$10,3,Distance_Matrix!$E$51:$DQ$51)/COUNTIF(Distance_Matrix!$E$10:$DQ$10,3))),IF(4=$E183,1E+099,IF(COUNTIF(Distance_Matrix!$E$10:$DQ$10,4)=0,1E+099,SUMIF(Distance_Matrix!$E$10:$DQ$10,4,Distance_Matrix!$E$51:$DQ$51)/COUNTIF(Distance_Matrix!$E$10:$DQ$10,4))))</f>
        <v>1.50141662315048</v>
      </c>
      <c r="I183" s="17" t="n">
        <f aca="false">IF(COUNTIF(Distance_Matrix!$E$10:$DQ$10,$E183)&lt;=1,0,(H183-G183)/MAX(G183,H183))</f>
        <v>0.412113443067286</v>
      </c>
      <c r="X183" s="17" t="n">
        <f aca="false">SQRT(($B183-X$139)^2+($C183-X$140)^2+($D183-X$141)^2)</f>
        <v>5.41197722243839</v>
      </c>
      <c r="Y183" s="17" t="n">
        <f aca="false">SQRT(($B183-Y$139)^2+($C183-Y$140)^2+($D183-Y$141)^2)</f>
        <v>3.15889984184424</v>
      </c>
      <c r="Z183" s="17" t="n">
        <f aca="false">SQRT(($B183-Z$139)^2+($C183-Z$140)^2+($D183-Z$141)^2)</f>
        <v>1.179067995595</v>
      </c>
      <c r="AA183" s="17" t="n">
        <f aca="false">SQRT(($B183-AA$139)^2+($C183-AA$140)^2+($D183-AA$141)^2)</f>
        <v>1.70365690541111</v>
      </c>
      <c r="AB183" s="63" t="n">
        <f aca="false">MATCH(MIN(X183:AA183),X183:AA183,0)</f>
        <v>3</v>
      </c>
      <c r="AD183" s="17" t="n">
        <f aca="false">SQRT(($B183-AD$139)^2+($C183-AD$140)^2+($D183-AD$141)^2)</f>
        <v>4.42606067733436</v>
      </c>
      <c r="AE183" s="17" t="n">
        <f aca="false">SQRT(($B183-AE$139)^2+($C183-AE$140)^2+($D183-AE$141)^2)</f>
        <v>2.40893454541226</v>
      </c>
      <c r="AF183" s="17" t="n">
        <f aca="false">SQRT(($B183-AF$139)^2+($C183-AF$140)^2+($D183-AF$141)^2)</f>
        <v>0.496979750935412</v>
      </c>
      <c r="AG183" s="17" t="n">
        <f aca="false">SQRT(($B183-AG$139)^2+($C183-AG$140)^2+($D183-AG$141)^2)</f>
        <v>1.39421220202858</v>
      </c>
      <c r="AH183" s="63" t="n">
        <f aca="false">MATCH(MIN(AD183:AG183),AD183:AG183,0)</f>
        <v>3</v>
      </c>
      <c r="AJ183" s="17" t="n">
        <f aca="false">SQRT(($B183-AJ$139)^2+($C183-AJ$140)^2+($D183-AJ$141)^2)</f>
        <v>4.08092585092409</v>
      </c>
      <c r="AK183" s="17" t="n">
        <f aca="false">SQRT(($B183-AK$139)^2+($C183-AK$140)^2+($D183-AK$141)^2)</f>
        <v>2.43249514672383</v>
      </c>
      <c r="AL183" s="17" t="n">
        <f aca="false">SQRT(($B183-AL$139)^2+($C183-AL$140)^2+($D183-AL$141)^2)</f>
        <v>0.555740387206225</v>
      </c>
      <c r="AM183" s="17" t="n">
        <f aca="false">SQRT(($B183-AM$139)^2+($C183-AM$140)^2+($D183-AM$141)^2)</f>
        <v>1.31902058473542</v>
      </c>
      <c r="AN183" s="63" t="n">
        <f aca="false">MATCH(MIN(AJ183:AM183),AJ183:AM183,0)</f>
        <v>3</v>
      </c>
      <c r="AP183" s="17" t="n">
        <f aca="false">SQRT(($B183-AP$139)^2+($C183-AP$140)^2+($D183-AP$141)^2)</f>
        <v>3.78928548850642</v>
      </c>
      <c r="AQ183" s="17" t="n">
        <f aca="false">SQRT(($B183-AQ$139)^2+($C183-AQ$140)^2+($D183-AQ$141)^2)</f>
        <v>2.51583658272009</v>
      </c>
      <c r="AR183" s="17" t="n">
        <f aca="false">SQRT(($B183-AR$139)^2+($C183-AR$140)^2+($D183-AR$141)^2)</f>
        <v>0.514304437054718</v>
      </c>
      <c r="AS183" s="17" t="n">
        <f aca="false">SQRT(($B183-AS$139)^2+($C183-AS$140)^2+($D183-AS$141)^2)</f>
        <v>1.33991995504492</v>
      </c>
      <c r="AT183" s="63" t="n">
        <f aca="false">MATCH(MIN(AP183:AS183),AP183:AS183,0)</f>
        <v>3</v>
      </c>
      <c r="AV183" s="17" t="n">
        <f aca="false">SQRT(($B183-AV$139)^2+($C183-AV$140)^2+($D183-AV$141)^2)</f>
        <v>3.78928548850642</v>
      </c>
      <c r="AW183" s="17" t="n">
        <f aca="false">SQRT(($B183-AW$139)^2+($C183-AW$140)^2+($D183-AW$141)^2)</f>
        <v>2.51583658272009</v>
      </c>
      <c r="AX183" s="17" t="n">
        <f aca="false">SQRT(($B183-AX$139)^2+($C183-AX$140)^2+($D183-AX$141)^2)</f>
        <v>0.514304437054718</v>
      </c>
      <c r="AY183" s="17" t="n">
        <f aca="false">SQRT(($B183-AY$139)^2+($C183-AY$140)^2+($D183-AY$141)^2)</f>
        <v>1.33991995504492</v>
      </c>
      <c r="AZ183" s="63" t="n">
        <f aca="false">MATCH(MIN(AV183:AY183),AV183:AY183,0)</f>
        <v>3</v>
      </c>
      <c r="BB183" s="17" t="n">
        <f aca="false">SQRT(($B183-BB$139)^2+($C183-BB$140)^2+($D183-BB$141)^2)</f>
        <v>3.78928548850642</v>
      </c>
      <c r="BC183" s="17" t="n">
        <f aca="false">SQRT(($B183-BC$139)^2+($C183-BC$140)^2+($D183-BC$141)^2)</f>
        <v>2.51583658272009</v>
      </c>
      <c r="BD183" s="17" t="n">
        <f aca="false">SQRT(($B183-BD$139)^2+($C183-BD$140)^2+($D183-BD$141)^2)</f>
        <v>0.514304437054718</v>
      </c>
      <c r="BE183" s="17" t="n">
        <f aca="false">SQRT(($B183-BE$139)^2+($C183-BE$140)^2+($D183-BE$141)^2)</f>
        <v>1.33991995504492</v>
      </c>
      <c r="BF183" s="63" t="n">
        <f aca="false">MATCH(MIN(BB183:BE183),BB183:BE183,0)</f>
        <v>3</v>
      </c>
      <c r="BH183" s="17" t="n">
        <f aca="false">SQRT(($B183-BH$139)^2+($C183-BH$140)^2+($D183-BH$141)^2)</f>
        <v>3.78928548850642</v>
      </c>
      <c r="BI183" s="17" t="n">
        <f aca="false">SQRT(($B183-BI$139)^2+($C183-BI$140)^2+($D183-BI$141)^2)</f>
        <v>2.51583658272009</v>
      </c>
      <c r="BJ183" s="17" t="n">
        <f aca="false">SQRT(($B183-BJ$139)^2+($C183-BJ$140)^2+($D183-BJ$141)^2)</f>
        <v>0.514304437054718</v>
      </c>
      <c r="BK183" s="17" t="n">
        <f aca="false">SQRT(($B183-BK$139)^2+($C183-BK$140)^2+($D183-BK$141)^2)</f>
        <v>1.33991995504492</v>
      </c>
      <c r="BL183" s="63" t="n">
        <f aca="false">MATCH(MIN(BH183:BK183),BH183:BK183,0)</f>
        <v>3</v>
      </c>
      <c r="BN183" s="17" t="n">
        <f aca="false">SQRT(($B183-BN$139)^2+($C183-BN$140)^2+($D183-BN$141)^2)</f>
        <v>3.78928548850642</v>
      </c>
      <c r="BO183" s="17" t="n">
        <f aca="false">SQRT(($B183-BO$139)^2+($C183-BO$140)^2+($D183-BO$141)^2)</f>
        <v>2.51583658272009</v>
      </c>
      <c r="BP183" s="17" t="n">
        <f aca="false">SQRT(($B183-BP$139)^2+($C183-BP$140)^2+($D183-BP$141)^2)</f>
        <v>0.514304437054718</v>
      </c>
      <c r="BQ183" s="17" t="n">
        <f aca="false">SQRT(($B183-BQ$139)^2+($C183-BQ$140)^2+($D183-BQ$141)^2)</f>
        <v>1.33991995504492</v>
      </c>
      <c r="BR183" s="63" t="n">
        <f aca="false">MATCH(MIN(BN183:BQ183),BN183:BQ183,0)</f>
        <v>3</v>
      </c>
      <c r="BT183" s="17" t="n">
        <f aca="false">SQRT(($B183-BT$139)^2+($C183-BT$140)^2+($D183-BT$141)^2)</f>
        <v>3.78928548850642</v>
      </c>
      <c r="BU183" s="17" t="n">
        <f aca="false">SQRT(($B183-BU$139)^2+($C183-BU$140)^2+($D183-BU$141)^2)</f>
        <v>2.51583658272009</v>
      </c>
      <c r="BV183" s="17" t="n">
        <f aca="false">SQRT(($B183-BV$139)^2+($C183-BV$140)^2+($D183-BV$141)^2)</f>
        <v>0.514304437054718</v>
      </c>
      <c r="BW183" s="17" t="n">
        <f aca="false">SQRT(($B183-BW$139)^2+($C183-BW$140)^2+($D183-BW$141)^2)</f>
        <v>1.33991995504492</v>
      </c>
      <c r="BX183" s="63" t="n">
        <f aca="false">MATCH(MIN(BT183:BW183),BT183:BW183,0)</f>
        <v>3</v>
      </c>
      <c r="BZ183" s="17" t="n">
        <f aca="false">SQRT(($B183-BZ$139)^2+($C183-BZ$140)^2+($D183-BZ$141)^2)</f>
        <v>3.78928548850642</v>
      </c>
      <c r="CA183" s="17" t="n">
        <f aca="false">SQRT(($B183-CA$139)^2+($C183-CA$140)^2+($D183-CA$141)^2)</f>
        <v>2.51583658272009</v>
      </c>
      <c r="CB183" s="17" t="n">
        <f aca="false">SQRT(($B183-CB$139)^2+($C183-CB$140)^2+($D183-CB$141)^2)</f>
        <v>0.514304437054718</v>
      </c>
      <c r="CC183" s="17" t="n">
        <f aca="false">SQRT(($B183-CC$139)^2+($C183-CC$140)^2+($D183-CC$141)^2)</f>
        <v>1.33991995504492</v>
      </c>
      <c r="CD183" s="63" t="n">
        <f aca="false">MATCH(MIN(BZ183:CC183),BZ183:CC183,0)</f>
        <v>3</v>
      </c>
      <c r="CF183" s="17" t="n">
        <f aca="false">SQRT(($B183-CF$139)^2+($C183-CF$140)^2+($D183-CF$141)^2)</f>
        <v>3.78928548850642</v>
      </c>
      <c r="CG183" s="17" t="n">
        <f aca="false">SQRT(($B183-CG$139)^2+($C183-CG$140)^2+($D183-CG$141)^2)</f>
        <v>2.51583658272009</v>
      </c>
      <c r="CH183" s="17" t="n">
        <f aca="false">SQRT(($B183-CH$139)^2+($C183-CH$140)^2+($D183-CH$141)^2)</f>
        <v>0.514304437054718</v>
      </c>
      <c r="CI183" s="17" t="n">
        <f aca="false">SQRT(($B183-CI$139)^2+($C183-CI$140)^2+($D183-CI$141)^2)</f>
        <v>1.33991995504492</v>
      </c>
      <c r="CJ183" s="63" t="n">
        <f aca="false">MATCH(MIN(CF183:CI183),CF183:CI183,0)</f>
        <v>3</v>
      </c>
      <c r="CL183" s="17" t="n">
        <f aca="false">SQRT(($B183-CL$139)^2+($C183-CL$140)^2+($D183-CL$141)^2)</f>
        <v>3.78928548850642</v>
      </c>
      <c r="CM183" s="17" t="n">
        <f aca="false">SQRT(($B183-CM$139)^2+($C183-CM$140)^2+($D183-CM$141)^2)</f>
        <v>2.51583658272009</v>
      </c>
      <c r="CN183" s="17" t="n">
        <f aca="false">SQRT(($B183-CN$139)^2+($C183-CN$140)^2+($D183-CN$141)^2)</f>
        <v>0.514304437054718</v>
      </c>
      <c r="CO183" s="17" t="n">
        <f aca="false">SQRT(($B183-CO$139)^2+($C183-CO$140)^2+($D183-CO$141)^2)</f>
        <v>1.33991995504492</v>
      </c>
      <c r="CP183" s="63" t="n">
        <f aca="false">MATCH(MIN(CL183:CO183),CL183:CO183,0)</f>
        <v>3</v>
      </c>
    </row>
    <row r="184" customFormat="false" ht="15" hidden="false" customHeight="false" outlineLevel="0" collapsed="false">
      <c r="A184" s="36" t="str">
        <f aca="false">KMeans_Data!A43</f>
        <v>Kohat</v>
      </c>
      <c r="B184" s="17" t="n">
        <f aca="false">KMeans_Data!H43</f>
        <v>0.407652506674014</v>
      </c>
      <c r="C184" s="17" t="n">
        <f aca="false">KMeans_Data!I43</f>
        <v>1.27255002250608</v>
      </c>
      <c r="D184" s="17" t="n">
        <f aca="false">KMeans_Data!J43</f>
        <v>0.628513491585819</v>
      </c>
      <c r="E184" s="63" t="n">
        <f aca="false">CP184</f>
        <v>3</v>
      </c>
      <c r="F184" s="38" t="n">
        <f aca="false">($B184-INDEX($L$139:$O$139,E184))^2+($C184-INDEX($L$140:$O$140,E184))^2+($D184-INDEX($L$141:$O$141,E184))^2</f>
        <v>0.537069380648636</v>
      </c>
      <c r="G184" s="17" t="n">
        <f aca="false">IF(COUNTIF(Distance_Matrix!$E$10:$DQ$10,$E184)&lt;=1,0,SUMIF(Distance_Matrix!$E$10:$DQ$10,$E184,Distance_Matrix!$E$52:$DQ$52)/(COUNTIF(Distance_Matrix!$E$10:$DQ$10,$E184)-1))</f>
        <v>1.00935852718847</v>
      </c>
      <c r="H184" s="17" t="n">
        <f aca="false">MIN(IF(1=$E184,1E+099,IF(COUNTIF(Distance_Matrix!$E$10:$DQ$10,1)=0,1E+099,SUMIF(Distance_Matrix!$E$10:$DQ$10,1,Distance_Matrix!$E$52:$DQ$52)/COUNTIF(Distance_Matrix!$E$10:$DQ$10,1))),IF(2=$E184,1E+099,IF(COUNTIF(Distance_Matrix!$E$10:$DQ$10,2)=0,1E+099,SUMIF(Distance_Matrix!$E$10:$DQ$10,2,Distance_Matrix!$E$52:$DQ$52)/COUNTIF(Distance_Matrix!$E$10:$DQ$10,2))),IF(3=$E184,1E+099,IF(COUNTIF(Distance_Matrix!$E$10:$DQ$10,3)=0,1E+099,SUMIF(Distance_Matrix!$E$10:$DQ$10,3,Distance_Matrix!$E$52:$DQ$52)/COUNTIF(Distance_Matrix!$E$10:$DQ$10,3))),IF(4=$E184,1E+099,IF(COUNTIF(Distance_Matrix!$E$10:$DQ$10,4)=0,1E+099,SUMIF(Distance_Matrix!$E$10:$DQ$10,4,Distance_Matrix!$E$52:$DQ$52)/COUNTIF(Distance_Matrix!$E$10:$DQ$10,4))))</f>
        <v>2.2218005863422</v>
      </c>
      <c r="I184" s="17" t="n">
        <f aca="false">IF(COUNTIF(Distance_Matrix!$E$10:$DQ$10,$E184)&lt;=1,0,(H184-G184)/MAX(G184,H184))</f>
        <v>0.545702466101967</v>
      </c>
      <c r="X184" s="17" t="n">
        <f aca="false">SQRT(($B184-X$139)^2+($C184-X$140)^2+($D184-X$141)^2)</f>
        <v>4.77038426226699</v>
      </c>
      <c r="Y184" s="17" t="n">
        <f aca="false">SQRT(($B184-Y$139)^2+($C184-Y$140)^2+($D184-Y$141)^2)</f>
        <v>3.62195415614862</v>
      </c>
      <c r="Z184" s="17" t="n">
        <f aca="false">SQRT(($B184-Z$139)^2+($C184-Z$140)^2+($D184-Z$141)^2)</f>
        <v>1.37995618620555</v>
      </c>
      <c r="AA184" s="17" t="n">
        <f aca="false">SQRT(($B184-AA$139)^2+($C184-AA$140)^2+($D184-AA$141)^2)</f>
        <v>2.28459260769186</v>
      </c>
      <c r="AB184" s="63" t="n">
        <f aca="false">MATCH(MIN(X184:AA184),X184:AA184,0)</f>
        <v>3</v>
      </c>
      <c r="AD184" s="17" t="n">
        <f aca="false">SQRT(($B184-AD$139)^2+($C184-AD$140)^2+($D184-AD$141)^2)</f>
        <v>3.77294860149715</v>
      </c>
      <c r="AE184" s="17" t="n">
        <f aca="false">SQRT(($B184-AE$139)^2+($C184-AE$140)^2+($D184-AE$141)^2)</f>
        <v>2.97900435317626</v>
      </c>
      <c r="AF184" s="17" t="n">
        <f aca="false">SQRT(($B184-AF$139)^2+($C184-AF$140)^2+($D184-AF$141)^2)</f>
        <v>0.766294273601826</v>
      </c>
      <c r="AG184" s="17" t="n">
        <f aca="false">SQRT(($B184-AG$139)^2+($C184-AG$140)^2+($D184-AG$141)^2)</f>
        <v>2.15166336194387</v>
      </c>
      <c r="AH184" s="63" t="n">
        <f aca="false">MATCH(MIN(AD184:AG184),AD184:AG184,0)</f>
        <v>3</v>
      </c>
      <c r="AJ184" s="17" t="n">
        <f aca="false">SQRT(($B184-AJ$139)^2+($C184-AJ$140)^2+($D184-AJ$141)^2)</f>
        <v>3.44443910496848</v>
      </c>
      <c r="AK184" s="17" t="n">
        <f aca="false">SQRT(($B184-AK$139)^2+($C184-AK$140)^2+($D184-AK$141)^2)</f>
        <v>3.00097562777809</v>
      </c>
      <c r="AL184" s="17" t="n">
        <f aca="false">SQRT(($B184-AL$139)^2+($C184-AL$140)^2+($D184-AL$141)^2)</f>
        <v>0.708080426493462</v>
      </c>
      <c r="AM184" s="17" t="n">
        <f aca="false">SQRT(($B184-AM$139)^2+($C184-AM$140)^2+($D184-AM$141)^2)</f>
        <v>2.09654987305519</v>
      </c>
      <c r="AN184" s="63" t="n">
        <f aca="false">MATCH(MIN(AJ184:AM184),AJ184:AM184,0)</f>
        <v>3</v>
      </c>
      <c r="AP184" s="17" t="n">
        <f aca="false">SQRT(($B184-AP$139)^2+($C184-AP$140)^2+($D184-AP$141)^2)</f>
        <v>3.1473417143301</v>
      </c>
      <c r="AQ184" s="17" t="n">
        <f aca="false">SQRT(($B184-AQ$139)^2+($C184-AQ$140)^2+($D184-AQ$141)^2)</f>
        <v>3.07277782262198</v>
      </c>
      <c r="AR184" s="17" t="n">
        <f aca="false">SQRT(($B184-AR$139)^2+($C184-AR$140)^2+($D184-AR$141)^2)</f>
        <v>0.732850176126496</v>
      </c>
      <c r="AS184" s="17" t="n">
        <f aca="false">SQRT(($B184-AS$139)^2+($C184-AS$140)^2+($D184-AS$141)^2)</f>
        <v>2.11317606126394</v>
      </c>
      <c r="AT184" s="63" t="n">
        <f aca="false">MATCH(MIN(AP184:AS184),AP184:AS184,0)</f>
        <v>3</v>
      </c>
      <c r="AV184" s="17" t="n">
        <f aca="false">SQRT(($B184-AV$139)^2+($C184-AV$140)^2+($D184-AV$141)^2)</f>
        <v>3.1473417143301</v>
      </c>
      <c r="AW184" s="17" t="n">
        <f aca="false">SQRT(($B184-AW$139)^2+($C184-AW$140)^2+($D184-AW$141)^2)</f>
        <v>3.07277782262198</v>
      </c>
      <c r="AX184" s="17" t="n">
        <f aca="false">SQRT(($B184-AX$139)^2+($C184-AX$140)^2+($D184-AX$141)^2)</f>
        <v>0.732850176126496</v>
      </c>
      <c r="AY184" s="17" t="n">
        <f aca="false">SQRT(($B184-AY$139)^2+($C184-AY$140)^2+($D184-AY$141)^2)</f>
        <v>2.11317606126394</v>
      </c>
      <c r="AZ184" s="63" t="n">
        <f aca="false">MATCH(MIN(AV184:AY184),AV184:AY184,0)</f>
        <v>3</v>
      </c>
      <c r="BB184" s="17" t="n">
        <f aca="false">SQRT(($B184-BB$139)^2+($C184-BB$140)^2+($D184-BB$141)^2)</f>
        <v>3.1473417143301</v>
      </c>
      <c r="BC184" s="17" t="n">
        <f aca="false">SQRT(($B184-BC$139)^2+($C184-BC$140)^2+($D184-BC$141)^2)</f>
        <v>3.07277782262198</v>
      </c>
      <c r="BD184" s="17" t="n">
        <f aca="false">SQRT(($B184-BD$139)^2+($C184-BD$140)^2+($D184-BD$141)^2)</f>
        <v>0.732850176126496</v>
      </c>
      <c r="BE184" s="17" t="n">
        <f aca="false">SQRT(($B184-BE$139)^2+($C184-BE$140)^2+($D184-BE$141)^2)</f>
        <v>2.11317606126394</v>
      </c>
      <c r="BF184" s="63" t="n">
        <f aca="false">MATCH(MIN(BB184:BE184),BB184:BE184,0)</f>
        <v>3</v>
      </c>
      <c r="BH184" s="17" t="n">
        <f aca="false">SQRT(($B184-BH$139)^2+($C184-BH$140)^2+($D184-BH$141)^2)</f>
        <v>3.1473417143301</v>
      </c>
      <c r="BI184" s="17" t="n">
        <f aca="false">SQRT(($B184-BI$139)^2+($C184-BI$140)^2+($D184-BI$141)^2)</f>
        <v>3.07277782262198</v>
      </c>
      <c r="BJ184" s="17" t="n">
        <f aca="false">SQRT(($B184-BJ$139)^2+($C184-BJ$140)^2+($D184-BJ$141)^2)</f>
        <v>0.732850176126496</v>
      </c>
      <c r="BK184" s="17" t="n">
        <f aca="false">SQRT(($B184-BK$139)^2+($C184-BK$140)^2+($D184-BK$141)^2)</f>
        <v>2.11317606126394</v>
      </c>
      <c r="BL184" s="63" t="n">
        <f aca="false">MATCH(MIN(BH184:BK184),BH184:BK184,0)</f>
        <v>3</v>
      </c>
      <c r="BN184" s="17" t="n">
        <f aca="false">SQRT(($B184-BN$139)^2+($C184-BN$140)^2+($D184-BN$141)^2)</f>
        <v>3.1473417143301</v>
      </c>
      <c r="BO184" s="17" t="n">
        <f aca="false">SQRT(($B184-BO$139)^2+($C184-BO$140)^2+($D184-BO$141)^2)</f>
        <v>3.07277782262198</v>
      </c>
      <c r="BP184" s="17" t="n">
        <f aca="false">SQRT(($B184-BP$139)^2+($C184-BP$140)^2+($D184-BP$141)^2)</f>
        <v>0.732850176126496</v>
      </c>
      <c r="BQ184" s="17" t="n">
        <f aca="false">SQRT(($B184-BQ$139)^2+($C184-BQ$140)^2+($D184-BQ$141)^2)</f>
        <v>2.11317606126394</v>
      </c>
      <c r="BR184" s="63" t="n">
        <f aca="false">MATCH(MIN(BN184:BQ184),BN184:BQ184,0)</f>
        <v>3</v>
      </c>
      <c r="BT184" s="17" t="n">
        <f aca="false">SQRT(($B184-BT$139)^2+($C184-BT$140)^2+($D184-BT$141)^2)</f>
        <v>3.1473417143301</v>
      </c>
      <c r="BU184" s="17" t="n">
        <f aca="false">SQRT(($B184-BU$139)^2+($C184-BU$140)^2+($D184-BU$141)^2)</f>
        <v>3.07277782262198</v>
      </c>
      <c r="BV184" s="17" t="n">
        <f aca="false">SQRT(($B184-BV$139)^2+($C184-BV$140)^2+($D184-BV$141)^2)</f>
        <v>0.732850176126496</v>
      </c>
      <c r="BW184" s="17" t="n">
        <f aca="false">SQRT(($B184-BW$139)^2+($C184-BW$140)^2+($D184-BW$141)^2)</f>
        <v>2.11317606126394</v>
      </c>
      <c r="BX184" s="63" t="n">
        <f aca="false">MATCH(MIN(BT184:BW184),BT184:BW184,0)</f>
        <v>3</v>
      </c>
      <c r="BZ184" s="17" t="n">
        <f aca="false">SQRT(($B184-BZ$139)^2+($C184-BZ$140)^2+($D184-BZ$141)^2)</f>
        <v>3.1473417143301</v>
      </c>
      <c r="CA184" s="17" t="n">
        <f aca="false">SQRT(($B184-CA$139)^2+($C184-CA$140)^2+($D184-CA$141)^2)</f>
        <v>3.07277782262198</v>
      </c>
      <c r="CB184" s="17" t="n">
        <f aca="false">SQRT(($B184-CB$139)^2+($C184-CB$140)^2+($D184-CB$141)^2)</f>
        <v>0.732850176126496</v>
      </c>
      <c r="CC184" s="17" t="n">
        <f aca="false">SQRT(($B184-CC$139)^2+($C184-CC$140)^2+($D184-CC$141)^2)</f>
        <v>2.11317606126394</v>
      </c>
      <c r="CD184" s="63" t="n">
        <f aca="false">MATCH(MIN(BZ184:CC184),BZ184:CC184,0)</f>
        <v>3</v>
      </c>
      <c r="CF184" s="17" t="n">
        <f aca="false">SQRT(($B184-CF$139)^2+($C184-CF$140)^2+($D184-CF$141)^2)</f>
        <v>3.1473417143301</v>
      </c>
      <c r="CG184" s="17" t="n">
        <f aca="false">SQRT(($B184-CG$139)^2+($C184-CG$140)^2+($D184-CG$141)^2)</f>
        <v>3.07277782262198</v>
      </c>
      <c r="CH184" s="17" t="n">
        <f aca="false">SQRT(($B184-CH$139)^2+($C184-CH$140)^2+($D184-CH$141)^2)</f>
        <v>0.732850176126496</v>
      </c>
      <c r="CI184" s="17" t="n">
        <f aca="false">SQRT(($B184-CI$139)^2+($C184-CI$140)^2+($D184-CI$141)^2)</f>
        <v>2.11317606126394</v>
      </c>
      <c r="CJ184" s="63" t="n">
        <f aca="false">MATCH(MIN(CF184:CI184),CF184:CI184,0)</f>
        <v>3</v>
      </c>
      <c r="CL184" s="17" t="n">
        <f aca="false">SQRT(($B184-CL$139)^2+($C184-CL$140)^2+($D184-CL$141)^2)</f>
        <v>3.1473417143301</v>
      </c>
      <c r="CM184" s="17" t="n">
        <f aca="false">SQRT(($B184-CM$139)^2+($C184-CM$140)^2+($D184-CM$141)^2)</f>
        <v>3.07277782262198</v>
      </c>
      <c r="CN184" s="17" t="n">
        <f aca="false">SQRT(($B184-CN$139)^2+($C184-CN$140)^2+($D184-CN$141)^2)</f>
        <v>0.732850176126496</v>
      </c>
      <c r="CO184" s="17" t="n">
        <f aca="false">SQRT(($B184-CO$139)^2+($C184-CO$140)^2+($D184-CO$141)^2)</f>
        <v>2.11317606126394</v>
      </c>
      <c r="CP184" s="63" t="n">
        <f aca="false">MATCH(MIN(CL184:CO184),CL184:CO184,0)</f>
        <v>3</v>
      </c>
    </row>
    <row r="185" customFormat="false" ht="15" hidden="false" customHeight="false" outlineLevel="0" collapsed="false">
      <c r="A185" s="36" t="str">
        <f aca="false">KMeans_Data!A44</f>
        <v>Kurram</v>
      </c>
      <c r="B185" s="17" t="n">
        <f aca="false">KMeans_Data!H44</f>
        <v>0.389856926462388</v>
      </c>
      <c r="C185" s="17" t="n">
        <f aca="false">KMeans_Data!I44</f>
        <v>0.160512589624996</v>
      </c>
      <c r="D185" s="17" t="n">
        <f aca="false">KMeans_Data!J44</f>
        <v>-0.0786471224747799</v>
      </c>
      <c r="E185" s="63" t="n">
        <f aca="false">CP185</f>
        <v>4</v>
      </c>
      <c r="F185" s="38" t="n">
        <f aca="false">($B185-INDEX($L$139:$O$139,E185))^2+($C185-INDEX($L$140:$O$140,E185))^2+($D185-INDEX($L$141:$O$141,E185))^2</f>
        <v>0.803777764254892</v>
      </c>
      <c r="G185" s="17" t="n">
        <f aca="false">IF(COUNTIF(Distance_Matrix!$E$10:$DQ$10,$E185)&lt;=1,0,SUMIF(Distance_Matrix!$E$10:$DQ$10,$E185,Distance_Matrix!$E$53:$DQ$53)/(COUNTIF(Distance_Matrix!$E$10:$DQ$10,$E185)-1))</f>
        <v>1.17352080353004</v>
      </c>
      <c r="H185" s="17" t="n">
        <f aca="false">MIN(IF(1=$E185,1E+099,IF(COUNTIF(Distance_Matrix!$E$10:$DQ$10,1)=0,1E+099,SUMIF(Distance_Matrix!$E$10:$DQ$10,1,Distance_Matrix!$E$53:$DQ$53)/COUNTIF(Distance_Matrix!$E$10:$DQ$10,1))),IF(2=$E185,1E+099,IF(COUNTIF(Distance_Matrix!$E$10:$DQ$10,2)=0,1E+099,SUMIF(Distance_Matrix!$E$10:$DQ$10,2,Distance_Matrix!$E$53:$DQ$53)/COUNTIF(Distance_Matrix!$E$10:$DQ$10,2))),IF(3=$E185,1E+099,IF(COUNTIF(Distance_Matrix!$E$10:$DQ$10,3)=0,1E+099,SUMIF(Distance_Matrix!$E$10:$DQ$10,3,Distance_Matrix!$E$53:$DQ$53)/COUNTIF(Distance_Matrix!$E$10:$DQ$10,3))),IF(4=$E185,1E+099,IF(COUNTIF(Distance_Matrix!$E$10:$DQ$10,4)=0,1E+099,SUMIF(Distance_Matrix!$E$10:$DQ$10,4,Distance_Matrix!$E$53:$DQ$53)/COUNTIF(Distance_Matrix!$E$10:$DQ$10,4))))</f>
        <v>1.26321548413096</v>
      </c>
      <c r="I185" s="17" t="n">
        <f aca="false">IF(COUNTIF(Distance_Matrix!$E$10:$DQ$10,$E185)&lt;=1,0,(H185-G185)/MAX(G185,H185))</f>
        <v>0.0710050515748985</v>
      </c>
      <c r="X185" s="17" t="n">
        <f aca="false">SQRT(($B185-X$139)^2+($C185-X$140)^2+($D185-X$141)^2)</f>
        <v>5.87022459726912</v>
      </c>
      <c r="Y185" s="17" t="n">
        <f aca="false">SQRT(($B185-Y$139)^2+($C185-Y$140)^2+($D185-Y$141)^2)</f>
        <v>2.81629941685552</v>
      </c>
      <c r="Z185" s="17" t="n">
        <f aca="false">SQRT(($B185-Z$139)^2+($C185-Z$140)^2+($D185-Z$141)^2)</f>
        <v>1.69304179751501</v>
      </c>
      <c r="AA185" s="17" t="n">
        <f aca="false">SQRT(($B185-AA$139)^2+($C185-AA$140)^2+($D185-AA$141)^2)</f>
        <v>1.1395078316512</v>
      </c>
      <c r="AB185" s="63" t="n">
        <f aca="false">MATCH(MIN(X185:AA185),X185:AA185,0)</f>
        <v>4</v>
      </c>
      <c r="AD185" s="17" t="n">
        <f aca="false">SQRT(($B185-AD$139)^2+($C185-AD$140)^2+($D185-AD$141)^2)</f>
        <v>4.86496894242193</v>
      </c>
      <c r="AE185" s="17" t="n">
        <f aca="false">SQRT(($B185-AE$139)^2+($C185-AE$140)^2+($D185-AE$141)^2)</f>
        <v>2.01411846504315</v>
      </c>
      <c r="AF185" s="17" t="n">
        <f aca="false">SQRT(($B185-AF$139)^2+($C185-AF$140)^2+($D185-AF$141)^2)</f>
        <v>1.0673068320492</v>
      </c>
      <c r="AG185" s="17" t="n">
        <f aca="false">SQRT(($B185-AG$139)^2+($C185-AG$140)^2+($D185-AG$141)^2)</f>
        <v>0.903309575940372</v>
      </c>
      <c r="AH185" s="63" t="n">
        <f aca="false">MATCH(MIN(AD185:AG185),AD185:AG185,0)</f>
        <v>4</v>
      </c>
      <c r="AJ185" s="17" t="n">
        <f aca="false">SQRT(($B185-AJ$139)^2+($C185-AJ$140)^2+($D185-AJ$141)^2)</f>
        <v>4.51943442764013</v>
      </c>
      <c r="AK185" s="17" t="n">
        <f aca="false">SQRT(($B185-AK$139)^2+($C185-AK$140)^2+($D185-AK$141)^2)</f>
        <v>2.02906631944184</v>
      </c>
      <c r="AL185" s="17" t="n">
        <f aca="false">SQRT(($B185-AL$139)^2+($C185-AL$140)^2+($D185-AL$141)^2)</f>
        <v>1.11589818489254</v>
      </c>
      <c r="AM185" s="17" t="n">
        <f aca="false">SQRT(($B185-AM$139)^2+($C185-AM$140)^2+($D185-AM$141)^2)</f>
        <v>0.864746761340433</v>
      </c>
      <c r="AN185" s="63" t="n">
        <f aca="false">MATCH(MIN(AJ185:AM185),AJ185:AM185,0)</f>
        <v>4</v>
      </c>
      <c r="AP185" s="17" t="n">
        <f aca="false">SQRT(($B185-AP$139)^2+($C185-AP$140)^2+($D185-AP$141)^2)</f>
        <v>4.22886680140048</v>
      </c>
      <c r="AQ185" s="17" t="n">
        <f aca="false">SQRT(($B185-AQ$139)^2+($C185-AQ$140)^2+($D185-AQ$141)^2)</f>
        <v>2.10516970463941</v>
      </c>
      <c r="AR185" s="17" t="n">
        <f aca="false">SQRT(($B185-AR$139)^2+($C185-AR$140)^2+($D185-AR$141)^2)</f>
        <v>1.07901615271544</v>
      </c>
      <c r="AS185" s="17" t="n">
        <f aca="false">SQRT(($B185-AS$139)^2+($C185-AS$140)^2+($D185-AS$141)^2)</f>
        <v>0.896536538159428</v>
      </c>
      <c r="AT185" s="63" t="n">
        <f aca="false">MATCH(MIN(AP185:AS185),AP185:AS185,0)</f>
        <v>4</v>
      </c>
      <c r="AV185" s="17" t="n">
        <f aca="false">SQRT(($B185-AV$139)^2+($C185-AV$140)^2+($D185-AV$141)^2)</f>
        <v>4.22886680140048</v>
      </c>
      <c r="AW185" s="17" t="n">
        <f aca="false">SQRT(($B185-AW$139)^2+($C185-AW$140)^2+($D185-AW$141)^2)</f>
        <v>2.10516970463941</v>
      </c>
      <c r="AX185" s="17" t="n">
        <f aca="false">SQRT(($B185-AX$139)^2+($C185-AX$140)^2+($D185-AX$141)^2)</f>
        <v>1.07901615271544</v>
      </c>
      <c r="AY185" s="17" t="n">
        <f aca="false">SQRT(($B185-AY$139)^2+($C185-AY$140)^2+($D185-AY$141)^2)</f>
        <v>0.896536538159428</v>
      </c>
      <c r="AZ185" s="63" t="n">
        <f aca="false">MATCH(MIN(AV185:AY185),AV185:AY185,0)</f>
        <v>4</v>
      </c>
      <c r="BB185" s="17" t="n">
        <f aca="false">SQRT(($B185-BB$139)^2+($C185-BB$140)^2+($D185-BB$141)^2)</f>
        <v>4.22886680140048</v>
      </c>
      <c r="BC185" s="17" t="n">
        <f aca="false">SQRT(($B185-BC$139)^2+($C185-BC$140)^2+($D185-BC$141)^2)</f>
        <v>2.10516970463941</v>
      </c>
      <c r="BD185" s="17" t="n">
        <f aca="false">SQRT(($B185-BD$139)^2+($C185-BD$140)^2+($D185-BD$141)^2)</f>
        <v>1.07901615271544</v>
      </c>
      <c r="BE185" s="17" t="n">
        <f aca="false">SQRT(($B185-BE$139)^2+($C185-BE$140)^2+($D185-BE$141)^2)</f>
        <v>0.896536538159428</v>
      </c>
      <c r="BF185" s="63" t="n">
        <f aca="false">MATCH(MIN(BB185:BE185),BB185:BE185,0)</f>
        <v>4</v>
      </c>
      <c r="BH185" s="17" t="n">
        <f aca="false">SQRT(($B185-BH$139)^2+($C185-BH$140)^2+($D185-BH$141)^2)</f>
        <v>4.22886680140048</v>
      </c>
      <c r="BI185" s="17" t="n">
        <f aca="false">SQRT(($B185-BI$139)^2+($C185-BI$140)^2+($D185-BI$141)^2)</f>
        <v>2.10516970463941</v>
      </c>
      <c r="BJ185" s="17" t="n">
        <f aca="false">SQRT(($B185-BJ$139)^2+($C185-BJ$140)^2+($D185-BJ$141)^2)</f>
        <v>1.07901615271544</v>
      </c>
      <c r="BK185" s="17" t="n">
        <f aca="false">SQRT(($B185-BK$139)^2+($C185-BK$140)^2+($D185-BK$141)^2)</f>
        <v>0.896536538159428</v>
      </c>
      <c r="BL185" s="63" t="n">
        <f aca="false">MATCH(MIN(BH185:BK185),BH185:BK185,0)</f>
        <v>4</v>
      </c>
      <c r="BN185" s="17" t="n">
        <f aca="false">SQRT(($B185-BN$139)^2+($C185-BN$140)^2+($D185-BN$141)^2)</f>
        <v>4.22886680140048</v>
      </c>
      <c r="BO185" s="17" t="n">
        <f aca="false">SQRT(($B185-BO$139)^2+($C185-BO$140)^2+($D185-BO$141)^2)</f>
        <v>2.10516970463941</v>
      </c>
      <c r="BP185" s="17" t="n">
        <f aca="false">SQRT(($B185-BP$139)^2+($C185-BP$140)^2+($D185-BP$141)^2)</f>
        <v>1.07901615271544</v>
      </c>
      <c r="BQ185" s="17" t="n">
        <f aca="false">SQRT(($B185-BQ$139)^2+($C185-BQ$140)^2+($D185-BQ$141)^2)</f>
        <v>0.896536538159428</v>
      </c>
      <c r="BR185" s="63" t="n">
        <f aca="false">MATCH(MIN(BN185:BQ185),BN185:BQ185,0)</f>
        <v>4</v>
      </c>
      <c r="BT185" s="17" t="n">
        <f aca="false">SQRT(($B185-BT$139)^2+($C185-BT$140)^2+($D185-BT$141)^2)</f>
        <v>4.22886680140048</v>
      </c>
      <c r="BU185" s="17" t="n">
        <f aca="false">SQRT(($B185-BU$139)^2+($C185-BU$140)^2+($D185-BU$141)^2)</f>
        <v>2.10516970463941</v>
      </c>
      <c r="BV185" s="17" t="n">
        <f aca="false">SQRT(($B185-BV$139)^2+($C185-BV$140)^2+($D185-BV$141)^2)</f>
        <v>1.07901615271544</v>
      </c>
      <c r="BW185" s="17" t="n">
        <f aca="false">SQRT(($B185-BW$139)^2+($C185-BW$140)^2+($D185-BW$141)^2)</f>
        <v>0.896536538159428</v>
      </c>
      <c r="BX185" s="63" t="n">
        <f aca="false">MATCH(MIN(BT185:BW185),BT185:BW185,0)</f>
        <v>4</v>
      </c>
      <c r="BZ185" s="17" t="n">
        <f aca="false">SQRT(($B185-BZ$139)^2+($C185-BZ$140)^2+($D185-BZ$141)^2)</f>
        <v>4.22886680140048</v>
      </c>
      <c r="CA185" s="17" t="n">
        <f aca="false">SQRT(($B185-CA$139)^2+($C185-CA$140)^2+($D185-CA$141)^2)</f>
        <v>2.10516970463941</v>
      </c>
      <c r="CB185" s="17" t="n">
        <f aca="false">SQRT(($B185-CB$139)^2+($C185-CB$140)^2+($D185-CB$141)^2)</f>
        <v>1.07901615271544</v>
      </c>
      <c r="CC185" s="17" t="n">
        <f aca="false">SQRT(($B185-CC$139)^2+($C185-CC$140)^2+($D185-CC$141)^2)</f>
        <v>0.896536538159428</v>
      </c>
      <c r="CD185" s="63" t="n">
        <f aca="false">MATCH(MIN(BZ185:CC185),BZ185:CC185,0)</f>
        <v>4</v>
      </c>
      <c r="CF185" s="17" t="n">
        <f aca="false">SQRT(($B185-CF$139)^2+($C185-CF$140)^2+($D185-CF$141)^2)</f>
        <v>4.22886680140048</v>
      </c>
      <c r="CG185" s="17" t="n">
        <f aca="false">SQRT(($B185-CG$139)^2+($C185-CG$140)^2+($D185-CG$141)^2)</f>
        <v>2.10516970463941</v>
      </c>
      <c r="CH185" s="17" t="n">
        <f aca="false">SQRT(($B185-CH$139)^2+($C185-CH$140)^2+($D185-CH$141)^2)</f>
        <v>1.07901615271544</v>
      </c>
      <c r="CI185" s="17" t="n">
        <f aca="false">SQRT(($B185-CI$139)^2+($C185-CI$140)^2+($D185-CI$141)^2)</f>
        <v>0.896536538159428</v>
      </c>
      <c r="CJ185" s="63" t="n">
        <f aca="false">MATCH(MIN(CF185:CI185),CF185:CI185,0)</f>
        <v>4</v>
      </c>
      <c r="CL185" s="17" t="n">
        <f aca="false">SQRT(($B185-CL$139)^2+($C185-CL$140)^2+($D185-CL$141)^2)</f>
        <v>4.22886680140048</v>
      </c>
      <c r="CM185" s="17" t="n">
        <f aca="false">SQRT(($B185-CM$139)^2+($C185-CM$140)^2+($D185-CM$141)^2)</f>
        <v>2.10516970463941</v>
      </c>
      <c r="CN185" s="17" t="n">
        <f aca="false">SQRT(($B185-CN$139)^2+($C185-CN$140)^2+($D185-CN$141)^2)</f>
        <v>1.07901615271544</v>
      </c>
      <c r="CO185" s="17" t="n">
        <f aca="false">SQRT(($B185-CO$139)^2+($C185-CO$140)^2+($D185-CO$141)^2)</f>
        <v>0.896536538159428</v>
      </c>
      <c r="CP185" s="63" t="n">
        <f aca="false">MATCH(MIN(CL185:CO185),CL185:CO185,0)</f>
        <v>4</v>
      </c>
    </row>
    <row r="186" customFormat="false" ht="15" hidden="false" customHeight="false" outlineLevel="0" collapsed="false">
      <c r="A186" s="36" t="str">
        <f aca="false">KMeans_Data!A45</f>
        <v>Kambar Shahdadkot</v>
      </c>
      <c r="B186" s="17" t="n">
        <f aca="false">KMeans_Data!H45</f>
        <v>0.317115025857358</v>
      </c>
      <c r="C186" s="17" t="n">
        <f aca="false">KMeans_Data!I45</f>
        <v>-0.672650545388274</v>
      </c>
      <c r="D186" s="17" t="n">
        <f aca="false">KMeans_Data!J45</f>
        <v>1.01095878979359</v>
      </c>
      <c r="E186" s="63" t="n">
        <f aca="false">CP186</f>
        <v>3</v>
      </c>
      <c r="F186" s="38" t="n">
        <f aca="false">($B186-INDEX($L$139:$O$139,E186))^2+($C186-INDEX($L$140:$O$140,E186))^2+($D186-INDEX($L$141:$O$141,E186))^2</f>
        <v>1.78278389445147</v>
      </c>
      <c r="G186" s="17" t="n">
        <f aca="false">IF(COUNTIF(Distance_Matrix!$E$10:$DQ$10,$E186)&lt;=1,0,SUMIF(Distance_Matrix!$E$10:$DQ$10,$E186,Distance_Matrix!$E$54:$DQ$54)/(COUNTIF(Distance_Matrix!$E$10:$DQ$10,$E186)-1))</f>
        <v>1.47424713587602</v>
      </c>
      <c r="H186" s="17" t="n">
        <f aca="false">MIN(IF(1=$E186,1E+099,IF(COUNTIF(Distance_Matrix!$E$10:$DQ$10,1)=0,1E+099,SUMIF(Distance_Matrix!$E$10:$DQ$10,1,Distance_Matrix!$E$54:$DQ$54)/COUNTIF(Distance_Matrix!$E$10:$DQ$10,1))),IF(2=$E186,1E+099,IF(COUNTIF(Distance_Matrix!$E$10:$DQ$10,2)=0,1E+099,SUMIF(Distance_Matrix!$E$10:$DQ$10,2,Distance_Matrix!$E$54:$DQ$54)/COUNTIF(Distance_Matrix!$E$10:$DQ$10,2))),IF(3=$E186,1E+099,IF(COUNTIF(Distance_Matrix!$E$10:$DQ$10,3)=0,1E+099,SUMIF(Distance_Matrix!$E$10:$DQ$10,3,Distance_Matrix!$E$54:$DQ$54)/COUNTIF(Distance_Matrix!$E$10:$DQ$10,3))),IF(4=$E186,1E+099,IF(COUNTIF(Distance_Matrix!$E$10:$DQ$10,4)=0,1E+099,SUMIF(Distance_Matrix!$E$10:$DQ$10,4,Distance_Matrix!$E$54:$DQ$54)/COUNTIF(Distance_Matrix!$E$10:$DQ$10,4))))</f>
        <v>1.59134307417319</v>
      </c>
      <c r="I186" s="17" t="n">
        <f aca="false">IF(COUNTIF(Distance_Matrix!$E$10:$DQ$10,$E186)&lt;=1,0,(H186-G186)/MAX(G186,H186))</f>
        <v>0.0735830885228927</v>
      </c>
      <c r="X186" s="17" t="n">
        <f aca="false">SQRT(($B186-X$139)^2+($C186-X$140)^2+($D186-X$141)^2)</f>
        <v>5.99739197654582</v>
      </c>
      <c r="Y186" s="17" t="n">
        <f aca="false">SQRT(($B186-Y$139)^2+($C186-Y$140)^2+($D186-Y$141)^2)</f>
        <v>3.22425812165343</v>
      </c>
      <c r="Z186" s="17" t="n">
        <f aca="false">SQRT(($B186-Z$139)^2+($C186-Z$140)^2+($D186-Z$141)^2)</f>
        <v>1.35466413068347</v>
      </c>
      <c r="AA186" s="17" t="n">
        <f aca="false">SQRT(($B186-AA$139)^2+($C186-AA$140)^2+($D186-AA$141)^2)</f>
        <v>2.24392796299193</v>
      </c>
      <c r="AB186" s="63" t="n">
        <f aca="false">MATCH(MIN(X186:AA186),X186:AA186,0)</f>
        <v>3</v>
      </c>
      <c r="AD186" s="17" t="n">
        <f aca="false">SQRT(($B186-AD$139)^2+($C186-AD$140)^2+($D186-AD$141)^2)</f>
        <v>5.08949240888604</v>
      </c>
      <c r="AE186" s="17" t="n">
        <f aca="false">SQRT(($B186-AE$139)^2+($C186-AE$140)^2+($D186-AE$141)^2)</f>
        <v>2.49313312537689</v>
      </c>
      <c r="AF186" s="17" t="n">
        <f aca="false">SQRT(($B186-AF$139)^2+($C186-AF$140)^2+($D186-AF$141)^2)</f>
        <v>1.28945152052992</v>
      </c>
      <c r="AG186" s="17" t="n">
        <f aca="false">SQRT(($B186-AG$139)^2+($C186-AG$140)^2+($D186-AG$141)^2)</f>
        <v>1.58208956320257</v>
      </c>
      <c r="AH186" s="63" t="n">
        <f aca="false">MATCH(MIN(AD186:AG186),AD186:AG186,0)</f>
        <v>3</v>
      </c>
      <c r="AJ186" s="17" t="n">
        <f aca="false">SQRT(($B186-AJ$139)^2+($C186-AJ$140)^2+($D186-AJ$141)^2)</f>
        <v>4.74381010716471</v>
      </c>
      <c r="AK186" s="17" t="n">
        <f aca="false">SQRT(($B186-AK$139)^2+($C186-AK$140)^2+($D186-AK$141)^2)</f>
        <v>2.52729543155369</v>
      </c>
      <c r="AL186" s="17" t="n">
        <f aca="false">SQRT(($B186-AL$139)^2+($C186-AL$140)^2+($D186-AL$141)^2)</f>
        <v>1.38015818570684</v>
      </c>
      <c r="AM186" s="17" t="n">
        <f aca="false">SQRT(($B186-AM$139)^2+($C186-AM$140)^2+($D186-AM$141)^2)</f>
        <v>1.46063419206476</v>
      </c>
      <c r="AN186" s="63" t="n">
        <f aca="false">MATCH(MIN(AJ186:AM186),AJ186:AM186,0)</f>
        <v>3</v>
      </c>
      <c r="AP186" s="17" t="n">
        <f aca="false">SQRT(($B186-AP$139)^2+($C186-AP$140)^2+($D186-AP$141)^2)</f>
        <v>4.46975804244695</v>
      </c>
      <c r="AQ186" s="17" t="n">
        <f aca="false">SQRT(($B186-AQ$139)^2+($C186-AQ$140)^2+($D186-AQ$141)^2)</f>
        <v>2.62513779984078</v>
      </c>
      <c r="AR186" s="17" t="n">
        <f aca="false">SQRT(($B186-AR$139)^2+($C186-AR$140)^2+($D186-AR$141)^2)</f>
        <v>1.33520930735652</v>
      </c>
      <c r="AS186" s="17" t="n">
        <f aca="false">SQRT(($B186-AS$139)^2+($C186-AS$140)^2+($D186-AS$141)^2)</f>
        <v>1.46523402595696</v>
      </c>
      <c r="AT186" s="63" t="n">
        <f aca="false">MATCH(MIN(AP186:AS186),AP186:AS186,0)</f>
        <v>3</v>
      </c>
      <c r="AV186" s="17" t="n">
        <f aca="false">SQRT(($B186-AV$139)^2+($C186-AV$140)^2+($D186-AV$141)^2)</f>
        <v>4.46975804244695</v>
      </c>
      <c r="AW186" s="17" t="n">
        <f aca="false">SQRT(($B186-AW$139)^2+($C186-AW$140)^2+($D186-AW$141)^2)</f>
        <v>2.62513779984078</v>
      </c>
      <c r="AX186" s="17" t="n">
        <f aca="false">SQRT(($B186-AX$139)^2+($C186-AX$140)^2+($D186-AX$141)^2)</f>
        <v>1.33520930735652</v>
      </c>
      <c r="AY186" s="17" t="n">
        <f aca="false">SQRT(($B186-AY$139)^2+($C186-AY$140)^2+($D186-AY$141)^2)</f>
        <v>1.46523402595696</v>
      </c>
      <c r="AZ186" s="63" t="n">
        <f aca="false">MATCH(MIN(AV186:AY186),AV186:AY186,0)</f>
        <v>3</v>
      </c>
      <c r="BB186" s="17" t="n">
        <f aca="false">SQRT(($B186-BB$139)^2+($C186-BB$140)^2+($D186-BB$141)^2)</f>
        <v>4.46975804244695</v>
      </c>
      <c r="BC186" s="17" t="n">
        <f aca="false">SQRT(($B186-BC$139)^2+($C186-BC$140)^2+($D186-BC$141)^2)</f>
        <v>2.62513779984078</v>
      </c>
      <c r="BD186" s="17" t="n">
        <f aca="false">SQRT(($B186-BD$139)^2+($C186-BD$140)^2+($D186-BD$141)^2)</f>
        <v>1.33520930735652</v>
      </c>
      <c r="BE186" s="17" t="n">
        <f aca="false">SQRT(($B186-BE$139)^2+($C186-BE$140)^2+($D186-BE$141)^2)</f>
        <v>1.46523402595696</v>
      </c>
      <c r="BF186" s="63" t="n">
        <f aca="false">MATCH(MIN(BB186:BE186),BB186:BE186,0)</f>
        <v>3</v>
      </c>
      <c r="BH186" s="17" t="n">
        <f aca="false">SQRT(($B186-BH$139)^2+($C186-BH$140)^2+($D186-BH$141)^2)</f>
        <v>4.46975804244695</v>
      </c>
      <c r="BI186" s="17" t="n">
        <f aca="false">SQRT(($B186-BI$139)^2+($C186-BI$140)^2+($D186-BI$141)^2)</f>
        <v>2.62513779984078</v>
      </c>
      <c r="BJ186" s="17" t="n">
        <f aca="false">SQRT(($B186-BJ$139)^2+($C186-BJ$140)^2+($D186-BJ$141)^2)</f>
        <v>1.33520930735652</v>
      </c>
      <c r="BK186" s="17" t="n">
        <f aca="false">SQRT(($B186-BK$139)^2+($C186-BK$140)^2+($D186-BK$141)^2)</f>
        <v>1.46523402595696</v>
      </c>
      <c r="BL186" s="63" t="n">
        <f aca="false">MATCH(MIN(BH186:BK186),BH186:BK186,0)</f>
        <v>3</v>
      </c>
      <c r="BN186" s="17" t="n">
        <f aca="false">SQRT(($B186-BN$139)^2+($C186-BN$140)^2+($D186-BN$141)^2)</f>
        <v>4.46975804244695</v>
      </c>
      <c r="BO186" s="17" t="n">
        <f aca="false">SQRT(($B186-BO$139)^2+($C186-BO$140)^2+($D186-BO$141)^2)</f>
        <v>2.62513779984078</v>
      </c>
      <c r="BP186" s="17" t="n">
        <f aca="false">SQRT(($B186-BP$139)^2+($C186-BP$140)^2+($D186-BP$141)^2)</f>
        <v>1.33520930735652</v>
      </c>
      <c r="BQ186" s="17" t="n">
        <f aca="false">SQRT(($B186-BQ$139)^2+($C186-BQ$140)^2+($D186-BQ$141)^2)</f>
        <v>1.46523402595696</v>
      </c>
      <c r="BR186" s="63" t="n">
        <f aca="false">MATCH(MIN(BN186:BQ186),BN186:BQ186,0)</f>
        <v>3</v>
      </c>
      <c r="BT186" s="17" t="n">
        <f aca="false">SQRT(($B186-BT$139)^2+($C186-BT$140)^2+($D186-BT$141)^2)</f>
        <v>4.46975804244695</v>
      </c>
      <c r="BU186" s="17" t="n">
        <f aca="false">SQRT(($B186-BU$139)^2+($C186-BU$140)^2+($D186-BU$141)^2)</f>
        <v>2.62513779984078</v>
      </c>
      <c r="BV186" s="17" t="n">
        <f aca="false">SQRT(($B186-BV$139)^2+($C186-BV$140)^2+($D186-BV$141)^2)</f>
        <v>1.33520930735652</v>
      </c>
      <c r="BW186" s="17" t="n">
        <f aca="false">SQRT(($B186-BW$139)^2+($C186-BW$140)^2+($D186-BW$141)^2)</f>
        <v>1.46523402595696</v>
      </c>
      <c r="BX186" s="63" t="n">
        <f aca="false">MATCH(MIN(BT186:BW186),BT186:BW186,0)</f>
        <v>3</v>
      </c>
      <c r="BZ186" s="17" t="n">
        <f aca="false">SQRT(($B186-BZ$139)^2+($C186-BZ$140)^2+($D186-BZ$141)^2)</f>
        <v>4.46975804244695</v>
      </c>
      <c r="CA186" s="17" t="n">
        <f aca="false">SQRT(($B186-CA$139)^2+($C186-CA$140)^2+($D186-CA$141)^2)</f>
        <v>2.62513779984078</v>
      </c>
      <c r="CB186" s="17" t="n">
        <f aca="false">SQRT(($B186-CB$139)^2+($C186-CB$140)^2+($D186-CB$141)^2)</f>
        <v>1.33520930735652</v>
      </c>
      <c r="CC186" s="17" t="n">
        <f aca="false">SQRT(($B186-CC$139)^2+($C186-CC$140)^2+($D186-CC$141)^2)</f>
        <v>1.46523402595696</v>
      </c>
      <c r="CD186" s="63" t="n">
        <f aca="false">MATCH(MIN(BZ186:CC186),BZ186:CC186,0)</f>
        <v>3</v>
      </c>
      <c r="CF186" s="17" t="n">
        <f aca="false">SQRT(($B186-CF$139)^2+($C186-CF$140)^2+($D186-CF$141)^2)</f>
        <v>4.46975804244695</v>
      </c>
      <c r="CG186" s="17" t="n">
        <f aca="false">SQRT(($B186-CG$139)^2+($C186-CG$140)^2+($D186-CG$141)^2)</f>
        <v>2.62513779984078</v>
      </c>
      <c r="CH186" s="17" t="n">
        <f aca="false">SQRT(($B186-CH$139)^2+($C186-CH$140)^2+($D186-CH$141)^2)</f>
        <v>1.33520930735652</v>
      </c>
      <c r="CI186" s="17" t="n">
        <f aca="false">SQRT(($B186-CI$139)^2+($C186-CI$140)^2+($D186-CI$141)^2)</f>
        <v>1.46523402595696</v>
      </c>
      <c r="CJ186" s="63" t="n">
        <f aca="false">MATCH(MIN(CF186:CI186),CF186:CI186,0)</f>
        <v>3</v>
      </c>
      <c r="CL186" s="17" t="n">
        <f aca="false">SQRT(($B186-CL$139)^2+($C186-CL$140)^2+($D186-CL$141)^2)</f>
        <v>4.46975804244695</v>
      </c>
      <c r="CM186" s="17" t="n">
        <f aca="false">SQRT(($B186-CM$139)^2+($C186-CM$140)^2+($D186-CM$141)^2)</f>
        <v>2.62513779984078</v>
      </c>
      <c r="CN186" s="17" t="n">
        <f aca="false">SQRT(($B186-CN$139)^2+($C186-CN$140)^2+($D186-CN$141)^2)</f>
        <v>1.33520930735652</v>
      </c>
      <c r="CO186" s="17" t="n">
        <f aca="false">SQRT(($B186-CO$139)^2+($C186-CO$140)^2+($D186-CO$141)^2)</f>
        <v>1.46523402595696</v>
      </c>
      <c r="CP186" s="63" t="n">
        <f aca="false">MATCH(MIN(CL186:CO186),CL186:CO186,0)</f>
        <v>3</v>
      </c>
    </row>
    <row r="187" customFormat="false" ht="15" hidden="false" customHeight="false" outlineLevel="0" collapsed="false">
      <c r="A187" s="36" t="str">
        <f aca="false">KMeans_Data!A46</f>
        <v>Nagar</v>
      </c>
      <c r="B187" s="17" t="n">
        <f aca="false">KMeans_Data!H46</f>
        <v>0.273717398386991</v>
      </c>
      <c r="C187" s="17" t="n">
        <f aca="false">KMeans_Data!I46</f>
        <v>-0.146983133929529</v>
      </c>
      <c r="D187" s="17" t="n">
        <f aca="false">KMeans_Data!J46</f>
        <v>0.774246840861612</v>
      </c>
      <c r="E187" s="63" t="n">
        <f aca="false">CP187</f>
        <v>3</v>
      </c>
      <c r="F187" s="38" t="n">
        <f aca="false">($B187-INDEX($L$139:$O$139,E187))^2+($C187-INDEX($L$140:$O$140,E187))^2+($D187-INDEX($L$141:$O$141,E187))^2</f>
        <v>0.720798354129824</v>
      </c>
      <c r="G187" s="17" t="n">
        <f aca="false">IF(COUNTIF(Distance_Matrix!$E$10:$DQ$10,$E187)&lt;=1,0,SUMIF(Distance_Matrix!$E$10:$DQ$10,$E187,Distance_Matrix!$E$55:$DQ$55)/(COUNTIF(Distance_Matrix!$E$10:$DQ$10,$E187)-1))</f>
        <v>1.07199180862168</v>
      </c>
      <c r="H187" s="17" t="n">
        <f aca="false">MIN(IF(1=$E187,1E+099,IF(COUNTIF(Distance_Matrix!$E$10:$DQ$10,1)=0,1E+099,SUMIF(Distance_Matrix!$E$10:$DQ$10,1,Distance_Matrix!$E$55:$DQ$55)/COUNTIF(Distance_Matrix!$E$10:$DQ$10,1))),IF(2=$E187,1E+099,IF(COUNTIF(Distance_Matrix!$E$10:$DQ$10,2)=0,1E+099,SUMIF(Distance_Matrix!$E$10:$DQ$10,2,Distance_Matrix!$E$55:$DQ$55)/COUNTIF(Distance_Matrix!$E$10:$DQ$10,2))),IF(3=$E187,1E+099,IF(COUNTIF(Distance_Matrix!$E$10:$DQ$10,3)=0,1E+099,SUMIF(Distance_Matrix!$E$10:$DQ$10,3,Distance_Matrix!$E$55:$DQ$55)/COUNTIF(Distance_Matrix!$E$10:$DQ$10,3))),IF(4=$E187,1E+099,IF(COUNTIF(Distance_Matrix!$E$10:$DQ$10,4)=0,1E+099,SUMIF(Distance_Matrix!$E$10:$DQ$10,4,Distance_Matrix!$E$55:$DQ$55)/COUNTIF(Distance_Matrix!$E$10:$DQ$10,4))))</f>
        <v>1.41747622023387</v>
      </c>
      <c r="I187" s="17" t="n">
        <f aca="false">IF(COUNTIF(Distance_Matrix!$E$10:$DQ$10,$E187)&lt;=1,0,(H187-G187)/MAX(G187,H187))</f>
        <v>0.243732068785737</v>
      </c>
      <c r="X187" s="17" t="n">
        <f aca="false">SQRT(($B187-X$139)^2+($C187-X$140)^2+($D187-X$141)^2)</f>
        <v>5.71555391045852</v>
      </c>
      <c r="Y187" s="17" t="n">
        <f aca="false">SQRT(($B187-Y$139)^2+($C187-Y$140)^2+($D187-Y$141)^2)</f>
        <v>3.0823789094685</v>
      </c>
      <c r="Z187" s="17" t="n">
        <f aca="false">SQRT(($B187-Z$139)^2+($C187-Z$140)^2+($D187-Z$141)^2)</f>
        <v>1.15934318016295</v>
      </c>
      <c r="AA187" s="17" t="n">
        <f aca="false">SQRT(($B187-AA$139)^2+($C187-AA$140)^2+($D187-AA$141)^2)</f>
        <v>1.95559001345375</v>
      </c>
      <c r="AB187" s="63" t="n">
        <f aca="false">MATCH(MIN(X187:AA187),X187:AA187,0)</f>
        <v>3</v>
      </c>
      <c r="AD187" s="17" t="n">
        <f aca="false">SQRT(($B187-AD$139)^2+($C187-AD$140)^2+($D187-AD$141)^2)</f>
        <v>4.76985405483792</v>
      </c>
      <c r="AE187" s="17" t="n">
        <f aca="false">SQRT(($B187-AE$139)^2+($C187-AE$140)^2+($D187-AE$141)^2)</f>
        <v>2.3395753403826</v>
      </c>
      <c r="AF187" s="17" t="n">
        <f aca="false">SQRT(($B187-AF$139)^2+($C187-AF$140)^2+($D187-AF$141)^2)</f>
        <v>0.804019842946838</v>
      </c>
      <c r="AG187" s="17" t="n">
        <f aca="false">SQRT(($B187-AG$139)^2+($C187-AG$140)^2+($D187-AG$141)^2)</f>
        <v>1.37457567179133</v>
      </c>
      <c r="AH187" s="63" t="n">
        <f aca="false">MATCH(MIN(AD187:AG187),AD187:AG187,0)</f>
        <v>3</v>
      </c>
      <c r="AJ187" s="17" t="n">
        <f aca="false">SQRT(($B187-AJ$139)^2+($C187-AJ$140)^2+($D187-AJ$141)^2)</f>
        <v>4.42388232653708</v>
      </c>
      <c r="AK187" s="17" t="n">
        <f aca="false">SQRT(($B187-AK$139)^2+($C187-AK$140)^2+($D187-AK$141)^2)</f>
        <v>2.37108131681355</v>
      </c>
      <c r="AL187" s="17" t="n">
        <f aca="false">SQRT(($B187-AL$139)^2+($C187-AL$140)^2+($D187-AL$141)^2)</f>
        <v>0.898519691553783</v>
      </c>
      <c r="AM187" s="17" t="n">
        <f aca="false">SQRT(($B187-AM$139)^2+($C187-AM$140)^2+($D187-AM$141)^2)</f>
        <v>1.26045600732813</v>
      </c>
      <c r="AN187" s="63" t="n">
        <f aca="false">MATCH(MIN(AJ187:AM187),AJ187:AM187,0)</f>
        <v>3</v>
      </c>
      <c r="AP187" s="17" t="n">
        <f aca="false">SQRT(($B187-AP$139)^2+($C187-AP$140)^2+($D187-AP$141)^2)</f>
        <v>4.13916110613897</v>
      </c>
      <c r="AQ187" s="17" t="n">
        <f aca="false">SQRT(($B187-AQ$139)^2+($C187-AQ$140)^2+($D187-AQ$141)^2)</f>
        <v>2.46536435475618</v>
      </c>
      <c r="AR187" s="17" t="n">
        <f aca="false">SQRT(($B187-AR$139)^2+($C187-AR$140)^2+($D187-AR$141)^2)</f>
        <v>0.84899844177114</v>
      </c>
      <c r="AS187" s="17" t="n">
        <f aca="false">SQRT(($B187-AS$139)^2+($C187-AS$140)^2+($D187-AS$141)^2)</f>
        <v>1.27014376303122</v>
      </c>
      <c r="AT187" s="63" t="n">
        <f aca="false">MATCH(MIN(AP187:AS187),AP187:AS187,0)</f>
        <v>3</v>
      </c>
      <c r="AV187" s="17" t="n">
        <f aca="false">SQRT(($B187-AV$139)^2+($C187-AV$140)^2+($D187-AV$141)^2)</f>
        <v>4.13916110613897</v>
      </c>
      <c r="AW187" s="17" t="n">
        <f aca="false">SQRT(($B187-AW$139)^2+($C187-AW$140)^2+($D187-AW$141)^2)</f>
        <v>2.46536435475618</v>
      </c>
      <c r="AX187" s="17" t="n">
        <f aca="false">SQRT(($B187-AX$139)^2+($C187-AX$140)^2+($D187-AX$141)^2)</f>
        <v>0.84899844177114</v>
      </c>
      <c r="AY187" s="17" t="n">
        <f aca="false">SQRT(($B187-AY$139)^2+($C187-AY$140)^2+($D187-AY$141)^2)</f>
        <v>1.27014376303122</v>
      </c>
      <c r="AZ187" s="63" t="n">
        <f aca="false">MATCH(MIN(AV187:AY187),AV187:AY187,0)</f>
        <v>3</v>
      </c>
      <c r="BB187" s="17" t="n">
        <f aca="false">SQRT(($B187-BB$139)^2+($C187-BB$140)^2+($D187-BB$141)^2)</f>
        <v>4.13916110613897</v>
      </c>
      <c r="BC187" s="17" t="n">
        <f aca="false">SQRT(($B187-BC$139)^2+($C187-BC$140)^2+($D187-BC$141)^2)</f>
        <v>2.46536435475618</v>
      </c>
      <c r="BD187" s="17" t="n">
        <f aca="false">SQRT(($B187-BD$139)^2+($C187-BD$140)^2+($D187-BD$141)^2)</f>
        <v>0.84899844177114</v>
      </c>
      <c r="BE187" s="17" t="n">
        <f aca="false">SQRT(($B187-BE$139)^2+($C187-BE$140)^2+($D187-BE$141)^2)</f>
        <v>1.27014376303122</v>
      </c>
      <c r="BF187" s="63" t="n">
        <f aca="false">MATCH(MIN(BB187:BE187),BB187:BE187,0)</f>
        <v>3</v>
      </c>
      <c r="BH187" s="17" t="n">
        <f aca="false">SQRT(($B187-BH$139)^2+($C187-BH$140)^2+($D187-BH$141)^2)</f>
        <v>4.13916110613897</v>
      </c>
      <c r="BI187" s="17" t="n">
        <f aca="false">SQRT(($B187-BI$139)^2+($C187-BI$140)^2+($D187-BI$141)^2)</f>
        <v>2.46536435475618</v>
      </c>
      <c r="BJ187" s="17" t="n">
        <f aca="false">SQRT(($B187-BJ$139)^2+($C187-BJ$140)^2+($D187-BJ$141)^2)</f>
        <v>0.84899844177114</v>
      </c>
      <c r="BK187" s="17" t="n">
        <f aca="false">SQRT(($B187-BK$139)^2+($C187-BK$140)^2+($D187-BK$141)^2)</f>
        <v>1.27014376303122</v>
      </c>
      <c r="BL187" s="63" t="n">
        <f aca="false">MATCH(MIN(BH187:BK187),BH187:BK187,0)</f>
        <v>3</v>
      </c>
      <c r="BN187" s="17" t="n">
        <f aca="false">SQRT(($B187-BN$139)^2+($C187-BN$140)^2+($D187-BN$141)^2)</f>
        <v>4.13916110613897</v>
      </c>
      <c r="BO187" s="17" t="n">
        <f aca="false">SQRT(($B187-BO$139)^2+($C187-BO$140)^2+($D187-BO$141)^2)</f>
        <v>2.46536435475618</v>
      </c>
      <c r="BP187" s="17" t="n">
        <f aca="false">SQRT(($B187-BP$139)^2+($C187-BP$140)^2+($D187-BP$141)^2)</f>
        <v>0.84899844177114</v>
      </c>
      <c r="BQ187" s="17" t="n">
        <f aca="false">SQRT(($B187-BQ$139)^2+($C187-BQ$140)^2+($D187-BQ$141)^2)</f>
        <v>1.27014376303122</v>
      </c>
      <c r="BR187" s="63" t="n">
        <f aca="false">MATCH(MIN(BN187:BQ187),BN187:BQ187,0)</f>
        <v>3</v>
      </c>
      <c r="BT187" s="17" t="n">
        <f aca="false">SQRT(($B187-BT$139)^2+($C187-BT$140)^2+($D187-BT$141)^2)</f>
        <v>4.13916110613897</v>
      </c>
      <c r="BU187" s="17" t="n">
        <f aca="false">SQRT(($B187-BU$139)^2+($C187-BU$140)^2+($D187-BU$141)^2)</f>
        <v>2.46536435475618</v>
      </c>
      <c r="BV187" s="17" t="n">
        <f aca="false">SQRT(($B187-BV$139)^2+($C187-BV$140)^2+($D187-BV$141)^2)</f>
        <v>0.84899844177114</v>
      </c>
      <c r="BW187" s="17" t="n">
        <f aca="false">SQRT(($B187-BW$139)^2+($C187-BW$140)^2+($D187-BW$141)^2)</f>
        <v>1.27014376303122</v>
      </c>
      <c r="BX187" s="63" t="n">
        <f aca="false">MATCH(MIN(BT187:BW187),BT187:BW187,0)</f>
        <v>3</v>
      </c>
      <c r="BZ187" s="17" t="n">
        <f aca="false">SQRT(($B187-BZ$139)^2+($C187-BZ$140)^2+($D187-BZ$141)^2)</f>
        <v>4.13916110613897</v>
      </c>
      <c r="CA187" s="17" t="n">
        <f aca="false">SQRT(($B187-CA$139)^2+($C187-CA$140)^2+($D187-CA$141)^2)</f>
        <v>2.46536435475618</v>
      </c>
      <c r="CB187" s="17" t="n">
        <f aca="false">SQRT(($B187-CB$139)^2+($C187-CB$140)^2+($D187-CB$141)^2)</f>
        <v>0.84899844177114</v>
      </c>
      <c r="CC187" s="17" t="n">
        <f aca="false">SQRT(($B187-CC$139)^2+($C187-CC$140)^2+($D187-CC$141)^2)</f>
        <v>1.27014376303122</v>
      </c>
      <c r="CD187" s="63" t="n">
        <f aca="false">MATCH(MIN(BZ187:CC187),BZ187:CC187,0)</f>
        <v>3</v>
      </c>
      <c r="CF187" s="17" t="n">
        <f aca="false">SQRT(($B187-CF$139)^2+($C187-CF$140)^2+($D187-CF$141)^2)</f>
        <v>4.13916110613897</v>
      </c>
      <c r="CG187" s="17" t="n">
        <f aca="false">SQRT(($B187-CG$139)^2+($C187-CG$140)^2+($D187-CG$141)^2)</f>
        <v>2.46536435475618</v>
      </c>
      <c r="CH187" s="17" t="n">
        <f aca="false">SQRT(($B187-CH$139)^2+($C187-CH$140)^2+($D187-CH$141)^2)</f>
        <v>0.84899844177114</v>
      </c>
      <c r="CI187" s="17" t="n">
        <f aca="false">SQRT(($B187-CI$139)^2+($C187-CI$140)^2+($D187-CI$141)^2)</f>
        <v>1.27014376303122</v>
      </c>
      <c r="CJ187" s="63" t="n">
        <f aca="false">MATCH(MIN(CF187:CI187),CF187:CI187,0)</f>
        <v>3</v>
      </c>
      <c r="CL187" s="17" t="n">
        <f aca="false">SQRT(($B187-CL$139)^2+($C187-CL$140)^2+($D187-CL$141)^2)</f>
        <v>4.13916110613897</v>
      </c>
      <c r="CM187" s="17" t="n">
        <f aca="false">SQRT(($B187-CM$139)^2+($C187-CM$140)^2+($D187-CM$141)^2)</f>
        <v>2.46536435475618</v>
      </c>
      <c r="CN187" s="17" t="n">
        <f aca="false">SQRT(($B187-CN$139)^2+($C187-CN$140)^2+($D187-CN$141)^2)</f>
        <v>0.84899844177114</v>
      </c>
      <c r="CO187" s="17" t="n">
        <f aca="false">SQRT(($B187-CO$139)^2+($C187-CO$140)^2+($D187-CO$141)^2)</f>
        <v>1.27014376303122</v>
      </c>
      <c r="CP187" s="63" t="n">
        <f aca="false">MATCH(MIN(CL187:CO187),CL187:CO187,0)</f>
        <v>3</v>
      </c>
    </row>
    <row r="188" customFormat="false" ht="15" hidden="false" customHeight="false" outlineLevel="0" collapsed="false">
      <c r="A188" s="36" t="str">
        <f aca="false">KMeans_Data!A47</f>
        <v>Rahim Yar Khan</v>
      </c>
      <c r="B188" s="17" t="n">
        <f aca="false">KMeans_Data!H47</f>
        <v>0.262278036420678</v>
      </c>
      <c r="C188" s="17" t="n">
        <f aca="false">KMeans_Data!I47</f>
        <v>-0.146983133929529</v>
      </c>
      <c r="D188" s="17" t="n">
        <f aca="false">KMeans_Data!J47</f>
        <v>-0.636557171841548</v>
      </c>
      <c r="E188" s="63" t="n">
        <f aca="false">CP188</f>
        <v>4</v>
      </c>
      <c r="F188" s="38" t="n">
        <f aca="false">($B188-INDEX($L$139:$O$139,E188))^2+($C188-INDEX($L$140:$O$140,E188))^2+($D188-INDEX($L$141:$O$141,E188))^2</f>
        <v>0.351617695507448</v>
      </c>
      <c r="G188" s="17" t="n">
        <f aca="false">IF(COUNTIF(Distance_Matrix!$E$10:$DQ$10,$E188)&lt;=1,0,SUMIF(Distance_Matrix!$E$10:$DQ$10,$E188,Distance_Matrix!$E$56:$DQ$56)/(COUNTIF(Distance_Matrix!$E$10:$DQ$10,$E188)-1))</f>
        <v>0.961796407862597</v>
      </c>
      <c r="H188" s="17" t="n">
        <f aca="false">MIN(IF(1=$E188,1E+099,IF(COUNTIF(Distance_Matrix!$E$10:$DQ$10,1)=0,1E+099,SUMIF(Distance_Matrix!$E$10:$DQ$10,1,Distance_Matrix!$E$56:$DQ$56)/COUNTIF(Distance_Matrix!$E$10:$DQ$10,1))),IF(2=$E188,1E+099,IF(COUNTIF(Distance_Matrix!$E$10:$DQ$10,2)=0,1E+099,SUMIF(Distance_Matrix!$E$10:$DQ$10,2,Distance_Matrix!$E$56:$DQ$56)/COUNTIF(Distance_Matrix!$E$10:$DQ$10,2))),IF(3=$E188,1E+099,IF(COUNTIF(Distance_Matrix!$E$10:$DQ$10,3)=0,1E+099,SUMIF(Distance_Matrix!$E$10:$DQ$10,3,Distance_Matrix!$E$56:$DQ$56)/COUNTIF(Distance_Matrix!$E$10:$DQ$10,3))),IF(4=$E188,1E+099,IF(COUNTIF(Distance_Matrix!$E$10:$DQ$10,4)=0,1E+099,SUMIF(Distance_Matrix!$E$10:$DQ$10,4,Distance_Matrix!$E$56:$DQ$56)/COUNTIF(Distance_Matrix!$E$10:$DQ$10,4))))</f>
        <v>1.69682940207443</v>
      </c>
      <c r="I188" s="17" t="n">
        <f aca="false">IF(COUNTIF(Distance_Matrix!$E$10:$DQ$10,$E188)&lt;=1,0,(H188-G188)/MAX(G188,H188))</f>
        <v>0.433180255665791</v>
      </c>
      <c r="X188" s="17" t="n">
        <f aca="false">SQRT(($B188-X$139)^2+($C188-X$140)^2+($D188-X$141)^2)</f>
        <v>6.45909936721902</v>
      </c>
      <c r="Y188" s="17" t="n">
        <f aca="false">SQRT(($B188-Y$139)^2+($C188-Y$140)^2+($D188-Y$141)^2)</f>
        <v>2.45367780569083</v>
      </c>
      <c r="Z188" s="17" t="n">
        <f aca="false">SQRT(($B188-Z$139)^2+($C188-Z$140)^2+($D188-Z$141)^2)</f>
        <v>2.30571691728434</v>
      </c>
      <c r="AA188" s="17" t="n">
        <f aca="false">SQRT(($B188-AA$139)^2+($C188-AA$140)^2+($D188-AA$141)^2)</f>
        <v>0.637307822108715</v>
      </c>
      <c r="AB188" s="63" t="n">
        <f aca="false">MATCH(MIN(X188:AA188),X188:AA188,0)</f>
        <v>4</v>
      </c>
      <c r="AD188" s="17" t="n">
        <f aca="false">SQRT(($B188-AD$139)^2+($C188-AD$140)^2+($D188-AD$141)^2)</f>
        <v>5.44343252114765</v>
      </c>
      <c r="AE188" s="17" t="n">
        <f aca="false">SQRT(($B188-AE$139)^2+($C188-AE$140)^2+($D188-AE$141)^2)</f>
        <v>1.61431617779327</v>
      </c>
      <c r="AF188" s="17" t="n">
        <f aca="false">SQRT(($B188-AF$139)^2+($C188-AF$140)^2+($D188-AF$141)^2)</f>
        <v>1.71527049323691</v>
      </c>
      <c r="AG188" s="17" t="n">
        <f aca="false">SQRT(($B188-AG$139)^2+($C188-AG$140)^2+($D188-AG$141)^2)</f>
        <v>0.487262226628422</v>
      </c>
      <c r="AH188" s="63" t="n">
        <f aca="false">MATCH(MIN(AD188:AG188),AD188:AG188,0)</f>
        <v>4</v>
      </c>
      <c r="AJ188" s="17" t="n">
        <f aca="false">SQRT(($B188-AJ$139)^2+($C188-AJ$140)^2+($D188-AJ$141)^2)</f>
        <v>5.09916987561342</v>
      </c>
      <c r="AK188" s="17" t="n">
        <f aca="false">SQRT(($B188-AK$139)^2+($C188-AK$140)^2+($D188-AK$141)^2)</f>
        <v>1.61631101585141</v>
      </c>
      <c r="AL188" s="17" t="n">
        <f aca="false">SQRT(($B188-AL$139)^2+($C188-AL$140)^2+($D188-AL$141)^2)</f>
        <v>1.76511133839345</v>
      </c>
      <c r="AM188" s="17" t="n">
        <f aca="false">SQRT(($B188-AM$139)^2+($C188-AM$140)^2+($D188-AM$141)^2)</f>
        <v>0.552399002228284</v>
      </c>
      <c r="AN188" s="63" t="n">
        <f aca="false">MATCH(MIN(AJ188:AM188),AJ188:AM188,0)</f>
        <v>4</v>
      </c>
      <c r="AP188" s="17" t="n">
        <f aca="false">SQRT(($B188-AP$139)^2+($C188-AP$140)^2+($D188-AP$141)^2)</f>
        <v>4.81069160563755</v>
      </c>
      <c r="AQ188" s="17" t="n">
        <f aca="false">SQRT(($B188-AQ$139)^2+($C188-AQ$140)^2+($D188-AQ$141)^2)</f>
        <v>1.67878071626405</v>
      </c>
      <c r="AR188" s="17" t="n">
        <f aca="false">SQRT(($B188-AR$139)^2+($C188-AR$140)^2+($D188-AR$141)^2)</f>
        <v>1.72797016419199</v>
      </c>
      <c r="AS188" s="17" t="n">
        <f aca="false">SQRT(($B188-AS$139)^2+($C188-AS$140)^2+($D188-AS$141)^2)</f>
        <v>0.592973604393525</v>
      </c>
      <c r="AT188" s="63" t="n">
        <f aca="false">MATCH(MIN(AP188:AS188),AP188:AS188,0)</f>
        <v>4</v>
      </c>
      <c r="AV188" s="17" t="n">
        <f aca="false">SQRT(($B188-AV$139)^2+($C188-AV$140)^2+($D188-AV$141)^2)</f>
        <v>4.81069160563755</v>
      </c>
      <c r="AW188" s="17" t="n">
        <f aca="false">SQRT(($B188-AW$139)^2+($C188-AW$140)^2+($D188-AW$141)^2)</f>
        <v>1.67878071626405</v>
      </c>
      <c r="AX188" s="17" t="n">
        <f aca="false">SQRT(($B188-AX$139)^2+($C188-AX$140)^2+($D188-AX$141)^2)</f>
        <v>1.72797016419199</v>
      </c>
      <c r="AY188" s="17" t="n">
        <f aca="false">SQRT(($B188-AY$139)^2+($C188-AY$140)^2+($D188-AY$141)^2)</f>
        <v>0.592973604393525</v>
      </c>
      <c r="AZ188" s="63" t="n">
        <f aca="false">MATCH(MIN(AV188:AY188),AV188:AY188,0)</f>
        <v>4</v>
      </c>
      <c r="BB188" s="17" t="n">
        <f aca="false">SQRT(($B188-BB$139)^2+($C188-BB$140)^2+($D188-BB$141)^2)</f>
        <v>4.81069160563755</v>
      </c>
      <c r="BC188" s="17" t="n">
        <f aca="false">SQRT(($B188-BC$139)^2+($C188-BC$140)^2+($D188-BC$141)^2)</f>
        <v>1.67878071626405</v>
      </c>
      <c r="BD188" s="17" t="n">
        <f aca="false">SQRT(($B188-BD$139)^2+($C188-BD$140)^2+($D188-BD$141)^2)</f>
        <v>1.72797016419199</v>
      </c>
      <c r="BE188" s="17" t="n">
        <f aca="false">SQRT(($B188-BE$139)^2+($C188-BE$140)^2+($D188-BE$141)^2)</f>
        <v>0.592973604393525</v>
      </c>
      <c r="BF188" s="63" t="n">
        <f aca="false">MATCH(MIN(BB188:BE188),BB188:BE188,0)</f>
        <v>4</v>
      </c>
      <c r="BH188" s="17" t="n">
        <f aca="false">SQRT(($B188-BH$139)^2+($C188-BH$140)^2+($D188-BH$141)^2)</f>
        <v>4.81069160563755</v>
      </c>
      <c r="BI188" s="17" t="n">
        <f aca="false">SQRT(($B188-BI$139)^2+($C188-BI$140)^2+($D188-BI$141)^2)</f>
        <v>1.67878071626405</v>
      </c>
      <c r="BJ188" s="17" t="n">
        <f aca="false">SQRT(($B188-BJ$139)^2+($C188-BJ$140)^2+($D188-BJ$141)^2)</f>
        <v>1.72797016419199</v>
      </c>
      <c r="BK188" s="17" t="n">
        <f aca="false">SQRT(($B188-BK$139)^2+($C188-BK$140)^2+($D188-BK$141)^2)</f>
        <v>0.592973604393525</v>
      </c>
      <c r="BL188" s="63" t="n">
        <f aca="false">MATCH(MIN(BH188:BK188),BH188:BK188,0)</f>
        <v>4</v>
      </c>
      <c r="BN188" s="17" t="n">
        <f aca="false">SQRT(($B188-BN$139)^2+($C188-BN$140)^2+($D188-BN$141)^2)</f>
        <v>4.81069160563755</v>
      </c>
      <c r="BO188" s="17" t="n">
        <f aca="false">SQRT(($B188-BO$139)^2+($C188-BO$140)^2+($D188-BO$141)^2)</f>
        <v>1.67878071626405</v>
      </c>
      <c r="BP188" s="17" t="n">
        <f aca="false">SQRT(($B188-BP$139)^2+($C188-BP$140)^2+($D188-BP$141)^2)</f>
        <v>1.72797016419199</v>
      </c>
      <c r="BQ188" s="17" t="n">
        <f aca="false">SQRT(($B188-BQ$139)^2+($C188-BQ$140)^2+($D188-BQ$141)^2)</f>
        <v>0.592973604393525</v>
      </c>
      <c r="BR188" s="63" t="n">
        <f aca="false">MATCH(MIN(BN188:BQ188),BN188:BQ188,0)</f>
        <v>4</v>
      </c>
      <c r="BT188" s="17" t="n">
        <f aca="false">SQRT(($B188-BT$139)^2+($C188-BT$140)^2+($D188-BT$141)^2)</f>
        <v>4.81069160563755</v>
      </c>
      <c r="BU188" s="17" t="n">
        <f aca="false">SQRT(($B188-BU$139)^2+($C188-BU$140)^2+($D188-BU$141)^2)</f>
        <v>1.67878071626405</v>
      </c>
      <c r="BV188" s="17" t="n">
        <f aca="false">SQRT(($B188-BV$139)^2+($C188-BV$140)^2+($D188-BV$141)^2)</f>
        <v>1.72797016419199</v>
      </c>
      <c r="BW188" s="17" t="n">
        <f aca="false">SQRT(($B188-BW$139)^2+($C188-BW$140)^2+($D188-BW$141)^2)</f>
        <v>0.592973604393525</v>
      </c>
      <c r="BX188" s="63" t="n">
        <f aca="false">MATCH(MIN(BT188:BW188),BT188:BW188,0)</f>
        <v>4</v>
      </c>
      <c r="BZ188" s="17" t="n">
        <f aca="false">SQRT(($B188-BZ$139)^2+($C188-BZ$140)^2+($D188-BZ$141)^2)</f>
        <v>4.81069160563755</v>
      </c>
      <c r="CA188" s="17" t="n">
        <f aca="false">SQRT(($B188-CA$139)^2+($C188-CA$140)^2+($D188-CA$141)^2)</f>
        <v>1.67878071626405</v>
      </c>
      <c r="CB188" s="17" t="n">
        <f aca="false">SQRT(($B188-CB$139)^2+($C188-CB$140)^2+($D188-CB$141)^2)</f>
        <v>1.72797016419199</v>
      </c>
      <c r="CC188" s="17" t="n">
        <f aca="false">SQRT(($B188-CC$139)^2+($C188-CC$140)^2+($D188-CC$141)^2)</f>
        <v>0.592973604393525</v>
      </c>
      <c r="CD188" s="63" t="n">
        <f aca="false">MATCH(MIN(BZ188:CC188),BZ188:CC188,0)</f>
        <v>4</v>
      </c>
      <c r="CF188" s="17" t="n">
        <f aca="false">SQRT(($B188-CF$139)^2+($C188-CF$140)^2+($D188-CF$141)^2)</f>
        <v>4.81069160563755</v>
      </c>
      <c r="CG188" s="17" t="n">
        <f aca="false">SQRT(($B188-CG$139)^2+($C188-CG$140)^2+($D188-CG$141)^2)</f>
        <v>1.67878071626405</v>
      </c>
      <c r="CH188" s="17" t="n">
        <f aca="false">SQRT(($B188-CH$139)^2+($C188-CH$140)^2+($D188-CH$141)^2)</f>
        <v>1.72797016419199</v>
      </c>
      <c r="CI188" s="17" t="n">
        <f aca="false">SQRT(($B188-CI$139)^2+($C188-CI$140)^2+($D188-CI$141)^2)</f>
        <v>0.592973604393525</v>
      </c>
      <c r="CJ188" s="63" t="n">
        <f aca="false">MATCH(MIN(CF188:CI188),CF188:CI188,0)</f>
        <v>4</v>
      </c>
      <c r="CL188" s="17" t="n">
        <f aca="false">SQRT(($B188-CL$139)^2+($C188-CL$140)^2+($D188-CL$141)^2)</f>
        <v>4.81069160563755</v>
      </c>
      <c r="CM188" s="17" t="n">
        <f aca="false">SQRT(($B188-CM$139)^2+($C188-CM$140)^2+($D188-CM$141)^2)</f>
        <v>1.67878071626405</v>
      </c>
      <c r="CN188" s="17" t="n">
        <f aca="false">SQRT(($B188-CN$139)^2+($C188-CN$140)^2+($D188-CN$141)^2)</f>
        <v>1.72797016419199</v>
      </c>
      <c r="CO188" s="17" t="n">
        <f aca="false">SQRT(($B188-CO$139)^2+($C188-CO$140)^2+($D188-CO$141)^2)</f>
        <v>0.592973604393525</v>
      </c>
      <c r="CP188" s="63" t="n">
        <f aca="false">MATCH(MIN(CL188:CO188),CL188:CO188,0)</f>
        <v>4</v>
      </c>
    </row>
    <row r="189" customFormat="false" ht="15" hidden="false" customHeight="false" outlineLevel="0" collapsed="false">
      <c r="A189" s="36" t="str">
        <f aca="false">KMeans_Data!A48</f>
        <v>Jamshoro</v>
      </c>
      <c r="B189" s="17" t="n">
        <f aca="false">KMeans_Data!H48</f>
        <v>0.256462668461943</v>
      </c>
      <c r="C189" s="17" t="n">
        <f aca="false">KMeans_Data!I48</f>
        <v>-0.672650545388274</v>
      </c>
      <c r="D189" s="17" t="n">
        <f aca="false">KMeans_Data!J48</f>
        <v>0.514925973520034</v>
      </c>
      <c r="E189" s="63" t="n">
        <f aca="false">CP189</f>
        <v>4</v>
      </c>
      <c r="F189" s="38" t="n">
        <f aca="false">($B189-INDEX($L$139:$O$139,E189))^2+($C189-INDEX($L$140:$O$140,E189))^2+($D189-INDEX($L$141:$O$141,E189))^2</f>
        <v>0.96752270456125</v>
      </c>
      <c r="G189" s="17" t="n">
        <f aca="false">IF(COUNTIF(Distance_Matrix!$E$10:$DQ$10,$E189)&lt;=1,0,SUMIF(Distance_Matrix!$E$10:$DQ$10,$E189,Distance_Matrix!$E$57:$DQ$57)/(COUNTIF(Distance_Matrix!$E$10:$DQ$10,$E189)-1))</f>
        <v>1.20311734213651</v>
      </c>
      <c r="H189" s="17" t="n">
        <f aca="false">MIN(IF(1=$E189,1E+099,IF(COUNTIF(Distance_Matrix!$E$10:$DQ$10,1)=0,1E+099,SUMIF(Distance_Matrix!$E$10:$DQ$10,1,Distance_Matrix!$E$57:$DQ$57)/COUNTIF(Distance_Matrix!$E$10:$DQ$10,1))),IF(2=$E189,1E+099,IF(COUNTIF(Distance_Matrix!$E$10:$DQ$10,2)=0,1E+099,SUMIF(Distance_Matrix!$E$10:$DQ$10,2,Distance_Matrix!$E$57:$DQ$57)/COUNTIF(Distance_Matrix!$E$10:$DQ$10,2))),IF(3=$E189,1E+099,IF(COUNTIF(Distance_Matrix!$E$10:$DQ$10,3)=0,1E+099,SUMIF(Distance_Matrix!$E$10:$DQ$10,3,Distance_Matrix!$E$57:$DQ$57)/COUNTIF(Distance_Matrix!$E$10:$DQ$10,3))),IF(4=$E189,1E+099,IF(COUNTIF(Distance_Matrix!$E$10:$DQ$10,4)=0,1E+099,SUMIF(Distance_Matrix!$E$10:$DQ$10,4,Distance_Matrix!$E$57:$DQ$57)/COUNTIF(Distance_Matrix!$E$10:$DQ$10,4))))</f>
        <v>1.48848061228275</v>
      </c>
      <c r="I189" s="17" t="n">
        <f aca="false">IF(COUNTIF(Distance_Matrix!$E$10:$DQ$10,$E189)&lt;=1,0,(H189-G189)/MAX(G189,H189))</f>
        <v>0.191714468963492</v>
      </c>
      <c r="X189" s="17" t="n">
        <f aca="false">SQRT(($B189-X$139)^2+($C189-X$140)^2+($D189-X$141)^2)</f>
        <v>6.22905502444889</v>
      </c>
      <c r="Y189" s="17" t="n">
        <f aca="false">SQRT(($B189-Y$139)^2+($C189-Y$140)^2+($D189-Y$141)^2)</f>
        <v>2.86623908661092</v>
      </c>
      <c r="Z189" s="17" t="n">
        <f aca="false">SQRT(($B189-Z$139)^2+($C189-Z$140)^2+($D189-Z$141)^2)</f>
        <v>1.62111347963302</v>
      </c>
      <c r="AA189" s="17" t="n">
        <f aca="false">SQRT(($B189-AA$139)^2+($C189-AA$140)^2+($D189-AA$141)^2)</f>
        <v>1.78474199217</v>
      </c>
      <c r="AB189" s="63" t="n">
        <f aca="false">MATCH(MIN(X189:AA189),X189:AA189,0)</f>
        <v>3</v>
      </c>
      <c r="AD189" s="17" t="n">
        <f aca="false">SQRT(($B189-AD$139)^2+($C189-AD$140)^2+($D189-AD$141)^2)</f>
        <v>5.28380492497744</v>
      </c>
      <c r="AE189" s="17" t="n">
        <f aca="false">SQRT(($B189-AE$139)^2+($C189-AE$140)^2+($D189-AE$141)^2)</f>
        <v>2.08463351430318</v>
      </c>
      <c r="AF189" s="17" t="n">
        <f aca="false">SQRT(($B189-AF$139)^2+($C189-AF$140)^2+($D189-AF$141)^2)</f>
        <v>1.34812634382685</v>
      </c>
      <c r="AG189" s="17" t="n">
        <f aca="false">SQRT(($B189-AG$139)^2+($C189-AG$140)^2+($D189-AG$141)^2)</f>
        <v>1.09265030446496</v>
      </c>
      <c r="AH189" s="63" t="n">
        <f aca="false">MATCH(MIN(AD189:AG189),AD189:AG189,0)</f>
        <v>4</v>
      </c>
      <c r="AJ189" s="17" t="n">
        <f aca="false">SQRT(($B189-AJ$139)^2+($C189-AJ$140)^2+($D189-AJ$141)^2)</f>
        <v>4.9342894820737</v>
      </c>
      <c r="AK189" s="17" t="n">
        <f aca="false">SQRT(($B189-AK$139)^2+($C189-AK$140)^2+($D189-AK$141)^2)</f>
        <v>2.11383064857691</v>
      </c>
      <c r="AL189" s="17" t="n">
        <f aca="false">SQRT(($B189-AL$139)^2+($C189-AL$140)^2+($D189-AL$141)^2)</f>
        <v>1.43849228395668</v>
      </c>
      <c r="AM189" s="17" t="n">
        <f aca="false">SQRT(($B189-AM$139)^2+($C189-AM$140)^2+($D189-AM$141)^2)</f>
        <v>0.975542265412003</v>
      </c>
      <c r="AN189" s="63" t="n">
        <f aca="false">MATCH(MIN(AJ189:AM189),AJ189:AM189,0)</f>
        <v>4</v>
      </c>
      <c r="AP189" s="17" t="n">
        <f aca="false">SQRT(($B189-AP$139)^2+($C189-AP$140)^2+($D189-AP$141)^2)</f>
        <v>4.65315875440659</v>
      </c>
      <c r="AQ189" s="17" t="n">
        <f aca="false">SQRT(($B189-AQ$139)^2+($C189-AQ$140)^2+($D189-AQ$141)^2)</f>
        <v>2.20890874664778</v>
      </c>
      <c r="AR189" s="17" t="n">
        <f aca="false">SQRT(($B189-AR$139)^2+($C189-AR$140)^2+($D189-AR$141)^2)</f>
        <v>1.38904584937068</v>
      </c>
      <c r="AS189" s="17" t="n">
        <f aca="false">SQRT(($B189-AS$139)^2+($C189-AS$140)^2+($D189-AS$141)^2)</f>
        <v>0.983627319954692</v>
      </c>
      <c r="AT189" s="63" t="n">
        <f aca="false">MATCH(MIN(AP189:AS189),AP189:AS189,0)</f>
        <v>4</v>
      </c>
      <c r="AV189" s="17" t="n">
        <f aca="false">SQRT(($B189-AV$139)^2+($C189-AV$140)^2+($D189-AV$141)^2)</f>
        <v>4.65315875440659</v>
      </c>
      <c r="AW189" s="17" t="n">
        <f aca="false">SQRT(($B189-AW$139)^2+($C189-AW$140)^2+($D189-AW$141)^2)</f>
        <v>2.20890874664778</v>
      </c>
      <c r="AX189" s="17" t="n">
        <f aca="false">SQRT(($B189-AX$139)^2+($C189-AX$140)^2+($D189-AX$141)^2)</f>
        <v>1.38904584937068</v>
      </c>
      <c r="AY189" s="17" t="n">
        <f aca="false">SQRT(($B189-AY$139)^2+($C189-AY$140)^2+($D189-AY$141)^2)</f>
        <v>0.983627319954692</v>
      </c>
      <c r="AZ189" s="63" t="n">
        <f aca="false">MATCH(MIN(AV189:AY189),AV189:AY189,0)</f>
        <v>4</v>
      </c>
      <c r="BB189" s="17" t="n">
        <f aca="false">SQRT(($B189-BB$139)^2+($C189-BB$140)^2+($D189-BB$141)^2)</f>
        <v>4.65315875440659</v>
      </c>
      <c r="BC189" s="17" t="n">
        <f aca="false">SQRT(($B189-BC$139)^2+($C189-BC$140)^2+($D189-BC$141)^2)</f>
        <v>2.20890874664778</v>
      </c>
      <c r="BD189" s="17" t="n">
        <f aca="false">SQRT(($B189-BD$139)^2+($C189-BD$140)^2+($D189-BD$141)^2)</f>
        <v>1.38904584937068</v>
      </c>
      <c r="BE189" s="17" t="n">
        <f aca="false">SQRT(($B189-BE$139)^2+($C189-BE$140)^2+($D189-BE$141)^2)</f>
        <v>0.983627319954692</v>
      </c>
      <c r="BF189" s="63" t="n">
        <f aca="false">MATCH(MIN(BB189:BE189),BB189:BE189,0)</f>
        <v>4</v>
      </c>
      <c r="BH189" s="17" t="n">
        <f aca="false">SQRT(($B189-BH$139)^2+($C189-BH$140)^2+($D189-BH$141)^2)</f>
        <v>4.65315875440659</v>
      </c>
      <c r="BI189" s="17" t="n">
        <f aca="false">SQRT(($B189-BI$139)^2+($C189-BI$140)^2+($D189-BI$141)^2)</f>
        <v>2.20890874664778</v>
      </c>
      <c r="BJ189" s="17" t="n">
        <f aca="false">SQRT(($B189-BJ$139)^2+($C189-BJ$140)^2+($D189-BJ$141)^2)</f>
        <v>1.38904584937068</v>
      </c>
      <c r="BK189" s="17" t="n">
        <f aca="false">SQRT(($B189-BK$139)^2+($C189-BK$140)^2+($D189-BK$141)^2)</f>
        <v>0.983627319954692</v>
      </c>
      <c r="BL189" s="63" t="n">
        <f aca="false">MATCH(MIN(BH189:BK189),BH189:BK189,0)</f>
        <v>4</v>
      </c>
      <c r="BN189" s="17" t="n">
        <f aca="false">SQRT(($B189-BN$139)^2+($C189-BN$140)^2+($D189-BN$141)^2)</f>
        <v>4.65315875440659</v>
      </c>
      <c r="BO189" s="17" t="n">
        <f aca="false">SQRT(($B189-BO$139)^2+($C189-BO$140)^2+($D189-BO$141)^2)</f>
        <v>2.20890874664778</v>
      </c>
      <c r="BP189" s="17" t="n">
        <f aca="false">SQRT(($B189-BP$139)^2+($C189-BP$140)^2+($D189-BP$141)^2)</f>
        <v>1.38904584937068</v>
      </c>
      <c r="BQ189" s="17" t="n">
        <f aca="false">SQRT(($B189-BQ$139)^2+($C189-BQ$140)^2+($D189-BQ$141)^2)</f>
        <v>0.983627319954692</v>
      </c>
      <c r="BR189" s="63" t="n">
        <f aca="false">MATCH(MIN(BN189:BQ189),BN189:BQ189,0)</f>
        <v>4</v>
      </c>
      <c r="BT189" s="17" t="n">
        <f aca="false">SQRT(($B189-BT$139)^2+($C189-BT$140)^2+($D189-BT$141)^2)</f>
        <v>4.65315875440659</v>
      </c>
      <c r="BU189" s="17" t="n">
        <f aca="false">SQRT(($B189-BU$139)^2+($C189-BU$140)^2+($D189-BU$141)^2)</f>
        <v>2.20890874664778</v>
      </c>
      <c r="BV189" s="17" t="n">
        <f aca="false">SQRT(($B189-BV$139)^2+($C189-BV$140)^2+($D189-BV$141)^2)</f>
        <v>1.38904584937068</v>
      </c>
      <c r="BW189" s="17" t="n">
        <f aca="false">SQRT(($B189-BW$139)^2+($C189-BW$140)^2+($D189-BW$141)^2)</f>
        <v>0.983627319954692</v>
      </c>
      <c r="BX189" s="63" t="n">
        <f aca="false">MATCH(MIN(BT189:BW189),BT189:BW189,0)</f>
        <v>4</v>
      </c>
      <c r="BZ189" s="17" t="n">
        <f aca="false">SQRT(($B189-BZ$139)^2+($C189-BZ$140)^2+($D189-BZ$141)^2)</f>
        <v>4.65315875440659</v>
      </c>
      <c r="CA189" s="17" t="n">
        <f aca="false">SQRT(($B189-CA$139)^2+($C189-CA$140)^2+($D189-CA$141)^2)</f>
        <v>2.20890874664778</v>
      </c>
      <c r="CB189" s="17" t="n">
        <f aca="false">SQRT(($B189-CB$139)^2+($C189-CB$140)^2+($D189-CB$141)^2)</f>
        <v>1.38904584937068</v>
      </c>
      <c r="CC189" s="17" t="n">
        <f aca="false">SQRT(($B189-CC$139)^2+($C189-CC$140)^2+($D189-CC$141)^2)</f>
        <v>0.983627319954692</v>
      </c>
      <c r="CD189" s="63" t="n">
        <f aca="false">MATCH(MIN(BZ189:CC189),BZ189:CC189,0)</f>
        <v>4</v>
      </c>
      <c r="CF189" s="17" t="n">
        <f aca="false">SQRT(($B189-CF$139)^2+($C189-CF$140)^2+($D189-CF$141)^2)</f>
        <v>4.65315875440659</v>
      </c>
      <c r="CG189" s="17" t="n">
        <f aca="false">SQRT(($B189-CG$139)^2+($C189-CG$140)^2+($D189-CG$141)^2)</f>
        <v>2.20890874664778</v>
      </c>
      <c r="CH189" s="17" t="n">
        <f aca="false">SQRT(($B189-CH$139)^2+($C189-CH$140)^2+($D189-CH$141)^2)</f>
        <v>1.38904584937068</v>
      </c>
      <c r="CI189" s="17" t="n">
        <f aca="false">SQRT(($B189-CI$139)^2+($C189-CI$140)^2+($D189-CI$141)^2)</f>
        <v>0.983627319954692</v>
      </c>
      <c r="CJ189" s="63" t="n">
        <f aca="false">MATCH(MIN(CF189:CI189),CF189:CI189,0)</f>
        <v>4</v>
      </c>
      <c r="CL189" s="17" t="n">
        <f aca="false">SQRT(($B189-CL$139)^2+($C189-CL$140)^2+($D189-CL$141)^2)</f>
        <v>4.65315875440659</v>
      </c>
      <c r="CM189" s="17" t="n">
        <f aca="false">SQRT(($B189-CM$139)^2+($C189-CM$140)^2+($D189-CM$141)^2)</f>
        <v>2.20890874664778</v>
      </c>
      <c r="CN189" s="17" t="n">
        <f aca="false">SQRT(($B189-CN$139)^2+($C189-CN$140)^2+($D189-CN$141)^2)</f>
        <v>1.38904584937068</v>
      </c>
      <c r="CO189" s="17" t="n">
        <f aca="false">SQRT(($B189-CO$139)^2+($C189-CO$140)^2+($D189-CO$141)^2)</f>
        <v>0.983627319954692</v>
      </c>
      <c r="CP189" s="63" t="n">
        <f aca="false">MATCH(MIN(CL189:CO189),CL189:CO189,0)</f>
        <v>4</v>
      </c>
    </row>
    <row r="190" customFormat="false" ht="15" hidden="false" customHeight="false" outlineLevel="0" collapsed="false">
      <c r="A190" s="36" t="str">
        <f aca="false">KMeans_Data!A49</f>
        <v>Gujranwala</v>
      </c>
      <c r="B190" s="17" t="n">
        <f aca="false">KMeans_Data!H49</f>
        <v>0.238616233785713</v>
      </c>
      <c r="C190" s="17" t="n">
        <f aca="false">KMeans_Data!I49</f>
        <v>-0.672650545388274</v>
      </c>
      <c r="D190" s="17" t="n">
        <f aca="false">KMeans_Data!J49</f>
        <v>-0.824446015898766</v>
      </c>
      <c r="E190" s="63" t="n">
        <f aca="false">CP190</f>
        <v>4</v>
      </c>
      <c r="F190" s="38" t="n">
        <f aca="false">($B190-INDEX($L$139:$O$139,E190))^2+($C190-INDEX($L$140:$O$140,E190))^2+($D190-INDEX($L$141:$O$141,E190))^2</f>
        <v>0.363922872579389</v>
      </c>
      <c r="G190" s="17" t="n">
        <f aca="false">IF(COUNTIF(Distance_Matrix!$E$10:$DQ$10,$E190)&lt;=1,0,SUMIF(Distance_Matrix!$E$10:$DQ$10,$E190,Distance_Matrix!$E$58:$DQ$58)/(COUNTIF(Distance_Matrix!$E$10:$DQ$10,$E190)-1))</f>
        <v>0.921188368738696</v>
      </c>
      <c r="H190" s="17" t="n">
        <f aca="false">MIN(IF(1=$E190,1E+099,IF(COUNTIF(Distance_Matrix!$E$10:$DQ$10,1)=0,1E+099,SUMIF(Distance_Matrix!$E$10:$DQ$10,1,Distance_Matrix!$E$58:$DQ$58)/COUNTIF(Distance_Matrix!$E$10:$DQ$10,1))),IF(2=$E190,1E+099,IF(COUNTIF(Distance_Matrix!$E$10:$DQ$10,2)=0,1E+099,SUMIF(Distance_Matrix!$E$10:$DQ$10,2,Distance_Matrix!$E$58:$DQ$58)/COUNTIF(Distance_Matrix!$E$10:$DQ$10,2))),IF(3=$E190,1E+099,IF(COUNTIF(Distance_Matrix!$E$10:$DQ$10,3)=0,1E+099,SUMIF(Distance_Matrix!$E$10:$DQ$10,3,Distance_Matrix!$E$58:$DQ$58)/COUNTIF(Distance_Matrix!$E$10:$DQ$10,3))),IF(4=$E190,1E+099,IF(COUNTIF(Distance_Matrix!$E$10:$DQ$10,4)=0,1E+099,SUMIF(Distance_Matrix!$E$10:$DQ$10,4,Distance_Matrix!$E$58:$DQ$58)/COUNTIF(Distance_Matrix!$E$10:$DQ$10,4))))</f>
        <v>1.55310661729771</v>
      </c>
      <c r="I190" s="17" t="n">
        <f aca="false">IF(COUNTIF(Distance_Matrix!$E$10:$DQ$10,$E190)&lt;=1,0,(H190-G190)/MAX(G190,H190))</f>
        <v>0.40687370816725</v>
      </c>
      <c r="X190" s="17" t="n">
        <f aca="false">SQRT(($B190-X$139)^2+($C190-X$140)^2+($D190-X$141)^2)</f>
        <v>6.93086632696364</v>
      </c>
      <c r="Y190" s="17" t="n">
        <f aca="false">SQRT(($B190-Y$139)^2+($C190-Y$140)^2+($D190-Y$141)^2)</f>
        <v>2.34049876920762</v>
      </c>
      <c r="Z190" s="17" t="n">
        <f aca="false">SQRT(($B190-Z$139)^2+($C190-Z$140)^2+($D190-Z$141)^2)</f>
        <v>2.64756474909866</v>
      </c>
      <c r="AA190" s="17" t="n">
        <f aca="false">SQRT(($B190-AA$139)^2+($C190-AA$140)^2+($D190-AA$141)^2)</f>
        <v>0.738369626853435</v>
      </c>
      <c r="AB190" s="63" t="n">
        <f aca="false">MATCH(MIN(X190:AA190),X190:AA190,0)</f>
        <v>4</v>
      </c>
      <c r="AD190" s="17" t="n">
        <f aca="false">SQRT(($B190-AD$139)^2+($C190-AD$140)^2+($D190-AD$141)^2)</f>
        <v>5.9232534625207</v>
      </c>
      <c r="AE190" s="17" t="n">
        <f aca="false">SQRT(($B190-AE$139)^2+($C190-AE$140)^2+($D190-AE$141)^2)</f>
        <v>1.48388646573778</v>
      </c>
      <c r="AF190" s="17" t="n">
        <f aca="false">SQRT(($B190-AF$139)^2+($C190-AF$140)^2+($D190-AF$141)^2)</f>
        <v>2.14508025123814</v>
      </c>
      <c r="AG190" s="17" t="n">
        <f aca="false">SQRT(($B190-AG$139)^2+($C190-AG$140)^2+($D190-AG$141)^2)</f>
        <v>0.46967306229872</v>
      </c>
      <c r="AH190" s="63" t="n">
        <f aca="false">MATCH(MIN(AD190:AG190),AD190:AG190,0)</f>
        <v>4</v>
      </c>
      <c r="AJ190" s="17" t="n">
        <f aca="false">SQRT(($B190-AJ$139)^2+($C190-AJ$140)^2+($D190-AJ$141)^2)</f>
        <v>5.57546709497539</v>
      </c>
      <c r="AK190" s="17" t="n">
        <f aca="false">SQRT(($B190-AK$139)^2+($C190-AK$140)^2+($D190-AK$141)^2)</f>
        <v>1.4798118746046</v>
      </c>
      <c r="AL190" s="17" t="n">
        <f aca="false">SQRT(($B190-AL$139)^2+($C190-AL$140)^2+($D190-AL$141)^2)</f>
        <v>2.20584908178679</v>
      </c>
      <c r="AM190" s="17" t="n">
        <f aca="false">SQRT(($B190-AM$139)^2+($C190-AM$140)^2+($D190-AM$141)^2)</f>
        <v>0.572622052239291</v>
      </c>
      <c r="AN190" s="63" t="n">
        <f aca="false">MATCH(MIN(AJ190:AM190),AJ190:AM190,0)</f>
        <v>4</v>
      </c>
      <c r="AP190" s="17" t="n">
        <f aca="false">SQRT(($B190-AP$139)^2+($C190-AP$140)^2+($D190-AP$141)^2)</f>
        <v>5.29040106706132</v>
      </c>
      <c r="AQ190" s="17" t="n">
        <f aca="false">SQRT(($B190-AQ$139)^2+($C190-AQ$140)^2+($D190-AQ$141)^2)</f>
        <v>1.53711312322041</v>
      </c>
      <c r="AR190" s="17" t="n">
        <f aca="false">SQRT(($B190-AR$139)^2+($C190-AR$140)^2+($D190-AR$141)^2)</f>
        <v>2.1644007669933</v>
      </c>
      <c r="AS190" s="17" t="n">
        <f aca="false">SQRT(($B190-AS$139)^2+($C190-AS$140)^2+($D190-AS$141)^2)</f>
        <v>0.603260203046238</v>
      </c>
      <c r="AT190" s="63" t="n">
        <f aca="false">MATCH(MIN(AP190:AS190),AP190:AS190,0)</f>
        <v>4</v>
      </c>
      <c r="AV190" s="17" t="n">
        <f aca="false">SQRT(($B190-AV$139)^2+($C190-AV$140)^2+($D190-AV$141)^2)</f>
        <v>5.29040106706132</v>
      </c>
      <c r="AW190" s="17" t="n">
        <f aca="false">SQRT(($B190-AW$139)^2+($C190-AW$140)^2+($D190-AW$141)^2)</f>
        <v>1.53711312322041</v>
      </c>
      <c r="AX190" s="17" t="n">
        <f aca="false">SQRT(($B190-AX$139)^2+($C190-AX$140)^2+($D190-AX$141)^2)</f>
        <v>2.1644007669933</v>
      </c>
      <c r="AY190" s="17" t="n">
        <f aca="false">SQRT(($B190-AY$139)^2+($C190-AY$140)^2+($D190-AY$141)^2)</f>
        <v>0.603260203046238</v>
      </c>
      <c r="AZ190" s="63" t="n">
        <f aca="false">MATCH(MIN(AV190:AY190),AV190:AY190,0)</f>
        <v>4</v>
      </c>
      <c r="BB190" s="17" t="n">
        <f aca="false">SQRT(($B190-BB$139)^2+($C190-BB$140)^2+($D190-BB$141)^2)</f>
        <v>5.29040106706132</v>
      </c>
      <c r="BC190" s="17" t="n">
        <f aca="false">SQRT(($B190-BC$139)^2+($C190-BC$140)^2+($D190-BC$141)^2)</f>
        <v>1.53711312322041</v>
      </c>
      <c r="BD190" s="17" t="n">
        <f aca="false">SQRT(($B190-BD$139)^2+($C190-BD$140)^2+($D190-BD$141)^2)</f>
        <v>2.1644007669933</v>
      </c>
      <c r="BE190" s="17" t="n">
        <f aca="false">SQRT(($B190-BE$139)^2+($C190-BE$140)^2+($D190-BE$141)^2)</f>
        <v>0.603260203046238</v>
      </c>
      <c r="BF190" s="63" t="n">
        <f aca="false">MATCH(MIN(BB190:BE190),BB190:BE190,0)</f>
        <v>4</v>
      </c>
      <c r="BH190" s="17" t="n">
        <f aca="false">SQRT(($B190-BH$139)^2+($C190-BH$140)^2+($D190-BH$141)^2)</f>
        <v>5.29040106706132</v>
      </c>
      <c r="BI190" s="17" t="n">
        <f aca="false">SQRT(($B190-BI$139)^2+($C190-BI$140)^2+($D190-BI$141)^2)</f>
        <v>1.53711312322041</v>
      </c>
      <c r="BJ190" s="17" t="n">
        <f aca="false">SQRT(($B190-BJ$139)^2+($C190-BJ$140)^2+($D190-BJ$141)^2)</f>
        <v>2.1644007669933</v>
      </c>
      <c r="BK190" s="17" t="n">
        <f aca="false">SQRT(($B190-BK$139)^2+($C190-BK$140)^2+($D190-BK$141)^2)</f>
        <v>0.603260203046238</v>
      </c>
      <c r="BL190" s="63" t="n">
        <f aca="false">MATCH(MIN(BH190:BK190),BH190:BK190,0)</f>
        <v>4</v>
      </c>
      <c r="BN190" s="17" t="n">
        <f aca="false">SQRT(($B190-BN$139)^2+($C190-BN$140)^2+($D190-BN$141)^2)</f>
        <v>5.29040106706132</v>
      </c>
      <c r="BO190" s="17" t="n">
        <f aca="false">SQRT(($B190-BO$139)^2+($C190-BO$140)^2+($D190-BO$141)^2)</f>
        <v>1.53711312322041</v>
      </c>
      <c r="BP190" s="17" t="n">
        <f aca="false">SQRT(($B190-BP$139)^2+($C190-BP$140)^2+($D190-BP$141)^2)</f>
        <v>2.1644007669933</v>
      </c>
      <c r="BQ190" s="17" t="n">
        <f aca="false">SQRT(($B190-BQ$139)^2+($C190-BQ$140)^2+($D190-BQ$141)^2)</f>
        <v>0.603260203046238</v>
      </c>
      <c r="BR190" s="63" t="n">
        <f aca="false">MATCH(MIN(BN190:BQ190),BN190:BQ190,0)</f>
        <v>4</v>
      </c>
      <c r="BT190" s="17" t="n">
        <f aca="false">SQRT(($B190-BT$139)^2+($C190-BT$140)^2+($D190-BT$141)^2)</f>
        <v>5.29040106706132</v>
      </c>
      <c r="BU190" s="17" t="n">
        <f aca="false">SQRT(($B190-BU$139)^2+($C190-BU$140)^2+($D190-BU$141)^2)</f>
        <v>1.53711312322041</v>
      </c>
      <c r="BV190" s="17" t="n">
        <f aca="false">SQRT(($B190-BV$139)^2+($C190-BV$140)^2+($D190-BV$141)^2)</f>
        <v>2.1644007669933</v>
      </c>
      <c r="BW190" s="17" t="n">
        <f aca="false">SQRT(($B190-BW$139)^2+($C190-BW$140)^2+($D190-BW$141)^2)</f>
        <v>0.603260203046238</v>
      </c>
      <c r="BX190" s="63" t="n">
        <f aca="false">MATCH(MIN(BT190:BW190),BT190:BW190,0)</f>
        <v>4</v>
      </c>
      <c r="BZ190" s="17" t="n">
        <f aca="false">SQRT(($B190-BZ$139)^2+($C190-BZ$140)^2+($D190-BZ$141)^2)</f>
        <v>5.29040106706132</v>
      </c>
      <c r="CA190" s="17" t="n">
        <f aca="false">SQRT(($B190-CA$139)^2+($C190-CA$140)^2+($D190-CA$141)^2)</f>
        <v>1.53711312322041</v>
      </c>
      <c r="CB190" s="17" t="n">
        <f aca="false">SQRT(($B190-CB$139)^2+($C190-CB$140)^2+($D190-CB$141)^2)</f>
        <v>2.1644007669933</v>
      </c>
      <c r="CC190" s="17" t="n">
        <f aca="false">SQRT(($B190-CC$139)^2+($C190-CC$140)^2+($D190-CC$141)^2)</f>
        <v>0.603260203046238</v>
      </c>
      <c r="CD190" s="63" t="n">
        <f aca="false">MATCH(MIN(BZ190:CC190),BZ190:CC190,0)</f>
        <v>4</v>
      </c>
      <c r="CF190" s="17" t="n">
        <f aca="false">SQRT(($B190-CF$139)^2+($C190-CF$140)^2+($D190-CF$141)^2)</f>
        <v>5.29040106706132</v>
      </c>
      <c r="CG190" s="17" t="n">
        <f aca="false">SQRT(($B190-CG$139)^2+($C190-CG$140)^2+($D190-CG$141)^2)</f>
        <v>1.53711312322041</v>
      </c>
      <c r="CH190" s="17" t="n">
        <f aca="false">SQRT(($B190-CH$139)^2+($C190-CH$140)^2+($D190-CH$141)^2)</f>
        <v>2.1644007669933</v>
      </c>
      <c r="CI190" s="17" t="n">
        <f aca="false">SQRT(($B190-CI$139)^2+($C190-CI$140)^2+($D190-CI$141)^2)</f>
        <v>0.603260203046238</v>
      </c>
      <c r="CJ190" s="63" t="n">
        <f aca="false">MATCH(MIN(CF190:CI190),CF190:CI190,0)</f>
        <v>4</v>
      </c>
      <c r="CL190" s="17" t="n">
        <f aca="false">SQRT(($B190-CL$139)^2+($C190-CL$140)^2+($D190-CL$141)^2)</f>
        <v>5.29040106706132</v>
      </c>
      <c r="CM190" s="17" t="n">
        <f aca="false">SQRT(($B190-CM$139)^2+($C190-CM$140)^2+($D190-CM$141)^2)</f>
        <v>1.53711312322041</v>
      </c>
      <c r="CN190" s="17" t="n">
        <f aca="false">SQRT(($B190-CN$139)^2+($C190-CN$140)^2+($D190-CN$141)^2)</f>
        <v>2.1644007669933</v>
      </c>
      <c r="CO190" s="17" t="n">
        <f aca="false">SQRT(($B190-CO$139)^2+($C190-CO$140)^2+($D190-CO$141)^2)</f>
        <v>0.603260203046238</v>
      </c>
      <c r="CP190" s="63" t="n">
        <f aca="false">MATCH(MIN(CL190:CO190),CL190:CO190,0)</f>
        <v>4</v>
      </c>
    </row>
    <row r="191" customFormat="false" ht="15" hidden="false" customHeight="false" outlineLevel="0" collapsed="false">
      <c r="A191" s="36" t="str">
        <f aca="false">KMeans_Data!A50</f>
        <v>Bannu</v>
      </c>
      <c r="B191" s="17" t="n">
        <f aca="false">KMeans_Data!H50</f>
        <v>0.232528795764548</v>
      </c>
      <c r="C191" s="17" t="n">
        <f aca="false">KMeans_Data!I50</f>
        <v>0.160512589624996</v>
      </c>
      <c r="D191" s="17" t="n">
        <f aca="false">KMeans_Data!J50</f>
        <v>0.381616717142464</v>
      </c>
      <c r="E191" s="63" t="n">
        <f aca="false">CP191</f>
        <v>3</v>
      </c>
      <c r="F191" s="38" t="n">
        <f aca="false">($B191-INDEX($L$139:$O$139,E191))^2+($C191-INDEX($L$140:$O$140,E191))^2+($D191-INDEX($L$141:$O$141,E191))^2</f>
        <v>0.604797628443183</v>
      </c>
      <c r="G191" s="17" t="n">
        <f aca="false">IF(COUNTIF(Distance_Matrix!$E$10:$DQ$10,$E191)&lt;=1,0,SUMIF(Distance_Matrix!$E$10:$DQ$10,$E191,Distance_Matrix!$E$59:$DQ$59)/(COUNTIF(Distance_Matrix!$E$10:$DQ$10,$E191)-1))</f>
        <v>1.03413628419022</v>
      </c>
      <c r="H191" s="17" t="n">
        <f aca="false">MIN(IF(1=$E191,1E+099,IF(COUNTIF(Distance_Matrix!$E$10:$DQ$10,1)=0,1E+099,SUMIF(Distance_Matrix!$E$10:$DQ$10,1,Distance_Matrix!$E$59:$DQ$59)/COUNTIF(Distance_Matrix!$E$10:$DQ$10,1))),IF(2=$E191,1E+099,IF(COUNTIF(Distance_Matrix!$E$10:$DQ$10,2)=0,1E+099,SUMIF(Distance_Matrix!$E$10:$DQ$10,2,Distance_Matrix!$E$59:$DQ$59)/COUNTIF(Distance_Matrix!$E$10:$DQ$10,2))),IF(3=$E191,1E+099,IF(COUNTIF(Distance_Matrix!$E$10:$DQ$10,3)=0,1E+099,SUMIF(Distance_Matrix!$E$10:$DQ$10,3,Distance_Matrix!$E$59:$DQ$59)/COUNTIF(Distance_Matrix!$E$10:$DQ$10,3))),IF(4=$E191,1E+099,IF(COUNTIF(Distance_Matrix!$E$10:$DQ$10,4)=0,1E+099,SUMIF(Distance_Matrix!$E$10:$DQ$10,4,Distance_Matrix!$E$59:$DQ$59)/COUNTIF(Distance_Matrix!$E$10:$DQ$10,4))))</f>
        <v>1.2648599211129</v>
      </c>
      <c r="I191" s="17" t="n">
        <f aca="false">IF(COUNTIF(Distance_Matrix!$E$10:$DQ$10,$E191)&lt;=1,0,(H191-G191)/MAX(G191,H191))</f>
        <v>0.18241042590683</v>
      </c>
      <c r="X191" s="17" t="n">
        <f aca="false">SQRT(($B191-X$139)^2+($C191-X$140)^2+($D191-X$141)^2)</f>
        <v>5.70413302159258</v>
      </c>
      <c r="Y191" s="17" t="n">
        <f aca="false">SQRT(($B191-Y$139)^2+($C191-Y$140)^2+($D191-Y$141)^2)</f>
        <v>2.89365929467502</v>
      </c>
      <c r="Z191" s="17" t="n">
        <f aca="false">SQRT(($B191-Z$139)^2+($C191-Z$140)^2+($D191-Z$141)^2)</f>
        <v>1.37141316387543</v>
      </c>
      <c r="AA191" s="17" t="n">
        <f aca="false">SQRT(($B191-AA$139)^2+($C191-AA$140)^2+($D191-AA$141)^2)</f>
        <v>1.61175911830142</v>
      </c>
      <c r="AB191" s="63" t="n">
        <f aca="false">MATCH(MIN(X191:AA191),X191:AA191,0)</f>
        <v>3</v>
      </c>
      <c r="AD191" s="17" t="n">
        <f aca="false">SQRT(($B191-AD$139)^2+($C191-AD$140)^2+($D191-AD$141)^2)</f>
        <v>4.72275364442555</v>
      </c>
      <c r="AE191" s="17" t="n">
        <f aca="false">SQRT(($B191-AE$139)^2+($C191-AE$140)^2+($D191-AE$141)^2)</f>
        <v>2.13742897702985</v>
      </c>
      <c r="AF191" s="17" t="n">
        <f aca="false">SQRT(($B191-AF$139)^2+($C191-AF$140)^2+($D191-AF$141)^2)</f>
        <v>0.749717689845342</v>
      </c>
      <c r="AG191" s="17" t="n">
        <f aca="false">SQRT(($B191-AG$139)^2+($C191-AG$140)^2+($D191-AG$141)^2)</f>
        <v>1.14500253265743</v>
      </c>
      <c r="AH191" s="63" t="n">
        <f aca="false">MATCH(MIN(AD191:AG191),AD191:AG191,0)</f>
        <v>3</v>
      </c>
      <c r="AJ191" s="17" t="n">
        <f aca="false">SQRT(($B191-AJ$139)^2+($C191-AJ$140)^2+($D191-AJ$141)^2)</f>
        <v>4.37802121216507</v>
      </c>
      <c r="AK191" s="17" t="n">
        <f aca="false">SQRT(($B191-AK$139)^2+($C191-AK$140)^2+($D191-AK$141)^2)</f>
        <v>2.16290779952777</v>
      </c>
      <c r="AL191" s="17" t="n">
        <f aca="false">SQRT(($B191-AL$139)^2+($C191-AL$140)^2+($D191-AL$141)^2)</f>
        <v>0.823995739675346</v>
      </c>
      <c r="AM191" s="17" t="n">
        <f aca="false">SQRT(($B191-AM$139)^2+($C191-AM$140)^2+($D191-AM$141)^2)</f>
        <v>1.05661640897051</v>
      </c>
      <c r="AN191" s="63" t="n">
        <f aca="false">MATCH(MIN(AJ191:AM191),AJ191:AM191,0)</f>
        <v>3</v>
      </c>
      <c r="AP191" s="17" t="n">
        <f aca="false">SQRT(($B191-AP$139)^2+($C191-AP$140)^2+($D191-AP$141)^2)</f>
        <v>4.08639246629164</v>
      </c>
      <c r="AQ191" s="17" t="n">
        <f aca="false">SQRT(($B191-AQ$139)^2+($C191-AQ$140)^2+($D191-AQ$141)^2)</f>
        <v>2.24937500409384</v>
      </c>
      <c r="AR191" s="17" t="n">
        <f aca="false">SQRT(($B191-AR$139)^2+($C191-AR$140)^2+($D191-AR$141)^2)</f>
        <v>0.777687359060942</v>
      </c>
      <c r="AS191" s="17" t="n">
        <f aca="false">SQRT(($B191-AS$139)^2+($C191-AS$140)^2+($D191-AS$141)^2)</f>
        <v>1.07241896184547</v>
      </c>
      <c r="AT191" s="63" t="n">
        <f aca="false">MATCH(MIN(AP191:AS191),AP191:AS191,0)</f>
        <v>3</v>
      </c>
      <c r="AV191" s="17" t="n">
        <f aca="false">SQRT(($B191-AV$139)^2+($C191-AV$140)^2+($D191-AV$141)^2)</f>
        <v>4.08639246629164</v>
      </c>
      <c r="AW191" s="17" t="n">
        <f aca="false">SQRT(($B191-AW$139)^2+($C191-AW$140)^2+($D191-AW$141)^2)</f>
        <v>2.24937500409384</v>
      </c>
      <c r="AX191" s="17" t="n">
        <f aca="false">SQRT(($B191-AX$139)^2+($C191-AX$140)^2+($D191-AX$141)^2)</f>
        <v>0.777687359060942</v>
      </c>
      <c r="AY191" s="17" t="n">
        <f aca="false">SQRT(($B191-AY$139)^2+($C191-AY$140)^2+($D191-AY$141)^2)</f>
        <v>1.07241896184547</v>
      </c>
      <c r="AZ191" s="63" t="n">
        <f aca="false">MATCH(MIN(AV191:AY191),AV191:AY191,0)</f>
        <v>3</v>
      </c>
      <c r="BB191" s="17" t="n">
        <f aca="false">SQRT(($B191-BB$139)^2+($C191-BB$140)^2+($D191-BB$141)^2)</f>
        <v>4.08639246629164</v>
      </c>
      <c r="BC191" s="17" t="n">
        <f aca="false">SQRT(($B191-BC$139)^2+($C191-BC$140)^2+($D191-BC$141)^2)</f>
        <v>2.24937500409384</v>
      </c>
      <c r="BD191" s="17" t="n">
        <f aca="false">SQRT(($B191-BD$139)^2+($C191-BD$140)^2+($D191-BD$141)^2)</f>
        <v>0.777687359060942</v>
      </c>
      <c r="BE191" s="17" t="n">
        <f aca="false">SQRT(($B191-BE$139)^2+($C191-BE$140)^2+($D191-BE$141)^2)</f>
        <v>1.07241896184547</v>
      </c>
      <c r="BF191" s="63" t="n">
        <f aca="false">MATCH(MIN(BB191:BE191),BB191:BE191,0)</f>
        <v>3</v>
      </c>
      <c r="BH191" s="17" t="n">
        <f aca="false">SQRT(($B191-BH$139)^2+($C191-BH$140)^2+($D191-BH$141)^2)</f>
        <v>4.08639246629164</v>
      </c>
      <c r="BI191" s="17" t="n">
        <f aca="false">SQRT(($B191-BI$139)^2+($C191-BI$140)^2+($D191-BI$141)^2)</f>
        <v>2.24937500409384</v>
      </c>
      <c r="BJ191" s="17" t="n">
        <f aca="false">SQRT(($B191-BJ$139)^2+($C191-BJ$140)^2+($D191-BJ$141)^2)</f>
        <v>0.777687359060942</v>
      </c>
      <c r="BK191" s="17" t="n">
        <f aca="false">SQRT(($B191-BK$139)^2+($C191-BK$140)^2+($D191-BK$141)^2)</f>
        <v>1.07241896184547</v>
      </c>
      <c r="BL191" s="63" t="n">
        <f aca="false">MATCH(MIN(BH191:BK191),BH191:BK191,0)</f>
        <v>3</v>
      </c>
      <c r="BN191" s="17" t="n">
        <f aca="false">SQRT(($B191-BN$139)^2+($C191-BN$140)^2+($D191-BN$141)^2)</f>
        <v>4.08639246629164</v>
      </c>
      <c r="BO191" s="17" t="n">
        <f aca="false">SQRT(($B191-BO$139)^2+($C191-BO$140)^2+($D191-BO$141)^2)</f>
        <v>2.24937500409384</v>
      </c>
      <c r="BP191" s="17" t="n">
        <f aca="false">SQRT(($B191-BP$139)^2+($C191-BP$140)^2+($D191-BP$141)^2)</f>
        <v>0.777687359060942</v>
      </c>
      <c r="BQ191" s="17" t="n">
        <f aca="false">SQRT(($B191-BQ$139)^2+($C191-BQ$140)^2+($D191-BQ$141)^2)</f>
        <v>1.07241896184547</v>
      </c>
      <c r="BR191" s="63" t="n">
        <f aca="false">MATCH(MIN(BN191:BQ191),BN191:BQ191,0)</f>
        <v>3</v>
      </c>
      <c r="BT191" s="17" t="n">
        <f aca="false">SQRT(($B191-BT$139)^2+($C191-BT$140)^2+($D191-BT$141)^2)</f>
        <v>4.08639246629164</v>
      </c>
      <c r="BU191" s="17" t="n">
        <f aca="false">SQRT(($B191-BU$139)^2+($C191-BU$140)^2+($D191-BU$141)^2)</f>
        <v>2.24937500409384</v>
      </c>
      <c r="BV191" s="17" t="n">
        <f aca="false">SQRT(($B191-BV$139)^2+($C191-BV$140)^2+($D191-BV$141)^2)</f>
        <v>0.777687359060942</v>
      </c>
      <c r="BW191" s="17" t="n">
        <f aca="false">SQRT(($B191-BW$139)^2+($C191-BW$140)^2+($D191-BW$141)^2)</f>
        <v>1.07241896184547</v>
      </c>
      <c r="BX191" s="63" t="n">
        <f aca="false">MATCH(MIN(BT191:BW191),BT191:BW191,0)</f>
        <v>3</v>
      </c>
      <c r="BZ191" s="17" t="n">
        <f aca="false">SQRT(($B191-BZ$139)^2+($C191-BZ$140)^2+($D191-BZ$141)^2)</f>
        <v>4.08639246629164</v>
      </c>
      <c r="CA191" s="17" t="n">
        <f aca="false">SQRT(($B191-CA$139)^2+($C191-CA$140)^2+($D191-CA$141)^2)</f>
        <v>2.24937500409384</v>
      </c>
      <c r="CB191" s="17" t="n">
        <f aca="false">SQRT(($B191-CB$139)^2+($C191-CB$140)^2+($D191-CB$141)^2)</f>
        <v>0.777687359060942</v>
      </c>
      <c r="CC191" s="17" t="n">
        <f aca="false">SQRT(($B191-CC$139)^2+($C191-CC$140)^2+($D191-CC$141)^2)</f>
        <v>1.07241896184547</v>
      </c>
      <c r="CD191" s="63" t="n">
        <f aca="false">MATCH(MIN(BZ191:CC191),BZ191:CC191,0)</f>
        <v>3</v>
      </c>
      <c r="CF191" s="17" t="n">
        <f aca="false">SQRT(($B191-CF$139)^2+($C191-CF$140)^2+($D191-CF$141)^2)</f>
        <v>4.08639246629164</v>
      </c>
      <c r="CG191" s="17" t="n">
        <f aca="false">SQRT(($B191-CG$139)^2+($C191-CG$140)^2+($D191-CG$141)^2)</f>
        <v>2.24937500409384</v>
      </c>
      <c r="CH191" s="17" t="n">
        <f aca="false">SQRT(($B191-CH$139)^2+($C191-CH$140)^2+($D191-CH$141)^2)</f>
        <v>0.777687359060942</v>
      </c>
      <c r="CI191" s="17" t="n">
        <f aca="false">SQRT(($B191-CI$139)^2+($C191-CI$140)^2+($D191-CI$141)^2)</f>
        <v>1.07241896184547</v>
      </c>
      <c r="CJ191" s="63" t="n">
        <f aca="false">MATCH(MIN(CF191:CI191),CF191:CI191,0)</f>
        <v>3</v>
      </c>
      <c r="CL191" s="17" t="n">
        <f aca="false">SQRT(($B191-CL$139)^2+($C191-CL$140)^2+($D191-CL$141)^2)</f>
        <v>4.08639246629164</v>
      </c>
      <c r="CM191" s="17" t="n">
        <f aca="false">SQRT(($B191-CM$139)^2+($C191-CM$140)^2+($D191-CM$141)^2)</f>
        <v>2.24937500409384</v>
      </c>
      <c r="CN191" s="17" t="n">
        <f aca="false">SQRT(($B191-CN$139)^2+($C191-CN$140)^2+($D191-CN$141)^2)</f>
        <v>0.777687359060942</v>
      </c>
      <c r="CO191" s="17" t="n">
        <f aca="false">SQRT(($B191-CO$139)^2+($C191-CO$140)^2+($D191-CO$141)^2)</f>
        <v>1.07241896184547</v>
      </c>
      <c r="CP191" s="63" t="n">
        <f aca="false">MATCH(MIN(CL191:CO191),CL191:CO191,0)</f>
        <v>3</v>
      </c>
    </row>
    <row r="192" customFormat="false" ht="15" hidden="false" customHeight="false" outlineLevel="0" collapsed="false">
      <c r="A192" s="36" t="str">
        <f aca="false">KMeans_Data!A51</f>
        <v>Lodhran</v>
      </c>
      <c r="B192" s="17" t="n">
        <f aca="false">KMeans_Data!H51</f>
        <v>0.200975497781959</v>
      </c>
      <c r="C192" s="17" t="n">
        <f aca="false">KMeans_Data!I51</f>
        <v>-0.672650545388274</v>
      </c>
      <c r="D192" s="17" t="n">
        <f aca="false">KMeans_Data!J51</f>
        <v>-1.14564411633355</v>
      </c>
      <c r="E192" s="63" t="n">
        <f aca="false">CP192</f>
        <v>4</v>
      </c>
      <c r="F192" s="38" t="n">
        <f aca="false">($B192-INDEX($L$139:$O$139,E192))^2+($C192-INDEX($L$140:$O$140,E192))^2+($D192-INDEX($L$141:$O$141,E192))^2</f>
        <v>0.729530403688654</v>
      </c>
      <c r="G192" s="17" t="n">
        <f aca="false">IF(COUNTIF(Distance_Matrix!$E$10:$DQ$10,$E192)&lt;=1,0,SUMIF(Distance_Matrix!$E$10:$DQ$10,$E192,Distance_Matrix!$E$60:$DQ$60)/(COUNTIF(Distance_Matrix!$E$10:$DQ$10,$E192)-1))</f>
        <v>1.05482114111966</v>
      </c>
      <c r="H192" s="17" t="n">
        <f aca="false">MIN(IF(1=$E192,1E+099,IF(COUNTIF(Distance_Matrix!$E$10:$DQ$10,1)=0,1E+099,SUMIF(Distance_Matrix!$E$10:$DQ$10,1,Distance_Matrix!$E$60:$DQ$60)/COUNTIF(Distance_Matrix!$E$10:$DQ$10,1))),IF(2=$E192,1E+099,IF(COUNTIF(Distance_Matrix!$E$10:$DQ$10,2)=0,1E+099,SUMIF(Distance_Matrix!$E$10:$DQ$10,2,Distance_Matrix!$E$60:$DQ$60)/COUNTIF(Distance_Matrix!$E$10:$DQ$10,2))),IF(3=$E192,1E+099,IF(COUNTIF(Distance_Matrix!$E$10:$DQ$10,3)=0,1E+099,SUMIF(Distance_Matrix!$E$10:$DQ$10,3,Distance_Matrix!$E$60:$DQ$60)/COUNTIF(Distance_Matrix!$E$10:$DQ$10,3))),IF(4=$E192,1E+099,IF(COUNTIF(Distance_Matrix!$E$10:$DQ$10,4)=0,1E+099,SUMIF(Distance_Matrix!$E$10:$DQ$10,4,Distance_Matrix!$E$60:$DQ$60)/COUNTIF(Distance_Matrix!$E$10:$DQ$10,4))))</f>
        <v>1.49788503704912</v>
      </c>
      <c r="I192" s="17" t="n">
        <f aca="false">IF(COUNTIF(Distance_Matrix!$E$10:$DQ$10,$E192)&lt;=1,0,(H192-G192)/MAX(G192,H192))</f>
        <v>0.295792991431643</v>
      </c>
      <c r="X192" s="17" t="n">
        <f aca="false">SQRT(($B192-X$139)^2+($C192-X$140)^2+($D192-X$141)^2)</f>
        <v>7.14067054710151</v>
      </c>
      <c r="Y192" s="17" t="n">
        <f aca="false">SQRT(($B192-Y$139)^2+($C192-Y$140)^2+($D192-Y$141)^2)</f>
        <v>2.28071347958528</v>
      </c>
      <c r="Z192" s="17" t="n">
        <f aca="false">SQRT(($B192-Z$139)^2+($C192-Z$140)^2+($D192-Z$141)^2)</f>
        <v>2.94083599570945</v>
      </c>
      <c r="AA192" s="17" t="n">
        <f aca="false">SQRT(($B192-AA$139)^2+($C192-AA$140)^2+($D192-AA$141)^2)</f>
        <v>0.688536235872892</v>
      </c>
      <c r="AB192" s="63" t="n">
        <f aca="false">MATCH(MIN(X192:AA192),X192:AA192,0)</f>
        <v>4</v>
      </c>
      <c r="AD192" s="17" t="n">
        <f aca="false">SQRT(($B192-AD$139)^2+($C192-AD$140)^2+($D192-AD$141)^2)</f>
        <v>6.12452814149088</v>
      </c>
      <c r="AE192" s="17" t="n">
        <f aca="false">SQRT(($B192-AE$139)^2+($C192-AE$140)^2+($D192-AE$141)^2)</f>
        <v>1.4573798613521</v>
      </c>
      <c r="AF192" s="17" t="n">
        <f aca="false">SQRT(($B192-AF$139)^2+($C192-AF$140)^2+($D192-AF$141)^2)</f>
        <v>2.41422382990312</v>
      </c>
      <c r="AG192" s="17" t="n">
        <f aca="false">SQRT(($B192-AG$139)^2+($C192-AG$140)^2+($D192-AG$141)^2)</f>
        <v>0.708502417290742</v>
      </c>
      <c r="AH192" s="63" t="n">
        <f aca="false">MATCH(MIN(AD192:AG192),AD192:AG192,0)</f>
        <v>4</v>
      </c>
      <c r="AJ192" s="17" t="n">
        <f aca="false">SQRT(($B192-AJ$139)^2+($C192-AJ$140)^2+($D192-AJ$141)^2)</f>
        <v>5.77924465841739</v>
      </c>
      <c r="AK192" s="17" t="n">
        <f aca="false">SQRT(($B192-AK$139)^2+($C192-AK$140)^2+($D192-AK$141)^2)</f>
        <v>1.44227952093955</v>
      </c>
      <c r="AL192" s="17" t="n">
        <f aca="false">SQRT(($B192-AL$139)^2+($C192-AL$140)^2+($D192-AL$141)^2)</f>
        <v>2.46961214089429</v>
      </c>
      <c r="AM192" s="17" t="n">
        <f aca="false">SQRT(($B192-AM$139)^2+($C192-AM$140)^2+($D192-AM$141)^2)</f>
        <v>0.831749626318867</v>
      </c>
      <c r="AN192" s="63" t="n">
        <f aca="false">MATCH(MIN(AJ192:AM192),AJ192:AM192,0)</f>
        <v>4</v>
      </c>
      <c r="AP192" s="17" t="n">
        <f aca="false">SQRT(($B192-AP$139)^2+($C192-AP$140)^2+($D192-AP$141)^2)</f>
        <v>5.49477313122977</v>
      </c>
      <c r="AQ192" s="17" t="n">
        <f aca="false">SQRT(($B192-AQ$139)^2+($C192-AQ$140)^2+($D192-AQ$141)^2)</f>
        <v>1.48084073854466</v>
      </c>
      <c r="AR192" s="17" t="n">
        <f aca="false">SQRT(($B192-AR$139)^2+($C192-AR$140)^2+($D192-AR$141)^2)</f>
        <v>2.43031258718636</v>
      </c>
      <c r="AS192" s="17" t="n">
        <f aca="false">SQRT(($B192-AS$139)^2+($C192-AS$140)^2+($D192-AS$141)^2)</f>
        <v>0.85412551986734</v>
      </c>
      <c r="AT192" s="63" t="n">
        <f aca="false">MATCH(MIN(AP192:AS192),AP192:AS192,0)</f>
        <v>4</v>
      </c>
      <c r="AV192" s="17" t="n">
        <f aca="false">SQRT(($B192-AV$139)^2+($C192-AV$140)^2+($D192-AV$141)^2)</f>
        <v>5.49477313122977</v>
      </c>
      <c r="AW192" s="17" t="n">
        <f aca="false">SQRT(($B192-AW$139)^2+($C192-AW$140)^2+($D192-AW$141)^2)</f>
        <v>1.48084073854466</v>
      </c>
      <c r="AX192" s="17" t="n">
        <f aca="false">SQRT(($B192-AX$139)^2+($C192-AX$140)^2+($D192-AX$141)^2)</f>
        <v>2.43031258718636</v>
      </c>
      <c r="AY192" s="17" t="n">
        <f aca="false">SQRT(($B192-AY$139)^2+($C192-AY$140)^2+($D192-AY$141)^2)</f>
        <v>0.85412551986734</v>
      </c>
      <c r="AZ192" s="63" t="n">
        <f aca="false">MATCH(MIN(AV192:AY192),AV192:AY192,0)</f>
        <v>4</v>
      </c>
      <c r="BB192" s="17" t="n">
        <f aca="false">SQRT(($B192-BB$139)^2+($C192-BB$140)^2+($D192-BB$141)^2)</f>
        <v>5.49477313122977</v>
      </c>
      <c r="BC192" s="17" t="n">
        <f aca="false">SQRT(($B192-BC$139)^2+($C192-BC$140)^2+($D192-BC$141)^2)</f>
        <v>1.48084073854466</v>
      </c>
      <c r="BD192" s="17" t="n">
        <f aca="false">SQRT(($B192-BD$139)^2+($C192-BD$140)^2+($D192-BD$141)^2)</f>
        <v>2.43031258718636</v>
      </c>
      <c r="BE192" s="17" t="n">
        <f aca="false">SQRT(($B192-BE$139)^2+($C192-BE$140)^2+($D192-BE$141)^2)</f>
        <v>0.85412551986734</v>
      </c>
      <c r="BF192" s="63" t="n">
        <f aca="false">MATCH(MIN(BB192:BE192),BB192:BE192,0)</f>
        <v>4</v>
      </c>
      <c r="BH192" s="17" t="n">
        <f aca="false">SQRT(($B192-BH$139)^2+($C192-BH$140)^2+($D192-BH$141)^2)</f>
        <v>5.49477313122977</v>
      </c>
      <c r="BI192" s="17" t="n">
        <f aca="false">SQRT(($B192-BI$139)^2+($C192-BI$140)^2+($D192-BI$141)^2)</f>
        <v>1.48084073854466</v>
      </c>
      <c r="BJ192" s="17" t="n">
        <f aca="false">SQRT(($B192-BJ$139)^2+($C192-BJ$140)^2+($D192-BJ$141)^2)</f>
        <v>2.43031258718636</v>
      </c>
      <c r="BK192" s="17" t="n">
        <f aca="false">SQRT(($B192-BK$139)^2+($C192-BK$140)^2+($D192-BK$141)^2)</f>
        <v>0.85412551986734</v>
      </c>
      <c r="BL192" s="63" t="n">
        <f aca="false">MATCH(MIN(BH192:BK192),BH192:BK192,0)</f>
        <v>4</v>
      </c>
      <c r="BN192" s="17" t="n">
        <f aca="false">SQRT(($B192-BN$139)^2+($C192-BN$140)^2+($D192-BN$141)^2)</f>
        <v>5.49477313122977</v>
      </c>
      <c r="BO192" s="17" t="n">
        <f aca="false">SQRT(($B192-BO$139)^2+($C192-BO$140)^2+($D192-BO$141)^2)</f>
        <v>1.48084073854466</v>
      </c>
      <c r="BP192" s="17" t="n">
        <f aca="false">SQRT(($B192-BP$139)^2+($C192-BP$140)^2+($D192-BP$141)^2)</f>
        <v>2.43031258718636</v>
      </c>
      <c r="BQ192" s="17" t="n">
        <f aca="false">SQRT(($B192-BQ$139)^2+($C192-BQ$140)^2+($D192-BQ$141)^2)</f>
        <v>0.85412551986734</v>
      </c>
      <c r="BR192" s="63" t="n">
        <f aca="false">MATCH(MIN(BN192:BQ192),BN192:BQ192,0)</f>
        <v>4</v>
      </c>
      <c r="BT192" s="17" t="n">
        <f aca="false">SQRT(($B192-BT$139)^2+($C192-BT$140)^2+($D192-BT$141)^2)</f>
        <v>5.49477313122977</v>
      </c>
      <c r="BU192" s="17" t="n">
        <f aca="false">SQRT(($B192-BU$139)^2+($C192-BU$140)^2+($D192-BU$141)^2)</f>
        <v>1.48084073854466</v>
      </c>
      <c r="BV192" s="17" t="n">
        <f aca="false">SQRT(($B192-BV$139)^2+($C192-BV$140)^2+($D192-BV$141)^2)</f>
        <v>2.43031258718636</v>
      </c>
      <c r="BW192" s="17" t="n">
        <f aca="false">SQRT(($B192-BW$139)^2+($C192-BW$140)^2+($D192-BW$141)^2)</f>
        <v>0.85412551986734</v>
      </c>
      <c r="BX192" s="63" t="n">
        <f aca="false">MATCH(MIN(BT192:BW192),BT192:BW192,0)</f>
        <v>4</v>
      </c>
      <c r="BZ192" s="17" t="n">
        <f aca="false">SQRT(($B192-BZ$139)^2+($C192-BZ$140)^2+($D192-BZ$141)^2)</f>
        <v>5.49477313122977</v>
      </c>
      <c r="CA192" s="17" t="n">
        <f aca="false">SQRT(($B192-CA$139)^2+($C192-CA$140)^2+($D192-CA$141)^2)</f>
        <v>1.48084073854466</v>
      </c>
      <c r="CB192" s="17" t="n">
        <f aca="false">SQRT(($B192-CB$139)^2+($C192-CB$140)^2+($D192-CB$141)^2)</f>
        <v>2.43031258718636</v>
      </c>
      <c r="CC192" s="17" t="n">
        <f aca="false">SQRT(($B192-CC$139)^2+($C192-CC$140)^2+($D192-CC$141)^2)</f>
        <v>0.85412551986734</v>
      </c>
      <c r="CD192" s="63" t="n">
        <f aca="false">MATCH(MIN(BZ192:CC192),BZ192:CC192,0)</f>
        <v>4</v>
      </c>
      <c r="CF192" s="17" t="n">
        <f aca="false">SQRT(($B192-CF$139)^2+($C192-CF$140)^2+($D192-CF$141)^2)</f>
        <v>5.49477313122977</v>
      </c>
      <c r="CG192" s="17" t="n">
        <f aca="false">SQRT(($B192-CG$139)^2+($C192-CG$140)^2+($D192-CG$141)^2)</f>
        <v>1.48084073854466</v>
      </c>
      <c r="CH192" s="17" t="n">
        <f aca="false">SQRT(($B192-CH$139)^2+($C192-CH$140)^2+($D192-CH$141)^2)</f>
        <v>2.43031258718636</v>
      </c>
      <c r="CI192" s="17" t="n">
        <f aca="false">SQRT(($B192-CI$139)^2+($C192-CI$140)^2+($D192-CI$141)^2)</f>
        <v>0.85412551986734</v>
      </c>
      <c r="CJ192" s="63" t="n">
        <f aca="false">MATCH(MIN(CF192:CI192),CF192:CI192,0)</f>
        <v>4</v>
      </c>
      <c r="CL192" s="17" t="n">
        <f aca="false">SQRT(($B192-CL$139)^2+($C192-CL$140)^2+($D192-CL$141)^2)</f>
        <v>5.49477313122977</v>
      </c>
      <c r="CM192" s="17" t="n">
        <f aca="false">SQRT(($B192-CM$139)^2+($C192-CM$140)^2+($D192-CM$141)^2)</f>
        <v>1.48084073854466</v>
      </c>
      <c r="CN192" s="17" t="n">
        <f aca="false">SQRT(($B192-CN$139)^2+($C192-CN$140)^2+($D192-CN$141)^2)</f>
        <v>2.43031258718636</v>
      </c>
      <c r="CO192" s="17" t="n">
        <f aca="false">SQRT(($B192-CO$139)^2+($C192-CO$140)^2+($D192-CO$141)^2)</f>
        <v>0.85412551986734</v>
      </c>
      <c r="CP192" s="63" t="n">
        <f aca="false">MATCH(MIN(CL192:CO192),CL192:CO192,0)</f>
        <v>4</v>
      </c>
    </row>
    <row r="193" customFormat="false" ht="15" hidden="false" customHeight="false" outlineLevel="0" collapsed="false">
      <c r="A193" s="36" t="str">
        <f aca="false">KMeans_Data!A52</f>
        <v>Jacobabad</v>
      </c>
      <c r="B193" s="17" t="n">
        <f aca="false">KMeans_Data!H52</f>
        <v>0.200975497781959</v>
      </c>
      <c r="C193" s="17" t="n">
        <f aca="false">KMeans_Data!I52</f>
        <v>-0.672650545388274</v>
      </c>
      <c r="D193" s="17" t="n">
        <f aca="false">KMeans_Data!J52</f>
        <v>1.03251574201556</v>
      </c>
      <c r="E193" s="63" t="n">
        <f aca="false">CP193</f>
        <v>3</v>
      </c>
      <c r="F193" s="38" t="n">
        <f aca="false">($B193-INDEX($L$139:$O$139,E193))^2+($C193-INDEX($L$140:$O$140,E193))^2+($D193-INDEX($L$141:$O$141,E193))^2</f>
        <v>1.87583578049712</v>
      </c>
      <c r="G193" s="17" t="n">
        <f aca="false">IF(COUNTIF(Distance_Matrix!$E$10:$DQ$10,$E193)&lt;=1,0,SUMIF(Distance_Matrix!$E$10:$DQ$10,$E193,Distance_Matrix!$E$61:$DQ$61)/(COUNTIF(Distance_Matrix!$E$10:$DQ$10,$E193)-1))</f>
        <v>1.50489197465546</v>
      </c>
      <c r="H193" s="17" t="n">
        <f aca="false">MIN(IF(1=$E193,1E+099,IF(COUNTIF(Distance_Matrix!$E$10:$DQ$10,1)=0,1E+099,SUMIF(Distance_Matrix!$E$10:$DQ$10,1,Distance_Matrix!$E$61:$DQ$61)/COUNTIF(Distance_Matrix!$E$10:$DQ$10,1))),IF(2=$E193,1E+099,IF(COUNTIF(Distance_Matrix!$E$10:$DQ$10,2)=0,1E+099,SUMIF(Distance_Matrix!$E$10:$DQ$10,2,Distance_Matrix!$E$61:$DQ$61)/COUNTIF(Distance_Matrix!$E$10:$DQ$10,2))),IF(3=$E193,1E+099,IF(COUNTIF(Distance_Matrix!$E$10:$DQ$10,3)=0,1E+099,SUMIF(Distance_Matrix!$E$10:$DQ$10,3,Distance_Matrix!$E$61:$DQ$61)/COUNTIF(Distance_Matrix!$E$10:$DQ$10,3))),IF(4=$E193,1E+099,IF(COUNTIF(Distance_Matrix!$E$10:$DQ$10,4)=0,1E+099,SUMIF(Distance_Matrix!$E$10:$DQ$10,4,Distance_Matrix!$E$61:$DQ$61)/COUNTIF(Distance_Matrix!$E$10:$DQ$10,4))))</f>
        <v>1.57677476503643</v>
      </c>
      <c r="I193" s="17" t="n">
        <f aca="false">IF(COUNTIF(Distance_Matrix!$E$10:$DQ$10,$E193)&lt;=1,0,(H193-G193)/MAX(G193,H193))</f>
        <v>0.0455884961980047</v>
      </c>
      <c r="X193" s="17" t="n">
        <f aca="false">SQRT(($B193-X$139)^2+($C193-X$140)^2+($D193-X$141)^2)</f>
        <v>6.04755380426011</v>
      </c>
      <c r="Y193" s="17" t="n">
        <f aca="false">SQRT(($B193-Y$139)^2+($C193-Y$140)^2+($D193-Y$141)^2)</f>
        <v>3.15373339781369</v>
      </c>
      <c r="Z193" s="17" t="n">
        <f aca="false">SQRT(($B193-Z$139)^2+($C193-Z$140)^2+($D193-Z$141)^2)</f>
        <v>1.41299396506918</v>
      </c>
      <c r="AA193" s="17" t="n">
        <f aca="false">SQRT(($B193-AA$139)^2+($C193-AA$140)^2+($D193-AA$141)^2)</f>
        <v>2.2843954378858</v>
      </c>
      <c r="AB193" s="63" t="n">
        <f aca="false">MATCH(MIN(X193:AA193),X193:AA193,0)</f>
        <v>3</v>
      </c>
      <c r="AD193" s="17" t="n">
        <f aca="false">SQRT(($B193-AD$139)^2+($C193-AD$140)^2+($D193-AD$141)^2)</f>
        <v>5.14120460078495</v>
      </c>
      <c r="AE193" s="17" t="n">
        <f aca="false">SQRT(($B193-AE$139)^2+($C193-AE$140)^2+($D193-AE$141)^2)</f>
        <v>2.43960102470813</v>
      </c>
      <c r="AF193" s="17" t="n">
        <f aca="false">SQRT(($B193-AF$139)^2+($C193-AF$140)^2+($D193-AF$141)^2)</f>
        <v>1.32279309614902</v>
      </c>
      <c r="AG193" s="17" t="n">
        <f aca="false">SQRT(($B193-AG$139)^2+($C193-AG$140)^2+($D193-AG$141)^2)</f>
        <v>1.57942593408806</v>
      </c>
      <c r="AH193" s="63" t="n">
        <f aca="false">MATCH(MIN(AD193:AG193),AD193:AG193,0)</f>
        <v>3</v>
      </c>
      <c r="AJ193" s="17" t="n">
        <f aca="false">SQRT(($B193-AJ$139)^2+($C193-AJ$140)^2+($D193-AJ$141)^2)</f>
        <v>4.79687235943093</v>
      </c>
      <c r="AK193" s="17" t="n">
        <f aca="false">SQRT(($B193-AK$139)^2+($C193-AK$140)^2+($D193-AK$141)^2)</f>
        <v>2.47535133282015</v>
      </c>
      <c r="AL193" s="17" t="n">
        <f aca="false">SQRT(($B193-AL$139)^2+($C193-AL$140)^2+($D193-AL$141)^2)</f>
        <v>1.41510020839317</v>
      </c>
      <c r="AM193" s="17" t="n">
        <f aca="false">SQRT(($B193-AM$139)^2+($C193-AM$140)^2+($D193-AM$141)^2)</f>
        <v>1.45427432310501</v>
      </c>
      <c r="AN193" s="63" t="n">
        <f aca="false">MATCH(MIN(AJ193:AM193),AJ193:AM193,0)</f>
        <v>3</v>
      </c>
      <c r="AP193" s="17" t="n">
        <f aca="false">SQRT(($B193-AP$139)^2+($C193-AP$140)^2+($D193-AP$141)^2)</f>
        <v>4.52165691953714</v>
      </c>
      <c r="AQ193" s="17" t="n">
        <f aca="false">SQRT(($B193-AQ$139)^2+($C193-AQ$140)^2+($D193-AQ$141)^2)</f>
        <v>2.57384560198205</v>
      </c>
      <c r="AR193" s="17" t="n">
        <f aca="false">SQRT(($B193-AR$139)^2+($C193-AR$140)^2+($D193-AR$141)^2)</f>
        <v>1.36961154364919</v>
      </c>
      <c r="AS193" s="17" t="n">
        <f aca="false">SQRT(($B193-AS$139)^2+($C193-AS$140)^2+($D193-AS$141)^2)</f>
        <v>1.45501607740376</v>
      </c>
      <c r="AT193" s="63" t="n">
        <f aca="false">MATCH(MIN(AP193:AS193),AP193:AS193,0)</f>
        <v>3</v>
      </c>
      <c r="AV193" s="17" t="n">
        <f aca="false">SQRT(($B193-AV$139)^2+($C193-AV$140)^2+($D193-AV$141)^2)</f>
        <v>4.52165691953714</v>
      </c>
      <c r="AW193" s="17" t="n">
        <f aca="false">SQRT(($B193-AW$139)^2+($C193-AW$140)^2+($D193-AW$141)^2)</f>
        <v>2.57384560198205</v>
      </c>
      <c r="AX193" s="17" t="n">
        <f aca="false">SQRT(($B193-AX$139)^2+($C193-AX$140)^2+($D193-AX$141)^2)</f>
        <v>1.36961154364919</v>
      </c>
      <c r="AY193" s="17" t="n">
        <f aca="false">SQRT(($B193-AY$139)^2+($C193-AY$140)^2+($D193-AY$141)^2)</f>
        <v>1.45501607740376</v>
      </c>
      <c r="AZ193" s="63" t="n">
        <f aca="false">MATCH(MIN(AV193:AY193),AV193:AY193,0)</f>
        <v>3</v>
      </c>
      <c r="BB193" s="17" t="n">
        <f aca="false">SQRT(($B193-BB$139)^2+($C193-BB$140)^2+($D193-BB$141)^2)</f>
        <v>4.52165691953714</v>
      </c>
      <c r="BC193" s="17" t="n">
        <f aca="false">SQRT(($B193-BC$139)^2+($C193-BC$140)^2+($D193-BC$141)^2)</f>
        <v>2.57384560198205</v>
      </c>
      <c r="BD193" s="17" t="n">
        <f aca="false">SQRT(($B193-BD$139)^2+($C193-BD$140)^2+($D193-BD$141)^2)</f>
        <v>1.36961154364919</v>
      </c>
      <c r="BE193" s="17" t="n">
        <f aca="false">SQRT(($B193-BE$139)^2+($C193-BE$140)^2+($D193-BE$141)^2)</f>
        <v>1.45501607740376</v>
      </c>
      <c r="BF193" s="63" t="n">
        <f aca="false">MATCH(MIN(BB193:BE193),BB193:BE193,0)</f>
        <v>3</v>
      </c>
      <c r="BH193" s="17" t="n">
        <f aca="false">SQRT(($B193-BH$139)^2+($C193-BH$140)^2+($D193-BH$141)^2)</f>
        <v>4.52165691953714</v>
      </c>
      <c r="BI193" s="17" t="n">
        <f aca="false">SQRT(($B193-BI$139)^2+($C193-BI$140)^2+($D193-BI$141)^2)</f>
        <v>2.57384560198205</v>
      </c>
      <c r="BJ193" s="17" t="n">
        <f aca="false">SQRT(($B193-BJ$139)^2+($C193-BJ$140)^2+($D193-BJ$141)^2)</f>
        <v>1.36961154364919</v>
      </c>
      <c r="BK193" s="17" t="n">
        <f aca="false">SQRT(($B193-BK$139)^2+($C193-BK$140)^2+($D193-BK$141)^2)</f>
        <v>1.45501607740376</v>
      </c>
      <c r="BL193" s="63" t="n">
        <f aca="false">MATCH(MIN(BH193:BK193),BH193:BK193,0)</f>
        <v>3</v>
      </c>
      <c r="BN193" s="17" t="n">
        <f aca="false">SQRT(($B193-BN$139)^2+($C193-BN$140)^2+($D193-BN$141)^2)</f>
        <v>4.52165691953714</v>
      </c>
      <c r="BO193" s="17" t="n">
        <f aca="false">SQRT(($B193-BO$139)^2+($C193-BO$140)^2+($D193-BO$141)^2)</f>
        <v>2.57384560198205</v>
      </c>
      <c r="BP193" s="17" t="n">
        <f aca="false">SQRT(($B193-BP$139)^2+($C193-BP$140)^2+($D193-BP$141)^2)</f>
        <v>1.36961154364919</v>
      </c>
      <c r="BQ193" s="17" t="n">
        <f aca="false">SQRT(($B193-BQ$139)^2+($C193-BQ$140)^2+($D193-BQ$141)^2)</f>
        <v>1.45501607740376</v>
      </c>
      <c r="BR193" s="63" t="n">
        <f aca="false">MATCH(MIN(BN193:BQ193),BN193:BQ193,0)</f>
        <v>3</v>
      </c>
      <c r="BT193" s="17" t="n">
        <f aca="false">SQRT(($B193-BT$139)^2+($C193-BT$140)^2+($D193-BT$141)^2)</f>
        <v>4.52165691953714</v>
      </c>
      <c r="BU193" s="17" t="n">
        <f aca="false">SQRT(($B193-BU$139)^2+($C193-BU$140)^2+($D193-BU$141)^2)</f>
        <v>2.57384560198205</v>
      </c>
      <c r="BV193" s="17" t="n">
        <f aca="false">SQRT(($B193-BV$139)^2+($C193-BV$140)^2+($D193-BV$141)^2)</f>
        <v>1.36961154364919</v>
      </c>
      <c r="BW193" s="17" t="n">
        <f aca="false">SQRT(($B193-BW$139)^2+($C193-BW$140)^2+($D193-BW$141)^2)</f>
        <v>1.45501607740376</v>
      </c>
      <c r="BX193" s="63" t="n">
        <f aca="false">MATCH(MIN(BT193:BW193),BT193:BW193,0)</f>
        <v>3</v>
      </c>
      <c r="BZ193" s="17" t="n">
        <f aca="false">SQRT(($B193-BZ$139)^2+($C193-BZ$140)^2+($D193-BZ$141)^2)</f>
        <v>4.52165691953714</v>
      </c>
      <c r="CA193" s="17" t="n">
        <f aca="false">SQRT(($B193-CA$139)^2+($C193-CA$140)^2+($D193-CA$141)^2)</f>
        <v>2.57384560198205</v>
      </c>
      <c r="CB193" s="17" t="n">
        <f aca="false">SQRT(($B193-CB$139)^2+($C193-CB$140)^2+($D193-CB$141)^2)</f>
        <v>1.36961154364919</v>
      </c>
      <c r="CC193" s="17" t="n">
        <f aca="false">SQRT(($B193-CC$139)^2+($C193-CC$140)^2+($D193-CC$141)^2)</f>
        <v>1.45501607740376</v>
      </c>
      <c r="CD193" s="63" t="n">
        <f aca="false">MATCH(MIN(BZ193:CC193),BZ193:CC193,0)</f>
        <v>3</v>
      </c>
      <c r="CF193" s="17" t="n">
        <f aca="false">SQRT(($B193-CF$139)^2+($C193-CF$140)^2+($D193-CF$141)^2)</f>
        <v>4.52165691953714</v>
      </c>
      <c r="CG193" s="17" t="n">
        <f aca="false">SQRT(($B193-CG$139)^2+($C193-CG$140)^2+($D193-CG$141)^2)</f>
        <v>2.57384560198205</v>
      </c>
      <c r="CH193" s="17" t="n">
        <f aca="false">SQRT(($B193-CH$139)^2+($C193-CH$140)^2+($D193-CH$141)^2)</f>
        <v>1.36961154364919</v>
      </c>
      <c r="CI193" s="17" t="n">
        <f aca="false">SQRT(($B193-CI$139)^2+($C193-CI$140)^2+($D193-CI$141)^2)</f>
        <v>1.45501607740376</v>
      </c>
      <c r="CJ193" s="63" t="n">
        <f aca="false">MATCH(MIN(CF193:CI193),CF193:CI193,0)</f>
        <v>3</v>
      </c>
      <c r="CL193" s="17" t="n">
        <f aca="false">SQRT(($B193-CL$139)^2+($C193-CL$140)^2+($D193-CL$141)^2)</f>
        <v>4.52165691953714</v>
      </c>
      <c r="CM193" s="17" t="n">
        <f aca="false">SQRT(($B193-CM$139)^2+($C193-CM$140)^2+($D193-CM$141)^2)</f>
        <v>2.57384560198205</v>
      </c>
      <c r="CN193" s="17" t="n">
        <f aca="false">SQRT(($B193-CN$139)^2+($C193-CN$140)^2+($D193-CN$141)^2)</f>
        <v>1.36961154364919</v>
      </c>
      <c r="CO193" s="17" t="n">
        <f aca="false">SQRT(($B193-CO$139)^2+($C193-CO$140)^2+($D193-CO$141)^2)</f>
        <v>1.45501607740376</v>
      </c>
      <c r="CP193" s="63" t="n">
        <f aca="false">MATCH(MIN(CL193:CO193),CL193:CO193,0)</f>
        <v>3</v>
      </c>
    </row>
    <row r="194" customFormat="false" ht="15" hidden="false" customHeight="false" outlineLevel="0" collapsed="false">
      <c r="A194" s="36" t="str">
        <f aca="false">KMeans_Data!A53</f>
        <v>Skardu</v>
      </c>
      <c r="B194" s="17" t="n">
        <f aca="false">KMeans_Data!H53</f>
        <v>0.194428618785618</v>
      </c>
      <c r="C194" s="17" t="n">
        <f aca="false">KMeans_Data!I53</f>
        <v>-0.146983133929529</v>
      </c>
      <c r="D194" s="17" t="n">
        <f aca="false">KMeans_Data!J53</f>
        <v>0.795803793083582</v>
      </c>
      <c r="E194" s="63" t="n">
        <f aca="false">CP194</f>
        <v>3</v>
      </c>
      <c r="F194" s="38" t="n">
        <f aca="false">($B194-INDEX($L$139:$O$139,E194))^2+($C194-INDEX($L$140:$O$140,E194))^2+($D194-INDEX($L$141:$O$141,E194))^2</f>
        <v>0.780173648853276</v>
      </c>
      <c r="G194" s="17" t="n">
        <f aca="false">IF(COUNTIF(Distance_Matrix!$E$10:$DQ$10,$E194)&lt;=1,0,SUMIF(Distance_Matrix!$E$10:$DQ$10,$E194,Distance_Matrix!$E$62:$DQ$62)/(COUNTIF(Distance_Matrix!$E$10:$DQ$10,$E194)-1))</f>
        <v>1.09893736884478</v>
      </c>
      <c r="H194" s="17" t="n">
        <f aca="false">MIN(IF(1=$E194,1E+099,IF(COUNTIF(Distance_Matrix!$E$10:$DQ$10,1)=0,1E+099,SUMIF(Distance_Matrix!$E$10:$DQ$10,1,Distance_Matrix!$E$62:$DQ$62)/COUNTIF(Distance_Matrix!$E$10:$DQ$10,1))),IF(2=$E194,1E+099,IF(COUNTIF(Distance_Matrix!$E$10:$DQ$10,2)=0,1E+099,SUMIF(Distance_Matrix!$E$10:$DQ$10,2,Distance_Matrix!$E$62:$DQ$62)/COUNTIF(Distance_Matrix!$E$10:$DQ$10,2))),IF(3=$E194,1E+099,IF(COUNTIF(Distance_Matrix!$E$10:$DQ$10,3)=0,1E+099,SUMIF(Distance_Matrix!$E$10:$DQ$10,3,Distance_Matrix!$E$62:$DQ$62)/COUNTIF(Distance_Matrix!$E$10:$DQ$10,3))),IF(4=$E194,1E+099,IF(COUNTIF(Distance_Matrix!$E$10:$DQ$10,4)=0,1E+099,SUMIF(Distance_Matrix!$E$10:$DQ$10,4,Distance_Matrix!$E$62:$DQ$62)/COUNTIF(Distance_Matrix!$E$10:$DQ$10,4))))</f>
        <v>1.41022309816789</v>
      </c>
      <c r="I194" s="17" t="n">
        <f aca="false">IF(COUNTIF(Distance_Matrix!$E$10:$DQ$10,$E194)&lt;=1,0,(H194-G194)/MAX(G194,H194))</f>
        <v>0.220735094842456</v>
      </c>
      <c r="X194" s="17" t="n">
        <f aca="false">SQRT(($B194-X$139)^2+($C194-X$140)^2+($D194-X$141)^2)</f>
        <v>5.7483282810053</v>
      </c>
      <c r="Y194" s="17" t="n">
        <f aca="false">SQRT(($B194-Y$139)^2+($C194-Y$140)^2+($D194-Y$141)^2)</f>
        <v>3.03601382402719</v>
      </c>
      <c r="Z194" s="17" t="n">
        <f aca="false">SQRT(($B194-Z$139)^2+($C194-Z$140)^2+($D194-Z$141)^2)</f>
        <v>1.20079425949173</v>
      </c>
      <c r="AA194" s="17" t="n">
        <f aca="false">SQRT(($B194-AA$139)^2+($C194-AA$140)^2+($D194-AA$141)^2)</f>
        <v>1.99319881835379</v>
      </c>
      <c r="AB194" s="63" t="n">
        <f aca="false">MATCH(MIN(X194:AA194),X194:AA194,0)</f>
        <v>3</v>
      </c>
      <c r="AD194" s="17" t="n">
        <f aca="false">SQRT(($B194-AD$139)^2+($C194-AD$140)^2+($D194-AD$141)^2)</f>
        <v>4.80483206168743</v>
      </c>
      <c r="AE194" s="17" t="n">
        <f aca="false">SQRT(($B194-AE$139)^2+($C194-AE$140)^2+($D194-AE$141)^2)</f>
        <v>2.30518198669101</v>
      </c>
      <c r="AF194" s="17" t="n">
        <f aca="false">SQRT(($B194-AF$139)^2+($C194-AF$140)^2+($D194-AF$141)^2)</f>
        <v>0.837619400473228</v>
      </c>
      <c r="AG194" s="17" t="n">
        <f aca="false">SQRT(($B194-AG$139)^2+($C194-AG$140)^2+($D194-AG$141)^2)</f>
        <v>1.37785049919749</v>
      </c>
      <c r="AH194" s="63" t="n">
        <f aca="false">MATCH(MIN(AD194:AG194),AD194:AG194,0)</f>
        <v>3</v>
      </c>
      <c r="AJ194" s="17" t="n">
        <f aca="false">SQRT(($B194-AJ$139)^2+($C194-AJ$140)^2+($D194-AJ$141)^2)</f>
        <v>4.46007091380679</v>
      </c>
      <c r="AK194" s="17" t="n">
        <f aca="false">SQRT(($B194-AK$139)^2+($C194-AK$140)^2+($D194-AK$141)^2)</f>
        <v>2.33791265401236</v>
      </c>
      <c r="AL194" s="17" t="n">
        <f aca="false">SQRT(($B194-AL$139)^2+($C194-AL$140)^2+($D194-AL$141)^2)</f>
        <v>0.932555717412276</v>
      </c>
      <c r="AM194" s="17" t="n">
        <f aca="false">SQRT(($B194-AM$139)^2+($C194-AM$140)^2+($D194-AM$141)^2)</f>
        <v>1.26058222756845</v>
      </c>
      <c r="AN194" s="63" t="n">
        <f aca="false">MATCH(MIN(AJ194:AM194),AJ194:AM194,0)</f>
        <v>3</v>
      </c>
      <c r="AP194" s="17" t="n">
        <f aca="false">SQRT(($B194-AP$139)^2+($C194-AP$140)^2+($D194-AP$141)^2)</f>
        <v>4.17482108988247</v>
      </c>
      <c r="AQ194" s="17" t="n">
        <f aca="false">SQRT(($B194-AQ$139)^2+($C194-AQ$140)^2+($D194-AQ$141)^2)</f>
        <v>2.43277400668624</v>
      </c>
      <c r="AR194" s="17" t="n">
        <f aca="false">SQRT(($B194-AR$139)^2+($C194-AR$140)^2+($D194-AR$141)^2)</f>
        <v>0.883274390466109</v>
      </c>
      <c r="AS194" s="17" t="n">
        <f aca="false">SQRT(($B194-AS$139)^2+($C194-AS$140)^2+($D194-AS$141)^2)</f>
        <v>1.26718459556074</v>
      </c>
      <c r="AT194" s="63" t="n">
        <f aca="false">MATCH(MIN(AP194:AS194),AP194:AS194,0)</f>
        <v>3</v>
      </c>
      <c r="AV194" s="17" t="n">
        <f aca="false">SQRT(($B194-AV$139)^2+($C194-AV$140)^2+($D194-AV$141)^2)</f>
        <v>4.17482108988247</v>
      </c>
      <c r="AW194" s="17" t="n">
        <f aca="false">SQRT(($B194-AW$139)^2+($C194-AW$140)^2+($D194-AW$141)^2)</f>
        <v>2.43277400668624</v>
      </c>
      <c r="AX194" s="17" t="n">
        <f aca="false">SQRT(($B194-AX$139)^2+($C194-AX$140)^2+($D194-AX$141)^2)</f>
        <v>0.883274390466109</v>
      </c>
      <c r="AY194" s="17" t="n">
        <f aca="false">SQRT(($B194-AY$139)^2+($C194-AY$140)^2+($D194-AY$141)^2)</f>
        <v>1.26718459556074</v>
      </c>
      <c r="AZ194" s="63" t="n">
        <f aca="false">MATCH(MIN(AV194:AY194),AV194:AY194,0)</f>
        <v>3</v>
      </c>
      <c r="BB194" s="17" t="n">
        <f aca="false">SQRT(($B194-BB$139)^2+($C194-BB$140)^2+($D194-BB$141)^2)</f>
        <v>4.17482108988247</v>
      </c>
      <c r="BC194" s="17" t="n">
        <f aca="false">SQRT(($B194-BC$139)^2+($C194-BC$140)^2+($D194-BC$141)^2)</f>
        <v>2.43277400668624</v>
      </c>
      <c r="BD194" s="17" t="n">
        <f aca="false">SQRT(($B194-BD$139)^2+($C194-BD$140)^2+($D194-BD$141)^2)</f>
        <v>0.883274390466109</v>
      </c>
      <c r="BE194" s="17" t="n">
        <f aca="false">SQRT(($B194-BE$139)^2+($C194-BE$140)^2+($D194-BE$141)^2)</f>
        <v>1.26718459556074</v>
      </c>
      <c r="BF194" s="63" t="n">
        <f aca="false">MATCH(MIN(BB194:BE194),BB194:BE194,0)</f>
        <v>3</v>
      </c>
      <c r="BH194" s="17" t="n">
        <f aca="false">SQRT(($B194-BH$139)^2+($C194-BH$140)^2+($D194-BH$141)^2)</f>
        <v>4.17482108988247</v>
      </c>
      <c r="BI194" s="17" t="n">
        <f aca="false">SQRT(($B194-BI$139)^2+($C194-BI$140)^2+($D194-BI$141)^2)</f>
        <v>2.43277400668624</v>
      </c>
      <c r="BJ194" s="17" t="n">
        <f aca="false">SQRT(($B194-BJ$139)^2+($C194-BJ$140)^2+($D194-BJ$141)^2)</f>
        <v>0.883274390466109</v>
      </c>
      <c r="BK194" s="17" t="n">
        <f aca="false">SQRT(($B194-BK$139)^2+($C194-BK$140)^2+($D194-BK$141)^2)</f>
        <v>1.26718459556074</v>
      </c>
      <c r="BL194" s="63" t="n">
        <f aca="false">MATCH(MIN(BH194:BK194),BH194:BK194,0)</f>
        <v>3</v>
      </c>
      <c r="BN194" s="17" t="n">
        <f aca="false">SQRT(($B194-BN$139)^2+($C194-BN$140)^2+($D194-BN$141)^2)</f>
        <v>4.17482108988247</v>
      </c>
      <c r="BO194" s="17" t="n">
        <f aca="false">SQRT(($B194-BO$139)^2+($C194-BO$140)^2+($D194-BO$141)^2)</f>
        <v>2.43277400668624</v>
      </c>
      <c r="BP194" s="17" t="n">
        <f aca="false">SQRT(($B194-BP$139)^2+($C194-BP$140)^2+($D194-BP$141)^2)</f>
        <v>0.883274390466109</v>
      </c>
      <c r="BQ194" s="17" t="n">
        <f aca="false">SQRT(($B194-BQ$139)^2+($C194-BQ$140)^2+($D194-BQ$141)^2)</f>
        <v>1.26718459556074</v>
      </c>
      <c r="BR194" s="63" t="n">
        <f aca="false">MATCH(MIN(BN194:BQ194),BN194:BQ194,0)</f>
        <v>3</v>
      </c>
      <c r="BT194" s="17" t="n">
        <f aca="false">SQRT(($B194-BT$139)^2+($C194-BT$140)^2+($D194-BT$141)^2)</f>
        <v>4.17482108988247</v>
      </c>
      <c r="BU194" s="17" t="n">
        <f aca="false">SQRT(($B194-BU$139)^2+($C194-BU$140)^2+($D194-BU$141)^2)</f>
        <v>2.43277400668624</v>
      </c>
      <c r="BV194" s="17" t="n">
        <f aca="false">SQRT(($B194-BV$139)^2+($C194-BV$140)^2+($D194-BV$141)^2)</f>
        <v>0.883274390466109</v>
      </c>
      <c r="BW194" s="17" t="n">
        <f aca="false">SQRT(($B194-BW$139)^2+($C194-BW$140)^2+($D194-BW$141)^2)</f>
        <v>1.26718459556074</v>
      </c>
      <c r="BX194" s="63" t="n">
        <f aca="false">MATCH(MIN(BT194:BW194),BT194:BW194,0)</f>
        <v>3</v>
      </c>
      <c r="BZ194" s="17" t="n">
        <f aca="false">SQRT(($B194-BZ$139)^2+($C194-BZ$140)^2+($D194-BZ$141)^2)</f>
        <v>4.17482108988247</v>
      </c>
      <c r="CA194" s="17" t="n">
        <f aca="false">SQRT(($B194-CA$139)^2+($C194-CA$140)^2+($D194-CA$141)^2)</f>
        <v>2.43277400668624</v>
      </c>
      <c r="CB194" s="17" t="n">
        <f aca="false">SQRT(($B194-CB$139)^2+($C194-CB$140)^2+($D194-CB$141)^2)</f>
        <v>0.883274390466109</v>
      </c>
      <c r="CC194" s="17" t="n">
        <f aca="false">SQRT(($B194-CC$139)^2+($C194-CC$140)^2+($D194-CC$141)^2)</f>
        <v>1.26718459556074</v>
      </c>
      <c r="CD194" s="63" t="n">
        <f aca="false">MATCH(MIN(BZ194:CC194),BZ194:CC194,0)</f>
        <v>3</v>
      </c>
      <c r="CF194" s="17" t="n">
        <f aca="false">SQRT(($B194-CF$139)^2+($C194-CF$140)^2+($D194-CF$141)^2)</f>
        <v>4.17482108988247</v>
      </c>
      <c r="CG194" s="17" t="n">
        <f aca="false">SQRT(($B194-CG$139)^2+($C194-CG$140)^2+($D194-CG$141)^2)</f>
        <v>2.43277400668624</v>
      </c>
      <c r="CH194" s="17" t="n">
        <f aca="false">SQRT(($B194-CH$139)^2+($C194-CH$140)^2+($D194-CH$141)^2)</f>
        <v>0.883274390466109</v>
      </c>
      <c r="CI194" s="17" t="n">
        <f aca="false">SQRT(($B194-CI$139)^2+($C194-CI$140)^2+($D194-CI$141)^2)</f>
        <v>1.26718459556074</v>
      </c>
      <c r="CJ194" s="63" t="n">
        <f aca="false">MATCH(MIN(CF194:CI194),CF194:CI194,0)</f>
        <v>3</v>
      </c>
      <c r="CL194" s="17" t="n">
        <f aca="false">SQRT(($B194-CL$139)^2+($C194-CL$140)^2+($D194-CL$141)^2)</f>
        <v>4.17482108988247</v>
      </c>
      <c r="CM194" s="17" t="n">
        <f aca="false">SQRT(($B194-CM$139)^2+($C194-CM$140)^2+($D194-CM$141)^2)</f>
        <v>2.43277400668624</v>
      </c>
      <c r="CN194" s="17" t="n">
        <f aca="false">SQRT(($B194-CN$139)^2+($C194-CN$140)^2+($D194-CN$141)^2)</f>
        <v>0.883274390466109</v>
      </c>
      <c r="CO194" s="17" t="n">
        <f aca="false">SQRT(($B194-CO$139)^2+($C194-CO$140)^2+($D194-CO$141)^2)</f>
        <v>1.26718459556074</v>
      </c>
      <c r="CP194" s="63" t="n">
        <f aca="false">MATCH(MIN(CL194:CO194),CL194:CO194,0)</f>
        <v>3</v>
      </c>
    </row>
    <row r="195" customFormat="false" ht="15" hidden="false" customHeight="false" outlineLevel="0" collapsed="false">
      <c r="A195" s="36" t="str">
        <f aca="false">KMeans_Data!A54</f>
        <v>Sialkot</v>
      </c>
      <c r="B195" s="17" t="n">
        <f aca="false">KMeans_Data!H54</f>
        <v>0.194428618785618</v>
      </c>
      <c r="C195" s="17" t="n">
        <f aca="false">KMeans_Data!I54</f>
        <v>-0.672650545388274</v>
      </c>
      <c r="D195" s="17" t="n">
        <f aca="false">KMeans_Data!J54</f>
        <v>-1.14564411633355</v>
      </c>
      <c r="E195" s="63" t="n">
        <f aca="false">CP195</f>
        <v>4</v>
      </c>
      <c r="F195" s="38" t="n">
        <f aca="false">($B195-INDEX($L$139:$O$139,E195))^2+($C195-INDEX($L$140:$O$140,E195))^2+($D195-INDEX($L$141:$O$141,E195))^2</f>
        <v>0.725256802078735</v>
      </c>
      <c r="G195" s="17" t="n">
        <f aca="false">IF(COUNTIF(Distance_Matrix!$E$10:$DQ$10,$E195)&lt;=1,0,SUMIF(Distance_Matrix!$E$10:$DQ$10,$E195,Distance_Matrix!$E$63:$DQ$63)/(COUNTIF(Distance_Matrix!$E$10:$DQ$10,$E195)-1))</f>
        <v>1.05237712436194</v>
      </c>
      <c r="H195" s="17" t="n">
        <f aca="false">MIN(IF(1=$E195,1E+099,IF(COUNTIF(Distance_Matrix!$E$10:$DQ$10,1)=0,1E+099,SUMIF(Distance_Matrix!$E$10:$DQ$10,1,Distance_Matrix!$E$63:$DQ$63)/COUNTIF(Distance_Matrix!$E$10:$DQ$10,1))),IF(2=$E195,1E+099,IF(COUNTIF(Distance_Matrix!$E$10:$DQ$10,2)=0,1E+099,SUMIF(Distance_Matrix!$E$10:$DQ$10,2,Distance_Matrix!$E$63:$DQ$63)/COUNTIF(Distance_Matrix!$E$10:$DQ$10,2))),IF(3=$E195,1E+099,IF(COUNTIF(Distance_Matrix!$E$10:$DQ$10,3)=0,1E+099,SUMIF(Distance_Matrix!$E$10:$DQ$10,3,Distance_Matrix!$E$63:$DQ$63)/COUNTIF(Distance_Matrix!$E$10:$DQ$10,3))),IF(4=$E195,1E+099,IF(COUNTIF(Distance_Matrix!$E$10:$DQ$10,4)=0,1E+099,SUMIF(Distance_Matrix!$E$10:$DQ$10,4,Distance_Matrix!$E$63:$DQ$63)/COUNTIF(Distance_Matrix!$E$10:$DQ$10,4))))</f>
        <v>1.49143475064354</v>
      </c>
      <c r="I195" s="17" t="n">
        <f aca="false">IF(COUNTIF(Distance_Matrix!$E$10:$DQ$10,$E195)&lt;=1,0,(H195-G195)/MAX(G195,H195))</f>
        <v>0.294386077629043</v>
      </c>
      <c r="X195" s="17" t="n">
        <f aca="false">SQRT(($B195-X$139)^2+($C195-X$140)^2+($D195-X$141)^2)</f>
        <v>7.14349075775095</v>
      </c>
      <c r="Y195" s="17" t="n">
        <f aca="false">SQRT(($B195-Y$139)^2+($C195-Y$140)^2+($D195-Y$141)^2)</f>
        <v>2.27416660058894</v>
      </c>
      <c r="Z195" s="17" t="n">
        <f aca="false">SQRT(($B195-Z$139)^2+($C195-Z$140)^2+($D195-Z$141)^2)</f>
        <v>2.94270459419819</v>
      </c>
      <c r="AA195" s="17" t="n">
        <f aca="false">SQRT(($B195-AA$139)^2+($C195-AA$140)^2+($D195-AA$141)^2)</f>
        <v>0.692782629672915</v>
      </c>
      <c r="AB195" s="63" t="n">
        <f aca="false">MATCH(MIN(X195:AA195),X195:AA195,0)</f>
        <v>4</v>
      </c>
      <c r="AD195" s="17" t="n">
        <f aca="false">SQRT(($B195-AD$139)^2+($C195-AD$140)^2+($D195-AD$141)^2)</f>
        <v>6.12731840627139</v>
      </c>
      <c r="AE195" s="17" t="n">
        <f aca="false">SQRT(($B195-AE$139)^2+($C195-AE$140)^2+($D195-AE$141)^2)</f>
        <v>1.45090244411852</v>
      </c>
      <c r="AF195" s="17" t="n">
        <f aca="false">SQRT(($B195-AF$139)^2+($C195-AF$140)^2+($D195-AF$141)^2)</f>
        <v>2.41533526022589</v>
      </c>
      <c r="AG195" s="17" t="n">
        <f aca="false">SQRT(($B195-AG$139)^2+($C195-AG$140)^2+($D195-AG$141)^2)</f>
        <v>0.706096205322162</v>
      </c>
      <c r="AH195" s="63" t="n">
        <f aca="false">MATCH(MIN(AD195:AG195),AD195:AG195,0)</f>
        <v>4</v>
      </c>
      <c r="AJ195" s="17" t="n">
        <f aca="false">SQRT(($B195-AJ$139)^2+($C195-AJ$140)^2+($D195-AJ$141)^2)</f>
        <v>5.78205719792304</v>
      </c>
      <c r="AK195" s="17" t="n">
        <f aca="false">SQRT(($B195-AK$139)^2+($C195-AK$140)^2+($D195-AK$141)^2)</f>
        <v>1.43577381665273</v>
      </c>
      <c r="AL195" s="17" t="n">
        <f aca="false">SQRT(($B195-AL$139)^2+($C195-AL$140)^2+($D195-AL$141)^2)</f>
        <v>2.47082130501243</v>
      </c>
      <c r="AM195" s="17" t="n">
        <f aca="false">SQRT(($B195-AM$139)^2+($C195-AM$140)^2+($D195-AM$141)^2)</f>
        <v>0.829548683156277</v>
      </c>
      <c r="AN195" s="63" t="n">
        <f aca="false">MATCH(MIN(AJ195:AM195),AJ195:AM195,0)</f>
        <v>4</v>
      </c>
      <c r="AP195" s="17" t="n">
        <f aca="false">SQRT(($B195-AP$139)^2+($C195-AP$140)^2+($D195-AP$141)^2)</f>
        <v>5.49749554863454</v>
      </c>
      <c r="AQ195" s="17" t="n">
        <f aca="false">SQRT(($B195-AQ$139)^2+($C195-AQ$140)^2+($D195-AQ$141)^2)</f>
        <v>1.47430224780229</v>
      </c>
      <c r="AR195" s="17" t="n">
        <f aca="false">SQRT(($B195-AR$139)^2+($C195-AR$140)^2+($D195-AR$141)^2)</f>
        <v>2.43148018024995</v>
      </c>
      <c r="AS195" s="17" t="n">
        <f aca="false">SQRT(($B195-AS$139)^2+($C195-AS$140)^2+($D195-AS$141)^2)</f>
        <v>0.851620104318078</v>
      </c>
      <c r="AT195" s="63" t="n">
        <f aca="false">MATCH(MIN(AP195:AS195),AP195:AS195,0)</f>
        <v>4</v>
      </c>
      <c r="AV195" s="17" t="n">
        <f aca="false">SQRT(($B195-AV$139)^2+($C195-AV$140)^2+($D195-AV$141)^2)</f>
        <v>5.49749554863454</v>
      </c>
      <c r="AW195" s="17" t="n">
        <f aca="false">SQRT(($B195-AW$139)^2+($C195-AW$140)^2+($D195-AW$141)^2)</f>
        <v>1.47430224780229</v>
      </c>
      <c r="AX195" s="17" t="n">
        <f aca="false">SQRT(($B195-AX$139)^2+($C195-AX$140)^2+($D195-AX$141)^2)</f>
        <v>2.43148018024995</v>
      </c>
      <c r="AY195" s="17" t="n">
        <f aca="false">SQRT(($B195-AY$139)^2+($C195-AY$140)^2+($D195-AY$141)^2)</f>
        <v>0.851620104318078</v>
      </c>
      <c r="AZ195" s="63" t="n">
        <f aca="false">MATCH(MIN(AV195:AY195),AV195:AY195,0)</f>
        <v>4</v>
      </c>
      <c r="BB195" s="17" t="n">
        <f aca="false">SQRT(($B195-BB$139)^2+($C195-BB$140)^2+($D195-BB$141)^2)</f>
        <v>5.49749554863454</v>
      </c>
      <c r="BC195" s="17" t="n">
        <f aca="false">SQRT(($B195-BC$139)^2+($C195-BC$140)^2+($D195-BC$141)^2)</f>
        <v>1.47430224780229</v>
      </c>
      <c r="BD195" s="17" t="n">
        <f aca="false">SQRT(($B195-BD$139)^2+($C195-BD$140)^2+($D195-BD$141)^2)</f>
        <v>2.43148018024995</v>
      </c>
      <c r="BE195" s="17" t="n">
        <f aca="false">SQRT(($B195-BE$139)^2+($C195-BE$140)^2+($D195-BE$141)^2)</f>
        <v>0.851620104318078</v>
      </c>
      <c r="BF195" s="63" t="n">
        <f aca="false">MATCH(MIN(BB195:BE195),BB195:BE195,0)</f>
        <v>4</v>
      </c>
      <c r="BH195" s="17" t="n">
        <f aca="false">SQRT(($B195-BH$139)^2+($C195-BH$140)^2+($D195-BH$141)^2)</f>
        <v>5.49749554863454</v>
      </c>
      <c r="BI195" s="17" t="n">
        <f aca="false">SQRT(($B195-BI$139)^2+($C195-BI$140)^2+($D195-BI$141)^2)</f>
        <v>1.47430224780229</v>
      </c>
      <c r="BJ195" s="17" t="n">
        <f aca="false">SQRT(($B195-BJ$139)^2+($C195-BJ$140)^2+($D195-BJ$141)^2)</f>
        <v>2.43148018024995</v>
      </c>
      <c r="BK195" s="17" t="n">
        <f aca="false">SQRT(($B195-BK$139)^2+($C195-BK$140)^2+($D195-BK$141)^2)</f>
        <v>0.851620104318078</v>
      </c>
      <c r="BL195" s="63" t="n">
        <f aca="false">MATCH(MIN(BH195:BK195),BH195:BK195,0)</f>
        <v>4</v>
      </c>
      <c r="BN195" s="17" t="n">
        <f aca="false">SQRT(($B195-BN$139)^2+($C195-BN$140)^2+($D195-BN$141)^2)</f>
        <v>5.49749554863454</v>
      </c>
      <c r="BO195" s="17" t="n">
        <f aca="false">SQRT(($B195-BO$139)^2+($C195-BO$140)^2+($D195-BO$141)^2)</f>
        <v>1.47430224780229</v>
      </c>
      <c r="BP195" s="17" t="n">
        <f aca="false">SQRT(($B195-BP$139)^2+($C195-BP$140)^2+($D195-BP$141)^2)</f>
        <v>2.43148018024995</v>
      </c>
      <c r="BQ195" s="17" t="n">
        <f aca="false">SQRT(($B195-BQ$139)^2+($C195-BQ$140)^2+($D195-BQ$141)^2)</f>
        <v>0.851620104318078</v>
      </c>
      <c r="BR195" s="63" t="n">
        <f aca="false">MATCH(MIN(BN195:BQ195),BN195:BQ195,0)</f>
        <v>4</v>
      </c>
      <c r="BT195" s="17" t="n">
        <f aca="false">SQRT(($B195-BT$139)^2+($C195-BT$140)^2+($D195-BT$141)^2)</f>
        <v>5.49749554863454</v>
      </c>
      <c r="BU195" s="17" t="n">
        <f aca="false">SQRT(($B195-BU$139)^2+($C195-BU$140)^2+($D195-BU$141)^2)</f>
        <v>1.47430224780229</v>
      </c>
      <c r="BV195" s="17" t="n">
        <f aca="false">SQRT(($B195-BV$139)^2+($C195-BV$140)^2+($D195-BV$141)^2)</f>
        <v>2.43148018024995</v>
      </c>
      <c r="BW195" s="17" t="n">
        <f aca="false">SQRT(($B195-BW$139)^2+($C195-BW$140)^2+($D195-BW$141)^2)</f>
        <v>0.851620104318078</v>
      </c>
      <c r="BX195" s="63" t="n">
        <f aca="false">MATCH(MIN(BT195:BW195),BT195:BW195,0)</f>
        <v>4</v>
      </c>
      <c r="BZ195" s="17" t="n">
        <f aca="false">SQRT(($B195-BZ$139)^2+($C195-BZ$140)^2+($D195-BZ$141)^2)</f>
        <v>5.49749554863454</v>
      </c>
      <c r="CA195" s="17" t="n">
        <f aca="false">SQRT(($B195-CA$139)^2+($C195-CA$140)^2+($D195-CA$141)^2)</f>
        <v>1.47430224780229</v>
      </c>
      <c r="CB195" s="17" t="n">
        <f aca="false">SQRT(($B195-CB$139)^2+($C195-CB$140)^2+($D195-CB$141)^2)</f>
        <v>2.43148018024995</v>
      </c>
      <c r="CC195" s="17" t="n">
        <f aca="false">SQRT(($B195-CC$139)^2+($C195-CC$140)^2+($D195-CC$141)^2)</f>
        <v>0.851620104318078</v>
      </c>
      <c r="CD195" s="63" t="n">
        <f aca="false">MATCH(MIN(BZ195:CC195),BZ195:CC195,0)</f>
        <v>4</v>
      </c>
      <c r="CF195" s="17" t="n">
        <f aca="false">SQRT(($B195-CF$139)^2+($C195-CF$140)^2+($D195-CF$141)^2)</f>
        <v>5.49749554863454</v>
      </c>
      <c r="CG195" s="17" t="n">
        <f aca="false">SQRT(($B195-CG$139)^2+($C195-CG$140)^2+($D195-CG$141)^2)</f>
        <v>1.47430224780229</v>
      </c>
      <c r="CH195" s="17" t="n">
        <f aca="false">SQRT(($B195-CH$139)^2+($C195-CH$140)^2+($D195-CH$141)^2)</f>
        <v>2.43148018024995</v>
      </c>
      <c r="CI195" s="17" t="n">
        <f aca="false">SQRT(($B195-CI$139)^2+($C195-CI$140)^2+($D195-CI$141)^2)</f>
        <v>0.851620104318078</v>
      </c>
      <c r="CJ195" s="63" t="n">
        <f aca="false">MATCH(MIN(CF195:CI195),CF195:CI195,0)</f>
        <v>4</v>
      </c>
      <c r="CL195" s="17" t="n">
        <f aca="false">SQRT(($B195-CL$139)^2+($C195-CL$140)^2+($D195-CL$141)^2)</f>
        <v>5.49749554863454</v>
      </c>
      <c r="CM195" s="17" t="n">
        <f aca="false">SQRT(($B195-CM$139)^2+($C195-CM$140)^2+($D195-CM$141)^2)</f>
        <v>1.47430224780229</v>
      </c>
      <c r="CN195" s="17" t="n">
        <f aca="false">SQRT(($B195-CN$139)^2+($C195-CN$140)^2+($D195-CN$141)^2)</f>
        <v>2.43148018024995</v>
      </c>
      <c r="CO195" s="17" t="n">
        <f aca="false">SQRT(($B195-CO$139)^2+($C195-CO$140)^2+($D195-CO$141)^2)</f>
        <v>0.851620104318078</v>
      </c>
      <c r="CP195" s="63" t="n">
        <f aca="false">MATCH(MIN(CL195:CO195),CL195:CO195,0)</f>
        <v>4</v>
      </c>
    </row>
    <row r="196" customFormat="false" ht="15" hidden="false" customHeight="false" outlineLevel="0" collapsed="false">
      <c r="A196" s="36" t="str">
        <f aca="false">KMeans_Data!A55</f>
        <v>Faisalabad</v>
      </c>
      <c r="B196" s="17" t="n">
        <f aca="false">KMeans_Data!H55</f>
        <v>0.187798337815286</v>
      </c>
      <c r="C196" s="17" t="n">
        <f aca="false">KMeans_Data!I55</f>
        <v>-0.672650545388274</v>
      </c>
      <c r="D196" s="17" t="n">
        <f aca="false">KMeans_Data!J55</f>
        <v>-1.14564411633355</v>
      </c>
      <c r="E196" s="63" t="n">
        <f aca="false">CP196</f>
        <v>4</v>
      </c>
      <c r="F196" s="38" t="n">
        <f aca="false">($B196-INDEX($L$139:$O$139,E196))^2+($C196-INDEX($L$140:$O$140,E196))^2+($D196-INDEX($L$141:$O$141,E196))^2</f>
        <v>0.721016126493728</v>
      </c>
      <c r="G196" s="17" t="n">
        <f aca="false">IF(COUNTIF(Distance_Matrix!$E$10:$DQ$10,$E196)&lt;=1,0,SUMIF(Distance_Matrix!$E$10:$DQ$10,$E196,Distance_Matrix!$E$64:$DQ$64)/(COUNTIF(Distance_Matrix!$E$10:$DQ$10,$E196)-1))</f>
        <v>1.05020356208983</v>
      </c>
      <c r="H196" s="17" t="n">
        <f aca="false">MIN(IF(1=$E196,1E+099,IF(COUNTIF(Distance_Matrix!$E$10:$DQ$10,1)=0,1E+099,SUMIF(Distance_Matrix!$E$10:$DQ$10,1,Distance_Matrix!$E$64:$DQ$64)/COUNTIF(Distance_Matrix!$E$10:$DQ$10,1))),IF(2=$E196,1E+099,IF(COUNTIF(Distance_Matrix!$E$10:$DQ$10,2)=0,1E+099,SUMIF(Distance_Matrix!$E$10:$DQ$10,2,Distance_Matrix!$E$64:$DQ$64)/COUNTIF(Distance_Matrix!$E$10:$DQ$10,2))),IF(3=$E196,1E+099,IF(COUNTIF(Distance_Matrix!$E$10:$DQ$10,3)=0,1E+099,SUMIF(Distance_Matrix!$E$10:$DQ$10,3,Distance_Matrix!$E$64:$DQ$64)/COUNTIF(Distance_Matrix!$E$10:$DQ$10,3))),IF(4=$E196,1E+099,IF(COUNTIF(Distance_Matrix!$E$10:$DQ$10,4)=0,1E+099,SUMIF(Distance_Matrix!$E$10:$DQ$10,4,Distance_Matrix!$E$64:$DQ$64)/COUNTIF(Distance_Matrix!$E$10:$DQ$10,4))))</f>
        <v>1.48490324559185</v>
      </c>
      <c r="I196" s="17" t="n">
        <f aca="false">IF(COUNTIF(Distance_Matrix!$E$10:$DQ$10,$E196)&lt;=1,0,(H196-G196)/MAX(G196,H196))</f>
        <v>0.292746133320463</v>
      </c>
      <c r="X196" s="17" t="n">
        <f aca="false">SQRT(($B196-X$139)^2+($C196-X$140)^2+($D196-X$141)^2)</f>
        <v>7.14635187409098</v>
      </c>
      <c r="Y196" s="17" t="n">
        <f aca="false">SQRT(($B196-Y$139)^2+($C196-Y$140)^2+($D196-Y$141)^2)</f>
        <v>2.26753631961861</v>
      </c>
      <c r="Z196" s="17" t="n">
        <f aca="false">SQRT(($B196-Z$139)^2+($C196-Z$140)^2+($D196-Z$141)^2)</f>
        <v>2.94461062391018</v>
      </c>
      <c r="AA196" s="17" t="n">
        <f aca="false">SQRT(($B196-AA$139)^2+($C196-AA$140)^2+($D196-AA$141)^2)</f>
        <v>0.697119421223826</v>
      </c>
      <c r="AB196" s="63" t="n">
        <f aca="false">MATCH(MIN(X196:AA196),X196:AA196,0)</f>
        <v>4</v>
      </c>
      <c r="AD196" s="17" t="n">
        <f aca="false">SQRT(($B196-AD$139)^2+($C196-AD$140)^2+($D196-AD$141)^2)</f>
        <v>6.13015004847747</v>
      </c>
      <c r="AE196" s="17" t="n">
        <f aca="false">SQRT(($B196-AE$139)^2+($C196-AE$140)^2+($D196-AE$141)^2)</f>
        <v>1.44434314818624</v>
      </c>
      <c r="AF196" s="17" t="n">
        <f aca="false">SQRT(($B196-AF$139)^2+($C196-AF$140)^2+($D196-AF$141)^2)</f>
        <v>2.41647840594496</v>
      </c>
      <c r="AG196" s="17" t="n">
        <f aca="false">SQRT(($B196-AG$139)^2+($C196-AG$140)^2+($D196-AG$141)^2)</f>
        <v>0.703713033362617</v>
      </c>
      <c r="AH196" s="63" t="n">
        <f aca="false">MATCH(MIN(AD196:AG196),AD196:AG196,0)</f>
        <v>4</v>
      </c>
      <c r="AJ196" s="17" t="n">
        <f aca="false">SQRT(($B196-AJ$139)^2+($C196-AJ$140)^2+($D196-AJ$141)^2)</f>
        <v>5.78491172465952</v>
      </c>
      <c r="AK196" s="17" t="n">
        <f aca="false">SQRT(($B196-AK$139)^2+($C196-AK$140)^2+($D196-AK$141)^2)</f>
        <v>1.42918561818468</v>
      </c>
      <c r="AL196" s="17" t="n">
        <f aca="false">SQRT(($B196-AL$139)^2+($C196-AL$140)^2+($D196-AL$141)^2)</f>
        <v>2.47206294130427</v>
      </c>
      <c r="AM196" s="17" t="n">
        <f aca="false">SQRT(($B196-AM$139)^2+($C196-AM$140)^2+($D196-AM$141)^2)</f>
        <v>0.827366534827942</v>
      </c>
      <c r="AN196" s="63" t="n">
        <f aca="false">MATCH(MIN(AJ196:AM196),AJ196:AM196,0)</f>
        <v>4</v>
      </c>
      <c r="AP196" s="17" t="n">
        <f aca="false">SQRT(($B196-AP$139)^2+($C196-AP$140)^2+($D196-AP$141)^2)</f>
        <v>5.50025921629727</v>
      </c>
      <c r="AQ196" s="17" t="n">
        <f aca="false">SQRT(($B196-AQ$139)^2+($C196-AQ$140)^2+($D196-AQ$141)^2)</f>
        <v>1.46768053816768</v>
      </c>
      <c r="AR196" s="17" t="n">
        <f aca="false">SQRT(($B196-AR$139)^2+($C196-AR$140)^2+($D196-AR$141)^2)</f>
        <v>2.43268003362451</v>
      </c>
      <c r="AS196" s="17" t="n">
        <f aca="false">SQRT(($B196-AS$139)^2+($C196-AS$140)^2+($D196-AS$141)^2)</f>
        <v>0.849126684596432</v>
      </c>
      <c r="AT196" s="63" t="n">
        <f aca="false">MATCH(MIN(AP196:AS196),AP196:AS196,0)</f>
        <v>4</v>
      </c>
      <c r="AV196" s="17" t="n">
        <f aca="false">SQRT(($B196-AV$139)^2+($C196-AV$140)^2+($D196-AV$141)^2)</f>
        <v>5.50025921629727</v>
      </c>
      <c r="AW196" s="17" t="n">
        <f aca="false">SQRT(($B196-AW$139)^2+($C196-AW$140)^2+($D196-AW$141)^2)</f>
        <v>1.46768053816768</v>
      </c>
      <c r="AX196" s="17" t="n">
        <f aca="false">SQRT(($B196-AX$139)^2+($C196-AX$140)^2+($D196-AX$141)^2)</f>
        <v>2.43268003362451</v>
      </c>
      <c r="AY196" s="17" t="n">
        <f aca="false">SQRT(($B196-AY$139)^2+($C196-AY$140)^2+($D196-AY$141)^2)</f>
        <v>0.849126684596432</v>
      </c>
      <c r="AZ196" s="63" t="n">
        <f aca="false">MATCH(MIN(AV196:AY196),AV196:AY196,0)</f>
        <v>4</v>
      </c>
      <c r="BB196" s="17" t="n">
        <f aca="false">SQRT(($B196-BB$139)^2+($C196-BB$140)^2+($D196-BB$141)^2)</f>
        <v>5.50025921629727</v>
      </c>
      <c r="BC196" s="17" t="n">
        <f aca="false">SQRT(($B196-BC$139)^2+($C196-BC$140)^2+($D196-BC$141)^2)</f>
        <v>1.46768053816768</v>
      </c>
      <c r="BD196" s="17" t="n">
        <f aca="false">SQRT(($B196-BD$139)^2+($C196-BD$140)^2+($D196-BD$141)^2)</f>
        <v>2.43268003362451</v>
      </c>
      <c r="BE196" s="17" t="n">
        <f aca="false">SQRT(($B196-BE$139)^2+($C196-BE$140)^2+($D196-BE$141)^2)</f>
        <v>0.849126684596432</v>
      </c>
      <c r="BF196" s="63" t="n">
        <f aca="false">MATCH(MIN(BB196:BE196),BB196:BE196,0)</f>
        <v>4</v>
      </c>
      <c r="BH196" s="17" t="n">
        <f aca="false">SQRT(($B196-BH$139)^2+($C196-BH$140)^2+($D196-BH$141)^2)</f>
        <v>5.50025921629727</v>
      </c>
      <c r="BI196" s="17" t="n">
        <f aca="false">SQRT(($B196-BI$139)^2+($C196-BI$140)^2+($D196-BI$141)^2)</f>
        <v>1.46768053816768</v>
      </c>
      <c r="BJ196" s="17" t="n">
        <f aca="false">SQRT(($B196-BJ$139)^2+($C196-BJ$140)^2+($D196-BJ$141)^2)</f>
        <v>2.43268003362451</v>
      </c>
      <c r="BK196" s="17" t="n">
        <f aca="false">SQRT(($B196-BK$139)^2+($C196-BK$140)^2+($D196-BK$141)^2)</f>
        <v>0.849126684596432</v>
      </c>
      <c r="BL196" s="63" t="n">
        <f aca="false">MATCH(MIN(BH196:BK196),BH196:BK196,0)</f>
        <v>4</v>
      </c>
      <c r="BN196" s="17" t="n">
        <f aca="false">SQRT(($B196-BN$139)^2+($C196-BN$140)^2+($D196-BN$141)^2)</f>
        <v>5.50025921629727</v>
      </c>
      <c r="BO196" s="17" t="n">
        <f aca="false">SQRT(($B196-BO$139)^2+($C196-BO$140)^2+($D196-BO$141)^2)</f>
        <v>1.46768053816768</v>
      </c>
      <c r="BP196" s="17" t="n">
        <f aca="false">SQRT(($B196-BP$139)^2+($C196-BP$140)^2+($D196-BP$141)^2)</f>
        <v>2.43268003362451</v>
      </c>
      <c r="BQ196" s="17" t="n">
        <f aca="false">SQRT(($B196-BQ$139)^2+($C196-BQ$140)^2+($D196-BQ$141)^2)</f>
        <v>0.849126684596432</v>
      </c>
      <c r="BR196" s="63" t="n">
        <f aca="false">MATCH(MIN(BN196:BQ196),BN196:BQ196,0)</f>
        <v>4</v>
      </c>
      <c r="BT196" s="17" t="n">
        <f aca="false">SQRT(($B196-BT$139)^2+($C196-BT$140)^2+($D196-BT$141)^2)</f>
        <v>5.50025921629727</v>
      </c>
      <c r="BU196" s="17" t="n">
        <f aca="false">SQRT(($B196-BU$139)^2+($C196-BU$140)^2+($D196-BU$141)^2)</f>
        <v>1.46768053816768</v>
      </c>
      <c r="BV196" s="17" t="n">
        <f aca="false">SQRT(($B196-BV$139)^2+($C196-BV$140)^2+($D196-BV$141)^2)</f>
        <v>2.43268003362451</v>
      </c>
      <c r="BW196" s="17" t="n">
        <f aca="false">SQRT(($B196-BW$139)^2+($C196-BW$140)^2+($D196-BW$141)^2)</f>
        <v>0.849126684596432</v>
      </c>
      <c r="BX196" s="63" t="n">
        <f aca="false">MATCH(MIN(BT196:BW196),BT196:BW196,0)</f>
        <v>4</v>
      </c>
      <c r="BZ196" s="17" t="n">
        <f aca="false">SQRT(($B196-BZ$139)^2+($C196-BZ$140)^2+($D196-BZ$141)^2)</f>
        <v>5.50025921629727</v>
      </c>
      <c r="CA196" s="17" t="n">
        <f aca="false">SQRT(($B196-CA$139)^2+($C196-CA$140)^2+($D196-CA$141)^2)</f>
        <v>1.46768053816768</v>
      </c>
      <c r="CB196" s="17" t="n">
        <f aca="false">SQRT(($B196-CB$139)^2+($C196-CB$140)^2+($D196-CB$141)^2)</f>
        <v>2.43268003362451</v>
      </c>
      <c r="CC196" s="17" t="n">
        <f aca="false">SQRT(($B196-CC$139)^2+($C196-CC$140)^2+($D196-CC$141)^2)</f>
        <v>0.849126684596432</v>
      </c>
      <c r="CD196" s="63" t="n">
        <f aca="false">MATCH(MIN(BZ196:CC196),BZ196:CC196,0)</f>
        <v>4</v>
      </c>
      <c r="CF196" s="17" t="n">
        <f aca="false">SQRT(($B196-CF$139)^2+($C196-CF$140)^2+($D196-CF$141)^2)</f>
        <v>5.50025921629727</v>
      </c>
      <c r="CG196" s="17" t="n">
        <f aca="false">SQRT(($B196-CG$139)^2+($C196-CG$140)^2+($D196-CG$141)^2)</f>
        <v>1.46768053816768</v>
      </c>
      <c r="CH196" s="17" t="n">
        <f aca="false">SQRT(($B196-CH$139)^2+($C196-CH$140)^2+($D196-CH$141)^2)</f>
        <v>2.43268003362451</v>
      </c>
      <c r="CI196" s="17" t="n">
        <f aca="false">SQRT(($B196-CI$139)^2+($C196-CI$140)^2+($D196-CI$141)^2)</f>
        <v>0.849126684596432</v>
      </c>
      <c r="CJ196" s="63" t="n">
        <f aca="false">MATCH(MIN(CF196:CI196),CF196:CI196,0)</f>
        <v>4</v>
      </c>
      <c r="CL196" s="17" t="n">
        <f aca="false">SQRT(($B196-CL$139)^2+($C196-CL$140)^2+($D196-CL$141)^2)</f>
        <v>5.50025921629727</v>
      </c>
      <c r="CM196" s="17" t="n">
        <f aca="false">SQRT(($B196-CM$139)^2+($C196-CM$140)^2+($D196-CM$141)^2)</f>
        <v>1.46768053816768</v>
      </c>
      <c r="CN196" s="17" t="n">
        <f aca="false">SQRT(($B196-CN$139)^2+($C196-CN$140)^2+($D196-CN$141)^2)</f>
        <v>2.43268003362451</v>
      </c>
      <c r="CO196" s="17" t="n">
        <f aca="false">SQRT(($B196-CO$139)^2+($C196-CO$140)^2+($D196-CO$141)^2)</f>
        <v>0.849126684596432</v>
      </c>
      <c r="CP196" s="63" t="n">
        <f aca="false">MATCH(MIN(CL196:CO196),CL196:CO196,0)</f>
        <v>4</v>
      </c>
    </row>
    <row r="197" customFormat="false" ht="15" hidden="false" customHeight="false" outlineLevel="0" collapsed="false">
      <c r="A197" s="36" t="str">
        <f aca="false">KMeans_Data!A56</f>
        <v>Jhelum</v>
      </c>
      <c r="B197" s="17" t="n">
        <f aca="false">KMeans_Data!H56</f>
        <v>0.167385132550892</v>
      </c>
      <c r="C197" s="17" t="n">
        <f aca="false">KMeans_Data!I56</f>
        <v>-0.672650545388274</v>
      </c>
      <c r="D197" s="17" t="n">
        <f aca="false">KMeans_Data!J56</f>
        <v>-0.503247915463979</v>
      </c>
      <c r="E197" s="63" t="n">
        <f aca="false">CP197</f>
        <v>4</v>
      </c>
      <c r="F197" s="38" t="n">
        <f aca="false">($B197-INDEX($L$139:$O$139,E197))^2+($C197-INDEX($L$140:$O$140,E197))^2+($D197-INDEX($L$141:$O$141,E197))^2</f>
        <v>0.131165479971473</v>
      </c>
      <c r="G197" s="17" t="n">
        <f aca="false">IF(COUNTIF(Distance_Matrix!$E$10:$DQ$10,$E197)&lt;=1,0,SUMIF(Distance_Matrix!$E$10:$DQ$10,$E197,Distance_Matrix!$E$65:$DQ$65)/(COUNTIF(Distance_Matrix!$E$10:$DQ$10,$E197)-1))</f>
        <v>0.824037226376075</v>
      </c>
      <c r="H197" s="17" t="n">
        <f aca="false">MIN(IF(1=$E197,1E+099,IF(COUNTIF(Distance_Matrix!$E$10:$DQ$10,1)=0,1E+099,SUMIF(Distance_Matrix!$E$10:$DQ$10,1,Distance_Matrix!$E$65:$DQ$65)/COUNTIF(Distance_Matrix!$E$10:$DQ$10,1))),IF(2=$E197,1E+099,IF(COUNTIF(Distance_Matrix!$E$10:$DQ$10,2)=0,1E+099,SUMIF(Distance_Matrix!$E$10:$DQ$10,2,Distance_Matrix!$E$65:$DQ$65)/COUNTIF(Distance_Matrix!$E$10:$DQ$10,2))),IF(3=$E197,1E+099,IF(COUNTIF(Distance_Matrix!$E$10:$DQ$10,3)=0,1E+099,SUMIF(Distance_Matrix!$E$10:$DQ$10,3,Distance_Matrix!$E$65:$DQ$65)/COUNTIF(Distance_Matrix!$E$10:$DQ$10,3))),IF(4=$E197,1E+099,IF(COUNTIF(Distance_Matrix!$E$10:$DQ$10,4)=0,1E+099,SUMIF(Distance_Matrix!$E$10:$DQ$10,4,Distance_Matrix!$E$65:$DQ$65)/COUNTIF(Distance_Matrix!$E$10:$DQ$10,4))))</f>
        <v>1.57289478552724</v>
      </c>
      <c r="I197" s="17" t="n">
        <f aca="false">IF(COUNTIF(Distance_Matrix!$E$10:$DQ$10,$E197)&lt;=1,0,(H197-G197)/MAX(G197,H197))</f>
        <v>0.476101495180522</v>
      </c>
      <c r="X197" s="17" t="n">
        <f aca="false">SQRT(($B197-X$139)^2+($C197-X$140)^2+($D197-X$141)^2)</f>
        <v>6.77926767473373</v>
      </c>
      <c r="Y197" s="17" t="n">
        <f aca="false">SQRT(($B197-Y$139)^2+($C197-Y$140)^2+($D197-Y$141)^2)</f>
        <v>2.33714252238854</v>
      </c>
      <c r="Z197" s="17" t="n">
        <f aca="false">SQRT(($B197-Z$139)^2+($C197-Z$140)^2+($D197-Z$141)^2)</f>
        <v>2.39946355433655</v>
      </c>
      <c r="AA197" s="17" t="n">
        <f aca="false">SQRT(($B197-AA$139)^2+($C197-AA$140)^2+($D197-AA$141)^2)</f>
        <v>0.957997101567507</v>
      </c>
      <c r="AB197" s="63" t="n">
        <f aca="false">MATCH(MIN(X197:AA197),X197:AA197,0)</f>
        <v>4</v>
      </c>
      <c r="AD197" s="17" t="n">
        <f aca="false">SQRT(($B197-AD$139)^2+($C197-AD$140)^2+($D197-AD$141)^2)</f>
        <v>5.782078655007</v>
      </c>
      <c r="AE197" s="17" t="n">
        <f aca="false">SQRT(($B197-AE$139)^2+($C197-AE$140)^2+($D197-AE$141)^2)</f>
        <v>1.47327177879571</v>
      </c>
      <c r="AF197" s="17" t="n">
        <f aca="false">SQRT(($B197-AF$139)^2+($C197-AF$140)^2+($D197-AF$141)^2)</f>
        <v>1.91505694248825</v>
      </c>
      <c r="AG197" s="17" t="n">
        <f aca="false">SQRT(($B197-AG$139)^2+($C197-AG$140)^2+($D197-AG$141)^2)</f>
        <v>0.294149735232337</v>
      </c>
      <c r="AH197" s="63" t="n">
        <f aca="false">MATCH(MIN(AD197:AG197),AD197:AG197,0)</f>
        <v>4</v>
      </c>
      <c r="AJ197" s="17" t="n">
        <f aca="false">SQRT(($B197-AJ$139)^2+($C197-AJ$140)^2+($D197-AJ$141)^2)</f>
        <v>5.4329231371381</v>
      </c>
      <c r="AK197" s="17" t="n">
        <f aca="false">SQRT(($B197-AK$139)^2+($C197-AK$140)^2+($D197-AK$141)^2)</f>
        <v>1.48056279292786</v>
      </c>
      <c r="AL197" s="17" t="n">
        <f aca="false">SQRT(($B197-AL$139)^2+($C197-AL$140)^2+($D197-AL$141)^2)</f>
        <v>1.98388916969891</v>
      </c>
      <c r="AM197" s="17" t="n">
        <f aca="false">SQRT(($B197-AM$139)^2+($C197-AM$140)^2+($D197-AM$141)^2)</f>
        <v>0.32725852855331</v>
      </c>
      <c r="AN197" s="63" t="n">
        <f aca="false">MATCH(MIN(AJ197:AM197),AJ197:AM197,0)</f>
        <v>4</v>
      </c>
      <c r="AP197" s="17" t="n">
        <f aca="false">SQRT(($B197-AP$139)^2+($C197-AP$140)^2+($D197-AP$141)^2)</f>
        <v>5.1464281438643</v>
      </c>
      <c r="AQ197" s="17" t="n">
        <f aca="false">SQRT(($B197-AQ$139)^2+($C197-AQ$140)^2+($D197-AQ$141)^2)</f>
        <v>1.55407301033494</v>
      </c>
      <c r="AR197" s="17" t="n">
        <f aca="false">SQRT(($B197-AR$139)^2+($C197-AR$140)^2+($D197-AR$141)^2)</f>
        <v>1.93937098309054</v>
      </c>
      <c r="AS197" s="17" t="n">
        <f aca="false">SQRT(($B197-AS$139)^2+($C197-AS$140)^2+($D197-AS$141)^2)</f>
        <v>0.362167751147825</v>
      </c>
      <c r="AT197" s="63" t="n">
        <f aca="false">MATCH(MIN(AP197:AS197),AP197:AS197,0)</f>
        <v>4</v>
      </c>
      <c r="AV197" s="17" t="n">
        <f aca="false">SQRT(($B197-AV$139)^2+($C197-AV$140)^2+($D197-AV$141)^2)</f>
        <v>5.1464281438643</v>
      </c>
      <c r="AW197" s="17" t="n">
        <f aca="false">SQRT(($B197-AW$139)^2+($C197-AW$140)^2+($D197-AW$141)^2)</f>
        <v>1.55407301033494</v>
      </c>
      <c r="AX197" s="17" t="n">
        <f aca="false">SQRT(($B197-AX$139)^2+($C197-AX$140)^2+($D197-AX$141)^2)</f>
        <v>1.93937098309054</v>
      </c>
      <c r="AY197" s="17" t="n">
        <f aca="false">SQRT(($B197-AY$139)^2+($C197-AY$140)^2+($D197-AY$141)^2)</f>
        <v>0.362167751147825</v>
      </c>
      <c r="AZ197" s="63" t="n">
        <f aca="false">MATCH(MIN(AV197:AY197),AV197:AY197,0)</f>
        <v>4</v>
      </c>
      <c r="BB197" s="17" t="n">
        <f aca="false">SQRT(($B197-BB$139)^2+($C197-BB$140)^2+($D197-BB$141)^2)</f>
        <v>5.1464281438643</v>
      </c>
      <c r="BC197" s="17" t="n">
        <f aca="false">SQRT(($B197-BC$139)^2+($C197-BC$140)^2+($D197-BC$141)^2)</f>
        <v>1.55407301033494</v>
      </c>
      <c r="BD197" s="17" t="n">
        <f aca="false">SQRT(($B197-BD$139)^2+($C197-BD$140)^2+($D197-BD$141)^2)</f>
        <v>1.93937098309054</v>
      </c>
      <c r="BE197" s="17" t="n">
        <f aca="false">SQRT(($B197-BE$139)^2+($C197-BE$140)^2+($D197-BE$141)^2)</f>
        <v>0.362167751147825</v>
      </c>
      <c r="BF197" s="63" t="n">
        <f aca="false">MATCH(MIN(BB197:BE197),BB197:BE197,0)</f>
        <v>4</v>
      </c>
      <c r="BH197" s="17" t="n">
        <f aca="false">SQRT(($B197-BH$139)^2+($C197-BH$140)^2+($D197-BH$141)^2)</f>
        <v>5.1464281438643</v>
      </c>
      <c r="BI197" s="17" t="n">
        <f aca="false">SQRT(($B197-BI$139)^2+($C197-BI$140)^2+($D197-BI$141)^2)</f>
        <v>1.55407301033494</v>
      </c>
      <c r="BJ197" s="17" t="n">
        <f aca="false">SQRT(($B197-BJ$139)^2+($C197-BJ$140)^2+($D197-BJ$141)^2)</f>
        <v>1.93937098309054</v>
      </c>
      <c r="BK197" s="17" t="n">
        <f aca="false">SQRT(($B197-BK$139)^2+($C197-BK$140)^2+($D197-BK$141)^2)</f>
        <v>0.362167751147825</v>
      </c>
      <c r="BL197" s="63" t="n">
        <f aca="false">MATCH(MIN(BH197:BK197),BH197:BK197,0)</f>
        <v>4</v>
      </c>
      <c r="BN197" s="17" t="n">
        <f aca="false">SQRT(($B197-BN$139)^2+($C197-BN$140)^2+($D197-BN$141)^2)</f>
        <v>5.1464281438643</v>
      </c>
      <c r="BO197" s="17" t="n">
        <f aca="false">SQRT(($B197-BO$139)^2+($C197-BO$140)^2+($D197-BO$141)^2)</f>
        <v>1.55407301033494</v>
      </c>
      <c r="BP197" s="17" t="n">
        <f aca="false">SQRT(($B197-BP$139)^2+($C197-BP$140)^2+($D197-BP$141)^2)</f>
        <v>1.93937098309054</v>
      </c>
      <c r="BQ197" s="17" t="n">
        <f aca="false">SQRT(($B197-BQ$139)^2+($C197-BQ$140)^2+($D197-BQ$141)^2)</f>
        <v>0.362167751147825</v>
      </c>
      <c r="BR197" s="63" t="n">
        <f aca="false">MATCH(MIN(BN197:BQ197),BN197:BQ197,0)</f>
        <v>4</v>
      </c>
      <c r="BT197" s="17" t="n">
        <f aca="false">SQRT(($B197-BT$139)^2+($C197-BT$140)^2+($D197-BT$141)^2)</f>
        <v>5.1464281438643</v>
      </c>
      <c r="BU197" s="17" t="n">
        <f aca="false">SQRT(($B197-BU$139)^2+($C197-BU$140)^2+($D197-BU$141)^2)</f>
        <v>1.55407301033494</v>
      </c>
      <c r="BV197" s="17" t="n">
        <f aca="false">SQRT(($B197-BV$139)^2+($C197-BV$140)^2+($D197-BV$141)^2)</f>
        <v>1.93937098309054</v>
      </c>
      <c r="BW197" s="17" t="n">
        <f aca="false">SQRT(($B197-BW$139)^2+($C197-BW$140)^2+($D197-BW$141)^2)</f>
        <v>0.362167751147825</v>
      </c>
      <c r="BX197" s="63" t="n">
        <f aca="false">MATCH(MIN(BT197:BW197),BT197:BW197,0)</f>
        <v>4</v>
      </c>
      <c r="BZ197" s="17" t="n">
        <f aca="false">SQRT(($B197-BZ$139)^2+($C197-BZ$140)^2+($D197-BZ$141)^2)</f>
        <v>5.1464281438643</v>
      </c>
      <c r="CA197" s="17" t="n">
        <f aca="false">SQRT(($B197-CA$139)^2+($C197-CA$140)^2+($D197-CA$141)^2)</f>
        <v>1.55407301033494</v>
      </c>
      <c r="CB197" s="17" t="n">
        <f aca="false">SQRT(($B197-CB$139)^2+($C197-CB$140)^2+($D197-CB$141)^2)</f>
        <v>1.93937098309054</v>
      </c>
      <c r="CC197" s="17" t="n">
        <f aca="false">SQRT(($B197-CC$139)^2+($C197-CC$140)^2+($D197-CC$141)^2)</f>
        <v>0.362167751147825</v>
      </c>
      <c r="CD197" s="63" t="n">
        <f aca="false">MATCH(MIN(BZ197:CC197),BZ197:CC197,0)</f>
        <v>4</v>
      </c>
      <c r="CF197" s="17" t="n">
        <f aca="false">SQRT(($B197-CF$139)^2+($C197-CF$140)^2+($D197-CF$141)^2)</f>
        <v>5.1464281438643</v>
      </c>
      <c r="CG197" s="17" t="n">
        <f aca="false">SQRT(($B197-CG$139)^2+($C197-CG$140)^2+($D197-CG$141)^2)</f>
        <v>1.55407301033494</v>
      </c>
      <c r="CH197" s="17" t="n">
        <f aca="false">SQRT(($B197-CH$139)^2+($C197-CH$140)^2+($D197-CH$141)^2)</f>
        <v>1.93937098309054</v>
      </c>
      <c r="CI197" s="17" t="n">
        <f aca="false">SQRT(($B197-CI$139)^2+($C197-CI$140)^2+($D197-CI$141)^2)</f>
        <v>0.362167751147825</v>
      </c>
      <c r="CJ197" s="63" t="n">
        <f aca="false">MATCH(MIN(CF197:CI197),CF197:CI197,0)</f>
        <v>4</v>
      </c>
      <c r="CL197" s="17" t="n">
        <f aca="false">SQRT(($B197-CL$139)^2+($C197-CL$140)^2+($D197-CL$141)^2)</f>
        <v>5.1464281438643</v>
      </c>
      <c r="CM197" s="17" t="n">
        <f aca="false">SQRT(($B197-CM$139)^2+($C197-CM$140)^2+($D197-CM$141)^2)</f>
        <v>1.55407301033494</v>
      </c>
      <c r="CN197" s="17" t="n">
        <f aca="false">SQRT(($B197-CN$139)^2+($C197-CN$140)^2+($D197-CN$141)^2)</f>
        <v>1.93937098309054</v>
      </c>
      <c r="CO197" s="17" t="n">
        <f aca="false">SQRT(($B197-CO$139)^2+($C197-CO$140)^2+($D197-CO$141)^2)</f>
        <v>0.362167751147825</v>
      </c>
      <c r="CP197" s="63" t="n">
        <f aca="false">MATCH(MIN(CL197:CO197),CL197:CO197,0)</f>
        <v>4</v>
      </c>
    </row>
    <row r="198" customFormat="false" ht="15" hidden="false" customHeight="false" outlineLevel="0" collapsed="false">
      <c r="A198" s="36" t="str">
        <f aca="false">KMeans_Data!A57</f>
        <v>Vehari</v>
      </c>
      <c r="B198" s="17" t="n">
        <f aca="false">KMeans_Data!H57</f>
        <v>0.153317518957985</v>
      </c>
      <c r="C198" s="17" t="n">
        <f aca="false">KMeans_Data!I57</f>
        <v>-0.672650545388274</v>
      </c>
      <c r="D198" s="17" t="n">
        <f aca="false">KMeans_Data!J57</f>
        <v>-0.2439270481224</v>
      </c>
      <c r="E198" s="63" t="n">
        <f aca="false">CP198</f>
        <v>4</v>
      </c>
      <c r="F198" s="38" t="n">
        <f aca="false">($B198-INDEX($L$139:$O$139,E198))^2+($C198-INDEX($L$140:$O$140,E198))^2+($D198-INDEX($L$141:$O$141,E198))^2</f>
        <v>0.123805701732423</v>
      </c>
      <c r="G198" s="17" t="n">
        <f aca="false">IF(COUNTIF(Distance_Matrix!$E$10:$DQ$10,$E198)&lt;=1,0,SUMIF(Distance_Matrix!$E$10:$DQ$10,$E198,Distance_Matrix!$E$66:$DQ$66)/(COUNTIF(Distance_Matrix!$E$10:$DQ$10,$E198)-1))</f>
        <v>0.82688273260201</v>
      </c>
      <c r="H198" s="17" t="n">
        <f aca="false">MIN(IF(1=$E198,1E+099,IF(COUNTIF(Distance_Matrix!$E$10:$DQ$10,1)=0,1E+099,SUMIF(Distance_Matrix!$E$10:$DQ$10,1,Distance_Matrix!$E$66:$DQ$66)/COUNTIF(Distance_Matrix!$E$10:$DQ$10,1))),IF(2=$E198,1E+099,IF(COUNTIF(Distance_Matrix!$E$10:$DQ$10,2)=0,1E+099,SUMIF(Distance_Matrix!$E$10:$DQ$10,2,Distance_Matrix!$E$66:$DQ$66)/COUNTIF(Distance_Matrix!$E$10:$DQ$10,2))),IF(3=$E198,1E+099,IF(COUNTIF(Distance_Matrix!$E$10:$DQ$10,3)=0,1E+099,SUMIF(Distance_Matrix!$E$10:$DQ$10,3,Distance_Matrix!$E$66:$DQ$66)/COUNTIF(Distance_Matrix!$E$10:$DQ$10,3))),IF(4=$E198,1E+099,IF(COUNTIF(Distance_Matrix!$E$10:$DQ$10,4)=0,1E+099,SUMIF(Distance_Matrix!$E$10:$DQ$10,4,Distance_Matrix!$E$66:$DQ$66)/COUNTIF(Distance_Matrix!$E$10:$DQ$10,4))))</f>
        <v>1.67558863891446</v>
      </c>
      <c r="I198" s="17" t="n">
        <f aca="false">IF(COUNTIF(Distance_Matrix!$E$10:$DQ$10,$E198)&lt;=1,0,(H198-G198)/MAX(G198,H198))</f>
        <v>0.506512091692321</v>
      </c>
      <c r="X198" s="17" t="n">
        <f aca="false">SQRT(($B198-X$139)^2+($C198-X$140)^2+($D198-X$141)^2)</f>
        <v>6.6457002194291</v>
      </c>
      <c r="Y198" s="17" t="n">
        <f aca="false">SQRT(($B198-Y$139)^2+($C198-Y$140)^2+($D198-Y$141)^2)</f>
        <v>2.40824220970061</v>
      </c>
      <c r="Z198" s="17" t="n">
        <f aca="false">SQRT(($B198-Z$139)^2+($C198-Z$140)^2+($D198-Z$141)^2)</f>
        <v>2.19675402888218</v>
      </c>
      <c r="AA198" s="17" t="n">
        <f aca="false">SQRT(($B198-AA$139)^2+($C198-AA$140)^2+($D198-AA$141)^2)</f>
        <v>1.15405107167602</v>
      </c>
      <c r="AB198" s="63" t="n">
        <f aca="false">MATCH(MIN(X198:AA198),X198:AA198,0)</f>
        <v>4</v>
      </c>
      <c r="AD198" s="17" t="n">
        <f aca="false">SQRT(($B198-AD$139)^2+($C198-AD$140)^2+($D198-AD$141)^2)</f>
        <v>5.65894380929124</v>
      </c>
      <c r="AE198" s="17" t="n">
        <f aca="false">SQRT(($B198-AE$139)^2+($C198-AE$140)^2+($D198-AE$141)^2)</f>
        <v>1.55640198504685</v>
      </c>
      <c r="AF198" s="17" t="n">
        <f aca="false">SQRT(($B198-AF$139)^2+($C198-AF$140)^2+($D198-AF$141)^2)</f>
        <v>1.74069446216795</v>
      </c>
      <c r="AG198" s="17" t="n">
        <f aca="false">SQRT(($B198-AG$139)^2+($C198-AG$140)^2+($D198-AG$141)^2)</f>
        <v>0.39124129755807</v>
      </c>
      <c r="AH198" s="63" t="n">
        <f aca="false">MATCH(MIN(AD198:AG198),AD198:AG198,0)</f>
        <v>4</v>
      </c>
      <c r="AJ198" s="17" t="n">
        <f aca="false">SQRT(($B198-AJ$139)^2+($C198-AJ$140)^2+($D198-AJ$141)^2)</f>
        <v>5.30906858142487</v>
      </c>
      <c r="AK198" s="17" t="n">
        <f aca="false">SQRT(($B198-AK$139)^2+($C198-AK$140)^2+($D198-AK$141)^2)</f>
        <v>1.57171931382958</v>
      </c>
      <c r="AL198" s="17" t="n">
        <f aca="false">SQRT(($B198-AL$139)^2+($C198-AL$140)^2+($D198-AL$141)^2)</f>
        <v>1.8159228553825</v>
      </c>
      <c r="AM198" s="17" t="n">
        <f aca="false">SQRT(($B198-AM$139)^2+($C198-AM$140)^2+($D198-AM$141)^2)</f>
        <v>0.324497641128603</v>
      </c>
      <c r="AN198" s="63" t="n">
        <f aca="false">MATCH(MIN(AJ198:AM198),AJ198:AM198,0)</f>
        <v>4</v>
      </c>
      <c r="AP198" s="17" t="n">
        <f aca="false">SQRT(($B198-AP$139)^2+($C198-AP$140)^2+($D198-AP$141)^2)</f>
        <v>5.02256979476676</v>
      </c>
      <c r="AQ198" s="17" t="n">
        <f aca="false">SQRT(($B198-AQ$139)^2+($C198-AQ$140)^2+($D198-AQ$141)^2)</f>
        <v>1.65465428770559</v>
      </c>
      <c r="AR198" s="17" t="n">
        <f aca="false">SQRT(($B198-AR$139)^2+($C198-AR$140)^2+($D198-AR$141)^2)</f>
        <v>1.76921608611788</v>
      </c>
      <c r="AS198" s="17" t="n">
        <f aca="false">SQRT(($B198-AS$139)^2+($C198-AS$140)^2+($D198-AS$141)^2)</f>
        <v>0.351860344074781</v>
      </c>
      <c r="AT198" s="63" t="n">
        <f aca="false">MATCH(MIN(AP198:AS198),AP198:AS198,0)</f>
        <v>4</v>
      </c>
      <c r="AV198" s="17" t="n">
        <f aca="false">SQRT(($B198-AV$139)^2+($C198-AV$140)^2+($D198-AV$141)^2)</f>
        <v>5.02256979476676</v>
      </c>
      <c r="AW198" s="17" t="n">
        <f aca="false">SQRT(($B198-AW$139)^2+($C198-AW$140)^2+($D198-AW$141)^2)</f>
        <v>1.65465428770559</v>
      </c>
      <c r="AX198" s="17" t="n">
        <f aca="false">SQRT(($B198-AX$139)^2+($C198-AX$140)^2+($D198-AX$141)^2)</f>
        <v>1.76921608611788</v>
      </c>
      <c r="AY198" s="17" t="n">
        <f aca="false">SQRT(($B198-AY$139)^2+($C198-AY$140)^2+($D198-AY$141)^2)</f>
        <v>0.351860344074781</v>
      </c>
      <c r="AZ198" s="63" t="n">
        <f aca="false">MATCH(MIN(AV198:AY198),AV198:AY198,0)</f>
        <v>4</v>
      </c>
      <c r="BB198" s="17" t="n">
        <f aca="false">SQRT(($B198-BB$139)^2+($C198-BB$140)^2+($D198-BB$141)^2)</f>
        <v>5.02256979476676</v>
      </c>
      <c r="BC198" s="17" t="n">
        <f aca="false">SQRT(($B198-BC$139)^2+($C198-BC$140)^2+($D198-BC$141)^2)</f>
        <v>1.65465428770559</v>
      </c>
      <c r="BD198" s="17" t="n">
        <f aca="false">SQRT(($B198-BD$139)^2+($C198-BD$140)^2+($D198-BD$141)^2)</f>
        <v>1.76921608611788</v>
      </c>
      <c r="BE198" s="17" t="n">
        <f aca="false">SQRT(($B198-BE$139)^2+($C198-BE$140)^2+($D198-BE$141)^2)</f>
        <v>0.351860344074781</v>
      </c>
      <c r="BF198" s="63" t="n">
        <f aca="false">MATCH(MIN(BB198:BE198),BB198:BE198,0)</f>
        <v>4</v>
      </c>
      <c r="BH198" s="17" t="n">
        <f aca="false">SQRT(($B198-BH$139)^2+($C198-BH$140)^2+($D198-BH$141)^2)</f>
        <v>5.02256979476676</v>
      </c>
      <c r="BI198" s="17" t="n">
        <f aca="false">SQRT(($B198-BI$139)^2+($C198-BI$140)^2+($D198-BI$141)^2)</f>
        <v>1.65465428770559</v>
      </c>
      <c r="BJ198" s="17" t="n">
        <f aca="false">SQRT(($B198-BJ$139)^2+($C198-BJ$140)^2+($D198-BJ$141)^2)</f>
        <v>1.76921608611788</v>
      </c>
      <c r="BK198" s="17" t="n">
        <f aca="false">SQRT(($B198-BK$139)^2+($C198-BK$140)^2+($D198-BK$141)^2)</f>
        <v>0.351860344074781</v>
      </c>
      <c r="BL198" s="63" t="n">
        <f aca="false">MATCH(MIN(BH198:BK198),BH198:BK198,0)</f>
        <v>4</v>
      </c>
      <c r="BN198" s="17" t="n">
        <f aca="false">SQRT(($B198-BN$139)^2+($C198-BN$140)^2+($D198-BN$141)^2)</f>
        <v>5.02256979476676</v>
      </c>
      <c r="BO198" s="17" t="n">
        <f aca="false">SQRT(($B198-BO$139)^2+($C198-BO$140)^2+($D198-BO$141)^2)</f>
        <v>1.65465428770559</v>
      </c>
      <c r="BP198" s="17" t="n">
        <f aca="false">SQRT(($B198-BP$139)^2+($C198-BP$140)^2+($D198-BP$141)^2)</f>
        <v>1.76921608611788</v>
      </c>
      <c r="BQ198" s="17" t="n">
        <f aca="false">SQRT(($B198-BQ$139)^2+($C198-BQ$140)^2+($D198-BQ$141)^2)</f>
        <v>0.351860344074781</v>
      </c>
      <c r="BR198" s="63" t="n">
        <f aca="false">MATCH(MIN(BN198:BQ198),BN198:BQ198,0)</f>
        <v>4</v>
      </c>
      <c r="BT198" s="17" t="n">
        <f aca="false">SQRT(($B198-BT$139)^2+($C198-BT$140)^2+($D198-BT$141)^2)</f>
        <v>5.02256979476676</v>
      </c>
      <c r="BU198" s="17" t="n">
        <f aca="false">SQRT(($B198-BU$139)^2+($C198-BU$140)^2+($D198-BU$141)^2)</f>
        <v>1.65465428770559</v>
      </c>
      <c r="BV198" s="17" t="n">
        <f aca="false">SQRT(($B198-BV$139)^2+($C198-BV$140)^2+($D198-BV$141)^2)</f>
        <v>1.76921608611788</v>
      </c>
      <c r="BW198" s="17" t="n">
        <f aca="false">SQRT(($B198-BW$139)^2+($C198-BW$140)^2+($D198-BW$141)^2)</f>
        <v>0.351860344074781</v>
      </c>
      <c r="BX198" s="63" t="n">
        <f aca="false">MATCH(MIN(BT198:BW198),BT198:BW198,0)</f>
        <v>4</v>
      </c>
      <c r="BZ198" s="17" t="n">
        <f aca="false">SQRT(($B198-BZ$139)^2+($C198-BZ$140)^2+($D198-BZ$141)^2)</f>
        <v>5.02256979476676</v>
      </c>
      <c r="CA198" s="17" t="n">
        <f aca="false">SQRT(($B198-CA$139)^2+($C198-CA$140)^2+($D198-CA$141)^2)</f>
        <v>1.65465428770559</v>
      </c>
      <c r="CB198" s="17" t="n">
        <f aca="false">SQRT(($B198-CB$139)^2+($C198-CB$140)^2+($D198-CB$141)^2)</f>
        <v>1.76921608611788</v>
      </c>
      <c r="CC198" s="17" t="n">
        <f aca="false">SQRT(($B198-CC$139)^2+($C198-CC$140)^2+($D198-CC$141)^2)</f>
        <v>0.351860344074781</v>
      </c>
      <c r="CD198" s="63" t="n">
        <f aca="false">MATCH(MIN(BZ198:CC198),BZ198:CC198,0)</f>
        <v>4</v>
      </c>
      <c r="CF198" s="17" t="n">
        <f aca="false">SQRT(($B198-CF$139)^2+($C198-CF$140)^2+($D198-CF$141)^2)</f>
        <v>5.02256979476676</v>
      </c>
      <c r="CG198" s="17" t="n">
        <f aca="false">SQRT(($B198-CG$139)^2+($C198-CG$140)^2+($D198-CG$141)^2)</f>
        <v>1.65465428770559</v>
      </c>
      <c r="CH198" s="17" t="n">
        <f aca="false">SQRT(($B198-CH$139)^2+($C198-CH$140)^2+($D198-CH$141)^2)</f>
        <v>1.76921608611788</v>
      </c>
      <c r="CI198" s="17" t="n">
        <f aca="false">SQRT(($B198-CI$139)^2+($C198-CI$140)^2+($D198-CI$141)^2)</f>
        <v>0.351860344074781</v>
      </c>
      <c r="CJ198" s="63" t="n">
        <f aca="false">MATCH(MIN(CF198:CI198),CF198:CI198,0)</f>
        <v>4</v>
      </c>
      <c r="CL198" s="17" t="n">
        <f aca="false">SQRT(($B198-CL$139)^2+($C198-CL$140)^2+($D198-CL$141)^2)</f>
        <v>5.02256979476676</v>
      </c>
      <c r="CM198" s="17" t="n">
        <f aca="false">SQRT(($B198-CM$139)^2+($C198-CM$140)^2+($D198-CM$141)^2)</f>
        <v>1.65465428770559</v>
      </c>
      <c r="CN198" s="17" t="n">
        <f aca="false">SQRT(($B198-CN$139)^2+($C198-CN$140)^2+($D198-CN$141)^2)</f>
        <v>1.76921608611788</v>
      </c>
      <c r="CO198" s="17" t="n">
        <f aca="false">SQRT(($B198-CO$139)^2+($C198-CO$140)^2+($D198-CO$141)^2)</f>
        <v>0.351860344074781</v>
      </c>
      <c r="CP198" s="63" t="n">
        <f aca="false">MATCH(MIN(CL198:CO198),CL198:CO198,0)</f>
        <v>4</v>
      </c>
    </row>
    <row r="199" customFormat="false" ht="15" hidden="false" customHeight="false" outlineLevel="0" collapsed="false">
      <c r="A199" s="36" t="str">
        <f aca="false">KMeans_Data!A58</f>
        <v>Astore</v>
      </c>
      <c r="B199" s="17" t="n">
        <f aca="false">KMeans_Data!H58</f>
        <v>0.131476411515176</v>
      </c>
      <c r="C199" s="17" t="n">
        <f aca="false">KMeans_Data!I58</f>
        <v>1.38107452085777</v>
      </c>
      <c r="D199" s="17" t="n">
        <f aca="false">KMeans_Data!J58</f>
        <v>0.774246840861612</v>
      </c>
      <c r="E199" s="63" t="n">
        <f aca="false">CP199</f>
        <v>3</v>
      </c>
      <c r="F199" s="38" t="n">
        <f aca="false">($B199-INDEX($L$139:$O$139,E199))^2+($C199-INDEX($L$140:$O$140,E199))^2+($D199-INDEX($L$141:$O$141,E199))^2</f>
        <v>0.84209060044829</v>
      </c>
      <c r="G199" s="17" t="n">
        <f aca="false">IF(COUNTIF(Distance_Matrix!$E$10:$DQ$10,$E199)&lt;=1,0,SUMIF(Distance_Matrix!$E$10:$DQ$10,$E199,Distance_Matrix!$E$67:$DQ$67)/(COUNTIF(Distance_Matrix!$E$10:$DQ$10,$E199)-1))</f>
        <v>1.16510389744397</v>
      </c>
      <c r="H199" s="17" t="n">
        <f aca="false">MIN(IF(1=$E199,1E+099,IF(COUNTIF(Distance_Matrix!$E$10:$DQ$10,1)=0,1E+099,SUMIF(Distance_Matrix!$E$10:$DQ$10,1,Distance_Matrix!$E$67:$DQ$67)/COUNTIF(Distance_Matrix!$E$10:$DQ$10,1))),IF(2=$E199,1E+099,IF(COUNTIF(Distance_Matrix!$E$10:$DQ$10,2)=0,1E+099,SUMIF(Distance_Matrix!$E$10:$DQ$10,2,Distance_Matrix!$E$67:$DQ$67)/COUNTIF(Distance_Matrix!$E$10:$DQ$10,2))),IF(3=$E199,1E+099,IF(COUNTIF(Distance_Matrix!$E$10:$DQ$10,3)=0,1E+099,SUMIF(Distance_Matrix!$E$10:$DQ$10,3,Distance_Matrix!$E$67:$DQ$67)/COUNTIF(Distance_Matrix!$E$10:$DQ$10,3))),IF(4=$E199,1E+099,IF(COUNTIF(Distance_Matrix!$E$10:$DQ$10,4)=0,1E+099,SUMIF(Distance_Matrix!$E$10:$DQ$10,4,Distance_Matrix!$E$67:$DQ$67)/COUNTIF(Distance_Matrix!$E$10:$DQ$10,4))))</f>
        <v>2.32720512602315</v>
      </c>
      <c r="I199" s="17" t="n">
        <f aca="false">IF(COUNTIF(Distance_Matrix!$E$10:$DQ$10,$E199)&lt;=1,0,(H199-G199)/MAX(G199,H199))</f>
        <v>0.499354876621916</v>
      </c>
      <c r="X199" s="17" t="n">
        <f aca="false">SQRT(($B199-X$139)^2+($C199-X$140)^2+($D199-X$141)^2)</f>
        <v>4.80457793575169</v>
      </c>
      <c r="Y199" s="17" t="n">
        <f aca="false">SQRT(($B199-Y$139)^2+($C199-Y$140)^2+($D199-Y$141)^2)</f>
        <v>3.57676348511696</v>
      </c>
      <c r="Z199" s="17" t="n">
        <f aca="false">SQRT(($B199-Z$139)^2+($C199-Z$140)^2+($D199-Z$141)^2)</f>
        <v>1.51987007841697</v>
      </c>
      <c r="AA199" s="17" t="n">
        <f aca="false">SQRT(($B199-AA$139)^2+($C199-AA$140)^2+($D199-AA$141)^2)</f>
        <v>2.50705797216509</v>
      </c>
      <c r="AB199" s="63" t="n">
        <f aca="false">MATCH(MIN(X199:AA199),X199:AA199,0)</f>
        <v>3</v>
      </c>
      <c r="AD199" s="17" t="n">
        <f aca="false">SQRT(($B199-AD$139)^2+($C199-AD$140)^2+($D199-AD$141)^2)</f>
        <v>3.82659181644329</v>
      </c>
      <c r="AE199" s="17" t="n">
        <f aca="false">SQRT(($B199-AE$139)^2+($C199-AE$140)^2+($D199-AE$141)^2)</f>
        <v>2.99115660200426</v>
      </c>
      <c r="AF199" s="17" t="n">
        <f aca="false">SQRT(($B199-AF$139)^2+($C199-AF$140)^2+($D199-AF$141)^2)</f>
        <v>0.940620741932895</v>
      </c>
      <c r="AG199" s="17" t="n">
        <f aca="false">SQRT(($B199-AG$139)^2+($C199-AG$140)^2+($D199-AG$141)^2)</f>
        <v>2.27920157336433</v>
      </c>
      <c r="AH199" s="63" t="n">
        <f aca="false">MATCH(MIN(AD199:AG199),AD199:AG199,0)</f>
        <v>3</v>
      </c>
      <c r="AJ199" s="17" t="n">
        <f aca="false">SQRT(($B199-AJ$139)^2+($C199-AJ$140)^2+($D199-AJ$141)^2)</f>
        <v>3.50859932021014</v>
      </c>
      <c r="AK199" s="17" t="n">
        <f aca="false">SQRT(($B199-AK$139)^2+($C199-AK$140)^2+($D199-AK$141)^2)</f>
        <v>3.01627535881467</v>
      </c>
      <c r="AL199" s="17" t="n">
        <f aca="false">SQRT(($B199-AL$139)^2+($C199-AL$140)^2+($D199-AL$141)^2)</f>
        <v>0.897391111554214</v>
      </c>
      <c r="AM199" s="17" t="n">
        <f aca="false">SQRT(($B199-AM$139)^2+($C199-AM$140)^2+($D199-AM$141)^2)</f>
        <v>2.21667503437169</v>
      </c>
      <c r="AN199" s="63" t="n">
        <f aca="false">MATCH(MIN(AJ199:AM199),AJ199:AM199,0)</f>
        <v>3</v>
      </c>
      <c r="AP199" s="17" t="n">
        <f aca="false">SQRT(($B199-AP$139)^2+($C199-AP$140)^2+($D199-AP$141)^2)</f>
        <v>3.21270309637666</v>
      </c>
      <c r="AQ199" s="17" t="n">
        <f aca="false">SQRT(($B199-AQ$139)^2+($C199-AQ$140)^2+($D199-AQ$141)^2)</f>
        <v>3.08772172169012</v>
      </c>
      <c r="AR199" s="17" t="n">
        <f aca="false">SQRT(($B199-AR$139)^2+($C199-AR$140)^2+($D199-AR$141)^2)</f>
        <v>0.917654946288794</v>
      </c>
      <c r="AS199" s="17" t="n">
        <f aca="false">SQRT(($B199-AS$139)^2+($C199-AS$140)^2+($D199-AS$141)^2)</f>
        <v>2.22655665651871</v>
      </c>
      <c r="AT199" s="63" t="n">
        <f aca="false">MATCH(MIN(AP199:AS199),AP199:AS199,0)</f>
        <v>3</v>
      </c>
      <c r="AV199" s="17" t="n">
        <f aca="false">SQRT(($B199-AV$139)^2+($C199-AV$140)^2+($D199-AV$141)^2)</f>
        <v>3.21270309637666</v>
      </c>
      <c r="AW199" s="17" t="n">
        <f aca="false">SQRT(($B199-AW$139)^2+($C199-AW$140)^2+($D199-AW$141)^2)</f>
        <v>3.08772172169012</v>
      </c>
      <c r="AX199" s="17" t="n">
        <f aca="false">SQRT(($B199-AX$139)^2+($C199-AX$140)^2+($D199-AX$141)^2)</f>
        <v>0.917654946288794</v>
      </c>
      <c r="AY199" s="17" t="n">
        <f aca="false">SQRT(($B199-AY$139)^2+($C199-AY$140)^2+($D199-AY$141)^2)</f>
        <v>2.22655665651871</v>
      </c>
      <c r="AZ199" s="63" t="n">
        <f aca="false">MATCH(MIN(AV199:AY199),AV199:AY199,0)</f>
        <v>3</v>
      </c>
      <c r="BB199" s="17" t="n">
        <f aca="false">SQRT(($B199-BB$139)^2+($C199-BB$140)^2+($D199-BB$141)^2)</f>
        <v>3.21270309637666</v>
      </c>
      <c r="BC199" s="17" t="n">
        <f aca="false">SQRT(($B199-BC$139)^2+($C199-BC$140)^2+($D199-BC$141)^2)</f>
        <v>3.08772172169012</v>
      </c>
      <c r="BD199" s="17" t="n">
        <f aca="false">SQRT(($B199-BD$139)^2+($C199-BD$140)^2+($D199-BD$141)^2)</f>
        <v>0.917654946288794</v>
      </c>
      <c r="BE199" s="17" t="n">
        <f aca="false">SQRT(($B199-BE$139)^2+($C199-BE$140)^2+($D199-BE$141)^2)</f>
        <v>2.22655665651871</v>
      </c>
      <c r="BF199" s="63" t="n">
        <f aca="false">MATCH(MIN(BB199:BE199),BB199:BE199,0)</f>
        <v>3</v>
      </c>
      <c r="BH199" s="17" t="n">
        <f aca="false">SQRT(($B199-BH$139)^2+($C199-BH$140)^2+($D199-BH$141)^2)</f>
        <v>3.21270309637666</v>
      </c>
      <c r="BI199" s="17" t="n">
        <f aca="false">SQRT(($B199-BI$139)^2+($C199-BI$140)^2+($D199-BI$141)^2)</f>
        <v>3.08772172169012</v>
      </c>
      <c r="BJ199" s="17" t="n">
        <f aca="false">SQRT(($B199-BJ$139)^2+($C199-BJ$140)^2+($D199-BJ$141)^2)</f>
        <v>0.917654946288794</v>
      </c>
      <c r="BK199" s="17" t="n">
        <f aca="false">SQRT(($B199-BK$139)^2+($C199-BK$140)^2+($D199-BK$141)^2)</f>
        <v>2.22655665651871</v>
      </c>
      <c r="BL199" s="63" t="n">
        <f aca="false">MATCH(MIN(BH199:BK199),BH199:BK199,0)</f>
        <v>3</v>
      </c>
      <c r="BN199" s="17" t="n">
        <f aca="false">SQRT(($B199-BN$139)^2+($C199-BN$140)^2+($D199-BN$141)^2)</f>
        <v>3.21270309637666</v>
      </c>
      <c r="BO199" s="17" t="n">
        <f aca="false">SQRT(($B199-BO$139)^2+($C199-BO$140)^2+($D199-BO$141)^2)</f>
        <v>3.08772172169012</v>
      </c>
      <c r="BP199" s="17" t="n">
        <f aca="false">SQRT(($B199-BP$139)^2+($C199-BP$140)^2+($D199-BP$141)^2)</f>
        <v>0.917654946288794</v>
      </c>
      <c r="BQ199" s="17" t="n">
        <f aca="false">SQRT(($B199-BQ$139)^2+($C199-BQ$140)^2+($D199-BQ$141)^2)</f>
        <v>2.22655665651871</v>
      </c>
      <c r="BR199" s="63" t="n">
        <f aca="false">MATCH(MIN(BN199:BQ199),BN199:BQ199,0)</f>
        <v>3</v>
      </c>
      <c r="BT199" s="17" t="n">
        <f aca="false">SQRT(($B199-BT$139)^2+($C199-BT$140)^2+($D199-BT$141)^2)</f>
        <v>3.21270309637666</v>
      </c>
      <c r="BU199" s="17" t="n">
        <f aca="false">SQRT(($B199-BU$139)^2+($C199-BU$140)^2+($D199-BU$141)^2)</f>
        <v>3.08772172169012</v>
      </c>
      <c r="BV199" s="17" t="n">
        <f aca="false">SQRT(($B199-BV$139)^2+($C199-BV$140)^2+($D199-BV$141)^2)</f>
        <v>0.917654946288794</v>
      </c>
      <c r="BW199" s="17" t="n">
        <f aca="false">SQRT(($B199-BW$139)^2+($C199-BW$140)^2+($D199-BW$141)^2)</f>
        <v>2.22655665651871</v>
      </c>
      <c r="BX199" s="63" t="n">
        <f aca="false">MATCH(MIN(BT199:BW199),BT199:BW199,0)</f>
        <v>3</v>
      </c>
      <c r="BZ199" s="17" t="n">
        <f aca="false">SQRT(($B199-BZ$139)^2+($C199-BZ$140)^2+($D199-BZ$141)^2)</f>
        <v>3.21270309637666</v>
      </c>
      <c r="CA199" s="17" t="n">
        <f aca="false">SQRT(($B199-CA$139)^2+($C199-CA$140)^2+($D199-CA$141)^2)</f>
        <v>3.08772172169012</v>
      </c>
      <c r="CB199" s="17" t="n">
        <f aca="false">SQRT(($B199-CB$139)^2+($C199-CB$140)^2+($D199-CB$141)^2)</f>
        <v>0.917654946288794</v>
      </c>
      <c r="CC199" s="17" t="n">
        <f aca="false">SQRT(($B199-CC$139)^2+($C199-CC$140)^2+($D199-CC$141)^2)</f>
        <v>2.22655665651871</v>
      </c>
      <c r="CD199" s="63" t="n">
        <f aca="false">MATCH(MIN(BZ199:CC199),BZ199:CC199,0)</f>
        <v>3</v>
      </c>
      <c r="CF199" s="17" t="n">
        <f aca="false">SQRT(($B199-CF$139)^2+($C199-CF$140)^2+($D199-CF$141)^2)</f>
        <v>3.21270309637666</v>
      </c>
      <c r="CG199" s="17" t="n">
        <f aca="false">SQRT(($B199-CG$139)^2+($C199-CG$140)^2+($D199-CG$141)^2)</f>
        <v>3.08772172169012</v>
      </c>
      <c r="CH199" s="17" t="n">
        <f aca="false">SQRT(($B199-CH$139)^2+($C199-CH$140)^2+($D199-CH$141)^2)</f>
        <v>0.917654946288794</v>
      </c>
      <c r="CI199" s="17" t="n">
        <f aca="false">SQRT(($B199-CI$139)^2+($C199-CI$140)^2+($D199-CI$141)^2)</f>
        <v>2.22655665651871</v>
      </c>
      <c r="CJ199" s="63" t="n">
        <f aca="false">MATCH(MIN(CF199:CI199),CF199:CI199,0)</f>
        <v>3</v>
      </c>
      <c r="CL199" s="17" t="n">
        <f aca="false">SQRT(($B199-CL$139)^2+($C199-CL$140)^2+($D199-CL$141)^2)</f>
        <v>3.21270309637666</v>
      </c>
      <c r="CM199" s="17" t="n">
        <f aca="false">SQRT(($B199-CM$139)^2+($C199-CM$140)^2+($D199-CM$141)^2)</f>
        <v>3.08772172169012</v>
      </c>
      <c r="CN199" s="17" t="n">
        <f aca="false">SQRT(($B199-CN$139)^2+($C199-CN$140)^2+($D199-CN$141)^2)</f>
        <v>0.917654946288794</v>
      </c>
      <c r="CO199" s="17" t="n">
        <f aca="false">SQRT(($B199-CO$139)^2+($C199-CO$140)^2+($D199-CO$141)^2)</f>
        <v>2.22655665651871</v>
      </c>
      <c r="CP199" s="63" t="n">
        <f aca="false">MATCH(MIN(CL199:CO199),CL199:CO199,0)</f>
        <v>3</v>
      </c>
    </row>
    <row r="200" customFormat="false" ht="15" hidden="false" customHeight="false" outlineLevel="0" collapsed="false">
      <c r="A200" s="36" t="str">
        <f aca="false">KMeans_Data!A59</f>
        <v>Sanghar</v>
      </c>
      <c r="B200" s="17" t="n">
        <f aca="false">KMeans_Data!H59</f>
        <v>0.100851695433816</v>
      </c>
      <c r="C200" s="17" t="n">
        <f aca="false">KMeans_Data!I59</f>
        <v>-0.146983133929529</v>
      </c>
      <c r="D200" s="17" t="n">
        <f aca="false">KMeans_Data!J59</f>
        <v>0.618328666074444</v>
      </c>
      <c r="E200" s="63" t="n">
        <f aca="false">CP200</f>
        <v>3</v>
      </c>
      <c r="F200" s="38" t="n">
        <f aca="false">($B200-INDEX($L$139:$O$139,E200))^2+($C200-INDEX($L$140:$O$140,E200))^2+($D200-INDEX($L$141:$O$141,E200))^2</f>
        <v>0.928039227193256</v>
      </c>
      <c r="G200" s="17" t="n">
        <f aca="false">IF(COUNTIF(Distance_Matrix!$E$10:$DQ$10,$E200)&lt;=1,0,SUMIF(Distance_Matrix!$E$10:$DQ$10,$E200,Distance_Matrix!$E$68:$DQ$68)/(COUNTIF(Distance_Matrix!$E$10:$DQ$10,$E200)-1))</f>
        <v>1.15876553952598</v>
      </c>
      <c r="H200" s="17" t="n">
        <f aca="false">MIN(IF(1=$E200,1E+099,IF(COUNTIF(Distance_Matrix!$E$10:$DQ$10,1)=0,1E+099,SUMIF(Distance_Matrix!$E$10:$DQ$10,1,Distance_Matrix!$E$68:$DQ$68)/COUNTIF(Distance_Matrix!$E$10:$DQ$10,1))),IF(2=$E200,1E+099,IF(COUNTIF(Distance_Matrix!$E$10:$DQ$10,2)=0,1E+099,SUMIF(Distance_Matrix!$E$10:$DQ$10,2,Distance_Matrix!$E$68:$DQ$68)/COUNTIF(Distance_Matrix!$E$10:$DQ$10,2))),IF(3=$E200,1E+099,IF(COUNTIF(Distance_Matrix!$E$10:$DQ$10,3)=0,1E+099,SUMIF(Distance_Matrix!$E$10:$DQ$10,3,Distance_Matrix!$E$68:$DQ$68)/COUNTIF(Distance_Matrix!$E$10:$DQ$10,3))),IF(4=$E200,1E+099,IF(COUNTIF(Distance_Matrix!$E$10:$DQ$10,4)=0,1E+099,SUMIF(Distance_Matrix!$E$10:$DQ$10,4,Distance_Matrix!$E$68:$DQ$68)/COUNTIF(Distance_Matrix!$E$10:$DQ$10,4))))</f>
        <v>1.24909137248673</v>
      </c>
      <c r="I200" s="17" t="n">
        <f aca="false">IF(COUNTIF(Distance_Matrix!$E$10:$DQ$10,$E200)&lt;=1,0,(H200-G200)/MAX(G200,H200))</f>
        <v>0.0723132310016067</v>
      </c>
      <c r="X200" s="17" t="n">
        <f aca="false">SQRT(($B200-X$139)^2+($C200-X$140)^2+($D200-X$141)^2)</f>
        <v>5.87639549417765</v>
      </c>
      <c r="Y200" s="17" t="n">
        <f aca="false">SQRT(($B200-Y$139)^2+($C200-Y$140)^2+($D200-Y$141)^2)</f>
        <v>2.85357627285817</v>
      </c>
      <c r="Z200" s="17" t="n">
        <f aca="false">SQRT(($B200-Z$139)^2+($C200-Z$140)^2+($D200-Z$141)^2)</f>
        <v>1.37089904037788</v>
      </c>
      <c r="AA200" s="17" t="n">
        <f aca="false">SQRT(($B200-AA$139)^2+($C200-AA$140)^2+($D200-AA$141)^2)</f>
        <v>1.8461934608515</v>
      </c>
      <c r="AB200" s="63" t="n">
        <f aca="false">MATCH(MIN(X200:AA200),X200:AA200,0)</f>
        <v>3</v>
      </c>
      <c r="AD200" s="17" t="n">
        <f aca="false">SQRT(($B200-AD$139)^2+($C200-AD$140)^2+($D200-AD$141)^2)</f>
        <v>4.92097330813365</v>
      </c>
      <c r="AE200" s="17" t="n">
        <f aca="false">SQRT(($B200-AE$139)^2+($C200-AE$140)^2+($D200-AE$141)^2)</f>
        <v>2.11448419382801</v>
      </c>
      <c r="AF200" s="17" t="n">
        <f aca="false">SQRT(($B200-AF$139)^2+($C200-AF$140)^2+($D200-AF$141)^2)</f>
        <v>0.921399507355617</v>
      </c>
      <c r="AG200" s="17" t="n">
        <f aca="false">SQRT(($B200-AG$139)^2+($C200-AG$140)^2+($D200-AG$141)^2)</f>
        <v>1.19406100365406</v>
      </c>
      <c r="AH200" s="63" t="n">
        <f aca="false">MATCH(MIN(AD200:AG200),AD200:AG200,0)</f>
        <v>3</v>
      </c>
      <c r="AJ200" s="17" t="n">
        <f aca="false">SQRT(($B200-AJ$139)^2+($C200-AJ$140)^2+($D200-AJ$141)^2)</f>
        <v>4.57622857579577</v>
      </c>
      <c r="AK200" s="17" t="n">
        <f aca="false">SQRT(($B200-AK$139)^2+($C200-AK$140)^2+($D200-AK$141)^2)</f>
        <v>2.14633771665417</v>
      </c>
      <c r="AL200" s="17" t="n">
        <f aca="false">SQRT(($B200-AL$139)^2+($C200-AL$140)^2+($D200-AL$141)^2)</f>
        <v>1.01348042175609</v>
      </c>
      <c r="AM200" s="17" t="n">
        <f aca="false">SQRT(($B200-AM$139)^2+($C200-AM$140)^2+($D200-AM$141)^2)</f>
        <v>1.0766473891995</v>
      </c>
      <c r="AN200" s="63" t="n">
        <f aca="false">MATCH(MIN(AJ200:AM200),AJ200:AM200,0)</f>
        <v>3</v>
      </c>
      <c r="AP200" s="17" t="n">
        <f aca="false">SQRT(($B200-AP$139)^2+($C200-AP$140)^2+($D200-AP$141)^2)</f>
        <v>4.28828381902523</v>
      </c>
      <c r="AQ200" s="17" t="n">
        <f aca="false">SQRT(($B200-AQ$139)^2+($C200-AQ$140)^2+($D200-AQ$141)^2)</f>
        <v>2.24040828342613</v>
      </c>
      <c r="AR200" s="17" t="n">
        <f aca="false">SQRT(($B200-AR$139)^2+($C200-AR$140)^2+($D200-AR$141)^2)</f>
        <v>0.963347926345023</v>
      </c>
      <c r="AS200" s="17" t="n">
        <f aca="false">SQRT(($B200-AS$139)^2+($C200-AS$140)^2+($D200-AS$141)^2)</f>
        <v>1.08163538417565</v>
      </c>
      <c r="AT200" s="63" t="n">
        <f aca="false">MATCH(MIN(AP200:AS200),AP200:AS200,0)</f>
        <v>3</v>
      </c>
      <c r="AV200" s="17" t="n">
        <f aca="false">SQRT(($B200-AV$139)^2+($C200-AV$140)^2+($D200-AV$141)^2)</f>
        <v>4.28828381902523</v>
      </c>
      <c r="AW200" s="17" t="n">
        <f aca="false">SQRT(($B200-AW$139)^2+($C200-AW$140)^2+($D200-AW$141)^2)</f>
        <v>2.24040828342613</v>
      </c>
      <c r="AX200" s="17" t="n">
        <f aca="false">SQRT(($B200-AX$139)^2+($C200-AX$140)^2+($D200-AX$141)^2)</f>
        <v>0.963347926345023</v>
      </c>
      <c r="AY200" s="17" t="n">
        <f aca="false">SQRT(($B200-AY$139)^2+($C200-AY$140)^2+($D200-AY$141)^2)</f>
        <v>1.08163538417565</v>
      </c>
      <c r="AZ200" s="63" t="n">
        <f aca="false">MATCH(MIN(AV200:AY200),AV200:AY200,0)</f>
        <v>3</v>
      </c>
      <c r="BB200" s="17" t="n">
        <f aca="false">SQRT(($B200-BB$139)^2+($C200-BB$140)^2+($D200-BB$141)^2)</f>
        <v>4.28828381902523</v>
      </c>
      <c r="BC200" s="17" t="n">
        <f aca="false">SQRT(($B200-BC$139)^2+($C200-BC$140)^2+($D200-BC$141)^2)</f>
        <v>2.24040828342613</v>
      </c>
      <c r="BD200" s="17" t="n">
        <f aca="false">SQRT(($B200-BD$139)^2+($C200-BD$140)^2+($D200-BD$141)^2)</f>
        <v>0.963347926345023</v>
      </c>
      <c r="BE200" s="17" t="n">
        <f aca="false">SQRT(($B200-BE$139)^2+($C200-BE$140)^2+($D200-BE$141)^2)</f>
        <v>1.08163538417565</v>
      </c>
      <c r="BF200" s="63" t="n">
        <f aca="false">MATCH(MIN(BB200:BE200),BB200:BE200,0)</f>
        <v>3</v>
      </c>
      <c r="BH200" s="17" t="n">
        <f aca="false">SQRT(($B200-BH$139)^2+($C200-BH$140)^2+($D200-BH$141)^2)</f>
        <v>4.28828381902523</v>
      </c>
      <c r="BI200" s="17" t="n">
        <f aca="false">SQRT(($B200-BI$139)^2+($C200-BI$140)^2+($D200-BI$141)^2)</f>
        <v>2.24040828342613</v>
      </c>
      <c r="BJ200" s="17" t="n">
        <f aca="false">SQRT(($B200-BJ$139)^2+($C200-BJ$140)^2+($D200-BJ$141)^2)</f>
        <v>0.963347926345023</v>
      </c>
      <c r="BK200" s="17" t="n">
        <f aca="false">SQRT(($B200-BK$139)^2+($C200-BK$140)^2+($D200-BK$141)^2)</f>
        <v>1.08163538417565</v>
      </c>
      <c r="BL200" s="63" t="n">
        <f aca="false">MATCH(MIN(BH200:BK200),BH200:BK200,0)</f>
        <v>3</v>
      </c>
      <c r="BN200" s="17" t="n">
        <f aca="false">SQRT(($B200-BN$139)^2+($C200-BN$140)^2+($D200-BN$141)^2)</f>
        <v>4.28828381902523</v>
      </c>
      <c r="BO200" s="17" t="n">
        <f aca="false">SQRT(($B200-BO$139)^2+($C200-BO$140)^2+($D200-BO$141)^2)</f>
        <v>2.24040828342613</v>
      </c>
      <c r="BP200" s="17" t="n">
        <f aca="false">SQRT(($B200-BP$139)^2+($C200-BP$140)^2+($D200-BP$141)^2)</f>
        <v>0.963347926345023</v>
      </c>
      <c r="BQ200" s="17" t="n">
        <f aca="false">SQRT(($B200-BQ$139)^2+($C200-BQ$140)^2+($D200-BQ$141)^2)</f>
        <v>1.08163538417565</v>
      </c>
      <c r="BR200" s="63" t="n">
        <f aca="false">MATCH(MIN(BN200:BQ200),BN200:BQ200,0)</f>
        <v>3</v>
      </c>
      <c r="BT200" s="17" t="n">
        <f aca="false">SQRT(($B200-BT$139)^2+($C200-BT$140)^2+($D200-BT$141)^2)</f>
        <v>4.28828381902523</v>
      </c>
      <c r="BU200" s="17" t="n">
        <f aca="false">SQRT(($B200-BU$139)^2+($C200-BU$140)^2+($D200-BU$141)^2)</f>
        <v>2.24040828342613</v>
      </c>
      <c r="BV200" s="17" t="n">
        <f aca="false">SQRT(($B200-BV$139)^2+($C200-BV$140)^2+($D200-BV$141)^2)</f>
        <v>0.963347926345023</v>
      </c>
      <c r="BW200" s="17" t="n">
        <f aca="false">SQRT(($B200-BW$139)^2+($C200-BW$140)^2+($D200-BW$141)^2)</f>
        <v>1.08163538417565</v>
      </c>
      <c r="BX200" s="63" t="n">
        <f aca="false">MATCH(MIN(BT200:BW200),BT200:BW200,0)</f>
        <v>3</v>
      </c>
      <c r="BZ200" s="17" t="n">
        <f aca="false">SQRT(($B200-BZ$139)^2+($C200-BZ$140)^2+($D200-BZ$141)^2)</f>
        <v>4.28828381902523</v>
      </c>
      <c r="CA200" s="17" t="n">
        <f aca="false">SQRT(($B200-CA$139)^2+($C200-CA$140)^2+($D200-CA$141)^2)</f>
        <v>2.24040828342613</v>
      </c>
      <c r="CB200" s="17" t="n">
        <f aca="false">SQRT(($B200-CB$139)^2+($C200-CB$140)^2+($D200-CB$141)^2)</f>
        <v>0.963347926345023</v>
      </c>
      <c r="CC200" s="17" t="n">
        <f aca="false">SQRT(($B200-CC$139)^2+($C200-CC$140)^2+($D200-CC$141)^2)</f>
        <v>1.08163538417565</v>
      </c>
      <c r="CD200" s="63" t="n">
        <f aca="false">MATCH(MIN(BZ200:CC200),BZ200:CC200,0)</f>
        <v>3</v>
      </c>
      <c r="CF200" s="17" t="n">
        <f aca="false">SQRT(($B200-CF$139)^2+($C200-CF$140)^2+($D200-CF$141)^2)</f>
        <v>4.28828381902523</v>
      </c>
      <c r="CG200" s="17" t="n">
        <f aca="false">SQRT(($B200-CG$139)^2+($C200-CG$140)^2+($D200-CG$141)^2)</f>
        <v>2.24040828342613</v>
      </c>
      <c r="CH200" s="17" t="n">
        <f aca="false">SQRT(($B200-CH$139)^2+($C200-CH$140)^2+($D200-CH$141)^2)</f>
        <v>0.963347926345023</v>
      </c>
      <c r="CI200" s="17" t="n">
        <f aca="false">SQRT(($B200-CI$139)^2+($C200-CI$140)^2+($D200-CI$141)^2)</f>
        <v>1.08163538417565</v>
      </c>
      <c r="CJ200" s="63" t="n">
        <f aca="false">MATCH(MIN(CF200:CI200),CF200:CI200,0)</f>
        <v>3</v>
      </c>
      <c r="CL200" s="17" t="n">
        <f aca="false">SQRT(($B200-CL$139)^2+($C200-CL$140)^2+($D200-CL$141)^2)</f>
        <v>4.28828381902523</v>
      </c>
      <c r="CM200" s="17" t="n">
        <f aca="false">SQRT(($B200-CM$139)^2+($C200-CM$140)^2+($D200-CM$141)^2)</f>
        <v>2.24040828342613</v>
      </c>
      <c r="CN200" s="17" t="n">
        <f aca="false">SQRT(($B200-CN$139)^2+($C200-CN$140)^2+($D200-CN$141)^2)</f>
        <v>0.963347926345023</v>
      </c>
      <c r="CO200" s="17" t="n">
        <f aca="false">SQRT(($B200-CO$139)^2+($C200-CO$140)^2+($D200-CO$141)^2)</f>
        <v>1.08163538417565</v>
      </c>
      <c r="CP200" s="63" t="n">
        <f aca="false">MATCH(MIN(CL200:CO200),CL200:CO200,0)</f>
        <v>3</v>
      </c>
    </row>
    <row r="201" customFormat="false" ht="15" hidden="false" customHeight="false" outlineLevel="0" collapsed="false">
      <c r="A201" s="36" t="str">
        <f aca="false">KMeans_Data!A60</f>
        <v>Bhakkar</v>
      </c>
      <c r="B201" s="17" t="n">
        <f aca="false">KMeans_Data!H60</f>
        <v>0.0848359697065613</v>
      </c>
      <c r="C201" s="17" t="n">
        <f aca="false">KMeans_Data!I60</f>
        <v>-0.672650545388274</v>
      </c>
      <c r="D201" s="17" t="n">
        <f aca="false">KMeans_Data!J60</f>
        <v>-1.14564411633355</v>
      </c>
      <c r="E201" s="63" t="n">
        <f aca="false">CP201</f>
        <v>4</v>
      </c>
      <c r="F201" s="38" t="n">
        <f aca="false">($B201-INDEX($L$139:$O$139,E201))^2+($C201-INDEX($L$140:$O$140,E201))^2+($D201-INDEX($L$141:$O$141,E201))^2</f>
        <v>0.666446123961315</v>
      </c>
      <c r="G201" s="17" t="n">
        <f aca="false">IF(COUNTIF(Distance_Matrix!$E$10:$DQ$10,$E201)&lt;=1,0,SUMIF(Distance_Matrix!$E$10:$DQ$10,$E201,Distance_Matrix!$E$69:$DQ$69)/(COUNTIF(Distance_Matrix!$E$10:$DQ$10,$E201)-1))</f>
        <v>1.02405795746879</v>
      </c>
      <c r="H201" s="17" t="n">
        <f aca="false">MIN(IF(1=$E201,1E+099,IF(COUNTIF(Distance_Matrix!$E$10:$DQ$10,1)=0,1E+099,SUMIF(Distance_Matrix!$E$10:$DQ$10,1,Distance_Matrix!$E$69:$DQ$69)/COUNTIF(Distance_Matrix!$E$10:$DQ$10,1))),IF(2=$E201,1E+099,IF(COUNTIF(Distance_Matrix!$E$10:$DQ$10,2)=0,1E+099,SUMIF(Distance_Matrix!$E$10:$DQ$10,2,Distance_Matrix!$E$69:$DQ$69)/COUNTIF(Distance_Matrix!$E$10:$DQ$10,2))),IF(3=$E201,1E+099,IF(COUNTIF(Distance_Matrix!$E$10:$DQ$10,3)=0,1E+099,SUMIF(Distance_Matrix!$E$10:$DQ$10,3,Distance_Matrix!$E$69:$DQ$69)/COUNTIF(Distance_Matrix!$E$10:$DQ$10,3))),IF(4=$E201,1E+099,IF(COUNTIF(Distance_Matrix!$E$10:$DQ$10,4)=0,1E+099,SUMIF(Distance_Matrix!$E$10:$DQ$10,4,Distance_Matrix!$E$69:$DQ$69)/COUNTIF(Distance_Matrix!$E$10:$DQ$10,4))))</f>
        <v>1.38360847105031</v>
      </c>
      <c r="I201" s="17" t="n">
        <f aca="false">IF(COUNTIF(Distance_Matrix!$E$10:$DQ$10,$E201)&lt;=1,0,(H201-G201)/MAX(G201,H201))</f>
        <v>0.259864348263631</v>
      </c>
      <c r="X201" s="17" t="n">
        <f aca="false">SQRT(($B201-X$139)^2+($C201-X$140)^2+($D201-X$141)^2)</f>
        <v>7.19142094483798</v>
      </c>
      <c r="Y201" s="17" t="n">
        <f aca="false">SQRT(($B201-Y$139)^2+($C201-Y$140)^2+($D201-Y$141)^2)</f>
        <v>2.16457395150989</v>
      </c>
      <c r="Z201" s="17" t="n">
        <f aca="false">SQRT(($B201-Z$139)^2+($C201-Z$140)^2+($D201-Z$141)^2)</f>
        <v>2.97594925599832</v>
      </c>
      <c r="AA201" s="17" t="n">
        <f aca="false">SQRT(($B201-AA$139)^2+($C201-AA$140)^2+($D201-AA$141)^2)</f>
        <v>0.768677089421903</v>
      </c>
      <c r="AB201" s="63" t="n">
        <f aca="false">MATCH(MIN(X201:AA201),X201:AA201,0)</f>
        <v>4</v>
      </c>
      <c r="AD201" s="17" t="n">
        <f aca="false">SQRT(($B201-AD$139)^2+($C201-AD$140)^2+($D201-AD$141)^2)</f>
        <v>6.17487002249323</v>
      </c>
      <c r="AE201" s="17" t="n">
        <f aca="false">SQRT(($B201-AE$139)^2+($C201-AE$140)^2+($D201-AE$141)^2)</f>
        <v>1.34257261819278</v>
      </c>
      <c r="AF201" s="17" t="n">
        <f aca="false">SQRT(($B201-AF$139)^2+($C201-AF$140)^2+($D201-AF$141)^2)</f>
        <v>2.43647826545394</v>
      </c>
      <c r="AG201" s="17" t="n">
        <f aca="false">SQRT(($B201-AG$139)^2+($C201-AG$140)^2+($D201-AG$141)^2)</f>
        <v>0.674033358416991</v>
      </c>
      <c r="AH201" s="63" t="n">
        <f aca="false">MATCH(MIN(AD201:AG201),AD201:AG201,0)</f>
        <v>4</v>
      </c>
      <c r="AJ201" s="17" t="n">
        <f aca="false">SQRT(($B201-AJ$139)^2+($C201-AJ$140)^2+($D201-AJ$141)^2)</f>
        <v>5.83002840566221</v>
      </c>
      <c r="AK201" s="17" t="n">
        <f aca="false">SQRT(($B201-AK$139)^2+($C201-AK$140)^2+($D201-AK$141)^2)</f>
        <v>1.32693055732211</v>
      </c>
      <c r="AL201" s="17" t="n">
        <f aca="false">SQRT(($B201-AL$139)^2+($C201-AL$140)^2+($D201-AL$141)^2)</f>
        <v>2.49352869737275</v>
      </c>
      <c r="AM201" s="17" t="n">
        <f aca="false">SQRT(($B201-AM$139)^2+($C201-AM$140)^2+($D201-AM$141)^2)</f>
        <v>0.79979479147468</v>
      </c>
      <c r="AN201" s="63" t="n">
        <f aca="false">MATCH(MIN(AJ201:AM201),AJ201:AM201,0)</f>
        <v>4</v>
      </c>
      <c r="AP201" s="17" t="n">
        <f aca="false">SQRT(($B201-AP$139)^2+($C201-AP$140)^2+($D201-AP$141)^2)</f>
        <v>5.54401743520499</v>
      </c>
      <c r="AQ201" s="17" t="n">
        <f aca="false">SQRT(($B201-AQ$139)^2+($C201-AQ$140)^2+($D201-AQ$141)^2)</f>
        <v>1.36486195620195</v>
      </c>
      <c r="AR201" s="17" t="n">
        <f aca="false">SQRT(($B201-AR$139)^2+($C201-AR$140)^2+($D201-AR$141)^2)</f>
        <v>2.45353791266897</v>
      </c>
      <c r="AS201" s="17" t="n">
        <f aca="false">SQRT(($B201-AS$139)^2+($C201-AS$140)^2+($D201-AS$141)^2)</f>
        <v>0.816361515482764</v>
      </c>
      <c r="AT201" s="63" t="n">
        <f aca="false">MATCH(MIN(AP201:AS201),AP201:AS201,0)</f>
        <v>4</v>
      </c>
      <c r="AV201" s="17" t="n">
        <f aca="false">SQRT(($B201-AV$139)^2+($C201-AV$140)^2+($D201-AV$141)^2)</f>
        <v>5.54401743520499</v>
      </c>
      <c r="AW201" s="17" t="n">
        <f aca="false">SQRT(($B201-AW$139)^2+($C201-AW$140)^2+($D201-AW$141)^2)</f>
        <v>1.36486195620195</v>
      </c>
      <c r="AX201" s="17" t="n">
        <f aca="false">SQRT(($B201-AX$139)^2+($C201-AX$140)^2+($D201-AX$141)^2)</f>
        <v>2.45353791266897</v>
      </c>
      <c r="AY201" s="17" t="n">
        <f aca="false">SQRT(($B201-AY$139)^2+($C201-AY$140)^2+($D201-AY$141)^2)</f>
        <v>0.816361515482764</v>
      </c>
      <c r="AZ201" s="63" t="n">
        <f aca="false">MATCH(MIN(AV201:AY201),AV201:AY201,0)</f>
        <v>4</v>
      </c>
      <c r="BB201" s="17" t="n">
        <f aca="false">SQRT(($B201-BB$139)^2+($C201-BB$140)^2+($D201-BB$141)^2)</f>
        <v>5.54401743520499</v>
      </c>
      <c r="BC201" s="17" t="n">
        <f aca="false">SQRT(($B201-BC$139)^2+($C201-BC$140)^2+($D201-BC$141)^2)</f>
        <v>1.36486195620195</v>
      </c>
      <c r="BD201" s="17" t="n">
        <f aca="false">SQRT(($B201-BD$139)^2+($C201-BD$140)^2+($D201-BD$141)^2)</f>
        <v>2.45353791266897</v>
      </c>
      <c r="BE201" s="17" t="n">
        <f aca="false">SQRT(($B201-BE$139)^2+($C201-BE$140)^2+($D201-BE$141)^2)</f>
        <v>0.816361515482764</v>
      </c>
      <c r="BF201" s="63" t="n">
        <f aca="false">MATCH(MIN(BB201:BE201),BB201:BE201,0)</f>
        <v>4</v>
      </c>
      <c r="BH201" s="17" t="n">
        <f aca="false">SQRT(($B201-BH$139)^2+($C201-BH$140)^2+($D201-BH$141)^2)</f>
        <v>5.54401743520499</v>
      </c>
      <c r="BI201" s="17" t="n">
        <f aca="false">SQRT(($B201-BI$139)^2+($C201-BI$140)^2+($D201-BI$141)^2)</f>
        <v>1.36486195620195</v>
      </c>
      <c r="BJ201" s="17" t="n">
        <f aca="false">SQRT(($B201-BJ$139)^2+($C201-BJ$140)^2+($D201-BJ$141)^2)</f>
        <v>2.45353791266897</v>
      </c>
      <c r="BK201" s="17" t="n">
        <f aca="false">SQRT(($B201-BK$139)^2+($C201-BK$140)^2+($D201-BK$141)^2)</f>
        <v>0.816361515482764</v>
      </c>
      <c r="BL201" s="63" t="n">
        <f aca="false">MATCH(MIN(BH201:BK201),BH201:BK201,0)</f>
        <v>4</v>
      </c>
      <c r="BN201" s="17" t="n">
        <f aca="false">SQRT(($B201-BN$139)^2+($C201-BN$140)^2+($D201-BN$141)^2)</f>
        <v>5.54401743520499</v>
      </c>
      <c r="BO201" s="17" t="n">
        <f aca="false">SQRT(($B201-BO$139)^2+($C201-BO$140)^2+($D201-BO$141)^2)</f>
        <v>1.36486195620195</v>
      </c>
      <c r="BP201" s="17" t="n">
        <f aca="false">SQRT(($B201-BP$139)^2+($C201-BP$140)^2+($D201-BP$141)^2)</f>
        <v>2.45353791266897</v>
      </c>
      <c r="BQ201" s="17" t="n">
        <f aca="false">SQRT(($B201-BQ$139)^2+($C201-BQ$140)^2+($D201-BQ$141)^2)</f>
        <v>0.816361515482764</v>
      </c>
      <c r="BR201" s="63" t="n">
        <f aca="false">MATCH(MIN(BN201:BQ201),BN201:BQ201,0)</f>
        <v>4</v>
      </c>
      <c r="BT201" s="17" t="n">
        <f aca="false">SQRT(($B201-BT$139)^2+($C201-BT$140)^2+($D201-BT$141)^2)</f>
        <v>5.54401743520499</v>
      </c>
      <c r="BU201" s="17" t="n">
        <f aca="false">SQRT(($B201-BU$139)^2+($C201-BU$140)^2+($D201-BU$141)^2)</f>
        <v>1.36486195620195</v>
      </c>
      <c r="BV201" s="17" t="n">
        <f aca="false">SQRT(($B201-BV$139)^2+($C201-BV$140)^2+($D201-BV$141)^2)</f>
        <v>2.45353791266897</v>
      </c>
      <c r="BW201" s="17" t="n">
        <f aca="false">SQRT(($B201-BW$139)^2+($C201-BW$140)^2+($D201-BW$141)^2)</f>
        <v>0.816361515482764</v>
      </c>
      <c r="BX201" s="63" t="n">
        <f aca="false">MATCH(MIN(BT201:BW201),BT201:BW201,0)</f>
        <v>4</v>
      </c>
      <c r="BZ201" s="17" t="n">
        <f aca="false">SQRT(($B201-BZ$139)^2+($C201-BZ$140)^2+($D201-BZ$141)^2)</f>
        <v>5.54401743520499</v>
      </c>
      <c r="CA201" s="17" t="n">
        <f aca="false">SQRT(($B201-CA$139)^2+($C201-CA$140)^2+($D201-CA$141)^2)</f>
        <v>1.36486195620195</v>
      </c>
      <c r="CB201" s="17" t="n">
        <f aca="false">SQRT(($B201-CB$139)^2+($C201-CB$140)^2+($D201-CB$141)^2)</f>
        <v>2.45353791266897</v>
      </c>
      <c r="CC201" s="17" t="n">
        <f aca="false">SQRT(($B201-CC$139)^2+($C201-CC$140)^2+($D201-CC$141)^2)</f>
        <v>0.816361515482764</v>
      </c>
      <c r="CD201" s="63" t="n">
        <f aca="false">MATCH(MIN(BZ201:CC201),BZ201:CC201,0)</f>
        <v>4</v>
      </c>
      <c r="CF201" s="17" t="n">
        <f aca="false">SQRT(($B201-CF$139)^2+($C201-CF$140)^2+($D201-CF$141)^2)</f>
        <v>5.54401743520499</v>
      </c>
      <c r="CG201" s="17" t="n">
        <f aca="false">SQRT(($B201-CG$139)^2+($C201-CG$140)^2+($D201-CG$141)^2)</f>
        <v>1.36486195620195</v>
      </c>
      <c r="CH201" s="17" t="n">
        <f aca="false">SQRT(($B201-CH$139)^2+($C201-CH$140)^2+($D201-CH$141)^2)</f>
        <v>2.45353791266897</v>
      </c>
      <c r="CI201" s="17" t="n">
        <f aca="false">SQRT(($B201-CI$139)^2+($C201-CI$140)^2+($D201-CI$141)^2)</f>
        <v>0.816361515482764</v>
      </c>
      <c r="CJ201" s="63" t="n">
        <f aca="false">MATCH(MIN(CF201:CI201),CF201:CI201,0)</f>
        <v>4</v>
      </c>
      <c r="CL201" s="17" t="n">
        <f aca="false">SQRT(($B201-CL$139)^2+($C201-CL$140)^2+($D201-CL$141)^2)</f>
        <v>5.54401743520499</v>
      </c>
      <c r="CM201" s="17" t="n">
        <f aca="false">SQRT(($B201-CM$139)^2+($C201-CM$140)^2+($D201-CM$141)^2)</f>
        <v>1.36486195620195</v>
      </c>
      <c r="CN201" s="17" t="n">
        <f aca="false">SQRT(($B201-CN$139)^2+($C201-CN$140)^2+($D201-CN$141)^2)</f>
        <v>2.45353791266897</v>
      </c>
      <c r="CO201" s="17" t="n">
        <f aca="false">SQRT(($B201-CO$139)^2+($C201-CO$140)^2+($D201-CO$141)^2)</f>
        <v>0.816361515482764</v>
      </c>
      <c r="CP201" s="63" t="n">
        <f aca="false">MATCH(MIN(CL201:CO201),CL201:CO201,0)</f>
        <v>4</v>
      </c>
    </row>
    <row r="202" customFormat="false" ht="15" hidden="false" customHeight="false" outlineLevel="0" collapsed="false">
      <c r="A202" s="36" t="str">
        <f aca="false">KMeans_Data!A61</f>
        <v>Muzaffargar</v>
      </c>
      <c r="B202" s="17" t="n">
        <f aca="false">KMeans_Data!H61</f>
        <v>0.0683117241366259</v>
      </c>
      <c r="C202" s="17" t="n">
        <f aca="false">KMeans_Data!I61</f>
        <v>-0.672650545388274</v>
      </c>
      <c r="D202" s="17" t="n">
        <f aca="false">KMeans_Data!J61</f>
        <v>-1.14564411633355</v>
      </c>
      <c r="E202" s="63" t="n">
        <f aca="false">CP202</f>
        <v>4</v>
      </c>
      <c r="F202" s="38" t="n">
        <f aca="false">($B202-INDEX($L$139:$O$139,E202))^2+($C202-INDEX($L$140:$O$140,E202))^2+($D202-INDEX($L$141:$O$141,E202))^2</f>
        <v>0.659662708392092</v>
      </c>
      <c r="G202" s="17" t="n">
        <f aca="false">IF(COUNTIF(Distance_Matrix!$E$10:$DQ$10,$E202)&lt;=1,0,SUMIF(Distance_Matrix!$E$10:$DQ$10,$E202,Distance_Matrix!$E$70:$DQ$70)/(COUNTIF(Distance_Matrix!$E$10:$DQ$10,$E202)-1))</f>
        <v>1.02113869775365</v>
      </c>
      <c r="H202" s="17" t="n">
        <f aca="false">MIN(IF(1=$E202,1E+099,IF(COUNTIF(Distance_Matrix!$E$10:$DQ$10,1)=0,1E+099,SUMIF(Distance_Matrix!$E$10:$DQ$10,1,Distance_Matrix!$E$70:$DQ$70)/COUNTIF(Distance_Matrix!$E$10:$DQ$10,1))),IF(2=$E202,1E+099,IF(COUNTIF(Distance_Matrix!$E$10:$DQ$10,2)=0,1E+099,SUMIF(Distance_Matrix!$E$10:$DQ$10,2,Distance_Matrix!$E$70:$DQ$70)/COUNTIF(Distance_Matrix!$E$10:$DQ$10,2))),IF(3=$E202,1E+099,IF(COUNTIF(Distance_Matrix!$E$10:$DQ$10,3)=0,1E+099,SUMIF(Distance_Matrix!$E$10:$DQ$10,3,Distance_Matrix!$E$70:$DQ$70)/COUNTIF(Distance_Matrix!$E$10:$DQ$10,3))),IF(4=$E202,1E+099,IF(COUNTIF(Distance_Matrix!$E$10:$DQ$10,4)=0,1E+099,SUMIF(Distance_Matrix!$E$10:$DQ$10,4,Distance_Matrix!$E$70:$DQ$70)/COUNTIF(Distance_Matrix!$E$10:$DQ$10,4))))</f>
        <v>1.3673774529882</v>
      </c>
      <c r="I202" s="17" t="n">
        <f aca="false">IF(COUNTIF(Distance_Matrix!$E$10:$DQ$10,$E202)&lt;=1,0,(H202-G202)/MAX(G202,H202))</f>
        <v>0.253213737346552</v>
      </c>
      <c r="X202" s="17" t="n">
        <f aca="false">SQRT(($B202-X$139)^2+($C202-X$140)^2+($D202-X$141)^2)</f>
        <v>7.19876486075222</v>
      </c>
      <c r="Y202" s="17" t="n">
        <f aca="false">SQRT(($B202-Y$139)^2+($C202-Y$140)^2+($D202-Y$141)^2)</f>
        <v>2.14804970593995</v>
      </c>
      <c r="Z202" s="17" t="n">
        <f aca="false">SQRT(($B202-Z$139)^2+($C202-Z$140)^2+($D202-Z$141)^2)</f>
        <v>2.98127921245279</v>
      </c>
      <c r="AA202" s="17" t="n">
        <f aca="false">SQRT(($B202-AA$139)^2+($C202-AA$140)^2+($D202-AA$141)^2)</f>
        <v>0.780815175351106</v>
      </c>
      <c r="AB202" s="63" t="n">
        <f aca="false">MATCH(MIN(X202:AA202),X202:AA202,0)</f>
        <v>4</v>
      </c>
      <c r="AD202" s="17" t="n">
        <f aca="false">SQRT(($B202-AD$139)^2+($C202-AD$140)^2+($D202-AD$141)^2)</f>
        <v>6.18217661495079</v>
      </c>
      <c r="AE202" s="17" t="n">
        <f aca="false">SQRT(($B202-AE$139)^2+($C202-AE$140)^2+($D202-AE$141)^2)</f>
        <v>1.32625678160269</v>
      </c>
      <c r="AF202" s="17" t="n">
        <f aca="false">SQRT(($B202-AF$139)^2+($C202-AF$140)^2+($D202-AF$141)^2)</f>
        <v>2.44007735549351</v>
      </c>
      <c r="AG202" s="17" t="n">
        <f aca="false">SQRT(($B202-AG$139)^2+($C202-AG$140)^2+($D202-AG$141)^2)</f>
        <v>0.670621249887507</v>
      </c>
      <c r="AH202" s="63" t="n">
        <f aca="false">MATCH(MIN(AD202:AG202),AD202:AG202,0)</f>
        <v>4</v>
      </c>
      <c r="AJ202" s="17" t="n">
        <f aca="false">SQRT(($B202-AJ$139)^2+($C202-AJ$140)^2+($D202-AJ$141)^2)</f>
        <v>5.83740574889926</v>
      </c>
      <c r="AK202" s="17" t="n">
        <f aca="false">SQRT(($B202-AK$139)^2+($C202-AK$140)^2+($D202-AK$141)^2)</f>
        <v>1.31053014031156</v>
      </c>
      <c r="AL202" s="17" t="n">
        <f aca="false">SQRT(($B202-AL$139)^2+($C202-AL$140)^2+($D202-AL$141)^2)</f>
        <v>2.49735184889311</v>
      </c>
      <c r="AM202" s="17" t="n">
        <f aca="false">SQRT(($B202-AM$139)^2+($C202-AM$140)^2+($D202-AM$141)^2)</f>
        <v>0.796521213816639</v>
      </c>
      <c r="AN202" s="63" t="n">
        <f aca="false">MATCH(MIN(AJ202:AM202),AJ202:AM202,0)</f>
        <v>4</v>
      </c>
      <c r="AP202" s="17" t="n">
        <f aca="false">SQRT(($B202-AP$139)^2+($C202-AP$140)^2+($D202-AP$141)^2)</f>
        <v>5.55118583245161</v>
      </c>
      <c r="AQ202" s="17" t="n">
        <f aca="false">SQRT(($B202-AQ$139)^2+($C202-AQ$140)^2+($D202-AQ$141)^2)</f>
        <v>1.34836283008824</v>
      </c>
      <c r="AR202" s="17" t="n">
        <f aca="false">SQRT(($B202-AR$139)^2+($C202-AR$140)^2+($D202-AR$141)^2)</f>
        <v>2.4572706513156</v>
      </c>
      <c r="AS202" s="17" t="n">
        <f aca="false">SQRT(($B202-AS$139)^2+($C202-AS$140)^2+($D202-AS$141)^2)</f>
        <v>0.812196225300322</v>
      </c>
      <c r="AT202" s="63" t="n">
        <f aca="false">MATCH(MIN(AP202:AS202),AP202:AS202,0)</f>
        <v>4</v>
      </c>
      <c r="AV202" s="17" t="n">
        <f aca="false">SQRT(($B202-AV$139)^2+($C202-AV$140)^2+($D202-AV$141)^2)</f>
        <v>5.55118583245161</v>
      </c>
      <c r="AW202" s="17" t="n">
        <f aca="false">SQRT(($B202-AW$139)^2+($C202-AW$140)^2+($D202-AW$141)^2)</f>
        <v>1.34836283008824</v>
      </c>
      <c r="AX202" s="17" t="n">
        <f aca="false">SQRT(($B202-AX$139)^2+($C202-AX$140)^2+($D202-AX$141)^2)</f>
        <v>2.4572706513156</v>
      </c>
      <c r="AY202" s="17" t="n">
        <f aca="false">SQRT(($B202-AY$139)^2+($C202-AY$140)^2+($D202-AY$141)^2)</f>
        <v>0.812196225300322</v>
      </c>
      <c r="AZ202" s="63" t="n">
        <f aca="false">MATCH(MIN(AV202:AY202),AV202:AY202,0)</f>
        <v>4</v>
      </c>
      <c r="BB202" s="17" t="n">
        <f aca="false">SQRT(($B202-BB$139)^2+($C202-BB$140)^2+($D202-BB$141)^2)</f>
        <v>5.55118583245161</v>
      </c>
      <c r="BC202" s="17" t="n">
        <f aca="false">SQRT(($B202-BC$139)^2+($C202-BC$140)^2+($D202-BC$141)^2)</f>
        <v>1.34836283008824</v>
      </c>
      <c r="BD202" s="17" t="n">
        <f aca="false">SQRT(($B202-BD$139)^2+($C202-BD$140)^2+($D202-BD$141)^2)</f>
        <v>2.4572706513156</v>
      </c>
      <c r="BE202" s="17" t="n">
        <f aca="false">SQRT(($B202-BE$139)^2+($C202-BE$140)^2+($D202-BE$141)^2)</f>
        <v>0.812196225300322</v>
      </c>
      <c r="BF202" s="63" t="n">
        <f aca="false">MATCH(MIN(BB202:BE202),BB202:BE202,0)</f>
        <v>4</v>
      </c>
      <c r="BH202" s="17" t="n">
        <f aca="false">SQRT(($B202-BH$139)^2+($C202-BH$140)^2+($D202-BH$141)^2)</f>
        <v>5.55118583245161</v>
      </c>
      <c r="BI202" s="17" t="n">
        <f aca="false">SQRT(($B202-BI$139)^2+($C202-BI$140)^2+($D202-BI$141)^2)</f>
        <v>1.34836283008824</v>
      </c>
      <c r="BJ202" s="17" t="n">
        <f aca="false">SQRT(($B202-BJ$139)^2+($C202-BJ$140)^2+($D202-BJ$141)^2)</f>
        <v>2.4572706513156</v>
      </c>
      <c r="BK202" s="17" t="n">
        <f aca="false">SQRT(($B202-BK$139)^2+($C202-BK$140)^2+($D202-BK$141)^2)</f>
        <v>0.812196225300322</v>
      </c>
      <c r="BL202" s="63" t="n">
        <f aca="false">MATCH(MIN(BH202:BK202),BH202:BK202,0)</f>
        <v>4</v>
      </c>
      <c r="BN202" s="17" t="n">
        <f aca="false">SQRT(($B202-BN$139)^2+($C202-BN$140)^2+($D202-BN$141)^2)</f>
        <v>5.55118583245161</v>
      </c>
      <c r="BO202" s="17" t="n">
        <f aca="false">SQRT(($B202-BO$139)^2+($C202-BO$140)^2+($D202-BO$141)^2)</f>
        <v>1.34836283008824</v>
      </c>
      <c r="BP202" s="17" t="n">
        <f aca="false">SQRT(($B202-BP$139)^2+($C202-BP$140)^2+($D202-BP$141)^2)</f>
        <v>2.4572706513156</v>
      </c>
      <c r="BQ202" s="17" t="n">
        <f aca="false">SQRT(($B202-BQ$139)^2+($C202-BQ$140)^2+($D202-BQ$141)^2)</f>
        <v>0.812196225300322</v>
      </c>
      <c r="BR202" s="63" t="n">
        <f aca="false">MATCH(MIN(BN202:BQ202),BN202:BQ202,0)</f>
        <v>4</v>
      </c>
      <c r="BT202" s="17" t="n">
        <f aca="false">SQRT(($B202-BT$139)^2+($C202-BT$140)^2+($D202-BT$141)^2)</f>
        <v>5.55118583245161</v>
      </c>
      <c r="BU202" s="17" t="n">
        <f aca="false">SQRT(($B202-BU$139)^2+($C202-BU$140)^2+($D202-BU$141)^2)</f>
        <v>1.34836283008824</v>
      </c>
      <c r="BV202" s="17" t="n">
        <f aca="false">SQRT(($B202-BV$139)^2+($C202-BV$140)^2+($D202-BV$141)^2)</f>
        <v>2.4572706513156</v>
      </c>
      <c r="BW202" s="17" t="n">
        <f aca="false">SQRT(($B202-BW$139)^2+($C202-BW$140)^2+($D202-BW$141)^2)</f>
        <v>0.812196225300322</v>
      </c>
      <c r="BX202" s="63" t="n">
        <f aca="false">MATCH(MIN(BT202:BW202),BT202:BW202,0)</f>
        <v>4</v>
      </c>
      <c r="BZ202" s="17" t="n">
        <f aca="false">SQRT(($B202-BZ$139)^2+($C202-BZ$140)^2+($D202-BZ$141)^2)</f>
        <v>5.55118583245161</v>
      </c>
      <c r="CA202" s="17" t="n">
        <f aca="false">SQRT(($B202-CA$139)^2+($C202-CA$140)^2+($D202-CA$141)^2)</f>
        <v>1.34836283008824</v>
      </c>
      <c r="CB202" s="17" t="n">
        <f aca="false">SQRT(($B202-CB$139)^2+($C202-CB$140)^2+($D202-CB$141)^2)</f>
        <v>2.4572706513156</v>
      </c>
      <c r="CC202" s="17" t="n">
        <f aca="false">SQRT(($B202-CC$139)^2+($C202-CC$140)^2+($D202-CC$141)^2)</f>
        <v>0.812196225300322</v>
      </c>
      <c r="CD202" s="63" t="n">
        <f aca="false">MATCH(MIN(BZ202:CC202),BZ202:CC202,0)</f>
        <v>4</v>
      </c>
      <c r="CF202" s="17" t="n">
        <f aca="false">SQRT(($B202-CF$139)^2+($C202-CF$140)^2+($D202-CF$141)^2)</f>
        <v>5.55118583245161</v>
      </c>
      <c r="CG202" s="17" t="n">
        <f aca="false">SQRT(($B202-CG$139)^2+($C202-CG$140)^2+($D202-CG$141)^2)</f>
        <v>1.34836283008824</v>
      </c>
      <c r="CH202" s="17" t="n">
        <f aca="false">SQRT(($B202-CH$139)^2+($C202-CH$140)^2+($D202-CH$141)^2)</f>
        <v>2.4572706513156</v>
      </c>
      <c r="CI202" s="17" t="n">
        <f aca="false">SQRT(($B202-CI$139)^2+($C202-CI$140)^2+($D202-CI$141)^2)</f>
        <v>0.812196225300322</v>
      </c>
      <c r="CJ202" s="63" t="n">
        <f aca="false">MATCH(MIN(CF202:CI202),CF202:CI202,0)</f>
        <v>4</v>
      </c>
      <c r="CL202" s="17" t="n">
        <f aca="false">SQRT(($B202-CL$139)^2+($C202-CL$140)^2+($D202-CL$141)^2)</f>
        <v>5.55118583245161</v>
      </c>
      <c r="CM202" s="17" t="n">
        <f aca="false">SQRT(($B202-CM$139)^2+($C202-CM$140)^2+($D202-CM$141)^2)</f>
        <v>1.34836283008824</v>
      </c>
      <c r="CN202" s="17" t="n">
        <f aca="false">SQRT(($B202-CN$139)^2+($C202-CN$140)^2+($D202-CN$141)^2)</f>
        <v>2.4572706513156</v>
      </c>
      <c r="CO202" s="17" t="n">
        <f aca="false">SQRT(($B202-CO$139)^2+($C202-CO$140)^2+($D202-CO$141)^2)</f>
        <v>0.812196225300322</v>
      </c>
      <c r="CP202" s="63" t="n">
        <f aca="false">MATCH(MIN(CL202:CO202),CL202:CO202,0)</f>
        <v>4</v>
      </c>
    </row>
    <row r="203" customFormat="false" ht="15" hidden="false" customHeight="false" outlineLevel="0" collapsed="false">
      <c r="A203" s="36" t="str">
        <f aca="false">KMeans_Data!A62</f>
        <v>Badin</v>
      </c>
      <c r="B203" s="17" t="n">
        <f aca="false">KMeans_Data!H62</f>
        <v>0.0245489826438638</v>
      </c>
      <c r="C203" s="17" t="n">
        <f aca="false">KMeans_Data!I62</f>
        <v>0.547911385844501</v>
      </c>
      <c r="D203" s="17" t="n">
        <f aca="false">KMeans_Data!J62</f>
        <v>0.00583902902802759</v>
      </c>
      <c r="E203" s="63" t="n">
        <f aca="false">CP203</f>
        <v>3</v>
      </c>
      <c r="F203" s="38" t="n">
        <f aca="false">($B203-INDEX($L$139:$O$139,E203))^2+($C203-INDEX($L$140:$O$140,E203))^2+($D203-INDEX($L$141:$O$141,E203))^2</f>
        <v>1.11734313427847</v>
      </c>
      <c r="G203" s="17" t="n">
        <f aca="false">IF(COUNTIF(Distance_Matrix!$E$10:$DQ$10,$E203)&lt;=1,0,SUMIF(Distance_Matrix!$E$10:$DQ$10,$E203,Distance_Matrix!$E$71:$DQ$71)/(COUNTIF(Distance_Matrix!$E$10:$DQ$10,$E203)-1))</f>
        <v>1.27491202997075</v>
      </c>
      <c r="H203" s="17" t="n">
        <f aca="false">MIN(IF(1=$E203,1E+099,IF(COUNTIF(Distance_Matrix!$E$10:$DQ$10,1)=0,1E+099,SUMIF(Distance_Matrix!$E$10:$DQ$10,1,Distance_Matrix!$E$71:$DQ$71)/COUNTIF(Distance_Matrix!$E$10:$DQ$10,1))),IF(2=$E203,1E+099,IF(COUNTIF(Distance_Matrix!$E$10:$DQ$10,2)=0,1E+099,SUMIF(Distance_Matrix!$E$10:$DQ$10,2,Distance_Matrix!$E$71:$DQ$71)/COUNTIF(Distance_Matrix!$E$10:$DQ$10,2))),IF(3=$E203,1E+099,IF(COUNTIF(Distance_Matrix!$E$10:$DQ$10,3)=0,1E+099,SUMIF(Distance_Matrix!$E$10:$DQ$10,3,Distance_Matrix!$E$71:$DQ$71)/COUNTIF(Distance_Matrix!$E$10:$DQ$10,3))),IF(4=$E203,1E+099,IF(COUNTIF(Distance_Matrix!$E$10:$DQ$10,4)=0,1E+099,SUMIF(Distance_Matrix!$E$10:$DQ$10,4,Distance_Matrix!$E$71:$DQ$71)/COUNTIF(Distance_Matrix!$E$10:$DQ$10,4))))</f>
        <v>1.33917466208471</v>
      </c>
      <c r="I203" s="17" t="n">
        <f aca="false">IF(COUNTIF(Distance_Matrix!$E$10:$DQ$10,$E203)&lt;=1,0,(H203-G203)/MAX(G203,H203))</f>
        <v>0.0479867443234944</v>
      </c>
      <c r="X203" s="17" t="n">
        <f aca="false">SQRT(($B203-X$139)^2+($C203-X$140)^2+($D203-X$141)^2)</f>
        <v>5.76973078701142</v>
      </c>
      <c r="Y203" s="17" t="n">
        <f aca="false">SQRT(($B203-Y$139)^2+($C203-Y$140)^2+($D203-Y$141)^2)</f>
        <v>2.691413846061</v>
      </c>
      <c r="Z203" s="17" t="n">
        <f aca="false">SQRT(($B203-Z$139)^2+($C203-Z$140)^2+($D203-Z$141)^2)</f>
        <v>1.78866697626789</v>
      </c>
      <c r="AA203" s="17" t="n">
        <f aca="false">SQRT(($B203-AA$139)^2+($C203-AA$140)^2+($D203-AA$141)^2)</f>
        <v>1.4814138332876</v>
      </c>
      <c r="AB203" s="63" t="n">
        <f aca="false">MATCH(MIN(X203:AA203),X203:AA203,0)</f>
        <v>4</v>
      </c>
      <c r="AD203" s="17" t="n">
        <f aca="false">SQRT(($B203-AD$139)^2+($C203-AD$140)^2+($D203-AD$141)^2)</f>
        <v>4.76391567993581</v>
      </c>
      <c r="AE203" s="17" t="n">
        <f aca="false">SQRT(($B203-AE$139)^2+($C203-AE$140)^2+($D203-AE$141)^2)</f>
        <v>1.98280724796294</v>
      </c>
      <c r="AF203" s="17" t="n">
        <f aca="false">SQRT(($B203-AF$139)^2+($C203-AF$140)^2+($D203-AF$141)^2)</f>
        <v>1.05094270099395</v>
      </c>
      <c r="AG203" s="17" t="n">
        <f aca="false">SQRT(($B203-AG$139)^2+($C203-AG$140)^2+($D203-AG$141)^2)</f>
        <v>1.16328166294805</v>
      </c>
      <c r="AH203" s="63" t="n">
        <f aca="false">MATCH(MIN(AD203:AG203),AD203:AG203,0)</f>
        <v>3</v>
      </c>
      <c r="AJ203" s="17" t="n">
        <f aca="false">SQRT(($B203-AJ$139)^2+($C203-AJ$140)^2+($D203-AJ$141)^2)</f>
        <v>4.42832354508248</v>
      </c>
      <c r="AK203" s="17" t="n">
        <f aca="false">SQRT(($B203-AK$139)^2+($C203-AK$140)^2+($D203-AK$141)^2)</f>
        <v>2.00171386090527</v>
      </c>
      <c r="AL203" s="17" t="n">
        <f aca="false">SQRT(($B203-AL$139)^2+($C203-AL$140)^2+($D203-AL$141)^2)</f>
        <v>1.08601208688462</v>
      </c>
      <c r="AM203" s="17" t="n">
        <f aca="false">SQRT(($B203-AM$139)^2+($C203-AM$140)^2+($D203-AM$141)^2)</f>
        <v>1.12036519926592</v>
      </c>
      <c r="AN203" s="63" t="n">
        <f aca="false">MATCH(MIN(AJ203:AM203),AJ203:AM203,0)</f>
        <v>3</v>
      </c>
      <c r="AP203" s="17" t="n">
        <f aca="false">SQRT(($B203-AP$139)^2+($C203-AP$140)^2+($D203-AP$141)^2)</f>
        <v>4.13238348193971</v>
      </c>
      <c r="AQ203" s="17" t="n">
        <f aca="false">SQRT(($B203-AQ$139)^2+($C203-AQ$140)^2+($D203-AQ$141)^2)</f>
        <v>2.07395017687324</v>
      </c>
      <c r="AR203" s="17" t="n">
        <f aca="false">SQRT(($B203-AR$139)^2+($C203-AR$140)^2+($D203-AR$141)^2)</f>
        <v>1.05704452804907</v>
      </c>
      <c r="AS203" s="17" t="n">
        <f aca="false">SQRT(($B203-AS$139)^2+($C203-AS$140)^2+($D203-AS$141)^2)</f>
        <v>1.13300801815382</v>
      </c>
      <c r="AT203" s="63" t="n">
        <f aca="false">MATCH(MIN(AP203:AS203),AP203:AS203,0)</f>
        <v>3</v>
      </c>
      <c r="AV203" s="17" t="n">
        <f aca="false">SQRT(($B203-AV$139)^2+($C203-AV$140)^2+($D203-AV$141)^2)</f>
        <v>4.13238348193971</v>
      </c>
      <c r="AW203" s="17" t="n">
        <f aca="false">SQRT(($B203-AW$139)^2+($C203-AW$140)^2+($D203-AW$141)^2)</f>
        <v>2.07395017687324</v>
      </c>
      <c r="AX203" s="17" t="n">
        <f aca="false">SQRT(($B203-AX$139)^2+($C203-AX$140)^2+($D203-AX$141)^2)</f>
        <v>1.05704452804907</v>
      </c>
      <c r="AY203" s="17" t="n">
        <f aca="false">SQRT(($B203-AY$139)^2+($C203-AY$140)^2+($D203-AY$141)^2)</f>
        <v>1.13300801815382</v>
      </c>
      <c r="AZ203" s="63" t="n">
        <f aca="false">MATCH(MIN(AV203:AY203),AV203:AY203,0)</f>
        <v>3</v>
      </c>
      <c r="BB203" s="17" t="n">
        <f aca="false">SQRT(($B203-BB$139)^2+($C203-BB$140)^2+($D203-BB$141)^2)</f>
        <v>4.13238348193971</v>
      </c>
      <c r="BC203" s="17" t="n">
        <f aca="false">SQRT(($B203-BC$139)^2+($C203-BC$140)^2+($D203-BC$141)^2)</f>
        <v>2.07395017687324</v>
      </c>
      <c r="BD203" s="17" t="n">
        <f aca="false">SQRT(($B203-BD$139)^2+($C203-BD$140)^2+($D203-BD$141)^2)</f>
        <v>1.05704452804907</v>
      </c>
      <c r="BE203" s="17" t="n">
        <f aca="false">SQRT(($B203-BE$139)^2+($C203-BE$140)^2+($D203-BE$141)^2)</f>
        <v>1.13300801815382</v>
      </c>
      <c r="BF203" s="63" t="n">
        <f aca="false">MATCH(MIN(BB203:BE203),BB203:BE203,0)</f>
        <v>3</v>
      </c>
      <c r="BH203" s="17" t="n">
        <f aca="false">SQRT(($B203-BH$139)^2+($C203-BH$140)^2+($D203-BH$141)^2)</f>
        <v>4.13238348193971</v>
      </c>
      <c r="BI203" s="17" t="n">
        <f aca="false">SQRT(($B203-BI$139)^2+($C203-BI$140)^2+($D203-BI$141)^2)</f>
        <v>2.07395017687324</v>
      </c>
      <c r="BJ203" s="17" t="n">
        <f aca="false">SQRT(($B203-BJ$139)^2+($C203-BJ$140)^2+($D203-BJ$141)^2)</f>
        <v>1.05704452804907</v>
      </c>
      <c r="BK203" s="17" t="n">
        <f aca="false">SQRT(($B203-BK$139)^2+($C203-BK$140)^2+($D203-BK$141)^2)</f>
        <v>1.13300801815382</v>
      </c>
      <c r="BL203" s="63" t="n">
        <f aca="false">MATCH(MIN(BH203:BK203),BH203:BK203,0)</f>
        <v>3</v>
      </c>
      <c r="BN203" s="17" t="n">
        <f aca="false">SQRT(($B203-BN$139)^2+($C203-BN$140)^2+($D203-BN$141)^2)</f>
        <v>4.13238348193971</v>
      </c>
      <c r="BO203" s="17" t="n">
        <f aca="false">SQRT(($B203-BO$139)^2+($C203-BO$140)^2+($D203-BO$141)^2)</f>
        <v>2.07395017687324</v>
      </c>
      <c r="BP203" s="17" t="n">
        <f aca="false">SQRT(($B203-BP$139)^2+($C203-BP$140)^2+($D203-BP$141)^2)</f>
        <v>1.05704452804907</v>
      </c>
      <c r="BQ203" s="17" t="n">
        <f aca="false">SQRT(($B203-BQ$139)^2+($C203-BQ$140)^2+($D203-BQ$141)^2)</f>
        <v>1.13300801815382</v>
      </c>
      <c r="BR203" s="63" t="n">
        <f aca="false">MATCH(MIN(BN203:BQ203),BN203:BQ203,0)</f>
        <v>3</v>
      </c>
      <c r="BT203" s="17" t="n">
        <f aca="false">SQRT(($B203-BT$139)^2+($C203-BT$140)^2+($D203-BT$141)^2)</f>
        <v>4.13238348193971</v>
      </c>
      <c r="BU203" s="17" t="n">
        <f aca="false">SQRT(($B203-BU$139)^2+($C203-BU$140)^2+($D203-BU$141)^2)</f>
        <v>2.07395017687324</v>
      </c>
      <c r="BV203" s="17" t="n">
        <f aca="false">SQRT(($B203-BV$139)^2+($C203-BV$140)^2+($D203-BV$141)^2)</f>
        <v>1.05704452804907</v>
      </c>
      <c r="BW203" s="17" t="n">
        <f aca="false">SQRT(($B203-BW$139)^2+($C203-BW$140)^2+($D203-BW$141)^2)</f>
        <v>1.13300801815382</v>
      </c>
      <c r="BX203" s="63" t="n">
        <f aca="false">MATCH(MIN(BT203:BW203),BT203:BW203,0)</f>
        <v>3</v>
      </c>
      <c r="BZ203" s="17" t="n">
        <f aca="false">SQRT(($B203-BZ$139)^2+($C203-BZ$140)^2+($D203-BZ$141)^2)</f>
        <v>4.13238348193971</v>
      </c>
      <c r="CA203" s="17" t="n">
        <f aca="false">SQRT(($B203-CA$139)^2+($C203-CA$140)^2+($D203-CA$141)^2)</f>
        <v>2.07395017687324</v>
      </c>
      <c r="CB203" s="17" t="n">
        <f aca="false">SQRT(($B203-CB$139)^2+($C203-CB$140)^2+($D203-CB$141)^2)</f>
        <v>1.05704452804907</v>
      </c>
      <c r="CC203" s="17" t="n">
        <f aca="false">SQRT(($B203-CC$139)^2+($C203-CC$140)^2+($D203-CC$141)^2)</f>
        <v>1.13300801815382</v>
      </c>
      <c r="CD203" s="63" t="n">
        <f aca="false">MATCH(MIN(BZ203:CC203),BZ203:CC203,0)</f>
        <v>3</v>
      </c>
      <c r="CF203" s="17" t="n">
        <f aca="false">SQRT(($B203-CF$139)^2+($C203-CF$140)^2+($D203-CF$141)^2)</f>
        <v>4.13238348193971</v>
      </c>
      <c r="CG203" s="17" t="n">
        <f aca="false">SQRT(($B203-CG$139)^2+($C203-CG$140)^2+($D203-CG$141)^2)</f>
        <v>2.07395017687324</v>
      </c>
      <c r="CH203" s="17" t="n">
        <f aca="false">SQRT(($B203-CH$139)^2+($C203-CH$140)^2+($D203-CH$141)^2)</f>
        <v>1.05704452804907</v>
      </c>
      <c r="CI203" s="17" t="n">
        <f aca="false">SQRT(($B203-CI$139)^2+($C203-CI$140)^2+($D203-CI$141)^2)</f>
        <v>1.13300801815382</v>
      </c>
      <c r="CJ203" s="63" t="n">
        <f aca="false">MATCH(MIN(CF203:CI203),CF203:CI203,0)</f>
        <v>3</v>
      </c>
      <c r="CL203" s="17" t="n">
        <f aca="false">SQRT(($B203-CL$139)^2+($C203-CL$140)^2+($D203-CL$141)^2)</f>
        <v>4.13238348193971</v>
      </c>
      <c r="CM203" s="17" t="n">
        <f aca="false">SQRT(($B203-CM$139)^2+($C203-CM$140)^2+($D203-CM$141)^2)</f>
        <v>2.07395017687324</v>
      </c>
      <c r="CN203" s="17" t="n">
        <f aca="false">SQRT(($B203-CN$139)^2+($C203-CN$140)^2+($D203-CN$141)^2)</f>
        <v>1.05704452804907</v>
      </c>
      <c r="CO203" s="17" t="n">
        <f aca="false">SQRT(($B203-CO$139)^2+($C203-CO$140)^2+($D203-CO$141)^2)</f>
        <v>1.13300801815382</v>
      </c>
      <c r="CP203" s="63" t="n">
        <f aca="false">MATCH(MIN(CL203:CO203),CL203:CO203,0)</f>
        <v>3</v>
      </c>
    </row>
    <row r="204" customFormat="false" ht="15" hidden="false" customHeight="false" outlineLevel="0" collapsed="false">
      <c r="A204" s="36" t="str">
        <f aca="false">KMeans_Data!A63</f>
        <v>Bahawalpur</v>
      </c>
      <c r="B204" s="17" t="n">
        <f aca="false">KMeans_Data!H63</f>
        <v>0.00595879156403144</v>
      </c>
      <c r="C204" s="17" t="n">
        <f aca="false">KMeans_Data!I63</f>
        <v>-0.672650545388274</v>
      </c>
      <c r="D204" s="17" t="n">
        <f aca="false">KMeans_Data!J63</f>
        <v>-0.399845222909568</v>
      </c>
      <c r="E204" s="63" t="n">
        <f aca="false">CP204</f>
        <v>4</v>
      </c>
      <c r="F204" s="38" t="n">
        <f aca="false">($B204-INDEX($L$139:$O$139,E204))^2+($C204-INDEX($L$140:$O$140,E204))^2+($D204-INDEX($L$141:$O$141,E204))^2</f>
        <v>0.0458232587299223</v>
      </c>
      <c r="G204" s="17" t="n">
        <f aca="false">IF(COUNTIF(Distance_Matrix!$E$10:$DQ$10,$E204)&lt;=1,0,SUMIF(Distance_Matrix!$E$10:$DQ$10,$E204,Distance_Matrix!$E$72:$DQ$72)/(COUNTIF(Distance_Matrix!$E$10:$DQ$10,$E204)-1))</f>
        <v>0.772954438037319</v>
      </c>
      <c r="H204" s="17" t="n">
        <f aca="false">MIN(IF(1=$E204,1E+099,IF(COUNTIF(Distance_Matrix!$E$10:$DQ$10,1)=0,1E+099,SUMIF(Distance_Matrix!$E$10:$DQ$10,1,Distance_Matrix!$E$72:$DQ$72)/COUNTIF(Distance_Matrix!$E$10:$DQ$10,1))),IF(2=$E204,1E+099,IF(COUNTIF(Distance_Matrix!$E$10:$DQ$10,2)=0,1E+099,SUMIF(Distance_Matrix!$E$10:$DQ$10,2,Distance_Matrix!$E$72:$DQ$72)/COUNTIF(Distance_Matrix!$E$10:$DQ$10,2))),IF(3=$E204,1E+099,IF(COUNTIF(Distance_Matrix!$E$10:$DQ$10,3)=0,1E+099,SUMIF(Distance_Matrix!$E$10:$DQ$10,3,Distance_Matrix!$E$72:$DQ$72)/COUNTIF(Distance_Matrix!$E$10:$DQ$10,3))),IF(4=$E204,1E+099,IF(COUNTIF(Distance_Matrix!$E$10:$DQ$10,4)=0,1E+099,SUMIF(Distance_Matrix!$E$10:$DQ$10,4,Distance_Matrix!$E$72:$DQ$72)/COUNTIF(Distance_Matrix!$E$10:$DQ$10,4))))</f>
        <v>1.47361791005317</v>
      </c>
      <c r="I204" s="17" t="n">
        <f aca="false">IF(COUNTIF(Distance_Matrix!$E$10:$DQ$10,$E204)&lt;=1,0,(H204-G204)/MAX(G204,H204))</f>
        <v>0.475471604434129</v>
      </c>
      <c r="X204" s="17" t="n">
        <f aca="false">SQRT(($B204-X$139)^2+($C204-X$140)^2+($D204-X$141)^2)</f>
        <v>6.79864298983629</v>
      </c>
      <c r="Y204" s="17" t="n">
        <f aca="false">SQRT(($B204-Y$139)^2+($C204-Y$140)^2+($D204-Y$141)^2)</f>
        <v>2.21502754381688</v>
      </c>
      <c r="Z204" s="17" t="n">
        <f aca="false">SQRT(($B204-Z$139)^2+($C204-Z$140)^2+($D204-Z$141)^2)</f>
        <v>2.38052099434104</v>
      </c>
      <c r="AA204" s="17" t="n">
        <f aca="false">SQRT(($B204-AA$139)^2+($C204-AA$140)^2+($D204-AA$141)^2)</f>
        <v>1.11435028622649</v>
      </c>
      <c r="AB204" s="63" t="n">
        <f aca="false">MATCH(MIN(X204:AA204),X204:AA204,0)</f>
        <v>4</v>
      </c>
      <c r="AD204" s="17" t="n">
        <f aca="false">SQRT(($B204-AD$139)^2+($C204-AD$140)^2+($D204-AD$141)^2)</f>
        <v>5.80548215851453</v>
      </c>
      <c r="AE204" s="17" t="n">
        <f aca="false">SQRT(($B204-AE$139)^2+($C204-AE$140)^2+($D204-AE$141)^2)</f>
        <v>1.35716972401608</v>
      </c>
      <c r="AF204" s="17" t="n">
        <f aca="false">SQRT(($B204-AF$139)^2+($C204-AF$140)^2+($D204-AF$141)^2)</f>
        <v>1.88688391541007</v>
      </c>
      <c r="AG204" s="17" t="n">
        <f aca="false">SQRT(($B204-AG$139)^2+($C204-AG$140)^2+($D204-AG$141)^2)</f>
        <v>0.22660999493473</v>
      </c>
      <c r="AH204" s="63" t="n">
        <f aca="false">MATCH(MIN(AD204:AG204),AD204:AG204,0)</f>
        <v>4</v>
      </c>
      <c r="AJ204" s="17" t="n">
        <f aca="false">SQRT(($B204-AJ$139)^2+($C204-AJ$140)^2+($D204-AJ$141)^2)</f>
        <v>5.45704621509977</v>
      </c>
      <c r="AK204" s="17" t="n">
        <f aca="false">SQRT(($B204-AK$139)^2+($C204-AK$140)^2+($D204-AK$141)^2)</f>
        <v>1.36992218309088</v>
      </c>
      <c r="AL204" s="17" t="n">
        <f aca="false">SQRT(($B204-AL$139)^2+($C204-AL$140)^2+($D204-AL$141)^2)</f>
        <v>1.96030711787448</v>
      </c>
      <c r="AM204" s="17" t="n">
        <f aca="false">SQRT(($B204-AM$139)^2+($C204-AM$140)^2+($D204-AM$141)^2)</f>
        <v>0.196626666511317</v>
      </c>
      <c r="AN204" s="63" t="n">
        <f aca="false">MATCH(MIN(AJ204:AM204),AJ204:AM204,0)</f>
        <v>4</v>
      </c>
      <c r="AP204" s="17" t="n">
        <f aca="false">SQRT(($B204-AP$139)^2+($C204-AP$140)^2+($D204-AP$141)^2)</f>
        <v>5.16865909160037</v>
      </c>
      <c r="AQ204" s="17" t="n">
        <f aca="false">SQRT(($B204-AQ$139)^2+($C204-AQ$140)^2+($D204-AQ$141)^2)</f>
        <v>1.45026422771408</v>
      </c>
      <c r="AR204" s="17" t="n">
        <f aca="false">SQRT(($B204-AR$139)^2+($C204-AR$140)^2+($D204-AR$141)^2)</f>
        <v>1.91414408725917</v>
      </c>
      <c r="AS204" s="17" t="n">
        <f aca="false">SQRT(($B204-AS$139)^2+($C204-AS$140)^2+($D204-AS$141)^2)</f>
        <v>0.214063679146936</v>
      </c>
      <c r="AT204" s="63" t="n">
        <f aca="false">MATCH(MIN(AP204:AS204),AP204:AS204,0)</f>
        <v>4</v>
      </c>
      <c r="AV204" s="17" t="n">
        <f aca="false">SQRT(($B204-AV$139)^2+($C204-AV$140)^2+($D204-AV$141)^2)</f>
        <v>5.16865909160037</v>
      </c>
      <c r="AW204" s="17" t="n">
        <f aca="false">SQRT(($B204-AW$139)^2+($C204-AW$140)^2+($D204-AW$141)^2)</f>
        <v>1.45026422771408</v>
      </c>
      <c r="AX204" s="17" t="n">
        <f aca="false">SQRT(($B204-AX$139)^2+($C204-AX$140)^2+($D204-AX$141)^2)</f>
        <v>1.91414408725917</v>
      </c>
      <c r="AY204" s="17" t="n">
        <f aca="false">SQRT(($B204-AY$139)^2+($C204-AY$140)^2+($D204-AY$141)^2)</f>
        <v>0.214063679146936</v>
      </c>
      <c r="AZ204" s="63" t="n">
        <f aca="false">MATCH(MIN(AV204:AY204),AV204:AY204,0)</f>
        <v>4</v>
      </c>
      <c r="BB204" s="17" t="n">
        <f aca="false">SQRT(($B204-BB$139)^2+($C204-BB$140)^2+($D204-BB$141)^2)</f>
        <v>5.16865909160037</v>
      </c>
      <c r="BC204" s="17" t="n">
        <f aca="false">SQRT(($B204-BC$139)^2+($C204-BC$140)^2+($D204-BC$141)^2)</f>
        <v>1.45026422771408</v>
      </c>
      <c r="BD204" s="17" t="n">
        <f aca="false">SQRT(($B204-BD$139)^2+($C204-BD$140)^2+($D204-BD$141)^2)</f>
        <v>1.91414408725917</v>
      </c>
      <c r="BE204" s="17" t="n">
        <f aca="false">SQRT(($B204-BE$139)^2+($C204-BE$140)^2+($D204-BE$141)^2)</f>
        <v>0.214063679146936</v>
      </c>
      <c r="BF204" s="63" t="n">
        <f aca="false">MATCH(MIN(BB204:BE204),BB204:BE204,0)</f>
        <v>4</v>
      </c>
      <c r="BH204" s="17" t="n">
        <f aca="false">SQRT(($B204-BH$139)^2+($C204-BH$140)^2+($D204-BH$141)^2)</f>
        <v>5.16865909160037</v>
      </c>
      <c r="BI204" s="17" t="n">
        <f aca="false">SQRT(($B204-BI$139)^2+($C204-BI$140)^2+($D204-BI$141)^2)</f>
        <v>1.45026422771408</v>
      </c>
      <c r="BJ204" s="17" t="n">
        <f aca="false">SQRT(($B204-BJ$139)^2+($C204-BJ$140)^2+($D204-BJ$141)^2)</f>
        <v>1.91414408725917</v>
      </c>
      <c r="BK204" s="17" t="n">
        <f aca="false">SQRT(($B204-BK$139)^2+($C204-BK$140)^2+($D204-BK$141)^2)</f>
        <v>0.214063679146936</v>
      </c>
      <c r="BL204" s="63" t="n">
        <f aca="false">MATCH(MIN(BH204:BK204),BH204:BK204,0)</f>
        <v>4</v>
      </c>
      <c r="BN204" s="17" t="n">
        <f aca="false">SQRT(($B204-BN$139)^2+($C204-BN$140)^2+($D204-BN$141)^2)</f>
        <v>5.16865909160037</v>
      </c>
      <c r="BO204" s="17" t="n">
        <f aca="false">SQRT(($B204-BO$139)^2+($C204-BO$140)^2+($D204-BO$141)^2)</f>
        <v>1.45026422771408</v>
      </c>
      <c r="BP204" s="17" t="n">
        <f aca="false">SQRT(($B204-BP$139)^2+($C204-BP$140)^2+($D204-BP$141)^2)</f>
        <v>1.91414408725917</v>
      </c>
      <c r="BQ204" s="17" t="n">
        <f aca="false">SQRT(($B204-BQ$139)^2+($C204-BQ$140)^2+($D204-BQ$141)^2)</f>
        <v>0.214063679146936</v>
      </c>
      <c r="BR204" s="63" t="n">
        <f aca="false">MATCH(MIN(BN204:BQ204),BN204:BQ204,0)</f>
        <v>4</v>
      </c>
      <c r="BT204" s="17" t="n">
        <f aca="false">SQRT(($B204-BT$139)^2+($C204-BT$140)^2+($D204-BT$141)^2)</f>
        <v>5.16865909160037</v>
      </c>
      <c r="BU204" s="17" t="n">
        <f aca="false">SQRT(($B204-BU$139)^2+($C204-BU$140)^2+($D204-BU$141)^2)</f>
        <v>1.45026422771408</v>
      </c>
      <c r="BV204" s="17" t="n">
        <f aca="false">SQRT(($B204-BV$139)^2+($C204-BV$140)^2+($D204-BV$141)^2)</f>
        <v>1.91414408725917</v>
      </c>
      <c r="BW204" s="17" t="n">
        <f aca="false">SQRT(($B204-BW$139)^2+($C204-BW$140)^2+($D204-BW$141)^2)</f>
        <v>0.214063679146936</v>
      </c>
      <c r="BX204" s="63" t="n">
        <f aca="false">MATCH(MIN(BT204:BW204),BT204:BW204,0)</f>
        <v>4</v>
      </c>
      <c r="BZ204" s="17" t="n">
        <f aca="false">SQRT(($B204-BZ$139)^2+($C204-BZ$140)^2+($D204-BZ$141)^2)</f>
        <v>5.16865909160037</v>
      </c>
      <c r="CA204" s="17" t="n">
        <f aca="false">SQRT(($B204-CA$139)^2+($C204-CA$140)^2+($D204-CA$141)^2)</f>
        <v>1.45026422771408</v>
      </c>
      <c r="CB204" s="17" t="n">
        <f aca="false">SQRT(($B204-CB$139)^2+($C204-CB$140)^2+($D204-CB$141)^2)</f>
        <v>1.91414408725917</v>
      </c>
      <c r="CC204" s="17" t="n">
        <f aca="false">SQRT(($B204-CC$139)^2+($C204-CC$140)^2+($D204-CC$141)^2)</f>
        <v>0.214063679146936</v>
      </c>
      <c r="CD204" s="63" t="n">
        <f aca="false">MATCH(MIN(BZ204:CC204),BZ204:CC204,0)</f>
        <v>4</v>
      </c>
      <c r="CF204" s="17" t="n">
        <f aca="false">SQRT(($B204-CF$139)^2+($C204-CF$140)^2+($D204-CF$141)^2)</f>
        <v>5.16865909160037</v>
      </c>
      <c r="CG204" s="17" t="n">
        <f aca="false">SQRT(($B204-CG$139)^2+($C204-CG$140)^2+($D204-CG$141)^2)</f>
        <v>1.45026422771408</v>
      </c>
      <c r="CH204" s="17" t="n">
        <f aca="false">SQRT(($B204-CH$139)^2+($C204-CH$140)^2+($D204-CH$141)^2)</f>
        <v>1.91414408725917</v>
      </c>
      <c r="CI204" s="17" t="n">
        <f aca="false">SQRT(($B204-CI$139)^2+($C204-CI$140)^2+($D204-CI$141)^2)</f>
        <v>0.214063679146936</v>
      </c>
      <c r="CJ204" s="63" t="n">
        <f aca="false">MATCH(MIN(CF204:CI204),CF204:CI204,0)</f>
        <v>4</v>
      </c>
      <c r="CL204" s="17" t="n">
        <f aca="false">SQRT(($B204-CL$139)^2+($C204-CL$140)^2+($D204-CL$141)^2)</f>
        <v>5.16865909160037</v>
      </c>
      <c r="CM204" s="17" t="n">
        <f aca="false">SQRT(($B204-CM$139)^2+($C204-CM$140)^2+($D204-CM$141)^2)</f>
        <v>1.45026422771408</v>
      </c>
      <c r="CN204" s="17" t="n">
        <f aca="false">SQRT(($B204-CN$139)^2+($C204-CN$140)^2+($D204-CN$141)^2)</f>
        <v>1.91414408725917</v>
      </c>
      <c r="CO204" s="17" t="n">
        <f aca="false">SQRT(($B204-CO$139)^2+($C204-CO$140)^2+($D204-CO$141)^2)</f>
        <v>0.214063679146936</v>
      </c>
      <c r="CP204" s="63" t="n">
        <f aca="false">MATCH(MIN(CL204:CO204),CL204:CO204,0)</f>
        <v>4</v>
      </c>
    </row>
    <row r="205" customFormat="false" ht="15" hidden="false" customHeight="false" outlineLevel="0" collapsed="false">
      <c r="A205" s="36" t="str">
        <f aca="false">KMeans_Data!A64</f>
        <v>Dadu</v>
      </c>
      <c r="B205" s="17" t="n">
        <f aca="false">KMeans_Data!H64</f>
        <v>-0.00359138496118499</v>
      </c>
      <c r="C205" s="17" t="n">
        <f aca="false">KMeans_Data!I64</f>
        <v>-0.672650545388274</v>
      </c>
      <c r="D205" s="17" t="n">
        <f aca="false">KMeans_Data!J64</f>
        <v>0.364128192341594</v>
      </c>
      <c r="E205" s="63" t="n">
        <f aca="false">CP205</f>
        <v>4</v>
      </c>
      <c r="F205" s="38" t="n">
        <f aca="false">($B205-INDEX($L$139:$O$139,E205))^2+($C205-INDEX($L$140:$O$140,E205))^2+($D205-INDEX($L$141:$O$141,E205))^2</f>
        <v>0.589152823821846</v>
      </c>
      <c r="G205" s="17" t="n">
        <f aca="false">IF(COUNTIF(Distance_Matrix!$E$10:$DQ$10,$E205)&lt;=1,0,SUMIF(Distance_Matrix!$E$10:$DQ$10,$E205,Distance_Matrix!$E$73:$DQ$73)/(COUNTIF(Distance_Matrix!$E$10:$DQ$10,$E205)-1))</f>
        <v>1.02128909765798</v>
      </c>
      <c r="H205" s="17" t="n">
        <f aca="false">MIN(IF(1=$E205,1E+099,IF(COUNTIF(Distance_Matrix!$E$10:$DQ$10,1)=0,1E+099,SUMIF(Distance_Matrix!$E$10:$DQ$10,1,Distance_Matrix!$E$73:$DQ$73)/COUNTIF(Distance_Matrix!$E$10:$DQ$10,1))),IF(2=$E205,1E+099,IF(COUNTIF(Distance_Matrix!$E$10:$DQ$10,2)=0,1E+099,SUMIF(Distance_Matrix!$E$10:$DQ$10,2,Distance_Matrix!$E$73:$DQ$73)/COUNTIF(Distance_Matrix!$E$10:$DQ$10,2))),IF(3=$E205,1E+099,IF(COUNTIF(Distance_Matrix!$E$10:$DQ$10,3)=0,1E+099,SUMIF(Distance_Matrix!$E$10:$DQ$10,3,Distance_Matrix!$E$73:$DQ$73)/COUNTIF(Distance_Matrix!$E$10:$DQ$10,3))),IF(4=$E205,1E+099,IF(COUNTIF(Distance_Matrix!$E$10:$DQ$10,4)=0,1E+099,SUMIF(Distance_Matrix!$E$10:$DQ$10,4,Distance_Matrix!$E$73:$DQ$73)/COUNTIF(Distance_Matrix!$E$10:$DQ$10,4))))</f>
        <v>1.61316976700422</v>
      </c>
      <c r="I205" s="17" t="n">
        <f aca="false">IF(COUNTIF(Distance_Matrix!$E$10:$DQ$10,$E205)&lt;=1,0,(H205-G205)/MAX(G205,H205))</f>
        <v>0.366905381846702</v>
      </c>
      <c r="X205" s="17" t="n">
        <f aca="false">SQRT(($B205-X$139)^2+($C205-X$140)^2+($D205-X$141)^2)</f>
        <v>6.42548092998272</v>
      </c>
      <c r="Y205" s="17" t="n">
        <f aca="false">SQRT(($B205-Y$139)^2+($C205-Y$140)^2+($D205-Y$141)^2)</f>
        <v>2.56706001402801</v>
      </c>
      <c r="Z205" s="17" t="n">
        <f aca="false">SQRT(($B205-Z$139)^2+($C205-Z$140)^2+($D205-Z$141)^2)</f>
        <v>1.84734515584859</v>
      </c>
      <c r="AA205" s="17" t="n">
        <f aca="false">SQRT(($B205-AA$139)^2+($C205-AA$140)^2+($D205-AA$141)^2)</f>
        <v>1.72548050387342</v>
      </c>
      <c r="AB205" s="63" t="n">
        <f aca="false">MATCH(MIN(X205:AA205),X205:AA205,0)</f>
        <v>4</v>
      </c>
      <c r="AD205" s="17" t="n">
        <f aca="false">SQRT(($B205-AD$139)^2+($C205-AD$140)^2+($D205-AD$141)^2)</f>
        <v>5.47091471393216</v>
      </c>
      <c r="AE205" s="17" t="n">
        <f aca="false">SQRT(($B205-AE$139)^2+($C205-AE$140)^2+($D205-AE$141)^2)</f>
        <v>1.79439680204606</v>
      </c>
      <c r="AF205" s="17" t="n">
        <f aca="false">SQRT(($B205-AF$139)^2+($C205-AF$140)^2+($D205-AF$141)^2)</f>
        <v>1.48340241188527</v>
      </c>
      <c r="AG205" s="17" t="n">
        <f aca="false">SQRT(($B205-AG$139)^2+($C205-AG$140)^2+($D205-AG$141)^2)</f>
        <v>0.898984968950394</v>
      </c>
      <c r="AH205" s="63" t="n">
        <f aca="false">MATCH(MIN(AD205:AG205),AD205:AG205,0)</f>
        <v>4</v>
      </c>
      <c r="AJ205" s="17" t="n">
        <f aca="false">SQRT(($B205-AJ$139)^2+($C205-AJ$140)^2+($D205-AJ$141)^2)</f>
        <v>5.12304359097367</v>
      </c>
      <c r="AK205" s="17" t="n">
        <f aca="false">SQRT(($B205-AK$139)^2+($C205-AK$140)^2+($D205-AK$141)^2)</f>
        <v>1.82531936748799</v>
      </c>
      <c r="AL205" s="17" t="n">
        <f aca="false">SQRT(($B205-AL$139)^2+($C205-AL$140)^2+($D205-AL$141)^2)</f>
        <v>1.57404052179651</v>
      </c>
      <c r="AM205" s="17" t="n">
        <f aca="false">SQRT(($B205-AM$139)^2+($C205-AM$140)^2+($D205-AM$141)^2)</f>
        <v>0.771599680346705</v>
      </c>
      <c r="AN205" s="63" t="n">
        <f aca="false">MATCH(MIN(AJ205:AM205),AJ205:AM205,0)</f>
        <v>4</v>
      </c>
      <c r="AP205" s="17" t="n">
        <f aca="false">SQRT(($B205-AP$139)^2+($C205-AP$140)^2+($D205-AP$141)^2)</f>
        <v>4.83764853594842</v>
      </c>
      <c r="AQ205" s="17" t="n">
        <f aca="false">SQRT(($B205-AQ$139)^2+($C205-AQ$140)^2+($D205-AQ$141)^2)</f>
        <v>1.92155985257306</v>
      </c>
      <c r="AR205" s="17" t="n">
        <f aca="false">SQRT(($B205-AR$139)^2+($C205-AR$140)^2+($D205-AR$141)^2)</f>
        <v>1.52362225033523</v>
      </c>
      <c r="AS205" s="17" t="n">
        <f aca="false">SQRT(($B205-AS$139)^2+($C205-AS$140)^2+($D205-AS$141)^2)</f>
        <v>0.767562911963473</v>
      </c>
      <c r="AT205" s="63" t="n">
        <f aca="false">MATCH(MIN(AP205:AS205),AP205:AS205,0)</f>
        <v>4</v>
      </c>
      <c r="AV205" s="17" t="n">
        <f aca="false">SQRT(($B205-AV$139)^2+($C205-AV$140)^2+($D205-AV$141)^2)</f>
        <v>4.83764853594842</v>
      </c>
      <c r="AW205" s="17" t="n">
        <f aca="false">SQRT(($B205-AW$139)^2+($C205-AW$140)^2+($D205-AW$141)^2)</f>
        <v>1.92155985257306</v>
      </c>
      <c r="AX205" s="17" t="n">
        <f aca="false">SQRT(($B205-AX$139)^2+($C205-AX$140)^2+($D205-AX$141)^2)</f>
        <v>1.52362225033523</v>
      </c>
      <c r="AY205" s="17" t="n">
        <f aca="false">SQRT(($B205-AY$139)^2+($C205-AY$140)^2+($D205-AY$141)^2)</f>
        <v>0.767562911963473</v>
      </c>
      <c r="AZ205" s="63" t="n">
        <f aca="false">MATCH(MIN(AV205:AY205),AV205:AY205,0)</f>
        <v>4</v>
      </c>
      <c r="BB205" s="17" t="n">
        <f aca="false">SQRT(($B205-BB$139)^2+($C205-BB$140)^2+($D205-BB$141)^2)</f>
        <v>4.83764853594842</v>
      </c>
      <c r="BC205" s="17" t="n">
        <f aca="false">SQRT(($B205-BC$139)^2+($C205-BC$140)^2+($D205-BC$141)^2)</f>
        <v>1.92155985257306</v>
      </c>
      <c r="BD205" s="17" t="n">
        <f aca="false">SQRT(($B205-BD$139)^2+($C205-BD$140)^2+($D205-BD$141)^2)</f>
        <v>1.52362225033523</v>
      </c>
      <c r="BE205" s="17" t="n">
        <f aca="false">SQRT(($B205-BE$139)^2+($C205-BE$140)^2+($D205-BE$141)^2)</f>
        <v>0.767562911963473</v>
      </c>
      <c r="BF205" s="63" t="n">
        <f aca="false">MATCH(MIN(BB205:BE205),BB205:BE205,0)</f>
        <v>4</v>
      </c>
      <c r="BH205" s="17" t="n">
        <f aca="false">SQRT(($B205-BH$139)^2+($C205-BH$140)^2+($D205-BH$141)^2)</f>
        <v>4.83764853594842</v>
      </c>
      <c r="BI205" s="17" t="n">
        <f aca="false">SQRT(($B205-BI$139)^2+($C205-BI$140)^2+($D205-BI$141)^2)</f>
        <v>1.92155985257306</v>
      </c>
      <c r="BJ205" s="17" t="n">
        <f aca="false">SQRT(($B205-BJ$139)^2+($C205-BJ$140)^2+($D205-BJ$141)^2)</f>
        <v>1.52362225033523</v>
      </c>
      <c r="BK205" s="17" t="n">
        <f aca="false">SQRT(($B205-BK$139)^2+($C205-BK$140)^2+($D205-BK$141)^2)</f>
        <v>0.767562911963473</v>
      </c>
      <c r="BL205" s="63" t="n">
        <f aca="false">MATCH(MIN(BH205:BK205),BH205:BK205,0)</f>
        <v>4</v>
      </c>
      <c r="BN205" s="17" t="n">
        <f aca="false">SQRT(($B205-BN$139)^2+($C205-BN$140)^2+($D205-BN$141)^2)</f>
        <v>4.83764853594842</v>
      </c>
      <c r="BO205" s="17" t="n">
        <f aca="false">SQRT(($B205-BO$139)^2+($C205-BO$140)^2+($D205-BO$141)^2)</f>
        <v>1.92155985257306</v>
      </c>
      <c r="BP205" s="17" t="n">
        <f aca="false">SQRT(($B205-BP$139)^2+($C205-BP$140)^2+($D205-BP$141)^2)</f>
        <v>1.52362225033523</v>
      </c>
      <c r="BQ205" s="17" t="n">
        <f aca="false">SQRT(($B205-BQ$139)^2+($C205-BQ$140)^2+($D205-BQ$141)^2)</f>
        <v>0.767562911963473</v>
      </c>
      <c r="BR205" s="63" t="n">
        <f aca="false">MATCH(MIN(BN205:BQ205),BN205:BQ205,0)</f>
        <v>4</v>
      </c>
      <c r="BT205" s="17" t="n">
        <f aca="false">SQRT(($B205-BT$139)^2+($C205-BT$140)^2+($D205-BT$141)^2)</f>
        <v>4.83764853594842</v>
      </c>
      <c r="BU205" s="17" t="n">
        <f aca="false">SQRT(($B205-BU$139)^2+($C205-BU$140)^2+($D205-BU$141)^2)</f>
        <v>1.92155985257306</v>
      </c>
      <c r="BV205" s="17" t="n">
        <f aca="false">SQRT(($B205-BV$139)^2+($C205-BV$140)^2+($D205-BV$141)^2)</f>
        <v>1.52362225033523</v>
      </c>
      <c r="BW205" s="17" t="n">
        <f aca="false">SQRT(($B205-BW$139)^2+($C205-BW$140)^2+($D205-BW$141)^2)</f>
        <v>0.767562911963473</v>
      </c>
      <c r="BX205" s="63" t="n">
        <f aca="false">MATCH(MIN(BT205:BW205),BT205:BW205,0)</f>
        <v>4</v>
      </c>
      <c r="BZ205" s="17" t="n">
        <f aca="false">SQRT(($B205-BZ$139)^2+($C205-BZ$140)^2+($D205-BZ$141)^2)</f>
        <v>4.83764853594842</v>
      </c>
      <c r="CA205" s="17" t="n">
        <f aca="false">SQRT(($B205-CA$139)^2+($C205-CA$140)^2+($D205-CA$141)^2)</f>
        <v>1.92155985257306</v>
      </c>
      <c r="CB205" s="17" t="n">
        <f aca="false">SQRT(($B205-CB$139)^2+($C205-CB$140)^2+($D205-CB$141)^2)</f>
        <v>1.52362225033523</v>
      </c>
      <c r="CC205" s="17" t="n">
        <f aca="false">SQRT(($B205-CC$139)^2+($C205-CC$140)^2+($D205-CC$141)^2)</f>
        <v>0.767562911963473</v>
      </c>
      <c r="CD205" s="63" t="n">
        <f aca="false">MATCH(MIN(BZ205:CC205),BZ205:CC205,0)</f>
        <v>4</v>
      </c>
      <c r="CF205" s="17" t="n">
        <f aca="false">SQRT(($B205-CF$139)^2+($C205-CF$140)^2+($D205-CF$141)^2)</f>
        <v>4.83764853594842</v>
      </c>
      <c r="CG205" s="17" t="n">
        <f aca="false">SQRT(($B205-CG$139)^2+($C205-CG$140)^2+($D205-CG$141)^2)</f>
        <v>1.92155985257306</v>
      </c>
      <c r="CH205" s="17" t="n">
        <f aca="false">SQRT(($B205-CH$139)^2+($C205-CH$140)^2+($D205-CH$141)^2)</f>
        <v>1.52362225033523</v>
      </c>
      <c r="CI205" s="17" t="n">
        <f aca="false">SQRT(($B205-CI$139)^2+($C205-CI$140)^2+($D205-CI$141)^2)</f>
        <v>0.767562911963473</v>
      </c>
      <c r="CJ205" s="63" t="n">
        <f aca="false">MATCH(MIN(CF205:CI205),CF205:CI205,0)</f>
        <v>4</v>
      </c>
      <c r="CL205" s="17" t="n">
        <f aca="false">SQRT(($B205-CL$139)^2+($C205-CL$140)^2+($D205-CL$141)^2)</f>
        <v>4.83764853594842</v>
      </c>
      <c r="CM205" s="17" t="n">
        <f aca="false">SQRT(($B205-CM$139)^2+($C205-CM$140)^2+($D205-CM$141)^2)</f>
        <v>1.92155985257306</v>
      </c>
      <c r="CN205" s="17" t="n">
        <f aca="false">SQRT(($B205-CN$139)^2+($C205-CN$140)^2+($D205-CN$141)^2)</f>
        <v>1.52362225033523</v>
      </c>
      <c r="CO205" s="17" t="n">
        <f aca="false">SQRT(($B205-CO$139)^2+($C205-CO$140)^2+($D205-CO$141)^2)</f>
        <v>0.767562911963473</v>
      </c>
      <c r="CP205" s="63" t="n">
        <f aca="false">MATCH(MIN(CL205:CO205),CL205:CO205,0)</f>
        <v>4</v>
      </c>
    </row>
    <row r="206" customFormat="false" ht="15" hidden="false" customHeight="false" outlineLevel="0" collapsed="false">
      <c r="A206" s="36" t="str">
        <f aca="false">KMeans_Data!A65</f>
        <v>Other</v>
      </c>
      <c r="B206" s="17" t="n">
        <f aca="false">KMeans_Data!H65</f>
        <v>-0.0333406256173151</v>
      </c>
      <c r="C206" s="17" t="n">
        <f aca="false">KMeans_Data!I65</f>
        <v>0.547911385844501</v>
      </c>
      <c r="D206" s="17" t="n">
        <f aca="false">KMeans_Data!J65</f>
        <v>0.501871845301586</v>
      </c>
      <c r="E206" s="63" t="n">
        <f aca="false">CP206</f>
        <v>3</v>
      </c>
      <c r="F206" s="38" t="n">
        <f aca="false">($B206-INDEX($L$139:$O$139,E206))^2+($C206-INDEX($L$140:$O$140,E206))^2+($D206-INDEX($L$141:$O$141,E206))^2</f>
        <v>0.581007140090825</v>
      </c>
      <c r="G206" s="17" t="n">
        <f aca="false">IF(COUNTIF(Distance_Matrix!$E$10:$DQ$10,$E206)&lt;=1,0,SUMIF(Distance_Matrix!$E$10:$DQ$10,$E206,Distance_Matrix!$E$74:$DQ$74)/(COUNTIF(Distance_Matrix!$E$10:$DQ$10,$E206)-1))</f>
        <v>1.05674943240936</v>
      </c>
      <c r="H206" s="17" t="n">
        <f aca="false">MIN(IF(1=$E206,1E+099,IF(COUNTIF(Distance_Matrix!$E$10:$DQ$10,1)=0,1E+099,SUMIF(Distance_Matrix!$E$10:$DQ$10,1,Distance_Matrix!$E$74:$DQ$74)/COUNTIF(Distance_Matrix!$E$10:$DQ$10,1))),IF(2=$E206,1E+099,IF(COUNTIF(Distance_Matrix!$E$10:$DQ$10,2)=0,1E+099,SUMIF(Distance_Matrix!$E$10:$DQ$10,2,Distance_Matrix!$E$74:$DQ$74)/COUNTIF(Distance_Matrix!$E$10:$DQ$10,2))),IF(3=$E206,1E+099,IF(COUNTIF(Distance_Matrix!$E$10:$DQ$10,3)=0,1E+099,SUMIF(Distance_Matrix!$E$10:$DQ$10,3,Distance_Matrix!$E$74:$DQ$74)/COUNTIF(Distance_Matrix!$E$10:$DQ$10,3))),IF(4=$E206,1E+099,IF(COUNTIF(Distance_Matrix!$E$10:$DQ$10,4)=0,1E+099,SUMIF(Distance_Matrix!$E$10:$DQ$10,4,Distance_Matrix!$E$74:$DQ$74)/COUNTIF(Distance_Matrix!$E$10:$DQ$10,4))))</f>
        <v>1.52461190793659</v>
      </c>
      <c r="I206" s="17" t="n">
        <f aca="false">IF(COUNTIF(Distance_Matrix!$E$10:$DQ$10,$E206)&lt;=1,0,(H206-G206)/MAX(G206,H206))</f>
        <v>0.306873161026557</v>
      </c>
      <c r="X206" s="17" t="n">
        <f aca="false">SQRT(($B206-X$139)^2+($C206-X$140)^2+($D206-X$141)^2)</f>
        <v>5.54024690953817</v>
      </c>
      <c r="Y206" s="17" t="n">
        <f aca="false">SQRT(($B206-Y$139)^2+($C206-Y$140)^2+($D206-Y$141)^2)</f>
        <v>2.89686423762356</v>
      </c>
      <c r="Z206" s="17" t="n">
        <f aca="false">SQRT(($B206-Z$139)^2+($C206-Z$140)^2+($D206-Z$141)^2)</f>
        <v>1.45363127810799</v>
      </c>
      <c r="AA206" s="17" t="n">
        <f aca="false">SQRT(($B206-AA$139)^2+($C206-AA$140)^2+($D206-AA$141)^2)</f>
        <v>1.91265439138235</v>
      </c>
      <c r="AB206" s="63" t="n">
        <f aca="false">MATCH(MIN(X206:AA206),X206:AA206,0)</f>
        <v>3</v>
      </c>
      <c r="AD206" s="17" t="n">
        <f aca="false">SQRT(($B206-AD$139)^2+($C206-AD$140)^2+($D206-AD$141)^2)</f>
        <v>4.5613339227977</v>
      </c>
      <c r="AE206" s="17" t="n">
        <f aca="false">SQRT(($B206-AE$139)^2+($C206-AE$140)^2+($D206-AE$141)^2)</f>
        <v>2.22889865183935</v>
      </c>
      <c r="AF206" s="17" t="n">
        <f aca="false">SQRT(($B206-AF$139)^2+($C206-AF$140)^2+($D206-AF$141)^2)</f>
        <v>0.744618629271503</v>
      </c>
      <c r="AG206" s="17" t="n">
        <f aca="false">SQRT(($B206-AG$139)^2+($C206-AG$140)^2+($D206-AG$141)^2)</f>
        <v>1.45198469011422</v>
      </c>
      <c r="AH206" s="63" t="n">
        <f aca="false">MATCH(MIN(AD206:AG206),AD206:AG206,0)</f>
        <v>3</v>
      </c>
      <c r="AJ206" s="17" t="n">
        <f aca="false">SQRT(($B206-AJ$139)^2+($C206-AJ$140)^2+($D206-AJ$141)^2)</f>
        <v>4.22645029641563</v>
      </c>
      <c r="AK206" s="17" t="n">
        <f aca="false">SQRT(($B206-AK$139)^2+($C206-AK$140)^2+($D206-AK$141)^2)</f>
        <v>2.25706016416191</v>
      </c>
      <c r="AL206" s="17" t="n">
        <f aca="false">SQRT(($B206-AL$139)^2+($C206-AL$140)^2+($D206-AL$141)^2)</f>
        <v>0.794171633327913</v>
      </c>
      <c r="AM206" s="17" t="n">
        <f aca="false">SQRT(($B206-AM$139)^2+($C206-AM$140)^2+($D206-AM$141)^2)</f>
        <v>1.37052056061777</v>
      </c>
      <c r="AN206" s="63" t="n">
        <f aca="false">MATCH(MIN(AJ206:AM206),AJ206:AM206,0)</f>
        <v>3</v>
      </c>
      <c r="AP206" s="17" t="n">
        <f aca="false">SQRT(($B206-AP$139)^2+($C206-AP$140)^2+($D206-AP$141)^2)</f>
        <v>3.9310099471759</v>
      </c>
      <c r="AQ206" s="17" t="n">
        <f aca="false">SQRT(($B206-AQ$139)^2+($C206-AQ$140)^2+($D206-AQ$141)^2)</f>
        <v>2.33902217949079</v>
      </c>
      <c r="AR206" s="17" t="n">
        <f aca="false">SQRT(($B206-AR$139)^2+($C206-AR$140)^2+($D206-AR$141)^2)</f>
        <v>0.762238243655371</v>
      </c>
      <c r="AS206" s="17" t="n">
        <f aca="false">SQRT(($B206-AS$139)^2+($C206-AS$140)^2+($D206-AS$141)^2)</f>
        <v>1.37595751560527</v>
      </c>
      <c r="AT206" s="63" t="n">
        <f aca="false">MATCH(MIN(AP206:AS206),AP206:AS206,0)</f>
        <v>3</v>
      </c>
      <c r="AV206" s="17" t="n">
        <f aca="false">SQRT(($B206-AV$139)^2+($C206-AV$140)^2+($D206-AV$141)^2)</f>
        <v>3.9310099471759</v>
      </c>
      <c r="AW206" s="17" t="n">
        <f aca="false">SQRT(($B206-AW$139)^2+($C206-AW$140)^2+($D206-AW$141)^2)</f>
        <v>2.33902217949079</v>
      </c>
      <c r="AX206" s="17" t="n">
        <f aca="false">SQRT(($B206-AX$139)^2+($C206-AX$140)^2+($D206-AX$141)^2)</f>
        <v>0.762238243655371</v>
      </c>
      <c r="AY206" s="17" t="n">
        <f aca="false">SQRT(($B206-AY$139)^2+($C206-AY$140)^2+($D206-AY$141)^2)</f>
        <v>1.37595751560527</v>
      </c>
      <c r="AZ206" s="63" t="n">
        <f aca="false">MATCH(MIN(AV206:AY206),AV206:AY206,0)</f>
        <v>3</v>
      </c>
      <c r="BB206" s="17" t="n">
        <f aca="false">SQRT(($B206-BB$139)^2+($C206-BB$140)^2+($D206-BB$141)^2)</f>
        <v>3.9310099471759</v>
      </c>
      <c r="BC206" s="17" t="n">
        <f aca="false">SQRT(($B206-BC$139)^2+($C206-BC$140)^2+($D206-BC$141)^2)</f>
        <v>2.33902217949079</v>
      </c>
      <c r="BD206" s="17" t="n">
        <f aca="false">SQRT(($B206-BD$139)^2+($C206-BD$140)^2+($D206-BD$141)^2)</f>
        <v>0.762238243655371</v>
      </c>
      <c r="BE206" s="17" t="n">
        <f aca="false">SQRT(($B206-BE$139)^2+($C206-BE$140)^2+($D206-BE$141)^2)</f>
        <v>1.37595751560527</v>
      </c>
      <c r="BF206" s="63" t="n">
        <f aca="false">MATCH(MIN(BB206:BE206),BB206:BE206,0)</f>
        <v>3</v>
      </c>
      <c r="BH206" s="17" t="n">
        <f aca="false">SQRT(($B206-BH$139)^2+($C206-BH$140)^2+($D206-BH$141)^2)</f>
        <v>3.9310099471759</v>
      </c>
      <c r="BI206" s="17" t="n">
        <f aca="false">SQRT(($B206-BI$139)^2+($C206-BI$140)^2+($D206-BI$141)^2)</f>
        <v>2.33902217949079</v>
      </c>
      <c r="BJ206" s="17" t="n">
        <f aca="false">SQRT(($B206-BJ$139)^2+($C206-BJ$140)^2+($D206-BJ$141)^2)</f>
        <v>0.762238243655371</v>
      </c>
      <c r="BK206" s="17" t="n">
        <f aca="false">SQRT(($B206-BK$139)^2+($C206-BK$140)^2+($D206-BK$141)^2)</f>
        <v>1.37595751560527</v>
      </c>
      <c r="BL206" s="63" t="n">
        <f aca="false">MATCH(MIN(BH206:BK206),BH206:BK206,0)</f>
        <v>3</v>
      </c>
      <c r="BN206" s="17" t="n">
        <f aca="false">SQRT(($B206-BN$139)^2+($C206-BN$140)^2+($D206-BN$141)^2)</f>
        <v>3.9310099471759</v>
      </c>
      <c r="BO206" s="17" t="n">
        <f aca="false">SQRT(($B206-BO$139)^2+($C206-BO$140)^2+($D206-BO$141)^2)</f>
        <v>2.33902217949079</v>
      </c>
      <c r="BP206" s="17" t="n">
        <f aca="false">SQRT(($B206-BP$139)^2+($C206-BP$140)^2+($D206-BP$141)^2)</f>
        <v>0.762238243655371</v>
      </c>
      <c r="BQ206" s="17" t="n">
        <f aca="false">SQRT(($B206-BQ$139)^2+($C206-BQ$140)^2+($D206-BQ$141)^2)</f>
        <v>1.37595751560527</v>
      </c>
      <c r="BR206" s="63" t="n">
        <f aca="false">MATCH(MIN(BN206:BQ206),BN206:BQ206,0)</f>
        <v>3</v>
      </c>
      <c r="BT206" s="17" t="n">
        <f aca="false">SQRT(($B206-BT$139)^2+($C206-BT$140)^2+($D206-BT$141)^2)</f>
        <v>3.9310099471759</v>
      </c>
      <c r="BU206" s="17" t="n">
        <f aca="false">SQRT(($B206-BU$139)^2+($C206-BU$140)^2+($D206-BU$141)^2)</f>
        <v>2.33902217949079</v>
      </c>
      <c r="BV206" s="17" t="n">
        <f aca="false">SQRT(($B206-BV$139)^2+($C206-BV$140)^2+($D206-BV$141)^2)</f>
        <v>0.762238243655371</v>
      </c>
      <c r="BW206" s="17" t="n">
        <f aca="false">SQRT(($B206-BW$139)^2+($C206-BW$140)^2+($D206-BW$141)^2)</f>
        <v>1.37595751560527</v>
      </c>
      <c r="BX206" s="63" t="n">
        <f aca="false">MATCH(MIN(BT206:BW206),BT206:BW206,0)</f>
        <v>3</v>
      </c>
      <c r="BZ206" s="17" t="n">
        <f aca="false">SQRT(($B206-BZ$139)^2+($C206-BZ$140)^2+($D206-BZ$141)^2)</f>
        <v>3.9310099471759</v>
      </c>
      <c r="CA206" s="17" t="n">
        <f aca="false">SQRT(($B206-CA$139)^2+($C206-CA$140)^2+($D206-CA$141)^2)</f>
        <v>2.33902217949079</v>
      </c>
      <c r="CB206" s="17" t="n">
        <f aca="false">SQRT(($B206-CB$139)^2+($C206-CB$140)^2+($D206-CB$141)^2)</f>
        <v>0.762238243655371</v>
      </c>
      <c r="CC206" s="17" t="n">
        <f aca="false">SQRT(($B206-CC$139)^2+($C206-CC$140)^2+($D206-CC$141)^2)</f>
        <v>1.37595751560527</v>
      </c>
      <c r="CD206" s="63" t="n">
        <f aca="false">MATCH(MIN(BZ206:CC206),BZ206:CC206,0)</f>
        <v>3</v>
      </c>
      <c r="CF206" s="17" t="n">
        <f aca="false">SQRT(($B206-CF$139)^2+($C206-CF$140)^2+($D206-CF$141)^2)</f>
        <v>3.9310099471759</v>
      </c>
      <c r="CG206" s="17" t="n">
        <f aca="false">SQRT(($B206-CG$139)^2+($C206-CG$140)^2+($D206-CG$141)^2)</f>
        <v>2.33902217949079</v>
      </c>
      <c r="CH206" s="17" t="n">
        <f aca="false">SQRT(($B206-CH$139)^2+($C206-CH$140)^2+($D206-CH$141)^2)</f>
        <v>0.762238243655371</v>
      </c>
      <c r="CI206" s="17" t="n">
        <f aca="false">SQRT(($B206-CI$139)^2+($C206-CI$140)^2+($D206-CI$141)^2)</f>
        <v>1.37595751560527</v>
      </c>
      <c r="CJ206" s="63" t="n">
        <f aca="false">MATCH(MIN(CF206:CI206),CF206:CI206,0)</f>
        <v>3</v>
      </c>
      <c r="CL206" s="17" t="n">
        <f aca="false">SQRT(($B206-CL$139)^2+($C206-CL$140)^2+($D206-CL$141)^2)</f>
        <v>3.9310099471759</v>
      </c>
      <c r="CM206" s="17" t="n">
        <f aca="false">SQRT(($B206-CM$139)^2+($C206-CM$140)^2+($D206-CM$141)^2)</f>
        <v>2.33902217949079</v>
      </c>
      <c r="CN206" s="17" t="n">
        <f aca="false">SQRT(($B206-CN$139)^2+($C206-CN$140)^2+($D206-CN$141)^2)</f>
        <v>0.762238243655371</v>
      </c>
      <c r="CO206" s="17" t="n">
        <f aca="false">SQRT(($B206-CO$139)^2+($C206-CO$140)^2+($D206-CO$141)^2)</f>
        <v>1.37595751560527</v>
      </c>
      <c r="CP206" s="63" t="n">
        <f aca="false">MATCH(MIN(CL206:CO206),CL206:CO206,0)</f>
        <v>3</v>
      </c>
    </row>
    <row r="207" customFormat="false" ht="15" hidden="false" customHeight="false" outlineLevel="0" collapsed="false">
      <c r="A207" s="36" t="str">
        <f aca="false">KMeans_Data!A66</f>
        <v>Thatta</v>
      </c>
      <c r="B207" s="17" t="n">
        <f aca="false">KMeans_Data!H66</f>
        <v>-0.0436472993942904</v>
      </c>
      <c r="C207" s="17" t="n">
        <f aca="false">KMeans_Data!I66</f>
        <v>0.160512589624996</v>
      </c>
      <c r="D207" s="17" t="n">
        <f aca="false">KMeans_Data!J66</f>
        <v>0.042930091906806</v>
      </c>
      <c r="E207" s="63" t="n">
        <f aca="false">CP207</f>
        <v>4</v>
      </c>
      <c r="F207" s="38" t="n">
        <f aca="false">($B207-INDEX($L$139:$O$139,E207))^2+($C207-INDEX($L$140:$O$140,E207))^2+($D207-INDEX($L$141:$O$141,E207))^2</f>
        <v>0.628984664107423</v>
      </c>
      <c r="G207" s="17" t="n">
        <f aca="false">IF(COUNTIF(Distance_Matrix!$E$10:$DQ$10,$E207)&lt;=1,0,SUMIF(Distance_Matrix!$E$10:$DQ$10,$E207,Distance_Matrix!$E$75:$DQ$75)/(COUNTIF(Distance_Matrix!$E$10:$DQ$10,$E207)-1))</f>
        <v>1.07866651589323</v>
      </c>
      <c r="H207" s="17" t="n">
        <f aca="false">MIN(IF(1=$E207,1E+099,IF(COUNTIF(Distance_Matrix!$E$10:$DQ$10,1)=0,1E+099,SUMIF(Distance_Matrix!$E$10:$DQ$10,1,Distance_Matrix!$E$75:$DQ$75)/COUNTIF(Distance_Matrix!$E$10:$DQ$10,1))),IF(2=$E207,1E+099,IF(COUNTIF(Distance_Matrix!$E$10:$DQ$10,2)=0,1E+099,SUMIF(Distance_Matrix!$E$10:$DQ$10,2,Distance_Matrix!$E$75:$DQ$75)/COUNTIF(Distance_Matrix!$E$10:$DQ$10,2))),IF(3=$E207,1E+099,IF(COUNTIF(Distance_Matrix!$E$10:$DQ$10,3)=0,1E+099,SUMIF(Distance_Matrix!$E$10:$DQ$10,3,Distance_Matrix!$E$75:$DQ$75)/COUNTIF(Distance_Matrix!$E$10:$DQ$10,3))),IF(4=$E207,1E+099,IF(COUNTIF(Distance_Matrix!$E$10:$DQ$10,4)=0,1E+099,SUMIF(Distance_Matrix!$E$10:$DQ$10,4,Distance_Matrix!$E$75:$DQ$75)/COUNTIF(Distance_Matrix!$E$10:$DQ$10,4))))</f>
        <v>1.31741826864878</v>
      </c>
      <c r="I207" s="17" t="n">
        <f aca="false">IF(COUNTIF(Distance_Matrix!$E$10:$DQ$10,$E207)&lt;=1,0,(H207-G207)/MAX(G207,H207))</f>
        <v>0.181226994066529</v>
      </c>
      <c r="X207" s="17" t="n">
        <f aca="false">SQRT(($B207-X$139)^2+($C207-X$140)^2+($D207-X$141)^2)</f>
        <v>6.02934929788541</v>
      </c>
      <c r="Y207" s="17" t="n">
        <f aca="false">SQRT(($B207-Y$139)^2+($C207-Y$140)^2+($D207-Y$141)^2)</f>
        <v>2.50050689361822</v>
      </c>
      <c r="Z207" s="17" t="n">
        <f aca="false">SQRT(($B207-Z$139)^2+($C207-Z$140)^2+($D207-Z$141)^2)</f>
        <v>1.80383182415036</v>
      </c>
      <c r="AA207" s="17" t="n">
        <f aca="false">SQRT(($B207-AA$139)^2+($C207-AA$140)^2+($D207-AA$141)^2)</f>
        <v>1.40798608818062</v>
      </c>
      <c r="AB207" s="63" t="n">
        <f aca="false">MATCH(MIN(X207:AA207),X207:AA207,0)</f>
        <v>4</v>
      </c>
      <c r="AD207" s="17" t="n">
        <f aca="false">SQRT(($B207-AD$139)^2+($C207-AD$140)^2+($D207-AD$141)^2)</f>
        <v>5.03427909230894</v>
      </c>
      <c r="AE207" s="17" t="n">
        <f aca="false">SQRT(($B207-AE$139)^2+($C207-AE$140)^2+($D207-AE$141)^2)</f>
        <v>1.74747905214206</v>
      </c>
      <c r="AF207" s="17" t="n">
        <f aca="false">SQRT(($B207-AF$139)^2+($C207-AF$140)^2+($D207-AF$141)^2)</f>
        <v>1.1391437928291</v>
      </c>
      <c r="AG207" s="17" t="n">
        <f aca="false">SQRT(($B207-AG$139)^2+($C207-AG$140)^2+($D207-AG$141)^2)</f>
        <v>0.855885850340562</v>
      </c>
      <c r="AH207" s="63" t="n">
        <f aca="false">MATCH(MIN(AD207:AG207),AD207:AG207,0)</f>
        <v>4</v>
      </c>
      <c r="AJ207" s="17" t="n">
        <f aca="false">SQRT(($B207-AJ$139)^2+($C207-AJ$140)^2+($D207-AJ$141)^2)</f>
        <v>4.69352856288117</v>
      </c>
      <c r="AK207" s="17" t="n">
        <f aca="false">SQRT(($B207-AK$139)^2+($C207-AK$140)^2+($D207-AK$141)^2)</f>
        <v>1.77029550176943</v>
      </c>
      <c r="AL207" s="17" t="n">
        <f aca="false">SQRT(($B207-AL$139)^2+($C207-AL$140)^2+($D207-AL$141)^2)</f>
        <v>1.20119632924823</v>
      </c>
      <c r="AM207" s="17" t="n">
        <f aca="false">SQRT(($B207-AM$139)^2+($C207-AM$140)^2+($D207-AM$141)^2)</f>
        <v>0.784758365931096</v>
      </c>
      <c r="AN207" s="63" t="n">
        <f aca="false">MATCH(MIN(AJ207:AM207),AJ207:AM207,0)</f>
        <v>4</v>
      </c>
      <c r="AP207" s="17" t="n">
        <f aca="false">SQRT(($B207-AP$139)^2+($C207-AP$140)^2+($D207-AP$141)^2)</f>
        <v>4.39903764260703</v>
      </c>
      <c r="AQ207" s="17" t="n">
        <f aca="false">SQRT(($B207-AQ$139)^2+($C207-AQ$140)^2+($D207-AQ$141)^2)</f>
        <v>1.85213886815637</v>
      </c>
      <c r="AR207" s="17" t="n">
        <f aca="false">SQRT(($B207-AR$139)^2+($C207-AR$140)^2+($D207-AR$141)^2)</f>
        <v>1.16013723664519</v>
      </c>
      <c r="AS207" s="17" t="n">
        <f aca="false">SQRT(($B207-AS$139)^2+($C207-AS$140)^2+($D207-AS$141)^2)</f>
        <v>0.793085533916376</v>
      </c>
      <c r="AT207" s="63" t="n">
        <f aca="false">MATCH(MIN(AP207:AS207),AP207:AS207,0)</f>
        <v>4</v>
      </c>
      <c r="AV207" s="17" t="n">
        <f aca="false">SQRT(($B207-AV$139)^2+($C207-AV$140)^2+($D207-AV$141)^2)</f>
        <v>4.39903764260703</v>
      </c>
      <c r="AW207" s="17" t="n">
        <f aca="false">SQRT(($B207-AW$139)^2+($C207-AW$140)^2+($D207-AW$141)^2)</f>
        <v>1.85213886815637</v>
      </c>
      <c r="AX207" s="17" t="n">
        <f aca="false">SQRT(($B207-AX$139)^2+($C207-AX$140)^2+($D207-AX$141)^2)</f>
        <v>1.16013723664519</v>
      </c>
      <c r="AY207" s="17" t="n">
        <f aca="false">SQRT(($B207-AY$139)^2+($C207-AY$140)^2+($D207-AY$141)^2)</f>
        <v>0.793085533916376</v>
      </c>
      <c r="AZ207" s="63" t="n">
        <f aca="false">MATCH(MIN(AV207:AY207),AV207:AY207,0)</f>
        <v>4</v>
      </c>
      <c r="BB207" s="17" t="n">
        <f aca="false">SQRT(($B207-BB$139)^2+($C207-BB$140)^2+($D207-BB$141)^2)</f>
        <v>4.39903764260703</v>
      </c>
      <c r="BC207" s="17" t="n">
        <f aca="false">SQRT(($B207-BC$139)^2+($C207-BC$140)^2+($D207-BC$141)^2)</f>
        <v>1.85213886815637</v>
      </c>
      <c r="BD207" s="17" t="n">
        <f aca="false">SQRT(($B207-BD$139)^2+($C207-BD$140)^2+($D207-BD$141)^2)</f>
        <v>1.16013723664519</v>
      </c>
      <c r="BE207" s="17" t="n">
        <f aca="false">SQRT(($B207-BE$139)^2+($C207-BE$140)^2+($D207-BE$141)^2)</f>
        <v>0.793085533916376</v>
      </c>
      <c r="BF207" s="63" t="n">
        <f aca="false">MATCH(MIN(BB207:BE207),BB207:BE207,0)</f>
        <v>4</v>
      </c>
      <c r="BH207" s="17" t="n">
        <f aca="false">SQRT(($B207-BH$139)^2+($C207-BH$140)^2+($D207-BH$141)^2)</f>
        <v>4.39903764260703</v>
      </c>
      <c r="BI207" s="17" t="n">
        <f aca="false">SQRT(($B207-BI$139)^2+($C207-BI$140)^2+($D207-BI$141)^2)</f>
        <v>1.85213886815637</v>
      </c>
      <c r="BJ207" s="17" t="n">
        <f aca="false">SQRT(($B207-BJ$139)^2+($C207-BJ$140)^2+($D207-BJ$141)^2)</f>
        <v>1.16013723664519</v>
      </c>
      <c r="BK207" s="17" t="n">
        <f aca="false">SQRT(($B207-BK$139)^2+($C207-BK$140)^2+($D207-BK$141)^2)</f>
        <v>0.793085533916376</v>
      </c>
      <c r="BL207" s="63" t="n">
        <f aca="false">MATCH(MIN(BH207:BK207),BH207:BK207,0)</f>
        <v>4</v>
      </c>
      <c r="BN207" s="17" t="n">
        <f aca="false">SQRT(($B207-BN$139)^2+($C207-BN$140)^2+($D207-BN$141)^2)</f>
        <v>4.39903764260703</v>
      </c>
      <c r="BO207" s="17" t="n">
        <f aca="false">SQRT(($B207-BO$139)^2+($C207-BO$140)^2+($D207-BO$141)^2)</f>
        <v>1.85213886815637</v>
      </c>
      <c r="BP207" s="17" t="n">
        <f aca="false">SQRT(($B207-BP$139)^2+($C207-BP$140)^2+($D207-BP$141)^2)</f>
        <v>1.16013723664519</v>
      </c>
      <c r="BQ207" s="17" t="n">
        <f aca="false">SQRT(($B207-BQ$139)^2+($C207-BQ$140)^2+($D207-BQ$141)^2)</f>
        <v>0.793085533916376</v>
      </c>
      <c r="BR207" s="63" t="n">
        <f aca="false">MATCH(MIN(BN207:BQ207),BN207:BQ207,0)</f>
        <v>4</v>
      </c>
      <c r="BT207" s="17" t="n">
        <f aca="false">SQRT(($B207-BT$139)^2+($C207-BT$140)^2+($D207-BT$141)^2)</f>
        <v>4.39903764260703</v>
      </c>
      <c r="BU207" s="17" t="n">
        <f aca="false">SQRT(($B207-BU$139)^2+($C207-BU$140)^2+($D207-BU$141)^2)</f>
        <v>1.85213886815637</v>
      </c>
      <c r="BV207" s="17" t="n">
        <f aca="false">SQRT(($B207-BV$139)^2+($C207-BV$140)^2+($D207-BV$141)^2)</f>
        <v>1.16013723664519</v>
      </c>
      <c r="BW207" s="17" t="n">
        <f aca="false">SQRT(($B207-BW$139)^2+($C207-BW$140)^2+($D207-BW$141)^2)</f>
        <v>0.793085533916376</v>
      </c>
      <c r="BX207" s="63" t="n">
        <f aca="false">MATCH(MIN(BT207:BW207),BT207:BW207,0)</f>
        <v>4</v>
      </c>
      <c r="BZ207" s="17" t="n">
        <f aca="false">SQRT(($B207-BZ$139)^2+($C207-BZ$140)^2+($D207-BZ$141)^2)</f>
        <v>4.39903764260703</v>
      </c>
      <c r="CA207" s="17" t="n">
        <f aca="false">SQRT(($B207-CA$139)^2+($C207-CA$140)^2+($D207-CA$141)^2)</f>
        <v>1.85213886815637</v>
      </c>
      <c r="CB207" s="17" t="n">
        <f aca="false">SQRT(($B207-CB$139)^2+($C207-CB$140)^2+($D207-CB$141)^2)</f>
        <v>1.16013723664519</v>
      </c>
      <c r="CC207" s="17" t="n">
        <f aca="false">SQRT(($B207-CC$139)^2+($C207-CC$140)^2+($D207-CC$141)^2)</f>
        <v>0.793085533916376</v>
      </c>
      <c r="CD207" s="63" t="n">
        <f aca="false">MATCH(MIN(BZ207:CC207),BZ207:CC207,0)</f>
        <v>4</v>
      </c>
      <c r="CF207" s="17" t="n">
        <f aca="false">SQRT(($B207-CF$139)^2+($C207-CF$140)^2+($D207-CF$141)^2)</f>
        <v>4.39903764260703</v>
      </c>
      <c r="CG207" s="17" t="n">
        <f aca="false">SQRT(($B207-CG$139)^2+($C207-CG$140)^2+($D207-CG$141)^2)</f>
        <v>1.85213886815637</v>
      </c>
      <c r="CH207" s="17" t="n">
        <f aca="false">SQRT(($B207-CH$139)^2+($C207-CH$140)^2+($D207-CH$141)^2)</f>
        <v>1.16013723664519</v>
      </c>
      <c r="CI207" s="17" t="n">
        <f aca="false">SQRT(($B207-CI$139)^2+($C207-CI$140)^2+($D207-CI$141)^2)</f>
        <v>0.793085533916376</v>
      </c>
      <c r="CJ207" s="63" t="n">
        <f aca="false">MATCH(MIN(CF207:CI207),CF207:CI207,0)</f>
        <v>4</v>
      </c>
      <c r="CL207" s="17" t="n">
        <f aca="false">SQRT(($B207-CL$139)^2+($C207-CL$140)^2+($D207-CL$141)^2)</f>
        <v>4.39903764260703</v>
      </c>
      <c r="CM207" s="17" t="n">
        <f aca="false">SQRT(($B207-CM$139)^2+($C207-CM$140)^2+($D207-CM$141)^2)</f>
        <v>1.85213886815637</v>
      </c>
      <c r="CN207" s="17" t="n">
        <f aca="false">SQRT(($B207-CN$139)^2+($C207-CN$140)^2+($D207-CN$141)^2)</f>
        <v>1.16013723664519</v>
      </c>
      <c r="CO207" s="17" t="n">
        <f aca="false">SQRT(($B207-CO$139)^2+($C207-CO$140)^2+($D207-CO$141)^2)</f>
        <v>0.793085533916376</v>
      </c>
      <c r="CP207" s="63" t="n">
        <f aca="false">MATCH(MIN(CL207:CO207),CL207:CO207,0)</f>
        <v>4</v>
      </c>
    </row>
    <row r="208" customFormat="false" ht="15" hidden="false" customHeight="false" outlineLevel="0" collapsed="false">
      <c r="A208" s="36" t="str">
        <f aca="false">KMeans_Data!A67</f>
        <v>Hafizabad</v>
      </c>
      <c r="B208" s="17" t="n">
        <f aca="false">KMeans_Data!H67</f>
        <v>-0.0648939235999031</v>
      </c>
      <c r="C208" s="17" t="n">
        <f aca="false">KMeans_Data!I67</f>
        <v>-0.672650545388274</v>
      </c>
      <c r="D208" s="17" t="n">
        <f aca="false">KMeans_Data!J67</f>
        <v>-0.824446015898766</v>
      </c>
      <c r="E208" s="63" t="n">
        <f aca="false">CP208</f>
        <v>4</v>
      </c>
      <c r="F208" s="38" t="n">
        <f aca="false">($B208-INDEX($L$139:$O$139,E208))^2+($C208-INDEX($L$140:$O$140,E208))^2+($D208-INDEX($L$141:$O$141,E208))^2</f>
        <v>0.233083439994348</v>
      </c>
      <c r="G208" s="17" t="n">
        <f aca="false">IF(COUNTIF(Distance_Matrix!$E$10:$DQ$10,$E208)&lt;=1,0,SUMIF(Distance_Matrix!$E$10:$DQ$10,$E208,Distance_Matrix!$E$76:$DQ$76)/(COUNTIF(Distance_Matrix!$E$10:$DQ$10,$E208)-1))</f>
        <v>0.847154507347069</v>
      </c>
      <c r="H208" s="17" t="n">
        <f aca="false">MIN(IF(1=$E208,1E+099,IF(COUNTIF(Distance_Matrix!$E$10:$DQ$10,1)=0,1E+099,SUMIF(Distance_Matrix!$E$10:$DQ$10,1,Distance_Matrix!$E$76:$DQ$76)/COUNTIF(Distance_Matrix!$E$10:$DQ$10,1))),IF(2=$E208,1E+099,IF(COUNTIF(Distance_Matrix!$E$10:$DQ$10,2)=0,1E+099,SUMIF(Distance_Matrix!$E$10:$DQ$10,2,Distance_Matrix!$E$76:$DQ$76)/COUNTIF(Distance_Matrix!$E$10:$DQ$10,2))),IF(3=$E208,1E+099,IF(COUNTIF(Distance_Matrix!$E$10:$DQ$10,3)=0,1E+099,SUMIF(Distance_Matrix!$E$10:$DQ$10,3,Distance_Matrix!$E$76:$DQ$76)/COUNTIF(Distance_Matrix!$E$10:$DQ$10,3))),IF(4=$E208,1E+099,IF(COUNTIF(Distance_Matrix!$E$10:$DQ$10,4)=0,1E+099,SUMIF(Distance_Matrix!$E$10:$DQ$10,4,Distance_Matrix!$E$76:$DQ$76)/COUNTIF(Distance_Matrix!$E$10:$DQ$10,4))))</f>
        <v>1.26033087843238</v>
      </c>
      <c r="I208" s="17" t="n">
        <f aca="false">IF(COUNTIF(Distance_Matrix!$E$10:$DQ$10,$E208)&lt;=1,0,(H208-G208)/MAX(G208,H208))</f>
        <v>0.32783166560136</v>
      </c>
      <c r="X208" s="17" t="n">
        <f aca="false">SQRT(($B208-X$139)^2+($C208-X$140)^2+($D208-X$141)^2)</f>
        <v>7.06907020065435</v>
      </c>
      <c r="Y208" s="17" t="n">
        <f aca="false">SQRT(($B208-Y$139)^2+($C208-Y$140)^2+($D208-Y$141)^2)</f>
        <v>2.04028546987929</v>
      </c>
      <c r="Z208" s="17" t="n">
        <f aca="false">SQRT(($B208-Z$139)^2+($C208-Z$140)^2+($D208-Z$141)^2)</f>
        <v>2.75437055778799</v>
      </c>
      <c r="AA208" s="17" t="n">
        <f aca="false">SQRT(($B208-AA$139)^2+($C208-AA$140)^2+($D208-AA$141)^2)</f>
        <v>0.940425373676004</v>
      </c>
      <c r="AB208" s="63" t="n">
        <f aca="false">MATCH(MIN(X208:AA208),X208:AA208,0)</f>
        <v>4</v>
      </c>
      <c r="AD208" s="17" t="n">
        <f aca="false">SQRT(($B208-AD$139)^2+($C208-AD$140)^2+($D208-AD$141)^2)</f>
        <v>6.06111012377618</v>
      </c>
      <c r="AE208" s="17" t="n">
        <f aca="false">SQRT(($B208-AE$139)^2+($C208-AE$140)^2+($D208-AE$141)^2)</f>
        <v>1.18147102965222</v>
      </c>
      <c r="AF208" s="17" t="n">
        <f aca="false">SQRT(($B208-AF$139)^2+($C208-AF$140)^2+($D208-AF$141)^2)</f>
        <v>2.21754296577459</v>
      </c>
      <c r="AG208" s="17" t="n">
        <f aca="false">SQRT(($B208-AG$139)^2+($C208-AG$140)^2+($D208-AG$141)^2)</f>
        <v>0.360660252399197</v>
      </c>
      <c r="AH208" s="63" t="n">
        <f aca="false">MATCH(MIN(AD208:AG208),AD208:AG208,0)</f>
        <v>4</v>
      </c>
      <c r="AJ208" s="17" t="n">
        <f aca="false">SQRT(($B208-AJ$139)^2+($C208-AJ$140)^2+($D208-AJ$141)^2)</f>
        <v>5.71494276153844</v>
      </c>
      <c r="AK208" s="17" t="n">
        <f aca="false">SQRT(($B208-AK$139)^2+($C208-AK$140)^2+($D208-AK$141)^2)</f>
        <v>1.17860136822877</v>
      </c>
      <c r="AL208" s="17" t="n">
        <f aca="false">SQRT(($B208-AL$139)^2+($C208-AL$140)^2+($D208-AL$141)^2)</f>
        <v>2.28254136960397</v>
      </c>
      <c r="AM208" s="17" t="n">
        <f aca="false">SQRT(($B208-AM$139)^2+($C208-AM$140)^2+($D208-AM$141)^2)</f>
        <v>0.47504597467945</v>
      </c>
      <c r="AN208" s="63" t="n">
        <f aca="false">MATCH(MIN(AJ208:AM208),AJ208:AM208,0)</f>
        <v>4</v>
      </c>
      <c r="AP208" s="17" t="n">
        <f aca="false">SQRT(($B208-AP$139)^2+($C208-AP$140)^2+($D208-AP$141)^2)</f>
        <v>5.426136739761</v>
      </c>
      <c r="AQ208" s="17" t="n">
        <f aca="false">SQRT(($B208-AQ$139)^2+($C208-AQ$140)^2+($D208-AQ$141)^2)</f>
        <v>1.23864147479829</v>
      </c>
      <c r="AR208" s="17" t="n">
        <f aca="false">SQRT(($B208-AR$139)^2+($C208-AR$140)^2+($D208-AR$141)^2)</f>
        <v>2.23943689222685</v>
      </c>
      <c r="AS208" s="17" t="n">
        <f aca="false">SQRT(($B208-AS$139)^2+($C208-AS$140)^2+($D208-AS$141)^2)</f>
        <v>0.482787158066935</v>
      </c>
      <c r="AT208" s="63" t="n">
        <f aca="false">MATCH(MIN(AP208:AS208),AP208:AS208,0)</f>
        <v>4</v>
      </c>
      <c r="AV208" s="17" t="n">
        <f aca="false">SQRT(($B208-AV$139)^2+($C208-AV$140)^2+($D208-AV$141)^2)</f>
        <v>5.426136739761</v>
      </c>
      <c r="AW208" s="17" t="n">
        <f aca="false">SQRT(($B208-AW$139)^2+($C208-AW$140)^2+($D208-AW$141)^2)</f>
        <v>1.23864147479829</v>
      </c>
      <c r="AX208" s="17" t="n">
        <f aca="false">SQRT(($B208-AX$139)^2+($C208-AX$140)^2+($D208-AX$141)^2)</f>
        <v>2.23943689222685</v>
      </c>
      <c r="AY208" s="17" t="n">
        <f aca="false">SQRT(($B208-AY$139)^2+($C208-AY$140)^2+($D208-AY$141)^2)</f>
        <v>0.482787158066935</v>
      </c>
      <c r="AZ208" s="63" t="n">
        <f aca="false">MATCH(MIN(AV208:AY208),AV208:AY208,0)</f>
        <v>4</v>
      </c>
      <c r="BB208" s="17" t="n">
        <f aca="false">SQRT(($B208-BB$139)^2+($C208-BB$140)^2+($D208-BB$141)^2)</f>
        <v>5.426136739761</v>
      </c>
      <c r="BC208" s="17" t="n">
        <f aca="false">SQRT(($B208-BC$139)^2+($C208-BC$140)^2+($D208-BC$141)^2)</f>
        <v>1.23864147479829</v>
      </c>
      <c r="BD208" s="17" t="n">
        <f aca="false">SQRT(($B208-BD$139)^2+($C208-BD$140)^2+($D208-BD$141)^2)</f>
        <v>2.23943689222685</v>
      </c>
      <c r="BE208" s="17" t="n">
        <f aca="false">SQRT(($B208-BE$139)^2+($C208-BE$140)^2+($D208-BE$141)^2)</f>
        <v>0.482787158066935</v>
      </c>
      <c r="BF208" s="63" t="n">
        <f aca="false">MATCH(MIN(BB208:BE208),BB208:BE208,0)</f>
        <v>4</v>
      </c>
      <c r="BH208" s="17" t="n">
        <f aca="false">SQRT(($B208-BH$139)^2+($C208-BH$140)^2+($D208-BH$141)^2)</f>
        <v>5.426136739761</v>
      </c>
      <c r="BI208" s="17" t="n">
        <f aca="false">SQRT(($B208-BI$139)^2+($C208-BI$140)^2+($D208-BI$141)^2)</f>
        <v>1.23864147479829</v>
      </c>
      <c r="BJ208" s="17" t="n">
        <f aca="false">SQRT(($B208-BJ$139)^2+($C208-BJ$140)^2+($D208-BJ$141)^2)</f>
        <v>2.23943689222685</v>
      </c>
      <c r="BK208" s="17" t="n">
        <f aca="false">SQRT(($B208-BK$139)^2+($C208-BK$140)^2+($D208-BK$141)^2)</f>
        <v>0.482787158066935</v>
      </c>
      <c r="BL208" s="63" t="n">
        <f aca="false">MATCH(MIN(BH208:BK208),BH208:BK208,0)</f>
        <v>4</v>
      </c>
      <c r="BN208" s="17" t="n">
        <f aca="false">SQRT(($B208-BN$139)^2+($C208-BN$140)^2+($D208-BN$141)^2)</f>
        <v>5.426136739761</v>
      </c>
      <c r="BO208" s="17" t="n">
        <f aca="false">SQRT(($B208-BO$139)^2+($C208-BO$140)^2+($D208-BO$141)^2)</f>
        <v>1.23864147479829</v>
      </c>
      <c r="BP208" s="17" t="n">
        <f aca="false">SQRT(($B208-BP$139)^2+($C208-BP$140)^2+($D208-BP$141)^2)</f>
        <v>2.23943689222685</v>
      </c>
      <c r="BQ208" s="17" t="n">
        <f aca="false">SQRT(($B208-BQ$139)^2+($C208-BQ$140)^2+($D208-BQ$141)^2)</f>
        <v>0.482787158066935</v>
      </c>
      <c r="BR208" s="63" t="n">
        <f aca="false">MATCH(MIN(BN208:BQ208),BN208:BQ208,0)</f>
        <v>4</v>
      </c>
      <c r="BT208" s="17" t="n">
        <f aca="false">SQRT(($B208-BT$139)^2+($C208-BT$140)^2+($D208-BT$141)^2)</f>
        <v>5.426136739761</v>
      </c>
      <c r="BU208" s="17" t="n">
        <f aca="false">SQRT(($B208-BU$139)^2+($C208-BU$140)^2+($D208-BU$141)^2)</f>
        <v>1.23864147479829</v>
      </c>
      <c r="BV208" s="17" t="n">
        <f aca="false">SQRT(($B208-BV$139)^2+($C208-BV$140)^2+($D208-BV$141)^2)</f>
        <v>2.23943689222685</v>
      </c>
      <c r="BW208" s="17" t="n">
        <f aca="false">SQRT(($B208-BW$139)^2+($C208-BW$140)^2+($D208-BW$141)^2)</f>
        <v>0.482787158066935</v>
      </c>
      <c r="BX208" s="63" t="n">
        <f aca="false">MATCH(MIN(BT208:BW208),BT208:BW208,0)</f>
        <v>4</v>
      </c>
      <c r="BZ208" s="17" t="n">
        <f aca="false">SQRT(($B208-BZ$139)^2+($C208-BZ$140)^2+($D208-BZ$141)^2)</f>
        <v>5.426136739761</v>
      </c>
      <c r="CA208" s="17" t="n">
        <f aca="false">SQRT(($B208-CA$139)^2+($C208-CA$140)^2+($D208-CA$141)^2)</f>
        <v>1.23864147479829</v>
      </c>
      <c r="CB208" s="17" t="n">
        <f aca="false">SQRT(($B208-CB$139)^2+($C208-CB$140)^2+($D208-CB$141)^2)</f>
        <v>2.23943689222685</v>
      </c>
      <c r="CC208" s="17" t="n">
        <f aca="false">SQRT(($B208-CC$139)^2+($C208-CC$140)^2+($D208-CC$141)^2)</f>
        <v>0.482787158066935</v>
      </c>
      <c r="CD208" s="63" t="n">
        <f aca="false">MATCH(MIN(BZ208:CC208),BZ208:CC208,0)</f>
        <v>4</v>
      </c>
      <c r="CF208" s="17" t="n">
        <f aca="false">SQRT(($B208-CF$139)^2+($C208-CF$140)^2+($D208-CF$141)^2)</f>
        <v>5.426136739761</v>
      </c>
      <c r="CG208" s="17" t="n">
        <f aca="false">SQRT(($B208-CG$139)^2+($C208-CG$140)^2+($D208-CG$141)^2)</f>
        <v>1.23864147479829</v>
      </c>
      <c r="CH208" s="17" t="n">
        <f aca="false">SQRT(($B208-CH$139)^2+($C208-CH$140)^2+($D208-CH$141)^2)</f>
        <v>2.23943689222685</v>
      </c>
      <c r="CI208" s="17" t="n">
        <f aca="false">SQRT(($B208-CI$139)^2+($C208-CI$140)^2+($D208-CI$141)^2)</f>
        <v>0.482787158066935</v>
      </c>
      <c r="CJ208" s="63" t="n">
        <f aca="false">MATCH(MIN(CF208:CI208),CF208:CI208,0)</f>
        <v>4</v>
      </c>
      <c r="CL208" s="17" t="n">
        <f aca="false">SQRT(($B208-CL$139)^2+($C208-CL$140)^2+($D208-CL$141)^2)</f>
        <v>5.426136739761</v>
      </c>
      <c r="CM208" s="17" t="n">
        <f aca="false">SQRT(($B208-CM$139)^2+($C208-CM$140)^2+($D208-CM$141)^2)</f>
        <v>1.23864147479829</v>
      </c>
      <c r="CN208" s="17" t="n">
        <f aca="false">SQRT(($B208-CN$139)^2+($C208-CN$140)^2+($D208-CN$141)^2)</f>
        <v>2.23943689222685</v>
      </c>
      <c r="CO208" s="17" t="n">
        <f aca="false">SQRT(($B208-CO$139)^2+($C208-CO$140)^2+($D208-CO$141)^2)</f>
        <v>0.482787158066935</v>
      </c>
      <c r="CP208" s="63" t="n">
        <f aca="false">MATCH(MIN(CL208:CO208),CL208:CO208,0)</f>
        <v>4</v>
      </c>
    </row>
    <row r="209" customFormat="false" ht="15" hidden="false" customHeight="false" outlineLevel="0" collapsed="false">
      <c r="A209" s="36" t="str">
        <f aca="false">KMeans_Data!A68</f>
        <v>Mirpurkhas</v>
      </c>
      <c r="B209" s="17" t="n">
        <f aca="false">KMeans_Data!H68</f>
        <v>-0.0984842888309702</v>
      </c>
      <c r="C209" s="17" t="n">
        <f aca="false">KMeans_Data!I68</f>
        <v>0.160512589624996</v>
      </c>
      <c r="D209" s="17" t="n">
        <f aca="false">KMeans_Data!J68</f>
        <v>0.265159896369606</v>
      </c>
      <c r="E209" s="63" t="n">
        <f aca="false">CP209</f>
        <v>4</v>
      </c>
      <c r="F209" s="38" t="n">
        <f aca="false">($B209-INDEX($L$139:$O$139,E209))^2+($C209-INDEX($L$140:$O$140,E209))^2+($D209-INDEX($L$141:$O$141,E209))^2</f>
        <v>0.857838724266294</v>
      </c>
      <c r="G209" s="17" t="n">
        <f aca="false">IF(COUNTIF(Distance_Matrix!$E$10:$DQ$10,$E209)&lt;=1,0,SUMIF(Distance_Matrix!$E$10:$DQ$10,$E209,Distance_Matrix!$E$77:$DQ$77)/(COUNTIF(Distance_Matrix!$E$10:$DQ$10,$E209)-1))</f>
        <v>1.15916189307902</v>
      </c>
      <c r="H209" s="17" t="n">
        <f aca="false">MIN(IF(1=$E209,1E+099,IF(COUNTIF(Distance_Matrix!$E$10:$DQ$10,1)=0,1E+099,SUMIF(Distance_Matrix!$E$10:$DQ$10,1,Distance_Matrix!$E$77:$DQ$77)/COUNTIF(Distance_Matrix!$E$10:$DQ$10,1))),IF(2=$E209,1E+099,IF(COUNTIF(Distance_Matrix!$E$10:$DQ$10,2)=0,1E+099,SUMIF(Distance_Matrix!$E$10:$DQ$10,2,Distance_Matrix!$E$77:$DQ$77)/COUNTIF(Distance_Matrix!$E$10:$DQ$10,2))),IF(3=$E209,1E+099,IF(COUNTIF(Distance_Matrix!$E$10:$DQ$10,3)=0,1E+099,SUMIF(Distance_Matrix!$E$10:$DQ$10,3,Distance_Matrix!$E$77:$DQ$77)/COUNTIF(Distance_Matrix!$E$10:$DQ$10,3))),IF(4=$E209,1E+099,IF(COUNTIF(Distance_Matrix!$E$10:$DQ$10,4)=0,1E+099,SUMIF(Distance_Matrix!$E$10:$DQ$10,4,Distance_Matrix!$E$77:$DQ$77)/COUNTIF(Distance_Matrix!$E$10:$DQ$10,4))))</f>
        <v>1.22528306391558</v>
      </c>
      <c r="I209" s="17" t="n">
        <f aca="false">IF(COUNTIF(Distance_Matrix!$E$10:$DQ$10,$E209)&lt;=1,0,(H209-G209)/MAX(G209,H209))</f>
        <v>0.053963996388937</v>
      </c>
      <c r="X209" s="17" t="n">
        <f aca="false">SQRT(($B209-X$139)^2+($C209-X$140)^2+($D209-X$141)^2)</f>
        <v>5.94497441444557</v>
      </c>
      <c r="Y209" s="17" t="n">
        <f aca="false">SQRT(($B209-Y$139)^2+($C209-Y$140)^2+($D209-Y$141)^2)</f>
        <v>2.57097159994448</v>
      </c>
      <c r="Z209" s="17" t="n">
        <f aca="false">SQRT(($B209-Z$139)^2+($C209-Z$140)^2+($D209-Z$141)^2)</f>
        <v>1.67042015284584</v>
      </c>
      <c r="AA209" s="17" t="n">
        <f aca="false">SQRT(($B209-AA$139)^2+($C209-AA$140)^2+($D209-AA$141)^2)</f>
        <v>1.62440504187555</v>
      </c>
      <c r="AB209" s="63" t="n">
        <f aca="false">MATCH(MIN(X209:AA209),X209:AA209,0)</f>
        <v>4</v>
      </c>
      <c r="AD209" s="17" t="n">
        <f aca="false">SQRT(($B209-AD$139)^2+($C209-AD$140)^2+($D209-AD$141)^2)</f>
        <v>4.96217278134434</v>
      </c>
      <c r="AE209" s="17" t="n">
        <f aca="false">SQRT(($B209-AE$139)^2+($C209-AE$140)^2+($D209-AE$141)^2)</f>
        <v>1.84648420954971</v>
      </c>
      <c r="AF209" s="17" t="n">
        <f aca="false">SQRT(($B209-AF$139)^2+($C209-AF$140)^2+($D209-AF$141)^2)</f>
        <v>1.02447957703592</v>
      </c>
      <c r="AG209" s="17" t="n">
        <f aca="false">SQRT(($B209-AG$139)^2+($C209-AG$140)^2+($D209-AG$141)^2)</f>
        <v>1.01509259799168</v>
      </c>
      <c r="AH209" s="63" t="n">
        <f aca="false">MATCH(MIN(AD209:AG209),AD209:AG209,0)</f>
        <v>4</v>
      </c>
      <c r="AJ209" s="17" t="n">
        <f aca="false">SQRT(($B209-AJ$139)^2+($C209-AJ$140)^2+($D209-AJ$141)^2)</f>
        <v>4.62218922684499</v>
      </c>
      <c r="AK209" s="17" t="n">
        <f aca="false">SQRT(($B209-AK$139)^2+($C209-AK$140)^2+($D209-AK$141)^2)</f>
        <v>1.87433180371774</v>
      </c>
      <c r="AL209" s="17" t="n">
        <f aca="false">SQRT(($B209-AL$139)^2+($C209-AL$140)^2+($D209-AL$141)^2)</f>
        <v>1.09455237471335</v>
      </c>
      <c r="AM209" s="17" t="n">
        <f aca="false">SQRT(($B209-AM$139)^2+($C209-AM$140)^2+($D209-AM$141)^2)</f>
        <v>0.923849467293734</v>
      </c>
      <c r="AN209" s="63" t="n">
        <f aca="false">MATCH(MIN(AJ209:AM209),AJ209:AM209,0)</f>
        <v>4</v>
      </c>
      <c r="AP209" s="17" t="n">
        <f aca="false">SQRT(($B209-AP$139)^2+($C209-AP$140)^2+($D209-AP$141)^2)</f>
        <v>4.32791029353431</v>
      </c>
      <c r="AQ209" s="17" t="n">
        <f aca="false">SQRT(($B209-AQ$139)^2+($C209-AQ$140)^2+($D209-AQ$141)^2)</f>
        <v>1.96056592566457</v>
      </c>
      <c r="AR209" s="17" t="n">
        <f aca="false">SQRT(($B209-AR$139)^2+($C209-AR$140)^2+($D209-AR$141)^2)</f>
        <v>1.05134392936419</v>
      </c>
      <c r="AS209" s="17" t="n">
        <f aca="false">SQRT(($B209-AS$139)^2+($C209-AS$140)^2+($D209-AS$141)^2)</f>
        <v>0.926195834727351</v>
      </c>
      <c r="AT209" s="63" t="n">
        <f aca="false">MATCH(MIN(AP209:AS209),AP209:AS209,0)</f>
        <v>4</v>
      </c>
      <c r="AV209" s="17" t="n">
        <f aca="false">SQRT(($B209-AV$139)^2+($C209-AV$140)^2+($D209-AV$141)^2)</f>
        <v>4.32791029353431</v>
      </c>
      <c r="AW209" s="17" t="n">
        <f aca="false">SQRT(($B209-AW$139)^2+($C209-AW$140)^2+($D209-AW$141)^2)</f>
        <v>1.96056592566457</v>
      </c>
      <c r="AX209" s="17" t="n">
        <f aca="false">SQRT(($B209-AX$139)^2+($C209-AX$140)^2+($D209-AX$141)^2)</f>
        <v>1.05134392936419</v>
      </c>
      <c r="AY209" s="17" t="n">
        <f aca="false">SQRT(($B209-AY$139)^2+($C209-AY$140)^2+($D209-AY$141)^2)</f>
        <v>0.926195834727351</v>
      </c>
      <c r="AZ209" s="63" t="n">
        <f aca="false">MATCH(MIN(AV209:AY209),AV209:AY209,0)</f>
        <v>4</v>
      </c>
      <c r="BB209" s="17" t="n">
        <f aca="false">SQRT(($B209-BB$139)^2+($C209-BB$140)^2+($D209-BB$141)^2)</f>
        <v>4.32791029353431</v>
      </c>
      <c r="BC209" s="17" t="n">
        <f aca="false">SQRT(($B209-BC$139)^2+($C209-BC$140)^2+($D209-BC$141)^2)</f>
        <v>1.96056592566457</v>
      </c>
      <c r="BD209" s="17" t="n">
        <f aca="false">SQRT(($B209-BD$139)^2+($C209-BD$140)^2+($D209-BD$141)^2)</f>
        <v>1.05134392936419</v>
      </c>
      <c r="BE209" s="17" t="n">
        <f aca="false">SQRT(($B209-BE$139)^2+($C209-BE$140)^2+($D209-BE$141)^2)</f>
        <v>0.926195834727351</v>
      </c>
      <c r="BF209" s="63" t="n">
        <f aca="false">MATCH(MIN(BB209:BE209),BB209:BE209,0)</f>
        <v>4</v>
      </c>
      <c r="BH209" s="17" t="n">
        <f aca="false">SQRT(($B209-BH$139)^2+($C209-BH$140)^2+($D209-BH$141)^2)</f>
        <v>4.32791029353431</v>
      </c>
      <c r="BI209" s="17" t="n">
        <f aca="false">SQRT(($B209-BI$139)^2+($C209-BI$140)^2+($D209-BI$141)^2)</f>
        <v>1.96056592566457</v>
      </c>
      <c r="BJ209" s="17" t="n">
        <f aca="false">SQRT(($B209-BJ$139)^2+($C209-BJ$140)^2+($D209-BJ$141)^2)</f>
        <v>1.05134392936419</v>
      </c>
      <c r="BK209" s="17" t="n">
        <f aca="false">SQRT(($B209-BK$139)^2+($C209-BK$140)^2+($D209-BK$141)^2)</f>
        <v>0.926195834727351</v>
      </c>
      <c r="BL209" s="63" t="n">
        <f aca="false">MATCH(MIN(BH209:BK209),BH209:BK209,0)</f>
        <v>4</v>
      </c>
      <c r="BN209" s="17" t="n">
        <f aca="false">SQRT(($B209-BN$139)^2+($C209-BN$140)^2+($D209-BN$141)^2)</f>
        <v>4.32791029353431</v>
      </c>
      <c r="BO209" s="17" t="n">
        <f aca="false">SQRT(($B209-BO$139)^2+($C209-BO$140)^2+($D209-BO$141)^2)</f>
        <v>1.96056592566457</v>
      </c>
      <c r="BP209" s="17" t="n">
        <f aca="false">SQRT(($B209-BP$139)^2+($C209-BP$140)^2+($D209-BP$141)^2)</f>
        <v>1.05134392936419</v>
      </c>
      <c r="BQ209" s="17" t="n">
        <f aca="false">SQRT(($B209-BQ$139)^2+($C209-BQ$140)^2+($D209-BQ$141)^2)</f>
        <v>0.926195834727351</v>
      </c>
      <c r="BR209" s="63" t="n">
        <f aca="false">MATCH(MIN(BN209:BQ209),BN209:BQ209,0)</f>
        <v>4</v>
      </c>
      <c r="BT209" s="17" t="n">
        <f aca="false">SQRT(($B209-BT$139)^2+($C209-BT$140)^2+($D209-BT$141)^2)</f>
        <v>4.32791029353431</v>
      </c>
      <c r="BU209" s="17" t="n">
        <f aca="false">SQRT(($B209-BU$139)^2+($C209-BU$140)^2+($D209-BU$141)^2)</f>
        <v>1.96056592566457</v>
      </c>
      <c r="BV209" s="17" t="n">
        <f aca="false">SQRT(($B209-BV$139)^2+($C209-BV$140)^2+($D209-BV$141)^2)</f>
        <v>1.05134392936419</v>
      </c>
      <c r="BW209" s="17" t="n">
        <f aca="false">SQRT(($B209-BW$139)^2+($C209-BW$140)^2+($D209-BW$141)^2)</f>
        <v>0.926195834727351</v>
      </c>
      <c r="BX209" s="63" t="n">
        <f aca="false">MATCH(MIN(BT209:BW209),BT209:BW209,0)</f>
        <v>4</v>
      </c>
      <c r="BZ209" s="17" t="n">
        <f aca="false">SQRT(($B209-BZ$139)^2+($C209-BZ$140)^2+($D209-BZ$141)^2)</f>
        <v>4.32791029353431</v>
      </c>
      <c r="CA209" s="17" t="n">
        <f aca="false">SQRT(($B209-CA$139)^2+($C209-CA$140)^2+($D209-CA$141)^2)</f>
        <v>1.96056592566457</v>
      </c>
      <c r="CB209" s="17" t="n">
        <f aca="false">SQRT(($B209-CB$139)^2+($C209-CB$140)^2+($D209-CB$141)^2)</f>
        <v>1.05134392936419</v>
      </c>
      <c r="CC209" s="17" t="n">
        <f aca="false">SQRT(($B209-CC$139)^2+($C209-CC$140)^2+($D209-CC$141)^2)</f>
        <v>0.926195834727351</v>
      </c>
      <c r="CD209" s="63" t="n">
        <f aca="false">MATCH(MIN(BZ209:CC209),BZ209:CC209,0)</f>
        <v>4</v>
      </c>
      <c r="CF209" s="17" t="n">
        <f aca="false">SQRT(($B209-CF$139)^2+($C209-CF$140)^2+($D209-CF$141)^2)</f>
        <v>4.32791029353431</v>
      </c>
      <c r="CG209" s="17" t="n">
        <f aca="false">SQRT(($B209-CG$139)^2+($C209-CG$140)^2+($D209-CG$141)^2)</f>
        <v>1.96056592566457</v>
      </c>
      <c r="CH209" s="17" t="n">
        <f aca="false">SQRT(($B209-CH$139)^2+($C209-CH$140)^2+($D209-CH$141)^2)</f>
        <v>1.05134392936419</v>
      </c>
      <c r="CI209" s="17" t="n">
        <f aca="false">SQRT(($B209-CI$139)^2+($C209-CI$140)^2+($D209-CI$141)^2)</f>
        <v>0.926195834727351</v>
      </c>
      <c r="CJ209" s="63" t="n">
        <f aca="false">MATCH(MIN(CF209:CI209),CF209:CI209,0)</f>
        <v>4</v>
      </c>
      <c r="CL209" s="17" t="n">
        <f aca="false">SQRT(($B209-CL$139)^2+($C209-CL$140)^2+($D209-CL$141)^2)</f>
        <v>4.32791029353431</v>
      </c>
      <c r="CM209" s="17" t="n">
        <f aca="false">SQRT(($B209-CM$139)^2+($C209-CM$140)^2+($D209-CM$141)^2)</f>
        <v>1.96056592566457</v>
      </c>
      <c r="CN209" s="17" t="n">
        <f aca="false">SQRT(($B209-CN$139)^2+($C209-CN$140)^2+($D209-CN$141)^2)</f>
        <v>1.05134392936419</v>
      </c>
      <c r="CO209" s="17" t="n">
        <f aca="false">SQRT(($B209-CO$139)^2+($C209-CO$140)^2+($D209-CO$141)^2)</f>
        <v>0.926195834727351</v>
      </c>
      <c r="CP209" s="63" t="n">
        <f aca="false">MATCH(MIN(CL209:CO209),CL209:CO209,0)</f>
        <v>4</v>
      </c>
    </row>
    <row r="210" customFormat="false" ht="15" hidden="false" customHeight="false" outlineLevel="0" collapsed="false">
      <c r="A210" s="36" t="str">
        <f aca="false">KMeans_Data!A69</f>
        <v>Kashmore</v>
      </c>
      <c r="B210" s="17" t="n">
        <f aca="false">KMeans_Data!H69</f>
        <v>-0.110180736511367</v>
      </c>
      <c r="C210" s="17" t="n">
        <f aca="false">KMeans_Data!I69</f>
        <v>-0.146983133929529</v>
      </c>
      <c r="D210" s="17" t="n">
        <f aca="false">KMeans_Data!J69</f>
        <v>0.381616717142464</v>
      </c>
      <c r="E210" s="63" t="n">
        <f aca="false">CP210</f>
        <v>4</v>
      </c>
      <c r="F210" s="38" t="n">
        <f aca="false">($B210-INDEX($L$139:$O$139,E210))^2+($C210-INDEX($L$140:$O$140,E210))^2+($D210-INDEX($L$141:$O$141,E210))^2</f>
        <v>0.703322244582324</v>
      </c>
      <c r="G210" s="17" t="n">
        <f aca="false">IF(COUNTIF(Distance_Matrix!$E$10:$DQ$10,$E210)&lt;=1,0,SUMIF(Distance_Matrix!$E$10:$DQ$10,$E210,Distance_Matrix!$E$78:$DQ$78)/(COUNTIF(Distance_Matrix!$E$10:$DQ$10,$E210)-1))</f>
        <v>1.06969269117015</v>
      </c>
      <c r="H210" s="17" t="n">
        <f aca="false">MIN(IF(1=$E210,1E+099,IF(COUNTIF(Distance_Matrix!$E$10:$DQ$10,1)=0,1E+099,SUMIF(Distance_Matrix!$E$10:$DQ$10,1,Distance_Matrix!$E$78:$DQ$78)/COUNTIF(Distance_Matrix!$E$10:$DQ$10,1))),IF(2=$E210,1E+099,IF(COUNTIF(Distance_Matrix!$E$10:$DQ$10,2)=0,1E+099,SUMIF(Distance_Matrix!$E$10:$DQ$10,2,Distance_Matrix!$E$78:$DQ$78)/COUNTIF(Distance_Matrix!$E$10:$DQ$10,2))),IF(3=$E210,1E+099,IF(COUNTIF(Distance_Matrix!$E$10:$DQ$10,3)=0,1E+099,SUMIF(Distance_Matrix!$E$10:$DQ$10,3,Distance_Matrix!$E$78:$DQ$78)/COUNTIF(Distance_Matrix!$E$10:$DQ$10,3))),IF(4=$E210,1E+099,IF(COUNTIF(Distance_Matrix!$E$10:$DQ$10,4)=0,1E+099,SUMIF(Distance_Matrix!$E$10:$DQ$10,4,Distance_Matrix!$E$78:$DQ$78)/COUNTIF(Distance_Matrix!$E$10:$DQ$10,4))))</f>
        <v>1.3110135151668</v>
      </c>
      <c r="I210" s="17" t="n">
        <f aca="false">IF(COUNTIF(Distance_Matrix!$E$10:$DQ$10,$E210)&lt;=1,0,(H210-G210)/MAX(G210,H210))</f>
        <v>0.184071957462576</v>
      </c>
      <c r="X210" s="17" t="n">
        <f aca="false">SQRT(($B210-X$139)^2+($C210-X$140)^2+($D210-X$141)^2)</f>
        <v>6.10075211782889</v>
      </c>
      <c r="Y210" s="17" t="n">
        <f aca="false">SQRT(($B210-Y$139)^2+($C210-Y$140)^2+($D210-Y$141)^2)</f>
        <v>2.54715677244681</v>
      </c>
      <c r="Z210" s="17" t="n">
        <f aca="false">SQRT(($B210-Z$139)^2+($C210-Z$140)^2+($D210-Z$141)^2)</f>
        <v>1.66690792501503</v>
      </c>
      <c r="AA210" s="17" t="n">
        <f aca="false">SQRT(($B210-AA$139)^2+($C210-AA$140)^2+($D210-AA$141)^2)</f>
        <v>1.70406590633308</v>
      </c>
      <c r="AB210" s="63" t="n">
        <f aca="false">MATCH(MIN(X210:AA210),X210:AA210,0)</f>
        <v>3</v>
      </c>
      <c r="AD210" s="17" t="n">
        <f aca="false">SQRT(($B210-AD$139)^2+($C210-AD$140)^2+($D210-AD$141)^2)</f>
        <v>5.13261637032686</v>
      </c>
      <c r="AE210" s="17" t="n">
        <f aca="false">SQRT(($B210-AE$139)^2+($C210-AE$140)^2+($D210-AE$141)^2)</f>
        <v>1.80825094880512</v>
      </c>
      <c r="AF210" s="17" t="n">
        <f aca="false">SQRT(($B210-AF$139)^2+($C210-AF$140)^2+($D210-AF$141)^2)</f>
        <v>1.1345427788301</v>
      </c>
      <c r="AG210" s="17" t="n">
        <f aca="false">SQRT(($B210-AG$139)^2+($C210-AG$140)^2+($D210-AG$141)^2)</f>
        <v>0.959921484220626</v>
      </c>
      <c r="AH210" s="63" t="n">
        <f aca="false">MATCH(MIN(AD210:AG210),AD210:AG210,0)</f>
        <v>4</v>
      </c>
      <c r="AJ210" s="17" t="n">
        <f aca="false">SQRT(($B210-AJ$139)^2+($C210-AJ$140)^2+($D210-AJ$141)^2)</f>
        <v>4.78968112285522</v>
      </c>
      <c r="AK210" s="17" t="n">
        <f aca="false">SQRT(($B210-AK$139)^2+($C210-AK$140)^2+($D210-AK$141)^2)</f>
        <v>1.83992586656028</v>
      </c>
      <c r="AL210" s="17" t="n">
        <f aca="false">SQRT(($B210-AL$139)^2+($C210-AL$140)^2+($D210-AL$141)^2)</f>
        <v>1.21935286827088</v>
      </c>
      <c r="AM210" s="17" t="n">
        <f aca="false">SQRT(($B210-AM$139)^2+($C210-AM$140)^2+($D210-AM$141)^2)</f>
        <v>0.841775427990055</v>
      </c>
      <c r="AN210" s="63" t="n">
        <f aca="false">MATCH(MIN(AJ210:AM210),AJ210:AM210,0)</f>
        <v>4</v>
      </c>
      <c r="AP210" s="17" t="n">
        <f aca="false">SQRT(($B210-AP$139)^2+($C210-AP$140)^2+($D210-AP$141)^2)</f>
        <v>4.49835603984144</v>
      </c>
      <c r="AQ210" s="17" t="n">
        <f aca="false">SQRT(($B210-AQ$139)^2+($C210-AQ$140)^2+($D210-AQ$141)^2)</f>
        <v>1.93310770827042</v>
      </c>
      <c r="AR210" s="17" t="n">
        <f aca="false">SQRT(($B210-AR$139)^2+($C210-AR$140)^2+($D210-AR$141)^2)</f>
        <v>1.17088740309219</v>
      </c>
      <c r="AS210" s="17" t="n">
        <f aca="false">SQRT(($B210-AS$139)^2+($C210-AS$140)^2+($D210-AS$141)^2)</f>
        <v>0.838643097260285</v>
      </c>
      <c r="AT210" s="63" t="n">
        <f aca="false">MATCH(MIN(AP210:AS210),AP210:AS210,0)</f>
        <v>4</v>
      </c>
      <c r="AV210" s="17" t="n">
        <f aca="false">SQRT(($B210-AV$139)^2+($C210-AV$140)^2+($D210-AV$141)^2)</f>
        <v>4.49835603984144</v>
      </c>
      <c r="AW210" s="17" t="n">
        <f aca="false">SQRT(($B210-AW$139)^2+($C210-AW$140)^2+($D210-AW$141)^2)</f>
        <v>1.93310770827042</v>
      </c>
      <c r="AX210" s="17" t="n">
        <f aca="false">SQRT(($B210-AX$139)^2+($C210-AX$140)^2+($D210-AX$141)^2)</f>
        <v>1.17088740309219</v>
      </c>
      <c r="AY210" s="17" t="n">
        <f aca="false">SQRT(($B210-AY$139)^2+($C210-AY$140)^2+($D210-AY$141)^2)</f>
        <v>0.838643097260285</v>
      </c>
      <c r="AZ210" s="63" t="n">
        <f aca="false">MATCH(MIN(AV210:AY210),AV210:AY210,0)</f>
        <v>4</v>
      </c>
      <c r="BB210" s="17" t="n">
        <f aca="false">SQRT(($B210-BB$139)^2+($C210-BB$140)^2+($D210-BB$141)^2)</f>
        <v>4.49835603984144</v>
      </c>
      <c r="BC210" s="17" t="n">
        <f aca="false">SQRT(($B210-BC$139)^2+($C210-BC$140)^2+($D210-BC$141)^2)</f>
        <v>1.93310770827042</v>
      </c>
      <c r="BD210" s="17" t="n">
        <f aca="false">SQRT(($B210-BD$139)^2+($C210-BD$140)^2+($D210-BD$141)^2)</f>
        <v>1.17088740309219</v>
      </c>
      <c r="BE210" s="17" t="n">
        <f aca="false">SQRT(($B210-BE$139)^2+($C210-BE$140)^2+($D210-BE$141)^2)</f>
        <v>0.838643097260285</v>
      </c>
      <c r="BF210" s="63" t="n">
        <f aca="false">MATCH(MIN(BB210:BE210),BB210:BE210,0)</f>
        <v>4</v>
      </c>
      <c r="BH210" s="17" t="n">
        <f aca="false">SQRT(($B210-BH$139)^2+($C210-BH$140)^2+($D210-BH$141)^2)</f>
        <v>4.49835603984144</v>
      </c>
      <c r="BI210" s="17" t="n">
        <f aca="false">SQRT(($B210-BI$139)^2+($C210-BI$140)^2+($D210-BI$141)^2)</f>
        <v>1.93310770827042</v>
      </c>
      <c r="BJ210" s="17" t="n">
        <f aca="false">SQRT(($B210-BJ$139)^2+($C210-BJ$140)^2+($D210-BJ$141)^2)</f>
        <v>1.17088740309219</v>
      </c>
      <c r="BK210" s="17" t="n">
        <f aca="false">SQRT(($B210-BK$139)^2+($C210-BK$140)^2+($D210-BK$141)^2)</f>
        <v>0.838643097260285</v>
      </c>
      <c r="BL210" s="63" t="n">
        <f aca="false">MATCH(MIN(BH210:BK210),BH210:BK210,0)</f>
        <v>4</v>
      </c>
      <c r="BN210" s="17" t="n">
        <f aca="false">SQRT(($B210-BN$139)^2+($C210-BN$140)^2+($D210-BN$141)^2)</f>
        <v>4.49835603984144</v>
      </c>
      <c r="BO210" s="17" t="n">
        <f aca="false">SQRT(($B210-BO$139)^2+($C210-BO$140)^2+($D210-BO$141)^2)</f>
        <v>1.93310770827042</v>
      </c>
      <c r="BP210" s="17" t="n">
        <f aca="false">SQRT(($B210-BP$139)^2+($C210-BP$140)^2+($D210-BP$141)^2)</f>
        <v>1.17088740309219</v>
      </c>
      <c r="BQ210" s="17" t="n">
        <f aca="false">SQRT(($B210-BQ$139)^2+($C210-BQ$140)^2+($D210-BQ$141)^2)</f>
        <v>0.838643097260285</v>
      </c>
      <c r="BR210" s="63" t="n">
        <f aca="false">MATCH(MIN(BN210:BQ210),BN210:BQ210,0)</f>
        <v>4</v>
      </c>
      <c r="BT210" s="17" t="n">
        <f aca="false">SQRT(($B210-BT$139)^2+($C210-BT$140)^2+($D210-BT$141)^2)</f>
        <v>4.49835603984144</v>
      </c>
      <c r="BU210" s="17" t="n">
        <f aca="false">SQRT(($B210-BU$139)^2+($C210-BU$140)^2+($D210-BU$141)^2)</f>
        <v>1.93310770827042</v>
      </c>
      <c r="BV210" s="17" t="n">
        <f aca="false">SQRT(($B210-BV$139)^2+($C210-BV$140)^2+($D210-BV$141)^2)</f>
        <v>1.17088740309219</v>
      </c>
      <c r="BW210" s="17" t="n">
        <f aca="false">SQRT(($B210-BW$139)^2+($C210-BW$140)^2+($D210-BW$141)^2)</f>
        <v>0.838643097260285</v>
      </c>
      <c r="BX210" s="63" t="n">
        <f aca="false">MATCH(MIN(BT210:BW210),BT210:BW210,0)</f>
        <v>4</v>
      </c>
      <c r="BZ210" s="17" t="n">
        <f aca="false">SQRT(($B210-BZ$139)^2+($C210-BZ$140)^2+($D210-BZ$141)^2)</f>
        <v>4.49835603984144</v>
      </c>
      <c r="CA210" s="17" t="n">
        <f aca="false">SQRT(($B210-CA$139)^2+($C210-CA$140)^2+($D210-CA$141)^2)</f>
        <v>1.93310770827042</v>
      </c>
      <c r="CB210" s="17" t="n">
        <f aca="false">SQRT(($B210-CB$139)^2+($C210-CB$140)^2+($D210-CB$141)^2)</f>
        <v>1.17088740309219</v>
      </c>
      <c r="CC210" s="17" t="n">
        <f aca="false">SQRT(($B210-CC$139)^2+($C210-CC$140)^2+($D210-CC$141)^2)</f>
        <v>0.838643097260285</v>
      </c>
      <c r="CD210" s="63" t="n">
        <f aca="false">MATCH(MIN(BZ210:CC210),BZ210:CC210,0)</f>
        <v>4</v>
      </c>
      <c r="CF210" s="17" t="n">
        <f aca="false">SQRT(($B210-CF$139)^2+($C210-CF$140)^2+($D210-CF$141)^2)</f>
        <v>4.49835603984144</v>
      </c>
      <c r="CG210" s="17" t="n">
        <f aca="false">SQRT(($B210-CG$139)^2+($C210-CG$140)^2+($D210-CG$141)^2)</f>
        <v>1.93310770827042</v>
      </c>
      <c r="CH210" s="17" t="n">
        <f aca="false">SQRT(($B210-CH$139)^2+($C210-CH$140)^2+($D210-CH$141)^2)</f>
        <v>1.17088740309219</v>
      </c>
      <c r="CI210" s="17" t="n">
        <f aca="false">SQRT(($B210-CI$139)^2+($C210-CI$140)^2+($D210-CI$141)^2)</f>
        <v>0.838643097260285</v>
      </c>
      <c r="CJ210" s="63" t="n">
        <f aca="false">MATCH(MIN(CF210:CI210),CF210:CI210,0)</f>
        <v>4</v>
      </c>
      <c r="CL210" s="17" t="n">
        <f aca="false">SQRT(($B210-CL$139)^2+($C210-CL$140)^2+($D210-CL$141)^2)</f>
        <v>4.49835603984144</v>
      </c>
      <c r="CM210" s="17" t="n">
        <f aca="false">SQRT(($B210-CM$139)^2+($C210-CM$140)^2+($D210-CM$141)^2)</f>
        <v>1.93310770827042</v>
      </c>
      <c r="CN210" s="17" t="n">
        <f aca="false">SQRT(($B210-CN$139)^2+($C210-CN$140)^2+($D210-CN$141)^2)</f>
        <v>1.17088740309219</v>
      </c>
      <c r="CO210" s="17" t="n">
        <f aca="false">SQRT(($B210-CO$139)^2+($C210-CO$140)^2+($D210-CO$141)^2)</f>
        <v>0.838643097260285</v>
      </c>
      <c r="CP210" s="63" t="n">
        <f aca="false">MATCH(MIN(CL210:CO210),CL210:CO210,0)</f>
        <v>4</v>
      </c>
    </row>
    <row r="211" customFormat="false" ht="15" hidden="false" customHeight="false" outlineLevel="0" collapsed="false">
      <c r="A211" s="36" t="str">
        <f aca="false">KMeans_Data!A70</f>
        <v>Naushero Feroz</v>
      </c>
      <c r="B211" s="17" t="n">
        <f aca="false">KMeans_Data!H70</f>
        <v>-0.134393009866687</v>
      </c>
      <c r="C211" s="17" t="n">
        <f aca="false">KMeans_Data!I70</f>
        <v>-0.146983133929529</v>
      </c>
      <c r="D211" s="17" t="n">
        <f aca="false">KMeans_Data!J70</f>
        <v>0.430439822017226</v>
      </c>
      <c r="E211" s="63" t="n">
        <f aca="false">CP211</f>
        <v>4</v>
      </c>
      <c r="F211" s="38" t="n">
        <f aca="false">($B211-INDEX($L$139:$O$139,E211))^2+($C211-INDEX($L$140:$O$140,E211))^2+($D211-INDEX($L$141:$O$141,E211))^2</f>
        <v>0.779284453072701</v>
      </c>
      <c r="G211" s="17" t="n">
        <f aca="false">IF(COUNTIF(Distance_Matrix!$E$10:$DQ$10,$E211)&lt;=1,0,SUMIF(Distance_Matrix!$E$10:$DQ$10,$E211,Distance_Matrix!$E$79:$DQ$79)/(COUNTIF(Distance_Matrix!$E$10:$DQ$10,$E211)-1))</f>
        <v>1.09947225605007</v>
      </c>
      <c r="H211" s="17" t="n">
        <f aca="false">MIN(IF(1=$E211,1E+099,IF(COUNTIF(Distance_Matrix!$E$10:$DQ$10,1)=0,1E+099,SUMIF(Distance_Matrix!$E$10:$DQ$10,1,Distance_Matrix!$E$79:$DQ$79)/COUNTIF(Distance_Matrix!$E$10:$DQ$10,1))),IF(2=$E211,1E+099,IF(COUNTIF(Distance_Matrix!$E$10:$DQ$10,2)=0,1E+099,SUMIF(Distance_Matrix!$E$10:$DQ$10,2,Distance_Matrix!$E$79:$DQ$79)/COUNTIF(Distance_Matrix!$E$10:$DQ$10,2))),IF(3=$E211,1E+099,IF(COUNTIF(Distance_Matrix!$E$10:$DQ$10,3)=0,1E+099,SUMIF(Distance_Matrix!$E$10:$DQ$10,3,Distance_Matrix!$E$79:$DQ$79)/COUNTIF(Distance_Matrix!$E$10:$DQ$10,3))),IF(4=$E211,1E+099,IF(COUNTIF(Distance_Matrix!$E$10:$DQ$10,4)=0,1E+099,SUMIF(Distance_Matrix!$E$10:$DQ$10,4,Distance_Matrix!$E$79:$DQ$79)/COUNTIF(Distance_Matrix!$E$10:$DQ$10,4))))</f>
        <v>1.30841315853407</v>
      </c>
      <c r="I211" s="17" t="n">
        <f aca="false">IF(COUNTIF(Distance_Matrix!$E$10:$DQ$10,$E211)&lt;=1,0,(H211-G211)/MAX(G211,H211))</f>
        <v>0.159690309686349</v>
      </c>
      <c r="X211" s="17" t="n">
        <f aca="false">SQRT(($B211-X$139)^2+($C211-X$140)^2+($D211-X$141)^2)</f>
        <v>6.09144375722268</v>
      </c>
      <c r="Y211" s="17" t="n">
        <f aca="false">SQRT(($B211-Y$139)^2+($C211-Y$140)^2+($D211-Y$141)^2)</f>
        <v>2.55826774752687</v>
      </c>
      <c r="Z211" s="17" t="n">
        <f aca="false">SQRT(($B211-Z$139)^2+($C211-Z$140)^2+($D211-Z$141)^2)</f>
        <v>1.65251443757261</v>
      </c>
      <c r="AA211" s="17" t="n">
        <f aca="false">SQRT(($B211-AA$139)^2+($C211-AA$140)^2+($D211-AA$141)^2)</f>
        <v>1.75856295081393</v>
      </c>
      <c r="AB211" s="63" t="n">
        <f aca="false">MATCH(MIN(X211:AA211),X211:AA211,0)</f>
        <v>3</v>
      </c>
      <c r="AD211" s="17" t="n">
        <f aca="false">SQRT(($B211-AD$139)^2+($C211-AD$140)^2+($D211-AD$141)^2)</f>
        <v>5.12664973455644</v>
      </c>
      <c r="AE211" s="17" t="n">
        <f aca="false">SQRT(($B211-AE$139)^2+($C211-AE$140)^2+($D211-AE$141)^2)</f>
        <v>1.82936202360789</v>
      </c>
      <c r="AF211" s="17" t="n">
        <f aca="false">SQRT(($B211-AF$139)^2+($C211-AF$140)^2+($D211-AF$141)^2)</f>
        <v>1.1297261304097</v>
      </c>
      <c r="AG211" s="17" t="n">
        <f aca="false">SQRT(($B211-AG$139)^2+($C211-AG$140)^2+($D211-AG$141)^2)</f>
        <v>1.0070703479593</v>
      </c>
      <c r="AH211" s="63" t="n">
        <f aca="false">MATCH(MIN(AD211:AG211),AD211:AG211,0)</f>
        <v>4</v>
      </c>
      <c r="AJ211" s="17" t="n">
        <f aca="false">SQRT(($B211-AJ$139)^2+($C211-AJ$140)^2+($D211-AJ$141)^2)</f>
        <v>4.78425373786233</v>
      </c>
      <c r="AK211" s="17" t="n">
        <f aca="false">SQRT(($B211-AK$139)^2+($C211-AK$140)^2+($D211-AK$141)^2)</f>
        <v>1.86211282269684</v>
      </c>
      <c r="AL211" s="17" t="n">
        <f aca="false">SQRT(($B211-AL$139)^2+($C211-AL$140)^2+($D211-AL$141)^2)</f>
        <v>1.21563075527167</v>
      </c>
      <c r="AM211" s="17" t="n">
        <f aca="false">SQRT(($B211-AM$139)^2+($C211-AM$140)^2+($D211-AM$141)^2)</f>
        <v>0.887483954518201</v>
      </c>
      <c r="AN211" s="63" t="n">
        <f aca="false">MATCH(MIN(AJ211:AM211),AJ211:AM211,0)</f>
        <v>4</v>
      </c>
      <c r="AP211" s="17" t="n">
        <f aca="false">SQRT(($B211-AP$139)^2+($C211-AP$140)^2+($D211-AP$141)^2)</f>
        <v>4.49311310497396</v>
      </c>
      <c r="AQ211" s="17" t="n">
        <f aca="false">SQRT(($B211-AQ$139)^2+($C211-AQ$140)^2+($D211-AQ$141)^2)</f>
        <v>1.95587575845984</v>
      </c>
      <c r="AR211" s="17" t="n">
        <f aca="false">SQRT(($B211-AR$139)^2+($C211-AR$140)^2+($D211-AR$141)^2)</f>
        <v>1.16717259044423</v>
      </c>
      <c r="AS211" s="17" t="n">
        <f aca="false">SQRT(($B211-AS$139)^2+($C211-AS$140)^2+($D211-AS$141)^2)</f>
        <v>0.882770895007703</v>
      </c>
      <c r="AT211" s="63" t="n">
        <f aca="false">MATCH(MIN(AP211:AS211),AP211:AS211,0)</f>
        <v>4</v>
      </c>
      <c r="AV211" s="17" t="n">
        <f aca="false">SQRT(($B211-AV$139)^2+($C211-AV$140)^2+($D211-AV$141)^2)</f>
        <v>4.49311310497396</v>
      </c>
      <c r="AW211" s="17" t="n">
        <f aca="false">SQRT(($B211-AW$139)^2+($C211-AW$140)^2+($D211-AW$141)^2)</f>
        <v>1.95587575845984</v>
      </c>
      <c r="AX211" s="17" t="n">
        <f aca="false">SQRT(($B211-AX$139)^2+($C211-AX$140)^2+($D211-AX$141)^2)</f>
        <v>1.16717259044423</v>
      </c>
      <c r="AY211" s="17" t="n">
        <f aca="false">SQRT(($B211-AY$139)^2+($C211-AY$140)^2+($D211-AY$141)^2)</f>
        <v>0.882770895007703</v>
      </c>
      <c r="AZ211" s="63" t="n">
        <f aca="false">MATCH(MIN(AV211:AY211),AV211:AY211,0)</f>
        <v>4</v>
      </c>
      <c r="BB211" s="17" t="n">
        <f aca="false">SQRT(($B211-BB$139)^2+($C211-BB$140)^2+($D211-BB$141)^2)</f>
        <v>4.49311310497396</v>
      </c>
      <c r="BC211" s="17" t="n">
        <f aca="false">SQRT(($B211-BC$139)^2+($C211-BC$140)^2+($D211-BC$141)^2)</f>
        <v>1.95587575845984</v>
      </c>
      <c r="BD211" s="17" t="n">
        <f aca="false">SQRT(($B211-BD$139)^2+($C211-BD$140)^2+($D211-BD$141)^2)</f>
        <v>1.16717259044423</v>
      </c>
      <c r="BE211" s="17" t="n">
        <f aca="false">SQRT(($B211-BE$139)^2+($C211-BE$140)^2+($D211-BE$141)^2)</f>
        <v>0.882770895007703</v>
      </c>
      <c r="BF211" s="63" t="n">
        <f aca="false">MATCH(MIN(BB211:BE211),BB211:BE211,0)</f>
        <v>4</v>
      </c>
      <c r="BH211" s="17" t="n">
        <f aca="false">SQRT(($B211-BH$139)^2+($C211-BH$140)^2+($D211-BH$141)^2)</f>
        <v>4.49311310497396</v>
      </c>
      <c r="BI211" s="17" t="n">
        <f aca="false">SQRT(($B211-BI$139)^2+($C211-BI$140)^2+($D211-BI$141)^2)</f>
        <v>1.95587575845984</v>
      </c>
      <c r="BJ211" s="17" t="n">
        <f aca="false">SQRT(($B211-BJ$139)^2+($C211-BJ$140)^2+($D211-BJ$141)^2)</f>
        <v>1.16717259044423</v>
      </c>
      <c r="BK211" s="17" t="n">
        <f aca="false">SQRT(($B211-BK$139)^2+($C211-BK$140)^2+($D211-BK$141)^2)</f>
        <v>0.882770895007703</v>
      </c>
      <c r="BL211" s="63" t="n">
        <f aca="false">MATCH(MIN(BH211:BK211),BH211:BK211,0)</f>
        <v>4</v>
      </c>
      <c r="BN211" s="17" t="n">
        <f aca="false">SQRT(($B211-BN$139)^2+($C211-BN$140)^2+($D211-BN$141)^2)</f>
        <v>4.49311310497396</v>
      </c>
      <c r="BO211" s="17" t="n">
        <f aca="false">SQRT(($B211-BO$139)^2+($C211-BO$140)^2+($D211-BO$141)^2)</f>
        <v>1.95587575845984</v>
      </c>
      <c r="BP211" s="17" t="n">
        <f aca="false">SQRT(($B211-BP$139)^2+($C211-BP$140)^2+($D211-BP$141)^2)</f>
        <v>1.16717259044423</v>
      </c>
      <c r="BQ211" s="17" t="n">
        <f aca="false">SQRT(($B211-BQ$139)^2+($C211-BQ$140)^2+($D211-BQ$141)^2)</f>
        <v>0.882770895007703</v>
      </c>
      <c r="BR211" s="63" t="n">
        <f aca="false">MATCH(MIN(BN211:BQ211),BN211:BQ211,0)</f>
        <v>4</v>
      </c>
      <c r="BT211" s="17" t="n">
        <f aca="false">SQRT(($B211-BT$139)^2+($C211-BT$140)^2+($D211-BT$141)^2)</f>
        <v>4.49311310497396</v>
      </c>
      <c r="BU211" s="17" t="n">
        <f aca="false">SQRT(($B211-BU$139)^2+($C211-BU$140)^2+($D211-BU$141)^2)</f>
        <v>1.95587575845984</v>
      </c>
      <c r="BV211" s="17" t="n">
        <f aca="false">SQRT(($B211-BV$139)^2+($C211-BV$140)^2+($D211-BV$141)^2)</f>
        <v>1.16717259044423</v>
      </c>
      <c r="BW211" s="17" t="n">
        <f aca="false">SQRT(($B211-BW$139)^2+($C211-BW$140)^2+($D211-BW$141)^2)</f>
        <v>0.882770895007703</v>
      </c>
      <c r="BX211" s="63" t="n">
        <f aca="false">MATCH(MIN(BT211:BW211),BT211:BW211,0)</f>
        <v>4</v>
      </c>
      <c r="BZ211" s="17" t="n">
        <f aca="false">SQRT(($B211-BZ$139)^2+($C211-BZ$140)^2+($D211-BZ$141)^2)</f>
        <v>4.49311310497396</v>
      </c>
      <c r="CA211" s="17" t="n">
        <f aca="false">SQRT(($B211-CA$139)^2+($C211-CA$140)^2+($D211-CA$141)^2)</f>
        <v>1.95587575845984</v>
      </c>
      <c r="CB211" s="17" t="n">
        <f aca="false">SQRT(($B211-CB$139)^2+($C211-CB$140)^2+($D211-CB$141)^2)</f>
        <v>1.16717259044423</v>
      </c>
      <c r="CC211" s="17" t="n">
        <f aca="false">SQRT(($B211-CC$139)^2+($C211-CC$140)^2+($D211-CC$141)^2)</f>
        <v>0.882770895007703</v>
      </c>
      <c r="CD211" s="63" t="n">
        <f aca="false">MATCH(MIN(BZ211:CC211),BZ211:CC211,0)</f>
        <v>4</v>
      </c>
      <c r="CF211" s="17" t="n">
        <f aca="false">SQRT(($B211-CF$139)^2+($C211-CF$140)^2+($D211-CF$141)^2)</f>
        <v>4.49311310497396</v>
      </c>
      <c r="CG211" s="17" t="n">
        <f aca="false">SQRT(($B211-CG$139)^2+($C211-CG$140)^2+($D211-CG$141)^2)</f>
        <v>1.95587575845984</v>
      </c>
      <c r="CH211" s="17" t="n">
        <f aca="false">SQRT(($B211-CH$139)^2+($C211-CH$140)^2+($D211-CH$141)^2)</f>
        <v>1.16717259044423</v>
      </c>
      <c r="CI211" s="17" t="n">
        <f aca="false">SQRT(($B211-CI$139)^2+($C211-CI$140)^2+($D211-CI$141)^2)</f>
        <v>0.882770895007703</v>
      </c>
      <c r="CJ211" s="63" t="n">
        <f aca="false">MATCH(MIN(CF211:CI211),CF211:CI211,0)</f>
        <v>4</v>
      </c>
      <c r="CL211" s="17" t="n">
        <f aca="false">SQRT(($B211-CL$139)^2+($C211-CL$140)^2+($D211-CL$141)^2)</f>
        <v>4.49311310497396</v>
      </c>
      <c r="CM211" s="17" t="n">
        <f aca="false">SQRT(($B211-CM$139)^2+($C211-CM$140)^2+($D211-CM$141)^2)</f>
        <v>1.95587575845984</v>
      </c>
      <c r="CN211" s="17" t="n">
        <f aca="false">SQRT(($B211-CN$139)^2+($C211-CN$140)^2+($D211-CN$141)^2)</f>
        <v>1.16717259044423</v>
      </c>
      <c r="CO211" s="17" t="n">
        <f aca="false">SQRT(($B211-CO$139)^2+($C211-CO$140)^2+($D211-CO$141)^2)</f>
        <v>0.882770895007703</v>
      </c>
      <c r="CP211" s="63" t="n">
        <f aca="false">MATCH(MIN(CL211:CO211),CL211:CO211,0)</f>
        <v>4</v>
      </c>
    </row>
    <row r="212" customFormat="false" ht="15" hidden="false" customHeight="false" outlineLevel="0" collapsed="false">
      <c r="A212" s="36" t="str">
        <f aca="false">KMeans_Data!A71</f>
        <v>Tando M. Khan</v>
      </c>
      <c r="B212" s="17" t="n">
        <f aca="false">KMeans_Data!H71</f>
        <v>-0.172963987436362</v>
      </c>
      <c r="C212" s="17" t="n">
        <f aca="false">KMeans_Data!I71</f>
        <v>-0.672650545388274</v>
      </c>
      <c r="D212" s="17" t="n">
        <f aca="false">KMeans_Data!J71</f>
        <v>0.597261815332999</v>
      </c>
      <c r="E212" s="63" t="n">
        <f aca="false">CP212</f>
        <v>4</v>
      </c>
      <c r="F212" s="38" t="n">
        <f aca="false">($B212-INDEX($L$139:$O$139,E212))^2+($C212-INDEX($L$140:$O$140,E212))^2+($D212-INDEX($L$141:$O$141,E212))^2</f>
        <v>0.974484069085497</v>
      </c>
      <c r="G212" s="17" t="n">
        <f aca="false">IF(COUNTIF(Distance_Matrix!$E$10:$DQ$10,$E212)&lt;=1,0,SUMIF(Distance_Matrix!$E$10:$DQ$10,$E212,Distance_Matrix!$E$80:$DQ$80)/(COUNTIF(Distance_Matrix!$E$10:$DQ$10,$E212)-1))</f>
        <v>1.17378532488261</v>
      </c>
      <c r="H212" s="17" t="n">
        <f aca="false">MIN(IF(1=$E212,1E+099,IF(COUNTIF(Distance_Matrix!$E$10:$DQ$10,1)=0,1E+099,SUMIF(Distance_Matrix!$E$10:$DQ$10,1,Distance_Matrix!$E$80:$DQ$80)/COUNTIF(Distance_Matrix!$E$10:$DQ$10,1))),IF(2=$E212,1E+099,IF(COUNTIF(Distance_Matrix!$E$10:$DQ$10,2)=0,1E+099,SUMIF(Distance_Matrix!$E$10:$DQ$10,2,Distance_Matrix!$E$80:$DQ$80)/COUNTIF(Distance_Matrix!$E$10:$DQ$10,2))),IF(3=$E212,1E+099,IF(COUNTIF(Distance_Matrix!$E$10:$DQ$10,3)=0,1E+099,SUMIF(Distance_Matrix!$E$10:$DQ$10,3,Distance_Matrix!$E$80:$DQ$80)/COUNTIF(Distance_Matrix!$E$10:$DQ$10,3))),IF(4=$E212,1E+099,IF(COUNTIF(Distance_Matrix!$E$10:$DQ$10,4)=0,1E+099,SUMIF(Distance_Matrix!$E$10:$DQ$10,4,Distance_Matrix!$E$80:$DQ$80)/COUNTIF(Distance_Matrix!$E$10:$DQ$10,4))))</f>
        <v>1.6314987646664</v>
      </c>
      <c r="I212" s="17" t="n">
        <f aca="false">IF(COUNTIF(Distance_Matrix!$E$10:$DQ$10,$E212)&lt;=1,0,(H212-G212)/MAX(G212,H212))</f>
        <v>0.280547831047475</v>
      </c>
      <c r="X212" s="17" t="n">
        <f aca="false">SQRT(($B212-X$139)^2+($C212-X$140)^2+($D212-X$141)^2)</f>
        <v>6.41352976848323</v>
      </c>
      <c r="Y212" s="17" t="n">
        <f aca="false">SQRT(($B212-Y$139)^2+($C212-Y$140)^2+($D212-Y$141)^2)</f>
        <v>2.5833134057316</v>
      </c>
      <c r="Z212" s="17" t="n">
        <f aca="false">SQRT(($B212-Z$139)^2+($C212-Z$140)^2+($D212-Z$141)^2)</f>
        <v>1.82551676868197</v>
      </c>
      <c r="AA212" s="17" t="n">
        <f aca="false">SQRT(($B212-AA$139)^2+($C212-AA$140)^2+($D212-AA$141)^2)</f>
        <v>1.99604958037871</v>
      </c>
      <c r="AB212" s="63" t="n">
        <f aca="false">MATCH(MIN(X212:AA212),X212:AA212,0)</f>
        <v>3</v>
      </c>
      <c r="AD212" s="17" t="n">
        <f aca="false">SQRT(($B212-AD$139)^2+($C212-AD$140)^2+($D212-AD$141)^2)</f>
        <v>5.47512677147799</v>
      </c>
      <c r="AE212" s="17" t="n">
        <f aca="false">SQRT(($B212-AE$139)^2+($C212-AE$140)^2+($D212-AE$141)^2)</f>
        <v>1.86803933175884</v>
      </c>
      <c r="AF212" s="17" t="n">
        <f aca="false">SQRT(($B212-AF$139)^2+($C212-AF$140)^2+($D212-AF$141)^2)</f>
        <v>1.50005925401982</v>
      </c>
      <c r="AG212" s="17" t="n">
        <f aca="false">SQRT(($B212-AG$139)^2+($C212-AG$140)^2+($D212-AG$141)^2)</f>
        <v>1.13171065314943</v>
      </c>
      <c r="AH212" s="63" t="n">
        <f aca="false">MATCH(MIN(AD212:AG212),AD212:AG212,0)</f>
        <v>4</v>
      </c>
      <c r="AJ212" s="17" t="n">
        <f aca="false">SQRT(($B212-AJ$139)^2+($C212-AJ$140)^2+($D212-AJ$141)^2)</f>
        <v>5.13051192718045</v>
      </c>
      <c r="AK212" s="17" t="n">
        <f aca="false">SQRT(($B212-AK$139)^2+($C212-AK$140)^2+($D212-AK$141)^2)</f>
        <v>1.90471903106914</v>
      </c>
      <c r="AL212" s="17" t="n">
        <f aca="false">SQRT(($B212-AL$139)^2+($C212-AL$140)^2+($D212-AL$141)^2)</f>
        <v>1.59407502374359</v>
      </c>
      <c r="AM212" s="17" t="n">
        <f aca="false">SQRT(($B212-AM$139)^2+($C212-AM$140)^2+($D212-AM$141)^2)</f>
        <v>1.00023536223131</v>
      </c>
      <c r="AN212" s="63" t="n">
        <f aca="false">MATCH(MIN(AJ212:AM212),AJ212:AM212,0)</f>
        <v>4</v>
      </c>
      <c r="AP212" s="17" t="n">
        <f aca="false">SQRT(($B212-AP$139)^2+($C212-AP$140)^2+($D212-AP$141)^2)</f>
        <v>4.84573619501868</v>
      </c>
      <c r="AQ212" s="17" t="n">
        <f aca="false">SQRT(($B212-AQ$139)^2+($C212-AQ$140)^2+($D212-AQ$141)^2)</f>
        <v>2.00355662454624</v>
      </c>
      <c r="AR212" s="17" t="n">
        <f aca="false">SQRT(($B212-AR$139)^2+($C212-AR$140)^2+($D212-AR$141)^2)</f>
        <v>1.54410498125045</v>
      </c>
      <c r="AS212" s="17" t="n">
        <f aca="false">SQRT(($B212-AS$139)^2+($C212-AS$140)^2+($D212-AS$141)^2)</f>
        <v>0.98715959656253</v>
      </c>
      <c r="AT212" s="63" t="n">
        <f aca="false">MATCH(MIN(AP212:AS212),AP212:AS212,0)</f>
        <v>4</v>
      </c>
      <c r="AV212" s="17" t="n">
        <f aca="false">SQRT(($B212-AV$139)^2+($C212-AV$140)^2+($D212-AV$141)^2)</f>
        <v>4.84573619501868</v>
      </c>
      <c r="AW212" s="17" t="n">
        <f aca="false">SQRT(($B212-AW$139)^2+($C212-AW$140)^2+($D212-AW$141)^2)</f>
        <v>2.00355662454624</v>
      </c>
      <c r="AX212" s="17" t="n">
        <f aca="false">SQRT(($B212-AX$139)^2+($C212-AX$140)^2+($D212-AX$141)^2)</f>
        <v>1.54410498125045</v>
      </c>
      <c r="AY212" s="17" t="n">
        <f aca="false">SQRT(($B212-AY$139)^2+($C212-AY$140)^2+($D212-AY$141)^2)</f>
        <v>0.98715959656253</v>
      </c>
      <c r="AZ212" s="63" t="n">
        <f aca="false">MATCH(MIN(AV212:AY212),AV212:AY212,0)</f>
        <v>4</v>
      </c>
      <c r="BB212" s="17" t="n">
        <f aca="false">SQRT(($B212-BB$139)^2+($C212-BB$140)^2+($D212-BB$141)^2)</f>
        <v>4.84573619501868</v>
      </c>
      <c r="BC212" s="17" t="n">
        <f aca="false">SQRT(($B212-BC$139)^2+($C212-BC$140)^2+($D212-BC$141)^2)</f>
        <v>2.00355662454624</v>
      </c>
      <c r="BD212" s="17" t="n">
        <f aca="false">SQRT(($B212-BD$139)^2+($C212-BD$140)^2+($D212-BD$141)^2)</f>
        <v>1.54410498125045</v>
      </c>
      <c r="BE212" s="17" t="n">
        <f aca="false">SQRT(($B212-BE$139)^2+($C212-BE$140)^2+($D212-BE$141)^2)</f>
        <v>0.98715959656253</v>
      </c>
      <c r="BF212" s="63" t="n">
        <f aca="false">MATCH(MIN(BB212:BE212),BB212:BE212,0)</f>
        <v>4</v>
      </c>
      <c r="BH212" s="17" t="n">
        <f aca="false">SQRT(($B212-BH$139)^2+($C212-BH$140)^2+($D212-BH$141)^2)</f>
        <v>4.84573619501868</v>
      </c>
      <c r="BI212" s="17" t="n">
        <f aca="false">SQRT(($B212-BI$139)^2+($C212-BI$140)^2+($D212-BI$141)^2)</f>
        <v>2.00355662454624</v>
      </c>
      <c r="BJ212" s="17" t="n">
        <f aca="false">SQRT(($B212-BJ$139)^2+($C212-BJ$140)^2+($D212-BJ$141)^2)</f>
        <v>1.54410498125045</v>
      </c>
      <c r="BK212" s="17" t="n">
        <f aca="false">SQRT(($B212-BK$139)^2+($C212-BK$140)^2+($D212-BK$141)^2)</f>
        <v>0.98715959656253</v>
      </c>
      <c r="BL212" s="63" t="n">
        <f aca="false">MATCH(MIN(BH212:BK212),BH212:BK212,0)</f>
        <v>4</v>
      </c>
      <c r="BN212" s="17" t="n">
        <f aca="false">SQRT(($B212-BN$139)^2+($C212-BN$140)^2+($D212-BN$141)^2)</f>
        <v>4.84573619501868</v>
      </c>
      <c r="BO212" s="17" t="n">
        <f aca="false">SQRT(($B212-BO$139)^2+($C212-BO$140)^2+($D212-BO$141)^2)</f>
        <v>2.00355662454624</v>
      </c>
      <c r="BP212" s="17" t="n">
        <f aca="false">SQRT(($B212-BP$139)^2+($C212-BP$140)^2+($D212-BP$141)^2)</f>
        <v>1.54410498125045</v>
      </c>
      <c r="BQ212" s="17" t="n">
        <f aca="false">SQRT(($B212-BQ$139)^2+($C212-BQ$140)^2+($D212-BQ$141)^2)</f>
        <v>0.98715959656253</v>
      </c>
      <c r="BR212" s="63" t="n">
        <f aca="false">MATCH(MIN(BN212:BQ212),BN212:BQ212,0)</f>
        <v>4</v>
      </c>
      <c r="BT212" s="17" t="n">
        <f aca="false">SQRT(($B212-BT$139)^2+($C212-BT$140)^2+($D212-BT$141)^2)</f>
        <v>4.84573619501868</v>
      </c>
      <c r="BU212" s="17" t="n">
        <f aca="false">SQRT(($B212-BU$139)^2+($C212-BU$140)^2+($D212-BU$141)^2)</f>
        <v>2.00355662454624</v>
      </c>
      <c r="BV212" s="17" t="n">
        <f aca="false">SQRT(($B212-BV$139)^2+($C212-BV$140)^2+($D212-BV$141)^2)</f>
        <v>1.54410498125045</v>
      </c>
      <c r="BW212" s="17" t="n">
        <f aca="false">SQRT(($B212-BW$139)^2+($C212-BW$140)^2+($D212-BW$141)^2)</f>
        <v>0.98715959656253</v>
      </c>
      <c r="BX212" s="63" t="n">
        <f aca="false">MATCH(MIN(BT212:BW212),BT212:BW212,0)</f>
        <v>4</v>
      </c>
      <c r="BZ212" s="17" t="n">
        <f aca="false">SQRT(($B212-BZ$139)^2+($C212-BZ$140)^2+($D212-BZ$141)^2)</f>
        <v>4.84573619501868</v>
      </c>
      <c r="CA212" s="17" t="n">
        <f aca="false">SQRT(($B212-CA$139)^2+($C212-CA$140)^2+($D212-CA$141)^2)</f>
        <v>2.00355662454624</v>
      </c>
      <c r="CB212" s="17" t="n">
        <f aca="false">SQRT(($B212-CB$139)^2+($C212-CB$140)^2+($D212-CB$141)^2)</f>
        <v>1.54410498125045</v>
      </c>
      <c r="CC212" s="17" t="n">
        <f aca="false">SQRT(($B212-CC$139)^2+($C212-CC$140)^2+($D212-CC$141)^2)</f>
        <v>0.98715959656253</v>
      </c>
      <c r="CD212" s="63" t="n">
        <f aca="false">MATCH(MIN(BZ212:CC212),BZ212:CC212,0)</f>
        <v>4</v>
      </c>
      <c r="CF212" s="17" t="n">
        <f aca="false">SQRT(($B212-CF$139)^2+($C212-CF$140)^2+($D212-CF$141)^2)</f>
        <v>4.84573619501868</v>
      </c>
      <c r="CG212" s="17" t="n">
        <f aca="false">SQRT(($B212-CG$139)^2+($C212-CG$140)^2+($D212-CG$141)^2)</f>
        <v>2.00355662454624</v>
      </c>
      <c r="CH212" s="17" t="n">
        <f aca="false">SQRT(($B212-CH$139)^2+($C212-CH$140)^2+($D212-CH$141)^2)</f>
        <v>1.54410498125045</v>
      </c>
      <c r="CI212" s="17" t="n">
        <f aca="false">SQRT(($B212-CI$139)^2+($C212-CI$140)^2+($D212-CI$141)^2)</f>
        <v>0.98715959656253</v>
      </c>
      <c r="CJ212" s="63" t="n">
        <f aca="false">MATCH(MIN(CF212:CI212),CF212:CI212,0)</f>
        <v>4</v>
      </c>
      <c r="CL212" s="17" t="n">
        <f aca="false">SQRT(($B212-CL$139)^2+($C212-CL$140)^2+($D212-CL$141)^2)</f>
        <v>4.84573619501868</v>
      </c>
      <c r="CM212" s="17" t="n">
        <f aca="false">SQRT(($B212-CM$139)^2+($C212-CM$140)^2+($D212-CM$141)^2)</f>
        <v>2.00355662454624</v>
      </c>
      <c r="CN212" s="17" t="n">
        <f aca="false">SQRT(($B212-CN$139)^2+($C212-CN$140)^2+($D212-CN$141)^2)</f>
        <v>1.54410498125045</v>
      </c>
      <c r="CO212" s="17" t="n">
        <f aca="false">SQRT(($B212-CO$139)^2+($C212-CO$140)^2+($D212-CO$141)^2)</f>
        <v>0.98715959656253</v>
      </c>
      <c r="CP212" s="63" t="n">
        <f aca="false">MATCH(MIN(CL212:CO212),CL212:CO212,0)</f>
        <v>4</v>
      </c>
    </row>
    <row r="213" customFormat="false" ht="15" hidden="false" customHeight="false" outlineLevel="0" collapsed="false">
      <c r="A213" s="36" t="str">
        <f aca="false">KMeans_Data!A72</f>
        <v>Chitral Lower</v>
      </c>
      <c r="B213" s="17" t="n">
        <f aca="false">KMeans_Data!H72</f>
        <v>-0.214623816906368</v>
      </c>
      <c r="C213" s="17" t="n">
        <f aca="false">KMeans_Data!I72</f>
        <v>-0.672650545388274</v>
      </c>
      <c r="D213" s="17" t="n">
        <f aca="false">KMeans_Data!J72</f>
        <v>0.193727873085246</v>
      </c>
      <c r="E213" s="63" t="n">
        <f aca="false">CP213</f>
        <v>4</v>
      </c>
      <c r="F213" s="38" t="n">
        <f aca="false">($B213-INDEX($L$139:$O$139,E213))^2+($C213-INDEX($L$140:$O$140,E213))^2+($D213-INDEX($L$141:$O$141,E213))^2</f>
        <v>0.358005752752399</v>
      </c>
      <c r="G213" s="17" t="n">
        <f aca="false">IF(COUNTIF(Distance_Matrix!$E$10:$DQ$10,$E213)&lt;=1,0,SUMIF(Distance_Matrix!$E$10:$DQ$10,$E213,Distance_Matrix!$E$81:$DQ$81)/(COUNTIF(Distance_Matrix!$E$10:$DQ$10,$E213)-1))</f>
        <v>0.896474545241898</v>
      </c>
      <c r="H213" s="17" t="n">
        <f aca="false">MIN(IF(1=$E213,1E+099,IF(COUNTIF(Distance_Matrix!$E$10:$DQ$10,1)=0,1E+099,SUMIF(Distance_Matrix!$E$10:$DQ$10,1,Distance_Matrix!$E$81:$DQ$81)/COUNTIF(Distance_Matrix!$E$10:$DQ$10,1))),IF(2=$E213,1E+099,IF(COUNTIF(Distance_Matrix!$E$10:$DQ$10,2)=0,1E+099,SUMIF(Distance_Matrix!$E$10:$DQ$10,2,Distance_Matrix!$E$81:$DQ$81)/COUNTIF(Distance_Matrix!$E$10:$DQ$10,2))),IF(3=$E213,1E+099,IF(COUNTIF(Distance_Matrix!$E$10:$DQ$10,3)=0,1E+099,SUMIF(Distance_Matrix!$E$10:$DQ$10,3,Distance_Matrix!$E$81:$DQ$81)/COUNTIF(Distance_Matrix!$E$10:$DQ$10,3))),IF(4=$E213,1E+099,IF(COUNTIF(Distance_Matrix!$E$10:$DQ$10,4)=0,1E+099,SUMIF(Distance_Matrix!$E$10:$DQ$10,4,Distance_Matrix!$E$81:$DQ$81)/COUNTIF(Distance_Matrix!$E$10:$DQ$10,4))))</f>
        <v>1.68719810821437</v>
      </c>
      <c r="I213" s="17" t="n">
        <f aca="false">IF(COUNTIF(Distance_Matrix!$E$10:$DQ$10,$E213)&lt;=1,0,(H213-G213)/MAX(G213,H213))</f>
        <v>0.468660769071943</v>
      </c>
      <c r="X213" s="17" t="n">
        <f aca="false">SQRT(($B213-X$139)^2+($C213-X$140)^2+($D213-X$141)^2)</f>
        <v>6.61273726401933</v>
      </c>
      <c r="Y213" s="17" t="n">
        <f aca="false">SQRT(($B213-Y$139)^2+($C213-Y$140)^2+($D213-Y$141)^2)</f>
        <v>2.296207345633</v>
      </c>
      <c r="Z213" s="17" t="n">
        <f aca="false">SQRT(($B213-Z$139)^2+($C213-Z$140)^2+($D213-Z$141)^2)</f>
        <v>2.07427434150847</v>
      </c>
      <c r="AA213" s="17" t="n">
        <f aca="false">SQRT(($B213-AA$139)^2+($C213-AA$140)^2+($D213-AA$141)^2)</f>
        <v>1.67641112725911</v>
      </c>
      <c r="AB213" s="63" t="n">
        <f aca="false">MATCH(MIN(X213:AA213),X213:AA213,0)</f>
        <v>4</v>
      </c>
      <c r="AD213" s="17" t="n">
        <f aca="false">SQRT(($B213-AD$139)^2+($C213-AD$140)^2+($D213-AD$141)^2)</f>
        <v>5.6493053515531</v>
      </c>
      <c r="AE213" s="17" t="n">
        <f aca="false">SQRT(($B213-AE$139)^2+($C213-AE$140)^2+($D213-AE$141)^2)</f>
        <v>1.52589041513557</v>
      </c>
      <c r="AF213" s="17" t="n">
        <f aca="false">SQRT(($B213-AF$139)^2+($C213-AF$140)^2+($D213-AF$141)^2)</f>
        <v>1.64552281662904</v>
      </c>
      <c r="AG213" s="17" t="n">
        <f aca="false">SQRT(($B213-AG$139)^2+($C213-AG$140)^2+($D213-AG$141)^2)</f>
        <v>0.746811884740067</v>
      </c>
      <c r="AH213" s="63" t="n">
        <f aca="false">MATCH(MIN(AD213:AG213),AD213:AG213,0)</f>
        <v>4</v>
      </c>
      <c r="AJ213" s="17" t="n">
        <f aca="false">SQRT(($B213-AJ$139)^2+($C213-AJ$140)^2+($D213-AJ$141)^2)</f>
        <v>5.30298729941463</v>
      </c>
      <c r="AK213" s="17" t="n">
        <f aca="false">SQRT(($B213-AK$139)^2+($C213-AK$140)^2+($D213-AK$141)^2)</f>
        <v>1.55781523885059</v>
      </c>
      <c r="AL213" s="17" t="n">
        <f aca="false">SQRT(($B213-AL$139)^2+($C213-AL$140)^2+($D213-AL$141)^2)</f>
        <v>1.73372243211605</v>
      </c>
      <c r="AM213" s="17" t="n">
        <f aca="false">SQRT(($B213-AM$139)^2+($C213-AM$140)^2+($D213-AM$141)^2)</f>
        <v>0.617519928295588</v>
      </c>
      <c r="AN213" s="63" t="n">
        <f aca="false">MATCH(MIN(AJ213:AM213),AJ213:AM213,0)</f>
        <v>4</v>
      </c>
      <c r="AP213" s="17" t="n">
        <f aca="false">SQRT(($B213-AP$139)^2+($C213-AP$140)^2+($D213-AP$141)^2)</f>
        <v>5.01449448214454</v>
      </c>
      <c r="AQ213" s="17" t="n">
        <f aca="false">SQRT(($B213-AQ$139)^2+($C213-AQ$140)^2+($D213-AQ$141)^2)</f>
        <v>1.65469422475405</v>
      </c>
      <c r="AR213" s="17" t="n">
        <f aca="false">SQRT(($B213-AR$139)^2+($C213-AR$140)^2+($D213-AR$141)^2)</f>
        <v>1.68371016197178</v>
      </c>
      <c r="AS213" s="17" t="n">
        <f aca="false">SQRT(($B213-AS$139)^2+($C213-AS$140)^2+($D213-AS$141)^2)</f>
        <v>0.598335819379384</v>
      </c>
      <c r="AT213" s="63" t="n">
        <f aca="false">MATCH(MIN(AP213:AS213),AP213:AS213,0)</f>
        <v>4</v>
      </c>
      <c r="AV213" s="17" t="n">
        <f aca="false">SQRT(($B213-AV$139)^2+($C213-AV$140)^2+($D213-AV$141)^2)</f>
        <v>5.01449448214454</v>
      </c>
      <c r="AW213" s="17" t="n">
        <f aca="false">SQRT(($B213-AW$139)^2+($C213-AW$140)^2+($D213-AW$141)^2)</f>
        <v>1.65469422475405</v>
      </c>
      <c r="AX213" s="17" t="n">
        <f aca="false">SQRT(($B213-AX$139)^2+($C213-AX$140)^2+($D213-AX$141)^2)</f>
        <v>1.68371016197178</v>
      </c>
      <c r="AY213" s="17" t="n">
        <f aca="false">SQRT(($B213-AY$139)^2+($C213-AY$140)^2+($D213-AY$141)^2)</f>
        <v>0.598335819379384</v>
      </c>
      <c r="AZ213" s="63" t="n">
        <f aca="false">MATCH(MIN(AV213:AY213),AV213:AY213,0)</f>
        <v>4</v>
      </c>
      <c r="BB213" s="17" t="n">
        <f aca="false">SQRT(($B213-BB$139)^2+($C213-BB$140)^2+($D213-BB$141)^2)</f>
        <v>5.01449448214454</v>
      </c>
      <c r="BC213" s="17" t="n">
        <f aca="false">SQRT(($B213-BC$139)^2+($C213-BC$140)^2+($D213-BC$141)^2)</f>
        <v>1.65469422475405</v>
      </c>
      <c r="BD213" s="17" t="n">
        <f aca="false">SQRT(($B213-BD$139)^2+($C213-BD$140)^2+($D213-BD$141)^2)</f>
        <v>1.68371016197178</v>
      </c>
      <c r="BE213" s="17" t="n">
        <f aca="false">SQRT(($B213-BE$139)^2+($C213-BE$140)^2+($D213-BE$141)^2)</f>
        <v>0.598335819379384</v>
      </c>
      <c r="BF213" s="63" t="n">
        <f aca="false">MATCH(MIN(BB213:BE213),BB213:BE213,0)</f>
        <v>4</v>
      </c>
      <c r="BH213" s="17" t="n">
        <f aca="false">SQRT(($B213-BH$139)^2+($C213-BH$140)^2+($D213-BH$141)^2)</f>
        <v>5.01449448214454</v>
      </c>
      <c r="BI213" s="17" t="n">
        <f aca="false">SQRT(($B213-BI$139)^2+($C213-BI$140)^2+($D213-BI$141)^2)</f>
        <v>1.65469422475405</v>
      </c>
      <c r="BJ213" s="17" t="n">
        <f aca="false">SQRT(($B213-BJ$139)^2+($C213-BJ$140)^2+($D213-BJ$141)^2)</f>
        <v>1.68371016197178</v>
      </c>
      <c r="BK213" s="17" t="n">
        <f aca="false">SQRT(($B213-BK$139)^2+($C213-BK$140)^2+($D213-BK$141)^2)</f>
        <v>0.598335819379384</v>
      </c>
      <c r="BL213" s="63" t="n">
        <f aca="false">MATCH(MIN(BH213:BK213),BH213:BK213,0)</f>
        <v>4</v>
      </c>
      <c r="BN213" s="17" t="n">
        <f aca="false">SQRT(($B213-BN$139)^2+($C213-BN$140)^2+($D213-BN$141)^2)</f>
        <v>5.01449448214454</v>
      </c>
      <c r="BO213" s="17" t="n">
        <f aca="false">SQRT(($B213-BO$139)^2+($C213-BO$140)^2+($D213-BO$141)^2)</f>
        <v>1.65469422475405</v>
      </c>
      <c r="BP213" s="17" t="n">
        <f aca="false">SQRT(($B213-BP$139)^2+($C213-BP$140)^2+($D213-BP$141)^2)</f>
        <v>1.68371016197178</v>
      </c>
      <c r="BQ213" s="17" t="n">
        <f aca="false">SQRT(($B213-BQ$139)^2+($C213-BQ$140)^2+($D213-BQ$141)^2)</f>
        <v>0.598335819379384</v>
      </c>
      <c r="BR213" s="63" t="n">
        <f aca="false">MATCH(MIN(BN213:BQ213),BN213:BQ213,0)</f>
        <v>4</v>
      </c>
      <c r="BT213" s="17" t="n">
        <f aca="false">SQRT(($B213-BT$139)^2+($C213-BT$140)^2+($D213-BT$141)^2)</f>
        <v>5.01449448214454</v>
      </c>
      <c r="BU213" s="17" t="n">
        <f aca="false">SQRT(($B213-BU$139)^2+($C213-BU$140)^2+($D213-BU$141)^2)</f>
        <v>1.65469422475405</v>
      </c>
      <c r="BV213" s="17" t="n">
        <f aca="false">SQRT(($B213-BV$139)^2+($C213-BV$140)^2+($D213-BV$141)^2)</f>
        <v>1.68371016197178</v>
      </c>
      <c r="BW213" s="17" t="n">
        <f aca="false">SQRT(($B213-BW$139)^2+($C213-BW$140)^2+($D213-BW$141)^2)</f>
        <v>0.598335819379384</v>
      </c>
      <c r="BX213" s="63" t="n">
        <f aca="false">MATCH(MIN(BT213:BW213),BT213:BW213,0)</f>
        <v>4</v>
      </c>
      <c r="BZ213" s="17" t="n">
        <f aca="false">SQRT(($B213-BZ$139)^2+($C213-BZ$140)^2+($D213-BZ$141)^2)</f>
        <v>5.01449448214454</v>
      </c>
      <c r="CA213" s="17" t="n">
        <f aca="false">SQRT(($B213-CA$139)^2+($C213-CA$140)^2+($D213-CA$141)^2)</f>
        <v>1.65469422475405</v>
      </c>
      <c r="CB213" s="17" t="n">
        <f aca="false">SQRT(($B213-CB$139)^2+($C213-CB$140)^2+($D213-CB$141)^2)</f>
        <v>1.68371016197178</v>
      </c>
      <c r="CC213" s="17" t="n">
        <f aca="false">SQRT(($B213-CC$139)^2+($C213-CC$140)^2+($D213-CC$141)^2)</f>
        <v>0.598335819379384</v>
      </c>
      <c r="CD213" s="63" t="n">
        <f aca="false">MATCH(MIN(BZ213:CC213),BZ213:CC213,0)</f>
        <v>4</v>
      </c>
      <c r="CF213" s="17" t="n">
        <f aca="false">SQRT(($B213-CF$139)^2+($C213-CF$140)^2+($D213-CF$141)^2)</f>
        <v>5.01449448214454</v>
      </c>
      <c r="CG213" s="17" t="n">
        <f aca="false">SQRT(($B213-CG$139)^2+($C213-CG$140)^2+($D213-CG$141)^2)</f>
        <v>1.65469422475405</v>
      </c>
      <c r="CH213" s="17" t="n">
        <f aca="false">SQRT(($B213-CH$139)^2+($C213-CH$140)^2+($D213-CH$141)^2)</f>
        <v>1.68371016197178</v>
      </c>
      <c r="CI213" s="17" t="n">
        <f aca="false">SQRT(($B213-CI$139)^2+($C213-CI$140)^2+($D213-CI$141)^2)</f>
        <v>0.598335819379384</v>
      </c>
      <c r="CJ213" s="63" t="n">
        <f aca="false">MATCH(MIN(CF213:CI213),CF213:CI213,0)</f>
        <v>4</v>
      </c>
      <c r="CL213" s="17" t="n">
        <f aca="false">SQRT(($B213-CL$139)^2+($C213-CL$140)^2+($D213-CL$141)^2)</f>
        <v>5.01449448214454</v>
      </c>
      <c r="CM213" s="17" t="n">
        <f aca="false">SQRT(($B213-CM$139)^2+($C213-CM$140)^2+($D213-CM$141)^2)</f>
        <v>1.65469422475405</v>
      </c>
      <c r="CN213" s="17" t="n">
        <f aca="false">SQRT(($B213-CN$139)^2+($C213-CN$140)^2+($D213-CN$141)^2)</f>
        <v>1.68371016197178</v>
      </c>
      <c r="CO213" s="17" t="n">
        <f aca="false">SQRT(($B213-CO$139)^2+($C213-CO$140)^2+($D213-CO$141)^2)</f>
        <v>0.598335819379384</v>
      </c>
      <c r="CP213" s="63" t="n">
        <f aca="false">MATCH(MIN(CL213:CO213),CL213:CO213,0)</f>
        <v>4</v>
      </c>
    </row>
    <row r="214" customFormat="false" ht="15" hidden="false" customHeight="false" outlineLevel="0" collapsed="false">
      <c r="A214" s="36" t="str">
        <f aca="false">KMeans_Data!A73</f>
        <v>Sujawal</v>
      </c>
      <c r="B214" s="17" t="n">
        <f aca="false">KMeans_Data!H73</f>
        <v>-0.214623816906368</v>
      </c>
      <c r="C214" s="17" t="n">
        <f aca="false">KMeans_Data!I73</f>
        <v>-0.672650545388274</v>
      </c>
      <c r="D214" s="17" t="n">
        <f aca="false">KMeans_Data!J73</f>
        <v>0.109241721582438</v>
      </c>
      <c r="E214" s="63" t="n">
        <f aca="false">CP214</f>
        <v>4</v>
      </c>
      <c r="F214" s="38" t="n">
        <f aca="false">($B214-INDEX($L$139:$O$139,E214))^2+($C214-INDEX($L$140:$O$140,E214))^2+($D214-INDEX($L$141:$O$141,E214))^2</f>
        <v>0.269031481028299</v>
      </c>
      <c r="G214" s="17" t="n">
        <f aca="false">IF(COUNTIF(Distance_Matrix!$E$10:$DQ$10,$E214)&lt;=1,0,SUMIF(Distance_Matrix!$E$10:$DQ$10,$E214,Distance_Matrix!$E$82:$DQ$82)/(COUNTIF(Distance_Matrix!$E$10:$DQ$10,$E214)-1))</f>
        <v>0.855497885495869</v>
      </c>
      <c r="H214" s="17" t="n">
        <f aca="false">MIN(IF(1=$E214,1E+099,IF(COUNTIF(Distance_Matrix!$E$10:$DQ$10,1)=0,1E+099,SUMIF(Distance_Matrix!$E$10:$DQ$10,1,Distance_Matrix!$E$82:$DQ$82)/COUNTIF(Distance_Matrix!$E$10:$DQ$10,1))),IF(2=$E214,1E+099,IF(COUNTIF(Distance_Matrix!$E$10:$DQ$10,2)=0,1E+099,SUMIF(Distance_Matrix!$E$10:$DQ$10,2,Distance_Matrix!$E$82:$DQ$82)/COUNTIF(Distance_Matrix!$E$10:$DQ$10,2))),IF(3=$E214,1E+099,IF(COUNTIF(Distance_Matrix!$E$10:$DQ$10,3)=0,1E+099,SUMIF(Distance_Matrix!$E$10:$DQ$10,3,Distance_Matrix!$E$82:$DQ$82)/COUNTIF(Distance_Matrix!$E$10:$DQ$10,3))),IF(4=$E214,1E+099,IF(COUNTIF(Distance_Matrix!$E$10:$DQ$10,4)=0,1E+099,SUMIF(Distance_Matrix!$E$10:$DQ$10,4,Distance_Matrix!$E$82:$DQ$82)/COUNTIF(Distance_Matrix!$E$10:$DQ$10,4))))</f>
        <v>1.62344647415575</v>
      </c>
      <c r="I214" s="17" t="n">
        <f aca="false">IF(COUNTIF(Distance_Matrix!$E$10:$DQ$10,$E214)&lt;=1,0,(H214-G214)/MAX(G214,H214))</f>
        <v>0.473035976784661</v>
      </c>
      <c r="X214" s="17" t="n">
        <f aca="false">SQRT(($B214-X$139)^2+($C214-X$140)^2+($D214-X$141)^2)</f>
        <v>6.65224140953836</v>
      </c>
      <c r="Y214" s="17" t="n">
        <f aca="false">SQRT(($B214-Y$139)^2+($C214-Y$140)^2+($D214-Y$141)^2)</f>
        <v>2.24797449147035</v>
      </c>
      <c r="Z214" s="17" t="n">
        <f aca="false">SQRT(($B214-Z$139)^2+($C214-Z$140)^2+($D214-Z$141)^2)</f>
        <v>2.12731637682969</v>
      </c>
      <c r="AA214" s="17" t="n">
        <f aca="false">SQRT(($B214-AA$139)^2+($C214-AA$140)^2+($D214-AA$141)^2)</f>
        <v>1.60971283394294</v>
      </c>
      <c r="AB214" s="63" t="n">
        <f aca="false">MATCH(MIN(X214:AA214),X214:AA214,0)</f>
        <v>4</v>
      </c>
      <c r="AD214" s="17" t="n">
        <f aca="false">SQRT(($B214-AD$139)^2+($C214-AD$140)^2+($D214-AD$141)^2)</f>
        <v>5.68411672016991</v>
      </c>
      <c r="AE214" s="17" t="n">
        <f aca="false">SQRT(($B214-AE$139)^2+($C214-AE$140)^2+($D214-AE$141)^2)</f>
        <v>1.46448587498925</v>
      </c>
      <c r="AF214" s="17" t="n">
        <f aca="false">SQRT(($B214-AF$139)^2+($C214-AF$140)^2+($D214-AF$141)^2)</f>
        <v>1.68249655698673</v>
      </c>
      <c r="AG214" s="17" t="n">
        <f aca="false">SQRT(($B214-AG$139)^2+($C214-AG$140)^2+($D214-AG$141)^2)</f>
        <v>0.667296322011194</v>
      </c>
      <c r="AH214" s="63" t="n">
        <f aca="false">MATCH(MIN(AD214:AG214),AD214:AG214,0)</f>
        <v>4</v>
      </c>
      <c r="AJ214" s="17" t="n">
        <f aca="false">SQRT(($B214-AJ$139)^2+($C214-AJ$140)^2+($D214-AJ$141)^2)</f>
        <v>5.33755687242835</v>
      </c>
      <c r="AK214" s="17" t="n">
        <f aca="false">SQRT(($B214-AK$139)^2+($C214-AK$140)^2+($D214-AK$141)^2)</f>
        <v>1.49487518644151</v>
      </c>
      <c r="AL214" s="17" t="n">
        <f aca="false">SQRT(($B214-AL$139)^2+($C214-AL$140)^2+($D214-AL$141)^2)</f>
        <v>1.76904846159915</v>
      </c>
      <c r="AM214" s="17" t="n">
        <f aca="false">SQRT(($B214-AM$139)^2+($C214-AM$140)^2+($D214-AM$141)^2)</f>
        <v>0.539422932980273</v>
      </c>
      <c r="AN214" s="63" t="n">
        <f aca="false">MATCH(MIN(AJ214:AM214),AJ214:AM214,0)</f>
        <v>4</v>
      </c>
      <c r="AP214" s="17" t="n">
        <f aca="false">SQRT(($B214-AP$139)^2+($C214-AP$140)^2+($D214-AP$141)^2)</f>
        <v>5.04857123022387</v>
      </c>
      <c r="AQ214" s="17" t="n">
        <f aca="false">SQRT(($B214-AQ$139)^2+($C214-AQ$140)^2+($D214-AQ$141)^2)</f>
        <v>1.59089872542998</v>
      </c>
      <c r="AR214" s="17" t="n">
        <f aca="false">SQRT(($B214-AR$139)^2+($C214-AR$140)^2+($D214-AR$141)^2)</f>
        <v>1.71932053049472</v>
      </c>
      <c r="AS214" s="17" t="n">
        <f aca="false">SQRT(($B214-AS$139)^2+($C214-AS$140)^2+($D214-AS$141)^2)</f>
        <v>0.518682447195101</v>
      </c>
      <c r="AT214" s="63" t="n">
        <f aca="false">MATCH(MIN(AP214:AS214),AP214:AS214,0)</f>
        <v>4</v>
      </c>
      <c r="AV214" s="17" t="n">
        <f aca="false">SQRT(($B214-AV$139)^2+($C214-AV$140)^2+($D214-AV$141)^2)</f>
        <v>5.04857123022387</v>
      </c>
      <c r="AW214" s="17" t="n">
        <f aca="false">SQRT(($B214-AW$139)^2+($C214-AW$140)^2+($D214-AW$141)^2)</f>
        <v>1.59089872542998</v>
      </c>
      <c r="AX214" s="17" t="n">
        <f aca="false">SQRT(($B214-AX$139)^2+($C214-AX$140)^2+($D214-AX$141)^2)</f>
        <v>1.71932053049472</v>
      </c>
      <c r="AY214" s="17" t="n">
        <f aca="false">SQRT(($B214-AY$139)^2+($C214-AY$140)^2+($D214-AY$141)^2)</f>
        <v>0.518682447195101</v>
      </c>
      <c r="AZ214" s="63" t="n">
        <f aca="false">MATCH(MIN(AV214:AY214),AV214:AY214,0)</f>
        <v>4</v>
      </c>
      <c r="BB214" s="17" t="n">
        <f aca="false">SQRT(($B214-BB$139)^2+($C214-BB$140)^2+($D214-BB$141)^2)</f>
        <v>5.04857123022387</v>
      </c>
      <c r="BC214" s="17" t="n">
        <f aca="false">SQRT(($B214-BC$139)^2+($C214-BC$140)^2+($D214-BC$141)^2)</f>
        <v>1.59089872542998</v>
      </c>
      <c r="BD214" s="17" t="n">
        <f aca="false">SQRT(($B214-BD$139)^2+($C214-BD$140)^2+($D214-BD$141)^2)</f>
        <v>1.71932053049472</v>
      </c>
      <c r="BE214" s="17" t="n">
        <f aca="false">SQRT(($B214-BE$139)^2+($C214-BE$140)^2+($D214-BE$141)^2)</f>
        <v>0.518682447195101</v>
      </c>
      <c r="BF214" s="63" t="n">
        <f aca="false">MATCH(MIN(BB214:BE214),BB214:BE214,0)</f>
        <v>4</v>
      </c>
      <c r="BH214" s="17" t="n">
        <f aca="false">SQRT(($B214-BH$139)^2+($C214-BH$140)^2+($D214-BH$141)^2)</f>
        <v>5.04857123022387</v>
      </c>
      <c r="BI214" s="17" t="n">
        <f aca="false">SQRT(($B214-BI$139)^2+($C214-BI$140)^2+($D214-BI$141)^2)</f>
        <v>1.59089872542998</v>
      </c>
      <c r="BJ214" s="17" t="n">
        <f aca="false">SQRT(($B214-BJ$139)^2+($C214-BJ$140)^2+($D214-BJ$141)^2)</f>
        <v>1.71932053049472</v>
      </c>
      <c r="BK214" s="17" t="n">
        <f aca="false">SQRT(($B214-BK$139)^2+($C214-BK$140)^2+($D214-BK$141)^2)</f>
        <v>0.518682447195101</v>
      </c>
      <c r="BL214" s="63" t="n">
        <f aca="false">MATCH(MIN(BH214:BK214),BH214:BK214,0)</f>
        <v>4</v>
      </c>
      <c r="BN214" s="17" t="n">
        <f aca="false">SQRT(($B214-BN$139)^2+($C214-BN$140)^2+($D214-BN$141)^2)</f>
        <v>5.04857123022387</v>
      </c>
      <c r="BO214" s="17" t="n">
        <f aca="false">SQRT(($B214-BO$139)^2+($C214-BO$140)^2+($D214-BO$141)^2)</f>
        <v>1.59089872542998</v>
      </c>
      <c r="BP214" s="17" t="n">
        <f aca="false">SQRT(($B214-BP$139)^2+($C214-BP$140)^2+($D214-BP$141)^2)</f>
        <v>1.71932053049472</v>
      </c>
      <c r="BQ214" s="17" t="n">
        <f aca="false">SQRT(($B214-BQ$139)^2+($C214-BQ$140)^2+($D214-BQ$141)^2)</f>
        <v>0.518682447195101</v>
      </c>
      <c r="BR214" s="63" t="n">
        <f aca="false">MATCH(MIN(BN214:BQ214),BN214:BQ214,0)</f>
        <v>4</v>
      </c>
      <c r="BT214" s="17" t="n">
        <f aca="false">SQRT(($B214-BT$139)^2+($C214-BT$140)^2+($D214-BT$141)^2)</f>
        <v>5.04857123022387</v>
      </c>
      <c r="BU214" s="17" t="n">
        <f aca="false">SQRT(($B214-BU$139)^2+($C214-BU$140)^2+($D214-BU$141)^2)</f>
        <v>1.59089872542998</v>
      </c>
      <c r="BV214" s="17" t="n">
        <f aca="false">SQRT(($B214-BV$139)^2+($C214-BV$140)^2+($D214-BV$141)^2)</f>
        <v>1.71932053049472</v>
      </c>
      <c r="BW214" s="17" t="n">
        <f aca="false">SQRT(($B214-BW$139)^2+($C214-BW$140)^2+($D214-BW$141)^2)</f>
        <v>0.518682447195101</v>
      </c>
      <c r="BX214" s="63" t="n">
        <f aca="false">MATCH(MIN(BT214:BW214),BT214:BW214,0)</f>
        <v>4</v>
      </c>
      <c r="BZ214" s="17" t="n">
        <f aca="false">SQRT(($B214-BZ$139)^2+($C214-BZ$140)^2+($D214-BZ$141)^2)</f>
        <v>5.04857123022387</v>
      </c>
      <c r="CA214" s="17" t="n">
        <f aca="false">SQRT(($B214-CA$139)^2+($C214-CA$140)^2+($D214-CA$141)^2)</f>
        <v>1.59089872542998</v>
      </c>
      <c r="CB214" s="17" t="n">
        <f aca="false">SQRT(($B214-CB$139)^2+($C214-CB$140)^2+($D214-CB$141)^2)</f>
        <v>1.71932053049472</v>
      </c>
      <c r="CC214" s="17" t="n">
        <f aca="false">SQRT(($B214-CC$139)^2+($C214-CC$140)^2+($D214-CC$141)^2)</f>
        <v>0.518682447195101</v>
      </c>
      <c r="CD214" s="63" t="n">
        <f aca="false">MATCH(MIN(BZ214:CC214),BZ214:CC214,0)</f>
        <v>4</v>
      </c>
      <c r="CF214" s="17" t="n">
        <f aca="false">SQRT(($B214-CF$139)^2+($C214-CF$140)^2+($D214-CF$141)^2)</f>
        <v>5.04857123022387</v>
      </c>
      <c r="CG214" s="17" t="n">
        <f aca="false">SQRT(($B214-CG$139)^2+($C214-CG$140)^2+($D214-CG$141)^2)</f>
        <v>1.59089872542998</v>
      </c>
      <c r="CH214" s="17" t="n">
        <f aca="false">SQRT(($B214-CH$139)^2+($C214-CH$140)^2+($D214-CH$141)^2)</f>
        <v>1.71932053049472</v>
      </c>
      <c r="CI214" s="17" t="n">
        <f aca="false">SQRT(($B214-CI$139)^2+($C214-CI$140)^2+($D214-CI$141)^2)</f>
        <v>0.518682447195101</v>
      </c>
      <c r="CJ214" s="63" t="n">
        <f aca="false">MATCH(MIN(CF214:CI214),CF214:CI214,0)</f>
        <v>4</v>
      </c>
      <c r="CL214" s="17" t="n">
        <f aca="false">SQRT(($B214-CL$139)^2+($C214-CL$140)^2+($D214-CL$141)^2)</f>
        <v>5.04857123022387</v>
      </c>
      <c r="CM214" s="17" t="n">
        <f aca="false">SQRT(($B214-CM$139)^2+($C214-CM$140)^2+($D214-CM$141)^2)</f>
        <v>1.59089872542998</v>
      </c>
      <c r="CN214" s="17" t="n">
        <f aca="false">SQRT(($B214-CN$139)^2+($C214-CN$140)^2+($D214-CN$141)^2)</f>
        <v>1.71932053049472</v>
      </c>
      <c r="CO214" s="17" t="n">
        <f aca="false">SQRT(($B214-CO$139)^2+($C214-CO$140)^2+($D214-CO$141)^2)</f>
        <v>0.518682447195101</v>
      </c>
      <c r="CP214" s="63" t="n">
        <f aca="false">MATCH(MIN(CL214:CO214),CL214:CO214,0)</f>
        <v>4</v>
      </c>
    </row>
    <row r="215" customFormat="false" ht="15" hidden="false" customHeight="false" outlineLevel="0" collapsed="false">
      <c r="A215" s="36" t="str">
        <f aca="false">KMeans_Data!A74</f>
        <v>Laiya</v>
      </c>
      <c r="B215" s="17" t="n">
        <f aca="false">KMeans_Data!H74</f>
        <v>-0.259910629817831</v>
      </c>
      <c r="C215" s="17" t="n">
        <f aca="false">KMeans_Data!I74</f>
        <v>-0.672650545388274</v>
      </c>
      <c r="D215" s="17" t="n">
        <f aca="false">KMeans_Data!J74</f>
        <v>-1.14564411633355</v>
      </c>
      <c r="E215" s="63" t="n">
        <f aca="false">CP215</f>
        <v>4</v>
      </c>
      <c r="F215" s="38" t="n">
        <f aca="false">($B215-INDEX($L$139:$O$139,E215))^2+($C215-INDEX($L$140:$O$140,E215))^2+($D215-INDEX($L$141:$O$141,E215))^2</f>
        <v>0.638076746384405</v>
      </c>
      <c r="G215" s="17" t="n">
        <f aca="false">IF(COUNTIF(Distance_Matrix!$E$10:$DQ$10,$E215)&lt;=1,0,SUMIF(Distance_Matrix!$E$10:$DQ$10,$E215,Distance_Matrix!$E$83:$DQ$83)/(COUNTIF(Distance_Matrix!$E$10:$DQ$10,$E215)-1))</f>
        <v>1.01147389709289</v>
      </c>
      <c r="H215" s="17" t="n">
        <f aca="false">MIN(IF(1=$E215,1E+099,IF(COUNTIF(Distance_Matrix!$E$10:$DQ$10,1)=0,1E+099,SUMIF(Distance_Matrix!$E$10:$DQ$10,1,Distance_Matrix!$E$83:$DQ$83)/COUNTIF(Distance_Matrix!$E$10:$DQ$10,1))),IF(2=$E215,1E+099,IF(COUNTIF(Distance_Matrix!$E$10:$DQ$10,2)=0,1E+099,SUMIF(Distance_Matrix!$E$10:$DQ$10,2,Distance_Matrix!$E$83:$DQ$83)/COUNTIF(Distance_Matrix!$E$10:$DQ$10,2))),IF(3=$E215,1E+099,IF(COUNTIF(Distance_Matrix!$E$10:$DQ$10,3)=0,1E+099,SUMIF(Distance_Matrix!$E$10:$DQ$10,3,Distance_Matrix!$E$83:$DQ$83)/COUNTIF(Distance_Matrix!$E$10:$DQ$10,3))),IF(4=$E215,1E+099,IF(COUNTIF(Distance_Matrix!$E$10:$DQ$10,4)=0,1E+099,SUMIF(Distance_Matrix!$E$10:$DQ$10,4,Distance_Matrix!$E$83:$DQ$83)/COUNTIF(Distance_Matrix!$E$10:$DQ$10,4))))</f>
        <v>1.0470686411426</v>
      </c>
      <c r="I215" s="17" t="n">
        <f aca="false">IF(COUNTIF(Distance_Matrix!$E$10:$DQ$10,$E215)&lt;=1,0,(H215-G215)/MAX(G215,H215))</f>
        <v>0.0339946615256039</v>
      </c>
      <c r="X215" s="17" t="n">
        <f aca="false">SQRT(($B215-X$139)^2+($C215-X$140)^2+($D215-X$141)^2)</f>
        <v>7.35081663720413</v>
      </c>
      <c r="Y215" s="17" t="n">
        <f aca="false">SQRT(($B215-Y$139)^2+($C215-Y$140)^2+($D215-Y$141)^2)</f>
        <v>1.81982735198549</v>
      </c>
      <c r="Z215" s="17" t="n">
        <f aca="false">SQRT(($B215-Z$139)^2+($C215-Z$140)^2+($D215-Z$141)^2)</f>
        <v>3.10352494535984</v>
      </c>
      <c r="AA215" s="17" t="n">
        <f aca="false">SQRT(($B215-AA$139)^2+($C215-AA$140)^2+($D215-AA$141)^2)</f>
        <v>1.04709505026299</v>
      </c>
      <c r="AB215" s="63" t="n">
        <f aca="false">MATCH(MIN(X215:AA215),X215:AA215,0)</f>
        <v>4</v>
      </c>
      <c r="AD215" s="17" t="n">
        <f aca="false">SQRT(($B215-AD$139)^2+($C215-AD$140)^2+($D215-AD$141)^2)</f>
        <v>6.33449735801956</v>
      </c>
      <c r="AE215" s="17" t="n">
        <f aca="false">SQRT(($B215-AE$139)^2+($C215-AE$140)^2+($D215-AE$141)^2)</f>
        <v>1.00358812546005</v>
      </c>
      <c r="AF215" s="17" t="n">
        <f aca="false">SQRT(($B215-AF$139)^2+($C215-AF$140)^2+($D215-AF$141)^2)</f>
        <v>2.53293330546356</v>
      </c>
      <c r="AG215" s="17" t="n">
        <f aca="false">SQRT(($B215-AG$139)^2+($C215-AG$140)^2+($D215-AG$141)^2)</f>
        <v>0.686842392223783</v>
      </c>
      <c r="AH215" s="63" t="n">
        <f aca="false">MATCH(MIN(AD215:AG215),AD215:AG215,0)</f>
        <v>4</v>
      </c>
      <c r="AJ215" s="17" t="n">
        <f aca="false">SQRT(($B215-AJ$139)^2+($C215-AJ$140)^2+($D215-AJ$141)^2)</f>
        <v>5.99150791559792</v>
      </c>
      <c r="AK215" s="17" t="n">
        <f aca="false">SQRT(($B215-AK$139)^2+($C215-AK$140)^2+($D215-AK$141)^2)</f>
        <v>0.985624863405098</v>
      </c>
      <c r="AL215" s="17" t="n">
        <f aca="false">SQRT(($B215-AL$139)^2+($C215-AL$140)^2+($D215-AL$141)^2)</f>
        <v>2.59401715994113</v>
      </c>
      <c r="AM215" s="17" t="n">
        <f aca="false">SQRT(($B215-AM$139)^2+($C215-AM$140)^2+($D215-AM$141)^2)</f>
        <v>0.802372614502051</v>
      </c>
      <c r="AN215" s="63" t="n">
        <f aca="false">MATCH(MIN(AJ215:AM215),AJ215:AM215,0)</f>
        <v>4</v>
      </c>
      <c r="AP215" s="17" t="n">
        <f aca="false">SQRT(($B215-AP$139)^2+($C215-AP$140)^2+($D215-AP$141)^2)</f>
        <v>5.70163344944401</v>
      </c>
      <c r="AQ215" s="17" t="n">
        <f aca="false">SQRT(($B215-AQ$139)^2+($C215-AQ$140)^2+($D215-AQ$141)^2)</f>
        <v>1.02080781661123</v>
      </c>
      <c r="AR215" s="17" t="n">
        <f aca="false">SQRT(($B215-AR$139)^2+($C215-AR$140)^2+($D215-AR$141)^2)</f>
        <v>2.55253559820536</v>
      </c>
      <c r="AS215" s="17" t="n">
        <f aca="false">SQRT(($B215-AS$139)^2+($C215-AS$140)^2+($D215-AS$141)^2)</f>
        <v>0.798797062077975</v>
      </c>
      <c r="AT215" s="63" t="n">
        <f aca="false">MATCH(MIN(AP215:AS215),AP215:AS215,0)</f>
        <v>4</v>
      </c>
      <c r="AV215" s="17" t="n">
        <f aca="false">SQRT(($B215-AV$139)^2+($C215-AV$140)^2+($D215-AV$141)^2)</f>
        <v>5.70163344944401</v>
      </c>
      <c r="AW215" s="17" t="n">
        <f aca="false">SQRT(($B215-AW$139)^2+($C215-AW$140)^2+($D215-AW$141)^2)</f>
        <v>1.02080781661123</v>
      </c>
      <c r="AX215" s="17" t="n">
        <f aca="false">SQRT(($B215-AX$139)^2+($C215-AX$140)^2+($D215-AX$141)^2)</f>
        <v>2.55253559820536</v>
      </c>
      <c r="AY215" s="17" t="n">
        <f aca="false">SQRT(($B215-AY$139)^2+($C215-AY$140)^2+($D215-AY$141)^2)</f>
        <v>0.798797062077975</v>
      </c>
      <c r="AZ215" s="63" t="n">
        <f aca="false">MATCH(MIN(AV215:AY215),AV215:AY215,0)</f>
        <v>4</v>
      </c>
      <c r="BB215" s="17" t="n">
        <f aca="false">SQRT(($B215-BB$139)^2+($C215-BB$140)^2+($D215-BB$141)^2)</f>
        <v>5.70163344944401</v>
      </c>
      <c r="BC215" s="17" t="n">
        <f aca="false">SQRT(($B215-BC$139)^2+($C215-BC$140)^2+($D215-BC$141)^2)</f>
        <v>1.02080781661123</v>
      </c>
      <c r="BD215" s="17" t="n">
        <f aca="false">SQRT(($B215-BD$139)^2+($C215-BD$140)^2+($D215-BD$141)^2)</f>
        <v>2.55253559820536</v>
      </c>
      <c r="BE215" s="17" t="n">
        <f aca="false">SQRT(($B215-BE$139)^2+($C215-BE$140)^2+($D215-BE$141)^2)</f>
        <v>0.798797062077975</v>
      </c>
      <c r="BF215" s="63" t="n">
        <f aca="false">MATCH(MIN(BB215:BE215),BB215:BE215,0)</f>
        <v>4</v>
      </c>
      <c r="BH215" s="17" t="n">
        <f aca="false">SQRT(($B215-BH$139)^2+($C215-BH$140)^2+($D215-BH$141)^2)</f>
        <v>5.70163344944401</v>
      </c>
      <c r="BI215" s="17" t="n">
        <f aca="false">SQRT(($B215-BI$139)^2+($C215-BI$140)^2+($D215-BI$141)^2)</f>
        <v>1.02080781661123</v>
      </c>
      <c r="BJ215" s="17" t="n">
        <f aca="false">SQRT(($B215-BJ$139)^2+($C215-BJ$140)^2+($D215-BJ$141)^2)</f>
        <v>2.55253559820536</v>
      </c>
      <c r="BK215" s="17" t="n">
        <f aca="false">SQRT(($B215-BK$139)^2+($C215-BK$140)^2+($D215-BK$141)^2)</f>
        <v>0.798797062077975</v>
      </c>
      <c r="BL215" s="63" t="n">
        <f aca="false">MATCH(MIN(BH215:BK215),BH215:BK215,0)</f>
        <v>4</v>
      </c>
      <c r="BN215" s="17" t="n">
        <f aca="false">SQRT(($B215-BN$139)^2+($C215-BN$140)^2+($D215-BN$141)^2)</f>
        <v>5.70163344944401</v>
      </c>
      <c r="BO215" s="17" t="n">
        <f aca="false">SQRT(($B215-BO$139)^2+($C215-BO$140)^2+($D215-BO$141)^2)</f>
        <v>1.02080781661123</v>
      </c>
      <c r="BP215" s="17" t="n">
        <f aca="false">SQRT(($B215-BP$139)^2+($C215-BP$140)^2+($D215-BP$141)^2)</f>
        <v>2.55253559820536</v>
      </c>
      <c r="BQ215" s="17" t="n">
        <f aca="false">SQRT(($B215-BQ$139)^2+($C215-BQ$140)^2+($D215-BQ$141)^2)</f>
        <v>0.798797062077975</v>
      </c>
      <c r="BR215" s="63" t="n">
        <f aca="false">MATCH(MIN(BN215:BQ215),BN215:BQ215,0)</f>
        <v>4</v>
      </c>
      <c r="BT215" s="17" t="n">
        <f aca="false">SQRT(($B215-BT$139)^2+($C215-BT$140)^2+($D215-BT$141)^2)</f>
        <v>5.70163344944401</v>
      </c>
      <c r="BU215" s="17" t="n">
        <f aca="false">SQRT(($B215-BU$139)^2+($C215-BU$140)^2+($D215-BU$141)^2)</f>
        <v>1.02080781661123</v>
      </c>
      <c r="BV215" s="17" t="n">
        <f aca="false">SQRT(($B215-BV$139)^2+($C215-BV$140)^2+($D215-BV$141)^2)</f>
        <v>2.55253559820536</v>
      </c>
      <c r="BW215" s="17" t="n">
        <f aca="false">SQRT(($B215-BW$139)^2+($C215-BW$140)^2+($D215-BW$141)^2)</f>
        <v>0.798797062077975</v>
      </c>
      <c r="BX215" s="63" t="n">
        <f aca="false">MATCH(MIN(BT215:BW215),BT215:BW215,0)</f>
        <v>4</v>
      </c>
      <c r="BZ215" s="17" t="n">
        <f aca="false">SQRT(($B215-BZ$139)^2+($C215-BZ$140)^2+($D215-BZ$141)^2)</f>
        <v>5.70163344944401</v>
      </c>
      <c r="CA215" s="17" t="n">
        <f aca="false">SQRT(($B215-CA$139)^2+($C215-CA$140)^2+($D215-CA$141)^2)</f>
        <v>1.02080781661123</v>
      </c>
      <c r="CB215" s="17" t="n">
        <f aca="false">SQRT(($B215-CB$139)^2+($C215-CB$140)^2+($D215-CB$141)^2)</f>
        <v>2.55253559820536</v>
      </c>
      <c r="CC215" s="17" t="n">
        <f aca="false">SQRT(($B215-CC$139)^2+($C215-CC$140)^2+($D215-CC$141)^2)</f>
        <v>0.798797062077975</v>
      </c>
      <c r="CD215" s="63" t="n">
        <f aca="false">MATCH(MIN(BZ215:CC215),BZ215:CC215,0)</f>
        <v>4</v>
      </c>
      <c r="CF215" s="17" t="n">
        <f aca="false">SQRT(($B215-CF$139)^2+($C215-CF$140)^2+($D215-CF$141)^2)</f>
        <v>5.70163344944401</v>
      </c>
      <c r="CG215" s="17" t="n">
        <f aca="false">SQRT(($B215-CG$139)^2+($C215-CG$140)^2+($D215-CG$141)^2)</f>
        <v>1.02080781661123</v>
      </c>
      <c r="CH215" s="17" t="n">
        <f aca="false">SQRT(($B215-CH$139)^2+($C215-CH$140)^2+($D215-CH$141)^2)</f>
        <v>2.55253559820536</v>
      </c>
      <c r="CI215" s="17" t="n">
        <f aca="false">SQRT(($B215-CI$139)^2+($C215-CI$140)^2+($D215-CI$141)^2)</f>
        <v>0.798797062077975</v>
      </c>
      <c r="CJ215" s="63" t="n">
        <f aca="false">MATCH(MIN(CF215:CI215),CF215:CI215,0)</f>
        <v>4</v>
      </c>
      <c r="CL215" s="17" t="n">
        <f aca="false">SQRT(($B215-CL$139)^2+($C215-CL$140)^2+($D215-CL$141)^2)</f>
        <v>5.70163344944401</v>
      </c>
      <c r="CM215" s="17" t="n">
        <f aca="false">SQRT(($B215-CM$139)^2+($C215-CM$140)^2+($D215-CM$141)^2)</f>
        <v>1.02080781661123</v>
      </c>
      <c r="CN215" s="17" t="n">
        <f aca="false">SQRT(($B215-CN$139)^2+($C215-CN$140)^2+($D215-CN$141)^2)</f>
        <v>2.55253559820536</v>
      </c>
      <c r="CO215" s="17" t="n">
        <f aca="false">SQRT(($B215-CO$139)^2+($C215-CO$140)^2+($D215-CO$141)^2)</f>
        <v>0.798797062077975</v>
      </c>
      <c r="CP215" s="63" t="n">
        <f aca="false">MATCH(MIN(CL215:CO215),CL215:CO215,0)</f>
        <v>4</v>
      </c>
    </row>
    <row r="216" customFormat="false" ht="15" hidden="false" customHeight="false" outlineLevel="0" collapsed="false">
      <c r="A216" s="36" t="str">
        <f aca="false">KMeans_Data!A75</f>
        <v>Shigar</v>
      </c>
      <c r="B216" s="17" t="n">
        <f aca="false">KMeans_Data!H75</f>
        <v>-0.275926355545086</v>
      </c>
      <c r="C216" s="17" t="n">
        <f aca="false">KMeans_Data!I75</f>
        <v>-0.672650545388274</v>
      </c>
      <c r="D216" s="17" t="n">
        <f aca="false">KMeans_Data!J75</f>
        <v>0.286716848591577</v>
      </c>
      <c r="E216" s="63" t="n">
        <f aca="false">CP216</f>
        <v>4</v>
      </c>
      <c r="F216" s="38" t="n">
        <f aca="false">($B216-INDEX($L$139:$O$139,E216))^2+($C216-INDEX($L$140:$O$140,E216))^2+($D216-INDEX($L$141:$O$141,E216))^2</f>
        <v>0.486732602343569</v>
      </c>
      <c r="G216" s="17" t="n">
        <f aca="false">IF(COUNTIF(Distance_Matrix!$E$10:$DQ$10,$E216)&lt;=1,0,SUMIF(Distance_Matrix!$E$10:$DQ$10,$E216,Distance_Matrix!$E$84:$DQ$84)/(COUNTIF(Distance_Matrix!$E$10:$DQ$10,$E216)-1))</f>
        <v>0.953335361177653</v>
      </c>
      <c r="H216" s="17" t="n">
        <f aca="false">MIN(IF(1=$E216,1E+099,IF(COUNTIF(Distance_Matrix!$E$10:$DQ$10,1)=0,1E+099,SUMIF(Distance_Matrix!$E$10:$DQ$10,1,Distance_Matrix!$E$84:$DQ$84)/COUNTIF(Distance_Matrix!$E$10:$DQ$10,1))),IF(2=$E216,1E+099,IF(COUNTIF(Distance_Matrix!$E$10:$DQ$10,2)=0,1E+099,SUMIF(Distance_Matrix!$E$10:$DQ$10,2,Distance_Matrix!$E$84:$DQ$84)/COUNTIF(Distance_Matrix!$E$10:$DQ$10,2))),IF(3=$E216,1E+099,IF(COUNTIF(Distance_Matrix!$E$10:$DQ$10,3)=0,1E+099,SUMIF(Distance_Matrix!$E$10:$DQ$10,3,Distance_Matrix!$E$84:$DQ$84)/COUNTIF(Distance_Matrix!$E$10:$DQ$10,3))),IF(4=$E216,1E+099,IF(COUNTIF(Distance_Matrix!$E$10:$DQ$10,4)=0,1E+099,SUMIF(Distance_Matrix!$E$10:$DQ$10,4,Distance_Matrix!$E$84:$DQ$84)/COUNTIF(Distance_Matrix!$E$10:$DQ$10,4))))</f>
        <v>1.72406812394839</v>
      </c>
      <c r="I216" s="17" t="n">
        <f aca="false">IF(COUNTIF(Distance_Matrix!$E$10:$DQ$10,$E216)&lt;=1,0,(H216-G216)/MAX(G216,H216))</f>
        <v>0.447043102337301</v>
      </c>
      <c r="X216" s="17" t="n">
        <f aca="false">SQRT(($B216-X$139)^2+($C216-X$140)^2+($D216-X$141)^2)</f>
        <v>6.602995999108</v>
      </c>
      <c r="Y216" s="17" t="n">
        <f aca="false">SQRT(($B216-Y$139)^2+($C216-Y$140)^2+($D216-Y$141)^2)</f>
        <v>2.30334415944853</v>
      </c>
      <c r="Z216" s="17" t="n">
        <f aca="false">SQRT(($B216-Z$139)^2+($C216-Z$140)^2+($D216-Z$141)^2)</f>
        <v>2.05695940710304</v>
      </c>
      <c r="AA216" s="17" t="n">
        <f aca="false">SQRT(($B216-AA$139)^2+($C216-AA$140)^2+($D216-AA$141)^2)</f>
        <v>1.78250656143313</v>
      </c>
      <c r="AB216" s="63" t="n">
        <f aca="false">MATCH(MIN(X216:AA216),X216:AA216,0)</f>
        <v>4</v>
      </c>
      <c r="AD216" s="17" t="n">
        <f aca="false">SQRT(($B216-AD$139)^2+($C216-AD$140)^2+($D216-AD$141)^2)</f>
        <v>5.64546996891009</v>
      </c>
      <c r="AE216" s="17" t="n">
        <f aca="false">SQRT(($B216-AE$139)^2+($C216-AE$140)^2+($D216-AE$141)^2)</f>
        <v>1.55719790090053</v>
      </c>
      <c r="AF216" s="17" t="n">
        <f aca="false">SQRT(($B216-AF$139)^2+($C216-AF$140)^2+($D216-AF$141)^2)</f>
        <v>1.64115444925675</v>
      </c>
      <c r="AG216" s="17" t="n">
        <f aca="false">SQRT(($B216-AG$139)^2+($C216-AG$140)^2+($D216-AG$141)^2)</f>
        <v>0.848781741032092</v>
      </c>
      <c r="AH216" s="63" t="n">
        <f aca="false">MATCH(MIN(AD216:AG216),AD216:AG216,0)</f>
        <v>4</v>
      </c>
      <c r="AJ216" s="17" t="n">
        <f aca="false">SQRT(($B216-AJ$139)^2+($C216-AJ$140)^2+($D216-AJ$141)^2)</f>
        <v>5.30019842038302</v>
      </c>
      <c r="AK216" s="17" t="n">
        <f aca="false">SQRT(($B216-AK$139)^2+($C216-AK$140)^2+($D216-AK$141)^2)</f>
        <v>1.59177695148084</v>
      </c>
      <c r="AL216" s="17" t="n">
        <f aca="false">SQRT(($B216-AL$139)^2+($C216-AL$140)^2+($D216-AL$141)^2)</f>
        <v>1.73099741754697</v>
      </c>
      <c r="AM216" s="17" t="n">
        <f aca="false">SQRT(($B216-AM$139)^2+($C216-AM$140)^2+($D216-AM$141)^2)</f>
        <v>0.719273984220945</v>
      </c>
      <c r="AN216" s="63" t="n">
        <f aca="false">MATCH(MIN(AJ216:AM216),AJ216:AM216,0)</f>
        <v>4</v>
      </c>
      <c r="AP216" s="17" t="n">
        <f aca="false">SQRT(($B216-AP$139)^2+($C216-AP$140)^2+($D216-AP$141)^2)</f>
        <v>5.01186121179639</v>
      </c>
      <c r="AQ216" s="17" t="n">
        <f aca="false">SQRT(($B216-AQ$139)^2+($C216-AQ$140)^2+($D216-AQ$141)^2)</f>
        <v>1.6899095523592</v>
      </c>
      <c r="AR216" s="17" t="n">
        <f aca="false">SQRT(($B216-AR$139)^2+($C216-AR$140)^2+($D216-AR$141)^2)</f>
        <v>1.68091304511014</v>
      </c>
      <c r="AS216" s="17" t="n">
        <f aca="false">SQRT(($B216-AS$139)^2+($C216-AS$140)^2+($D216-AS$141)^2)</f>
        <v>0.697662240875604</v>
      </c>
      <c r="AT216" s="63" t="n">
        <f aca="false">MATCH(MIN(AP216:AS216),AP216:AS216,0)</f>
        <v>4</v>
      </c>
      <c r="AV216" s="17" t="n">
        <f aca="false">SQRT(($B216-AV$139)^2+($C216-AV$140)^2+($D216-AV$141)^2)</f>
        <v>5.01186121179639</v>
      </c>
      <c r="AW216" s="17" t="n">
        <f aca="false">SQRT(($B216-AW$139)^2+($C216-AW$140)^2+($D216-AW$141)^2)</f>
        <v>1.6899095523592</v>
      </c>
      <c r="AX216" s="17" t="n">
        <f aca="false">SQRT(($B216-AX$139)^2+($C216-AX$140)^2+($D216-AX$141)^2)</f>
        <v>1.68091304511014</v>
      </c>
      <c r="AY216" s="17" t="n">
        <f aca="false">SQRT(($B216-AY$139)^2+($C216-AY$140)^2+($D216-AY$141)^2)</f>
        <v>0.697662240875604</v>
      </c>
      <c r="AZ216" s="63" t="n">
        <f aca="false">MATCH(MIN(AV216:AY216),AV216:AY216,0)</f>
        <v>4</v>
      </c>
      <c r="BB216" s="17" t="n">
        <f aca="false">SQRT(($B216-BB$139)^2+($C216-BB$140)^2+($D216-BB$141)^2)</f>
        <v>5.01186121179639</v>
      </c>
      <c r="BC216" s="17" t="n">
        <f aca="false">SQRT(($B216-BC$139)^2+($C216-BC$140)^2+($D216-BC$141)^2)</f>
        <v>1.6899095523592</v>
      </c>
      <c r="BD216" s="17" t="n">
        <f aca="false">SQRT(($B216-BD$139)^2+($C216-BD$140)^2+($D216-BD$141)^2)</f>
        <v>1.68091304511014</v>
      </c>
      <c r="BE216" s="17" t="n">
        <f aca="false">SQRT(($B216-BE$139)^2+($C216-BE$140)^2+($D216-BE$141)^2)</f>
        <v>0.697662240875604</v>
      </c>
      <c r="BF216" s="63" t="n">
        <f aca="false">MATCH(MIN(BB216:BE216),BB216:BE216,0)</f>
        <v>4</v>
      </c>
      <c r="BH216" s="17" t="n">
        <f aca="false">SQRT(($B216-BH$139)^2+($C216-BH$140)^2+($D216-BH$141)^2)</f>
        <v>5.01186121179639</v>
      </c>
      <c r="BI216" s="17" t="n">
        <f aca="false">SQRT(($B216-BI$139)^2+($C216-BI$140)^2+($D216-BI$141)^2)</f>
        <v>1.6899095523592</v>
      </c>
      <c r="BJ216" s="17" t="n">
        <f aca="false">SQRT(($B216-BJ$139)^2+($C216-BJ$140)^2+($D216-BJ$141)^2)</f>
        <v>1.68091304511014</v>
      </c>
      <c r="BK216" s="17" t="n">
        <f aca="false">SQRT(($B216-BK$139)^2+($C216-BK$140)^2+($D216-BK$141)^2)</f>
        <v>0.697662240875604</v>
      </c>
      <c r="BL216" s="63" t="n">
        <f aca="false">MATCH(MIN(BH216:BK216),BH216:BK216,0)</f>
        <v>4</v>
      </c>
      <c r="BN216" s="17" t="n">
        <f aca="false">SQRT(($B216-BN$139)^2+($C216-BN$140)^2+($D216-BN$141)^2)</f>
        <v>5.01186121179639</v>
      </c>
      <c r="BO216" s="17" t="n">
        <f aca="false">SQRT(($B216-BO$139)^2+($C216-BO$140)^2+($D216-BO$141)^2)</f>
        <v>1.6899095523592</v>
      </c>
      <c r="BP216" s="17" t="n">
        <f aca="false">SQRT(($B216-BP$139)^2+($C216-BP$140)^2+($D216-BP$141)^2)</f>
        <v>1.68091304511014</v>
      </c>
      <c r="BQ216" s="17" t="n">
        <f aca="false">SQRT(($B216-BQ$139)^2+($C216-BQ$140)^2+($D216-BQ$141)^2)</f>
        <v>0.697662240875604</v>
      </c>
      <c r="BR216" s="63" t="n">
        <f aca="false">MATCH(MIN(BN216:BQ216),BN216:BQ216,0)</f>
        <v>4</v>
      </c>
      <c r="BT216" s="17" t="n">
        <f aca="false">SQRT(($B216-BT$139)^2+($C216-BT$140)^2+($D216-BT$141)^2)</f>
        <v>5.01186121179639</v>
      </c>
      <c r="BU216" s="17" t="n">
        <f aca="false">SQRT(($B216-BU$139)^2+($C216-BU$140)^2+($D216-BU$141)^2)</f>
        <v>1.6899095523592</v>
      </c>
      <c r="BV216" s="17" t="n">
        <f aca="false">SQRT(($B216-BV$139)^2+($C216-BV$140)^2+($D216-BV$141)^2)</f>
        <v>1.68091304511014</v>
      </c>
      <c r="BW216" s="17" t="n">
        <f aca="false">SQRT(($B216-BW$139)^2+($C216-BW$140)^2+($D216-BW$141)^2)</f>
        <v>0.697662240875604</v>
      </c>
      <c r="BX216" s="63" t="n">
        <f aca="false">MATCH(MIN(BT216:BW216),BT216:BW216,0)</f>
        <v>4</v>
      </c>
      <c r="BZ216" s="17" t="n">
        <f aca="false">SQRT(($B216-BZ$139)^2+($C216-BZ$140)^2+($D216-BZ$141)^2)</f>
        <v>5.01186121179639</v>
      </c>
      <c r="CA216" s="17" t="n">
        <f aca="false">SQRT(($B216-CA$139)^2+($C216-CA$140)^2+($D216-CA$141)^2)</f>
        <v>1.6899095523592</v>
      </c>
      <c r="CB216" s="17" t="n">
        <f aca="false">SQRT(($B216-CB$139)^2+($C216-CB$140)^2+($D216-CB$141)^2)</f>
        <v>1.68091304511014</v>
      </c>
      <c r="CC216" s="17" t="n">
        <f aca="false">SQRT(($B216-CC$139)^2+($C216-CC$140)^2+($D216-CC$141)^2)</f>
        <v>0.697662240875604</v>
      </c>
      <c r="CD216" s="63" t="n">
        <f aca="false">MATCH(MIN(BZ216:CC216),BZ216:CC216,0)</f>
        <v>4</v>
      </c>
      <c r="CF216" s="17" t="n">
        <f aca="false">SQRT(($B216-CF$139)^2+($C216-CF$140)^2+($D216-CF$141)^2)</f>
        <v>5.01186121179639</v>
      </c>
      <c r="CG216" s="17" t="n">
        <f aca="false">SQRT(($B216-CG$139)^2+($C216-CG$140)^2+($D216-CG$141)^2)</f>
        <v>1.6899095523592</v>
      </c>
      <c r="CH216" s="17" t="n">
        <f aca="false">SQRT(($B216-CH$139)^2+($C216-CH$140)^2+($D216-CH$141)^2)</f>
        <v>1.68091304511014</v>
      </c>
      <c r="CI216" s="17" t="n">
        <f aca="false">SQRT(($B216-CI$139)^2+($C216-CI$140)^2+($D216-CI$141)^2)</f>
        <v>0.697662240875604</v>
      </c>
      <c r="CJ216" s="63" t="n">
        <f aca="false">MATCH(MIN(CF216:CI216),CF216:CI216,0)</f>
        <v>4</v>
      </c>
      <c r="CL216" s="17" t="n">
        <f aca="false">SQRT(($B216-CL$139)^2+($C216-CL$140)^2+($D216-CL$141)^2)</f>
        <v>5.01186121179639</v>
      </c>
      <c r="CM216" s="17" t="n">
        <f aca="false">SQRT(($B216-CM$139)^2+($C216-CM$140)^2+($D216-CM$141)^2)</f>
        <v>1.6899095523592</v>
      </c>
      <c r="CN216" s="17" t="n">
        <f aca="false">SQRT(($B216-CN$139)^2+($C216-CN$140)^2+($D216-CN$141)^2)</f>
        <v>1.68091304511014</v>
      </c>
      <c r="CO216" s="17" t="n">
        <f aca="false">SQRT(($B216-CO$139)^2+($C216-CO$140)^2+($D216-CO$141)^2)</f>
        <v>0.697662240875604</v>
      </c>
      <c r="CP216" s="63" t="n">
        <f aca="false">MATCH(MIN(CL216:CO216),CL216:CO216,0)</f>
        <v>4</v>
      </c>
    </row>
    <row r="217" customFormat="false" ht="15" hidden="false" customHeight="false" outlineLevel="0" collapsed="false">
      <c r="A217" s="36" t="str">
        <f aca="false">KMeans_Data!A76</f>
        <v>Narowal</v>
      </c>
      <c r="B217" s="17" t="n">
        <f aca="false">KMeans_Data!H76</f>
        <v>-0.275926355545086</v>
      </c>
      <c r="C217" s="17" t="n">
        <f aca="false">KMeans_Data!I76</f>
        <v>-0.672650545388274</v>
      </c>
      <c r="D217" s="17" t="n">
        <f aca="false">KMeans_Data!J76</f>
        <v>-1.14564411633355</v>
      </c>
      <c r="E217" s="63" t="n">
        <f aca="false">CP217</f>
        <v>4</v>
      </c>
      <c r="F217" s="38" t="n">
        <f aca="false">($B217-INDEX($L$139:$O$139,E217))^2+($C217-INDEX($L$140:$O$140,E217))^2+($D217-INDEX($L$141:$O$141,E217))^2</f>
        <v>0.642536674410644</v>
      </c>
      <c r="G217" s="17" t="n">
        <f aca="false">IF(COUNTIF(Distance_Matrix!$E$10:$DQ$10,$E217)&lt;=1,0,SUMIF(Distance_Matrix!$E$10:$DQ$10,$E217,Distance_Matrix!$E$85:$DQ$85)/(COUNTIF(Distance_Matrix!$E$10:$DQ$10,$E217)-1))</f>
        <v>1.01335929491752</v>
      </c>
      <c r="H217" s="17" t="n">
        <f aca="false">MIN(IF(1=$E217,1E+099,IF(COUNTIF(Distance_Matrix!$E$10:$DQ$10,1)=0,1E+099,SUMIF(Distance_Matrix!$E$10:$DQ$10,1,Distance_Matrix!$E$85:$DQ$85)/COUNTIF(Distance_Matrix!$E$10:$DQ$10,1))),IF(2=$E217,1E+099,IF(COUNTIF(Distance_Matrix!$E$10:$DQ$10,2)=0,1E+099,SUMIF(Distance_Matrix!$E$10:$DQ$10,2,Distance_Matrix!$E$85:$DQ$85)/COUNTIF(Distance_Matrix!$E$10:$DQ$10,2))),IF(3=$E217,1E+099,IF(COUNTIF(Distance_Matrix!$E$10:$DQ$10,3)=0,1E+099,SUMIF(Distance_Matrix!$E$10:$DQ$10,3,Distance_Matrix!$E$85:$DQ$85)/COUNTIF(Distance_Matrix!$E$10:$DQ$10,3))),IF(4=$E217,1E+099,IF(COUNTIF(Distance_Matrix!$E$10:$DQ$10,4)=0,1E+099,SUMIF(Distance_Matrix!$E$10:$DQ$10,4,Distance_Matrix!$E$85:$DQ$85)/COUNTIF(Distance_Matrix!$E$10:$DQ$10,4))))</f>
        <v>1.03157451090826</v>
      </c>
      <c r="I217" s="17" t="n">
        <f aca="false">IF(COUNTIF(Distance_Matrix!$E$10:$DQ$10,$E217)&lt;=1,0,(H217-G217)/MAX(G217,H217))</f>
        <v>0.0176576832774825</v>
      </c>
      <c r="X217" s="17" t="n">
        <f aca="false">SQRT(($B217-X$139)^2+($C217-X$140)^2+($D217-X$141)^2)</f>
        <v>7.35853028224167</v>
      </c>
      <c r="Y217" s="17" t="n">
        <f aca="false">SQRT(($B217-Y$139)^2+($C217-Y$140)^2+($D217-Y$141)^2)</f>
        <v>1.80381162625824</v>
      </c>
      <c r="Z217" s="17" t="n">
        <f aca="false">SQRT(($B217-Z$139)^2+($C217-Z$140)^2+($D217-Z$141)^2)</f>
        <v>3.11025341577251</v>
      </c>
      <c r="AA217" s="17" t="n">
        <f aca="false">SQRT(($B217-AA$139)^2+($C217-AA$140)^2+($D217-AA$141)^2)</f>
        <v>1.06097677058026</v>
      </c>
      <c r="AB217" s="63" t="n">
        <f aca="false">MATCH(MIN(X217:AA217),X217:AA217,0)</f>
        <v>4</v>
      </c>
      <c r="AD217" s="17" t="n">
        <f aca="false">SQRT(($B217-AD$139)^2+($C217-AD$140)^2+($D217-AD$141)^2)</f>
        <v>6.34227094481252</v>
      </c>
      <c r="AE217" s="17" t="n">
        <f aca="false">SQRT(($B217-AE$139)^2+($C217-AE$140)^2+($D217-AE$141)^2)</f>
        <v>0.987937025681761</v>
      </c>
      <c r="AF217" s="17" t="n">
        <f aca="false">SQRT(($B217-AF$139)^2+($C217-AF$140)^2+($D217-AF$141)^2)</f>
        <v>2.53846346437781</v>
      </c>
      <c r="AG217" s="17" t="n">
        <f aca="false">SQRT(($B217-AG$139)^2+($C217-AG$140)^2+($D217-AG$141)^2)</f>
        <v>0.691621391457181</v>
      </c>
      <c r="AH217" s="63" t="n">
        <f aca="false">MATCH(MIN(AD217:AG217),AD217:AG217,0)</f>
        <v>4</v>
      </c>
      <c r="AJ217" s="17" t="n">
        <f aca="false">SQRT(($B217-AJ$139)^2+($C217-AJ$140)^2+($D217-AJ$141)^2)</f>
        <v>5.99938559211522</v>
      </c>
      <c r="AK217" s="17" t="n">
        <f aca="false">SQRT(($B217-AK$139)^2+($C217-AK$140)^2+($D217-AK$141)^2)</f>
        <v>0.969828158076681</v>
      </c>
      <c r="AL217" s="17" t="n">
        <f aca="false">SQRT(($B217-AL$139)^2+($C217-AL$140)^2+($D217-AL$141)^2)</f>
        <v>2.59970254255248</v>
      </c>
      <c r="AM217" s="17" t="n">
        <f aca="false">SQRT(($B217-AM$139)^2+($C217-AM$140)^2+($D217-AM$141)^2)</f>
        <v>0.806084085687484</v>
      </c>
      <c r="AN217" s="63" t="n">
        <f aca="false">MATCH(MIN(AJ217:AM217),AJ217:AM217,0)</f>
        <v>4</v>
      </c>
      <c r="AP217" s="17" t="n">
        <f aca="false">SQRT(($B217-AP$139)^2+($C217-AP$140)^2+($D217-AP$141)^2)</f>
        <v>5.70935598717522</v>
      </c>
      <c r="AQ217" s="17" t="n">
        <f aca="false">SQRT(($B217-AQ$139)^2+($C217-AQ$140)^2+($D217-AQ$141)^2)</f>
        <v>1.0048357982376</v>
      </c>
      <c r="AR217" s="17" t="n">
        <f aca="false">SQRT(($B217-AR$139)^2+($C217-AR$140)^2+($D217-AR$141)^2)</f>
        <v>2.55817106947637</v>
      </c>
      <c r="AS217" s="17" t="n">
        <f aca="false">SQRT(($B217-AS$139)^2+($C217-AS$140)^2+($D217-AS$141)^2)</f>
        <v>0.801583853636439</v>
      </c>
      <c r="AT217" s="63" t="n">
        <f aca="false">MATCH(MIN(AP217:AS217),AP217:AS217,0)</f>
        <v>4</v>
      </c>
      <c r="AV217" s="17" t="n">
        <f aca="false">SQRT(($B217-AV$139)^2+($C217-AV$140)^2+($D217-AV$141)^2)</f>
        <v>5.70935598717522</v>
      </c>
      <c r="AW217" s="17" t="n">
        <f aca="false">SQRT(($B217-AW$139)^2+($C217-AW$140)^2+($D217-AW$141)^2)</f>
        <v>1.0048357982376</v>
      </c>
      <c r="AX217" s="17" t="n">
        <f aca="false">SQRT(($B217-AX$139)^2+($C217-AX$140)^2+($D217-AX$141)^2)</f>
        <v>2.55817106947637</v>
      </c>
      <c r="AY217" s="17" t="n">
        <f aca="false">SQRT(($B217-AY$139)^2+($C217-AY$140)^2+($D217-AY$141)^2)</f>
        <v>0.801583853636439</v>
      </c>
      <c r="AZ217" s="63" t="n">
        <f aca="false">MATCH(MIN(AV217:AY217),AV217:AY217,0)</f>
        <v>4</v>
      </c>
      <c r="BB217" s="17" t="n">
        <f aca="false">SQRT(($B217-BB$139)^2+($C217-BB$140)^2+($D217-BB$141)^2)</f>
        <v>5.70935598717522</v>
      </c>
      <c r="BC217" s="17" t="n">
        <f aca="false">SQRT(($B217-BC$139)^2+($C217-BC$140)^2+($D217-BC$141)^2)</f>
        <v>1.0048357982376</v>
      </c>
      <c r="BD217" s="17" t="n">
        <f aca="false">SQRT(($B217-BD$139)^2+($C217-BD$140)^2+($D217-BD$141)^2)</f>
        <v>2.55817106947637</v>
      </c>
      <c r="BE217" s="17" t="n">
        <f aca="false">SQRT(($B217-BE$139)^2+($C217-BE$140)^2+($D217-BE$141)^2)</f>
        <v>0.801583853636439</v>
      </c>
      <c r="BF217" s="63" t="n">
        <f aca="false">MATCH(MIN(BB217:BE217),BB217:BE217,0)</f>
        <v>4</v>
      </c>
      <c r="BH217" s="17" t="n">
        <f aca="false">SQRT(($B217-BH$139)^2+($C217-BH$140)^2+($D217-BH$141)^2)</f>
        <v>5.70935598717522</v>
      </c>
      <c r="BI217" s="17" t="n">
        <f aca="false">SQRT(($B217-BI$139)^2+($C217-BI$140)^2+($D217-BI$141)^2)</f>
        <v>1.0048357982376</v>
      </c>
      <c r="BJ217" s="17" t="n">
        <f aca="false">SQRT(($B217-BJ$139)^2+($C217-BJ$140)^2+($D217-BJ$141)^2)</f>
        <v>2.55817106947637</v>
      </c>
      <c r="BK217" s="17" t="n">
        <f aca="false">SQRT(($B217-BK$139)^2+($C217-BK$140)^2+($D217-BK$141)^2)</f>
        <v>0.801583853636439</v>
      </c>
      <c r="BL217" s="63" t="n">
        <f aca="false">MATCH(MIN(BH217:BK217),BH217:BK217,0)</f>
        <v>4</v>
      </c>
      <c r="BN217" s="17" t="n">
        <f aca="false">SQRT(($B217-BN$139)^2+($C217-BN$140)^2+($D217-BN$141)^2)</f>
        <v>5.70935598717522</v>
      </c>
      <c r="BO217" s="17" t="n">
        <f aca="false">SQRT(($B217-BO$139)^2+($C217-BO$140)^2+($D217-BO$141)^2)</f>
        <v>1.0048357982376</v>
      </c>
      <c r="BP217" s="17" t="n">
        <f aca="false">SQRT(($B217-BP$139)^2+($C217-BP$140)^2+($D217-BP$141)^2)</f>
        <v>2.55817106947637</v>
      </c>
      <c r="BQ217" s="17" t="n">
        <f aca="false">SQRT(($B217-BQ$139)^2+($C217-BQ$140)^2+($D217-BQ$141)^2)</f>
        <v>0.801583853636439</v>
      </c>
      <c r="BR217" s="63" t="n">
        <f aca="false">MATCH(MIN(BN217:BQ217),BN217:BQ217,0)</f>
        <v>4</v>
      </c>
      <c r="BT217" s="17" t="n">
        <f aca="false">SQRT(($B217-BT$139)^2+($C217-BT$140)^2+($D217-BT$141)^2)</f>
        <v>5.70935598717522</v>
      </c>
      <c r="BU217" s="17" t="n">
        <f aca="false">SQRT(($B217-BU$139)^2+($C217-BU$140)^2+($D217-BU$141)^2)</f>
        <v>1.0048357982376</v>
      </c>
      <c r="BV217" s="17" t="n">
        <f aca="false">SQRT(($B217-BV$139)^2+($C217-BV$140)^2+($D217-BV$141)^2)</f>
        <v>2.55817106947637</v>
      </c>
      <c r="BW217" s="17" t="n">
        <f aca="false">SQRT(($B217-BW$139)^2+($C217-BW$140)^2+($D217-BW$141)^2)</f>
        <v>0.801583853636439</v>
      </c>
      <c r="BX217" s="63" t="n">
        <f aca="false">MATCH(MIN(BT217:BW217),BT217:BW217,0)</f>
        <v>4</v>
      </c>
      <c r="BZ217" s="17" t="n">
        <f aca="false">SQRT(($B217-BZ$139)^2+($C217-BZ$140)^2+($D217-BZ$141)^2)</f>
        <v>5.70935598717522</v>
      </c>
      <c r="CA217" s="17" t="n">
        <f aca="false">SQRT(($B217-CA$139)^2+($C217-CA$140)^2+($D217-CA$141)^2)</f>
        <v>1.0048357982376</v>
      </c>
      <c r="CB217" s="17" t="n">
        <f aca="false">SQRT(($B217-CB$139)^2+($C217-CB$140)^2+($D217-CB$141)^2)</f>
        <v>2.55817106947637</v>
      </c>
      <c r="CC217" s="17" t="n">
        <f aca="false">SQRT(($B217-CC$139)^2+($C217-CC$140)^2+($D217-CC$141)^2)</f>
        <v>0.801583853636439</v>
      </c>
      <c r="CD217" s="63" t="n">
        <f aca="false">MATCH(MIN(BZ217:CC217),BZ217:CC217,0)</f>
        <v>4</v>
      </c>
      <c r="CF217" s="17" t="n">
        <f aca="false">SQRT(($B217-CF$139)^2+($C217-CF$140)^2+($D217-CF$141)^2)</f>
        <v>5.70935598717522</v>
      </c>
      <c r="CG217" s="17" t="n">
        <f aca="false">SQRT(($B217-CG$139)^2+($C217-CG$140)^2+($D217-CG$141)^2)</f>
        <v>1.0048357982376</v>
      </c>
      <c r="CH217" s="17" t="n">
        <f aca="false">SQRT(($B217-CH$139)^2+($C217-CH$140)^2+($D217-CH$141)^2)</f>
        <v>2.55817106947637</v>
      </c>
      <c r="CI217" s="17" t="n">
        <f aca="false">SQRT(($B217-CI$139)^2+($C217-CI$140)^2+($D217-CI$141)^2)</f>
        <v>0.801583853636439</v>
      </c>
      <c r="CJ217" s="63" t="n">
        <f aca="false">MATCH(MIN(CF217:CI217),CF217:CI217,0)</f>
        <v>4</v>
      </c>
      <c r="CL217" s="17" t="n">
        <f aca="false">SQRT(($B217-CL$139)^2+($C217-CL$140)^2+($D217-CL$141)^2)</f>
        <v>5.70935598717522</v>
      </c>
      <c r="CM217" s="17" t="n">
        <f aca="false">SQRT(($B217-CM$139)^2+($C217-CM$140)^2+($D217-CM$141)^2)</f>
        <v>1.0048357982376</v>
      </c>
      <c r="CN217" s="17" t="n">
        <f aca="false">SQRT(($B217-CN$139)^2+($C217-CN$140)^2+($D217-CN$141)^2)</f>
        <v>2.55817106947637</v>
      </c>
      <c r="CO217" s="17" t="n">
        <f aca="false">SQRT(($B217-CO$139)^2+($C217-CO$140)^2+($D217-CO$141)^2)</f>
        <v>0.801583853636439</v>
      </c>
      <c r="CP217" s="63" t="n">
        <f aca="false">MATCH(MIN(CL217:CO217),CL217:CO217,0)</f>
        <v>4</v>
      </c>
    </row>
    <row r="218" customFormat="false" ht="15" hidden="false" customHeight="false" outlineLevel="0" collapsed="false">
      <c r="A218" s="36" t="str">
        <f aca="false">KMeans_Data!A77</f>
        <v>Mandi Bahauddin</v>
      </c>
      <c r="B218" s="17" t="n">
        <f aca="false">KMeans_Data!H77</f>
        <v>-0.309516720776153</v>
      </c>
      <c r="C218" s="17" t="n">
        <f aca="false">KMeans_Data!I77</f>
        <v>-0.672650545388274</v>
      </c>
      <c r="D218" s="17" t="n">
        <f aca="false">KMeans_Data!J77</f>
        <v>-0.182049815029191</v>
      </c>
      <c r="E218" s="63" t="n">
        <f aca="false">CP218</f>
        <v>4</v>
      </c>
      <c r="F218" s="38" t="n">
        <f aca="false">($B218-INDEX($L$139:$O$139,E218))^2+($C218-INDEX($L$140:$O$140,E218))^2+($D218-INDEX($L$141:$O$141,E218))^2</f>
        <v>0.0970417421534152</v>
      </c>
      <c r="G218" s="17" t="n">
        <f aca="false">IF(COUNTIF(Distance_Matrix!$E$10:$DQ$10,$E218)&lt;=1,0,SUMIF(Distance_Matrix!$E$10:$DQ$10,$E218,Distance_Matrix!$E$86:$DQ$86)/(COUNTIF(Distance_Matrix!$E$10:$DQ$10,$E218)-1))</f>
        <v>0.767134849835434</v>
      </c>
      <c r="H218" s="17" t="n">
        <f aca="false">MIN(IF(1=$E218,1E+099,IF(COUNTIF(Distance_Matrix!$E$10:$DQ$10,1)=0,1E+099,SUMIF(Distance_Matrix!$E$10:$DQ$10,1,Distance_Matrix!$E$86:$DQ$86)/COUNTIF(Distance_Matrix!$E$10:$DQ$10,1))),IF(2=$E218,1E+099,IF(COUNTIF(Distance_Matrix!$E$10:$DQ$10,2)=0,1E+099,SUMIF(Distance_Matrix!$E$10:$DQ$10,2,Distance_Matrix!$E$86:$DQ$86)/COUNTIF(Distance_Matrix!$E$10:$DQ$10,2))),IF(3=$E218,1E+099,IF(COUNTIF(Distance_Matrix!$E$10:$DQ$10,3)=0,1E+099,SUMIF(Distance_Matrix!$E$10:$DQ$10,3,Distance_Matrix!$E$86:$DQ$86)/COUNTIF(Distance_Matrix!$E$10:$DQ$10,3))),IF(4=$E218,1E+099,IF(COUNTIF(Distance_Matrix!$E$10:$DQ$10,4)=0,1E+099,SUMIF(Distance_Matrix!$E$10:$DQ$10,4,Distance_Matrix!$E$86:$DQ$86)/COUNTIF(Distance_Matrix!$E$10:$DQ$10,4))))</f>
        <v>1.35255892320566</v>
      </c>
      <c r="I218" s="17" t="n">
        <f aca="false">IF(COUNTIF(Distance_Matrix!$E$10:$DQ$10,$E218)&lt;=1,0,(H218-G218)/MAX(G218,H218))</f>
        <v>0.432827038679197</v>
      </c>
      <c r="X218" s="17" t="n">
        <f aca="false">SQRT(($B218-X$139)^2+($C218-X$140)^2+($D218-X$141)^2)</f>
        <v>6.84395018685736</v>
      </c>
      <c r="Y218" s="17" t="n">
        <f aca="false">SQRT(($B218-Y$139)^2+($C218-Y$140)^2+($D218-Y$141)^2)</f>
        <v>2.01548934269047</v>
      </c>
      <c r="Z218" s="17" t="n">
        <f aca="false">SQRT(($B218-Z$139)^2+($C218-Z$140)^2+($D218-Z$141)^2)</f>
        <v>2.37695713810837</v>
      </c>
      <c r="AA218" s="17" t="n">
        <f aca="false">SQRT(($B218-AA$139)^2+($C218-AA$140)^2+($D218-AA$141)^2)</f>
        <v>1.45506966145696</v>
      </c>
      <c r="AB218" s="63" t="n">
        <f aca="false">MATCH(MIN(X218:AA218),X218:AA218,0)</f>
        <v>4</v>
      </c>
      <c r="AD218" s="17" t="n">
        <f aca="false">SQRT(($B218-AD$139)^2+($C218-AD$140)^2+($D218-AD$141)^2)</f>
        <v>5.86188307481595</v>
      </c>
      <c r="AE218" s="17" t="n">
        <f aca="false">SQRT(($B218-AE$139)^2+($C218-AE$140)^2+($D218-AE$141)^2)</f>
        <v>1.19803841405558</v>
      </c>
      <c r="AF218" s="17" t="n">
        <f aca="false">SQRT(($B218-AF$139)^2+($C218-AF$140)^2+($D218-AF$141)^2)</f>
        <v>1.87871371561761</v>
      </c>
      <c r="AG218" s="17" t="n">
        <f aca="false">SQRT(($B218-AG$139)^2+($C218-AG$140)^2+($D218-AG$141)^2)</f>
        <v>0.452751462139914</v>
      </c>
      <c r="AH218" s="63" t="n">
        <f aca="false">MATCH(MIN(AD218:AG218),AD218:AG218,0)</f>
        <v>4</v>
      </c>
      <c r="AJ218" s="17" t="n">
        <f aca="false">SQRT(($B218-AJ$139)^2+($C218-AJ$140)^2+($D218-AJ$141)^2)</f>
        <v>5.51595656349614</v>
      </c>
      <c r="AK218" s="17" t="n">
        <f aca="false">SQRT(($B218-AK$139)^2+($C218-AK$140)^2+($D218-AK$141)^2)</f>
        <v>1.22373735249659</v>
      </c>
      <c r="AL218" s="17" t="n">
        <f aca="false">SQRT(($B218-AL$139)^2+($C218-AL$140)^2+($D218-AL$141)^2)</f>
        <v>1.95945541973285</v>
      </c>
      <c r="AM218" s="17" t="n">
        <f aca="false">SQRT(($B218-AM$139)^2+($C218-AM$140)^2+($D218-AM$141)^2)</f>
        <v>0.350965481770022</v>
      </c>
      <c r="AN218" s="63" t="n">
        <f aca="false">MATCH(MIN(AJ218:AM218),AJ218:AM218,0)</f>
        <v>4</v>
      </c>
      <c r="AP218" s="17" t="n">
        <f aca="false">SQRT(($B218-AP$139)^2+($C218-AP$140)^2+($D218-AP$141)^2)</f>
        <v>5.22502162801496</v>
      </c>
      <c r="AQ218" s="17" t="n">
        <f aca="false">SQRT(($B218-AQ$139)^2+($C218-AQ$140)^2+($D218-AQ$141)^2)</f>
        <v>1.31671298024442</v>
      </c>
      <c r="AR218" s="17" t="n">
        <f aca="false">SQRT(($B218-AR$139)^2+($C218-AR$140)^2+($D218-AR$141)^2)</f>
        <v>1.91124998913861</v>
      </c>
      <c r="AS218" s="17" t="n">
        <f aca="false">SQRT(($B218-AS$139)^2+($C218-AS$140)^2+($D218-AS$141)^2)</f>
        <v>0.311515235828707</v>
      </c>
      <c r="AT218" s="63" t="n">
        <f aca="false">MATCH(MIN(AP218:AS218),AP218:AS218,0)</f>
        <v>4</v>
      </c>
      <c r="AV218" s="17" t="n">
        <f aca="false">SQRT(($B218-AV$139)^2+($C218-AV$140)^2+($D218-AV$141)^2)</f>
        <v>5.22502162801496</v>
      </c>
      <c r="AW218" s="17" t="n">
        <f aca="false">SQRT(($B218-AW$139)^2+($C218-AW$140)^2+($D218-AW$141)^2)</f>
        <v>1.31671298024442</v>
      </c>
      <c r="AX218" s="17" t="n">
        <f aca="false">SQRT(($B218-AX$139)^2+($C218-AX$140)^2+($D218-AX$141)^2)</f>
        <v>1.91124998913861</v>
      </c>
      <c r="AY218" s="17" t="n">
        <f aca="false">SQRT(($B218-AY$139)^2+($C218-AY$140)^2+($D218-AY$141)^2)</f>
        <v>0.311515235828707</v>
      </c>
      <c r="AZ218" s="63" t="n">
        <f aca="false">MATCH(MIN(AV218:AY218),AV218:AY218,0)</f>
        <v>4</v>
      </c>
      <c r="BB218" s="17" t="n">
        <f aca="false">SQRT(($B218-BB$139)^2+($C218-BB$140)^2+($D218-BB$141)^2)</f>
        <v>5.22502162801496</v>
      </c>
      <c r="BC218" s="17" t="n">
        <f aca="false">SQRT(($B218-BC$139)^2+($C218-BC$140)^2+($D218-BC$141)^2)</f>
        <v>1.31671298024442</v>
      </c>
      <c r="BD218" s="17" t="n">
        <f aca="false">SQRT(($B218-BD$139)^2+($C218-BD$140)^2+($D218-BD$141)^2)</f>
        <v>1.91124998913861</v>
      </c>
      <c r="BE218" s="17" t="n">
        <f aca="false">SQRT(($B218-BE$139)^2+($C218-BE$140)^2+($D218-BE$141)^2)</f>
        <v>0.311515235828707</v>
      </c>
      <c r="BF218" s="63" t="n">
        <f aca="false">MATCH(MIN(BB218:BE218),BB218:BE218,0)</f>
        <v>4</v>
      </c>
      <c r="BH218" s="17" t="n">
        <f aca="false">SQRT(($B218-BH$139)^2+($C218-BH$140)^2+($D218-BH$141)^2)</f>
        <v>5.22502162801496</v>
      </c>
      <c r="BI218" s="17" t="n">
        <f aca="false">SQRT(($B218-BI$139)^2+($C218-BI$140)^2+($D218-BI$141)^2)</f>
        <v>1.31671298024442</v>
      </c>
      <c r="BJ218" s="17" t="n">
        <f aca="false">SQRT(($B218-BJ$139)^2+($C218-BJ$140)^2+($D218-BJ$141)^2)</f>
        <v>1.91124998913861</v>
      </c>
      <c r="BK218" s="17" t="n">
        <f aca="false">SQRT(($B218-BK$139)^2+($C218-BK$140)^2+($D218-BK$141)^2)</f>
        <v>0.311515235828707</v>
      </c>
      <c r="BL218" s="63" t="n">
        <f aca="false">MATCH(MIN(BH218:BK218),BH218:BK218,0)</f>
        <v>4</v>
      </c>
      <c r="BN218" s="17" t="n">
        <f aca="false">SQRT(($B218-BN$139)^2+($C218-BN$140)^2+($D218-BN$141)^2)</f>
        <v>5.22502162801496</v>
      </c>
      <c r="BO218" s="17" t="n">
        <f aca="false">SQRT(($B218-BO$139)^2+($C218-BO$140)^2+($D218-BO$141)^2)</f>
        <v>1.31671298024442</v>
      </c>
      <c r="BP218" s="17" t="n">
        <f aca="false">SQRT(($B218-BP$139)^2+($C218-BP$140)^2+($D218-BP$141)^2)</f>
        <v>1.91124998913861</v>
      </c>
      <c r="BQ218" s="17" t="n">
        <f aca="false">SQRT(($B218-BQ$139)^2+($C218-BQ$140)^2+($D218-BQ$141)^2)</f>
        <v>0.311515235828707</v>
      </c>
      <c r="BR218" s="63" t="n">
        <f aca="false">MATCH(MIN(BN218:BQ218),BN218:BQ218,0)</f>
        <v>4</v>
      </c>
      <c r="BT218" s="17" t="n">
        <f aca="false">SQRT(($B218-BT$139)^2+($C218-BT$140)^2+($D218-BT$141)^2)</f>
        <v>5.22502162801496</v>
      </c>
      <c r="BU218" s="17" t="n">
        <f aca="false">SQRT(($B218-BU$139)^2+($C218-BU$140)^2+($D218-BU$141)^2)</f>
        <v>1.31671298024442</v>
      </c>
      <c r="BV218" s="17" t="n">
        <f aca="false">SQRT(($B218-BV$139)^2+($C218-BV$140)^2+($D218-BV$141)^2)</f>
        <v>1.91124998913861</v>
      </c>
      <c r="BW218" s="17" t="n">
        <f aca="false">SQRT(($B218-BW$139)^2+($C218-BW$140)^2+($D218-BW$141)^2)</f>
        <v>0.311515235828707</v>
      </c>
      <c r="BX218" s="63" t="n">
        <f aca="false">MATCH(MIN(BT218:BW218),BT218:BW218,0)</f>
        <v>4</v>
      </c>
      <c r="BZ218" s="17" t="n">
        <f aca="false">SQRT(($B218-BZ$139)^2+($C218-BZ$140)^2+($D218-BZ$141)^2)</f>
        <v>5.22502162801496</v>
      </c>
      <c r="CA218" s="17" t="n">
        <f aca="false">SQRT(($B218-CA$139)^2+($C218-CA$140)^2+($D218-CA$141)^2)</f>
        <v>1.31671298024442</v>
      </c>
      <c r="CB218" s="17" t="n">
        <f aca="false">SQRT(($B218-CB$139)^2+($C218-CB$140)^2+($D218-CB$141)^2)</f>
        <v>1.91124998913861</v>
      </c>
      <c r="CC218" s="17" t="n">
        <f aca="false">SQRT(($B218-CC$139)^2+($C218-CC$140)^2+($D218-CC$141)^2)</f>
        <v>0.311515235828707</v>
      </c>
      <c r="CD218" s="63" t="n">
        <f aca="false">MATCH(MIN(BZ218:CC218),BZ218:CC218,0)</f>
        <v>4</v>
      </c>
      <c r="CF218" s="17" t="n">
        <f aca="false">SQRT(($B218-CF$139)^2+($C218-CF$140)^2+($D218-CF$141)^2)</f>
        <v>5.22502162801496</v>
      </c>
      <c r="CG218" s="17" t="n">
        <f aca="false">SQRT(($B218-CG$139)^2+($C218-CG$140)^2+($D218-CG$141)^2)</f>
        <v>1.31671298024442</v>
      </c>
      <c r="CH218" s="17" t="n">
        <f aca="false">SQRT(($B218-CH$139)^2+($C218-CH$140)^2+($D218-CH$141)^2)</f>
        <v>1.91124998913861</v>
      </c>
      <c r="CI218" s="17" t="n">
        <f aca="false">SQRT(($B218-CI$139)^2+($C218-CI$140)^2+($D218-CI$141)^2)</f>
        <v>0.311515235828707</v>
      </c>
      <c r="CJ218" s="63" t="n">
        <f aca="false">MATCH(MIN(CF218:CI218),CF218:CI218,0)</f>
        <v>4</v>
      </c>
      <c r="CL218" s="17" t="n">
        <f aca="false">SQRT(($B218-CL$139)^2+($C218-CL$140)^2+($D218-CL$141)^2)</f>
        <v>5.22502162801496</v>
      </c>
      <c r="CM218" s="17" t="n">
        <f aca="false">SQRT(($B218-CM$139)^2+($C218-CM$140)^2+($D218-CM$141)^2)</f>
        <v>1.31671298024442</v>
      </c>
      <c r="CN218" s="17" t="n">
        <f aca="false">SQRT(($B218-CN$139)^2+($C218-CN$140)^2+($D218-CN$141)^2)</f>
        <v>1.91124998913861</v>
      </c>
      <c r="CO218" s="17" t="n">
        <f aca="false">SQRT(($B218-CO$139)^2+($C218-CO$140)^2+($D218-CO$141)^2)</f>
        <v>0.311515235828707</v>
      </c>
      <c r="CP218" s="63" t="n">
        <f aca="false">MATCH(MIN(CL218:CO218),CL218:CO218,0)</f>
        <v>4</v>
      </c>
    </row>
    <row r="219" customFormat="false" ht="15" hidden="false" customHeight="false" outlineLevel="0" collapsed="false">
      <c r="A219" s="36" t="str">
        <f aca="false">KMeans_Data!A78</f>
        <v>Ghanche</v>
      </c>
      <c r="B219" s="17" t="n">
        <f aca="false">KMeans_Data!H78</f>
        <v>-0.327161461972788</v>
      </c>
      <c r="C219" s="17" t="n">
        <f aca="false">KMeans_Data!I78</f>
        <v>-0.672650545388274</v>
      </c>
      <c r="D219" s="17" t="n">
        <f aca="false">KMeans_Data!J78</f>
        <v>-0.2439270481224</v>
      </c>
      <c r="E219" s="63" t="n">
        <f aca="false">CP219</f>
        <v>4</v>
      </c>
      <c r="F219" s="38" t="n">
        <f aca="false">($B219-INDEX($L$139:$O$139,E219))^2+($C219-INDEX($L$140:$O$140,E219))^2+($D219-INDEX($L$141:$O$141,E219))^2</f>
        <v>0.083675501962875</v>
      </c>
      <c r="G219" s="17" t="n">
        <f aca="false">IF(COUNTIF(Distance_Matrix!$E$10:$DQ$10,$E219)&lt;=1,0,SUMIF(Distance_Matrix!$E$10:$DQ$10,$E219,Distance_Matrix!$E$87:$DQ$87)/(COUNTIF(Distance_Matrix!$E$10:$DQ$10,$E219)-1))</f>
        <v>0.759918673047283</v>
      </c>
      <c r="H219" s="17" t="n">
        <f aca="false">MIN(IF(1=$E219,1E+099,IF(COUNTIF(Distance_Matrix!$E$10:$DQ$10,1)=0,1E+099,SUMIF(Distance_Matrix!$E$10:$DQ$10,1,Distance_Matrix!$E$87:$DQ$87)/COUNTIF(Distance_Matrix!$E$10:$DQ$10,1))),IF(2=$E219,1E+099,IF(COUNTIF(Distance_Matrix!$E$10:$DQ$10,2)=0,1E+099,SUMIF(Distance_Matrix!$E$10:$DQ$10,2,Distance_Matrix!$E$87:$DQ$87)/COUNTIF(Distance_Matrix!$E$10:$DQ$10,2))),IF(3=$E219,1E+099,IF(COUNTIF(Distance_Matrix!$E$10:$DQ$10,3)=0,1E+099,SUMIF(Distance_Matrix!$E$10:$DQ$10,3,Distance_Matrix!$E$87:$DQ$87)/COUNTIF(Distance_Matrix!$E$10:$DQ$10,3))),IF(4=$E219,1E+099,IF(COUNTIF(Distance_Matrix!$E$10:$DQ$10,4)=0,1E+099,SUMIF(Distance_Matrix!$E$10:$DQ$10,4,Distance_Matrix!$E$87:$DQ$87)/COUNTIF(Distance_Matrix!$E$10:$DQ$10,4))))</f>
        <v>1.2987853227422</v>
      </c>
      <c r="I219" s="17" t="n">
        <f aca="false">IF(COUNTIF(Distance_Matrix!$E$10:$DQ$10,$E219)&lt;=1,0,(H219-G219)/MAX(G219,H219))</f>
        <v>0.414900476821818</v>
      </c>
      <c r="X219" s="17" t="n">
        <f aca="false">SQRT(($B219-X$139)^2+($C219-X$140)^2+($D219-X$141)^2)</f>
        <v>6.88442683577779</v>
      </c>
      <c r="Y219" s="17" t="n">
        <f aca="false">SQRT(($B219-Y$139)^2+($C219-Y$140)^2+($D219-Y$141)^2)</f>
        <v>1.97094346163573</v>
      </c>
      <c r="Z219" s="17" t="n">
        <f aca="false">SQRT(($B219-Z$139)^2+($C219-Z$140)^2+($D219-Z$141)^2)</f>
        <v>2.43024561524111</v>
      </c>
      <c r="AA219" s="17" t="n">
        <f aca="false">SQRT(($B219-AA$139)^2+($C219-AA$140)^2+($D219-AA$141)^2)</f>
        <v>1.42682406171352</v>
      </c>
      <c r="AB219" s="63" t="n">
        <f aca="false">MATCH(MIN(X219:AA219),X219:AA219,0)</f>
        <v>4</v>
      </c>
      <c r="AD219" s="17" t="n">
        <f aca="false">SQRT(($B219-AD$139)^2+($C219-AD$140)^2+($D219-AD$141)^2)</f>
        <v>5.89966762670781</v>
      </c>
      <c r="AE219" s="17" t="n">
        <f aca="false">SQRT(($B219-AE$139)^2+($C219-AE$140)^2+($D219-AE$141)^2)</f>
        <v>1.14601758064893</v>
      </c>
      <c r="AF219" s="17" t="n">
        <f aca="false">SQRT(($B219-AF$139)^2+($C219-AF$140)^2+($D219-AF$141)^2)</f>
        <v>1.92288031043643</v>
      </c>
      <c r="AG219" s="17" t="n">
        <f aca="false">SQRT(($B219-AG$139)^2+($C219-AG$140)^2+($D219-AG$141)^2)</f>
        <v>0.420443802523396</v>
      </c>
      <c r="AH219" s="63" t="n">
        <f aca="false">MATCH(MIN(AD219:AG219),AD219:AG219,0)</f>
        <v>4</v>
      </c>
      <c r="AJ219" s="17" t="n">
        <f aca="false">SQRT(($B219-AJ$139)^2+($C219-AJ$140)^2+($D219-AJ$141)^2)</f>
        <v>5.55392951697962</v>
      </c>
      <c r="AK219" s="17" t="n">
        <f aca="false">SQRT(($B219-AK$139)^2+($C219-AK$140)^2+($D219-AK$141)^2)</f>
        <v>1.17032738759564</v>
      </c>
      <c r="AL219" s="17" t="n">
        <f aca="false">SQRT(($B219-AL$139)^2+($C219-AL$140)^2+($D219-AL$141)^2)</f>
        <v>2.00237548193044</v>
      </c>
      <c r="AM219" s="17" t="n">
        <f aca="false">SQRT(($B219-AM$139)^2+($C219-AM$140)^2+($D219-AM$141)^2)</f>
        <v>0.332360615931085</v>
      </c>
      <c r="AN219" s="63" t="n">
        <f aca="false">MATCH(MIN(AJ219:AM219),AJ219:AM219,0)</f>
        <v>4</v>
      </c>
      <c r="AP219" s="17" t="n">
        <f aca="false">SQRT(($B219-AP$139)^2+($C219-AP$140)^2+($D219-AP$141)^2)</f>
        <v>5.26269615838367</v>
      </c>
      <c r="AQ219" s="17" t="n">
        <f aca="false">SQRT(($B219-AQ$139)^2+($C219-AQ$140)^2+($D219-AQ$141)^2)</f>
        <v>1.26227084631056</v>
      </c>
      <c r="AR219" s="17" t="n">
        <f aca="false">SQRT(($B219-AR$139)^2+($C219-AR$140)^2+($D219-AR$141)^2)</f>
        <v>1.95454488142793</v>
      </c>
      <c r="AS219" s="17" t="n">
        <f aca="false">SQRT(($B219-AS$139)^2+($C219-AS$140)^2+($D219-AS$141)^2)</f>
        <v>0.289267180929457</v>
      </c>
      <c r="AT219" s="63" t="n">
        <f aca="false">MATCH(MIN(AP219:AS219),AP219:AS219,0)</f>
        <v>4</v>
      </c>
      <c r="AV219" s="17" t="n">
        <f aca="false">SQRT(($B219-AV$139)^2+($C219-AV$140)^2+($D219-AV$141)^2)</f>
        <v>5.26269615838367</v>
      </c>
      <c r="AW219" s="17" t="n">
        <f aca="false">SQRT(($B219-AW$139)^2+($C219-AW$140)^2+($D219-AW$141)^2)</f>
        <v>1.26227084631056</v>
      </c>
      <c r="AX219" s="17" t="n">
        <f aca="false">SQRT(($B219-AX$139)^2+($C219-AX$140)^2+($D219-AX$141)^2)</f>
        <v>1.95454488142793</v>
      </c>
      <c r="AY219" s="17" t="n">
        <f aca="false">SQRT(($B219-AY$139)^2+($C219-AY$140)^2+($D219-AY$141)^2)</f>
        <v>0.289267180929457</v>
      </c>
      <c r="AZ219" s="63" t="n">
        <f aca="false">MATCH(MIN(AV219:AY219),AV219:AY219,0)</f>
        <v>4</v>
      </c>
      <c r="BB219" s="17" t="n">
        <f aca="false">SQRT(($B219-BB$139)^2+($C219-BB$140)^2+($D219-BB$141)^2)</f>
        <v>5.26269615838367</v>
      </c>
      <c r="BC219" s="17" t="n">
        <f aca="false">SQRT(($B219-BC$139)^2+($C219-BC$140)^2+($D219-BC$141)^2)</f>
        <v>1.26227084631056</v>
      </c>
      <c r="BD219" s="17" t="n">
        <f aca="false">SQRT(($B219-BD$139)^2+($C219-BD$140)^2+($D219-BD$141)^2)</f>
        <v>1.95454488142793</v>
      </c>
      <c r="BE219" s="17" t="n">
        <f aca="false">SQRT(($B219-BE$139)^2+($C219-BE$140)^2+($D219-BE$141)^2)</f>
        <v>0.289267180929457</v>
      </c>
      <c r="BF219" s="63" t="n">
        <f aca="false">MATCH(MIN(BB219:BE219),BB219:BE219,0)</f>
        <v>4</v>
      </c>
      <c r="BH219" s="17" t="n">
        <f aca="false">SQRT(($B219-BH$139)^2+($C219-BH$140)^2+($D219-BH$141)^2)</f>
        <v>5.26269615838367</v>
      </c>
      <c r="BI219" s="17" t="n">
        <f aca="false">SQRT(($B219-BI$139)^2+($C219-BI$140)^2+($D219-BI$141)^2)</f>
        <v>1.26227084631056</v>
      </c>
      <c r="BJ219" s="17" t="n">
        <f aca="false">SQRT(($B219-BJ$139)^2+($C219-BJ$140)^2+($D219-BJ$141)^2)</f>
        <v>1.95454488142793</v>
      </c>
      <c r="BK219" s="17" t="n">
        <f aca="false">SQRT(($B219-BK$139)^2+($C219-BK$140)^2+($D219-BK$141)^2)</f>
        <v>0.289267180929457</v>
      </c>
      <c r="BL219" s="63" t="n">
        <f aca="false">MATCH(MIN(BH219:BK219),BH219:BK219,0)</f>
        <v>4</v>
      </c>
      <c r="BN219" s="17" t="n">
        <f aca="false">SQRT(($B219-BN$139)^2+($C219-BN$140)^2+($D219-BN$141)^2)</f>
        <v>5.26269615838367</v>
      </c>
      <c r="BO219" s="17" t="n">
        <f aca="false">SQRT(($B219-BO$139)^2+($C219-BO$140)^2+($D219-BO$141)^2)</f>
        <v>1.26227084631056</v>
      </c>
      <c r="BP219" s="17" t="n">
        <f aca="false">SQRT(($B219-BP$139)^2+($C219-BP$140)^2+($D219-BP$141)^2)</f>
        <v>1.95454488142793</v>
      </c>
      <c r="BQ219" s="17" t="n">
        <f aca="false">SQRT(($B219-BQ$139)^2+($C219-BQ$140)^2+($D219-BQ$141)^2)</f>
        <v>0.289267180929457</v>
      </c>
      <c r="BR219" s="63" t="n">
        <f aca="false">MATCH(MIN(BN219:BQ219),BN219:BQ219,0)</f>
        <v>4</v>
      </c>
      <c r="BT219" s="17" t="n">
        <f aca="false">SQRT(($B219-BT$139)^2+($C219-BT$140)^2+($D219-BT$141)^2)</f>
        <v>5.26269615838367</v>
      </c>
      <c r="BU219" s="17" t="n">
        <f aca="false">SQRT(($B219-BU$139)^2+($C219-BU$140)^2+($D219-BU$141)^2)</f>
        <v>1.26227084631056</v>
      </c>
      <c r="BV219" s="17" t="n">
        <f aca="false">SQRT(($B219-BV$139)^2+($C219-BV$140)^2+($D219-BV$141)^2)</f>
        <v>1.95454488142793</v>
      </c>
      <c r="BW219" s="17" t="n">
        <f aca="false">SQRT(($B219-BW$139)^2+($C219-BW$140)^2+($D219-BW$141)^2)</f>
        <v>0.289267180929457</v>
      </c>
      <c r="BX219" s="63" t="n">
        <f aca="false">MATCH(MIN(BT219:BW219),BT219:BW219,0)</f>
        <v>4</v>
      </c>
      <c r="BZ219" s="17" t="n">
        <f aca="false">SQRT(($B219-BZ$139)^2+($C219-BZ$140)^2+($D219-BZ$141)^2)</f>
        <v>5.26269615838367</v>
      </c>
      <c r="CA219" s="17" t="n">
        <f aca="false">SQRT(($B219-CA$139)^2+($C219-CA$140)^2+($D219-CA$141)^2)</f>
        <v>1.26227084631056</v>
      </c>
      <c r="CB219" s="17" t="n">
        <f aca="false">SQRT(($B219-CB$139)^2+($C219-CB$140)^2+($D219-CB$141)^2)</f>
        <v>1.95454488142793</v>
      </c>
      <c r="CC219" s="17" t="n">
        <f aca="false">SQRT(($B219-CC$139)^2+($C219-CC$140)^2+($D219-CC$141)^2)</f>
        <v>0.289267180929457</v>
      </c>
      <c r="CD219" s="63" t="n">
        <f aca="false">MATCH(MIN(BZ219:CC219),BZ219:CC219,0)</f>
        <v>4</v>
      </c>
      <c r="CF219" s="17" t="n">
        <f aca="false">SQRT(($B219-CF$139)^2+($C219-CF$140)^2+($D219-CF$141)^2)</f>
        <v>5.26269615838367</v>
      </c>
      <c r="CG219" s="17" t="n">
        <f aca="false">SQRT(($B219-CG$139)^2+($C219-CG$140)^2+($D219-CG$141)^2)</f>
        <v>1.26227084631056</v>
      </c>
      <c r="CH219" s="17" t="n">
        <f aca="false">SQRT(($B219-CH$139)^2+($C219-CH$140)^2+($D219-CH$141)^2)</f>
        <v>1.95454488142793</v>
      </c>
      <c r="CI219" s="17" t="n">
        <f aca="false">SQRT(($B219-CI$139)^2+($C219-CI$140)^2+($D219-CI$141)^2)</f>
        <v>0.289267180929457</v>
      </c>
      <c r="CJ219" s="63" t="n">
        <f aca="false">MATCH(MIN(CF219:CI219),CF219:CI219,0)</f>
        <v>4</v>
      </c>
      <c r="CL219" s="17" t="n">
        <f aca="false">SQRT(($B219-CL$139)^2+($C219-CL$140)^2+($D219-CL$141)^2)</f>
        <v>5.26269615838367</v>
      </c>
      <c r="CM219" s="17" t="n">
        <f aca="false">SQRT(($B219-CM$139)^2+($C219-CM$140)^2+($D219-CM$141)^2)</f>
        <v>1.26227084631056</v>
      </c>
      <c r="CN219" s="17" t="n">
        <f aca="false">SQRT(($B219-CN$139)^2+($C219-CN$140)^2+($D219-CN$141)^2)</f>
        <v>1.95454488142793</v>
      </c>
      <c r="CO219" s="17" t="n">
        <f aca="false">SQRT(($B219-CO$139)^2+($C219-CO$140)^2+($D219-CO$141)^2)</f>
        <v>0.289267180929457</v>
      </c>
      <c r="CP219" s="63" t="n">
        <f aca="false">MATCH(MIN(CL219:CO219),CL219:CO219,0)</f>
        <v>4</v>
      </c>
    </row>
    <row r="220" customFormat="false" ht="15" hidden="false" customHeight="false" outlineLevel="0" collapsed="false">
      <c r="A220" s="36" t="str">
        <f aca="false">KMeans_Data!A79</f>
        <v>Hunza</v>
      </c>
      <c r="B220" s="17" t="n">
        <f aca="false">KMeans_Data!H79</f>
        <v>-0.327161461972788</v>
      </c>
      <c r="C220" s="17" t="n">
        <f aca="false">KMeans_Data!I79</f>
        <v>-0.672650545388274</v>
      </c>
      <c r="D220" s="17" t="n">
        <f aca="false">KMeans_Data!J79</f>
        <v>-1.14564411633355</v>
      </c>
      <c r="E220" s="63" t="n">
        <f aca="false">CP220</f>
        <v>4</v>
      </c>
      <c r="F220" s="38" t="n">
        <f aca="false">($B220-INDEX($L$139:$O$139,E220))^2+($C220-INDEX($L$140:$O$140,E220))^2+($D220-INDEX($L$141:$O$141,E220))^2</f>
        <v>0.660249810438441</v>
      </c>
      <c r="G220" s="17" t="n">
        <f aca="false">IF(COUNTIF(Distance_Matrix!$E$10:$DQ$10,$E220)&lt;=1,0,SUMIF(Distance_Matrix!$E$10:$DQ$10,$E220,Distance_Matrix!$E$88:$DQ$88)/(COUNTIF(Distance_Matrix!$E$10:$DQ$10,$E220)-1))</f>
        <v>1.02257018499634</v>
      </c>
      <c r="H220" s="17" t="n">
        <f aca="false">MIN(IF(1=$E220,1E+099,IF(COUNTIF(Distance_Matrix!$E$10:$DQ$10,1)=0,1E+099,SUMIF(Distance_Matrix!$E$10:$DQ$10,1,Distance_Matrix!$E$88:$DQ$88)/COUNTIF(Distance_Matrix!$E$10:$DQ$10,1))),IF(2=$E220,1E+099,IF(COUNTIF(Distance_Matrix!$E$10:$DQ$10,2)=0,1E+099,SUMIF(Distance_Matrix!$E$10:$DQ$10,2,Distance_Matrix!$E$88:$DQ$88)/COUNTIF(Distance_Matrix!$E$10:$DQ$10,2))),IF(3=$E220,1E+099,IF(COUNTIF(Distance_Matrix!$E$10:$DQ$10,3)=0,1E+099,SUMIF(Distance_Matrix!$E$10:$DQ$10,3,Distance_Matrix!$E$88:$DQ$88)/COUNTIF(Distance_Matrix!$E$10:$DQ$10,3))),IF(4=$E220,1E+099,IF(COUNTIF(Distance_Matrix!$E$10:$DQ$10,4)=0,1E+099,SUMIF(Distance_Matrix!$E$10:$DQ$10,4,Distance_Matrix!$E$88:$DQ$88)/COUNTIF(Distance_Matrix!$E$10:$DQ$10,4))))</f>
        <v>0.982123256281104</v>
      </c>
      <c r="I220" s="17" t="n">
        <f aca="false">IF(COUNTIF(Distance_Matrix!$E$10:$DQ$10,$E220)&lt;=1,0,(H220-G220)/MAX(G220,H220))</f>
        <v>-0.0395541834767903</v>
      </c>
      <c r="X220" s="17" t="n">
        <f aca="false">SQRT(($B220-X$139)^2+($C220-X$140)^2+($D220-X$141)^2)</f>
        <v>7.38338582905211</v>
      </c>
      <c r="Y220" s="17" t="n">
        <f aca="false">SQRT(($B220-Y$139)^2+($C220-Y$140)^2+($D220-Y$141)^2)</f>
        <v>1.75257651983054</v>
      </c>
      <c r="Z220" s="17" t="n">
        <f aca="false">SQRT(($B220-Z$139)^2+($C220-Z$140)^2+($D220-Z$141)^2)</f>
        <v>3.13223110720305</v>
      </c>
      <c r="AA220" s="17" t="n">
        <f aca="false">SQRT(($B220-AA$139)^2+($C220-AA$140)^2+($D220-AA$141)^2)</f>
        <v>1.10577268549253</v>
      </c>
      <c r="AB220" s="63" t="n">
        <f aca="false">MATCH(MIN(X220:AA220),X220:AA220,0)</f>
        <v>4</v>
      </c>
      <c r="AD220" s="17" t="n">
        <f aca="false">SQRT(($B220-AD$139)^2+($C220-AD$140)^2+($D220-AD$141)^2)</f>
        <v>6.3673458666848</v>
      </c>
      <c r="AE220" s="17" t="n">
        <f aca="false">SQRT(($B220-AE$139)^2+($C220-AE$140)^2+($D220-AE$141)^2)</f>
        <v>0.937951062092439</v>
      </c>
      <c r="AF220" s="17" t="n">
        <f aca="false">SQRT(($B220-AF$139)^2+($C220-AF$140)^2+($D220-AF$141)^2)</f>
        <v>2.55674827362185</v>
      </c>
      <c r="AG220" s="17" t="n">
        <f aca="false">SQRT(($B220-AG$139)^2+($C220-AG$140)^2+($D220-AG$141)^2)</f>
        <v>0.709126266291914</v>
      </c>
      <c r="AH220" s="63" t="n">
        <f aca="false">MATCH(MIN(AD220:AG220),AD220:AG220,0)</f>
        <v>4</v>
      </c>
      <c r="AJ220" s="17" t="n">
        <f aca="false">SQRT(($B220-AJ$139)^2+($C220-AJ$140)^2+($D220-AJ$141)^2)</f>
        <v>6.02480344576166</v>
      </c>
      <c r="AK220" s="17" t="n">
        <f aca="false">SQRT(($B220-AK$139)^2+($C220-AK$140)^2+($D220-AK$141)^2)</f>
        <v>0.919344613459945</v>
      </c>
      <c r="AL220" s="17" t="n">
        <f aca="false">SQRT(($B220-AL$139)^2+($C220-AL$140)^2+($D220-AL$141)^2)</f>
        <v>2.61846546042687</v>
      </c>
      <c r="AM220" s="17" t="n">
        <f aca="false">SQRT(($B220-AM$139)^2+($C220-AM$140)^2+($D220-AM$141)^2)</f>
        <v>0.819947958931772</v>
      </c>
      <c r="AN220" s="63" t="n">
        <f aca="false">MATCH(MIN(AJ220:AM220),AJ220:AM220,0)</f>
        <v>4</v>
      </c>
      <c r="AP220" s="17" t="n">
        <f aca="false">SQRT(($B220-AP$139)^2+($C220-AP$140)^2+($D220-AP$141)^2)</f>
        <v>5.73429136158655</v>
      </c>
      <c r="AQ220" s="17" t="n">
        <f aca="false">SQRT(($B220-AQ$139)^2+($C220-AQ$140)^2+($D220-AQ$141)^2)</f>
        <v>0.953750359542216</v>
      </c>
      <c r="AR220" s="17" t="n">
        <f aca="false">SQRT(($B220-AR$139)^2+($C220-AR$140)^2+($D220-AR$141)^2)</f>
        <v>2.57678509605759</v>
      </c>
      <c r="AS220" s="17" t="n">
        <f aca="false">SQRT(($B220-AS$139)^2+($C220-AS$140)^2+($D220-AS$141)^2)</f>
        <v>0.812557573614597</v>
      </c>
      <c r="AT220" s="63" t="n">
        <f aca="false">MATCH(MIN(AP220:AS220),AP220:AS220,0)</f>
        <v>4</v>
      </c>
      <c r="AV220" s="17" t="n">
        <f aca="false">SQRT(($B220-AV$139)^2+($C220-AV$140)^2+($D220-AV$141)^2)</f>
        <v>5.73429136158655</v>
      </c>
      <c r="AW220" s="17" t="n">
        <f aca="false">SQRT(($B220-AW$139)^2+($C220-AW$140)^2+($D220-AW$141)^2)</f>
        <v>0.953750359542216</v>
      </c>
      <c r="AX220" s="17" t="n">
        <f aca="false">SQRT(($B220-AX$139)^2+($C220-AX$140)^2+($D220-AX$141)^2)</f>
        <v>2.57678509605759</v>
      </c>
      <c r="AY220" s="17" t="n">
        <f aca="false">SQRT(($B220-AY$139)^2+($C220-AY$140)^2+($D220-AY$141)^2)</f>
        <v>0.812557573614597</v>
      </c>
      <c r="AZ220" s="63" t="n">
        <f aca="false">MATCH(MIN(AV220:AY220),AV220:AY220,0)</f>
        <v>4</v>
      </c>
      <c r="BB220" s="17" t="n">
        <f aca="false">SQRT(($B220-BB$139)^2+($C220-BB$140)^2+($D220-BB$141)^2)</f>
        <v>5.73429136158655</v>
      </c>
      <c r="BC220" s="17" t="n">
        <f aca="false">SQRT(($B220-BC$139)^2+($C220-BC$140)^2+($D220-BC$141)^2)</f>
        <v>0.953750359542216</v>
      </c>
      <c r="BD220" s="17" t="n">
        <f aca="false">SQRT(($B220-BD$139)^2+($C220-BD$140)^2+($D220-BD$141)^2)</f>
        <v>2.57678509605759</v>
      </c>
      <c r="BE220" s="17" t="n">
        <f aca="false">SQRT(($B220-BE$139)^2+($C220-BE$140)^2+($D220-BE$141)^2)</f>
        <v>0.812557573614597</v>
      </c>
      <c r="BF220" s="63" t="n">
        <f aca="false">MATCH(MIN(BB220:BE220),BB220:BE220,0)</f>
        <v>4</v>
      </c>
      <c r="BH220" s="17" t="n">
        <f aca="false">SQRT(($B220-BH$139)^2+($C220-BH$140)^2+($D220-BH$141)^2)</f>
        <v>5.73429136158655</v>
      </c>
      <c r="BI220" s="17" t="n">
        <f aca="false">SQRT(($B220-BI$139)^2+($C220-BI$140)^2+($D220-BI$141)^2)</f>
        <v>0.953750359542216</v>
      </c>
      <c r="BJ220" s="17" t="n">
        <f aca="false">SQRT(($B220-BJ$139)^2+($C220-BJ$140)^2+($D220-BJ$141)^2)</f>
        <v>2.57678509605759</v>
      </c>
      <c r="BK220" s="17" t="n">
        <f aca="false">SQRT(($B220-BK$139)^2+($C220-BK$140)^2+($D220-BK$141)^2)</f>
        <v>0.812557573614597</v>
      </c>
      <c r="BL220" s="63" t="n">
        <f aca="false">MATCH(MIN(BH220:BK220),BH220:BK220,0)</f>
        <v>4</v>
      </c>
      <c r="BN220" s="17" t="n">
        <f aca="false">SQRT(($B220-BN$139)^2+($C220-BN$140)^2+($D220-BN$141)^2)</f>
        <v>5.73429136158655</v>
      </c>
      <c r="BO220" s="17" t="n">
        <f aca="false">SQRT(($B220-BO$139)^2+($C220-BO$140)^2+($D220-BO$141)^2)</f>
        <v>0.953750359542216</v>
      </c>
      <c r="BP220" s="17" t="n">
        <f aca="false">SQRT(($B220-BP$139)^2+($C220-BP$140)^2+($D220-BP$141)^2)</f>
        <v>2.57678509605759</v>
      </c>
      <c r="BQ220" s="17" t="n">
        <f aca="false">SQRT(($B220-BQ$139)^2+($C220-BQ$140)^2+($D220-BQ$141)^2)</f>
        <v>0.812557573614597</v>
      </c>
      <c r="BR220" s="63" t="n">
        <f aca="false">MATCH(MIN(BN220:BQ220),BN220:BQ220,0)</f>
        <v>4</v>
      </c>
      <c r="BT220" s="17" t="n">
        <f aca="false">SQRT(($B220-BT$139)^2+($C220-BT$140)^2+($D220-BT$141)^2)</f>
        <v>5.73429136158655</v>
      </c>
      <c r="BU220" s="17" t="n">
        <f aca="false">SQRT(($B220-BU$139)^2+($C220-BU$140)^2+($D220-BU$141)^2)</f>
        <v>0.953750359542216</v>
      </c>
      <c r="BV220" s="17" t="n">
        <f aca="false">SQRT(($B220-BV$139)^2+($C220-BV$140)^2+($D220-BV$141)^2)</f>
        <v>2.57678509605759</v>
      </c>
      <c r="BW220" s="17" t="n">
        <f aca="false">SQRT(($B220-BW$139)^2+($C220-BW$140)^2+($D220-BW$141)^2)</f>
        <v>0.812557573614597</v>
      </c>
      <c r="BX220" s="63" t="n">
        <f aca="false">MATCH(MIN(BT220:BW220),BT220:BW220,0)</f>
        <v>4</v>
      </c>
      <c r="BZ220" s="17" t="n">
        <f aca="false">SQRT(($B220-BZ$139)^2+($C220-BZ$140)^2+($D220-BZ$141)^2)</f>
        <v>5.73429136158655</v>
      </c>
      <c r="CA220" s="17" t="n">
        <f aca="false">SQRT(($B220-CA$139)^2+($C220-CA$140)^2+($D220-CA$141)^2)</f>
        <v>0.953750359542216</v>
      </c>
      <c r="CB220" s="17" t="n">
        <f aca="false">SQRT(($B220-CB$139)^2+($C220-CB$140)^2+($D220-CB$141)^2)</f>
        <v>2.57678509605759</v>
      </c>
      <c r="CC220" s="17" t="n">
        <f aca="false">SQRT(($B220-CC$139)^2+($C220-CC$140)^2+($D220-CC$141)^2)</f>
        <v>0.812557573614597</v>
      </c>
      <c r="CD220" s="63" t="n">
        <f aca="false">MATCH(MIN(BZ220:CC220),BZ220:CC220,0)</f>
        <v>4</v>
      </c>
      <c r="CF220" s="17" t="n">
        <f aca="false">SQRT(($B220-CF$139)^2+($C220-CF$140)^2+($D220-CF$141)^2)</f>
        <v>5.73429136158655</v>
      </c>
      <c r="CG220" s="17" t="n">
        <f aca="false">SQRT(($B220-CG$139)^2+($C220-CG$140)^2+($D220-CG$141)^2)</f>
        <v>0.953750359542216</v>
      </c>
      <c r="CH220" s="17" t="n">
        <f aca="false">SQRT(($B220-CH$139)^2+($C220-CH$140)^2+($D220-CH$141)^2)</f>
        <v>2.57678509605759</v>
      </c>
      <c r="CI220" s="17" t="n">
        <f aca="false">SQRT(($B220-CI$139)^2+($C220-CI$140)^2+($D220-CI$141)^2)</f>
        <v>0.812557573614597</v>
      </c>
      <c r="CJ220" s="63" t="n">
        <f aca="false">MATCH(MIN(CF220:CI220),CF220:CI220,0)</f>
        <v>4</v>
      </c>
      <c r="CL220" s="17" t="n">
        <f aca="false">SQRT(($B220-CL$139)^2+($C220-CL$140)^2+($D220-CL$141)^2)</f>
        <v>5.73429136158655</v>
      </c>
      <c r="CM220" s="17" t="n">
        <f aca="false">SQRT(($B220-CM$139)^2+($C220-CM$140)^2+($D220-CM$141)^2)</f>
        <v>0.953750359542216</v>
      </c>
      <c r="CN220" s="17" t="n">
        <f aca="false">SQRT(($B220-CN$139)^2+($C220-CN$140)^2+($D220-CN$141)^2)</f>
        <v>2.57678509605759</v>
      </c>
      <c r="CO220" s="17" t="n">
        <f aca="false">SQRT(($B220-CO$139)^2+($C220-CO$140)^2+($D220-CO$141)^2)</f>
        <v>0.812557573614597</v>
      </c>
      <c r="CP220" s="63" t="n">
        <f aca="false">MATCH(MIN(CL220:CO220),CL220:CO220,0)</f>
        <v>4</v>
      </c>
    </row>
    <row r="221" customFormat="false" ht="15" hidden="false" customHeight="false" outlineLevel="0" collapsed="false">
      <c r="A221" s="36" t="str">
        <f aca="false">KMeans_Data!A80</f>
        <v>Nankana Sahib</v>
      </c>
      <c r="B221" s="17" t="n">
        <f aca="false">KMeans_Data!H80</f>
        <v>-0.34542544181187</v>
      </c>
      <c r="C221" s="17" t="n">
        <f aca="false">KMeans_Data!I80</f>
        <v>-0.672650545388274</v>
      </c>
      <c r="D221" s="17" t="n">
        <f aca="false">KMeans_Data!J80</f>
        <v>-0.2439270481224</v>
      </c>
      <c r="E221" s="63" t="n">
        <f aca="false">CP221</f>
        <v>4</v>
      </c>
      <c r="F221" s="38" t="n">
        <f aca="false">($B221-INDEX($L$139:$O$139,E221))^2+($C221-INDEX($L$140:$O$140,E221))^2+($D221-INDEX($L$141:$O$141,E221))^2</f>
        <v>0.0912591031192161</v>
      </c>
      <c r="G221" s="17" t="n">
        <f aca="false">IF(COUNTIF(Distance_Matrix!$E$10:$DQ$10,$E221)&lt;=1,0,SUMIF(Distance_Matrix!$E$10:$DQ$10,$E221,Distance_Matrix!$E$89:$DQ$89)/(COUNTIF(Distance_Matrix!$E$10:$DQ$10,$E221)-1))</f>
        <v>0.762608653458424</v>
      </c>
      <c r="H221" s="17" t="n">
        <f aca="false">MIN(IF(1=$E221,1E+099,IF(COUNTIF(Distance_Matrix!$E$10:$DQ$10,1)=0,1E+099,SUMIF(Distance_Matrix!$E$10:$DQ$10,1,Distance_Matrix!$E$89:$DQ$89)/COUNTIF(Distance_Matrix!$E$10:$DQ$10,1))),IF(2=$E221,1E+099,IF(COUNTIF(Distance_Matrix!$E$10:$DQ$10,2)=0,1E+099,SUMIF(Distance_Matrix!$E$10:$DQ$10,2,Distance_Matrix!$E$89:$DQ$89)/COUNTIF(Distance_Matrix!$E$10:$DQ$10,2))),IF(3=$E221,1E+099,IF(COUNTIF(Distance_Matrix!$E$10:$DQ$10,3)=0,1E+099,SUMIF(Distance_Matrix!$E$10:$DQ$10,3,Distance_Matrix!$E$89:$DQ$89)/COUNTIF(Distance_Matrix!$E$10:$DQ$10,3))),IF(4=$E221,1E+099,IF(COUNTIF(Distance_Matrix!$E$10:$DQ$10,4)=0,1E+099,SUMIF(Distance_Matrix!$E$10:$DQ$10,4,Distance_Matrix!$E$89:$DQ$89)/COUNTIF(Distance_Matrix!$E$10:$DQ$10,4))))</f>
        <v>1.28594119737986</v>
      </c>
      <c r="I221" s="17" t="n">
        <f aca="false">IF(COUNTIF(Distance_Matrix!$E$10:$DQ$10,$E221)&lt;=1,0,(H221-G221)/MAX(G221,H221))</f>
        <v>0.406964599149431</v>
      </c>
      <c r="X221" s="17" t="n">
        <f aca="false">SQRT(($B221-X$139)^2+($C221-X$140)^2+($D221-X$141)^2)</f>
        <v>6.89399889685623</v>
      </c>
      <c r="Y221" s="17" t="n">
        <f aca="false">SQRT(($B221-Y$139)^2+($C221-Y$140)^2+($D221-Y$141)^2)</f>
        <v>1.95472086433714</v>
      </c>
      <c r="Z221" s="17" t="n">
        <f aca="false">SQRT(($B221-Z$139)^2+($C221-Z$140)^2+($D221-Z$141)^2)</f>
        <v>2.4405470008765</v>
      </c>
      <c r="AA221" s="17" t="n">
        <f aca="false">SQRT(($B221-AA$139)^2+($C221-AA$140)^2+($D221-AA$141)^2)</f>
        <v>1.43933878436837</v>
      </c>
      <c r="AB221" s="63" t="n">
        <f aca="false">MATCH(MIN(X221:AA221),X221:AA221,0)</f>
        <v>4</v>
      </c>
      <c r="AD221" s="17" t="n">
        <f aca="false">SQRT(($B221-AD$139)^2+($C221-AD$140)^2+($D221-AD$141)^2)</f>
        <v>5.90939532076138</v>
      </c>
      <c r="AE221" s="17" t="n">
        <f aca="false">SQRT(($B221-AE$139)^2+($C221-AE$140)^2+($D221-AE$141)^2)</f>
        <v>1.13150732057595</v>
      </c>
      <c r="AF221" s="17" t="n">
        <f aca="false">SQRT(($B221-AF$139)^2+($C221-AF$140)^2+($D221-AF$141)^2)</f>
        <v>1.93182527755895</v>
      </c>
      <c r="AG221" s="17" t="n">
        <f aca="false">SQRT(($B221-AG$139)^2+($C221-AG$140)^2+($D221-AG$141)^2)</f>
        <v>0.432184023978332</v>
      </c>
      <c r="AH221" s="63" t="n">
        <f aca="false">MATCH(MIN(AD221:AG221),AD221:AG221,0)</f>
        <v>4</v>
      </c>
      <c r="AJ221" s="17" t="n">
        <f aca="false">SQRT(($B221-AJ$139)^2+($C221-AJ$140)^2+($D221-AJ$141)^2)</f>
        <v>5.56384320486575</v>
      </c>
      <c r="AK221" s="17" t="n">
        <f aca="false">SQRT(($B221-AK$139)^2+($C221-AK$140)^2+($D221-AK$141)^2)</f>
        <v>1.15626028344689</v>
      </c>
      <c r="AL221" s="17" t="n">
        <f aca="false">SQRT(($B221-AL$139)^2+($C221-AL$140)^2+($D221-AL$141)^2)</f>
        <v>2.01138722548312</v>
      </c>
      <c r="AM221" s="17" t="n">
        <f aca="false">SQRT(($B221-AM$139)^2+($C221-AM$140)^2+($D221-AM$141)^2)</f>
        <v>0.346076490382794</v>
      </c>
      <c r="AN221" s="63" t="n">
        <f aca="false">MATCH(MIN(AJ221:AM221),AJ221:AM221,0)</f>
        <v>4</v>
      </c>
      <c r="AP221" s="17" t="n">
        <f aca="false">SQRT(($B221-AP$139)^2+($C221-AP$140)^2+($D221-AP$141)^2)</f>
        <v>5.27247196325857</v>
      </c>
      <c r="AQ221" s="17" t="n">
        <f aca="false">SQRT(($B221-AQ$139)^2+($C221-AQ$140)^2+($D221-AQ$141)^2)</f>
        <v>1.24857115816809</v>
      </c>
      <c r="AR221" s="17" t="n">
        <f aca="false">SQRT(($B221-AR$139)^2+($C221-AR$140)^2+($D221-AR$141)^2)</f>
        <v>1.9635650205285</v>
      </c>
      <c r="AS221" s="17" t="n">
        <f aca="false">SQRT(($B221-AS$139)^2+($C221-AS$140)^2+($D221-AS$141)^2)</f>
        <v>0.302091216554232</v>
      </c>
      <c r="AT221" s="63" t="n">
        <f aca="false">MATCH(MIN(AP221:AS221),AP221:AS221,0)</f>
        <v>4</v>
      </c>
      <c r="AV221" s="17" t="n">
        <f aca="false">SQRT(($B221-AV$139)^2+($C221-AV$140)^2+($D221-AV$141)^2)</f>
        <v>5.27247196325857</v>
      </c>
      <c r="AW221" s="17" t="n">
        <f aca="false">SQRT(($B221-AW$139)^2+($C221-AW$140)^2+($D221-AW$141)^2)</f>
        <v>1.24857115816809</v>
      </c>
      <c r="AX221" s="17" t="n">
        <f aca="false">SQRT(($B221-AX$139)^2+($C221-AX$140)^2+($D221-AX$141)^2)</f>
        <v>1.9635650205285</v>
      </c>
      <c r="AY221" s="17" t="n">
        <f aca="false">SQRT(($B221-AY$139)^2+($C221-AY$140)^2+($D221-AY$141)^2)</f>
        <v>0.302091216554232</v>
      </c>
      <c r="AZ221" s="63" t="n">
        <f aca="false">MATCH(MIN(AV221:AY221),AV221:AY221,0)</f>
        <v>4</v>
      </c>
      <c r="BB221" s="17" t="n">
        <f aca="false">SQRT(($B221-BB$139)^2+($C221-BB$140)^2+($D221-BB$141)^2)</f>
        <v>5.27247196325857</v>
      </c>
      <c r="BC221" s="17" t="n">
        <f aca="false">SQRT(($B221-BC$139)^2+($C221-BC$140)^2+($D221-BC$141)^2)</f>
        <v>1.24857115816809</v>
      </c>
      <c r="BD221" s="17" t="n">
        <f aca="false">SQRT(($B221-BD$139)^2+($C221-BD$140)^2+($D221-BD$141)^2)</f>
        <v>1.9635650205285</v>
      </c>
      <c r="BE221" s="17" t="n">
        <f aca="false">SQRT(($B221-BE$139)^2+($C221-BE$140)^2+($D221-BE$141)^2)</f>
        <v>0.302091216554232</v>
      </c>
      <c r="BF221" s="63" t="n">
        <f aca="false">MATCH(MIN(BB221:BE221),BB221:BE221,0)</f>
        <v>4</v>
      </c>
      <c r="BH221" s="17" t="n">
        <f aca="false">SQRT(($B221-BH$139)^2+($C221-BH$140)^2+($D221-BH$141)^2)</f>
        <v>5.27247196325857</v>
      </c>
      <c r="BI221" s="17" t="n">
        <f aca="false">SQRT(($B221-BI$139)^2+($C221-BI$140)^2+($D221-BI$141)^2)</f>
        <v>1.24857115816809</v>
      </c>
      <c r="BJ221" s="17" t="n">
        <f aca="false">SQRT(($B221-BJ$139)^2+($C221-BJ$140)^2+($D221-BJ$141)^2)</f>
        <v>1.9635650205285</v>
      </c>
      <c r="BK221" s="17" t="n">
        <f aca="false">SQRT(($B221-BK$139)^2+($C221-BK$140)^2+($D221-BK$141)^2)</f>
        <v>0.302091216554232</v>
      </c>
      <c r="BL221" s="63" t="n">
        <f aca="false">MATCH(MIN(BH221:BK221),BH221:BK221,0)</f>
        <v>4</v>
      </c>
      <c r="BN221" s="17" t="n">
        <f aca="false">SQRT(($B221-BN$139)^2+($C221-BN$140)^2+($D221-BN$141)^2)</f>
        <v>5.27247196325857</v>
      </c>
      <c r="BO221" s="17" t="n">
        <f aca="false">SQRT(($B221-BO$139)^2+($C221-BO$140)^2+($D221-BO$141)^2)</f>
        <v>1.24857115816809</v>
      </c>
      <c r="BP221" s="17" t="n">
        <f aca="false">SQRT(($B221-BP$139)^2+($C221-BP$140)^2+($D221-BP$141)^2)</f>
        <v>1.9635650205285</v>
      </c>
      <c r="BQ221" s="17" t="n">
        <f aca="false">SQRT(($B221-BQ$139)^2+($C221-BQ$140)^2+($D221-BQ$141)^2)</f>
        <v>0.302091216554232</v>
      </c>
      <c r="BR221" s="63" t="n">
        <f aca="false">MATCH(MIN(BN221:BQ221),BN221:BQ221,0)</f>
        <v>4</v>
      </c>
      <c r="BT221" s="17" t="n">
        <f aca="false">SQRT(($B221-BT$139)^2+($C221-BT$140)^2+($D221-BT$141)^2)</f>
        <v>5.27247196325857</v>
      </c>
      <c r="BU221" s="17" t="n">
        <f aca="false">SQRT(($B221-BU$139)^2+($C221-BU$140)^2+($D221-BU$141)^2)</f>
        <v>1.24857115816809</v>
      </c>
      <c r="BV221" s="17" t="n">
        <f aca="false">SQRT(($B221-BV$139)^2+($C221-BV$140)^2+($D221-BV$141)^2)</f>
        <v>1.9635650205285</v>
      </c>
      <c r="BW221" s="17" t="n">
        <f aca="false">SQRT(($B221-BW$139)^2+($C221-BW$140)^2+($D221-BW$141)^2)</f>
        <v>0.302091216554232</v>
      </c>
      <c r="BX221" s="63" t="n">
        <f aca="false">MATCH(MIN(BT221:BW221),BT221:BW221,0)</f>
        <v>4</v>
      </c>
      <c r="BZ221" s="17" t="n">
        <f aca="false">SQRT(($B221-BZ$139)^2+($C221-BZ$140)^2+($D221-BZ$141)^2)</f>
        <v>5.27247196325857</v>
      </c>
      <c r="CA221" s="17" t="n">
        <f aca="false">SQRT(($B221-CA$139)^2+($C221-CA$140)^2+($D221-CA$141)^2)</f>
        <v>1.24857115816809</v>
      </c>
      <c r="CB221" s="17" t="n">
        <f aca="false">SQRT(($B221-CB$139)^2+($C221-CB$140)^2+($D221-CB$141)^2)</f>
        <v>1.9635650205285</v>
      </c>
      <c r="CC221" s="17" t="n">
        <f aca="false">SQRT(($B221-CC$139)^2+($C221-CC$140)^2+($D221-CC$141)^2)</f>
        <v>0.302091216554232</v>
      </c>
      <c r="CD221" s="63" t="n">
        <f aca="false">MATCH(MIN(BZ221:CC221),BZ221:CC221,0)</f>
        <v>4</v>
      </c>
      <c r="CF221" s="17" t="n">
        <f aca="false">SQRT(($B221-CF$139)^2+($C221-CF$140)^2+($D221-CF$141)^2)</f>
        <v>5.27247196325857</v>
      </c>
      <c r="CG221" s="17" t="n">
        <f aca="false">SQRT(($B221-CG$139)^2+($C221-CG$140)^2+($D221-CG$141)^2)</f>
        <v>1.24857115816809</v>
      </c>
      <c r="CH221" s="17" t="n">
        <f aca="false">SQRT(($B221-CH$139)^2+($C221-CH$140)^2+($D221-CH$141)^2)</f>
        <v>1.9635650205285</v>
      </c>
      <c r="CI221" s="17" t="n">
        <f aca="false">SQRT(($B221-CI$139)^2+($C221-CI$140)^2+($D221-CI$141)^2)</f>
        <v>0.302091216554232</v>
      </c>
      <c r="CJ221" s="63" t="n">
        <f aca="false">MATCH(MIN(CF221:CI221),CF221:CI221,0)</f>
        <v>4</v>
      </c>
      <c r="CL221" s="17" t="n">
        <f aca="false">SQRT(($B221-CL$139)^2+($C221-CL$140)^2+($D221-CL$141)^2)</f>
        <v>5.27247196325857</v>
      </c>
      <c r="CM221" s="17" t="n">
        <f aca="false">SQRT(($B221-CM$139)^2+($C221-CM$140)^2+($D221-CM$141)^2)</f>
        <v>1.24857115816809</v>
      </c>
      <c r="CN221" s="17" t="n">
        <f aca="false">SQRT(($B221-CN$139)^2+($C221-CN$140)^2+($D221-CN$141)^2)</f>
        <v>1.9635650205285</v>
      </c>
      <c r="CO221" s="17" t="n">
        <f aca="false">SQRT(($B221-CO$139)^2+($C221-CO$140)^2+($D221-CO$141)^2)</f>
        <v>0.302091216554232</v>
      </c>
      <c r="CP221" s="63" t="n">
        <f aca="false">MATCH(MIN(CL221:CO221),CL221:CO221,0)</f>
        <v>4</v>
      </c>
    </row>
    <row r="222" customFormat="false" ht="15" hidden="false" customHeight="false" outlineLevel="0" collapsed="false">
      <c r="A222" s="36" t="str">
        <f aca="false">KMeans_Data!A81</f>
        <v>Khushab</v>
      </c>
      <c r="B222" s="17" t="n">
        <f aca="false">KMeans_Data!H81</f>
        <v>-0.34542544181187</v>
      </c>
      <c r="C222" s="17" t="n">
        <f aca="false">KMeans_Data!I81</f>
        <v>-0.672650545388274</v>
      </c>
      <c r="D222" s="17" t="n">
        <f aca="false">KMeans_Data!J81</f>
        <v>-1.14564411633355</v>
      </c>
      <c r="E222" s="63" t="n">
        <f aca="false">CP222</f>
        <v>4</v>
      </c>
      <c r="F222" s="38" t="n">
        <f aca="false">($B222-INDEX($L$139:$O$139,E222))^2+($C222-INDEX($L$140:$O$140,E222))^2+($D222-INDEX($L$141:$O$141,E222))^2</f>
        <v>0.667833411594782</v>
      </c>
      <c r="G222" s="17" t="n">
        <f aca="false">IF(COUNTIF(Distance_Matrix!$E$10:$DQ$10,$E222)&lt;=1,0,SUMIF(Distance_Matrix!$E$10:$DQ$10,$E222,Distance_Matrix!$E$90:$DQ$90)/(COUNTIF(Distance_Matrix!$E$10:$DQ$10,$E222)-1))</f>
        <v>1.02699895197781</v>
      </c>
      <c r="H222" s="17" t="n">
        <f aca="false">MIN(IF(1=$E222,1E+099,IF(COUNTIF(Distance_Matrix!$E$10:$DQ$10,1)=0,1E+099,SUMIF(Distance_Matrix!$E$10:$DQ$10,1,Distance_Matrix!$E$90:$DQ$90)/COUNTIF(Distance_Matrix!$E$10:$DQ$10,1))),IF(2=$E222,1E+099,IF(COUNTIF(Distance_Matrix!$E$10:$DQ$10,2)=0,1E+099,SUMIF(Distance_Matrix!$E$10:$DQ$10,2,Distance_Matrix!$E$90:$DQ$90)/COUNTIF(Distance_Matrix!$E$10:$DQ$10,2))),IF(3=$E222,1E+099,IF(COUNTIF(Distance_Matrix!$E$10:$DQ$10,3)=0,1E+099,SUMIF(Distance_Matrix!$E$10:$DQ$10,3,Distance_Matrix!$E$90:$DQ$90)/COUNTIF(Distance_Matrix!$E$10:$DQ$10,3))),IF(4=$E222,1E+099,IF(COUNTIF(Distance_Matrix!$E$10:$DQ$10,4)=0,1E+099,SUMIF(Distance_Matrix!$E$10:$DQ$10,4,Distance_Matrix!$E$90:$DQ$90)/COUNTIF(Distance_Matrix!$E$10:$DQ$10,4))))</f>
        <v>0.964540818213244</v>
      </c>
      <c r="I222" s="17" t="n">
        <f aca="false">IF(COUNTIF(Distance_Matrix!$E$10:$DQ$10,$E222)&lt;=1,0,(H222-G222)/MAX(G222,H222))</f>
        <v>-0.0608161611502003</v>
      </c>
      <c r="X222" s="17" t="n">
        <f aca="false">SQRT(($B222-X$139)^2+($C222-X$140)^2+($D222-X$141)^2)</f>
        <v>7.39231183279798</v>
      </c>
      <c r="Y222" s="17" t="n">
        <f aca="false">SQRT(($B222-Y$139)^2+($C222-Y$140)^2+($D222-Y$141)^2)</f>
        <v>1.73431253999145</v>
      </c>
      <c r="Z222" s="17" t="n">
        <f aca="false">SQRT(($B222-Z$139)^2+($C222-Z$140)^2+($D222-Z$141)^2)</f>
        <v>3.1402305045998</v>
      </c>
      <c r="AA222" s="17" t="n">
        <f aca="false">SQRT(($B222-AA$139)^2+($C222-AA$140)^2+($D222-AA$141)^2)</f>
        <v>1.12187453179208</v>
      </c>
      <c r="AB222" s="63" t="n">
        <f aca="false">MATCH(MIN(X222:AA222),X222:AA222,0)</f>
        <v>4</v>
      </c>
      <c r="AD222" s="17" t="n">
        <f aca="false">SQRT(($B222-AD$139)^2+($C222-AD$140)^2+($D222-AD$141)^2)</f>
        <v>6.37636011666533</v>
      </c>
      <c r="AE222" s="17" t="n">
        <f aca="false">SQRT(($B222-AE$139)^2+($C222-AE$140)^2+($D222-AE$141)^2)</f>
        <v>0.920165591750134</v>
      </c>
      <c r="AF222" s="17" t="n">
        <f aca="false">SQRT(($B222-AF$139)^2+($C222-AF$140)^2+($D222-AF$141)^2)</f>
        <v>2.56348238718738</v>
      </c>
      <c r="AG222" s="17" t="n">
        <f aca="false">SQRT(($B222-AG$139)^2+($C222-AG$140)^2+($D222-AG$141)^2)</f>
        <v>0.716149496297303</v>
      </c>
      <c r="AH222" s="63" t="n">
        <f aca="false">MATCH(MIN(AD222:AG222),AD222:AG222,0)</f>
        <v>4</v>
      </c>
      <c r="AJ222" s="17" t="n">
        <f aca="false">SQRT(($B222-AJ$139)^2+($C222-AJ$140)^2+($D222-AJ$141)^2)</f>
        <v>6.03394354372121</v>
      </c>
      <c r="AK222" s="17" t="n">
        <f aca="false">SQRT(($B222-AK$139)^2+($C222-AK$140)^2+($D222-AK$141)^2)</f>
        <v>0.901369051619843</v>
      </c>
      <c r="AL222" s="17" t="n">
        <f aca="false">SQRT(($B222-AL$139)^2+($C222-AL$140)^2+($D222-AL$141)^2)</f>
        <v>2.62536328298562</v>
      </c>
      <c r="AM222" s="17" t="n">
        <f aca="false">SQRT(($B222-AM$139)^2+($C222-AM$140)^2+($D222-AM$141)^2)</f>
        <v>0.825602818266726</v>
      </c>
      <c r="AN222" s="63" t="n">
        <f aca="false">MATCH(MIN(AJ222:AM222),AJ222:AM222,0)</f>
        <v>4</v>
      </c>
      <c r="AP222" s="17" t="n">
        <f aca="false">SQRT(($B222-AP$139)^2+($C222-AP$140)^2+($D222-AP$141)^2)</f>
        <v>5.74326450439534</v>
      </c>
      <c r="AQ222" s="17" t="n">
        <f aca="false">SQRT(($B222-AQ$139)^2+($C222-AQ$140)^2+($D222-AQ$141)^2)</f>
        <v>0.935543689995575</v>
      </c>
      <c r="AR222" s="17" t="n">
        <f aca="false">SQRT(($B222-AR$139)^2+($C222-AR$140)^2+($D222-AR$141)^2)</f>
        <v>2.58363374486236</v>
      </c>
      <c r="AS222" s="17" t="n">
        <f aca="false">SQRT(($B222-AS$139)^2+($C222-AS$140)^2+($D222-AS$141)^2)</f>
        <v>0.817210751027409</v>
      </c>
      <c r="AT222" s="63" t="n">
        <f aca="false">MATCH(MIN(AP222:AS222),AP222:AS222,0)</f>
        <v>4</v>
      </c>
      <c r="AV222" s="17" t="n">
        <f aca="false">SQRT(($B222-AV$139)^2+($C222-AV$140)^2+($D222-AV$141)^2)</f>
        <v>5.74326450439534</v>
      </c>
      <c r="AW222" s="17" t="n">
        <f aca="false">SQRT(($B222-AW$139)^2+($C222-AW$140)^2+($D222-AW$141)^2)</f>
        <v>0.935543689995575</v>
      </c>
      <c r="AX222" s="17" t="n">
        <f aca="false">SQRT(($B222-AX$139)^2+($C222-AX$140)^2+($D222-AX$141)^2)</f>
        <v>2.58363374486236</v>
      </c>
      <c r="AY222" s="17" t="n">
        <f aca="false">SQRT(($B222-AY$139)^2+($C222-AY$140)^2+($D222-AY$141)^2)</f>
        <v>0.817210751027409</v>
      </c>
      <c r="AZ222" s="63" t="n">
        <f aca="false">MATCH(MIN(AV222:AY222),AV222:AY222,0)</f>
        <v>4</v>
      </c>
      <c r="BB222" s="17" t="n">
        <f aca="false">SQRT(($B222-BB$139)^2+($C222-BB$140)^2+($D222-BB$141)^2)</f>
        <v>5.74326450439534</v>
      </c>
      <c r="BC222" s="17" t="n">
        <f aca="false">SQRT(($B222-BC$139)^2+($C222-BC$140)^2+($D222-BC$141)^2)</f>
        <v>0.935543689995575</v>
      </c>
      <c r="BD222" s="17" t="n">
        <f aca="false">SQRT(($B222-BD$139)^2+($C222-BD$140)^2+($D222-BD$141)^2)</f>
        <v>2.58363374486236</v>
      </c>
      <c r="BE222" s="17" t="n">
        <f aca="false">SQRT(($B222-BE$139)^2+($C222-BE$140)^2+($D222-BE$141)^2)</f>
        <v>0.817210751027409</v>
      </c>
      <c r="BF222" s="63" t="n">
        <f aca="false">MATCH(MIN(BB222:BE222),BB222:BE222,0)</f>
        <v>4</v>
      </c>
      <c r="BH222" s="17" t="n">
        <f aca="false">SQRT(($B222-BH$139)^2+($C222-BH$140)^2+($D222-BH$141)^2)</f>
        <v>5.74326450439534</v>
      </c>
      <c r="BI222" s="17" t="n">
        <f aca="false">SQRT(($B222-BI$139)^2+($C222-BI$140)^2+($D222-BI$141)^2)</f>
        <v>0.935543689995575</v>
      </c>
      <c r="BJ222" s="17" t="n">
        <f aca="false">SQRT(($B222-BJ$139)^2+($C222-BJ$140)^2+($D222-BJ$141)^2)</f>
        <v>2.58363374486236</v>
      </c>
      <c r="BK222" s="17" t="n">
        <f aca="false">SQRT(($B222-BK$139)^2+($C222-BK$140)^2+($D222-BK$141)^2)</f>
        <v>0.817210751027409</v>
      </c>
      <c r="BL222" s="63" t="n">
        <f aca="false">MATCH(MIN(BH222:BK222),BH222:BK222,0)</f>
        <v>4</v>
      </c>
      <c r="BN222" s="17" t="n">
        <f aca="false">SQRT(($B222-BN$139)^2+($C222-BN$140)^2+($D222-BN$141)^2)</f>
        <v>5.74326450439534</v>
      </c>
      <c r="BO222" s="17" t="n">
        <f aca="false">SQRT(($B222-BO$139)^2+($C222-BO$140)^2+($D222-BO$141)^2)</f>
        <v>0.935543689995575</v>
      </c>
      <c r="BP222" s="17" t="n">
        <f aca="false">SQRT(($B222-BP$139)^2+($C222-BP$140)^2+($D222-BP$141)^2)</f>
        <v>2.58363374486236</v>
      </c>
      <c r="BQ222" s="17" t="n">
        <f aca="false">SQRT(($B222-BQ$139)^2+($C222-BQ$140)^2+($D222-BQ$141)^2)</f>
        <v>0.817210751027409</v>
      </c>
      <c r="BR222" s="63" t="n">
        <f aca="false">MATCH(MIN(BN222:BQ222),BN222:BQ222,0)</f>
        <v>4</v>
      </c>
      <c r="BT222" s="17" t="n">
        <f aca="false">SQRT(($B222-BT$139)^2+($C222-BT$140)^2+($D222-BT$141)^2)</f>
        <v>5.74326450439534</v>
      </c>
      <c r="BU222" s="17" t="n">
        <f aca="false">SQRT(($B222-BU$139)^2+($C222-BU$140)^2+($D222-BU$141)^2)</f>
        <v>0.935543689995575</v>
      </c>
      <c r="BV222" s="17" t="n">
        <f aca="false">SQRT(($B222-BV$139)^2+($C222-BV$140)^2+($D222-BV$141)^2)</f>
        <v>2.58363374486236</v>
      </c>
      <c r="BW222" s="17" t="n">
        <f aca="false">SQRT(($B222-BW$139)^2+($C222-BW$140)^2+($D222-BW$141)^2)</f>
        <v>0.817210751027409</v>
      </c>
      <c r="BX222" s="63" t="n">
        <f aca="false">MATCH(MIN(BT222:BW222),BT222:BW222,0)</f>
        <v>4</v>
      </c>
      <c r="BZ222" s="17" t="n">
        <f aca="false">SQRT(($B222-BZ$139)^2+($C222-BZ$140)^2+($D222-BZ$141)^2)</f>
        <v>5.74326450439534</v>
      </c>
      <c r="CA222" s="17" t="n">
        <f aca="false">SQRT(($B222-CA$139)^2+($C222-CA$140)^2+($D222-CA$141)^2)</f>
        <v>0.935543689995575</v>
      </c>
      <c r="CB222" s="17" t="n">
        <f aca="false">SQRT(($B222-CB$139)^2+($C222-CB$140)^2+($D222-CB$141)^2)</f>
        <v>2.58363374486236</v>
      </c>
      <c r="CC222" s="17" t="n">
        <f aca="false">SQRT(($B222-CC$139)^2+($C222-CC$140)^2+($D222-CC$141)^2)</f>
        <v>0.817210751027409</v>
      </c>
      <c r="CD222" s="63" t="n">
        <f aca="false">MATCH(MIN(BZ222:CC222),BZ222:CC222,0)</f>
        <v>4</v>
      </c>
      <c r="CF222" s="17" t="n">
        <f aca="false">SQRT(($B222-CF$139)^2+($C222-CF$140)^2+($D222-CF$141)^2)</f>
        <v>5.74326450439534</v>
      </c>
      <c r="CG222" s="17" t="n">
        <f aca="false">SQRT(($B222-CG$139)^2+($C222-CG$140)^2+($D222-CG$141)^2)</f>
        <v>0.935543689995575</v>
      </c>
      <c r="CH222" s="17" t="n">
        <f aca="false">SQRT(($B222-CH$139)^2+($C222-CH$140)^2+($D222-CH$141)^2)</f>
        <v>2.58363374486236</v>
      </c>
      <c r="CI222" s="17" t="n">
        <f aca="false">SQRT(($B222-CI$139)^2+($C222-CI$140)^2+($D222-CI$141)^2)</f>
        <v>0.817210751027409</v>
      </c>
      <c r="CJ222" s="63" t="n">
        <f aca="false">MATCH(MIN(CF222:CI222),CF222:CI222,0)</f>
        <v>4</v>
      </c>
      <c r="CL222" s="17" t="n">
        <f aca="false">SQRT(($B222-CL$139)^2+($C222-CL$140)^2+($D222-CL$141)^2)</f>
        <v>5.74326450439534</v>
      </c>
      <c r="CM222" s="17" t="n">
        <f aca="false">SQRT(($B222-CM$139)^2+($C222-CM$140)^2+($D222-CM$141)^2)</f>
        <v>0.935543689995575</v>
      </c>
      <c r="CN222" s="17" t="n">
        <f aca="false">SQRT(($B222-CN$139)^2+($C222-CN$140)^2+($D222-CN$141)^2)</f>
        <v>2.58363374486236</v>
      </c>
      <c r="CO222" s="17" t="n">
        <f aca="false">SQRT(($B222-CO$139)^2+($C222-CO$140)^2+($D222-CO$141)^2)</f>
        <v>0.817210751027409</v>
      </c>
      <c r="CP222" s="63" t="n">
        <f aca="false">MATCH(MIN(CL222:CO222),CL222:CO222,0)</f>
        <v>4</v>
      </c>
    </row>
    <row r="223" customFormat="false" ht="15" hidden="false" customHeight="false" outlineLevel="0" collapsed="false">
      <c r="A223" s="36" t="str">
        <f aca="false">KMeans_Data!A82</f>
        <v>Sheikhupura</v>
      </c>
      <c r="B223" s="17" t="n">
        <f aca="false">KMeans_Data!H82</f>
        <v>-0.383996419381545</v>
      </c>
      <c r="C223" s="17" t="n">
        <f aca="false">KMeans_Data!I82</f>
        <v>-0.672650545388274</v>
      </c>
      <c r="D223" s="17" t="n">
        <f aca="false">KMeans_Data!J82</f>
        <v>-1.14564411633355</v>
      </c>
      <c r="E223" s="63" t="n">
        <f aca="false">CP223</f>
        <v>4</v>
      </c>
      <c r="F223" s="38" t="n">
        <f aca="false">($B223-INDEX($L$139:$O$139,E223))^2+($C223-INDEX($L$140:$O$140,E223))^2+($D223-INDEX($L$141:$O$141,E223))^2</f>
        <v>0.686041099181504</v>
      </c>
      <c r="G223" s="17" t="n">
        <f aca="false">IF(COUNTIF(Distance_Matrix!$E$10:$DQ$10,$E223)&lt;=1,0,SUMIF(Distance_Matrix!$E$10:$DQ$10,$E223,Distance_Matrix!$E$91:$DQ$91)/(COUNTIF(Distance_Matrix!$E$10:$DQ$10,$E223)-1))</f>
        <v>1.03862234046779</v>
      </c>
      <c r="H223" s="17" t="n">
        <f aca="false">MIN(IF(1=$E223,1E+099,IF(COUNTIF(Distance_Matrix!$E$10:$DQ$10,1)=0,1E+099,SUMIF(Distance_Matrix!$E$10:$DQ$10,1,Distance_Matrix!$E$91:$DQ$91)/COUNTIF(Distance_Matrix!$E$10:$DQ$10,1))),IF(2=$E223,1E+099,IF(COUNTIF(Distance_Matrix!$E$10:$DQ$10,2)=0,1E+099,SUMIF(Distance_Matrix!$E$10:$DQ$10,2,Distance_Matrix!$E$91:$DQ$91)/COUNTIF(Distance_Matrix!$E$10:$DQ$10,2))),IF(3=$E223,1E+099,IF(COUNTIF(Distance_Matrix!$E$10:$DQ$10,3)=0,1E+099,SUMIF(Distance_Matrix!$E$10:$DQ$10,3,Distance_Matrix!$E$91:$DQ$91)/COUNTIF(Distance_Matrix!$E$10:$DQ$10,3))),IF(4=$E223,1E+099,IF(COUNTIF(Distance_Matrix!$E$10:$DQ$10,4)=0,1E+099,SUMIF(Distance_Matrix!$E$10:$DQ$10,4,Distance_Matrix!$E$91:$DQ$91)/COUNTIF(Distance_Matrix!$E$10:$DQ$10,4))))</f>
        <v>0.927495566086064</v>
      </c>
      <c r="I223" s="17" t="n">
        <f aca="false">IF(COUNTIF(Distance_Matrix!$E$10:$DQ$10,$E223)&lt;=1,0,(H223-G223)/MAX(G223,H223))</f>
        <v>-0.106994400227972</v>
      </c>
      <c r="X223" s="17" t="n">
        <f aca="false">SQRT(($B223-X$139)^2+($C223-X$140)^2+($D223-X$141)^2)</f>
        <v>7.41127487875453</v>
      </c>
      <c r="Y223" s="17" t="n">
        <f aca="false">SQRT(($B223-Y$139)^2+($C223-Y$140)^2+($D223-Y$141)^2)</f>
        <v>1.69574156242178</v>
      </c>
      <c r="Z223" s="17" t="n">
        <f aca="false">SQRT(($B223-Z$139)^2+($C223-Z$140)^2+($D223-Z$141)^2)</f>
        <v>3.1574046827609</v>
      </c>
      <c r="AA223" s="17" t="n">
        <f aca="false">SQRT(($B223-AA$139)^2+($C223-AA$140)^2+($D223-AA$141)^2)</f>
        <v>1.15609059396551</v>
      </c>
      <c r="AB223" s="63" t="n">
        <f aca="false">MATCH(MIN(X223:AA223),X223:AA223,0)</f>
        <v>4</v>
      </c>
      <c r="AD223" s="17" t="n">
        <f aca="false">SQRT(($B223-AD$139)^2+($C223-AD$140)^2+($D223-AD$141)^2)</f>
        <v>6.39552659203569</v>
      </c>
      <c r="AE223" s="17" t="n">
        <f aca="false">SQRT(($B223-AE$139)^2+($C223-AE$140)^2+($D223-AE$141)^2)</f>
        <v>0.882669378301256</v>
      </c>
      <c r="AF223" s="17" t="n">
        <f aca="false">SQRT(($B223-AF$139)^2+($C223-AF$140)^2+($D223-AF$141)^2)</f>
        <v>2.57807128156012</v>
      </c>
      <c r="AG223" s="17" t="n">
        <f aca="false">SQRT(($B223-AG$139)^2+($C223-AG$140)^2+($D223-AG$141)^2)</f>
        <v>0.73225821123948</v>
      </c>
      <c r="AH223" s="63" t="n">
        <f aca="false">MATCH(MIN(AD223:AG223),AD223:AG223,0)</f>
        <v>4</v>
      </c>
      <c r="AJ223" s="17" t="n">
        <f aca="false">SQRT(($B223-AJ$139)^2+($C223-AJ$140)^2+($D223-AJ$141)^2)</f>
        <v>6.05338187966263</v>
      </c>
      <c r="AK223" s="17" t="n">
        <f aca="false">SQRT(($B223-AK$139)^2+($C223-AK$140)^2+($D223-AK$141)^2)</f>
        <v>0.863446949878948</v>
      </c>
      <c r="AL223" s="17" t="n">
        <f aca="false">SQRT(($B223-AL$139)^2+($C223-AL$140)^2+($D223-AL$141)^2)</f>
        <v>2.64028647196385</v>
      </c>
      <c r="AM223" s="17" t="n">
        <f aca="false">SQRT(($B223-AM$139)^2+($C223-AM$140)^2+($D223-AM$141)^2)</f>
        <v>0.838727495524982</v>
      </c>
      <c r="AN223" s="63" t="n">
        <f aca="false">MATCH(MIN(AJ223:AM223),AJ223:AM223,0)</f>
        <v>4</v>
      </c>
      <c r="AP223" s="17" t="n">
        <f aca="false">SQRT(($B223-AP$139)^2+($C223-AP$140)^2+($D223-AP$141)^2)</f>
        <v>5.76235883363991</v>
      </c>
      <c r="AQ223" s="17" t="n">
        <f aca="false">SQRT(($B223-AQ$139)^2+($C223-AQ$140)^2+($D223-AQ$141)^2)</f>
        <v>0.897101399590024</v>
      </c>
      <c r="AR223" s="17" t="n">
        <f aca="false">SQRT(($B223-AR$139)^2+($C223-AR$140)^2+($D223-AR$141)^2)</f>
        <v>2.59845967108555</v>
      </c>
      <c r="AS223" s="17" t="n">
        <f aca="false">SQRT(($B223-AS$139)^2+($C223-AS$140)^2+($D223-AS$141)^2)</f>
        <v>0.828275980082426</v>
      </c>
      <c r="AT223" s="63" t="n">
        <f aca="false">MATCH(MIN(AP223:AS223),AP223:AS223,0)</f>
        <v>4</v>
      </c>
      <c r="AV223" s="17" t="n">
        <f aca="false">SQRT(($B223-AV$139)^2+($C223-AV$140)^2+($D223-AV$141)^2)</f>
        <v>5.76235883363991</v>
      </c>
      <c r="AW223" s="17" t="n">
        <f aca="false">SQRT(($B223-AW$139)^2+($C223-AW$140)^2+($D223-AW$141)^2)</f>
        <v>0.897101399590024</v>
      </c>
      <c r="AX223" s="17" t="n">
        <f aca="false">SQRT(($B223-AX$139)^2+($C223-AX$140)^2+($D223-AX$141)^2)</f>
        <v>2.59845967108555</v>
      </c>
      <c r="AY223" s="17" t="n">
        <f aca="false">SQRT(($B223-AY$139)^2+($C223-AY$140)^2+($D223-AY$141)^2)</f>
        <v>0.828275980082426</v>
      </c>
      <c r="AZ223" s="63" t="n">
        <f aca="false">MATCH(MIN(AV223:AY223),AV223:AY223,0)</f>
        <v>4</v>
      </c>
      <c r="BB223" s="17" t="n">
        <f aca="false">SQRT(($B223-BB$139)^2+($C223-BB$140)^2+($D223-BB$141)^2)</f>
        <v>5.76235883363991</v>
      </c>
      <c r="BC223" s="17" t="n">
        <f aca="false">SQRT(($B223-BC$139)^2+($C223-BC$140)^2+($D223-BC$141)^2)</f>
        <v>0.897101399590024</v>
      </c>
      <c r="BD223" s="17" t="n">
        <f aca="false">SQRT(($B223-BD$139)^2+($C223-BD$140)^2+($D223-BD$141)^2)</f>
        <v>2.59845967108555</v>
      </c>
      <c r="BE223" s="17" t="n">
        <f aca="false">SQRT(($B223-BE$139)^2+($C223-BE$140)^2+($D223-BE$141)^2)</f>
        <v>0.828275980082426</v>
      </c>
      <c r="BF223" s="63" t="n">
        <f aca="false">MATCH(MIN(BB223:BE223),BB223:BE223,0)</f>
        <v>4</v>
      </c>
      <c r="BH223" s="17" t="n">
        <f aca="false">SQRT(($B223-BH$139)^2+($C223-BH$140)^2+($D223-BH$141)^2)</f>
        <v>5.76235883363991</v>
      </c>
      <c r="BI223" s="17" t="n">
        <f aca="false">SQRT(($B223-BI$139)^2+($C223-BI$140)^2+($D223-BI$141)^2)</f>
        <v>0.897101399590024</v>
      </c>
      <c r="BJ223" s="17" t="n">
        <f aca="false">SQRT(($B223-BJ$139)^2+($C223-BJ$140)^2+($D223-BJ$141)^2)</f>
        <v>2.59845967108555</v>
      </c>
      <c r="BK223" s="17" t="n">
        <f aca="false">SQRT(($B223-BK$139)^2+($C223-BK$140)^2+($D223-BK$141)^2)</f>
        <v>0.828275980082426</v>
      </c>
      <c r="BL223" s="63" t="n">
        <f aca="false">MATCH(MIN(BH223:BK223),BH223:BK223,0)</f>
        <v>4</v>
      </c>
      <c r="BN223" s="17" t="n">
        <f aca="false">SQRT(($B223-BN$139)^2+($C223-BN$140)^2+($D223-BN$141)^2)</f>
        <v>5.76235883363991</v>
      </c>
      <c r="BO223" s="17" t="n">
        <f aca="false">SQRT(($B223-BO$139)^2+($C223-BO$140)^2+($D223-BO$141)^2)</f>
        <v>0.897101399590024</v>
      </c>
      <c r="BP223" s="17" t="n">
        <f aca="false">SQRT(($B223-BP$139)^2+($C223-BP$140)^2+($D223-BP$141)^2)</f>
        <v>2.59845967108555</v>
      </c>
      <c r="BQ223" s="17" t="n">
        <f aca="false">SQRT(($B223-BQ$139)^2+($C223-BQ$140)^2+($D223-BQ$141)^2)</f>
        <v>0.828275980082426</v>
      </c>
      <c r="BR223" s="63" t="n">
        <f aca="false">MATCH(MIN(BN223:BQ223),BN223:BQ223,0)</f>
        <v>4</v>
      </c>
      <c r="BT223" s="17" t="n">
        <f aca="false">SQRT(($B223-BT$139)^2+($C223-BT$140)^2+($D223-BT$141)^2)</f>
        <v>5.76235883363991</v>
      </c>
      <c r="BU223" s="17" t="n">
        <f aca="false">SQRT(($B223-BU$139)^2+($C223-BU$140)^2+($D223-BU$141)^2)</f>
        <v>0.897101399590024</v>
      </c>
      <c r="BV223" s="17" t="n">
        <f aca="false">SQRT(($B223-BV$139)^2+($C223-BV$140)^2+($D223-BV$141)^2)</f>
        <v>2.59845967108555</v>
      </c>
      <c r="BW223" s="17" t="n">
        <f aca="false">SQRT(($B223-BW$139)^2+($C223-BW$140)^2+($D223-BW$141)^2)</f>
        <v>0.828275980082426</v>
      </c>
      <c r="BX223" s="63" t="n">
        <f aca="false">MATCH(MIN(BT223:BW223),BT223:BW223,0)</f>
        <v>4</v>
      </c>
      <c r="BZ223" s="17" t="n">
        <f aca="false">SQRT(($B223-BZ$139)^2+($C223-BZ$140)^2+($D223-BZ$141)^2)</f>
        <v>5.76235883363991</v>
      </c>
      <c r="CA223" s="17" t="n">
        <f aca="false">SQRT(($B223-CA$139)^2+($C223-CA$140)^2+($D223-CA$141)^2)</f>
        <v>0.897101399590024</v>
      </c>
      <c r="CB223" s="17" t="n">
        <f aca="false">SQRT(($B223-CB$139)^2+($C223-CB$140)^2+($D223-CB$141)^2)</f>
        <v>2.59845967108555</v>
      </c>
      <c r="CC223" s="17" t="n">
        <f aca="false">SQRT(($B223-CC$139)^2+($C223-CC$140)^2+($D223-CC$141)^2)</f>
        <v>0.828275980082426</v>
      </c>
      <c r="CD223" s="63" t="n">
        <f aca="false">MATCH(MIN(BZ223:CC223),BZ223:CC223,0)</f>
        <v>4</v>
      </c>
      <c r="CF223" s="17" t="n">
        <f aca="false">SQRT(($B223-CF$139)^2+($C223-CF$140)^2+($D223-CF$141)^2)</f>
        <v>5.76235883363991</v>
      </c>
      <c r="CG223" s="17" t="n">
        <f aca="false">SQRT(($B223-CG$139)^2+($C223-CG$140)^2+($D223-CG$141)^2)</f>
        <v>0.897101399590024</v>
      </c>
      <c r="CH223" s="17" t="n">
        <f aca="false">SQRT(($B223-CH$139)^2+($C223-CH$140)^2+($D223-CH$141)^2)</f>
        <v>2.59845967108555</v>
      </c>
      <c r="CI223" s="17" t="n">
        <f aca="false">SQRT(($B223-CI$139)^2+($C223-CI$140)^2+($D223-CI$141)^2)</f>
        <v>0.828275980082426</v>
      </c>
      <c r="CJ223" s="63" t="n">
        <f aca="false">MATCH(MIN(CF223:CI223),CF223:CI223,0)</f>
        <v>4</v>
      </c>
      <c r="CL223" s="17" t="n">
        <f aca="false">SQRT(($B223-CL$139)^2+($C223-CL$140)^2+($D223-CL$141)^2)</f>
        <v>5.76235883363991</v>
      </c>
      <c r="CM223" s="17" t="n">
        <f aca="false">SQRT(($B223-CM$139)^2+($C223-CM$140)^2+($D223-CM$141)^2)</f>
        <v>0.897101399590024</v>
      </c>
      <c r="CN223" s="17" t="n">
        <f aca="false">SQRT(($B223-CN$139)^2+($C223-CN$140)^2+($D223-CN$141)^2)</f>
        <v>2.59845967108555</v>
      </c>
      <c r="CO223" s="17" t="n">
        <f aca="false">SQRT(($B223-CO$139)^2+($C223-CO$140)^2+($D223-CO$141)^2)</f>
        <v>0.828275980082426</v>
      </c>
      <c r="CP223" s="63" t="n">
        <f aca="false">MATCH(MIN(CL223:CO223),CL223:CO223,0)</f>
        <v>4</v>
      </c>
    </row>
    <row r="224" customFormat="false" ht="15" hidden="false" customHeight="false" outlineLevel="0" collapsed="false">
      <c r="A224" s="36" t="str">
        <f aca="false">KMeans_Data!A83</f>
        <v>Diamer</v>
      </c>
      <c r="B224" s="17" t="n">
        <f aca="false">KMeans_Data!H83</f>
        <v>-0.404409624645938</v>
      </c>
      <c r="C224" s="17" t="n">
        <f aca="false">KMeans_Data!I83</f>
        <v>-0.672650545388274</v>
      </c>
      <c r="D224" s="17" t="n">
        <f aca="false">KMeans_Data!J83</f>
        <v>0.042930091906806</v>
      </c>
      <c r="E224" s="63" t="n">
        <f aca="false">CP224</f>
        <v>4</v>
      </c>
      <c r="F224" s="38" t="n">
        <f aca="false">($B224-INDEX($L$139:$O$139,E224))^2+($C224-INDEX($L$140:$O$140,E224))^2+($D224-INDEX($L$141:$O$141,E224))^2</f>
        <v>0.277836357568719</v>
      </c>
      <c r="G224" s="17" t="n">
        <f aca="false">IF(COUNTIF(Distance_Matrix!$E$10:$DQ$10,$E224)&lt;=1,0,SUMIF(Distance_Matrix!$E$10:$DQ$10,$E224,Distance_Matrix!$E$92:$DQ$92)/(COUNTIF(Distance_Matrix!$E$10:$DQ$10,$E224)-1))</f>
        <v>0.850096638439028</v>
      </c>
      <c r="H224" s="17" t="n">
        <f aca="false">MIN(IF(1=$E224,1E+099,IF(COUNTIF(Distance_Matrix!$E$10:$DQ$10,1)=0,1E+099,SUMIF(Distance_Matrix!$E$10:$DQ$10,1,Distance_Matrix!$E$92:$DQ$92)/COUNTIF(Distance_Matrix!$E$10:$DQ$10,1))),IF(2=$E224,1E+099,IF(COUNTIF(Distance_Matrix!$E$10:$DQ$10,2)=0,1E+099,SUMIF(Distance_Matrix!$E$10:$DQ$10,2,Distance_Matrix!$E$92:$DQ$92)/COUNTIF(Distance_Matrix!$E$10:$DQ$10,2))),IF(3=$E224,1E+099,IF(COUNTIF(Distance_Matrix!$E$10:$DQ$10,3)=0,1E+099,SUMIF(Distance_Matrix!$E$10:$DQ$10,3,Distance_Matrix!$E$92:$DQ$92)/COUNTIF(Distance_Matrix!$E$10:$DQ$10,3))),IF(4=$E224,1E+099,IF(COUNTIF(Distance_Matrix!$E$10:$DQ$10,4)=0,1E+099,SUMIF(Distance_Matrix!$E$10:$DQ$10,4,Distance_Matrix!$E$92:$DQ$92)/COUNTIF(Distance_Matrix!$E$10:$DQ$10,4))))</f>
        <v>1.45761458662675</v>
      </c>
      <c r="I224" s="17" t="n">
        <f aca="false">IF(COUNTIF(Distance_Matrix!$E$10:$DQ$10,$E224)&lt;=1,0,(H224-G224)/MAX(G224,H224))</f>
        <v>0.41678915246976</v>
      </c>
      <c r="X224" s="17" t="n">
        <f aca="false">SQRT(($B224-X$139)^2+($C224-X$140)^2+($D224-X$141)^2)</f>
        <v>6.78483078825686</v>
      </c>
      <c r="Y224" s="17" t="n">
        <f aca="false">SQRT(($B224-Y$139)^2+($C224-Y$140)^2+($D224-Y$141)^2)</f>
        <v>2.05412603137925</v>
      </c>
      <c r="Z224" s="17" t="n">
        <f aca="false">SQRT(($B224-Z$139)^2+($C224-Z$140)^2+($D224-Z$141)^2)</f>
        <v>2.28508675025144</v>
      </c>
      <c r="AA224" s="17" t="n">
        <f aca="false">SQRT(($B224-AA$139)^2+($C224-AA$140)^2+($D224-AA$141)^2)</f>
        <v>1.67084066197764</v>
      </c>
      <c r="AB224" s="63" t="n">
        <f aca="false">MATCH(MIN(X224:AA224),X224:AA224,0)</f>
        <v>4</v>
      </c>
      <c r="AD224" s="17" t="n">
        <f aca="false">SQRT(($B224-AD$139)^2+($C224-AD$140)^2+($D224-AD$141)^2)</f>
        <v>5.81484096855325</v>
      </c>
      <c r="AE224" s="17" t="n">
        <f aca="false">SQRT(($B224-AE$139)^2+($C224-AE$140)^2+($D224-AE$141)^2)</f>
        <v>1.2872558960352</v>
      </c>
      <c r="AF224" s="17" t="n">
        <f aca="false">SQRT(($B224-AF$139)^2+($C224-AF$140)^2+($D224-AF$141)^2)</f>
        <v>1.81259558106775</v>
      </c>
      <c r="AG224" s="17" t="n">
        <f aca="false">SQRT(($B224-AG$139)^2+($C224-AG$140)^2+($D224-AG$141)^2)</f>
        <v>0.67888317318669</v>
      </c>
      <c r="AH224" s="63" t="n">
        <f aca="false">MATCH(MIN(AD224:AG224),AD224:AG224,0)</f>
        <v>4</v>
      </c>
      <c r="AJ224" s="17" t="n">
        <f aca="false">SQRT(($B224-AJ$139)^2+($C224-AJ$140)^2+($D224-AJ$141)^2)</f>
        <v>5.47022531175967</v>
      </c>
      <c r="AK224" s="17" t="n">
        <f aca="false">SQRT(($B224-AK$139)^2+($C224-AK$140)^2+($D224-AK$141)^2)</f>
        <v>1.32045238022373</v>
      </c>
      <c r="AL224" s="17" t="n">
        <f aca="false">SQRT(($B224-AL$139)^2+($C224-AL$140)^2+($D224-AL$141)^2)</f>
        <v>1.89798609989241</v>
      </c>
      <c r="AM224" s="17" t="n">
        <f aca="false">SQRT(($B224-AM$139)^2+($C224-AM$140)^2+($D224-AM$141)^2)</f>
        <v>0.56266372746814</v>
      </c>
      <c r="AN224" s="63" t="n">
        <f aca="false">MATCH(MIN(AJ224:AM224),AJ224:AM224,0)</f>
        <v>4</v>
      </c>
      <c r="AP224" s="17" t="n">
        <f aca="false">SQRT(($B224-AP$139)^2+($C224-AP$140)^2+($D224-AP$141)^2)</f>
        <v>5.17950285602626</v>
      </c>
      <c r="AQ224" s="17" t="n">
        <f aca="false">SQRT(($B224-AQ$139)^2+($C224-AQ$140)^2+($D224-AQ$141)^2)</f>
        <v>1.41804287023938</v>
      </c>
      <c r="AR224" s="17" t="n">
        <f aca="false">SQRT(($B224-AR$139)^2+($C224-AR$140)^2+($D224-AR$141)^2)</f>
        <v>1.84885381183624</v>
      </c>
      <c r="AS224" s="17" t="n">
        <f aca="false">SQRT(($B224-AS$139)^2+($C224-AS$140)^2+($D224-AS$141)^2)</f>
        <v>0.527101847434363</v>
      </c>
      <c r="AT224" s="63" t="n">
        <f aca="false">MATCH(MIN(AP224:AS224),AP224:AS224,0)</f>
        <v>4</v>
      </c>
      <c r="AV224" s="17" t="n">
        <f aca="false">SQRT(($B224-AV$139)^2+($C224-AV$140)^2+($D224-AV$141)^2)</f>
        <v>5.17950285602626</v>
      </c>
      <c r="AW224" s="17" t="n">
        <f aca="false">SQRT(($B224-AW$139)^2+($C224-AW$140)^2+($D224-AW$141)^2)</f>
        <v>1.41804287023938</v>
      </c>
      <c r="AX224" s="17" t="n">
        <f aca="false">SQRT(($B224-AX$139)^2+($C224-AX$140)^2+($D224-AX$141)^2)</f>
        <v>1.84885381183624</v>
      </c>
      <c r="AY224" s="17" t="n">
        <f aca="false">SQRT(($B224-AY$139)^2+($C224-AY$140)^2+($D224-AY$141)^2)</f>
        <v>0.527101847434363</v>
      </c>
      <c r="AZ224" s="63" t="n">
        <f aca="false">MATCH(MIN(AV224:AY224),AV224:AY224,0)</f>
        <v>4</v>
      </c>
      <c r="BB224" s="17" t="n">
        <f aca="false">SQRT(($B224-BB$139)^2+($C224-BB$140)^2+($D224-BB$141)^2)</f>
        <v>5.17950285602626</v>
      </c>
      <c r="BC224" s="17" t="n">
        <f aca="false">SQRT(($B224-BC$139)^2+($C224-BC$140)^2+($D224-BC$141)^2)</f>
        <v>1.41804287023938</v>
      </c>
      <c r="BD224" s="17" t="n">
        <f aca="false">SQRT(($B224-BD$139)^2+($C224-BD$140)^2+($D224-BD$141)^2)</f>
        <v>1.84885381183624</v>
      </c>
      <c r="BE224" s="17" t="n">
        <f aca="false">SQRT(($B224-BE$139)^2+($C224-BE$140)^2+($D224-BE$141)^2)</f>
        <v>0.527101847434363</v>
      </c>
      <c r="BF224" s="63" t="n">
        <f aca="false">MATCH(MIN(BB224:BE224),BB224:BE224,0)</f>
        <v>4</v>
      </c>
      <c r="BH224" s="17" t="n">
        <f aca="false">SQRT(($B224-BH$139)^2+($C224-BH$140)^2+($D224-BH$141)^2)</f>
        <v>5.17950285602626</v>
      </c>
      <c r="BI224" s="17" t="n">
        <f aca="false">SQRT(($B224-BI$139)^2+($C224-BI$140)^2+($D224-BI$141)^2)</f>
        <v>1.41804287023938</v>
      </c>
      <c r="BJ224" s="17" t="n">
        <f aca="false">SQRT(($B224-BJ$139)^2+($C224-BJ$140)^2+($D224-BJ$141)^2)</f>
        <v>1.84885381183624</v>
      </c>
      <c r="BK224" s="17" t="n">
        <f aca="false">SQRT(($B224-BK$139)^2+($C224-BK$140)^2+($D224-BK$141)^2)</f>
        <v>0.527101847434363</v>
      </c>
      <c r="BL224" s="63" t="n">
        <f aca="false">MATCH(MIN(BH224:BK224),BH224:BK224,0)</f>
        <v>4</v>
      </c>
      <c r="BN224" s="17" t="n">
        <f aca="false">SQRT(($B224-BN$139)^2+($C224-BN$140)^2+($D224-BN$141)^2)</f>
        <v>5.17950285602626</v>
      </c>
      <c r="BO224" s="17" t="n">
        <f aca="false">SQRT(($B224-BO$139)^2+($C224-BO$140)^2+($D224-BO$141)^2)</f>
        <v>1.41804287023938</v>
      </c>
      <c r="BP224" s="17" t="n">
        <f aca="false">SQRT(($B224-BP$139)^2+($C224-BP$140)^2+($D224-BP$141)^2)</f>
        <v>1.84885381183624</v>
      </c>
      <c r="BQ224" s="17" t="n">
        <f aca="false">SQRT(($B224-BQ$139)^2+($C224-BQ$140)^2+($D224-BQ$141)^2)</f>
        <v>0.527101847434363</v>
      </c>
      <c r="BR224" s="63" t="n">
        <f aca="false">MATCH(MIN(BN224:BQ224),BN224:BQ224,0)</f>
        <v>4</v>
      </c>
      <c r="BT224" s="17" t="n">
        <f aca="false">SQRT(($B224-BT$139)^2+($C224-BT$140)^2+($D224-BT$141)^2)</f>
        <v>5.17950285602626</v>
      </c>
      <c r="BU224" s="17" t="n">
        <f aca="false">SQRT(($B224-BU$139)^2+($C224-BU$140)^2+($D224-BU$141)^2)</f>
        <v>1.41804287023938</v>
      </c>
      <c r="BV224" s="17" t="n">
        <f aca="false">SQRT(($B224-BV$139)^2+($C224-BV$140)^2+($D224-BV$141)^2)</f>
        <v>1.84885381183624</v>
      </c>
      <c r="BW224" s="17" t="n">
        <f aca="false">SQRT(($B224-BW$139)^2+($C224-BW$140)^2+($D224-BW$141)^2)</f>
        <v>0.527101847434363</v>
      </c>
      <c r="BX224" s="63" t="n">
        <f aca="false">MATCH(MIN(BT224:BW224),BT224:BW224,0)</f>
        <v>4</v>
      </c>
      <c r="BZ224" s="17" t="n">
        <f aca="false">SQRT(($B224-BZ$139)^2+($C224-BZ$140)^2+($D224-BZ$141)^2)</f>
        <v>5.17950285602626</v>
      </c>
      <c r="CA224" s="17" t="n">
        <f aca="false">SQRT(($B224-CA$139)^2+($C224-CA$140)^2+($D224-CA$141)^2)</f>
        <v>1.41804287023938</v>
      </c>
      <c r="CB224" s="17" t="n">
        <f aca="false">SQRT(($B224-CB$139)^2+($C224-CB$140)^2+($D224-CB$141)^2)</f>
        <v>1.84885381183624</v>
      </c>
      <c r="CC224" s="17" t="n">
        <f aca="false">SQRT(($B224-CC$139)^2+($C224-CC$140)^2+($D224-CC$141)^2)</f>
        <v>0.527101847434363</v>
      </c>
      <c r="CD224" s="63" t="n">
        <f aca="false">MATCH(MIN(BZ224:CC224),BZ224:CC224,0)</f>
        <v>4</v>
      </c>
      <c r="CF224" s="17" t="n">
        <f aca="false">SQRT(($B224-CF$139)^2+($C224-CF$140)^2+($D224-CF$141)^2)</f>
        <v>5.17950285602626</v>
      </c>
      <c r="CG224" s="17" t="n">
        <f aca="false">SQRT(($B224-CG$139)^2+($C224-CG$140)^2+($D224-CG$141)^2)</f>
        <v>1.41804287023938</v>
      </c>
      <c r="CH224" s="17" t="n">
        <f aca="false">SQRT(($B224-CH$139)^2+($C224-CH$140)^2+($D224-CH$141)^2)</f>
        <v>1.84885381183624</v>
      </c>
      <c r="CI224" s="17" t="n">
        <f aca="false">SQRT(($B224-CI$139)^2+($C224-CI$140)^2+($D224-CI$141)^2)</f>
        <v>0.527101847434363</v>
      </c>
      <c r="CJ224" s="63" t="n">
        <f aca="false">MATCH(MIN(CF224:CI224),CF224:CI224,0)</f>
        <v>4</v>
      </c>
      <c r="CL224" s="17" t="n">
        <f aca="false">SQRT(($B224-CL$139)^2+($C224-CL$140)^2+($D224-CL$141)^2)</f>
        <v>5.17950285602626</v>
      </c>
      <c r="CM224" s="17" t="n">
        <f aca="false">SQRT(($B224-CM$139)^2+($C224-CM$140)^2+($D224-CM$141)^2)</f>
        <v>1.41804287023938</v>
      </c>
      <c r="CN224" s="17" t="n">
        <f aca="false">SQRT(($B224-CN$139)^2+($C224-CN$140)^2+($D224-CN$141)^2)</f>
        <v>1.84885381183624</v>
      </c>
      <c r="CO224" s="17" t="n">
        <f aca="false">SQRT(($B224-CO$139)^2+($C224-CO$140)^2+($D224-CO$141)^2)</f>
        <v>0.527101847434363</v>
      </c>
      <c r="CP224" s="63" t="n">
        <f aca="false">MATCH(MIN(CL224:CO224),CL224:CO224,0)</f>
        <v>4</v>
      </c>
    </row>
    <row r="225" customFormat="false" ht="15" hidden="false" customHeight="false" outlineLevel="0" collapsed="false">
      <c r="A225" s="36" t="str">
        <f aca="false">KMeans_Data!A84</f>
        <v>Hangu</v>
      </c>
      <c r="B225" s="17" t="n">
        <f aca="false">KMeans_Data!H84</f>
        <v>-0.404409624645938</v>
      </c>
      <c r="C225" s="17" t="n">
        <f aca="false">KMeans_Data!I84</f>
        <v>-0.146983133929529</v>
      </c>
      <c r="D225" s="17" t="n">
        <f aca="false">KMeans_Data!J84</f>
        <v>0.139148285405597</v>
      </c>
      <c r="E225" s="63" t="n">
        <f aca="false">CP225</f>
        <v>4</v>
      </c>
      <c r="F225" s="38" t="n">
        <f aca="false">($B225-INDEX($L$139:$O$139,E225))^2+($C225-INDEX($L$140:$O$140,E225))^2+($D225-INDEX($L$141:$O$141,E225))^2</f>
        <v>0.470847837759788</v>
      </c>
      <c r="G225" s="17" t="n">
        <f aca="false">IF(COUNTIF(Distance_Matrix!$E$10:$DQ$10,$E225)&lt;=1,0,SUMIF(Distance_Matrix!$E$10:$DQ$10,$E225,Distance_Matrix!$E$93:$DQ$93)/(COUNTIF(Distance_Matrix!$E$10:$DQ$10,$E225)-1))</f>
        <v>0.96819955802068</v>
      </c>
      <c r="H225" s="17" t="n">
        <f aca="false">MIN(IF(1=$E225,1E+099,IF(COUNTIF(Distance_Matrix!$E$10:$DQ$10,1)=0,1E+099,SUMIF(Distance_Matrix!$E$10:$DQ$10,1,Distance_Matrix!$E$93:$DQ$93)/COUNTIF(Distance_Matrix!$E$10:$DQ$10,1))),IF(2=$E225,1E+099,IF(COUNTIF(Distance_Matrix!$E$10:$DQ$10,2)=0,1E+099,SUMIF(Distance_Matrix!$E$10:$DQ$10,2,Distance_Matrix!$E$93:$DQ$93)/COUNTIF(Distance_Matrix!$E$10:$DQ$10,2))),IF(3=$E225,1E+099,IF(COUNTIF(Distance_Matrix!$E$10:$DQ$10,3)=0,1E+099,SUMIF(Distance_Matrix!$E$10:$DQ$10,3,Distance_Matrix!$E$93:$DQ$93)/COUNTIF(Distance_Matrix!$E$10:$DQ$10,3))),IF(4=$E225,1E+099,IF(COUNTIF(Distance_Matrix!$E$10:$DQ$10,4)=0,1E+099,SUMIF(Distance_Matrix!$E$10:$DQ$10,4,Distance_Matrix!$E$93:$DQ$93)/COUNTIF(Distance_Matrix!$E$10:$DQ$10,4))))</f>
        <v>1.59492612433886</v>
      </c>
      <c r="I225" s="17" t="n">
        <f aca="false">IF(COUNTIF(Distance_Matrix!$E$10:$DQ$10,$E225)&lt;=1,0,(H225-G225)/MAX(G225,H225))</f>
        <v>0.392950216786985</v>
      </c>
      <c r="X225" s="17" t="n">
        <f aca="false">SQRT(($B225-X$139)^2+($C225-X$140)^2+($D225-X$141)^2)</f>
        <v>6.38345263270034</v>
      </c>
      <c r="Y225" s="17" t="n">
        <f aca="false">SQRT(($B225-Y$139)^2+($C225-Y$140)^2+($D225-Y$141)^2)</f>
        <v>2.17571662845419</v>
      </c>
      <c r="Z225" s="17" t="n">
        <f aca="false">SQRT(($B225-Z$139)^2+($C225-Z$140)^2+($D225-Z$141)^2)</f>
        <v>2.03155178865032</v>
      </c>
      <c r="AA225" s="17" t="n">
        <f aca="false">SQRT(($B225-AA$139)^2+($C225-AA$140)^2+($D225-AA$141)^2)</f>
        <v>1.65932671807592</v>
      </c>
      <c r="AB225" s="63" t="n">
        <f aca="false">MATCH(MIN(X225:AA225),X225:AA225,0)</f>
        <v>4</v>
      </c>
      <c r="AD225" s="17" t="n">
        <f aca="false">SQRT(($B225-AD$139)^2+($C225-AD$140)^2+($D225-AD$141)^2)</f>
        <v>5.40623171253915</v>
      </c>
      <c r="AE225" s="17" t="n">
        <f aca="false">SQRT(($B225-AE$139)^2+($C225-AE$140)^2+($D225-AE$141)^2)</f>
        <v>1.45296442307289</v>
      </c>
      <c r="AF225" s="17" t="n">
        <f aca="false">SQRT(($B225-AF$139)^2+($C225-AF$140)^2+($D225-AF$141)^2)</f>
        <v>1.44793035627848</v>
      </c>
      <c r="AG225" s="17" t="n">
        <f aca="false">SQRT(($B225-AG$139)^2+($C225-AG$140)^2+($D225-AG$141)^2)</f>
        <v>0.812840179489776</v>
      </c>
      <c r="AH225" s="63" t="n">
        <f aca="false">MATCH(MIN(AD225:AG225),AD225:AG225,0)</f>
        <v>4</v>
      </c>
      <c r="AJ225" s="17" t="n">
        <f aca="false">SQRT(($B225-AJ$139)^2+($C225-AJ$140)^2+($D225-AJ$141)^2)</f>
        <v>5.06685395289051</v>
      </c>
      <c r="AK225" s="17" t="n">
        <f aca="false">SQRT(($B225-AK$139)^2+($C225-AK$140)^2+($D225-AK$141)^2)</f>
        <v>1.48572151955482</v>
      </c>
      <c r="AL225" s="17" t="n">
        <f aca="false">SQRT(($B225-AL$139)^2+($C225-AL$140)^2+($D225-AL$141)^2)</f>
        <v>1.52491111060096</v>
      </c>
      <c r="AM225" s="17" t="n">
        <f aca="false">SQRT(($B225-AM$139)^2+($C225-AM$140)^2+($D225-AM$141)^2)</f>
        <v>0.707028702157519</v>
      </c>
      <c r="AN225" s="63" t="n">
        <f aca="false">MATCH(MIN(AJ225:AM225),AJ225:AM225,0)</f>
        <v>4</v>
      </c>
      <c r="AP225" s="17" t="n">
        <f aca="false">SQRT(($B225-AP$139)^2+($C225-AP$140)^2+($D225-AP$141)^2)</f>
        <v>4.77275575326755</v>
      </c>
      <c r="AQ225" s="17" t="n">
        <f aca="false">SQRT(($B225-AQ$139)^2+($C225-AQ$140)^2+($D225-AQ$141)^2)</f>
        <v>1.5777326363416</v>
      </c>
      <c r="AR225" s="17" t="n">
        <f aca="false">SQRT(($B225-AR$139)^2+($C225-AR$140)^2+($D225-AR$141)^2)</f>
        <v>1.47946548736501</v>
      </c>
      <c r="AS225" s="17" t="n">
        <f aca="false">SQRT(($B225-AS$139)^2+($C225-AS$140)^2+($D225-AS$141)^2)</f>
        <v>0.686183530667844</v>
      </c>
      <c r="AT225" s="63" t="n">
        <f aca="false">MATCH(MIN(AP225:AS225),AP225:AS225,0)</f>
        <v>4</v>
      </c>
      <c r="AV225" s="17" t="n">
        <f aca="false">SQRT(($B225-AV$139)^2+($C225-AV$140)^2+($D225-AV$141)^2)</f>
        <v>4.77275575326755</v>
      </c>
      <c r="AW225" s="17" t="n">
        <f aca="false">SQRT(($B225-AW$139)^2+($C225-AW$140)^2+($D225-AW$141)^2)</f>
        <v>1.5777326363416</v>
      </c>
      <c r="AX225" s="17" t="n">
        <f aca="false">SQRT(($B225-AX$139)^2+($C225-AX$140)^2+($D225-AX$141)^2)</f>
        <v>1.47946548736501</v>
      </c>
      <c r="AY225" s="17" t="n">
        <f aca="false">SQRT(($B225-AY$139)^2+($C225-AY$140)^2+($D225-AY$141)^2)</f>
        <v>0.686183530667844</v>
      </c>
      <c r="AZ225" s="63" t="n">
        <f aca="false">MATCH(MIN(AV225:AY225),AV225:AY225,0)</f>
        <v>4</v>
      </c>
      <c r="BB225" s="17" t="n">
        <f aca="false">SQRT(($B225-BB$139)^2+($C225-BB$140)^2+($D225-BB$141)^2)</f>
        <v>4.77275575326755</v>
      </c>
      <c r="BC225" s="17" t="n">
        <f aca="false">SQRT(($B225-BC$139)^2+($C225-BC$140)^2+($D225-BC$141)^2)</f>
        <v>1.5777326363416</v>
      </c>
      <c r="BD225" s="17" t="n">
        <f aca="false">SQRT(($B225-BD$139)^2+($C225-BD$140)^2+($D225-BD$141)^2)</f>
        <v>1.47946548736501</v>
      </c>
      <c r="BE225" s="17" t="n">
        <f aca="false">SQRT(($B225-BE$139)^2+($C225-BE$140)^2+($D225-BE$141)^2)</f>
        <v>0.686183530667844</v>
      </c>
      <c r="BF225" s="63" t="n">
        <f aca="false">MATCH(MIN(BB225:BE225),BB225:BE225,0)</f>
        <v>4</v>
      </c>
      <c r="BH225" s="17" t="n">
        <f aca="false">SQRT(($B225-BH$139)^2+($C225-BH$140)^2+($D225-BH$141)^2)</f>
        <v>4.77275575326755</v>
      </c>
      <c r="BI225" s="17" t="n">
        <f aca="false">SQRT(($B225-BI$139)^2+($C225-BI$140)^2+($D225-BI$141)^2)</f>
        <v>1.5777326363416</v>
      </c>
      <c r="BJ225" s="17" t="n">
        <f aca="false">SQRT(($B225-BJ$139)^2+($C225-BJ$140)^2+($D225-BJ$141)^2)</f>
        <v>1.47946548736501</v>
      </c>
      <c r="BK225" s="17" t="n">
        <f aca="false">SQRT(($B225-BK$139)^2+($C225-BK$140)^2+($D225-BK$141)^2)</f>
        <v>0.686183530667844</v>
      </c>
      <c r="BL225" s="63" t="n">
        <f aca="false">MATCH(MIN(BH225:BK225),BH225:BK225,0)</f>
        <v>4</v>
      </c>
      <c r="BN225" s="17" t="n">
        <f aca="false">SQRT(($B225-BN$139)^2+($C225-BN$140)^2+($D225-BN$141)^2)</f>
        <v>4.77275575326755</v>
      </c>
      <c r="BO225" s="17" t="n">
        <f aca="false">SQRT(($B225-BO$139)^2+($C225-BO$140)^2+($D225-BO$141)^2)</f>
        <v>1.5777326363416</v>
      </c>
      <c r="BP225" s="17" t="n">
        <f aca="false">SQRT(($B225-BP$139)^2+($C225-BP$140)^2+($D225-BP$141)^2)</f>
        <v>1.47946548736501</v>
      </c>
      <c r="BQ225" s="17" t="n">
        <f aca="false">SQRT(($B225-BQ$139)^2+($C225-BQ$140)^2+($D225-BQ$141)^2)</f>
        <v>0.686183530667844</v>
      </c>
      <c r="BR225" s="63" t="n">
        <f aca="false">MATCH(MIN(BN225:BQ225),BN225:BQ225,0)</f>
        <v>4</v>
      </c>
      <c r="BT225" s="17" t="n">
        <f aca="false">SQRT(($B225-BT$139)^2+($C225-BT$140)^2+($D225-BT$141)^2)</f>
        <v>4.77275575326755</v>
      </c>
      <c r="BU225" s="17" t="n">
        <f aca="false">SQRT(($B225-BU$139)^2+($C225-BU$140)^2+($D225-BU$141)^2)</f>
        <v>1.5777326363416</v>
      </c>
      <c r="BV225" s="17" t="n">
        <f aca="false">SQRT(($B225-BV$139)^2+($C225-BV$140)^2+($D225-BV$141)^2)</f>
        <v>1.47946548736501</v>
      </c>
      <c r="BW225" s="17" t="n">
        <f aca="false">SQRT(($B225-BW$139)^2+($C225-BW$140)^2+($D225-BW$141)^2)</f>
        <v>0.686183530667844</v>
      </c>
      <c r="BX225" s="63" t="n">
        <f aca="false">MATCH(MIN(BT225:BW225),BT225:BW225,0)</f>
        <v>4</v>
      </c>
      <c r="BZ225" s="17" t="n">
        <f aca="false">SQRT(($B225-BZ$139)^2+($C225-BZ$140)^2+($D225-BZ$141)^2)</f>
        <v>4.77275575326755</v>
      </c>
      <c r="CA225" s="17" t="n">
        <f aca="false">SQRT(($B225-CA$139)^2+($C225-CA$140)^2+($D225-CA$141)^2)</f>
        <v>1.5777326363416</v>
      </c>
      <c r="CB225" s="17" t="n">
        <f aca="false">SQRT(($B225-CB$139)^2+($C225-CB$140)^2+($D225-CB$141)^2)</f>
        <v>1.47946548736501</v>
      </c>
      <c r="CC225" s="17" t="n">
        <f aca="false">SQRT(($B225-CC$139)^2+($C225-CC$140)^2+($D225-CC$141)^2)</f>
        <v>0.686183530667844</v>
      </c>
      <c r="CD225" s="63" t="n">
        <f aca="false">MATCH(MIN(BZ225:CC225),BZ225:CC225,0)</f>
        <v>4</v>
      </c>
      <c r="CF225" s="17" t="n">
        <f aca="false">SQRT(($B225-CF$139)^2+($C225-CF$140)^2+($D225-CF$141)^2)</f>
        <v>4.77275575326755</v>
      </c>
      <c r="CG225" s="17" t="n">
        <f aca="false">SQRT(($B225-CG$139)^2+($C225-CG$140)^2+($D225-CG$141)^2)</f>
        <v>1.5777326363416</v>
      </c>
      <c r="CH225" s="17" t="n">
        <f aca="false">SQRT(($B225-CH$139)^2+($C225-CH$140)^2+($D225-CH$141)^2)</f>
        <v>1.47946548736501</v>
      </c>
      <c r="CI225" s="17" t="n">
        <f aca="false">SQRT(($B225-CI$139)^2+($C225-CI$140)^2+($D225-CI$141)^2)</f>
        <v>0.686183530667844</v>
      </c>
      <c r="CJ225" s="63" t="n">
        <f aca="false">MATCH(MIN(CF225:CI225),CF225:CI225,0)</f>
        <v>4</v>
      </c>
      <c r="CL225" s="17" t="n">
        <f aca="false">SQRT(($B225-CL$139)^2+($C225-CL$140)^2+($D225-CL$141)^2)</f>
        <v>4.77275575326755</v>
      </c>
      <c r="CM225" s="17" t="n">
        <f aca="false">SQRT(($B225-CM$139)^2+($C225-CM$140)^2+($D225-CM$141)^2)</f>
        <v>1.5777326363416</v>
      </c>
      <c r="CN225" s="17" t="n">
        <f aca="false">SQRT(($B225-CN$139)^2+($C225-CN$140)^2+($D225-CN$141)^2)</f>
        <v>1.47946548736501</v>
      </c>
      <c r="CO225" s="17" t="n">
        <f aca="false">SQRT(($B225-CO$139)^2+($C225-CO$140)^2+($D225-CO$141)^2)</f>
        <v>0.686183530667844</v>
      </c>
      <c r="CP225" s="63" t="n">
        <f aca="false">MATCH(MIN(CL225:CO225),CL225:CO225,0)</f>
        <v>4</v>
      </c>
    </row>
    <row r="226" customFormat="false" ht="15" hidden="false" customHeight="false" outlineLevel="0" collapsed="false">
      <c r="A226" s="36" t="str">
        <f aca="false">KMeans_Data!A85</f>
        <v>Mohmand</v>
      </c>
      <c r="B226" s="17" t="n">
        <f aca="false">KMeans_Data!H85</f>
        <v>-0.470943061763014</v>
      </c>
      <c r="C226" s="17" t="n">
        <f aca="false">KMeans_Data!I85</f>
        <v>-0.146983133929529</v>
      </c>
      <c r="D226" s="17" t="n">
        <f aca="false">KMeans_Data!J85</f>
        <v>-0.399845222909568</v>
      </c>
      <c r="E226" s="63" t="n">
        <f aca="false">CP226</f>
        <v>4</v>
      </c>
      <c r="F226" s="38" t="n">
        <f aca="false">($B226-INDEX($L$139:$O$139,E226))^2+($C226-INDEX($L$140:$O$140,E226))^2+($D226-INDEX($L$141:$O$141,E226))^2</f>
        <v>0.248151051671832</v>
      </c>
      <c r="G226" s="17" t="n">
        <f aca="false">IF(COUNTIF(Distance_Matrix!$E$10:$DQ$10,$E226)&lt;=1,0,SUMIF(Distance_Matrix!$E$10:$DQ$10,$E226,Distance_Matrix!$E$94:$DQ$94)/(COUNTIF(Distance_Matrix!$E$10:$DQ$10,$E226)-1))</f>
        <v>0.893252403815331</v>
      </c>
      <c r="H226" s="17" t="n">
        <f aca="false">MIN(IF(1=$E226,1E+099,IF(COUNTIF(Distance_Matrix!$E$10:$DQ$10,1)=0,1E+099,SUMIF(Distance_Matrix!$E$10:$DQ$10,1,Distance_Matrix!$E$94:$DQ$94)/COUNTIF(Distance_Matrix!$E$10:$DQ$10,1))),IF(2=$E226,1E+099,IF(COUNTIF(Distance_Matrix!$E$10:$DQ$10,2)=0,1E+099,SUMIF(Distance_Matrix!$E$10:$DQ$10,2,Distance_Matrix!$E$94:$DQ$94)/COUNTIF(Distance_Matrix!$E$10:$DQ$10,2))),IF(3=$E226,1E+099,IF(COUNTIF(Distance_Matrix!$E$10:$DQ$10,3)=0,1E+099,SUMIF(Distance_Matrix!$E$10:$DQ$10,3,Distance_Matrix!$E$94:$DQ$94)/COUNTIF(Distance_Matrix!$E$10:$DQ$10,3))),IF(4=$E226,1E+099,IF(COUNTIF(Distance_Matrix!$E$10:$DQ$10,4)=0,1E+099,SUMIF(Distance_Matrix!$E$10:$DQ$10,4,Distance_Matrix!$E$94:$DQ$94)/COUNTIF(Distance_Matrix!$E$10:$DQ$10,4))))</f>
        <v>1.21124119820962</v>
      </c>
      <c r="I226" s="17" t="n">
        <f aca="false">IF(COUNTIF(Distance_Matrix!$E$10:$DQ$10,$E226)&lt;=1,0,(H226-G226)/MAX(G226,H226))</f>
        <v>0.262531356152944</v>
      </c>
      <c r="X226" s="17" t="n">
        <f aca="false">SQRT(($B226-X$139)^2+($C226-X$140)^2+($D226-X$141)^2)</f>
        <v>6.6999482057459</v>
      </c>
      <c r="Y226" s="17" t="n">
        <f aca="false">SQRT(($B226-Y$139)^2+($C226-Y$140)^2+($D226-Y$141)^2)</f>
        <v>1.84953056521099</v>
      </c>
      <c r="Z226" s="17" t="n">
        <f aca="false">SQRT(($B226-Z$139)^2+($C226-Z$140)^2+($D226-Z$141)^2)</f>
        <v>2.45948554295477</v>
      </c>
      <c r="AA226" s="17" t="n">
        <f aca="false">SQRT(($B226-AA$139)^2+($C226-AA$140)^2+($D226-AA$141)^2)</f>
        <v>1.34277606092541</v>
      </c>
      <c r="AB226" s="63" t="n">
        <f aca="false">MATCH(MIN(X226:AA226),X226:AA226,0)</f>
        <v>4</v>
      </c>
      <c r="AD226" s="17" t="n">
        <f aca="false">SQRT(($B226-AD$139)^2+($C226-AD$140)^2+($D226-AD$141)^2)</f>
        <v>5.69913171645514</v>
      </c>
      <c r="AE226" s="17" t="n">
        <f aca="false">SQRT(($B226-AE$139)^2+($C226-AE$140)^2+($D226-AE$141)^2)</f>
        <v>1.06610011878229</v>
      </c>
      <c r="AF226" s="17" t="n">
        <f aca="false">SQRT(($B226-AF$139)^2+($C226-AF$140)^2+($D226-AF$141)^2)</f>
        <v>1.82330099552934</v>
      </c>
      <c r="AG226" s="17" t="n">
        <f aca="false">SQRT(($B226-AG$139)^2+($C226-AG$140)^2+($D226-AG$141)^2)</f>
        <v>0.545091760966876</v>
      </c>
      <c r="AH226" s="63" t="n">
        <f aca="false">MATCH(MIN(AD226:AG226),AD226:AG226,0)</f>
        <v>4</v>
      </c>
      <c r="AJ226" s="17" t="n">
        <f aca="false">SQRT(($B226-AJ$139)^2+($C226-AJ$140)^2+($D226-AJ$141)^2)</f>
        <v>5.36083147946015</v>
      </c>
      <c r="AK226" s="17" t="n">
        <f aca="false">SQRT(($B226-AK$139)^2+($C226-AK$140)^2+($D226-AK$141)^2)</f>
        <v>1.08613052827215</v>
      </c>
      <c r="AL226" s="17" t="n">
        <f aca="false">SQRT(($B226-AL$139)^2+($C226-AL$140)^2+($D226-AL$141)^2)</f>
        <v>1.88781282099399</v>
      </c>
      <c r="AM226" s="17" t="n">
        <f aca="false">SQRT(($B226-AM$139)^2+($C226-AM$140)^2+($D226-AM$141)^2)</f>
        <v>0.524084216109085</v>
      </c>
      <c r="AN226" s="63" t="n">
        <f aca="false">MATCH(MIN(AJ226:AM226),AJ226:AM226,0)</f>
        <v>4</v>
      </c>
      <c r="AP226" s="17" t="n">
        <f aca="false">SQRT(($B226-AP$139)^2+($C226-AP$140)^2+($D226-AP$141)^2)</f>
        <v>5.06550818889313</v>
      </c>
      <c r="AQ226" s="17" t="n">
        <f aca="false">SQRT(($B226-AQ$139)^2+($C226-AQ$140)^2+($D226-AQ$141)^2)</f>
        <v>1.16631891230302</v>
      </c>
      <c r="AR226" s="17" t="n">
        <f aca="false">SQRT(($B226-AR$139)^2+($C226-AR$140)^2+($D226-AR$141)^2)</f>
        <v>1.84607040352394</v>
      </c>
      <c r="AS226" s="17" t="n">
        <f aca="false">SQRT(($B226-AS$139)^2+($C226-AS$140)^2+($D226-AS$141)^2)</f>
        <v>0.498147620361507</v>
      </c>
      <c r="AT226" s="63" t="n">
        <f aca="false">MATCH(MIN(AP226:AS226),AP226:AS226,0)</f>
        <v>4</v>
      </c>
      <c r="AV226" s="17" t="n">
        <f aca="false">SQRT(($B226-AV$139)^2+($C226-AV$140)^2+($D226-AV$141)^2)</f>
        <v>5.06550818889313</v>
      </c>
      <c r="AW226" s="17" t="n">
        <f aca="false">SQRT(($B226-AW$139)^2+($C226-AW$140)^2+($D226-AW$141)^2)</f>
        <v>1.16631891230302</v>
      </c>
      <c r="AX226" s="17" t="n">
        <f aca="false">SQRT(($B226-AX$139)^2+($C226-AX$140)^2+($D226-AX$141)^2)</f>
        <v>1.84607040352394</v>
      </c>
      <c r="AY226" s="17" t="n">
        <f aca="false">SQRT(($B226-AY$139)^2+($C226-AY$140)^2+($D226-AY$141)^2)</f>
        <v>0.498147620361507</v>
      </c>
      <c r="AZ226" s="63" t="n">
        <f aca="false">MATCH(MIN(AV226:AY226),AV226:AY226,0)</f>
        <v>4</v>
      </c>
      <c r="BB226" s="17" t="n">
        <f aca="false">SQRT(($B226-BB$139)^2+($C226-BB$140)^2+($D226-BB$141)^2)</f>
        <v>5.06550818889313</v>
      </c>
      <c r="BC226" s="17" t="n">
        <f aca="false">SQRT(($B226-BC$139)^2+($C226-BC$140)^2+($D226-BC$141)^2)</f>
        <v>1.16631891230302</v>
      </c>
      <c r="BD226" s="17" t="n">
        <f aca="false">SQRT(($B226-BD$139)^2+($C226-BD$140)^2+($D226-BD$141)^2)</f>
        <v>1.84607040352394</v>
      </c>
      <c r="BE226" s="17" t="n">
        <f aca="false">SQRT(($B226-BE$139)^2+($C226-BE$140)^2+($D226-BE$141)^2)</f>
        <v>0.498147620361507</v>
      </c>
      <c r="BF226" s="63" t="n">
        <f aca="false">MATCH(MIN(BB226:BE226),BB226:BE226,0)</f>
        <v>4</v>
      </c>
      <c r="BH226" s="17" t="n">
        <f aca="false">SQRT(($B226-BH$139)^2+($C226-BH$140)^2+($D226-BH$141)^2)</f>
        <v>5.06550818889313</v>
      </c>
      <c r="BI226" s="17" t="n">
        <f aca="false">SQRT(($B226-BI$139)^2+($C226-BI$140)^2+($D226-BI$141)^2)</f>
        <v>1.16631891230302</v>
      </c>
      <c r="BJ226" s="17" t="n">
        <f aca="false">SQRT(($B226-BJ$139)^2+($C226-BJ$140)^2+($D226-BJ$141)^2)</f>
        <v>1.84607040352394</v>
      </c>
      <c r="BK226" s="17" t="n">
        <f aca="false">SQRT(($B226-BK$139)^2+($C226-BK$140)^2+($D226-BK$141)^2)</f>
        <v>0.498147620361507</v>
      </c>
      <c r="BL226" s="63" t="n">
        <f aca="false">MATCH(MIN(BH226:BK226),BH226:BK226,0)</f>
        <v>4</v>
      </c>
      <c r="BN226" s="17" t="n">
        <f aca="false">SQRT(($B226-BN$139)^2+($C226-BN$140)^2+($D226-BN$141)^2)</f>
        <v>5.06550818889313</v>
      </c>
      <c r="BO226" s="17" t="n">
        <f aca="false">SQRT(($B226-BO$139)^2+($C226-BO$140)^2+($D226-BO$141)^2)</f>
        <v>1.16631891230302</v>
      </c>
      <c r="BP226" s="17" t="n">
        <f aca="false">SQRT(($B226-BP$139)^2+($C226-BP$140)^2+($D226-BP$141)^2)</f>
        <v>1.84607040352394</v>
      </c>
      <c r="BQ226" s="17" t="n">
        <f aca="false">SQRT(($B226-BQ$139)^2+($C226-BQ$140)^2+($D226-BQ$141)^2)</f>
        <v>0.498147620361507</v>
      </c>
      <c r="BR226" s="63" t="n">
        <f aca="false">MATCH(MIN(BN226:BQ226),BN226:BQ226,0)</f>
        <v>4</v>
      </c>
      <c r="BT226" s="17" t="n">
        <f aca="false">SQRT(($B226-BT$139)^2+($C226-BT$140)^2+($D226-BT$141)^2)</f>
        <v>5.06550818889313</v>
      </c>
      <c r="BU226" s="17" t="n">
        <f aca="false">SQRT(($B226-BU$139)^2+($C226-BU$140)^2+($D226-BU$141)^2)</f>
        <v>1.16631891230302</v>
      </c>
      <c r="BV226" s="17" t="n">
        <f aca="false">SQRT(($B226-BV$139)^2+($C226-BV$140)^2+($D226-BV$141)^2)</f>
        <v>1.84607040352394</v>
      </c>
      <c r="BW226" s="17" t="n">
        <f aca="false">SQRT(($B226-BW$139)^2+($C226-BW$140)^2+($D226-BW$141)^2)</f>
        <v>0.498147620361507</v>
      </c>
      <c r="BX226" s="63" t="n">
        <f aca="false">MATCH(MIN(BT226:BW226),BT226:BW226,0)</f>
        <v>4</v>
      </c>
      <c r="BZ226" s="17" t="n">
        <f aca="false">SQRT(($B226-BZ$139)^2+($C226-BZ$140)^2+($D226-BZ$141)^2)</f>
        <v>5.06550818889313</v>
      </c>
      <c r="CA226" s="17" t="n">
        <f aca="false">SQRT(($B226-CA$139)^2+($C226-CA$140)^2+($D226-CA$141)^2)</f>
        <v>1.16631891230302</v>
      </c>
      <c r="CB226" s="17" t="n">
        <f aca="false">SQRT(($B226-CB$139)^2+($C226-CB$140)^2+($D226-CB$141)^2)</f>
        <v>1.84607040352394</v>
      </c>
      <c r="CC226" s="17" t="n">
        <f aca="false">SQRT(($B226-CC$139)^2+($C226-CC$140)^2+($D226-CC$141)^2)</f>
        <v>0.498147620361507</v>
      </c>
      <c r="CD226" s="63" t="n">
        <f aca="false">MATCH(MIN(BZ226:CC226),BZ226:CC226,0)</f>
        <v>4</v>
      </c>
      <c r="CF226" s="17" t="n">
        <f aca="false">SQRT(($B226-CF$139)^2+($C226-CF$140)^2+($D226-CF$141)^2)</f>
        <v>5.06550818889313</v>
      </c>
      <c r="CG226" s="17" t="n">
        <f aca="false">SQRT(($B226-CG$139)^2+($C226-CG$140)^2+($D226-CG$141)^2)</f>
        <v>1.16631891230302</v>
      </c>
      <c r="CH226" s="17" t="n">
        <f aca="false">SQRT(($B226-CH$139)^2+($C226-CH$140)^2+($D226-CH$141)^2)</f>
        <v>1.84607040352394</v>
      </c>
      <c r="CI226" s="17" t="n">
        <f aca="false">SQRT(($B226-CI$139)^2+($C226-CI$140)^2+($D226-CI$141)^2)</f>
        <v>0.498147620361507</v>
      </c>
      <c r="CJ226" s="63" t="n">
        <f aca="false">MATCH(MIN(CF226:CI226),CF226:CI226,0)</f>
        <v>4</v>
      </c>
      <c r="CL226" s="17" t="n">
        <f aca="false">SQRT(($B226-CL$139)^2+($C226-CL$140)^2+($D226-CL$141)^2)</f>
        <v>5.06550818889313</v>
      </c>
      <c r="CM226" s="17" t="n">
        <f aca="false">SQRT(($B226-CM$139)^2+($C226-CM$140)^2+($D226-CM$141)^2)</f>
        <v>1.16631891230302</v>
      </c>
      <c r="CN226" s="17" t="n">
        <f aca="false">SQRT(($B226-CN$139)^2+($C226-CN$140)^2+($D226-CN$141)^2)</f>
        <v>1.84607040352394</v>
      </c>
      <c r="CO226" s="17" t="n">
        <f aca="false">SQRT(($B226-CO$139)^2+($C226-CO$140)^2+($D226-CO$141)^2)</f>
        <v>0.498147620361507</v>
      </c>
      <c r="CP226" s="63" t="n">
        <f aca="false">MATCH(MIN(CL226:CO226),CL226:CO226,0)</f>
        <v>4</v>
      </c>
    </row>
    <row r="227" customFormat="false" ht="15" hidden="false" customHeight="false" outlineLevel="0" collapsed="false">
      <c r="A227" s="36" t="str">
        <f aca="false">KMeans_Data!A86</f>
        <v>Bahawal Nagar</v>
      </c>
      <c r="B227" s="17" t="n">
        <f aca="false">KMeans_Data!H86</f>
        <v>-0.470943061763014</v>
      </c>
      <c r="C227" s="17" t="n">
        <f aca="false">KMeans_Data!I86</f>
        <v>-0.672650545388274</v>
      </c>
      <c r="D227" s="17" t="n">
        <f aca="false">KMeans_Data!J86</f>
        <v>-0.399845222909568</v>
      </c>
      <c r="E227" s="63" t="n">
        <f aca="false">CP227</f>
        <v>4</v>
      </c>
      <c r="F227" s="38" t="n">
        <f aca="false">($B227-INDEX($L$139:$O$139,E227))^2+($C227-INDEX($L$140:$O$140,E227))^2+($D227-INDEX($L$141:$O$141,E227))^2</f>
        <v>0.144837186702043</v>
      </c>
      <c r="G227" s="17" t="n">
        <f aca="false">IF(COUNTIF(Distance_Matrix!$E$10:$DQ$10,$E227)&lt;=1,0,SUMIF(Distance_Matrix!$E$10:$DQ$10,$E227,Distance_Matrix!$E$95:$DQ$95)/(COUNTIF(Distance_Matrix!$E$10:$DQ$10,$E227)-1))</f>
        <v>0.792584232543666</v>
      </c>
      <c r="H227" s="17" t="n">
        <f aca="false">MIN(IF(1=$E227,1E+099,IF(COUNTIF(Distance_Matrix!$E$10:$DQ$10,1)=0,1E+099,SUMIF(Distance_Matrix!$E$10:$DQ$10,1,Distance_Matrix!$E$95:$DQ$95)/COUNTIF(Distance_Matrix!$E$10:$DQ$10,1))),IF(2=$E227,1E+099,IF(COUNTIF(Distance_Matrix!$E$10:$DQ$10,2)=0,1E+099,SUMIF(Distance_Matrix!$E$10:$DQ$10,2,Distance_Matrix!$E$95:$DQ$95)/COUNTIF(Distance_Matrix!$E$10:$DQ$10,2))),IF(3=$E227,1E+099,IF(COUNTIF(Distance_Matrix!$E$10:$DQ$10,3)=0,1E+099,SUMIF(Distance_Matrix!$E$10:$DQ$10,3,Distance_Matrix!$E$95:$DQ$95)/COUNTIF(Distance_Matrix!$E$10:$DQ$10,3))),IF(4=$E227,1E+099,IF(COUNTIF(Distance_Matrix!$E$10:$DQ$10,4)=0,1E+099,SUMIF(Distance_Matrix!$E$10:$DQ$10,4,Distance_Matrix!$E$95:$DQ$95)/COUNTIF(Distance_Matrix!$E$10:$DQ$10,4))))</f>
        <v>1.09602217716494</v>
      </c>
      <c r="I227" s="17" t="n">
        <f aca="false">IF(COUNTIF(Distance_Matrix!$E$10:$DQ$10,$E227)&lt;=1,0,(H227-G227)/MAX(G227,H227))</f>
        <v>0.276853836485472</v>
      </c>
      <c r="X227" s="17" t="n">
        <f aca="false">SQRT(($B227-X$139)^2+($C227-X$140)^2+($D227-X$141)^2)</f>
        <v>7.04033708091628</v>
      </c>
      <c r="Y227" s="17" t="n">
        <f aca="false">SQRT(($B227-Y$139)^2+($C227-Y$140)^2+($D227-Y$141)^2)</f>
        <v>1.77325606841763</v>
      </c>
      <c r="Z227" s="17" t="n">
        <f aca="false">SQRT(($B227-Z$139)^2+($C227-Z$140)^2+($D227-Z$141)^2)</f>
        <v>2.62260325219289</v>
      </c>
      <c r="AA227" s="17" t="n">
        <f aca="false">SQRT(($B227-AA$139)^2+($C227-AA$140)^2+($D227-AA$141)^2)</f>
        <v>1.4420033901708</v>
      </c>
      <c r="AB227" s="63" t="n">
        <f aca="false">MATCH(MIN(X227:AA227),X227:AA227,0)</f>
        <v>4</v>
      </c>
      <c r="AD227" s="17" t="n">
        <f aca="false">SQRT(($B227-AD$139)^2+($C227-AD$140)^2+($D227-AD$141)^2)</f>
        <v>6.05013938116966</v>
      </c>
      <c r="AE227" s="17" t="n">
        <f aca="false">SQRT(($B227-AE$139)^2+($C227-AE$140)^2+($D227-AE$141)^2)</f>
        <v>0.938072930786448</v>
      </c>
      <c r="AF227" s="17" t="n">
        <f aca="false">SQRT(($B227-AF$139)^2+($C227-AF$140)^2+($D227-AF$141)^2)</f>
        <v>2.08845843305351</v>
      </c>
      <c r="AG227" s="17" t="n">
        <f aca="false">SQRT(($B227-AG$139)^2+($C227-AG$140)^2+($D227-AG$141)^2)</f>
        <v>0.462303169866693</v>
      </c>
      <c r="AH227" s="63" t="n">
        <f aca="false">MATCH(MIN(AD227:AG227),AD227:AG227,0)</f>
        <v>4</v>
      </c>
      <c r="AJ227" s="17" t="n">
        <f aca="false">SQRT(($B227-AJ$139)^2+($C227-AJ$140)^2+($D227-AJ$141)^2)</f>
        <v>5.70598981001706</v>
      </c>
      <c r="AK227" s="17" t="n">
        <f aca="false">SQRT(($B227-AK$139)^2+($C227-AK$140)^2+($D227-AK$141)^2)</f>
        <v>0.960776188636782</v>
      </c>
      <c r="AL227" s="17" t="n">
        <f aca="false">SQRT(($B227-AL$139)^2+($C227-AL$140)^2+($D227-AL$141)^2)</f>
        <v>2.16524382851928</v>
      </c>
      <c r="AM227" s="17" t="n">
        <f aca="false">SQRT(($B227-AM$139)^2+($C227-AM$140)^2+($D227-AM$141)^2)</f>
        <v>0.427356777822155</v>
      </c>
      <c r="AN227" s="63" t="n">
        <f aca="false">MATCH(MIN(AJ227:AM227),AJ227:AM227,0)</f>
        <v>4</v>
      </c>
      <c r="AP227" s="17" t="n">
        <f aca="false">SQRT(($B227-AP$139)^2+($C227-AP$140)^2+($D227-AP$141)^2)</f>
        <v>5.41343315161851</v>
      </c>
      <c r="AQ227" s="17" t="n">
        <f aca="false">SQRT(($B227-AQ$139)^2+($C227-AQ$140)^2+($D227-AQ$141)^2)</f>
        <v>1.05170322616389</v>
      </c>
      <c r="AR227" s="17" t="n">
        <f aca="false">SQRT(($B227-AR$139)^2+($C227-AR$140)^2+($D227-AR$141)^2)</f>
        <v>2.11843696939719</v>
      </c>
      <c r="AS227" s="17" t="n">
        <f aca="false">SQRT(($B227-AS$139)^2+($C227-AS$140)^2+($D227-AS$141)^2)</f>
        <v>0.380574810913759</v>
      </c>
      <c r="AT227" s="63" t="n">
        <f aca="false">MATCH(MIN(AP227:AS227),AP227:AS227,0)</f>
        <v>4</v>
      </c>
      <c r="AV227" s="17" t="n">
        <f aca="false">SQRT(($B227-AV$139)^2+($C227-AV$140)^2+($D227-AV$141)^2)</f>
        <v>5.41343315161851</v>
      </c>
      <c r="AW227" s="17" t="n">
        <f aca="false">SQRT(($B227-AW$139)^2+($C227-AW$140)^2+($D227-AW$141)^2)</f>
        <v>1.05170322616389</v>
      </c>
      <c r="AX227" s="17" t="n">
        <f aca="false">SQRT(($B227-AX$139)^2+($C227-AX$140)^2+($D227-AX$141)^2)</f>
        <v>2.11843696939719</v>
      </c>
      <c r="AY227" s="17" t="n">
        <f aca="false">SQRT(($B227-AY$139)^2+($C227-AY$140)^2+($D227-AY$141)^2)</f>
        <v>0.380574810913759</v>
      </c>
      <c r="AZ227" s="63" t="n">
        <f aca="false">MATCH(MIN(AV227:AY227),AV227:AY227,0)</f>
        <v>4</v>
      </c>
      <c r="BB227" s="17" t="n">
        <f aca="false">SQRT(($B227-BB$139)^2+($C227-BB$140)^2+($D227-BB$141)^2)</f>
        <v>5.41343315161851</v>
      </c>
      <c r="BC227" s="17" t="n">
        <f aca="false">SQRT(($B227-BC$139)^2+($C227-BC$140)^2+($D227-BC$141)^2)</f>
        <v>1.05170322616389</v>
      </c>
      <c r="BD227" s="17" t="n">
        <f aca="false">SQRT(($B227-BD$139)^2+($C227-BD$140)^2+($D227-BD$141)^2)</f>
        <v>2.11843696939719</v>
      </c>
      <c r="BE227" s="17" t="n">
        <f aca="false">SQRT(($B227-BE$139)^2+($C227-BE$140)^2+($D227-BE$141)^2)</f>
        <v>0.380574810913759</v>
      </c>
      <c r="BF227" s="63" t="n">
        <f aca="false">MATCH(MIN(BB227:BE227),BB227:BE227,0)</f>
        <v>4</v>
      </c>
      <c r="BH227" s="17" t="n">
        <f aca="false">SQRT(($B227-BH$139)^2+($C227-BH$140)^2+($D227-BH$141)^2)</f>
        <v>5.41343315161851</v>
      </c>
      <c r="BI227" s="17" t="n">
        <f aca="false">SQRT(($B227-BI$139)^2+($C227-BI$140)^2+($D227-BI$141)^2)</f>
        <v>1.05170322616389</v>
      </c>
      <c r="BJ227" s="17" t="n">
        <f aca="false">SQRT(($B227-BJ$139)^2+($C227-BJ$140)^2+($D227-BJ$141)^2)</f>
        <v>2.11843696939719</v>
      </c>
      <c r="BK227" s="17" t="n">
        <f aca="false">SQRT(($B227-BK$139)^2+($C227-BK$140)^2+($D227-BK$141)^2)</f>
        <v>0.380574810913759</v>
      </c>
      <c r="BL227" s="63" t="n">
        <f aca="false">MATCH(MIN(BH227:BK227),BH227:BK227,0)</f>
        <v>4</v>
      </c>
      <c r="BN227" s="17" t="n">
        <f aca="false">SQRT(($B227-BN$139)^2+($C227-BN$140)^2+($D227-BN$141)^2)</f>
        <v>5.41343315161851</v>
      </c>
      <c r="BO227" s="17" t="n">
        <f aca="false">SQRT(($B227-BO$139)^2+($C227-BO$140)^2+($D227-BO$141)^2)</f>
        <v>1.05170322616389</v>
      </c>
      <c r="BP227" s="17" t="n">
        <f aca="false">SQRT(($B227-BP$139)^2+($C227-BP$140)^2+($D227-BP$141)^2)</f>
        <v>2.11843696939719</v>
      </c>
      <c r="BQ227" s="17" t="n">
        <f aca="false">SQRT(($B227-BQ$139)^2+($C227-BQ$140)^2+($D227-BQ$141)^2)</f>
        <v>0.380574810913759</v>
      </c>
      <c r="BR227" s="63" t="n">
        <f aca="false">MATCH(MIN(BN227:BQ227),BN227:BQ227,0)</f>
        <v>4</v>
      </c>
      <c r="BT227" s="17" t="n">
        <f aca="false">SQRT(($B227-BT$139)^2+($C227-BT$140)^2+($D227-BT$141)^2)</f>
        <v>5.41343315161851</v>
      </c>
      <c r="BU227" s="17" t="n">
        <f aca="false">SQRT(($B227-BU$139)^2+($C227-BU$140)^2+($D227-BU$141)^2)</f>
        <v>1.05170322616389</v>
      </c>
      <c r="BV227" s="17" t="n">
        <f aca="false">SQRT(($B227-BV$139)^2+($C227-BV$140)^2+($D227-BV$141)^2)</f>
        <v>2.11843696939719</v>
      </c>
      <c r="BW227" s="17" t="n">
        <f aca="false">SQRT(($B227-BW$139)^2+($C227-BW$140)^2+($D227-BW$141)^2)</f>
        <v>0.380574810913759</v>
      </c>
      <c r="BX227" s="63" t="n">
        <f aca="false">MATCH(MIN(BT227:BW227),BT227:BW227,0)</f>
        <v>4</v>
      </c>
      <c r="BZ227" s="17" t="n">
        <f aca="false">SQRT(($B227-BZ$139)^2+($C227-BZ$140)^2+($D227-BZ$141)^2)</f>
        <v>5.41343315161851</v>
      </c>
      <c r="CA227" s="17" t="n">
        <f aca="false">SQRT(($B227-CA$139)^2+($C227-CA$140)^2+($D227-CA$141)^2)</f>
        <v>1.05170322616389</v>
      </c>
      <c r="CB227" s="17" t="n">
        <f aca="false">SQRT(($B227-CB$139)^2+($C227-CB$140)^2+($D227-CB$141)^2)</f>
        <v>2.11843696939719</v>
      </c>
      <c r="CC227" s="17" t="n">
        <f aca="false">SQRT(($B227-CC$139)^2+($C227-CC$140)^2+($D227-CC$141)^2)</f>
        <v>0.380574810913759</v>
      </c>
      <c r="CD227" s="63" t="n">
        <f aca="false">MATCH(MIN(BZ227:CC227),BZ227:CC227,0)</f>
        <v>4</v>
      </c>
      <c r="CF227" s="17" t="n">
        <f aca="false">SQRT(($B227-CF$139)^2+($C227-CF$140)^2+($D227-CF$141)^2)</f>
        <v>5.41343315161851</v>
      </c>
      <c r="CG227" s="17" t="n">
        <f aca="false">SQRT(($B227-CG$139)^2+($C227-CG$140)^2+($D227-CG$141)^2)</f>
        <v>1.05170322616389</v>
      </c>
      <c r="CH227" s="17" t="n">
        <f aca="false">SQRT(($B227-CH$139)^2+($C227-CH$140)^2+($D227-CH$141)^2)</f>
        <v>2.11843696939719</v>
      </c>
      <c r="CI227" s="17" t="n">
        <f aca="false">SQRT(($B227-CI$139)^2+($C227-CI$140)^2+($D227-CI$141)^2)</f>
        <v>0.380574810913759</v>
      </c>
      <c r="CJ227" s="63" t="n">
        <f aca="false">MATCH(MIN(CF227:CI227),CF227:CI227,0)</f>
        <v>4</v>
      </c>
      <c r="CL227" s="17" t="n">
        <f aca="false">SQRT(($B227-CL$139)^2+($C227-CL$140)^2+($D227-CL$141)^2)</f>
        <v>5.41343315161851</v>
      </c>
      <c r="CM227" s="17" t="n">
        <f aca="false">SQRT(($B227-CM$139)^2+($C227-CM$140)^2+($D227-CM$141)^2)</f>
        <v>1.05170322616389</v>
      </c>
      <c r="CN227" s="17" t="n">
        <f aca="false">SQRT(($B227-CN$139)^2+($C227-CN$140)^2+($D227-CN$141)^2)</f>
        <v>2.11843696939719</v>
      </c>
      <c r="CO227" s="17" t="n">
        <f aca="false">SQRT(($B227-CO$139)^2+($C227-CO$140)^2+($D227-CO$141)^2)</f>
        <v>0.380574810913759</v>
      </c>
      <c r="CP227" s="63" t="n">
        <f aca="false">MATCH(MIN(CL227:CO227),CL227:CO227,0)</f>
        <v>4</v>
      </c>
    </row>
    <row r="228" customFormat="false" ht="15" hidden="false" customHeight="false" outlineLevel="0" collapsed="false">
      <c r="A228" s="36" t="str">
        <f aca="false">KMeans_Data!A87</f>
        <v>Ghizer</v>
      </c>
      <c r="B228" s="17" t="n">
        <f aca="false">KMeans_Data!H87</f>
        <v>-0.520549152721336</v>
      </c>
      <c r="C228" s="17" t="n">
        <f aca="false">KMeans_Data!I87</f>
        <v>-0.672650545388274</v>
      </c>
      <c r="D228" s="17" t="n">
        <f aca="false">KMeans_Data!J87</f>
        <v>-0.503247915463979</v>
      </c>
      <c r="E228" s="63" t="n">
        <f aca="false">CP228</f>
        <v>4</v>
      </c>
      <c r="F228" s="38" t="n">
        <f aca="false">($B228-INDEX($L$139:$O$139,E228))^2+($C228-INDEX($L$140:$O$140,E228))^2+($D228-INDEX($L$141:$O$141,E228))^2</f>
        <v>0.197068785272722</v>
      </c>
      <c r="G228" s="17" t="n">
        <f aca="false">IF(COUNTIF(Distance_Matrix!$E$10:$DQ$10,$E228)&lt;=1,0,SUMIF(Distance_Matrix!$E$10:$DQ$10,$E228,Distance_Matrix!$E$96:$DQ$96)/(COUNTIF(Distance_Matrix!$E$10:$DQ$10,$E228)-1))</f>
        <v>0.82361434069693</v>
      </c>
      <c r="H228" s="17" t="n">
        <f aca="false">MIN(IF(1=$E228,1E+099,IF(COUNTIF(Distance_Matrix!$E$10:$DQ$10,1)=0,1E+099,SUMIF(Distance_Matrix!$E$10:$DQ$10,1,Distance_Matrix!$E$96:$DQ$96)/COUNTIF(Distance_Matrix!$E$10:$DQ$10,1))),IF(2=$E228,1E+099,IF(COUNTIF(Distance_Matrix!$E$10:$DQ$10,2)=0,1E+099,SUMIF(Distance_Matrix!$E$10:$DQ$10,2,Distance_Matrix!$E$96:$DQ$96)/COUNTIF(Distance_Matrix!$E$10:$DQ$10,2))),IF(3=$E228,1E+099,IF(COUNTIF(Distance_Matrix!$E$10:$DQ$10,3)=0,1E+099,SUMIF(Distance_Matrix!$E$10:$DQ$10,3,Distance_Matrix!$E$96:$DQ$96)/COUNTIF(Distance_Matrix!$E$10:$DQ$10,3))),IF(4=$E228,1E+099,IF(COUNTIF(Distance_Matrix!$E$10:$DQ$10,4)=0,1E+099,SUMIF(Distance_Matrix!$E$10:$DQ$10,4,Distance_Matrix!$E$96:$DQ$96)/COUNTIF(Distance_Matrix!$E$10:$DQ$10,4))))</f>
        <v>0.996745126919384</v>
      </c>
      <c r="I228" s="17" t="n">
        <f aca="false">IF(COUNTIF(Distance_Matrix!$E$10:$DQ$10,$E228)&lt;=1,0,(H228-G228)/MAX(G228,H228))</f>
        <v>0.173696145129442</v>
      </c>
      <c r="X228" s="17" t="n">
        <f aca="false">SQRT(($B228-X$139)^2+($C228-X$140)^2+($D228-X$141)^2)</f>
        <v>7.12084562266141</v>
      </c>
      <c r="Y228" s="17" t="n">
        <f aca="false">SQRT(($B228-Y$139)^2+($C228-Y$140)^2+($D228-Y$141)^2)</f>
        <v>1.68634002609964</v>
      </c>
      <c r="Z228" s="17" t="n">
        <f aca="false">SQRT(($B228-Z$139)^2+($C228-Z$140)^2+($D228-Z$141)^2)</f>
        <v>2.72536569763079</v>
      </c>
      <c r="AA228" s="17" t="n">
        <f aca="false">SQRT(($B228-AA$139)^2+($C228-AA$140)^2+($D228-AA$141)^2)</f>
        <v>1.43145847046038</v>
      </c>
      <c r="AB228" s="63" t="n">
        <f aca="false">MATCH(MIN(X228:AA228),X228:AA228,0)</f>
        <v>4</v>
      </c>
      <c r="AD228" s="17" t="n">
        <f aca="false">SQRT(($B228-AD$139)^2+($C228-AD$140)^2+($D228-AD$141)^2)</f>
        <v>6.12695616080184</v>
      </c>
      <c r="AE228" s="17" t="n">
        <f aca="false">SQRT(($B228-AE$139)^2+($C228-AE$140)^2+($D228-AE$141)^2)</f>
        <v>0.840247358259014</v>
      </c>
      <c r="AF228" s="17" t="n">
        <f aca="false">SQRT(($B228-AF$139)^2+($C228-AF$140)^2+($D228-AF$141)^2)</f>
        <v>2.17863236661842</v>
      </c>
      <c r="AG228" s="17" t="n">
        <f aca="false">SQRT(($B228-AG$139)^2+($C228-AG$140)^2+($D228-AG$141)^2)</f>
        <v>0.49378338027252</v>
      </c>
      <c r="AH228" s="63" t="n">
        <f aca="false">MATCH(MIN(AD228:AG228),AD228:AG228,0)</f>
        <v>4</v>
      </c>
      <c r="AJ228" s="17" t="n">
        <f aca="false">SQRT(($B228-AJ$139)^2+($C228-AJ$140)^2+($D228-AJ$141)^2)</f>
        <v>5.78345980657757</v>
      </c>
      <c r="AK228" s="17" t="n">
        <f aca="false">SQRT(($B228-AK$139)^2+($C228-AK$140)^2+($D228-AK$141)^2)</f>
        <v>0.859983946132745</v>
      </c>
      <c r="AL228" s="17" t="n">
        <f aca="false">SQRT(($B228-AL$139)^2+($C228-AL$140)^2+($D228-AL$141)^2)</f>
        <v>2.25355220849746</v>
      </c>
      <c r="AM228" s="17" t="n">
        <f aca="false">SQRT(($B228-AM$139)^2+($C228-AM$140)^2+($D228-AM$141)^2)</f>
        <v>0.487702217789249</v>
      </c>
      <c r="AN228" s="63" t="n">
        <f aca="false">MATCH(MIN(AJ228:AM228),AJ228:AM228,0)</f>
        <v>4</v>
      </c>
      <c r="AP228" s="17" t="n">
        <f aca="false">SQRT(($B228-AP$139)^2+($C228-AP$140)^2+($D228-AP$141)^2)</f>
        <v>5.49046543488223</v>
      </c>
      <c r="AQ228" s="17" t="n">
        <f aca="false">SQRT(($B228-AQ$139)^2+($C228-AQ$140)^2+($D228-AQ$141)^2)</f>
        <v>0.948561626556996</v>
      </c>
      <c r="AR228" s="17" t="n">
        <f aca="false">SQRT(($B228-AR$139)^2+($C228-AR$140)^2+($D228-AR$141)^2)</f>
        <v>2.20739936489176</v>
      </c>
      <c r="AS228" s="17" t="n">
        <f aca="false">SQRT(($B228-AS$139)^2+($C228-AS$140)^2+($D228-AS$141)^2)</f>
        <v>0.443924301286517</v>
      </c>
      <c r="AT228" s="63" t="n">
        <f aca="false">MATCH(MIN(AP228:AS228),AP228:AS228,0)</f>
        <v>4</v>
      </c>
      <c r="AV228" s="17" t="n">
        <f aca="false">SQRT(($B228-AV$139)^2+($C228-AV$140)^2+($D228-AV$141)^2)</f>
        <v>5.49046543488223</v>
      </c>
      <c r="AW228" s="17" t="n">
        <f aca="false">SQRT(($B228-AW$139)^2+($C228-AW$140)^2+($D228-AW$141)^2)</f>
        <v>0.948561626556996</v>
      </c>
      <c r="AX228" s="17" t="n">
        <f aca="false">SQRT(($B228-AX$139)^2+($C228-AX$140)^2+($D228-AX$141)^2)</f>
        <v>2.20739936489176</v>
      </c>
      <c r="AY228" s="17" t="n">
        <f aca="false">SQRT(($B228-AY$139)^2+($C228-AY$140)^2+($D228-AY$141)^2)</f>
        <v>0.443924301286517</v>
      </c>
      <c r="AZ228" s="63" t="n">
        <f aca="false">MATCH(MIN(AV228:AY228),AV228:AY228,0)</f>
        <v>4</v>
      </c>
      <c r="BB228" s="17" t="n">
        <f aca="false">SQRT(($B228-BB$139)^2+($C228-BB$140)^2+($D228-BB$141)^2)</f>
        <v>5.49046543488223</v>
      </c>
      <c r="BC228" s="17" t="n">
        <f aca="false">SQRT(($B228-BC$139)^2+($C228-BC$140)^2+($D228-BC$141)^2)</f>
        <v>0.948561626556996</v>
      </c>
      <c r="BD228" s="17" t="n">
        <f aca="false">SQRT(($B228-BD$139)^2+($C228-BD$140)^2+($D228-BD$141)^2)</f>
        <v>2.20739936489176</v>
      </c>
      <c r="BE228" s="17" t="n">
        <f aca="false">SQRT(($B228-BE$139)^2+($C228-BE$140)^2+($D228-BE$141)^2)</f>
        <v>0.443924301286517</v>
      </c>
      <c r="BF228" s="63" t="n">
        <f aca="false">MATCH(MIN(BB228:BE228),BB228:BE228,0)</f>
        <v>4</v>
      </c>
      <c r="BH228" s="17" t="n">
        <f aca="false">SQRT(($B228-BH$139)^2+($C228-BH$140)^2+($D228-BH$141)^2)</f>
        <v>5.49046543488223</v>
      </c>
      <c r="BI228" s="17" t="n">
        <f aca="false">SQRT(($B228-BI$139)^2+($C228-BI$140)^2+($D228-BI$141)^2)</f>
        <v>0.948561626556996</v>
      </c>
      <c r="BJ228" s="17" t="n">
        <f aca="false">SQRT(($B228-BJ$139)^2+($C228-BJ$140)^2+($D228-BJ$141)^2)</f>
        <v>2.20739936489176</v>
      </c>
      <c r="BK228" s="17" t="n">
        <f aca="false">SQRT(($B228-BK$139)^2+($C228-BK$140)^2+($D228-BK$141)^2)</f>
        <v>0.443924301286517</v>
      </c>
      <c r="BL228" s="63" t="n">
        <f aca="false">MATCH(MIN(BH228:BK228),BH228:BK228,0)</f>
        <v>4</v>
      </c>
      <c r="BN228" s="17" t="n">
        <f aca="false">SQRT(($B228-BN$139)^2+($C228-BN$140)^2+($D228-BN$141)^2)</f>
        <v>5.49046543488223</v>
      </c>
      <c r="BO228" s="17" t="n">
        <f aca="false">SQRT(($B228-BO$139)^2+($C228-BO$140)^2+($D228-BO$141)^2)</f>
        <v>0.948561626556996</v>
      </c>
      <c r="BP228" s="17" t="n">
        <f aca="false">SQRT(($B228-BP$139)^2+($C228-BP$140)^2+($D228-BP$141)^2)</f>
        <v>2.20739936489176</v>
      </c>
      <c r="BQ228" s="17" t="n">
        <f aca="false">SQRT(($B228-BQ$139)^2+($C228-BQ$140)^2+($D228-BQ$141)^2)</f>
        <v>0.443924301286517</v>
      </c>
      <c r="BR228" s="63" t="n">
        <f aca="false">MATCH(MIN(BN228:BQ228),BN228:BQ228,0)</f>
        <v>4</v>
      </c>
      <c r="BT228" s="17" t="n">
        <f aca="false">SQRT(($B228-BT$139)^2+($C228-BT$140)^2+($D228-BT$141)^2)</f>
        <v>5.49046543488223</v>
      </c>
      <c r="BU228" s="17" t="n">
        <f aca="false">SQRT(($B228-BU$139)^2+($C228-BU$140)^2+($D228-BU$141)^2)</f>
        <v>0.948561626556996</v>
      </c>
      <c r="BV228" s="17" t="n">
        <f aca="false">SQRT(($B228-BV$139)^2+($C228-BV$140)^2+($D228-BV$141)^2)</f>
        <v>2.20739936489176</v>
      </c>
      <c r="BW228" s="17" t="n">
        <f aca="false">SQRT(($B228-BW$139)^2+($C228-BW$140)^2+($D228-BW$141)^2)</f>
        <v>0.443924301286517</v>
      </c>
      <c r="BX228" s="63" t="n">
        <f aca="false">MATCH(MIN(BT228:BW228),BT228:BW228,0)</f>
        <v>4</v>
      </c>
      <c r="BZ228" s="17" t="n">
        <f aca="false">SQRT(($B228-BZ$139)^2+($C228-BZ$140)^2+($D228-BZ$141)^2)</f>
        <v>5.49046543488223</v>
      </c>
      <c r="CA228" s="17" t="n">
        <f aca="false">SQRT(($B228-CA$139)^2+($C228-CA$140)^2+($D228-CA$141)^2)</f>
        <v>0.948561626556996</v>
      </c>
      <c r="CB228" s="17" t="n">
        <f aca="false">SQRT(($B228-CB$139)^2+($C228-CB$140)^2+($D228-CB$141)^2)</f>
        <v>2.20739936489176</v>
      </c>
      <c r="CC228" s="17" t="n">
        <f aca="false">SQRT(($B228-CC$139)^2+($C228-CC$140)^2+($D228-CC$141)^2)</f>
        <v>0.443924301286517</v>
      </c>
      <c r="CD228" s="63" t="n">
        <f aca="false">MATCH(MIN(BZ228:CC228),BZ228:CC228,0)</f>
        <v>4</v>
      </c>
      <c r="CF228" s="17" t="n">
        <f aca="false">SQRT(($B228-CF$139)^2+($C228-CF$140)^2+($D228-CF$141)^2)</f>
        <v>5.49046543488223</v>
      </c>
      <c r="CG228" s="17" t="n">
        <f aca="false">SQRT(($B228-CG$139)^2+($C228-CG$140)^2+($D228-CG$141)^2)</f>
        <v>0.948561626556996</v>
      </c>
      <c r="CH228" s="17" t="n">
        <f aca="false">SQRT(($B228-CH$139)^2+($C228-CH$140)^2+($D228-CH$141)^2)</f>
        <v>2.20739936489176</v>
      </c>
      <c r="CI228" s="17" t="n">
        <f aca="false">SQRT(($B228-CI$139)^2+($C228-CI$140)^2+($D228-CI$141)^2)</f>
        <v>0.443924301286517</v>
      </c>
      <c r="CJ228" s="63" t="n">
        <f aca="false">MATCH(MIN(CF228:CI228),CF228:CI228,0)</f>
        <v>4</v>
      </c>
      <c r="CL228" s="17" t="n">
        <f aca="false">SQRT(($B228-CL$139)^2+($C228-CL$140)^2+($D228-CL$141)^2)</f>
        <v>5.49046543488223</v>
      </c>
      <c r="CM228" s="17" t="n">
        <f aca="false">SQRT(($B228-CM$139)^2+($C228-CM$140)^2+($D228-CM$141)^2)</f>
        <v>0.948561626556996</v>
      </c>
      <c r="CN228" s="17" t="n">
        <f aca="false">SQRT(($B228-CN$139)^2+($C228-CN$140)^2+($D228-CN$141)^2)</f>
        <v>2.20739936489176</v>
      </c>
      <c r="CO228" s="17" t="n">
        <f aca="false">SQRT(($B228-CO$139)^2+($C228-CO$140)^2+($D228-CO$141)^2)</f>
        <v>0.443924301286517</v>
      </c>
      <c r="CP228" s="63" t="n">
        <f aca="false">MATCH(MIN(CL228:CO228),CL228:CO228,0)</f>
        <v>4</v>
      </c>
    </row>
    <row r="229" customFormat="false" ht="15" hidden="false" customHeight="false" outlineLevel="0" collapsed="false">
      <c r="A229" s="36" t="str">
        <f aca="false">KMeans_Data!A88</f>
        <v>Mianwali</v>
      </c>
      <c r="B229" s="17" t="n">
        <f aca="false">KMeans_Data!H88</f>
        <v>-0.547245774552967</v>
      </c>
      <c r="C229" s="17" t="n">
        <f aca="false">KMeans_Data!I88</f>
        <v>-0.672650545388274</v>
      </c>
      <c r="D229" s="17" t="n">
        <f aca="false">KMeans_Data!J88</f>
        <v>-0.824446015898766</v>
      </c>
      <c r="E229" s="63" t="n">
        <f aca="false">CP229</f>
        <v>4</v>
      </c>
      <c r="F229" s="38" t="n">
        <f aca="false">($B229-INDEX($L$139:$O$139,E229))^2+($C229-INDEX($L$140:$O$140,E229))^2+($D229-INDEX($L$141:$O$141,E229))^2</f>
        <v>0.404209584555891</v>
      </c>
      <c r="G229" s="17" t="n">
        <f aca="false">IF(COUNTIF(Distance_Matrix!$E$10:$DQ$10,$E229)&lt;=1,0,SUMIF(Distance_Matrix!$E$10:$DQ$10,$E229,Distance_Matrix!$E$97:$DQ$97)/(COUNTIF(Distance_Matrix!$E$10:$DQ$10,$E229)-1))</f>
        <v>0.933113994449474</v>
      </c>
      <c r="H229" s="17" t="n">
        <f aca="false">MIN(IF(1=$E229,1E+099,IF(COUNTIF(Distance_Matrix!$E$10:$DQ$10,1)=0,1E+099,SUMIF(Distance_Matrix!$E$10:$DQ$10,1,Distance_Matrix!$E$97:$DQ$97)/COUNTIF(Distance_Matrix!$E$10:$DQ$10,1))),IF(2=$E229,1E+099,IF(COUNTIF(Distance_Matrix!$E$10:$DQ$10,2)=0,1E+099,SUMIF(Distance_Matrix!$E$10:$DQ$10,2,Distance_Matrix!$E$97:$DQ$97)/COUNTIF(Distance_Matrix!$E$10:$DQ$10,2))),IF(3=$E229,1E+099,IF(COUNTIF(Distance_Matrix!$E$10:$DQ$10,3)=0,1E+099,SUMIF(Distance_Matrix!$E$10:$DQ$10,3,Distance_Matrix!$E$97:$DQ$97)/COUNTIF(Distance_Matrix!$E$10:$DQ$10,3))),IF(4=$E229,1E+099,IF(COUNTIF(Distance_Matrix!$E$10:$DQ$10,4)=0,1E+099,SUMIF(Distance_Matrix!$E$10:$DQ$10,4,Distance_Matrix!$E$97:$DQ$97)/COUNTIF(Distance_Matrix!$E$10:$DQ$10,4))))</f>
        <v>0.821071015667841</v>
      </c>
      <c r="I229" s="17" t="n">
        <f aca="false">IF(COUNTIF(Distance_Matrix!$E$10:$DQ$10,$E229)&lt;=1,0,(H229-G229)/MAX(G229,H229))</f>
        <v>-0.1200742668614</v>
      </c>
      <c r="X229" s="17" t="n">
        <f aca="false">SQRT(($B229-X$139)^2+($C229-X$140)^2+($D229-X$141)^2)</f>
        <v>7.30929257984732</v>
      </c>
      <c r="Y229" s="17" t="n">
        <f aca="false">SQRT(($B229-Y$139)^2+($C229-Y$140)^2+($D229-Y$141)^2)</f>
        <v>1.56579072196957</v>
      </c>
      <c r="Z229" s="17" t="n">
        <f aca="false">SQRT(($B229-Z$139)^2+($C229-Z$140)^2+($D229-Z$141)^2)</f>
        <v>2.98036014715079</v>
      </c>
      <c r="AA229" s="17" t="n">
        <f aca="false">SQRT(($B229-AA$139)^2+($C229-AA$140)^2+($D229-AA$141)^2)</f>
        <v>1.3425907007716</v>
      </c>
      <c r="AB229" s="63" t="n">
        <f aca="false">MATCH(MIN(X229:AA229),X229:AA229,0)</f>
        <v>4</v>
      </c>
      <c r="AD229" s="17" t="n">
        <f aca="false">SQRT(($B229-AD$139)^2+($C229-AD$140)^2+($D229-AD$141)^2)</f>
        <v>6.30410560506253</v>
      </c>
      <c r="AE229" s="17" t="n">
        <f aca="false">SQRT(($B229-AE$139)^2+($C229-AE$140)^2+($D229-AE$141)^2)</f>
        <v>0.702803530184403</v>
      </c>
      <c r="AF229" s="17" t="n">
        <f aca="false">SQRT(($B229-AF$139)^2+($C229-AF$140)^2+($D229-AF$141)^2)</f>
        <v>2.40810355380592</v>
      </c>
      <c r="AG229" s="17" t="n">
        <f aca="false">SQRT(($B229-AG$139)^2+($C229-AG$140)^2+($D229-AG$141)^2)</f>
        <v>0.604387473378301</v>
      </c>
      <c r="AH229" s="63" t="n">
        <f aca="false">MATCH(MIN(AD229:AG229),AD229:AG229,0)</f>
        <v>4</v>
      </c>
      <c r="AJ229" s="17" t="n">
        <f aca="false">SQRT(($B229-AJ$139)^2+($C229-AJ$140)^2+($D229-AJ$141)^2)</f>
        <v>5.96173427719756</v>
      </c>
      <c r="AK229" s="17" t="n">
        <f aca="false">SQRT(($B229-AK$139)^2+($C229-AK$140)^2+($D229-AK$141)^2)</f>
        <v>0.703980365266165</v>
      </c>
      <c r="AL229" s="17" t="n">
        <f aca="false">SQRT(($B229-AL$139)^2+($C229-AL$140)^2+($D229-AL$141)^2)</f>
        <v>2.47711822118589</v>
      </c>
      <c r="AM229" s="17" t="n">
        <f aca="false">SQRT(($B229-AM$139)^2+($C229-AM$140)^2+($D229-AM$141)^2)</f>
        <v>0.665031156386449</v>
      </c>
      <c r="AN229" s="63" t="n">
        <f aca="false">MATCH(MIN(AJ229:AM229),AJ229:AM229,0)</f>
        <v>4</v>
      </c>
      <c r="AP229" s="17" t="n">
        <f aca="false">SQRT(($B229-AP$139)^2+($C229-AP$140)^2+($D229-AP$141)^2)</f>
        <v>5.66866502337649</v>
      </c>
      <c r="AQ229" s="17" t="n">
        <f aca="false">SQRT(($B229-AQ$139)^2+($C229-AQ$140)^2+($D229-AQ$141)^2)</f>
        <v>0.77241890813494</v>
      </c>
      <c r="AR229" s="17" t="n">
        <f aca="false">SQRT(($B229-AR$139)^2+($C229-AR$140)^2+($D229-AR$141)^2)</f>
        <v>2.43296126813277</v>
      </c>
      <c r="AS229" s="17" t="n">
        <f aca="false">SQRT(($B229-AS$139)^2+($C229-AS$140)^2+($D229-AS$141)^2)</f>
        <v>0.635774790752111</v>
      </c>
      <c r="AT229" s="63" t="n">
        <f aca="false">MATCH(MIN(AP229:AS229),AP229:AS229,0)</f>
        <v>4</v>
      </c>
      <c r="AV229" s="17" t="n">
        <f aca="false">SQRT(($B229-AV$139)^2+($C229-AV$140)^2+($D229-AV$141)^2)</f>
        <v>5.66866502337649</v>
      </c>
      <c r="AW229" s="17" t="n">
        <f aca="false">SQRT(($B229-AW$139)^2+($C229-AW$140)^2+($D229-AW$141)^2)</f>
        <v>0.77241890813494</v>
      </c>
      <c r="AX229" s="17" t="n">
        <f aca="false">SQRT(($B229-AX$139)^2+($C229-AX$140)^2+($D229-AX$141)^2)</f>
        <v>2.43296126813277</v>
      </c>
      <c r="AY229" s="17" t="n">
        <f aca="false">SQRT(($B229-AY$139)^2+($C229-AY$140)^2+($D229-AY$141)^2)</f>
        <v>0.635774790752111</v>
      </c>
      <c r="AZ229" s="63" t="n">
        <f aca="false">MATCH(MIN(AV229:AY229),AV229:AY229,0)</f>
        <v>4</v>
      </c>
      <c r="BB229" s="17" t="n">
        <f aca="false">SQRT(($B229-BB$139)^2+($C229-BB$140)^2+($D229-BB$141)^2)</f>
        <v>5.66866502337649</v>
      </c>
      <c r="BC229" s="17" t="n">
        <f aca="false">SQRT(($B229-BC$139)^2+($C229-BC$140)^2+($D229-BC$141)^2)</f>
        <v>0.77241890813494</v>
      </c>
      <c r="BD229" s="17" t="n">
        <f aca="false">SQRT(($B229-BD$139)^2+($C229-BD$140)^2+($D229-BD$141)^2)</f>
        <v>2.43296126813277</v>
      </c>
      <c r="BE229" s="17" t="n">
        <f aca="false">SQRT(($B229-BE$139)^2+($C229-BE$140)^2+($D229-BE$141)^2)</f>
        <v>0.635774790752111</v>
      </c>
      <c r="BF229" s="63" t="n">
        <f aca="false">MATCH(MIN(BB229:BE229),BB229:BE229,0)</f>
        <v>4</v>
      </c>
      <c r="BH229" s="17" t="n">
        <f aca="false">SQRT(($B229-BH$139)^2+($C229-BH$140)^2+($D229-BH$141)^2)</f>
        <v>5.66866502337649</v>
      </c>
      <c r="BI229" s="17" t="n">
        <f aca="false">SQRT(($B229-BI$139)^2+($C229-BI$140)^2+($D229-BI$141)^2)</f>
        <v>0.77241890813494</v>
      </c>
      <c r="BJ229" s="17" t="n">
        <f aca="false">SQRT(($B229-BJ$139)^2+($C229-BJ$140)^2+($D229-BJ$141)^2)</f>
        <v>2.43296126813277</v>
      </c>
      <c r="BK229" s="17" t="n">
        <f aca="false">SQRT(($B229-BK$139)^2+($C229-BK$140)^2+($D229-BK$141)^2)</f>
        <v>0.635774790752111</v>
      </c>
      <c r="BL229" s="63" t="n">
        <f aca="false">MATCH(MIN(BH229:BK229),BH229:BK229,0)</f>
        <v>4</v>
      </c>
      <c r="BN229" s="17" t="n">
        <f aca="false">SQRT(($B229-BN$139)^2+($C229-BN$140)^2+($D229-BN$141)^2)</f>
        <v>5.66866502337649</v>
      </c>
      <c r="BO229" s="17" t="n">
        <f aca="false">SQRT(($B229-BO$139)^2+($C229-BO$140)^2+($D229-BO$141)^2)</f>
        <v>0.77241890813494</v>
      </c>
      <c r="BP229" s="17" t="n">
        <f aca="false">SQRT(($B229-BP$139)^2+($C229-BP$140)^2+($D229-BP$141)^2)</f>
        <v>2.43296126813277</v>
      </c>
      <c r="BQ229" s="17" t="n">
        <f aca="false">SQRT(($B229-BQ$139)^2+($C229-BQ$140)^2+($D229-BQ$141)^2)</f>
        <v>0.635774790752111</v>
      </c>
      <c r="BR229" s="63" t="n">
        <f aca="false">MATCH(MIN(BN229:BQ229),BN229:BQ229,0)</f>
        <v>4</v>
      </c>
      <c r="BT229" s="17" t="n">
        <f aca="false">SQRT(($B229-BT$139)^2+($C229-BT$140)^2+($D229-BT$141)^2)</f>
        <v>5.66866502337649</v>
      </c>
      <c r="BU229" s="17" t="n">
        <f aca="false">SQRT(($B229-BU$139)^2+($C229-BU$140)^2+($D229-BU$141)^2)</f>
        <v>0.77241890813494</v>
      </c>
      <c r="BV229" s="17" t="n">
        <f aca="false">SQRT(($B229-BV$139)^2+($C229-BV$140)^2+($D229-BV$141)^2)</f>
        <v>2.43296126813277</v>
      </c>
      <c r="BW229" s="17" t="n">
        <f aca="false">SQRT(($B229-BW$139)^2+($C229-BW$140)^2+($D229-BW$141)^2)</f>
        <v>0.635774790752111</v>
      </c>
      <c r="BX229" s="63" t="n">
        <f aca="false">MATCH(MIN(BT229:BW229),BT229:BW229,0)</f>
        <v>4</v>
      </c>
      <c r="BZ229" s="17" t="n">
        <f aca="false">SQRT(($B229-BZ$139)^2+($C229-BZ$140)^2+($D229-BZ$141)^2)</f>
        <v>5.66866502337649</v>
      </c>
      <c r="CA229" s="17" t="n">
        <f aca="false">SQRT(($B229-CA$139)^2+($C229-CA$140)^2+($D229-CA$141)^2)</f>
        <v>0.77241890813494</v>
      </c>
      <c r="CB229" s="17" t="n">
        <f aca="false">SQRT(($B229-CB$139)^2+($C229-CB$140)^2+($D229-CB$141)^2)</f>
        <v>2.43296126813277</v>
      </c>
      <c r="CC229" s="17" t="n">
        <f aca="false">SQRT(($B229-CC$139)^2+($C229-CC$140)^2+($D229-CC$141)^2)</f>
        <v>0.635774790752111</v>
      </c>
      <c r="CD229" s="63" t="n">
        <f aca="false">MATCH(MIN(BZ229:CC229),BZ229:CC229,0)</f>
        <v>4</v>
      </c>
      <c r="CF229" s="17" t="n">
        <f aca="false">SQRT(($B229-CF$139)^2+($C229-CF$140)^2+($D229-CF$141)^2)</f>
        <v>5.66866502337649</v>
      </c>
      <c r="CG229" s="17" t="n">
        <f aca="false">SQRT(($B229-CG$139)^2+($C229-CG$140)^2+($D229-CG$141)^2)</f>
        <v>0.77241890813494</v>
      </c>
      <c r="CH229" s="17" t="n">
        <f aca="false">SQRT(($B229-CH$139)^2+($C229-CH$140)^2+($D229-CH$141)^2)</f>
        <v>2.43296126813277</v>
      </c>
      <c r="CI229" s="17" t="n">
        <f aca="false">SQRT(($B229-CI$139)^2+($C229-CI$140)^2+($D229-CI$141)^2)</f>
        <v>0.635774790752111</v>
      </c>
      <c r="CJ229" s="63" t="n">
        <f aca="false">MATCH(MIN(CF229:CI229),CF229:CI229,0)</f>
        <v>4</v>
      </c>
      <c r="CL229" s="17" t="n">
        <f aca="false">SQRT(($B229-CL$139)^2+($C229-CL$140)^2+($D229-CL$141)^2)</f>
        <v>5.66866502337649</v>
      </c>
      <c r="CM229" s="17" t="n">
        <f aca="false">SQRT(($B229-CM$139)^2+($C229-CM$140)^2+($D229-CM$141)^2)</f>
        <v>0.77241890813494</v>
      </c>
      <c r="CN229" s="17" t="n">
        <f aca="false">SQRT(($B229-CN$139)^2+($C229-CN$140)^2+($D229-CN$141)^2)</f>
        <v>2.43296126813277</v>
      </c>
      <c r="CO229" s="17" t="n">
        <f aca="false">SQRT(($B229-CO$139)^2+($C229-CO$140)^2+($D229-CO$141)^2)</f>
        <v>0.635774790752111</v>
      </c>
      <c r="CP229" s="63" t="n">
        <f aca="false">MATCH(MIN(CL229:CO229),CL229:CO229,0)</f>
        <v>4</v>
      </c>
    </row>
    <row r="230" customFormat="false" ht="15" hidden="false" customHeight="false" outlineLevel="0" collapsed="false">
      <c r="A230" s="36" t="str">
        <f aca="false">KMeans_Data!A89</f>
        <v>Kharmang</v>
      </c>
      <c r="B230" s="17" t="n">
        <f aca="false">KMeans_Data!H89</f>
        <v>-0.605135382814146</v>
      </c>
      <c r="C230" s="17" t="n">
        <f aca="false">KMeans_Data!I89</f>
        <v>-0.672650545388274</v>
      </c>
      <c r="D230" s="17" t="n">
        <f aca="false">KMeans_Data!J89</f>
        <v>-0.0344812518432112</v>
      </c>
      <c r="E230" s="63" t="n">
        <f aca="false">CP230</f>
        <v>4</v>
      </c>
      <c r="F230" s="38" t="n">
        <f aca="false">($B230-INDEX($L$139:$O$139,E230))^2+($C230-INDEX($L$140:$O$140,E230))^2+($D230-INDEX($L$141:$O$141,E230))^2</f>
        <v>0.370093838591206</v>
      </c>
      <c r="G230" s="17" t="n">
        <f aca="false">IF(COUNTIF(Distance_Matrix!$E$10:$DQ$10,$E230)&lt;=1,0,SUMIF(Distance_Matrix!$E$10:$DQ$10,$E230,Distance_Matrix!$E$98:$DQ$98)/(COUNTIF(Distance_Matrix!$E$10:$DQ$10,$E230)-1))</f>
        <v>0.892746825079589</v>
      </c>
      <c r="H230" s="17" t="n">
        <f aca="false">MIN(IF(1=$E230,1E+099,IF(COUNTIF(Distance_Matrix!$E$10:$DQ$10,1)=0,1E+099,SUMIF(Distance_Matrix!$E$10:$DQ$10,1,Distance_Matrix!$E$98:$DQ$98)/COUNTIF(Distance_Matrix!$E$10:$DQ$10,1))),IF(2=$E230,1E+099,IF(COUNTIF(Distance_Matrix!$E$10:$DQ$10,2)=0,1E+099,SUMIF(Distance_Matrix!$E$10:$DQ$10,2,Distance_Matrix!$E$98:$DQ$98)/COUNTIF(Distance_Matrix!$E$10:$DQ$10,2))),IF(3=$E230,1E+099,IF(COUNTIF(Distance_Matrix!$E$10:$DQ$10,3)=0,1E+099,SUMIF(Distance_Matrix!$E$10:$DQ$10,3,Distance_Matrix!$E$98:$DQ$98)/COUNTIF(Distance_Matrix!$E$10:$DQ$10,3))),IF(4=$E230,1E+099,IF(COUNTIF(Distance_Matrix!$E$10:$DQ$10,4)=0,1E+099,SUMIF(Distance_Matrix!$E$10:$DQ$10,4,Distance_Matrix!$E$98:$DQ$98)/COUNTIF(Distance_Matrix!$E$10:$DQ$10,4))))</f>
        <v>1.28793192851652</v>
      </c>
      <c r="I230" s="17" t="n">
        <f aca="false">IF(COUNTIF(Distance_Matrix!$E$10:$DQ$10,$E230)&lt;=1,0,(H230-G230)/MAX(G230,H230))</f>
        <v>0.306836948977666</v>
      </c>
      <c r="X230" s="17" t="n">
        <f aca="false">SQRT(($B230-X$139)^2+($C230-X$140)^2+($D230-X$141)^2)</f>
        <v>6.93209827157873</v>
      </c>
      <c r="Y230" s="17" t="n">
        <f aca="false">SQRT(($B230-Y$139)^2+($C230-Y$140)^2+($D230-Y$141)^2)</f>
        <v>1.84638450393411</v>
      </c>
      <c r="Z230" s="17" t="n">
        <f aca="false">SQRT(($B230-Z$139)^2+($C230-Z$140)^2+($D230-Z$141)^2)</f>
        <v>2.4632705018895</v>
      </c>
      <c r="AA230" s="17" t="n">
        <f aca="false">SQRT(($B230-AA$139)^2+($C230-AA$140)^2+($D230-AA$141)^2)</f>
        <v>1.75371916113307</v>
      </c>
      <c r="AB230" s="63" t="n">
        <f aca="false">MATCH(MIN(X230:AA230),X230:AA230,0)</f>
        <v>4</v>
      </c>
      <c r="AD230" s="17" t="n">
        <f aca="false">SQRT(($B230-AD$139)^2+($C230-AD$140)^2+($D230-AD$141)^2)</f>
        <v>5.96043704790862</v>
      </c>
      <c r="AE230" s="17" t="n">
        <f aca="false">SQRT(($B230-AE$139)^2+($C230-AE$140)^2+($D230-AE$141)^2)</f>
        <v>1.10273149817642</v>
      </c>
      <c r="AF230" s="17" t="n">
        <f aca="false">SQRT(($B230-AF$139)^2+($C230-AF$140)^2+($D230-AF$141)^2)</f>
        <v>1.96662902076014</v>
      </c>
      <c r="AG230" s="17" t="n">
        <f aca="false">SQRT(($B230-AG$139)^2+($C230-AG$140)^2+($D230-AG$141)^2)</f>
        <v>0.747196749135476</v>
      </c>
      <c r="AH230" s="63" t="n">
        <f aca="false">MATCH(MIN(AD230:AG230),AD230:AG230,0)</f>
        <v>4</v>
      </c>
      <c r="AJ230" s="17" t="n">
        <f aca="false">SQRT(($B230-AJ$139)^2+($C230-AJ$140)^2+($D230-AJ$141)^2)</f>
        <v>5.61802118107026</v>
      </c>
      <c r="AK230" s="17" t="n">
        <f aca="false">SQRT(($B230-AK$139)^2+($C230-AK$140)^2+($D230-AK$141)^2)</f>
        <v>1.13942525965877</v>
      </c>
      <c r="AL230" s="17" t="n">
        <f aca="false">SQRT(($B230-AL$139)^2+($C230-AL$140)^2+($D230-AL$141)^2)</f>
        <v>2.05029077734005</v>
      </c>
      <c r="AM230" s="17" t="n">
        <f aca="false">SQRT(($B230-AM$139)^2+($C230-AM$140)^2+($D230-AM$141)^2)</f>
        <v>0.653074669766953</v>
      </c>
      <c r="AN230" s="63" t="n">
        <f aca="false">MATCH(MIN(AJ230:AM230),AJ230:AM230,0)</f>
        <v>4</v>
      </c>
      <c r="AP230" s="17" t="n">
        <f aca="false">SQRT(($B230-AP$139)^2+($C230-AP$140)^2+($D230-AP$141)^2)</f>
        <v>5.32576469723601</v>
      </c>
      <c r="AQ230" s="17" t="n">
        <f aca="false">SQRT(($B230-AQ$139)^2+($C230-AQ$140)^2+($D230-AQ$141)^2)</f>
        <v>1.23835590381937</v>
      </c>
      <c r="AR230" s="17" t="n">
        <f aca="false">SQRT(($B230-AR$139)^2+($C230-AR$140)^2+($D230-AR$141)^2)</f>
        <v>2.00203586466638</v>
      </c>
      <c r="AS230" s="17" t="n">
        <f aca="false">SQRT(($B230-AS$139)^2+($C230-AS$140)^2+($D230-AS$141)^2)</f>
        <v>0.608353382986571</v>
      </c>
      <c r="AT230" s="63" t="n">
        <f aca="false">MATCH(MIN(AP230:AS230),AP230:AS230,0)</f>
        <v>4</v>
      </c>
      <c r="AV230" s="17" t="n">
        <f aca="false">SQRT(($B230-AV$139)^2+($C230-AV$140)^2+($D230-AV$141)^2)</f>
        <v>5.32576469723601</v>
      </c>
      <c r="AW230" s="17" t="n">
        <f aca="false">SQRT(($B230-AW$139)^2+($C230-AW$140)^2+($D230-AW$141)^2)</f>
        <v>1.23835590381937</v>
      </c>
      <c r="AX230" s="17" t="n">
        <f aca="false">SQRT(($B230-AX$139)^2+($C230-AX$140)^2+($D230-AX$141)^2)</f>
        <v>2.00203586466638</v>
      </c>
      <c r="AY230" s="17" t="n">
        <f aca="false">SQRT(($B230-AY$139)^2+($C230-AY$140)^2+($D230-AY$141)^2)</f>
        <v>0.608353382986571</v>
      </c>
      <c r="AZ230" s="63" t="n">
        <f aca="false">MATCH(MIN(AV230:AY230),AV230:AY230,0)</f>
        <v>4</v>
      </c>
      <c r="BB230" s="17" t="n">
        <f aca="false">SQRT(($B230-BB$139)^2+($C230-BB$140)^2+($D230-BB$141)^2)</f>
        <v>5.32576469723601</v>
      </c>
      <c r="BC230" s="17" t="n">
        <f aca="false">SQRT(($B230-BC$139)^2+($C230-BC$140)^2+($D230-BC$141)^2)</f>
        <v>1.23835590381937</v>
      </c>
      <c r="BD230" s="17" t="n">
        <f aca="false">SQRT(($B230-BD$139)^2+($C230-BD$140)^2+($D230-BD$141)^2)</f>
        <v>2.00203586466638</v>
      </c>
      <c r="BE230" s="17" t="n">
        <f aca="false">SQRT(($B230-BE$139)^2+($C230-BE$140)^2+($D230-BE$141)^2)</f>
        <v>0.608353382986571</v>
      </c>
      <c r="BF230" s="63" t="n">
        <f aca="false">MATCH(MIN(BB230:BE230),BB230:BE230,0)</f>
        <v>4</v>
      </c>
      <c r="BH230" s="17" t="n">
        <f aca="false">SQRT(($B230-BH$139)^2+($C230-BH$140)^2+($D230-BH$141)^2)</f>
        <v>5.32576469723601</v>
      </c>
      <c r="BI230" s="17" t="n">
        <f aca="false">SQRT(($B230-BI$139)^2+($C230-BI$140)^2+($D230-BI$141)^2)</f>
        <v>1.23835590381937</v>
      </c>
      <c r="BJ230" s="17" t="n">
        <f aca="false">SQRT(($B230-BJ$139)^2+($C230-BJ$140)^2+($D230-BJ$141)^2)</f>
        <v>2.00203586466638</v>
      </c>
      <c r="BK230" s="17" t="n">
        <f aca="false">SQRT(($B230-BK$139)^2+($C230-BK$140)^2+($D230-BK$141)^2)</f>
        <v>0.608353382986571</v>
      </c>
      <c r="BL230" s="63" t="n">
        <f aca="false">MATCH(MIN(BH230:BK230),BH230:BK230,0)</f>
        <v>4</v>
      </c>
      <c r="BN230" s="17" t="n">
        <f aca="false">SQRT(($B230-BN$139)^2+($C230-BN$140)^2+($D230-BN$141)^2)</f>
        <v>5.32576469723601</v>
      </c>
      <c r="BO230" s="17" t="n">
        <f aca="false">SQRT(($B230-BO$139)^2+($C230-BO$140)^2+($D230-BO$141)^2)</f>
        <v>1.23835590381937</v>
      </c>
      <c r="BP230" s="17" t="n">
        <f aca="false">SQRT(($B230-BP$139)^2+($C230-BP$140)^2+($D230-BP$141)^2)</f>
        <v>2.00203586466638</v>
      </c>
      <c r="BQ230" s="17" t="n">
        <f aca="false">SQRT(($B230-BQ$139)^2+($C230-BQ$140)^2+($D230-BQ$141)^2)</f>
        <v>0.608353382986571</v>
      </c>
      <c r="BR230" s="63" t="n">
        <f aca="false">MATCH(MIN(BN230:BQ230),BN230:BQ230,0)</f>
        <v>4</v>
      </c>
      <c r="BT230" s="17" t="n">
        <f aca="false">SQRT(($B230-BT$139)^2+($C230-BT$140)^2+($D230-BT$141)^2)</f>
        <v>5.32576469723601</v>
      </c>
      <c r="BU230" s="17" t="n">
        <f aca="false">SQRT(($B230-BU$139)^2+($C230-BU$140)^2+($D230-BU$141)^2)</f>
        <v>1.23835590381937</v>
      </c>
      <c r="BV230" s="17" t="n">
        <f aca="false">SQRT(($B230-BV$139)^2+($C230-BV$140)^2+($D230-BV$141)^2)</f>
        <v>2.00203586466638</v>
      </c>
      <c r="BW230" s="17" t="n">
        <f aca="false">SQRT(($B230-BW$139)^2+($C230-BW$140)^2+($D230-BW$141)^2)</f>
        <v>0.608353382986571</v>
      </c>
      <c r="BX230" s="63" t="n">
        <f aca="false">MATCH(MIN(BT230:BW230),BT230:BW230,0)</f>
        <v>4</v>
      </c>
      <c r="BZ230" s="17" t="n">
        <f aca="false">SQRT(($B230-BZ$139)^2+($C230-BZ$140)^2+($D230-BZ$141)^2)</f>
        <v>5.32576469723601</v>
      </c>
      <c r="CA230" s="17" t="n">
        <f aca="false">SQRT(($B230-CA$139)^2+($C230-CA$140)^2+($D230-CA$141)^2)</f>
        <v>1.23835590381937</v>
      </c>
      <c r="CB230" s="17" t="n">
        <f aca="false">SQRT(($B230-CB$139)^2+($C230-CB$140)^2+($D230-CB$141)^2)</f>
        <v>2.00203586466638</v>
      </c>
      <c r="CC230" s="17" t="n">
        <f aca="false">SQRT(($B230-CC$139)^2+($C230-CC$140)^2+($D230-CC$141)^2)</f>
        <v>0.608353382986571</v>
      </c>
      <c r="CD230" s="63" t="n">
        <f aca="false">MATCH(MIN(BZ230:CC230),BZ230:CC230,0)</f>
        <v>4</v>
      </c>
      <c r="CF230" s="17" t="n">
        <f aca="false">SQRT(($B230-CF$139)^2+($C230-CF$140)^2+($D230-CF$141)^2)</f>
        <v>5.32576469723601</v>
      </c>
      <c r="CG230" s="17" t="n">
        <f aca="false">SQRT(($B230-CG$139)^2+($C230-CG$140)^2+($D230-CG$141)^2)</f>
        <v>1.23835590381937</v>
      </c>
      <c r="CH230" s="17" t="n">
        <f aca="false">SQRT(($B230-CH$139)^2+($C230-CH$140)^2+($D230-CH$141)^2)</f>
        <v>2.00203586466638</v>
      </c>
      <c r="CI230" s="17" t="n">
        <f aca="false">SQRT(($B230-CI$139)^2+($C230-CI$140)^2+($D230-CI$141)^2)</f>
        <v>0.608353382986571</v>
      </c>
      <c r="CJ230" s="63" t="n">
        <f aca="false">MATCH(MIN(CF230:CI230),CF230:CI230,0)</f>
        <v>4</v>
      </c>
      <c r="CL230" s="17" t="n">
        <f aca="false">SQRT(($B230-CL$139)^2+($C230-CL$140)^2+($D230-CL$141)^2)</f>
        <v>5.32576469723601</v>
      </c>
      <c r="CM230" s="17" t="n">
        <f aca="false">SQRT(($B230-CM$139)^2+($C230-CM$140)^2+($D230-CM$141)^2)</f>
        <v>1.23835590381937</v>
      </c>
      <c r="CN230" s="17" t="n">
        <f aca="false">SQRT(($B230-CN$139)^2+($C230-CN$140)^2+($D230-CN$141)^2)</f>
        <v>2.00203586466638</v>
      </c>
      <c r="CO230" s="17" t="n">
        <f aca="false">SQRT(($B230-CO$139)^2+($C230-CO$140)^2+($D230-CO$141)^2)</f>
        <v>0.608353382986571</v>
      </c>
      <c r="CP230" s="63" t="n">
        <f aca="false">MATCH(MIN(CL230:CO230),CL230:CO230,0)</f>
        <v>4</v>
      </c>
    </row>
    <row r="231" customFormat="false" ht="15" hidden="false" customHeight="false" outlineLevel="0" collapsed="false">
      <c r="A231" s="36" t="str">
        <f aca="false">KMeans_Data!A90</f>
        <v>Attock</v>
      </c>
      <c r="B231" s="17" t="n">
        <f aca="false">KMeans_Data!H90</f>
        <v>-0.636688680796734</v>
      </c>
      <c r="C231" s="17" t="n">
        <f aca="false">KMeans_Data!I90</f>
        <v>-0.672650545388274</v>
      </c>
      <c r="D231" s="17" t="n">
        <f aca="false">KMeans_Data!J90</f>
        <v>-1.14564411633355</v>
      </c>
      <c r="E231" s="63" t="n">
        <f aca="false">CP231</f>
        <v>2</v>
      </c>
      <c r="F231" s="38" t="n">
        <f aca="false">($B231-INDEX($L$139:$O$139,E231))^2+($C231-INDEX($L$140:$O$140,E231))^2+($D231-INDEX($L$141:$O$141,E231))^2</f>
        <v>0.416840713994119</v>
      </c>
      <c r="G231" s="17" t="n">
        <f aca="false">IF(COUNTIF(Distance_Matrix!$E$10:$DQ$10,$E231)&lt;=1,0,SUMIF(Distance_Matrix!$E$10:$DQ$10,$E231,Distance_Matrix!$E$99:$DQ$99)/(COUNTIF(Distance_Matrix!$E$10:$DQ$10,$E231)-1))</f>
        <v>0.717313762548059</v>
      </c>
      <c r="H231" s="17" t="n">
        <f aca="false">MIN(IF(1=$E231,1E+099,IF(COUNTIF(Distance_Matrix!$E$10:$DQ$10,1)=0,1E+099,SUMIF(Distance_Matrix!$E$10:$DQ$10,1,Distance_Matrix!$E$99:$DQ$99)/COUNTIF(Distance_Matrix!$E$10:$DQ$10,1))),IF(2=$E231,1E+099,IF(COUNTIF(Distance_Matrix!$E$10:$DQ$10,2)=0,1E+099,SUMIF(Distance_Matrix!$E$10:$DQ$10,2,Distance_Matrix!$E$99:$DQ$99)/COUNTIF(Distance_Matrix!$E$10:$DQ$10,2))),IF(3=$E231,1E+099,IF(COUNTIF(Distance_Matrix!$E$10:$DQ$10,3)=0,1E+099,SUMIF(Distance_Matrix!$E$10:$DQ$10,3,Distance_Matrix!$E$99:$DQ$99)/COUNTIF(Distance_Matrix!$E$10:$DQ$10,3))),IF(4=$E231,1E+099,IF(COUNTIF(Distance_Matrix!$E$10:$DQ$10,4)=0,1E+099,SUMIF(Distance_Matrix!$E$10:$DQ$10,4,Distance_Matrix!$E$99:$DQ$99)/COUNTIF(Distance_Matrix!$E$10:$DQ$10,4))))</f>
        <v>1.12401179068278</v>
      </c>
      <c r="I231" s="17" t="n">
        <f aca="false">IF(COUNTIF(Distance_Matrix!$E$10:$DQ$10,$E231)&lt;=1,0,(H231-G231)/MAX(G231,H231))</f>
        <v>0.361827190342616</v>
      </c>
      <c r="X231" s="17" t="n">
        <f aca="false">SQRT(($B231-X$139)^2+($C231-X$140)^2+($D231-X$141)^2)</f>
        <v>7.53921080313601</v>
      </c>
      <c r="Y231" s="17" t="n">
        <f aca="false">SQRT(($B231-Y$139)^2+($C231-Y$140)^2+($D231-Y$141)^2)</f>
        <v>1.44304930100659</v>
      </c>
      <c r="Z231" s="17" t="n">
        <f aca="false">SQRT(($B231-Z$139)^2+($C231-Z$140)^2+($D231-Z$141)^2)</f>
        <v>3.27892933089661</v>
      </c>
      <c r="AA231" s="17" t="n">
        <f aca="false">SQRT(($B231-AA$139)^2+($C231-AA$140)^2+($D231-AA$141)^2)</f>
        <v>1.38592130305499</v>
      </c>
      <c r="AB231" s="63" t="n">
        <f aca="false">MATCH(MIN(X231:AA231),X231:AA231,0)</f>
        <v>4</v>
      </c>
      <c r="AD231" s="17" t="n">
        <f aca="false">SQRT(($B231-AD$139)^2+($C231-AD$140)^2+($D231-AD$141)^2)</f>
        <v>6.52534141564888</v>
      </c>
      <c r="AE231" s="17" t="n">
        <f aca="false">SQRT(($B231-AE$139)^2+($C231-AE$140)^2+($D231-AE$141)^2)</f>
        <v>0.640184980257097</v>
      </c>
      <c r="AF231" s="17" t="n">
        <f aca="false">SQRT(($B231-AF$139)^2+($C231-AF$140)^2+($D231-AF$141)^2)</f>
        <v>2.68541730324628</v>
      </c>
      <c r="AG231" s="17" t="n">
        <f aca="false">SQRT(($B231-AG$139)^2+($C231-AG$140)^2+($D231-AG$141)^2)</f>
        <v>0.873303063446704</v>
      </c>
      <c r="AH231" s="63" t="n">
        <f aca="false">MATCH(MIN(AD231:AG231),AD231:AG231,0)</f>
        <v>2</v>
      </c>
      <c r="AJ231" s="17" t="n">
        <f aca="false">SQRT(($B231-AJ$139)^2+($C231-AJ$140)^2+($D231-AJ$141)^2)</f>
        <v>6.18516957452042</v>
      </c>
      <c r="AK231" s="17" t="n">
        <f aca="false">SQRT(($B231-AK$139)^2+($C231-AK$140)^2+($D231-AK$141)^2)</f>
        <v>0.616998799904513</v>
      </c>
      <c r="AL231" s="17" t="n">
        <f aca="false">SQRT(($B231-AL$139)^2+($C231-AL$140)^2+($D231-AL$141)^2)</f>
        <v>2.74945815853383</v>
      </c>
      <c r="AM231" s="17" t="n">
        <f aca="false">SQRT(($B231-AM$139)^2+($C231-AM$140)^2+($D231-AM$141)^2)</f>
        <v>0.959255080033031</v>
      </c>
      <c r="AN231" s="63" t="n">
        <f aca="false">MATCH(MIN(AJ231:AM231),AJ231:AM231,0)</f>
        <v>2</v>
      </c>
      <c r="AP231" s="17" t="n">
        <f aca="false">SQRT(($B231-AP$139)^2+($C231-AP$140)^2+($D231-AP$141)^2)</f>
        <v>5.89216947867015</v>
      </c>
      <c r="AQ231" s="17" t="n">
        <f aca="false">SQRT(($B231-AQ$139)^2+($C231-AQ$140)^2+($D231-AQ$141)^2)</f>
        <v>0.645632026772309</v>
      </c>
      <c r="AR231" s="17" t="n">
        <f aca="false">SQRT(($B231-AR$139)^2+($C231-AR$140)^2+($D231-AR$141)^2)</f>
        <v>2.70719948713605</v>
      </c>
      <c r="AS231" s="17" t="n">
        <f aca="false">SQRT(($B231-AS$139)^2+($C231-AS$140)^2+($D231-AS$141)^2)</f>
        <v>0.937510605541038</v>
      </c>
      <c r="AT231" s="63" t="n">
        <f aca="false">MATCH(MIN(AP231:AS231),AP231:AS231,0)</f>
        <v>2</v>
      </c>
      <c r="AV231" s="17" t="n">
        <f aca="false">SQRT(($B231-AV$139)^2+($C231-AV$140)^2+($D231-AV$141)^2)</f>
        <v>5.89216947867015</v>
      </c>
      <c r="AW231" s="17" t="n">
        <f aca="false">SQRT(($B231-AW$139)^2+($C231-AW$140)^2+($D231-AW$141)^2)</f>
        <v>0.645632026772309</v>
      </c>
      <c r="AX231" s="17" t="n">
        <f aca="false">SQRT(($B231-AX$139)^2+($C231-AX$140)^2+($D231-AX$141)^2)</f>
        <v>2.70719948713605</v>
      </c>
      <c r="AY231" s="17" t="n">
        <f aca="false">SQRT(($B231-AY$139)^2+($C231-AY$140)^2+($D231-AY$141)^2)</f>
        <v>0.937510605541038</v>
      </c>
      <c r="AZ231" s="63" t="n">
        <f aca="false">MATCH(MIN(AV231:AY231),AV231:AY231,0)</f>
        <v>2</v>
      </c>
      <c r="BB231" s="17" t="n">
        <f aca="false">SQRT(($B231-BB$139)^2+($C231-BB$140)^2+($D231-BB$141)^2)</f>
        <v>5.89216947867015</v>
      </c>
      <c r="BC231" s="17" t="n">
        <f aca="false">SQRT(($B231-BC$139)^2+($C231-BC$140)^2+($D231-BC$141)^2)</f>
        <v>0.645632026772309</v>
      </c>
      <c r="BD231" s="17" t="n">
        <f aca="false">SQRT(($B231-BD$139)^2+($C231-BD$140)^2+($D231-BD$141)^2)</f>
        <v>2.70719948713605</v>
      </c>
      <c r="BE231" s="17" t="n">
        <f aca="false">SQRT(($B231-BE$139)^2+($C231-BE$140)^2+($D231-BE$141)^2)</f>
        <v>0.937510605541038</v>
      </c>
      <c r="BF231" s="63" t="n">
        <f aca="false">MATCH(MIN(BB231:BE231),BB231:BE231,0)</f>
        <v>2</v>
      </c>
      <c r="BH231" s="17" t="n">
        <f aca="false">SQRT(($B231-BH$139)^2+($C231-BH$140)^2+($D231-BH$141)^2)</f>
        <v>5.89216947867015</v>
      </c>
      <c r="BI231" s="17" t="n">
        <f aca="false">SQRT(($B231-BI$139)^2+($C231-BI$140)^2+($D231-BI$141)^2)</f>
        <v>0.645632026772309</v>
      </c>
      <c r="BJ231" s="17" t="n">
        <f aca="false">SQRT(($B231-BJ$139)^2+($C231-BJ$140)^2+($D231-BJ$141)^2)</f>
        <v>2.70719948713605</v>
      </c>
      <c r="BK231" s="17" t="n">
        <f aca="false">SQRT(($B231-BK$139)^2+($C231-BK$140)^2+($D231-BK$141)^2)</f>
        <v>0.937510605541038</v>
      </c>
      <c r="BL231" s="63" t="n">
        <f aca="false">MATCH(MIN(BH231:BK231),BH231:BK231,0)</f>
        <v>2</v>
      </c>
      <c r="BN231" s="17" t="n">
        <f aca="false">SQRT(($B231-BN$139)^2+($C231-BN$140)^2+($D231-BN$141)^2)</f>
        <v>5.89216947867015</v>
      </c>
      <c r="BO231" s="17" t="n">
        <f aca="false">SQRT(($B231-BO$139)^2+($C231-BO$140)^2+($D231-BO$141)^2)</f>
        <v>0.645632026772309</v>
      </c>
      <c r="BP231" s="17" t="n">
        <f aca="false">SQRT(($B231-BP$139)^2+($C231-BP$140)^2+($D231-BP$141)^2)</f>
        <v>2.70719948713605</v>
      </c>
      <c r="BQ231" s="17" t="n">
        <f aca="false">SQRT(($B231-BQ$139)^2+($C231-BQ$140)^2+($D231-BQ$141)^2)</f>
        <v>0.937510605541038</v>
      </c>
      <c r="BR231" s="63" t="n">
        <f aca="false">MATCH(MIN(BN231:BQ231),BN231:BQ231,0)</f>
        <v>2</v>
      </c>
      <c r="BT231" s="17" t="n">
        <f aca="false">SQRT(($B231-BT$139)^2+($C231-BT$140)^2+($D231-BT$141)^2)</f>
        <v>5.89216947867015</v>
      </c>
      <c r="BU231" s="17" t="n">
        <f aca="false">SQRT(($B231-BU$139)^2+($C231-BU$140)^2+($D231-BU$141)^2)</f>
        <v>0.645632026772309</v>
      </c>
      <c r="BV231" s="17" t="n">
        <f aca="false">SQRT(($B231-BV$139)^2+($C231-BV$140)^2+($D231-BV$141)^2)</f>
        <v>2.70719948713605</v>
      </c>
      <c r="BW231" s="17" t="n">
        <f aca="false">SQRT(($B231-BW$139)^2+($C231-BW$140)^2+($D231-BW$141)^2)</f>
        <v>0.937510605541038</v>
      </c>
      <c r="BX231" s="63" t="n">
        <f aca="false">MATCH(MIN(BT231:BW231),BT231:BW231,0)</f>
        <v>2</v>
      </c>
      <c r="BZ231" s="17" t="n">
        <f aca="false">SQRT(($B231-BZ$139)^2+($C231-BZ$140)^2+($D231-BZ$141)^2)</f>
        <v>5.89216947867015</v>
      </c>
      <c r="CA231" s="17" t="n">
        <f aca="false">SQRT(($B231-CA$139)^2+($C231-CA$140)^2+($D231-CA$141)^2)</f>
        <v>0.645632026772309</v>
      </c>
      <c r="CB231" s="17" t="n">
        <f aca="false">SQRT(($B231-CB$139)^2+($C231-CB$140)^2+($D231-CB$141)^2)</f>
        <v>2.70719948713605</v>
      </c>
      <c r="CC231" s="17" t="n">
        <f aca="false">SQRT(($B231-CC$139)^2+($C231-CC$140)^2+($D231-CC$141)^2)</f>
        <v>0.937510605541038</v>
      </c>
      <c r="CD231" s="63" t="n">
        <f aca="false">MATCH(MIN(BZ231:CC231),BZ231:CC231,0)</f>
        <v>2</v>
      </c>
      <c r="CF231" s="17" t="n">
        <f aca="false">SQRT(($B231-CF$139)^2+($C231-CF$140)^2+($D231-CF$141)^2)</f>
        <v>5.89216947867015</v>
      </c>
      <c r="CG231" s="17" t="n">
        <f aca="false">SQRT(($B231-CG$139)^2+($C231-CG$140)^2+($D231-CG$141)^2)</f>
        <v>0.645632026772309</v>
      </c>
      <c r="CH231" s="17" t="n">
        <f aca="false">SQRT(($B231-CH$139)^2+($C231-CH$140)^2+($D231-CH$141)^2)</f>
        <v>2.70719948713605</v>
      </c>
      <c r="CI231" s="17" t="n">
        <f aca="false">SQRT(($B231-CI$139)^2+($C231-CI$140)^2+($D231-CI$141)^2)</f>
        <v>0.937510605541038</v>
      </c>
      <c r="CJ231" s="63" t="n">
        <f aca="false">MATCH(MIN(CF231:CI231),CF231:CI231,0)</f>
        <v>2</v>
      </c>
      <c r="CL231" s="17" t="n">
        <f aca="false">SQRT(($B231-CL$139)^2+($C231-CL$140)^2+($D231-CL$141)^2)</f>
        <v>5.89216947867015</v>
      </c>
      <c r="CM231" s="17" t="n">
        <f aca="false">SQRT(($B231-CM$139)^2+($C231-CM$140)^2+($D231-CM$141)^2)</f>
        <v>0.645632026772309</v>
      </c>
      <c r="CN231" s="17" t="n">
        <f aca="false">SQRT(($B231-CN$139)^2+($C231-CN$140)^2+($D231-CN$141)^2)</f>
        <v>2.70719948713605</v>
      </c>
      <c r="CO231" s="17" t="n">
        <f aca="false">SQRT(($B231-CO$139)^2+($C231-CO$140)^2+($D231-CO$141)^2)</f>
        <v>0.937510605541038</v>
      </c>
      <c r="CP231" s="63" t="n">
        <f aca="false">MATCH(MIN(CL231:CO231),CL231:CO231,0)</f>
        <v>2</v>
      </c>
    </row>
    <row r="232" customFormat="false" ht="15" hidden="false" customHeight="false" outlineLevel="0" collapsed="false">
      <c r="A232" s="36" t="str">
        <f aca="false">KMeans_Data!A91</f>
        <v>Chitral Upper</v>
      </c>
      <c r="B232" s="17" t="n">
        <f aca="false">KMeans_Data!H91</f>
        <v>-0.636688680796734</v>
      </c>
      <c r="C232" s="17" t="n">
        <f aca="false">KMeans_Data!I91</f>
        <v>-0.672650545388274</v>
      </c>
      <c r="D232" s="17" t="n">
        <f aca="false">KMeans_Data!J91</f>
        <v>-0.31535907140676</v>
      </c>
      <c r="E232" s="63" t="n">
        <f aca="false">CP232</f>
        <v>4</v>
      </c>
      <c r="F232" s="38" t="n">
        <f aca="false">($B232-INDEX($L$139:$O$139,E232))^2+($C232-INDEX($L$140:$O$140,E232))^2+($D232-INDEX($L$141:$O$141,E232))^2</f>
        <v>0.28871782241721</v>
      </c>
      <c r="G232" s="17" t="n">
        <f aca="false">IF(COUNTIF(Distance_Matrix!$E$10:$DQ$10,$E232)&lt;=1,0,SUMIF(Distance_Matrix!$E$10:$DQ$10,$E232,Distance_Matrix!$E$100:$DQ$100)/(COUNTIF(Distance_Matrix!$E$10:$DQ$10,$E232)-1))</f>
        <v>0.859123532589985</v>
      </c>
      <c r="H232" s="17" t="n">
        <f aca="false">MIN(IF(1=$E232,1E+099,IF(COUNTIF(Distance_Matrix!$E$10:$DQ$10,1)=0,1E+099,SUMIF(Distance_Matrix!$E$10:$DQ$10,1,Distance_Matrix!$E$100:$DQ$100)/COUNTIF(Distance_Matrix!$E$10:$DQ$10,1))),IF(2=$E232,1E+099,IF(COUNTIF(Distance_Matrix!$E$10:$DQ$10,2)=0,1E+099,SUMIF(Distance_Matrix!$E$10:$DQ$10,2,Distance_Matrix!$E$100:$DQ$100)/COUNTIF(Distance_Matrix!$E$10:$DQ$10,2))),IF(3=$E232,1E+099,IF(COUNTIF(Distance_Matrix!$E$10:$DQ$10,3)=0,1E+099,SUMIF(Distance_Matrix!$E$10:$DQ$10,3,Distance_Matrix!$E$100:$DQ$100)/COUNTIF(Distance_Matrix!$E$10:$DQ$10,3))),IF(4=$E232,1E+099,IF(COUNTIF(Distance_Matrix!$E$10:$DQ$10,4)=0,1E+099,SUMIF(Distance_Matrix!$E$10:$DQ$10,4,Distance_Matrix!$E$100:$DQ$100)/COUNTIF(Distance_Matrix!$E$10:$DQ$10,4))))</f>
        <v>1.04882800322815</v>
      </c>
      <c r="I232" s="17" t="n">
        <f aca="false">IF(COUNTIF(Distance_Matrix!$E$10:$DQ$10,$E232)&lt;=1,0,(H232-G232)/MAX(G232,H232))</f>
        <v>0.18087281237179</v>
      </c>
      <c r="X232" s="17" t="n">
        <f aca="false">SQRT(($B232-X$139)^2+($C232-X$140)^2+($D232-X$141)^2)</f>
        <v>7.08698051014777</v>
      </c>
      <c r="Y232" s="17" t="n">
        <f aca="false">SQRT(($B232-Y$139)^2+($C232-Y$140)^2+($D232-Y$141)^2)</f>
        <v>1.66486171827113</v>
      </c>
      <c r="Z232" s="17" t="n">
        <f aca="false">SQRT(($B232-Z$139)^2+($C232-Z$140)^2+($D232-Z$141)^2)</f>
        <v>2.66394791513506</v>
      </c>
      <c r="AA232" s="17" t="n">
        <f aca="false">SQRT(($B232-AA$139)^2+($C232-AA$140)^2+($D232-AA$141)^2)</f>
        <v>1.61559621010039</v>
      </c>
      <c r="AB232" s="63" t="n">
        <f aca="false">MATCH(MIN(X232:AA232),X232:AA232,0)</f>
        <v>4</v>
      </c>
      <c r="AD232" s="17" t="n">
        <f aca="false">SQRT(($B232-AD$139)^2+($C232-AD$140)^2+($D232-AD$141)^2)</f>
        <v>6.10231349386684</v>
      </c>
      <c r="AE232" s="17" t="n">
        <f aca="false">SQRT(($B232-AE$139)^2+($C232-AE$140)^2+($D232-AE$141)^2)</f>
        <v>0.865900002795889</v>
      </c>
      <c r="AF232" s="17" t="n">
        <f aca="false">SQRT(($B232-AF$139)^2+($C232-AF$140)^2+($D232-AF$141)^2)</f>
        <v>2.13016488509027</v>
      </c>
      <c r="AG232" s="17" t="n">
        <f aca="false">SQRT(($B232-AG$139)^2+($C232-AG$140)^2+($D232-AG$141)^2)</f>
        <v>0.634896938824636</v>
      </c>
      <c r="AH232" s="63" t="n">
        <f aca="false">MATCH(MIN(AD232:AG232),AD232:AG232,0)</f>
        <v>4</v>
      </c>
      <c r="AJ232" s="17" t="n">
        <f aca="false">SQRT(($B232-AJ$139)^2+($C232-AJ$140)^2+($D232-AJ$141)^2)</f>
        <v>5.75993015205078</v>
      </c>
      <c r="AK232" s="17" t="n">
        <f aca="false">SQRT(($B232-AK$139)^2+($C232-AK$140)^2+($D232-AK$141)^2)</f>
        <v>0.896829288691661</v>
      </c>
      <c r="AL232" s="17" t="n">
        <f aca="false">SQRT(($B232-AL$139)^2+($C232-AL$140)^2+($D232-AL$141)^2)</f>
        <v>2.20881843131461</v>
      </c>
      <c r="AM232" s="17" t="n">
        <f aca="false">SQRT(($B232-AM$139)^2+($C232-AM$140)^2+($D232-AM$141)^2)</f>
        <v>0.586104842053184</v>
      </c>
      <c r="AN232" s="63" t="n">
        <f aca="false">MATCH(MIN(AJ232:AM232),AJ232:AM232,0)</f>
        <v>4</v>
      </c>
      <c r="AP232" s="17" t="n">
        <f aca="false">SQRT(($B232-AP$139)^2+($C232-AP$140)^2+($D232-AP$141)^2)</f>
        <v>5.46653995574835</v>
      </c>
      <c r="AQ232" s="17" t="n">
        <f aca="false">SQRT(($B232-AQ$139)^2+($C232-AQ$140)^2+($D232-AQ$141)^2)</f>
        <v>0.993508668475975</v>
      </c>
      <c r="AR232" s="17" t="n">
        <f aca="false">SQRT(($B232-AR$139)^2+($C232-AR$140)^2+($D232-AR$141)^2)</f>
        <v>2.16180593762495</v>
      </c>
      <c r="AS232" s="17" t="n">
        <f aca="false">SQRT(($B232-AS$139)^2+($C232-AS$140)^2+($D232-AS$141)^2)</f>
        <v>0.537324689938226</v>
      </c>
      <c r="AT232" s="63" t="n">
        <f aca="false">MATCH(MIN(AP232:AS232),AP232:AS232,0)</f>
        <v>4</v>
      </c>
      <c r="AV232" s="17" t="n">
        <f aca="false">SQRT(($B232-AV$139)^2+($C232-AV$140)^2+($D232-AV$141)^2)</f>
        <v>5.46653995574835</v>
      </c>
      <c r="AW232" s="17" t="n">
        <f aca="false">SQRT(($B232-AW$139)^2+($C232-AW$140)^2+($D232-AW$141)^2)</f>
        <v>0.993508668475975</v>
      </c>
      <c r="AX232" s="17" t="n">
        <f aca="false">SQRT(($B232-AX$139)^2+($C232-AX$140)^2+($D232-AX$141)^2)</f>
        <v>2.16180593762495</v>
      </c>
      <c r="AY232" s="17" t="n">
        <f aca="false">SQRT(($B232-AY$139)^2+($C232-AY$140)^2+($D232-AY$141)^2)</f>
        <v>0.537324689938226</v>
      </c>
      <c r="AZ232" s="63" t="n">
        <f aca="false">MATCH(MIN(AV232:AY232),AV232:AY232,0)</f>
        <v>4</v>
      </c>
      <c r="BB232" s="17" t="n">
        <f aca="false">SQRT(($B232-BB$139)^2+($C232-BB$140)^2+($D232-BB$141)^2)</f>
        <v>5.46653995574835</v>
      </c>
      <c r="BC232" s="17" t="n">
        <f aca="false">SQRT(($B232-BC$139)^2+($C232-BC$140)^2+($D232-BC$141)^2)</f>
        <v>0.993508668475975</v>
      </c>
      <c r="BD232" s="17" t="n">
        <f aca="false">SQRT(($B232-BD$139)^2+($C232-BD$140)^2+($D232-BD$141)^2)</f>
        <v>2.16180593762495</v>
      </c>
      <c r="BE232" s="17" t="n">
        <f aca="false">SQRT(($B232-BE$139)^2+($C232-BE$140)^2+($D232-BE$141)^2)</f>
        <v>0.537324689938226</v>
      </c>
      <c r="BF232" s="63" t="n">
        <f aca="false">MATCH(MIN(BB232:BE232),BB232:BE232,0)</f>
        <v>4</v>
      </c>
      <c r="BH232" s="17" t="n">
        <f aca="false">SQRT(($B232-BH$139)^2+($C232-BH$140)^2+($D232-BH$141)^2)</f>
        <v>5.46653995574835</v>
      </c>
      <c r="BI232" s="17" t="n">
        <f aca="false">SQRT(($B232-BI$139)^2+($C232-BI$140)^2+($D232-BI$141)^2)</f>
        <v>0.993508668475975</v>
      </c>
      <c r="BJ232" s="17" t="n">
        <f aca="false">SQRT(($B232-BJ$139)^2+($C232-BJ$140)^2+($D232-BJ$141)^2)</f>
        <v>2.16180593762495</v>
      </c>
      <c r="BK232" s="17" t="n">
        <f aca="false">SQRT(($B232-BK$139)^2+($C232-BK$140)^2+($D232-BK$141)^2)</f>
        <v>0.537324689938226</v>
      </c>
      <c r="BL232" s="63" t="n">
        <f aca="false">MATCH(MIN(BH232:BK232),BH232:BK232,0)</f>
        <v>4</v>
      </c>
      <c r="BN232" s="17" t="n">
        <f aca="false">SQRT(($B232-BN$139)^2+($C232-BN$140)^2+($D232-BN$141)^2)</f>
        <v>5.46653995574835</v>
      </c>
      <c r="BO232" s="17" t="n">
        <f aca="false">SQRT(($B232-BO$139)^2+($C232-BO$140)^2+($D232-BO$141)^2)</f>
        <v>0.993508668475975</v>
      </c>
      <c r="BP232" s="17" t="n">
        <f aca="false">SQRT(($B232-BP$139)^2+($C232-BP$140)^2+($D232-BP$141)^2)</f>
        <v>2.16180593762495</v>
      </c>
      <c r="BQ232" s="17" t="n">
        <f aca="false">SQRT(($B232-BQ$139)^2+($C232-BQ$140)^2+($D232-BQ$141)^2)</f>
        <v>0.537324689938226</v>
      </c>
      <c r="BR232" s="63" t="n">
        <f aca="false">MATCH(MIN(BN232:BQ232),BN232:BQ232,0)</f>
        <v>4</v>
      </c>
      <c r="BT232" s="17" t="n">
        <f aca="false">SQRT(($B232-BT$139)^2+($C232-BT$140)^2+($D232-BT$141)^2)</f>
        <v>5.46653995574835</v>
      </c>
      <c r="BU232" s="17" t="n">
        <f aca="false">SQRT(($B232-BU$139)^2+($C232-BU$140)^2+($D232-BU$141)^2)</f>
        <v>0.993508668475975</v>
      </c>
      <c r="BV232" s="17" t="n">
        <f aca="false">SQRT(($B232-BV$139)^2+($C232-BV$140)^2+($D232-BV$141)^2)</f>
        <v>2.16180593762495</v>
      </c>
      <c r="BW232" s="17" t="n">
        <f aca="false">SQRT(($B232-BW$139)^2+($C232-BW$140)^2+($D232-BW$141)^2)</f>
        <v>0.537324689938226</v>
      </c>
      <c r="BX232" s="63" t="n">
        <f aca="false">MATCH(MIN(BT232:BW232),BT232:BW232,0)</f>
        <v>4</v>
      </c>
      <c r="BZ232" s="17" t="n">
        <f aca="false">SQRT(($B232-BZ$139)^2+($C232-BZ$140)^2+($D232-BZ$141)^2)</f>
        <v>5.46653995574835</v>
      </c>
      <c r="CA232" s="17" t="n">
        <f aca="false">SQRT(($B232-CA$139)^2+($C232-CA$140)^2+($D232-CA$141)^2)</f>
        <v>0.993508668475975</v>
      </c>
      <c r="CB232" s="17" t="n">
        <f aca="false">SQRT(($B232-CB$139)^2+($C232-CB$140)^2+($D232-CB$141)^2)</f>
        <v>2.16180593762495</v>
      </c>
      <c r="CC232" s="17" t="n">
        <f aca="false">SQRT(($B232-CC$139)^2+($C232-CC$140)^2+($D232-CC$141)^2)</f>
        <v>0.537324689938226</v>
      </c>
      <c r="CD232" s="63" t="n">
        <f aca="false">MATCH(MIN(BZ232:CC232),BZ232:CC232,0)</f>
        <v>4</v>
      </c>
      <c r="CF232" s="17" t="n">
        <f aca="false">SQRT(($B232-CF$139)^2+($C232-CF$140)^2+($D232-CF$141)^2)</f>
        <v>5.46653995574835</v>
      </c>
      <c r="CG232" s="17" t="n">
        <f aca="false">SQRT(($B232-CG$139)^2+($C232-CG$140)^2+($D232-CG$141)^2)</f>
        <v>0.993508668475975</v>
      </c>
      <c r="CH232" s="17" t="n">
        <f aca="false">SQRT(($B232-CH$139)^2+($C232-CH$140)^2+($D232-CH$141)^2)</f>
        <v>2.16180593762495</v>
      </c>
      <c r="CI232" s="17" t="n">
        <f aca="false">SQRT(($B232-CI$139)^2+($C232-CI$140)^2+($D232-CI$141)^2)</f>
        <v>0.537324689938226</v>
      </c>
      <c r="CJ232" s="63" t="n">
        <f aca="false">MATCH(MIN(CF232:CI232),CF232:CI232,0)</f>
        <v>4</v>
      </c>
      <c r="CL232" s="17" t="n">
        <f aca="false">SQRT(($B232-CL$139)^2+($C232-CL$140)^2+($D232-CL$141)^2)</f>
        <v>5.46653995574835</v>
      </c>
      <c r="CM232" s="17" t="n">
        <f aca="false">SQRT(($B232-CM$139)^2+($C232-CM$140)^2+($D232-CM$141)^2)</f>
        <v>0.993508668475975</v>
      </c>
      <c r="CN232" s="17" t="n">
        <f aca="false">SQRT(($B232-CN$139)^2+($C232-CN$140)^2+($D232-CN$141)^2)</f>
        <v>2.16180593762495</v>
      </c>
      <c r="CO232" s="17" t="n">
        <f aca="false">SQRT(($B232-CO$139)^2+($C232-CO$140)^2+($D232-CO$141)^2)</f>
        <v>0.537324689938226</v>
      </c>
      <c r="CP232" s="63" t="n">
        <f aca="false">MATCH(MIN(CL232:CO232),CL232:CO232,0)</f>
        <v>4</v>
      </c>
    </row>
    <row r="233" customFormat="false" ht="15" hidden="false" customHeight="false" outlineLevel="0" collapsed="false">
      <c r="A233" s="36" t="str">
        <f aca="false">KMeans_Data!A92</f>
        <v>Matiari</v>
      </c>
      <c r="B233" s="17" t="n">
        <f aca="false">KMeans_Data!H92</f>
        <v>-0.706187767063518</v>
      </c>
      <c r="C233" s="17" t="n">
        <f aca="false">KMeans_Data!I92</f>
        <v>-0.146983133929529</v>
      </c>
      <c r="D233" s="17" t="n">
        <f aca="false">KMeans_Data!J92</f>
        <v>0.628513491585819</v>
      </c>
      <c r="E233" s="63" t="n">
        <f aca="false">CP233</f>
        <v>4</v>
      </c>
      <c r="F233" s="38" t="n">
        <f aca="false">($B233-INDEX($L$139:$O$139,E233))^2+($C233-INDEX($L$140:$O$140,E233))^2+($D233-INDEX($L$141:$O$141,E233))^2</f>
        <v>1.4711003908956</v>
      </c>
      <c r="G233" s="17" t="n">
        <f aca="false">IF(COUNTIF(Distance_Matrix!$E$10:$DQ$10,$E233)&lt;=1,0,SUMIF(Distance_Matrix!$E$10:$DQ$10,$E233,Distance_Matrix!$E$101:$DQ$101)/(COUNTIF(Distance_Matrix!$E$10:$DQ$10,$E233)-1))</f>
        <v>1.36063180973256</v>
      </c>
      <c r="H233" s="17" t="n">
        <f aca="false">MIN(IF(1=$E233,1E+099,IF(COUNTIF(Distance_Matrix!$E$10:$DQ$10,1)=0,1E+099,SUMIF(Distance_Matrix!$E$10:$DQ$10,1,Distance_Matrix!$E$101:$DQ$101)/COUNTIF(Distance_Matrix!$E$10:$DQ$10,1))),IF(2=$E233,1E+099,IF(COUNTIF(Distance_Matrix!$E$10:$DQ$10,2)=0,1E+099,SUMIF(Distance_Matrix!$E$10:$DQ$10,2,Distance_Matrix!$E$101:$DQ$101)/COUNTIF(Distance_Matrix!$E$10:$DQ$10,2))),IF(3=$E233,1E+099,IF(COUNTIF(Distance_Matrix!$E$10:$DQ$10,3)=0,1E+099,SUMIF(Distance_Matrix!$E$10:$DQ$10,3,Distance_Matrix!$E$101:$DQ$101)/COUNTIF(Distance_Matrix!$E$10:$DQ$10,3))),IF(4=$E233,1E+099,IF(COUNTIF(Distance_Matrix!$E$10:$DQ$10,4)=0,1E+099,SUMIF(Distance_Matrix!$E$10:$DQ$10,4,Distance_Matrix!$E$101:$DQ$101)/COUNTIF(Distance_Matrix!$E$10:$DQ$10,4))))</f>
        <v>1.68218947127133</v>
      </c>
      <c r="I233" s="17" t="n">
        <f aca="false">IF(COUNTIF(Distance_Matrix!$E$10:$DQ$10,$E233)&lt;=1,0,(H233-G233)/MAX(G233,H233))</f>
        <v>0.191154246908791</v>
      </c>
      <c r="X233" s="17" t="n">
        <f aca="false">SQRT(($B233-X$139)^2+($C233-X$140)^2+($D233-X$141)^2)</f>
        <v>6.34444553438655</v>
      </c>
      <c r="Y233" s="17" t="n">
        <f aca="false">SQRT(($B233-Y$139)^2+($C233-Y$140)^2+($D233-Y$141)^2)</f>
        <v>2.30447426490723</v>
      </c>
      <c r="Z233" s="17" t="n">
        <f aca="false">SQRT(($B233-Z$139)^2+($C233-Z$140)^2+($D233-Z$141)^2)</f>
        <v>2.00623655151962</v>
      </c>
      <c r="AA233" s="17" t="n">
        <f aca="false">SQRT(($B233-AA$139)^2+($C233-AA$140)^2+($D233-AA$141)^2)</f>
        <v>2.23050732117871</v>
      </c>
      <c r="AB233" s="63" t="n">
        <f aca="false">MATCH(MIN(X233:AA233),X233:AA233,0)</f>
        <v>3</v>
      </c>
      <c r="AD233" s="17" t="n">
        <f aca="false">SQRT(($B233-AD$139)^2+($C233-AD$140)^2+($D233-AD$141)^2)</f>
        <v>5.40368323245895</v>
      </c>
      <c r="AE233" s="17" t="n">
        <f aca="false">SQRT(($B233-AE$139)^2+($C233-AE$140)^2+($D233-AE$141)^2)</f>
        <v>1.7286506496036</v>
      </c>
      <c r="AF233" s="17" t="n">
        <f aca="false">SQRT(($B233-AF$139)^2+($C233-AF$140)^2+($D233-AF$141)^2)</f>
        <v>1.52088025218476</v>
      </c>
      <c r="AG233" s="17" t="n">
        <f aca="false">SQRT(($B233-AG$139)^2+($C233-AG$140)^2+($D233-AG$141)^2)</f>
        <v>1.35535767463703</v>
      </c>
      <c r="AH233" s="63" t="n">
        <f aca="false">MATCH(MIN(AD233:AG233),AD233:AG233,0)</f>
        <v>4</v>
      </c>
      <c r="AJ233" s="17" t="n">
        <f aca="false">SQRT(($B233-AJ$139)^2+($C233-AJ$140)^2+($D233-AJ$141)^2)</f>
        <v>5.0717971837034</v>
      </c>
      <c r="AK233" s="17" t="n">
        <f aca="false">SQRT(($B233-AK$139)^2+($C233-AK$140)^2+($D233-AK$141)^2)</f>
        <v>1.77174576200322</v>
      </c>
      <c r="AL233" s="17" t="n">
        <f aca="false">SQRT(($B233-AL$139)^2+($C233-AL$140)^2+($D233-AL$141)^2)</f>
        <v>1.60183353815158</v>
      </c>
      <c r="AM233" s="17" t="n">
        <f aca="false">SQRT(($B233-AM$139)^2+($C233-AM$140)^2+($D233-AM$141)^2)</f>
        <v>1.23958916961397</v>
      </c>
      <c r="AN233" s="63" t="n">
        <f aca="false">MATCH(MIN(AJ233:AM233),AJ233:AM233,0)</f>
        <v>4</v>
      </c>
      <c r="AP233" s="17" t="n">
        <f aca="false">SQRT(($B233-AP$139)^2+($C233-AP$140)^2+($D233-AP$141)^2)</f>
        <v>4.78061054681775</v>
      </c>
      <c r="AQ233" s="17" t="n">
        <f aca="false">SQRT(($B233-AQ$139)^2+($C233-AQ$140)^2+($D233-AQ$141)^2)</f>
        <v>1.8654164157688</v>
      </c>
      <c r="AR233" s="17" t="n">
        <f aca="false">SQRT(($B233-AR$139)^2+($C233-AR$140)^2+($D233-AR$141)^2)</f>
        <v>1.55898666726148</v>
      </c>
      <c r="AS233" s="17" t="n">
        <f aca="false">SQRT(($B233-AS$139)^2+($C233-AS$140)^2+($D233-AS$141)^2)</f>
        <v>1.21288927396346</v>
      </c>
      <c r="AT233" s="63" t="n">
        <f aca="false">MATCH(MIN(AP233:AS233),AP233:AS233,0)</f>
        <v>4</v>
      </c>
      <c r="AV233" s="17" t="n">
        <f aca="false">SQRT(($B233-AV$139)^2+($C233-AV$140)^2+($D233-AV$141)^2)</f>
        <v>4.78061054681775</v>
      </c>
      <c r="AW233" s="17" t="n">
        <f aca="false">SQRT(($B233-AW$139)^2+($C233-AW$140)^2+($D233-AW$141)^2)</f>
        <v>1.8654164157688</v>
      </c>
      <c r="AX233" s="17" t="n">
        <f aca="false">SQRT(($B233-AX$139)^2+($C233-AX$140)^2+($D233-AX$141)^2)</f>
        <v>1.55898666726148</v>
      </c>
      <c r="AY233" s="17" t="n">
        <f aca="false">SQRT(($B233-AY$139)^2+($C233-AY$140)^2+($D233-AY$141)^2)</f>
        <v>1.21288927396346</v>
      </c>
      <c r="AZ233" s="63" t="n">
        <f aca="false">MATCH(MIN(AV233:AY233),AV233:AY233,0)</f>
        <v>4</v>
      </c>
      <c r="BB233" s="17" t="n">
        <f aca="false">SQRT(($B233-BB$139)^2+($C233-BB$140)^2+($D233-BB$141)^2)</f>
        <v>4.78061054681775</v>
      </c>
      <c r="BC233" s="17" t="n">
        <f aca="false">SQRT(($B233-BC$139)^2+($C233-BC$140)^2+($D233-BC$141)^2)</f>
        <v>1.8654164157688</v>
      </c>
      <c r="BD233" s="17" t="n">
        <f aca="false">SQRT(($B233-BD$139)^2+($C233-BD$140)^2+($D233-BD$141)^2)</f>
        <v>1.55898666726148</v>
      </c>
      <c r="BE233" s="17" t="n">
        <f aca="false">SQRT(($B233-BE$139)^2+($C233-BE$140)^2+($D233-BE$141)^2)</f>
        <v>1.21288927396346</v>
      </c>
      <c r="BF233" s="63" t="n">
        <f aca="false">MATCH(MIN(BB233:BE233),BB233:BE233,0)</f>
        <v>4</v>
      </c>
      <c r="BH233" s="17" t="n">
        <f aca="false">SQRT(($B233-BH$139)^2+($C233-BH$140)^2+($D233-BH$141)^2)</f>
        <v>4.78061054681775</v>
      </c>
      <c r="BI233" s="17" t="n">
        <f aca="false">SQRT(($B233-BI$139)^2+($C233-BI$140)^2+($D233-BI$141)^2)</f>
        <v>1.8654164157688</v>
      </c>
      <c r="BJ233" s="17" t="n">
        <f aca="false">SQRT(($B233-BJ$139)^2+($C233-BJ$140)^2+($D233-BJ$141)^2)</f>
        <v>1.55898666726148</v>
      </c>
      <c r="BK233" s="17" t="n">
        <f aca="false">SQRT(($B233-BK$139)^2+($C233-BK$140)^2+($D233-BK$141)^2)</f>
        <v>1.21288927396346</v>
      </c>
      <c r="BL233" s="63" t="n">
        <f aca="false">MATCH(MIN(BH233:BK233),BH233:BK233,0)</f>
        <v>4</v>
      </c>
      <c r="BN233" s="17" t="n">
        <f aca="false">SQRT(($B233-BN$139)^2+($C233-BN$140)^2+($D233-BN$141)^2)</f>
        <v>4.78061054681775</v>
      </c>
      <c r="BO233" s="17" t="n">
        <f aca="false">SQRT(($B233-BO$139)^2+($C233-BO$140)^2+($D233-BO$141)^2)</f>
        <v>1.8654164157688</v>
      </c>
      <c r="BP233" s="17" t="n">
        <f aca="false">SQRT(($B233-BP$139)^2+($C233-BP$140)^2+($D233-BP$141)^2)</f>
        <v>1.55898666726148</v>
      </c>
      <c r="BQ233" s="17" t="n">
        <f aca="false">SQRT(($B233-BQ$139)^2+($C233-BQ$140)^2+($D233-BQ$141)^2)</f>
        <v>1.21288927396346</v>
      </c>
      <c r="BR233" s="63" t="n">
        <f aca="false">MATCH(MIN(BN233:BQ233),BN233:BQ233,0)</f>
        <v>4</v>
      </c>
      <c r="BT233" s="17" t="n">
        <f aca="false">SQRT(($B233-BT$139)^2+($C233-BT$140)^2+($D233-BT$141)^2)</f>
        <v>4.78061054681775</v>
      </c>
      <c r="BU233" s="17" t="n">
        <f aca="false">SQRT(($B233-BU$139)^2+($C233-BU$140)^2+($D233-BU$141)^2)</f>
        <v>1.8654164157688</v>
      </c>
      <c r="BV233" s="17" t="n">
        <f aca="false">SQRT(($B233-BV$139)^2+($C233-BV$140)^2+($D233-BV$141)^2)</f>
        <v>1.55898666726148</v>
      </c>
      <c r="BW233" s="17" t="n">
        <f aca="false">SQRT(($B233-BW$139)^2+($C233-BW$140)^2+($D233-BW$141)^2)</f>
        <v>1.21288927396346</v>
      </c>
      <c r="BX233" s="63" t="n">
        <f aca="false">MATCH(MIN(BT233:BW233),BT233:BW233,0)</f>
        <v>4</v>
      </c>
      <c r="BZ233" s="17" t="n">
        <f aca="false">SQRT(($B233-BZ$139)^2+($C233-BZ$140)^2+($D233-BZ$141)^2)</f>
        <v>4.78061054681775</v>
      </c>
      <c r="CA233" s="17" t="n">
        <f aca="false">SQRT(($B233-CA$139)^2+($C233-CA$140)^2+($D233-CA$141)^2)</f>
        <v>1.8654164157688</v>
      </c>
      <c r="CB233" s="17" t="n">
        <f aca="false">SQRT(($B233-CB$139)^2+($C233-CB$140)^2+($D233-CB$141)^2)</f>
        <v>1.55898666726148</v>
      </c>
      <c r="CC233" s="17" t="n">
        <f aca="false">SQRT(($B233-CC$139)^2+($C233-CC$140)^2+($D233-CC$141)^2)</f>
        <v>1.21288927396346</v>
      </c>
      <c r="CD233" s="63" t="n">
        <f aca="false">MATCH(MIN(BZ233:CC233),BZ233:CC233,0)</f>
        <v>4</v>
      </c>
      <c r="CF233" s="17" t="n">
        <f aca="false">SQRT(($B233-CF$139)^2+($C233-CF$140)^2+($D233-CF$141)^2)</f>
        <v>4.78061054681775</v>
      </c>
      <c r="CG233" s="17" t="n">
        <f aca="false">SQRT(($B233-CG$139)^2+($C233-CG$140)^2+($D233-CG$141)^2)</f>
        <v>1.8654164157688</v>
      </c>
      <c r="CH233" s="17" t="n">
        <f aca="false">SQRT(($B233-CH$139)^2+($C233-CH$140)^2+($D233-CH$141)^2)</f>
        <v>1.55898666726148</v>
      </c>
      <c r="CI233" s="17" t="n">
        <f aca="false">SQRT(($B233-CI$139)^2+($C233-CI$140)^2+($D233-CI$141)^2)</f>
        <v>1.21288927396346</v>
      </c>
      <c r="CJ233" s="63" t="n">
        <f aca="false">MATCH(MIN(CF233:CI233),CF233:CI233,0)</f>
        <v>4</v>
      </c>
      <c r="CL233" s="17" t="n">
        <f aca="false">SQRT(($B233-CL$139)^2+($C233-CL$140)^2+($D233-CL$141)^2)</f>
        <v>4.78061054681775</v>
      </c>
      <c r="CM233" s="17" t="n">
        <f aca="false">SQRT(($B233-CM$139)^2+($C233-CM$140)^2+($D233-CM$141)^2)</f>
        <v>1.8654164157688</v>
      </c>
      <c r="CN233" s="17" t="n">
        <f aca="false">SQRT(($B233-CN$139)^2+($C233-CN$140)^2+($D233-CN$141)^2)</f>
        <v>1.55898666726148</v>
      </c>
      <c r="CO233" s="17" t="n">
        <f aca="false">SQRT(($B233-CO$139)^2+($C233-CO$140)^2+($D233-CO$141)^2)</f>
        <v>1.21288927396346</v>
      </c>
      <c r="CP233" s="63" t="n">
        <f aca="false">MATCH(MIN(CL233:CO233),CL233:CO233,0)</f>
        <v>4</v>
      </c>
    </row>
    <row r="234" customFormat="false" ht="15" hidden="false" customHeight="false" outlineLevel="0" collapsed="false">
      <c r="A234" s="36" t="str">
        <f aca="false">KMeans_Data!A93</f>
        <v>Lakki Marwat</v>
      </c>
      <c r="B234" s="17" t="n">
        <f aca="false">KMeans_Data!H93</f>
        <v>-0.744758744633192</v>
      </c>
      <c r="C234" s="17" t="n">
        <f aca="false">KMeans_Data!I93</f>
        <v>-0.146983133929529</v>
      </c>
      <c r="D234" s="17" t="n">
        <f aca="false">KMeans_Data!J93</f>
        <v>-0.182049815029191</v>
      </c>
      <c r="E234" s="63" t="n">
        <f aca="false">CP234</f>
        <v>4</v>
      </c>
      <c r="F234" s="38" t="n">
        <f aca="false">($B234-INDEX($L$139:$O$139,E234))^2+($C234-INDEX($L$140:$O$140,E234))^2+($D234-INDEX($L$141:$O$141,E234))^2</f>
        <v>0.547204451728636</v>
      </c>
      <c r="G234" s="17" t="n">
        <f aca="false">IF(COUNTIF(Distance_Matrix!$E$10:$DQ$10,$E234)&lt;=1,0,SUMIF(Distance_Matrix!$E$10:$DQ$10,$E234,Distance_Matrix!$E$102:$DQ$102)/(COUNTIF(Distance_Matrix!$E$10:$DQ$10,$E234)-1))</f>
        <v>1.01703870197446</v>
      </c>
      <c r="H234" s="17" t="n">
        <f aca="false">MIN(IF(1=$E234,1E+099,IF(COUNTIF(Distance_Matrix!$E$10:$DQ$10,1)=0,1E+099,SUMIF(Distance_Matrix!$E$10:$DQ$10,1,Distance_Matrix!$E$102:$DQ$102)/COUNTIF(Distance_Matrix!$E$10:$DQ$10,1))),IF(2=$E234,1E+099,IF(COUNTIF(Distance_Matrix!$E$10:$DQ$10,2)=0,1E+099,SUMIF(Distance_Matrix!$E$10:$DQ$10,2,Distance_Matrix!$E$102:$DQ$102)/COUNTIF(Distance_Matrix!$E$10:$DQ$10,2))),IF(3=$E234,1E+099,IF(COUNTIF(Distance_Matrix!$E$10:$DQ$10,3)=0,1E+099,SUMIF(Distance_Matrix!$E$10:$DQ$10,3,Distance_Matrix!$E$102:$DQ$102)/COUNTIF(Distance_Matrix!$E$10:$DQ$10,3))),IF(4=$E234,1E+099,IF(COUNTIF(Distance_Matrix!$E$10:$DQ$10,4)=0,1E+099,SUMIF(Distance_Matrix!$E$10:$DQ$10,4,Distance_Matrix!$E$102:$DQ$102)/COUNTIF(Distance_Matrix!$E$10:$DQ$10,4))))</f>
        <v>1.21434302136324</v>
      </c>
      <c r="I234" s="17" t="n">
        <f aca="false">IF(COUNTIF(Distance_Matrix!$E$10:$DQ$10,$E234)&lt;=1,0,(H234-G234)/MAX(G234,H234))</f>
        <v>0.162478242076346</v>
      </c>
      <c r="X234" s="17" t="n">
        <f aca="false">SQRT(($B234-X$139)^2+($C234-X$140)^2+($D234-X$141)^2)</f>
        <v>6.74327164312577</v>
      </c>
      <c r="Y234" s="17" t="n">
        <f aca="false">SQRT(($B234-Y$139)^2+($C234-Y$140)^2+($D234-Y$141)^2)</f>
        <v>1.72829678257275</v>
      </c>
      <c r="Z234" s="17" t="n">
        <f aca="false">SQRT(($B234-Z$139)^2+($C234-Z$140)^2+($D234-Z$141)^2)</f>
        <v>2.48652302232641</v>
      </c>
      <c r="AA234" s="17" t="n">
        <f aca="false">SQRT(($B234-AA$139)^2+($C234-AA$140)^2+($D234-AA$141)^2)</f>
        <v>1.69168985842034</v>
      </c>
      <c r="AB234" s="63" t="n">
        <f aca="false">MATCH(MIN(X234:AA234),X234:AA234,0)</f>
        <v>4</v>
      </c>
      <c r="AD234" s="17" t="n">
        <f aca="false">SQRT(($B234-AD$139)^2+($C234-AD$140)^2+($D234-AD$141)^2)</f>
        <v>5.75684441084839</v>
      </c>
      <c r="AE234" s="17" t="n">
        <f aca="false">SQRT(($B234-AE$139)^2+($C234-AE$140)^2+($D234-AE$141)^2)</f>
        <v>1.03463499277767</v>
      </c>
      <c r="AF234" s="17" t="n">
        <f aca="false">SQRT(($B234-AF$139)^2+($C234-AF$140)^2+($D234-AF$141)^2)</f>
        <v>1.86551468252484</v>
      </c>
      <c r="AG234" s="17" t="n">
        <f aca="false">SQRT(($B234-AG$139)^2+($C234-AG$140)^2+($D234-AG$141)^2)</f>
        <v>0.832500496274901</v>
      </c>
      <c r="AH234" s="63" t="n">
        <f aca="false">MATCH(MIN(AD234:AG234),AD234:AG234,0)</f>
        <v>4</v>
      </c>
      <c r="AJ234" s="17" t="n">
        <f aca="false">SQRT(($B234-AJ$139)^2+($C234-AJ$140)^2+($D234-AJ$141)^2)</f>
        <v>5.42205356491944</v>
      </c>
      <c r="AK234" s="17" t="n">
        <f aca="false">SQRT(($B234-AK$139)^2+($C234-AK$140)^2+($D234-AK$141)^2)</f>
        <v>1.06785375557173</v>
      </c>
      <c r="AL234" s="17" t="n">
        <f aca="false">SQRT(($B234-AL$139)^2+($C234-AL$140)^2+($D234-AL$141)^2)</f>
        <v>1.93471608640538</v>
      </c>
      <c r="AM234" s="17" t="n">
        <f aca="false">SQRT(($B234-AM$139)^2+($C234-AM$140)^2+($D234-AM$141)^2)</f>
        <v>0.776586509636184</v>
      </c>
      <c r="AN234" s="63" t="n">
        <f aca="false">MATCH(MIN(AJ234:AM234),AJ234:AM234,0)</f>
        <v>4</v>
      </c>
      <c r="AP234" s="17" t="n">
        <f aca="false">SQRT(($B234-AP$139)^2+($C234-AP$140)^2+($D234-AP$141)^2)</f>
        <v>5.12595381636272</v>
      </c>
      <c r="AQ234" s="17" t="n">
        <f aca="false">SQRT(($B234-AQ$139)^2+($C234-AQ$140)^2+($D234-AQ$141)^2)</f>
        <v>1.15514510877123</v>
      </c>
      <c r="AR234" s="17" t="n">
        <f aca="false">SQRT(($B234-AR$139)^2+($C234-AR$140)^2+($D234-AR$141)^2)</f>
        <v>1.89246494901347</v>
      </c>
      <c r="AS234" s="17" t="n">
        <f aca="false">SQRT(($B234-AS$139)^2+($C234-AS$140)^2+($D234-AS$141)^2)</f>
        <v>0.739732689374098</v>
      </c>
      <c r="AT234" s="63" t="n">
        <f aca="false">MATCH(MIN(AP234:AS234),AP234:AS234,0)</f>
        <v>4</v>
      </c>
      <c r="AV234" s="17" t="n">
        <f aca="false">SQRT(($B234-AV$139)^2+($C234-AV$140)^2+($D234-AV$141)^2)</f>
        <v>5.12595381636272</v>
      </c>
      <c r="AW234" s="17" t="n">
        <f aca="false">SQRT(($B234-AW$139)^2+($C234-AW$140)^2+($D234-AW$141)^2)</f>
        <v>1.15514510877123</v>
      </c>
      <c r="AX234" s="17" t="n">
        <f aca="false">SQRT(($B234-AX$139)^2+($C234-AX$140)^2+($D234-AX$141)^2)</f>
        <v>1.89246494901347</v>
      </c>
      <c r="AY234" s="17" t="n">
        <f aca="false">SQRT(($B234-AY$139)^2+($C234-AY$140)^2+($D234-AY$141)^2)</f>
        <v>0.739732689374098</v>
      </c>
      <c r="AZ234" s="63" t="n">
        <f aca="false">MATCH(MIN(AV234:AY234),AV234:AY234,0)</f>
        <v>4</v>
      </c>
      <c r="BB234" s="17" t="n">
        <f aca="false">SQRT(($B234-BB$139)^2+($C234-BB$140)^2+($D234-BB$141)^2)</f>
        <v>5.12595381636272</v>
      </c>
      <c r="BC234" s="17" t="n">
        <f aca="false">SQRT(($B234-BC$139)^2+($C234-BC$140)^2+($D234-BC$141)^2)</f>
        <v>1.15514510877123</v>
      </c>
      <c r="BD234" s="17" t="n">
        <f aca="false">SQRT(($B234-BD$139)^2+($C234-BD$140)^2+($D234-BD$141)^2)</f>
        <v>1.89246494901347</v>
      </c>
      <c r="BE234" s="17" t="n">
        <f aca="false">SQRT(($B234-BE$139)^2+($C234-BE$140)^2+($D234-BE$141)^2)</f>
        <v>0.739732689374098</v>
      </c>
      <c r="BF234" s="63" t="n">
        <f aca="false">MATCH(MIN(BB234:BE234),BB234:BE234,0)</f>
        <v>4</v>
      </c>
      <c r="BH234" s="17" t="n">
        <f aca="false">SQRT(($B234-BH$139)^2+($C234-BH$140)^2+($D234-BH$141)^2)</f>
        <v>5.12595381636272</v>
      </c>
      <c r="BI234" s="17" t="n">
        <f aca="false">SQRT(($B234-BI$139)^2+($C234-BI$140)^2+($D234-BI$141)^2)</f>
        <v>1.15514510877123</v>
      </c>
      <c r="BJ234" s="17" t="n">
        <f aca="false">SQRT(($B234-BJ$139)^2+($C234-BJ$140)^2+($D234-BJ$141)^2)</f>
        <v>1.89246494901347</v>
      </c>
      <c r="BK234" s="17" t="n">
        <f aca="false">SQRT(($B234-BK$139)^2+($C234-BK$140)^2+($D234-BK$141)^2)</f>
        <v>0.739732689374098</v>
      </c>
      <c r="BL234" s="63" t="n">
        <f aca="false">MATCH(MIN(BH234:BK234),BH234:BK234,0)</f>
        <v>4</v>
      </c>
      <c r="BN234" s="17" t="n">
        <f aca="false">SQRT(($B234-BN$139)^2+($C234-BN$140)^2+($D234-BN$141)^2)</f>
        <v>5.12595381636272</v>
      </c>
      <c r="BO234" s="17" t="n">
        <f aca="false">SQRT(($B234-BO$139)^2+($C234-BO$140)^2+($D234-BO$141)^2)</f>
        <v>1.15514510877123</v>
      </c>
      <c r="BP234" s="17" t="n">
        <f aca="false">SQRT(($B234-BP$139)^2+($C234-BP$140)^2+($D234-BP$141)^2)</f>
        <v>1.89246494901347</v>
      </c>
      <c r="BQ234" s="17" t="n">
        <f aca="false">SQRT(($B234-BQ$139)^2+($C234-BQ$140)^2+($D234-BQ$141)^2)</f>
        <v>0.739732689374098</v>
      </c>
      <c r="BR234" s="63" t="n">
        <f aca="false">MATCH(MIN(BN234:BQ234),BN234:BQ234,0)</f>
        <v>4</v>
      </c>
      <c r="BT234" s="17" t="n">
        <f aca="false">SQRT(($B234-BT$139)^2+($C234-BT$140)^2+($D234-BT$141)^2)</f>
        <v>5.12595381636272</v>
      </c>
      <c r="BU234" s="17" t="n">
        <f aca="false">SQRT(($B234-BU$139)^2+($C234-BU$140)^2+($D234-BU$141)^2)</f>
        <v>1.15514510877123</v>
      </c>
      <c r="BV234" s="17" t="n">
        <f aca="false">SQRT(($B234-BV$139)^2+($C234-BV$140)^2+($D234-BV$141)^2)</f>
        <v>1.89246494901347</v>
      </c>
      <c r="BW234" s="17" t="n">
        <f aca="false">SQRT(($B234-BW$139)^2+($C234-BW$140)^2+($D234-BW$141)^2)</f>
        <v>0.739732689374098</v>
      </c>
      <c r="BX234" s="63" t="n">
        <f aca="false">MATCH(MIN(BT234:BW234),BT234:BW234,0)</f>
        <v>4</v>
      </c>
      <c r="BZ234" s="17" t="n">
        <f aca="false">SQRT(($B234-BZ$139)^2+($C234-BZ$140)^2+($D234-BZ$141)^2)</f>
        <v>5.12595381636272</v>
      </c>
      <c r="CA234" s="17" t="n">
        <f aca="false">SQRT(($B234-CA$139)^2+($C234-CA$140)^2+($D234-CA$141)^2)</f>
        <v>1.15514510877123</v>
      </c>
      <c r="CB234" s="17" t="n">
        <f aca="false">SQRT(($B234-CB$139)^2+($C234-CB$140)^2+($D234-CB$141)^2)</f>
        <v>1.89246494901347</v>
      </c>
      <c r="CC234" s="17" t="n">
        <f aca="false">SQRT(($B234-CC$139)^2+($C234-CC$140)^2+($D234-CC$141)^2)</f>
        <v>0.739732689374098</v>
      </c>
      <c r="CD234" s="63" t="n">
        <f aca="false">MATCH(MIN(BZ234:CC234),BZ234:CC234,0)</f>
        <v>4</v>
      </c>
      <c r="CF234" s="17" t="n">
        <f aca="false">SQRT(($B234-CF$139)^2+($C234-CF$140)^2+($D234-CF$141)^2)</f>
        <v>5.12595381636272</v>
      </c>
      <c r="CG234" s="17" t="n">
        <f aca="false">SQRT(($B234-CG$139)^2+($C234-CG$140)^2+($D234-CG$141)^2)</f>
        <v>1.15514510877123</v>
      </c>
      <c r="CH234" s="17" t="n">
        <f aca="false">SQRT(($B234-CH$139)^2+($C234-CH$140)^2+($D234-CH$141)^2)</f>
        <v>1.89246494901347</v>
      </c>
      <c r="CI234" s="17" t="n">
        <f aca="false">SQRT(($B234-CI$139)^2+($C234-CI$140)^2+($D234-CI$141)^2)</f>
        <v>0.739732689374098</v>
      </c>
      <c r="CJ234" s="63" t="n">
        <f aca="false">MATCH(MIN(CF234:CI234),CF234:CI234,0)</f>
        <v>4</v>
      </c>
      <c r="CL234" s="17" t="n">
        <f aca="false">SQRT(($B234-CL$139)^2+($C234-CL$140)^2+($D234-CL$141)^2)</f>
        <v>5.12595381636272</v>
      </c>
      <c r="CM234" s="17" t="n">
        <f aca="false">SQRT(($B234-CM$139)^2+($C234-CM$140)^2+($D234-CM$141)^2)</f>
        <v>1.15514510877123</v>
      </c>
      <c r="CN234" s="17" t="n">
        <f aca="false">SQRT(($B234-CN$139)^2+($C234-CN$140)^2+($D234-CN$141)^2)</f>
        <v>1.89246494901347</v>
      </c>
      <c r="CO234" s="17" t="n">
        <f aca="false">SQRT(($B234-CO$139)^2+($C234-CO$140)^2+($D234-CO$141)^2)</f>
        <v>0.739732689374098</v>
      </c>
      <c r="CP234" s="63" t="n">
        <f aca="false">MATCH(MIN(CL234:CO234),CL234:CO234,0)</f>
        <v>4</v>
      </c>
    </row>
    <row r="235" customFormat="false" ht="15" hidden="false" customHeight="false" outlineLevel="0" collapsed="false">
      <c r="A235" s="36" t="str">
        <f aca="false">KMeans_Data!A94</f>
        <v>Taftan</v>
      </c>
      <c r="B235" s="17" t="n">
        <f aca="false">KMeans_Data!H94</f>
        <v>-0.744758744633192</v>
      </c>
      <c r="C235" s="17" t="n">
        <f aca="false">KMeans_Data!I94</f>
        <v>-0.672650545388274</v>
      </c>
      <c r="D235" s="17" t="n">
        <f aca="false">KMeans_Data!J94</f>
        <v>-1.14564411633355</v>
      </c>
      <c r="E235" s="63" t="n">
        <f aca="false">CP235</f>
        <v>2</v>
      </c>
      <c r="F235" s="38" t="n">
        <f aca="false">($B235-INDEX($L$139:$O$139,E235))^2+($C235-INDEX($L$140:$O$140,E235))^2+($D235-INDEX($L$141:$O$141,E235))^2</f>
        <v>0.289911868760181</v>
      </c>
      <c r="G235" s="17" t="n">
        <f aca="false">IF(COUNTIF(Distance_Matrix!$E$10:$DQ$10,$E235)&lt;=1,0,SUMIF(Distance_Matrix!$E$10:$DQ$10,$E235,Distance_Matrix!$E$103:$DQ$103)/(COUNTIF(Distance_Matrix!$E$10:$DQ$10,$E235)-1))</f>
        <v>0.622835318565105</v>
      </c>
      <c r="H235" s="17" t="n">
        <f aca="false">MIN(IF(1=$E235,1E+099,IF(COUNTIF(Distance_Matrix!$E$10:$DQ$10,1)=0,1E+099,SUMIF(Distance_Matrix!$E$10:$DQ$10,1,Distance_Matrix!$E$103:$DQ$103)/COUNTIF(Distance_Matrix!$E$10:$DQ$10,1))),IF(2=$E235,1E+099,IF(COUNTIF(Distance_Matrix!$E$10:$DQ$10,2)=0,1E+099,SUMIF(Distance_Matrix!$E$10:$DQ$10,2,Distance_Matrix!$E$103:$DQ$103)/COUNTIF(Distance_Matrix!$E$10:$DQ$10,2))),IF(3=$E235,1E+099,IF(COUNTIF(Distance_Matrix!$E$10:$DQ$10,3)=0,1E+099,SUMIF(Distance_Matrix!$E$10:$DQ$10,3,Distance_Matrix!$E$103:$DQ$103)/COUNTIF(Distance_Matrix!$E$10:$DQ$10,3))),IF(4=$E235,1E+099,IF(COUNTIF(Distance_Matrix!$E$10:$DQ$10,4)=0,1E+099,SUMIF(Distance_Matrix!$E$10:$DQ$10,4,Distance_Matrix!$E$103:$DQ$103)/COUNTIF(Distance_Matrix!$E$10:$DQ$10,4))))</f>
        <v>1.18058089896176</v>
      </c>
      <c r="I235" s="17" t="n">
        <f aca="false">IF(COUNTIF(Distance_Matrix!$E$10:$DQ$10,$E235)&lt;=1,0,(H235-G235)/MAX(G235,H235))</f>
        <v>0.472433173268479</v>
      </c>
      <c r="X235" s="17" t="n">
        <f aca="false">SQRT(($B235-X$139)^2+($C235-X$140)^2+($D235-X$141)^2)</f>
        <v>7.59583452709132</v>
      </c>
      <c r="Y235" s="17" t="n">
        <f aca="false">SQRT(($B235-Y$139)^2+($C235-Y$140)^2+($D235-Y$141)^2)</f>
        <v>1.33497923717013</v>
      </c>
      <c r="Z235" s="17" t="n">
        <f aca="false">SQRT(($B235-Z$139)^2+($C235-Z$140)^2+($D235-Z$141)^2)</f>
        <v>3.33539814601637</v>
      </c>
      <c r="AA235" s="17" t="n">
        <f aca="false">SQRT(($B235-AA$139)^2+($C235-AA$140)^2+($D235-AA$141)^2)</f>
        <v>1.48648135778614</v>
      </c>
      <c r="AB235" s="63" t="n">
        <f aca="false">MATCH(MIN(X235:AA235),X235:AA235,0)</f>
        <v>2</v>
      </c>
      <c r="AD235" s="17" t="n">
        <f aca="false">SQRT(($B235-AD$139)^2+($C235-AD$140)^2+($D235-AD$141)^2)</f>
        <v>6.58303998604327</v>
      </c>
      <c r="AE235" s="17" t="n">
        <f aca="false">SQRT(($B235-AE$139)^2+($C235-AE$140)^2+($D235-AE$141)^2)</f>
        <v>0.539349319702964</v>
      </c>
      <c r="AF235" s="17" t="n">
        <f aca="false">SQRT(($B235-AF$139)^2+($C235-AF$140)^2+($D235-AF$141)^2)</f>
        <v>2.73716935545428</v>
      </c>
      <c r="AG235" s="17" t="n">
        <f aca="false">SQRT(($B235-AG$139)^2+($C235-AG$140)^2+($D235-AG$141)^2)</f>
        <v>0.947889969601611</v>
      </c>
      <c r="AH235" s="63" t="n">
        <f aca="false">MATCH(MIN(AD235:AG235),AD235:AG235,0)</f>
        <v>2</v>
      </c>
      <c r="AJ235" s="17" t="n">
        <f aca="false">SQRT(($B235-AJ$139)^2+($C235-AJ$140)^2+($D235-AJ$141)^2)</f>
        <v>6.24380513619385</v>
      </c>
      <c r="AK235" s="17" t="n">
        <f aca="false">SQRT(($B235-AK$139)^2+($C235-AK$140)^2+($D235-AK$141)^2)</f>
        <v>0.513455658435984</v>
      </c>
      <c r="AL235" s="17" t="n">
        <f aca="false">SQRT(($B235-AL$139)^2+($C235-AL$140)^2+($D235-AL$141)^2)</f>
        <v>2.8018127569217</v>
      </c>
      <c r="AM235" s="17" t="n">
        <f aca="false">SQRT(($B235-AM$139)^2+($C235-AM$140)^2+($D235-AM$141)^2)</f>
        <v>1.02559143042424</v>
      </c>
      <c r="AN235" s="63" t="n">
        <f aca="false">MATCH(MIN(AJ235:AM235),AJ235:AM235,0)</f>
        <v>2</v>
      </c>
      <c r="AP235" s="17" t="n">
        <f aca="false">SQRT(($B235-AP$139)^2+($C235-AP$140)^2+($D235-AP$141)^2)</f>
        <v>5.95009831177149</v>
      </c>
      <c r="AQ235" s="17" t="n">
        <f aca="false">SQRT(($B235-AQ$139)^2+($C235-AQ$140)^2+($D235-AQ$141)^2)</f>
        <v>0.53843464669371</v>
      </c>
      <c r="AR235" s="17" t="n">
        <f aca="false">SQRT(($B235-AR$139)^2+($C235-AR$140)^2+($D235-AR$141)^2)</f>
        <v>2.75946692673446</v>
      </c>
      <c r="AS235" s="17" t="n">
        <f aca="false">SQRT(($B235-AS$139)^2+($C235-AS$140)^2+($D235-AS$141)^2)</f>
        <v>1.0002028670786</v>
      </c>
      <c r="AT235" s="63" t="n">
        <f aca="false">MATCH(MIN(AP235:AS235),AP235:AS235,0)</f>
        <v>2</v>
      </c>
      <c r="AV235" s="17" t="n">
        <f aca="false">SQRT(($B235-AV$139)^2+($C235-AV$140)^2+($D235-AV$141)^2)</f>
        <v>5.95009831177149</v>
      </c>
      <c r="AW235" s="17" t="n">
        <f aca="false">SQRT(($B235-AW$139)^2+($C235-AW$140)^2+($D235-AW$141)^2)</f>
        <v>0.53843464669371</v>
      </c>
      <c r="AX235" s="17" t="n">
        <f aca="false">SQRT(($B235-AX$139)^2+($C235-AX$140)^2+($D235-AX$141)^2)</f>
        <v>2.75946692673446</v>
      </c>
      <c r="AY235" s="17" t="n">
        <f aca="false">SQRT(($B235-AY$139)^2+($C235-AY$140)^2+($D235-AY$141)^2)</f>
        <v>1.0002028670786</v>
      </c>
      <c r="AZ235" s="63" t="n">
        <f aca="false">MATCH(MIN(AV235:AY235),AV235:AY235,0)</f>
        <v>2</v>
      </c>
      <c r="BB235" s="17" t="n">
        <f aca="false">SQRT(($B235-BB$139)^2+($C235-BB$140)^2+($D235-BB$141)^2)</f>
        <v>5.95009831177149</v>
      </c>
      <c r="BC235" s="17" t="n">
        <f aca="false">SQRT(($B235-BC$139)^2+($C235-BC$140)^2+($D235-BC$141)^2)</f>
        <v>0.53843464669371</v>
      </c>
      <c r="BD235" s="17" t="n">
        <f aca="false">SQRT(($B235-BD$139)^2+($C235-BD$140)^2+($D235-BD$141)^2)</f>
        <v>2.75946692673446</v>
      </c>
      <c r="BE235" s="17" t="n">
        <f aca="false">SQRT(($B235-BE$139)^2+($C235-BE$140)^2+($D235-BE$141)^2)</f>
        <v>1.0002028670786</v>
      </c>
      <c r="BF235" s="63" t="n">
        <f aca="false">MATCH(MIN(BB235:BE235),BB235:BE235,0)</f>
        <v>2</v>
      </c>
      <c r="BH235" s="17" t="n">
        <f aca="false">SQRT(($B235-BH$139)^2+($C235-BH$140)^2+($D235-BH$141)^2)</f>
        <v>5.95009831177149</v>
      </c>
      <c r="BI235" s="17" t="n">
        <f aca="false">SQRT(($B235-BI$139)^2+($C235-BI$140)^2+($D235-BI$141)^2)</f>
        <v>0.53843464669371</v>
      </c>
      <c r="BJ235" s="17" t="n">
        <f aca="false">SQRT(($B235-BJ$139)^2+($C235-BJ$140)^2+($D235-BJ$141)^2)</f>
        <v>2.75946692673446</v>
      </c>
      <c r="BK235" s="17" t="n">
        <f aca="false">SQRT(($B235-BK$139)^2+($C235-BK$140)^2+($D235-BK$141)^2)</f>
        <v>1.0002028670786</v>
      </c>
      <c r="BL235" s="63" t="n">
        <f aca="false">MATCH(MIN(BH235:BK235),BH235:BK235,0)</f>
        <v>2</v>
      </c>
      <c r="BN235" s="17" t="n">
        <f aca="false">SQRT(($B235-BN$139)^2+($C235-BN$140)^2+($D235-BN$141)^2)</f>
        <v>5.95009831177149</v>
      </c>
      <c r="BO235" s="17" t="n">
        <f aca="false">SQRT(($B235-BO$139)^2+($C235-BO$140)^2+($D235-BO$141)^2)</f>
        <v>0.53843464669371</v>
      </c>
      <c r="BP235" s="17" t="n">
        <f aca="false">SQRT(($B235-BP$139)^2+($C235-BP$140)^2+($D235-BP$141)^2)</f>
        <v>2.75946692673446</v>
      </c>
      <c r="BQ235" s="17" t="n">
        <f aca="false">SQRT(($B235-BQ$139)^2+($C235-BQ$140)^2+($D235-BQ$141)^2)</f>
        <v>1.0002028670786</v>
      </c>
      <c r="BR235" s="63" t="n">
        <f aca="false">MATCH(MIN(BN235:BQ235),BN235:BQ235,0)</f>
        <v>2</v>
      </c>
      <c r="BT235" s="17" t="n">
        <f aca="false">SQRT(($B235-BT$139)^2+($C235-BT$140)^2+($D235-BT$141)^2)</f>
        <v>5.95009831177149</v>
      </c>
      <c r="BU235" s="17" t="n">
        <f aca="false">SQRT(($B235-BU$139)^2+($C235-BU$140)^2+($D235-BU$141)^2)</f>
        <v>0.53843464669371</v>
      </c>
      <c r="BV235" s="17" t="n">
        <f aca="false">SQRT(($B235-BV$139)^2+($C235-BV$140)^2+($D235-BV$141)^2)</f>
        <v>2.75946692673446</v>
      </c>
      <c r="BW235" s="17" t="n">
        <f aca="false">SQRT(($B235-BW$139)^2+($C235-BW$140)^2+($D235-BW$141)^2)</f>
        <v>1.0002028670786</v>
      </c>
      <c r="BX235" s="63" t="n">
        <f aca="false">MATCH(MIN(BT235:BW235),BT235:BW235,0)</f>
        <v>2</v>
      </c>
      <c r="BZ235" s="17" t="n">
        <f aca="false">SQRT(($B235-BZ$139)^2+($C235-BZ$140)^2+($D235-BZ$141)^2)</f>
        <v>5.95009831177149</v>
      </c>
      <c r="CA235" s="17" t="n">
        <f aca="false">SQRT(($B235-CA$139)^2+($C235-CA$140)^2+($D235-CA$141)^2)</f>
        <v>0.53843464669371</v>
      </c>
      <c r="CB235" s="17" t="n">
        <f aca="false">SQRT(($B235-CB$139)^2+($C235-CB$140)^2+($D235-CB$141)^2)</f>
        <v>2.75946692673446</v>
      </c>
      <c r="CC235" s="17" t="n">
        <f aca="false">SQRT(($B235-CC$139)^2+($C235-CC$140)^2+($D235-CC$141)^2)</f>
        <v>1.0002028670786</v>
      </c>
      <c r="CD235" s="63" t="n">
        <f aca="false">MATCH(MIN(BZ235:CC235),BZ235:CC235,0)</f>
        <v>2</v>
      </c>
      <c r="CF235" s="17" t="n">
        <f aca="false">SQRT(($B235-CF$139)^2+($C235-CF$140)^2+($D235-CF$141)^2)</f>
        <v>5.95009831177149</v>
      </c>
      <c r="CG235" s="17" t="n">
        <f aca="false">SQRT(($B235-CG$139)^2+($C235-CG$140)^2+($D235-CG$141)^2)</f>
        <v>0.53843464669371</v>
      </c>
      <c r="CH235" s="17" t="n">
        <f aca="false">SQRT(($B235-CH$139)^2+($C235-CH$140)^2+($D235-CH$141)^2)</f>
        <v>2.75946692673446</v>
      </c>
      <c r="CI235" s="17" t="n">
        <f aca="false">SQRT(($B235-CI$139)^2+($C235-CI$140)^2+($D235-CI$141)^2)</f>
        <v>1.0002028670786</v>
      </c>
      <c r="CJ235" s="63" t="n">
        <f aca="false">MATCH(MIN(CF235:CI235),CF235:CI235,0)</f>
        <v>2</v>
      </c>
      <c r="CL235" s="17" t="n">
        <f aca="false">SQRT(($B235-CL$139)^2+($C235-CL$140)^2+($D235-CL$141)^2)</f>
        <v>5.95009831177149</v>
      </c>
      <c r="CM235" s="17" t="n">
        <f aca="false">SQRT(($B235-CM$139)^2+($C235-CM$140)^2+($D235-CM$141)^2)</f>
        <v>0.53843464669371</v>
      </c>
      <c r="CN235" s="17" t="n">
        <f aca="false">SQRT(($B235-CN$139)^2+($C235-CN$140)^2+($D235-CN$141)^2)</f>
        <v>2.75946692673446</v>
      </c>
      <c r="CO235" s="17" t="n">
        <f aca="false">SQRT(($B235-CO$139)^2+($C235-CO$140)^2+($D235-CO$141)^2)</f>
        <v>1.0002028670786</v>
      </c>
      <c r="CP235" s="63" t="n">
        <f aca="false">MATCH(MIN(CL235:CO235),CL235:CO235,0)</f>
        <v>2</v>
      </c>
    </row>
    <row r="236" customFormat="false" ht="15" hidden="false" customHeight="false" outlineLevel="0" collapsed="false">
      <c r="A236" s="36" t="str">
        <f aca="false">KMeans_Data!A95</f>
        <v>Orakzai</v>
      </c>
      <c r="B236" s="17" t="n">
        <f aca="false">KMeans_Data!H95</f>
        <v>-0.786418574103199</v>
      </c>
      <c r="C236" s="17" t="n">
        <f aca="false">KMeans_Data!I95</f>
        <v>-0.672650545388274</v>
      </c>
      <c r="D236" s="17" t="n">
        <f aca="false">KMeans_Data!J95</f>
        <v>-0.399845222909568</v>
      </c>
      <c r="E236" s="63" t="n">
        <f aca="false">CP236</f>
        <v>4</v>
      </c>
      <c r="F236" s="38" t="n">
        <f aca="false">($B236-INDEX($L$139:$O$139,E236))^2+($C236-INDEX($L$140:$O$140,E236))^2+($D236-INDEX($L$141:$O$141,E236))^2</f>
        <v>0.460311580339701</v>
      </c>
      <c r="G236" s="17" t="n">
        <f aca="false">IF(COUNTIF(Distance_Matrix!$E$10:$DQ$10,$E236)&lt;=1,0,SUMIF(Distance_Matrix!$E$10:$DQ$10,$E236,Distance_Matrix!$E$104:$DQ$104)/(COUNTIF(Distance_Matrix!$E$10:$DQ$10,$E236)-1))</f>
        <v>0.948691118214394</v>
      </c>
      <c r="H236" s="17" t="n">
        <f aca="false">MIN(IF(1=$E236,1E+099,IF(COUNTIF(Distance_Matrix!$E$10:$DQ$10,1)=0,1E+099,SUMIF(Distance_Matrix!$E$10:$DQ$10,1,Distance_Matrix!$E$104:$DQ$104)/COUNTIF(Distance_Matrix!$E$10:$DQ$10,1))),IF(2=$E236,1E+099,IF(COUNTIF(Distance_Matrix!$E$10:$DQ$10,2)=0,1E+099,SUMIF(Distance_Matrix!$E$10:$DQ$10,2,Distance_Matrix!$E$104:$DQ$104)/COUNTIF(Distance_Matrix!$E$10:$DQ$10,2))),IF(3=$E236,1E+099,IF(COUNTIF(Distance_Matrix!$E$10:$DQ$10,3)=0,1E+099,SUMIF(Distance_Matrix!$E$10:$DQ$10,3,Distance_Matrix!$E$104:$DQ$104)/COUNTIF(Distance_Matrix!$E$10:$DQ$10,3))),IF(4=$E236,1E+099,IF(COUNTIF(Distance_Matrix!$E$10:$DQ$10,4)=0,1E+099,SUMIF(Distance_Matrix!$E$10:$DQ$10,4,Distance_Matrix!$E$104:$DQ$104)/COUNTIF(Distance_Matrix!$E$10:$DQ$10,4))))</f>
        <v>0.904621377954222</v>
      </c>
      <c r="I236" s="17" t="n">
        <f aca="false">IF(COUNTIF(Distance_Matrix!$E$10:$DQ$10,$E236)&lt;=1,0,(H236-G236)/MAX(G236,H236))</f>
        <v>-0.0464532021161109</v>
      </c>
      <c r="X236" s="17" t="n">
        <f aca="false">SQRT(($B236-X$139)^2+($C236-X$140)^2+($D236-X$141)^2)</f>
        <v>7.21310900361067</v>
      </c>
      <c r="Y236" s="17" t="n">
        <f aca="false">SQRT(($B236-Y$139)^2+($C236-Y$140)^2+($D236-Y$141)^2)</f>
        <v>1.49294711217988</v>
      </c>
      <c r="Z236" s="17" t="n">
        <f aca="false">SQRT(($B236-Z$139)^2+($C236-Z$140)^2+($D236-Z$141)^2)</f>
        <v>2.81588767302514</v>
      </c>
      <c r="AA236" s="17" t="n">
        <f aca="false">SQRT(($B236-AA$139)^2+($C236-AA$140)^2+($D236-AA$141)^2)</f>
        <v>1.69806615345174</v>
      </c>
      <c r="AB236" s="63" t="n">
        <f aca="false">MATCH(MIN(X236:AA236),X236:AA236,0)</f>
        <v>2</v>
      </c>
      <c r="AD236" s="17" t="n">
        <f aca="false">SQRT(($B236-AD$139)^2+($C236-AD$140)^2+($D236-AD$141)^2)</f>
        <v>6.22679009804902</v>
      </c>
      <c r="AE236" s="17" t="n">
        <f aca="false">SQRT(($B236-AE$139)^2+($C236-AE$140)^2+($D236-AE$141)^2)</f>
        <v>0.702588497503112</v>
      </c>
      <c r="AF236" s="17" t="n">
        <f aca="false">SQRT(($B236-AF$139)^2+($C236-AF$140)^2+($D236-AF$141)^2)</f>
        <v>2.26753629757698</v>
      </c>
      <c r="AG236" s="17" t="n">
        <f aca="false">SQRT(($B236-AG$139)^2+($C236-AG$140)^2+($D236-AG$141)^2)</f>
        <v>0.755718678918678</v>
      </c>
      <c r="AH236" s="63" t="n">
        <f aca="false">MATCH(MIN(AD236:AG236),AD236:AG236,0)</f>
        <v>2</v>
      </c>
      <c r="AJ236" s="17" t="n">
        <f aca="false">SQRT(($B236-AJ$139)^2+($C236-AJ$140)^2+($D236-AJ$141)^2)</f>
        <v>5.88613713327952</v>
      </c>
      <c r="AK236" s="17" t="n">
        <f aca="false">SQRT(($B236-AK$139)^2+($C236-AK$140)^2+($D236-AK$141)^2)</f>
        <v>0.73637828565995</v>
      </c>
      <c r="AL236" s="17" t="n">
        <f aca="false">SQRT(($B236-AL$139)^2+($C236-AL$140)^2+($D236-AL$141)^2)</f>
        <v>2.34468509054291</v>
      </c>
      <c r="AM236" s="17" t="n">
        <f aca="false">SQRT(($B236-AM$139)^2+($C236-AM$140)^2+($D236-AM$141)^2)</f>
        <v>0.726531683244122</v>
      </c>
      <c r="AN236" s="63" t="n">
        <f aca="false">MATCH(MIN(AJ236:AM236),AJ236:AM236,0)</f>
        <v>4</v>
      </c>
      <c r="AP236" s="17" t="n">
        <f aca="false">SQRT(($B236-AP$139)^2+($C236-AP$140)^2+($D236-AP$141)^2)</f>
        <v>5.59184161042884</v>
      </c>
      <c r="AQ236" s="17" t="n">
        <f aca="false">SQRT(($B236-AQ$139)^2+($C236-AQ$140)^2+($D236-AQ$141)^2)</f>
        <v>0.834509459351708</v>
      </c>
      <c r="AR236" s="17" t="n">
        <f aca="false">SQRT(($B236-AR$139)^2+($C236-AR$140)^2+($D236-AR$141)^2)</f>
        <v>2.2984171374624</v>
      </c>
      <c r="AS236" s="17" t="n">
        <f aca="false">SQRT(($B236-AS$139)^2+($C236-AS$140)^2+($D236-AS$141)^2)</f>
        <v>0.678462659502865</v>
      </c>
      <c r="AT236" s="63" t="n">
        <f aca="false">MATCH(MIN(AP236:AS236),AP236:AS236,0)</f>
        <v>4</v>
      </c>
      <c r="AV236" s="17" t="n">
        <f aca="false">SQRT(($B236-AV$139)^2+($C236-AV$140)^2+($D236-AV$141)^2)</f>
        <v>5.59184161042884</v>
      </c>
      <c r="AW236" s="17" t="n">
        <f aca="false">SQRT(($B236-AW$139)^2+($C236-AW$140)^2+($D236-AW$141)^2)</f>
        <v>0.834509459351708</v>
      </c>
      <c r="AX236" s="17" t="n">
        <f aca="false">SQRT(($B236-AX$139)^2+($C236-AX$140)^2+($D236-AX$141)^2)</f>
        <v>2.2984171374624</v>
      </c>
      <c r="AY236" s="17" t="n">
        <f aca="false">SQRT(($B236-AY$139)^2+($C236-AY$140)^2+($D236-AY$141)^2)</f>
        <v>0.678462659502865</v>
      </c>
      <c r="AZ236" s="63" t="n">
        <f aca="false">MATCH(MIN(AV236:AY236),AV236:AY236,0)</f>
        <v>4</v>
      </c>
      <c r="BB236" s="17" t="n">
        <f aca="false">SQRT(($B236-BB$139)^2+($C236-BB$140)^2+($D236-BB$141)^2)</f>
        <v>5.59184161042884</v>
      </c>
      <c r="BC236" s="17" t="n">
        <f aca="false">SQRT(($B236-BC$139)^2+($C236-BC$140)^2+($D236-BC$141)^2)</f>
        <v>0.834509459351708</v>
      </c>
      <c r="BD236" s="17" t="n">
        <f aca="false">SQRT(($B236-BD$139)^2+($C236-BD$140)^2+($D236-BD$141)^2)</f>
        <v>2.2984171374624</v>
      </c>
      <c r="BE236" s="17" t="n">
        <f aca="false">SQRT(($B236-BE$139)^2+($C236-BE$140)^2+($D236-BE$141)^2)</f>
        <v>0.678462659502865</v>
      </c>
      <c r="BF236" s="63" t="n">
        <f aca="false">MATCH(MIN(BB236:BE236),BB236:BE236,0)</f>
        <v>4</v>
      </c>
      <c r="BH236" s="17" t="n">
        <f aca="false">SQRT(($B236-BH$139)^2+($C236-BH$140)^2+($D236-BH$141)^2)</f>
        <v>5.59184161042884</v>
      </c>
      <c r="BI236" s="17" t="n">
        <f aca="false">SQRT(($B236-BI$139)^2+($C236-BI$140)^2+($D236-BI$141)^2)</f>
        <v>0.834509459351708</v>
      </c>
      <c r="BJ236" s="17" t="n">
        <f aca="false">SQRT(($B236-BJ$139)^2+($C236-BJ$140)^2+($D236-BJ$141)^2)</f>
        <v>2.2984171374624</v>
      </c>
      <c r="BK236" s="17" t="n">
        <f aca="false">SQRT(($B236-BK$139)^2+($C236-BK$140)^2+($D236-BK$141)^2)</f>
        <v>0.678462659502865</v>
      </c>
      <c r="BL236" s="63" t="n">
        <f aca="false">MATCH(MIN(BH236:BK236),BH236:BK236,0)</f>
        <v>4</v>
      </c>
      <c r="BN236" s="17" t="n">
        <f aca="false">SQRT(($B236-BN$139)^2+($C236-BN$140)^2+($D236-BN$141)^2)</f>
        <v>5.59184161042884</v>
      </c>
      <c r="BO236" s="17" t="n">
        <f aca="false">SQRT(($B236-BO$139)^2+($C236-BO$140)^2+($D236-BO$141)^2)</f>
        <v>0.834509459351708</v>
      </c>
      <c r="BP236" s="17" t="n">
        <f aca="false">SQRT(($B236-BP$139)^2+($C236-BP$140)^2+($D236-BP$141)^2)</f>
        <v>2.2984171374624</v>
      </c>
      <c r="BQ236" s="17" t="n">
        <f aca="false">SQRT(($B236-BQ$139)^2+($C236-BQ$140)^2+($D236-BQ$141)^2)</f>
        <v>0.678462659502865</v>
      </c>
      <c r="BR236" s="63" t="n">
        <f aca="false">MATCH(MIN(BN236:BQ236),BN236:BQ236,0)</f>
        <v>4</v>
      </c>
      <c r="BT236" s="17" t="n">
        <f aca="false">SQRT(($B236-BT$139)^2+($C236-BT$140)^2+($D236-BT$141)^2)</f>
        <v>5.59184161042884</v>
      </c>
      <c r="BU236" s="17" t="n">
        <f aca="false">SQRT(($B236-BU$139)^2+($C236-BU$140)^2+($D236-BU$141)^2)</f>
        <v>0.834509459351708</v>
      </c>
      <c r="BV236" s="17" t="n">
        <f aca="false">SQRT(($B236-BV$139)^2+($C236-BV$140)^2+($D236-BV$141)^2)</f>
        <v>2.2984171374624</v>
      </c>
      <c r="BW236" s="17" t="n">
        <f aca="false">SQRT(($B236-BW$139)^2+($C236-BW$140)^2+($D236-BW$141)^2)</f>
        <v>0.678462659502865</v>
      </c>
      <c r="BX236" s="63" t="n">
        <f aca="false">MATCH(MIN(BT236:BW236),BT236:BW236,0)</f>
        <v>4</v>
      </c>
      <c r="BZ236" s="17" t="n">
        <f aca="false">SQRT(($B236-BZ$139)^2+($C236-BZ$140)^2+($D236-BZ$141)^2)</f>
        <v>5.59184161042884</v>
      </c>
      <c r="CA236" s="17" t="n">
        <f aca="false">SQRT(($B236-CA$139)^2+($C236-CA$140)^2+($D236-CA$141)^2)</f>
        <v>0.834509459351708</v>
      </c>
      <c r="CB236" s="17" t="n">
        <f aca="false">SQRT(($B236-CB$139)^2+($C236-CB$140)^2+($D236-CB$141)^2)</f>
        <v>2.2984171374624</v>
      </c>
      <c r="CC236" s="17" t="n">
        <f aca="false">SQRT(($B236-CC$139)^2+($C236-CC$140)^2+($D236-CC$141)^2)</f>
        <v>0.678462659502865</v>
      </c>
      <c r="CD236" s="63" t="n">
        <f aca="false">MATCH(MIN(BZ236:CC236),BZ236:CC236,0)</f>
        <v>4</v>
      </c>
      <c r="CF236" s="17" t="n">
        <f aca="false">SQRT(($B236-CF$139)^2+($C236-CF$140)^2+($D236-CF$141)^2)</f>
        <v>5.59184161042884</v>
      </c>
      <c r="CG236" s="17" t="n">
        <f aca="false">SQRT(($B236-CG$139)^2+($C236-CG$140)^2+($D236-CG$141)^2)</f>
        <v>0.834509459351708</v>
      </c>
      <c r="CH236" s="17" t="n">
        <f aca="false">SQRT(($B236-CH$139)^2+($C236-CH$140)^2+($D236-CH$141)^2)</f>
        <v>2.2984171374624</v>
      </c>
      <c r="CI236" s="17" t="n">
        <f aca="false">SQRT(($B236-CI$139)^2+($C236-CI$140)^2+($D236-CI$141)^2)</f>
        <v>0.678462659502865</v>
      </c>
      <c r="CJ236" s="63" t="n">
        <f aca="false">MATCH(MIN(CF236:CI236),CF236:CI236,0)</f>
        <v>4</v>
      </c>
      <c r="CL236" s="17" t="n">
        <f aca="false">SQRT(($B236-CL$139)^2+($C236-CL$140)^2+($D236-CL$141)^2)</f>
        <v>5.59184161042884</v>
      </c>
      <c r="CM236" s="17" t="n">
        <f aca="false">SQRT(($B236-CM$139)^2+($C236-CM$140)^2+($D236-CM$141)^2)</f>
        <v>0.834509459351708</v>
      </c>
      <c r="CN236" s="17" t="n">
        <f aca="false">SQRT(($B236-CN$139)^2+($C236-CN$140)^2+($D236-CN$141)^2)</f>
        <v>2.2984171374624</v>
      </c>
      <c r="CO236" s="17" t="n">
        <f aca="false">SQRT(($B236-CO$139)^2+($C236-CO$140)^2+($D236-CO$141)^2)</f>
        <v>0.678462659502865</v>
      </c>
      <c r="CP236" s="63" t="n">
        <f aca="false">MATCH(MIN(CL236:CO236),CL236:CO236,0)</f>
        <v>4</v>
      </c>
    </row>
    <row r="237" customFormat="false" ht="15" hidden="false" customHeight="false" outlineLevel="0" collapsed="false">
      <c r="A237" s="36" t="str">
        <f aca="false">KMeans_Data!A96</f>
        <v>North Waziristan</v>
      </c>
      <c r="B237" s="17" t="n">
        <f aca="false">KMeans_Data!H96</f>
        <v>-0.831705387014662</v>
      </c>
      <c r="C237" s="17" t="n">
        <f aca="false">KMeans_Data!I96</f>
        <v>-0.672650545388274</v>
      </c>
      <c r="D237" s="17" t="n">
        <f aca="false">KMeans_Data!J96</f>
        <v>-0.31535907140676</v>
      </c>
      <c r="E237" s="63" t="n">
        <f aca="false">CP237</f>
        <v>4</v>
      </c>
      <c r="F237" s="38" t="n">
        <f aca="false">($B237-INDEX($L$139:$O$139,E237))^2+($C237-INDEX($L$140:$O$140,E237))^2+($D237-INDEX($L$141:$O$141,E237))^2</f>
        <v>0.524888686872712</v>
      </c>
      <c r="G237" s="17" t="n">
        <f aca="false">IF(COUNTIF(Distance_Matrix!$E$10:$DQ$10,$E237)&lt;=1,0,SUMIF(Distance_Matrix!$E$10:$DQ$10,$E237,Distance_Matrix!$E$105:$DQ$105)/(COUNTIF(Distance_Matrix!$E$10:$DQ$10,$E237)-1))</f>
        <v>0.976257004088951</v>
      </c>
      <c r="H237" s="17" t="n">
        <f aca="false">MIN(IF(1=$E237,1E+099,IF(COUNTIF(Distance_Matrix!$E$10:$DQ$10,1)=0,1E+099,SUMIF(Distance_Matrix!$E$10:$DQ$10,1,Distance_Matrix!$E$105:$DQ$105)/COUNTIF(Distance_Matrix!$E$10:$DQ$10,1))),IF(2=$E237,1E+099,IF(COUNTIF(Distance_Matrix!$E$10:$DQ$10,2)=0,1E+099,SUMIF(Distance_Matrix!$E$10:$DQ$10,2,Distance_Matrix!$E$105:$DQ$105)/COUNTIF(Distance_Matrix!$E$10:$DQ$10,2))),IF(3=$E237,1E+099,IF(COUNTIF(Distance_Matrix!$E$10:$DQ$10,3)=0,1E+099,SUMIF(Distance_Matrix!$E$10:$DQ$10,3,Distance_Matrix!$E$105:$DQ$105)/COUNTIF(Distance_Matrix!$E$10:$DQ$10,3))),IF(4=$E237,1E+099,IF(COUNTIF(Distance_Matrix!$E$10:$DQ$10,4)=0,1E+099,SUMIF(Distance_Matrix!$E$10:$DQ$10,4,Distance_Matrix!$E$105:$DQ$105)/COUNTIF(Distance_Matrix!$E$10:$DQ$10,4))))</f>
        <v>0.951901312964308</v>
      </c>
      <c r="I237" s="17" t="n">
        <f aca="false">IF(COUNTIF(Distance_Matrix!$E$10:$DQ$10,$E237)&lt;=1,0,(H237-G237)/MAX(G237,H237))</f>
        <v>-0.0249480321499688</v>
      </c>
      <c r="X237" s="17" t="n">
        <f aca="false">SQRT(($B237-X$139)^2+($C237-X$140)^2+($D237-X$141)^2)</f>
        <v>7.19643967194252</v>
      </c>
      <c r="Y237" s="17" t="n">
        <f aca="false">SQRT(($B237-Y$139)^2+($C237-Y$140)^2+($D237-Y$141)^2)</f>
        <v>1.49898586166915</v>
      </c>
      <c r="Z237" s="17" t="n">
        <f aca="false">SQRT(($B237-Z$139)^2+($C237-Z$140)^2+($D237-Z$141)^2)</f>
        <v>2.79062285326594</v>
      </c>
      <c r="AA237" s="17" t="n">
        <f aca="false">SQRT(($B237-AA$139)^2+($C237-AA$140)^2+($D237-AA$141)^2)</f>
        <v>1.77435806843142</v>
      </c>
      <c r="AB237" s="63" t="n">
        <f aca="false">MATCH(MIN(X237:AA237),X237:AA237,0)</f>
        <v>2</v>
      </c>
      <c r="AD237" s="17" t="n">
        <f aca="false">SQRT(($B237-AD$139)^2+($C237-AD$140)^2+($D237-AD$141)^2)</f>
        <v>6.21450096297974</v>
      </c>
      <c r="AE237" s="17" t="n">
        <f aca="false">SQRT(($B237-AE$139)^2+($C237-AE$140)^2+($D237-AE$141)^2)</f>
        <v>0.743040048734246</v>
      </c>
      <c r="AF237" s="17" t="n">
        <f aca="false">SQRT(($B237-AF$139)^2+($C237-AF$140)^2+($D237-AF$141)^2)</f>
        <v>2.24965917470085</v>
      </c>
      <c r="AG237" s="17" t="n">
        <f aca="false">SQRT(($B237-AG$139)^2+($C237-AG$140)^2+($D237-AG$141)^2)</f>
        <v>0.815581810456594</v>
      </c>
      <c r="AH237" s="63" t="n">
        <f aca="false">MATCH(MIN(AD237:AG237),AD237:AG237,0)</f>
        <v>2</v>
      </c>
      <c r="AJ237" s="17" t="n">
        <f aca="false">SQRT(($B237-AJ$139)^2+($C237-AJ$140)^2+($D237-AJ$141)^2)</f>
        <v>5.87442453295751</v>
      </c>
      <c r="AK237" s="17" t="n">
        <f aca="false">SQRT(($B237-AK$139)^2+($C237-AK$140)^2+($D237-AK$141)^2)</f>
        <v>0.781048020449757</v>
      </c>
      <c r="AL237" s="17" t="n">
        <f aca="false">SQRT(($B237-AL$139)^2+($C237-AL$140)^2+($D237-AL$141)^2)</f>
        <v>2.32815301735229</v>
      </c>
      <c r="AM237" s="17" t="n">
        <f aca="false">SQRT(($B237-AM$139)^2+($C237-AM$140)^2+($D237-AM$141)^2)</f>
        <v>0.773352506618762</v>
      </c>
      <c r="AN237" s="63" t="n">
        <f aca="false">MATCH(MIN(AJ237:AM237),AJ237:AM237,0)</f>
        <v>4</v>
      </c>
      <c r="AP237" s="17" t="n">
        <f aca="false">SQRT(($B237-AP$139)^2+($C237-AP$140)^2+($D237-AP$141)^2)</f>
        <v>5.58013844597874</v>
      </c>
      <c r="AQ237" s="17" t="n">
        <f aca="false">SQRT(($B237-AQ$139)^2+($C237-AQ$140)^2+($D237-AQ$141)^2)</f>
        <v>0.880322326601357</v>
      </c>
      <c r="AR237" s="17" t="n">
        <f aca="false">SQRT(($B237-AR$139)^2+($C237-AR$140)^2+($D237-AR$141)^2)</f>
        <v>2.28165940185083</v>
      </c>
      <c r="AS237" s="17" t="n">
        <f aca="false">SQRT(($B237-AS$139)^2+($C237-AS$140)^2+($D237-AS$141)^2)</f>
        <v>0.724492019882008</v>
      </c>
      <c r="AT237" s="63" t="n">
        <f aca="false">MATCH(MIN(AP237:AS237),AP237:AS237,0)</f>
        <v>4</v>
      </c>
      <c r="AV237" s="17" t="n">
        <f aca="false">SQRT(($B237-AV$139)^2+($C237-AV$140)^2+($D237-AV$141)^2)</f>
        <v>5.58013844597874</v>
      </c>
      <c r="AW237" s="17" t="n">
        <f aca="false">SQRT(($B237-AW$139)^2+($C237-AW$140)^2+($D237-AW$141)^2)</f>
        <v>0.880322326601357</v>
      </c>
      <c r="AX237" s="17" t="n">
        <f aca="false">SQRT(($B237-AX$139)^2+($C237-AX$140)^2+($D237-AX$141)^2)</f>
        <v>2.28165940185083</v>
      </c>
      <c r="AY237" s="17" t="n">
        <f aca="false">SQRT(($B237-AY$139)^2+($C237-AY$140)^2+($D237-AY$141)^2)</f>
        <v>0.724492019882008</v>
      </c>
      <c r="AZ237" s="63" t="n">
        <f aca="false">MATCH(MIN(AV237:AY237),AV237:AY237,0)</f>
        <v>4</v>
      </c>
      <c r="BB237" s="17" t="n">
        <f aca="false">SQRT(($B237-BB$139)^2+($C237-BB$140)^2+($D237-BB$141)^2)</f>
        <v>5.58013844597874</v>
      </c>
      <c r="BC237" s="17" t="n">
        <f aca="false">SQRT(($B237-BC$139)^2+($C237-BC$140)^2+($D237-BC$141)^2)</f>
        <v>0.880322326601357</v>
      </c>
      <c r="BD237" s="17" t="n">
        <f aca="false">SQRT(($B237-BD$139)^2+($C237-BD$140)^2+($D237-BD$141)^2)</f>
        <v>2.28165940185083</v>
      </c>
      <c r="BE237" s="17" t="n">
        <f aca="false">SQRT(($B237-BE$139)^2+($C237-BE$140)^2+($D237-BE$141)^2)</f>
        <v>0.724492019882008</v>
      </c>
      <c r="BF237" s="63" t="n">
        <f aca="false">MATCH(MIN(BB237:BE237),BB237:BE237,0)</f>
        <v>4</v>
      </c>
      <c r="BH237" s="17" t="n">
        <f aca="false">SQRT(($B237-BH$139)^2+($C237-BH$140)^2+($D237-BH$141)^2)</f>
        <v>5.58013844597874</v>
      </c>
      <c r="BI237" s="17" t="n">
        <f aca="false">SQRT(($B237-BI$139)^2+($C237-BI$140)^2+($D237-BI$141)^2)</f>
        <v>0.880322326601357</v>
      </c>
      <c r="BJ237" s="17" t="n">
        <f aca="false">SQRT(($B237-BJ$139)^2+($C237-BJ$140)^2+($D237-BJ$141)^2)</f>
        <v>2.28165940185083</v>
      </c>
      <c r="BK237" s="17" t="n">
        <f aca="false">SQRT(($B237-BK$139)^2+($C237-BK$140)^2+($D237-BK$141)^2)</f>
        <v>0.724492019882008</v>
      </c>
      <c r="BL237" s="63" t="n">
        <f aca="false">MATCH(MIN(BH237:BK237),BH237:BK237,0)</f>
        <v>4</v>
      </c>
      <c r="BN237" s="17" t="n">
        <f aca="false">SQRT(($B237-BN$139)^2+($C237-BN$140)^2+($D237-BN$141)^2)</f>
        <v>5.58013844597874</v>
      </c>
      <c r="BO237" s="17" t="n">
        <f aca="false">SQRT(($B237-BO$139)^2+($C237-BO$140)^2+($D237-BO$141)^2)</f>
        <v>0.880322326601357</v>
      </c>
      <c r="BP237" s="17" t="n">
        <f aca="false">SQRT(($B237-BP$139)^2+($C237-BP$140)^2+($D237-BP$141)^2)</f>
        <v>2.28165940185083</v>
      </c>
      <c r="BQ237" s="17" t="n">
        <f aca="false">SQRT(($B237-BQ$139)^2+($C237-BQ$140)^2+($D237-BQ$141)^2)</f>
        <v>0.724492019882008</v>
      </c>
      <c r="BR237" s="63" t="n">
        <f aca="false">MATCH(MIN(BN237:BQ237),BN237:BQ237,0)</f>
        <v>4</v>
      </c>
      <c r="BT237" s="17" t="n">
        <f aca="false">SQRT(($B237-BT$139)^2+($C237-BT$140)^2+($D237-BT$141)^2)</f>
        <v>5.58013844597874</v>
      </c>
      <c r="BU237" s="17" t="n">
        <f aca="false">SQRT(($B237-BU$139)^2+($C237-BU$140)^2+($D237-BU$141)^2)</f>
        <v>0.880322326601357</v>
      </c>
      <c r="BV237" s="17" t="n">
        <f aca="false">SQRT(($B237-BV$139)^2+($C237-BV$140)^2+($D237-BV$141)^2)</f>
        <v>2.28165940185083</v>
      </c>
      <c r="BW237" s="17" t="n">
        <f aca="false">SQRT(($B237-BW$139)^2+($C237-BW$140)^2+($D237-BW$141)^2)</f>
        <v>0.724492019882008</v>
      </c>
      <c r="BX237" s="63" t="n">
        <f aca="false">MATCH(MIN(BT237:BW237),BT237:BW237,0)</f>
        <v>4</v>
      </c>
      <c r="BZ237" s="17" t="n">
        <f aca="false">SQRT(($B237-BZ$139)^2+($C237-BZ$140)^2+($D237-BZ$141)^2)</f>
        <v>5.58013844597874</v>
      </c>
      <c r="CA237" s="17" t="n">
        <f aca="false">SQRT(($B237-CA$139)^2+($C237-CA$140)^2+($D237-CA$141)^2)</f>
        <v>0.880322326601357</v>
      </c>
      <c r="CB237" s="17" t="n">
        <f aca="false">SQRT(($B237-CB$139)^2+($C237-CB$140)^2+($D237-CB$141)^2)</f>
        <v>2.28165940185083</v>
      </c>
      <c r="CC237" s="17" t="n">
        <f aca="false">SQRT(($B237-CC$139)^2+($C237-CC$140)^2+($D237-CC$141)^2)</f>
        <v>0.724492019882008</v>
      </c>
      <c r="CD237" s="63" t="n">
        <f aca="false">MATCH(MIN(BZ237:CC237),BZ237:CC237,0)</f>
        <v>4</v>
      </c>
      <c r="CF237" s="17" t="n">
        <f aca="false">SQRT(($B237-CF$139)^2+($C237-CF$140)^2+($D237-CF$141)^2)</f>
        <v>5.58013844597874</v>
      </c>
      <c r="CG237" s="17" t="n">
        <f aca="false">SQRT(($B237-CG$139)^2+($C237-CG$140)^2+($D237-CG$141)^2)</f>
        <v>0.880322326601357</v>
      </c>
      <c r="CH237" s="17" t="n">
        <f aca="false">SQRT(($B237-CH$139)^2+($C237-CH$140)^2+($D237-CH$141)^2)</f>
        <v>2.28165940185083</v>
      </c>
      <c r="CI237" s="17" t="n">
        <f aca="false">SQRT(($B237-CI$139)^2+($C237-CI$140)^2+($D237-CI$141)^2)</f>
        <v>0.724492019882008</v>
      </c>
      <c r="CJ237" s="63" t="n">
        <f aca="false">MATCH(MIN(CF237:CI237),CF237:CI237,0)</f>
        <v>4</v>
      </c>
      <c r="CL237" s="17" t="n">
        <f aca="false">SQRT(($B237-CL$139)^2+($C237-CL$140)^2+($D237-CL$141)^2)</f>
        <v>5.58013844597874</v>
      </c>
      <c r="CM237" s="17" t="n">
        <f aca="false">SQRT(($B237-CM$139)^2+($C237-CM$140)^2+($D237-CM$141)^2)</f>
        <v>0.880322326601357</v>
      </c>
      <c r="CN237" s="17" t="n">
        <f aca="false">SQRT(($B237-CN$139)^2+($C237-CN$140)^2+($D237-CN$141)^2)</f>
        <v>2.28165940185083</v>
      </c>
      <c r="CO237" s="17" t="n">
        <f aca="false">SQRT(($B237-CO$139)^2+($C237-CO$140)^2+($D237-CO$141)^2)</f>
        <v>0.724492019882008</v>
      </c>
      <c r="CP237" s="63" t="n">
        <f aca="false">MATCH(MIN(CL237:CO237),CL237:CO237,0)</f>
        <v>4</v>
      </c>
    </row>
    <row r="238" customFormat="false" ht="15" hidden="false" customHeight="false" outlineLevel="0" collapsed="false">
      <c r="A238" s="36" t="str">
        <f aca="false">KMeans_Data!A97</f>
        <v>Kasur</v>
      </c>
      <c r="B238" s="17" t="n">
        <f aca="false">KMeans_Data!H97</f>
        <v>-0.831705387014662</v>
      </c>
      <c r="C238" s="17" t="n">
        <f aca="false">KMeans_Data!I97</f>
        <v>-0.672650545388274</v>
      </c>
      <c r="D238" s="17" t="n">
        <f aca="false">KMeans_Data!J97</f>
        <v>-1.14564411633355</v>
      </c>
      <c r="E238" s="63" t="n">
        <f aca="false">CP238</f>
        <v>2</v>
      </c>
      <c r="F238" s="38" t="n">
        <f aca="false">($B238-INDEX($L$139:$O$139,E238))^2+($C238-INDEX($L$140:$O$140,E238))^2+($D238-INDEX($L$141:$O$141,E238))^2</f>
        <v>0.204748638370042</v>
      </c>
      <c r="G238" s="17" t="n">
        <f aca="false">IF(COUNTIF(Distance_Matrix!$E$10:$DQ$10,$E238)&lt;=1,0,SUMIF(Distance_Matrix!$E$10:$DQ$10,$E238,Distance_Matrix!$E$106:$DQ$106)/(COUNTIF(Distance_Matrix!$E$10:$DQ$10,$E238)-1))</f>
        <v>0.555828682419018</v>
      </c>
      <c r="H238" s="17" t="n">
        <f aca="false">MIN(IF(1=$E238,1E+099,IF(COUNTIF(Distance_Matrix!$E$10:$DQ$10,1)=0,1E+099,SUMIF(Distance_Matrix!$E$10:$DQ$10,1,Distance_Matrix!$E$106:$DQ$106)/COUNTIF(Distance_Matrix!$E$10:$DQ$10,1))),IF(2=$E238,1E+099,IF(COUNTIF(Distance_Matrix!$E$10:$DQ$10,2)=0,1E+099,SUMIF(Distance_Matrix!$E$10:$DQ$10,2,Distance_Matrix!$E$106:$DQ$106)/COUNTIF(Distance_Matrix!$E$10:$DQ$10,2))),IF(3=$E238,1E+099,IF(COUNTIF(Distance_Matrix!$E$10:$DQ$10,3)=0,1E+099,SUMIF(Distance_Matrix!$E$10:$DQ$10,3,Distance_Matrix!$E$106:$DQ$106)/COUNTIF(Distance_Matrix!$E$10:$DQ$10,3))),IF(4=$E238,1E+099,IF(COUNTIF(Distance_Matrix!$E$10:$DQ$10,4)=0,1E+099,SUMIF(Distance_Matrix!$E$10:$DQ$10,4,Distance_Matrix!$E$106:$DQ$106)/COUNTIF(Distance_Matrix!$E$10:$DQ$10,4))))</f>
        <v>1.23036794983332</v>
      </c>
      <c r="I238" s="17" t="n">
        <f aca="false">IF(COUNTIF(Distance_Matrix!$E$10:$DQ$10,$E238)&lt;=1,0,(H238-G238)/MAX(G238,H238))</f>
        <v>0.548241903981391</v>
      </c>
      <c r="X238" s="17" t="n">
        <f aca="false">SQRT(($B238-X$139)^2+($C238-X$140)^2+($D238-X$141)^2)</f>
        <v>7.64219541328385</v>
      </c>
      <c r="Y238" s="17" t="n">
        <f aca="false">SQRT(($B238-Y$139)^2+($C238-Y$140)^2+($D238-Y$141)^2)</f>
        <v>1.24803259478866</v>
      </c>
      <c r="Z238" s="17" t="n">
        <f aca="false">SQRT(($B238-Z$139)^2+($C238-Z$140)^2+($D238-Z$141)^2)</f>
        <v>3.38265206186386</v>
      </c>
      <c r="AA238" s="17" t="n">
        <f aca="false">SQRT(($B238-AA$139)^2+($C238-AA$140)^2+($D238-AA$141)^2)</f>
        <v>1.56811137971082</v>
      </c>
      <c r="AB238" s="63" t="n">
        <f aca="false">MATCH(MIN(X238:AA238),X238:AA238,0)</f>
        <v>2</v>
      </c>
      <c r="AD238" s="17" t="n">
        <f aca="false">SQRT(($B238-AD$139)^2+($C238-AD$140)^2+($D238-AD$141)^2)</f>
        <v>6.63037501444899</v>
      </c>
      <c r="AE238" s="17" t="n">
        <f aca="false">SQRT(($B238-AE$139)^2+($C238-AE$140)^2+($D238-AE$141)^2)</f>
        <v>0.460611016073052</v>
      </c>
      <c r="AF238" s="17" t="n">
        <f aca="false">SQRT(($B238-AF$139)^2+($C238-AF$140)^2+($D238-AF$141)^2)</f>
        <v>2.7811562446613</v>
      </c>
      <c r="AG238" s="17" t="n">
        <f aca="false">SQRT(($B238-AG$139)^2+($C238-AG$140)^2+($D238-AG$141)^2)</f>
        <v>1.01229334051161</v>
      </c>
      <c r="AH238" s="63" t="n">
        <f aca="false">MATCH(MIN(AD238:AG238),AD238:AG238,0)</f>
        <v>2</v>
      </c>
      <c r="AJ238" s="17" t="n">
        <f aca="false">SQRT(($B238-AJ$139)^2+($C238-AJ$140)^2+($D238-AJ$141)^2)</f>
        <v>6.29193061806012</v>
      </c>
      <c r="AK238" s="17" t="n">
        <f aca="false">SQRT(($B238-AK$139)^2+($C238-AK$140)^2+($D238-AK$141)^2)</f>
        <v>0.431764700128326</v>
      </c>
      <c r="AL238" s="17" t="n">
        <f aca="false">SQRT(($B238-AL$139)^2+($C238-AL$140)^2+($D238-AL$141)^2)</f>
        <v>2.84621463969597</v>
      </c>
      <c r="AM238" s="17" t="n">
        <f aca="false">SQRT(($B238-AM$139)^2+($C238-AM$140)^2+($D238-AM$141)^2)</f>
        <v>1.08384755486393</v>
      </c>
      <c r="AN238" s="63" t="n">
        <f aca="false">MATCH(MIN(AJ238:AM238),AJ238:AM238,0)</f>
        <v>2</v>
      </c>
      <c r="AP238" s="17" t="n">
        <f aca="false">SQRT(($B238-AP$139)^2+($C238-AP$140)^2+($D238-AP$141)^2)</f>
        <v>5.99771182651092</v>
      </c>
      <c r="AQ238" s="17" t="n">
        <f aca="false">SQRT(($B238-AQ$139)^2+($C238-AQ$140)^2+($D238-AQ$141)^2)</f>
        <v>0.452491589280996</v>
      </c>
      <c r="AR238" s="17" t="n">
        <f aca="false">SQRT(($B238-AR$139)^2+($C238-AR$140)^2+($D238-AR$141)^2)</f>
        <v>2.80383554746948</v>
      </c>
      <c r="AS238" s="17" t="n">
        <f aca="false">SQRT(($B238-AS$139)^2+($C238-AS$140)^2+($D238-AS$141)^2)</f>
        <v>1.05598153390929</v>
      </c>
      <c r="AT238" s="63" t="n">
        <f aca="false">MATCH(MIN(AP238:AS238),AP238:AS238,0)</f>
        <v>2</v>
      </c>
      <c r="AV238" s="17" t="n">
        <f aca="false">SQRT(($B238-AV$139)^2+($C238-AV$140)^2+($D238-AV$141)^2)</f>
        <v>5.99771182651092</v>
      </c>
      <c r="AW238" s="17" t="n">
        <f aca="false">SQRT(($B238-AW$139)^2+($C238-AW$140)^2+($D238-AW$141)^2)</f>
        <v>0.452491589280996</v>
      </c>
      <c r="AX238" s="17" t="n">
        <f aca="false">SQRT(($B238-AX$139)^2+($C238-AX$140)^2+($D238-AX$141)^2)</f>
        <v>2.80383554746948</v>
      </c>
      <c r="AY238" s="17" t="n">
        <f aca="false">SQRT(($B238-AY$139)^2+($C238-AY$140)^2+($D238-AY$141)^2)</f>
        <v>1.05598153390929</v>
      </c>
      <c r="AZ238" s="63" t="n">
        <f aca="false">MATCH(MIN(AV238:AY238),AV238:AY238,0)</f>
        <v>2</v>
      </c>
      <c r="BB238" s="17" t="n">
        <f aca="false">SQRT(($B238-BB$139)^2+($C238-BB$140)^2+($D238-BB$141)^2)</f>
        <v>5.99771182651092</v>
      </c>
      <c r="BC238" s="17" t="n">
        <f aca="false">SQRT(($B238-BC$139)^2+($C238-BC$140)^2+($D238-BC$141)^2)</f>
        <v>0.452491589280996</v>
      </c>
      <c r="BD238" s="17" t="n">
        <f aca="false">SQRT(($B238-BD$139)^2+($C238-BD$140)^2+($D238-BD$141)^2)</f>
        <v>2.80383554746948</v>
      </c>
      <c r="BE238" s="17" t="n">
        <f aca="false">SQRT(($B238-BE$139)^2+($C238-BE$140)^2+($D238-BE$141)^2)</f>
        <v>1.05598153390929</v>
      </c>
      <c r="BF238" s="63" t="n">
        <f aca="false">MATCH(MIN(BB238:BE238),BB238:BE238,0)</f>
        <v>2</v>
      </c>
      <c r="BH238" s="17" t="n">
        <f aca="false">SQRT(($B238-BH$139)^2+($C238-BH$140)^2+($D238-BH$141)^2)</f>
        <v>5.99771182651092</v>
      </c>
      <c r="BI238" s="17" t="n">
        <f aca="false">SQRT(($B238-BI$139)^2+($C238-BI$140)^2+($D238-BI$141)^2)</f>
        <v>0.452491589280996</v>
      </c>
      <c r="BJ238" s="17" t="n">
        <f aca="false">SQRT(($B238-BJ$139)^2+($C238-BJ$140)^2+($D238-BJ$141)^2)</f>
        <v>2.80383554746948</v>
      </c>
      <c r="BK238" s="17" t="n">
        <f aca="false">SQRT(($B238-BK$139)^2+($C238-BK$140)^2+($D238-BK$141)^2)</f>
        <v>1.05598153390929</v>
      </c>
      <c r="BL238" s="63" t="n">
        <f aca="false">MATCH(MIN(BH238:BK238),BH238:BK238,0)</f>
        <v>2</v>
      </c>
      <c r="BN238" s="17" t="n">
        <f aca="false">SQRT(($B238-BN$139)^2+($C238-BN$140)^2+($D238-BN$141)^2)</f>
        <v>5.99771182651092</v>
      </c>
      <c r="BO238" s="17" t="n">
        <f aca="false">SQRT(($B238-BO$139)^2+($C238-BO$140)^2+($D238-BO$141)^2)</f>
        <v>0.452491589280996</v>
      </c>
      <c r="BP238" s="17" t="n">
        <f aca="false">SQRT(($B238-BP$139)^2+($C238-BP$140)^2+($D238-BP$141)^2)</f>
        <v>2.80383554746948</v>
      </c>
      <c r="BQ238" s="17" t="n">
        <f aca="false">SQRT(($B238-BQ$139)^2+($C238-BQ$140)^2+($D238-BQ$141)^2)</f>
        <v>1.05598153390929</v>
      </c>
      <c r="BR238" s="63" t="n">
        <f aca="false">MATCH(MIN(BN238:BQ238),BN238:BQ238,0)</f>
        <v>2</v>
      </c>
      <c r="BT238" s="17" t="n">
        <f aca="false">SQRT(($B238-BT$139)^2+($C238-BT$140)^2+($D238-BT$141)^2)</f>
        <v>5.99771182651092</v>
      </c>
      <c r="BU238" s="17" t="n">
        <f aca="false">SQRT(($B238-BU$139)^2+($C238-BU$140)^2+($D238-BU$141)^2)</f>
        <v>0.452491589280996</v>
      </c>
      <c r="BV238" s="17" t="n">
        <f aca="false">SQRT(($B238-BV$139)^2+($C238-BV$140)^2+($D238-BV$141)^2)</f>
        <v>2.80383554746948</v>
      </c>
      <c r="BW238" s="17" t="n">
        <f aca="false">SQRT(($B238-BW$139)^2+($C238-BW$140)^2+($D238-BW$141)^2)</f>
        <v>1.05598153390929</v>
      </c>
      <c r="BX238" s="63" t="n">
        <f aca="false">MATCH(MIN(BT238:BW238),BT238:BW238,0)</f>
        <v>2</v>
      </c>
      <c r="BZ238" s="17" t="n">
        <f aca="false">SQRT(($B238-BZ$139)^2+($C238-BZ$140)^2+($D238-BZ$141)^2)</f>
        <v>5.99771182651092</v>
      </c>
      <c r="CA238" s="17" t="n">
        <f aca="false">SQRT(($B238-CA$139)^2+($C238-CA$140)^2+($D238-CA$141)^2)</f>
        <v>0.452491589280996</v>
      </c>
      <c r="CB238" s="17" t="n">
        <f aca="false">SQRT(($B238-CB$139)^2+($C238-CB$140)^2+($D238-CB$141)^2)</f>
        <v>2.80383554746948</v>
      </c>
      <c r="CC238" s="17" t="n">
        <f aca="false">SQRT(($B238-CC$139)^2+($C238-CC$140)^2+($D238-CC$141)^2)</f>
        <v>1.05598153390929</v>
      </c>
      <c r="CD238" s="63" t="n">
        <f aca="false">MATCH(MIN(BZ238:CC238),BZ238:CC238,0)</f>
        <v>2</v>
      </c>
      <c r="CF238" s="17" t="n">
        <f aca="false">SQRT(($B238-CF$139)^2+($C238-CF$140)^2+($D238-CF$141)^2)</f>
        <v>5.99771182651092</v>
      </c>
      <c r="CG238" s="17" t="n">
        <f aca="false">SQRT(($B238-CG$139)^2+($C238-CG$140)^2+($D238-CG$141)^2)</f>
        <v>0.452491589280996</v>
      </c>
      <c r="CH238" s="17" t="n">
        <f aca="false">SQRT(($B238-CH$139)^2+($C238-CH$140)^2+($D238-CH$141)^2)</f>
        <v>2.80383554746948</v>
      </c>
      <c r="CI238" s="17" t="n">
        <f aca="false">SQRT(($B238-CI$139)^2+($C238-CI$140)^2+($D238-CI$141)^2)</f>
        <v>1.05598153390929</v>
      </c>
      <c r="CJ238" s="63" t="n">
        <f aca="false">MATCH(MIN(CF238:CI238),CF238:CI238,0)</f>
        <v>2</v>
      </c>
      <c r="CL238" s="17" t="n">
        <f aca="false">SQRT(($B238-CL$139)^2+($C238-CL$140)^2+($D238-CL$141)^2)</f>
        <v>5.99771182651092</v>
      </c>
      <c r="CM238" s="17" t="n">
        <f aca="false">SQRT(($B238-CM$139)^2+($C238-CM$140)^2+($D238-CM$141)^2)</f>
        <v>0.452491589280996</v>
      </c>
      <c r="CN238" s="17" t="n">
        <f aca="false">SQRT(($B238-CN$139)^2+($C238-CN$140)^2+($D238-CN$141)^2)</f>
        <v>2.80383554746948</v>
      </c>
      <c r="CO238" s="17" t="n">
        <f aca="false">SQRT(($B238-CO$139)^2+($C238-CO$140)^2+($D238-CO$141)^2)</f>
        <v>1.05598153390929</v>
      </c>
      <c r="CP238" s="63" t="n">
        <f aca="false">MATCH(MIN(CL238:CO238),CL238:CO238,0)</f>
        <v>2</v>
      </c>
    </row>
    <row r="239" customFormat="false" ht="15" hidden="false" customHeight="false" outlineLevel="0" collapsed="false">
      <c r="A239" s="36" t="str">
        <f aca="false">KMeans_Data!A98</f>
        <v>Rajanpur</v>
      </c>
      <c r="B239" s="17" t="n">
        <f aca="false">KMeans_Data!H98</f>
        <v>-0.881311477972984</v>
      </c>
      <c r="C239" s="17" t="n">
        <f aca="false">KMeans_Data!I98</f>
        <v>-0.672650545388274</v>
      </c>
      <c r="D239" s="17" t="n">
        <f aca="false">KMeans_Data!J98</f>
        <v>-1.14564411633355</v>
      </c>
      <c r="E239" s="63" t="n">
        <f aca="false">CP239</f>
        <v>2</v>
      </c>
      <c r="F239" s="38" t="n">
        <f aca="false">($B239-INDEX($L$139:$O$139,E239))^2+($C239-INDEX($L$140:$O$140,E239))^2+($D239-INDEX($L$141:$O$141,E239))^2</f>
        <v>0.162933893443838</v>
      </c>
      <c r="G239" s="17" t="n">
        <f aca="false">IF(COUNTIF(Distance_Matrix!$E$10:$DQ$10,$E239)&lt;=1,0,SUMIF(Distance_Matrix!$E$10:$DQ$10,$E239,Distance_Matrix!$E$107:$DQ$107)/(COUNTIF(Distance_Matrix!$E$10:$DQ$10,$E239)-1))</f>
        <v>0.522551107941841</v>
      </c>
      <c r="H239" s="17" t="n">
        <f aca="false">MIN(IF(1=$E239,1E+099,IF(COUNTIF(Distance_Matrix!$E$10:$DQ$10,1)=0,1E+099,SUMIF(Distance_Matrix!$E$10:$DQ$10,1,Distance_Matrix!$E$107:$DQ$107)/COUNTIF(Distance_Matrix!$E$10:$DQ$10,1))),IF(2=$E239,1E+099,IF(COUNTIF(Distance_Matrix!$E$10:$DQ$10,2)=0,1E+099,SUMIF(Distance_Matrix!$E$10:$DQ$10,2,Distance_Matrix!$E$107:$DQ$107)/COUNTIF(Distance_Matrix!$E$10:$DQ$10,2))),IF(3=$E239,1E+099,IF(COUNTIF(Distance_Matrix!$E$10:$DQ$10,3)=0,1E+099,SUMIF(Distance_Matrix!$E$10:$DQ$10,3,Distance_Matrix!$E$107:$DQ$107)/COUNTIF(Distance_Matrix!$E$10:$DQ$10,3))),IF(4=$E239,1E+099,IF(COUNTIF(Distance_Matrix!$E$10:$DQ$10,4)=0,1E+099,SUMIF(Distance_Matrix!$E$10:$DQ$10,4,Distance_Matrix!$E$107:$DQ$107)/COUNTIF(Distance_Matrix!$E$10:$DQ$10,4))))</f>
        <v>1.26034424064507</v>
      </c>
      <c r="I239" s="17" t="n">
        <f aca="false">IF(COUNTIF(Distance_Matrix!$E$10:$DQ$10,$E239)&lt;=1,0,(H239-G239)/MAX(G239,H239))</f>
        <v>0.585390172708381</v>
      </c>
      <c r="X239" s="17" t="n">
        <f aca="false">SQRT(($B239-X$139)^2+($C239-X$140)^2+($D239-X$141)^2)</f>
        <v>7.66896199778013</v>
      </c>
      <c r="Y239" s="17" t="n">
        <f aca="false">SQRT(($B239-Y$139)^2+($C239-Y$140)^2+($D239-Y$141)^2)</f>
        <v>1.19842650383034</v>
      </c>
      <c r="Z239" s="17" t="n">
        <f aca="false">SQRT(($B239-Z$139)^2+($C239-Z$140)^2+($D239-Z$141)^2)</f>
        <v>3.41031193536842</v>
      </c>
      <c r="AA239" s="17" t="n">
        <f aca="false">SQRT(($B239-AA$139)^2+($C239-AA$140)^2+($D239-AA$141)^2)</f>
        <v>1.6149328167294</v>
      </c>
      <c r="AB239" s="63" t="n">
        <f aca="false">MATCH(MIN(X239:AA239),X239:AA239,0)</f>
        <v>2</v>
      </c>
      <c r="AD239" s="17" t="n">
        <f aca="false">SQRT(($B239-AD$139)^2+($C239-AD$140)^2+($D239-AD$141)^2)</f>
        <v>6.6577392498362</v>
      </c>
      <c r="AE239" s="17" t="n">
        <f aca="false">SQRT(($B239-AE$139)^2+($C239-AE$140)^2+($D239-AE$141)^2)</f>
        <v>0.417151279230401</v>
      </c>
      <c r="AF239" s="17" t="n">
        <f aca="false">SQRT(($B239-AF$139)^2+($C239-AF$140)^2+($D239-AF$141)^2)</f>
        <v>2.80715017436544</v>
      </c>
      <c r="AG239" s="17" t="n">
        <f aca="false">SQRT(($B239-AG$139)^2+($C239-AG$140)^2+($D239-AG$141)^2)</f>
        <v>1.05049386128947</v>
      </c>
      <c r="AH239" s="63" t="n">
        <f aca="false">MATCH(MIN(AD239:AG239),AD239:AG239,0)</f>
        <v>2</v>
      </c>
      <c r="AJ239" s="17" t="n">
        <f aca="false">SQRT(($B239-AJ$139)^2+($C239-AJ$140)^2+($D239-AJ$141)^2)</f>
        <v>6.31975962934616</v>
      </c>
      <c r="AK239" s="17" t="n">
        <f aca="false">SQRT(($B239-AK$139)^2+($C239-AK$140)^2+($D239-AK$141)^2)</f>
        <v>0.386186752704643</v>
      </c>
      <c r="AL239" s="17" t="n">
        <f aca="false">SQRT(($B239-AL$139)^2+($C239-AL$140)^2+($D239-AL$141)^2)</f>
        <v>2.87241920627246</v>
      </c>
      <c r="AM239" s="17" t="n">
        <f aca="false">SQRT(($B239-AM$139)^2+($C239-AM$140)^2+($D239-AM$141)^2)</f>
        <v>1.1187542669329</v>
      </c>
      <c r="AN239" s="63" t="n">
        <f aca="false">MATCH(MIN(AJ239:AM239),AJ239:AM239,0)</f>
        <v>2</v>
      </c>
      <c r="AP239" s="17" t="n">
        <f aca="false">SQRT(($B239-AP$139)^2+($C239-AP$140)^2+($D239-AP$141)^2)</f>
        <v>6.02527055805029</v>
      </c>
      <c r="AQ239" s="17" t="n">
        <f aca="false">SQRT(($B239-AQ$139)^2+($C239-AQ$140)^2+($D239-AQ$141)^2)</f>
        <v>0.403650707225737</v>
      </c>
      <c r="AR239" s="17" t="n">
        <f aca="false">SQRT(($B239-AR$139)^2+($C239-AR$140)^2+($D239-AR$141)^2)</f>
        <v>2.83003466437344</v>
      </c>
      <c r="AS239" s="17" t="n">
        <f aca="false">SQRT(($B239-AS$139)^2+($C239-AS$140)^2+($D239-AS$141)^2)</f>
        <v>1.08963580601494</v>
      </c>
      <c r="AT239" s="63" t="n">
        <f aca="false">MATCH(MIN(AP239:AS239),AP239:AS239,0)</f>
        <v>2</v>
      </c>
      <c r="AV239" s="17" t="n">
        <f aca="false">SQRT(($B239-AV$139)^2+($C239-AV$140)^2+($D239-AV$141)^2)</f>
        <v>6.02527055805029</v>
      </c>
      <c r="AW239" s="17" t="n">
        <f aca="false">SQRT(($B239-AW$139)^2+($C239-AW$140)^2+($D239-AW$141)^2)</f>
        <v>0.403650707225737</v>
      </c>
      <c r="AX239" s="17" t="n">
        <f aca="false">SQRT(($B239-AX$139)^2+($C239-AX$140)^2+($D239-AX$141)^2)</f>
        <v>2.83003466437344</v>
      </c>
      <c r="AY239" s="17" t="n">
        <f aca="false">SQRT(($B239-AY$139)^2+($C239-AY$140)^2+($D239-AY$141)^2)</f>
        <v>1.08963580601494</v>
      </c>
      <c r="AZ239" s="63" t="n">
        <f aca="false">MATCH(MIN(AV239:AY239),AV239:AY239,0)</f>
        <v>2</v>
      </c>
      <c r="BB239" s="17" t="n">
        <f aca="false">SQRT(($B239-BB$139)^2+($C239-BB$140)^2+($D239-BB$141)^2)</f>
        <v>6.02527055805029</v>
      </c>
      <c r="BC239" s="17" t="n">
        <f aca="false">SQRT(($B239-BC$139)^2+($C239-BC$140)^2+($D239-BC$141)^2)</f>
        <v>0.403650707225737</v>
      </c>
      <c r="BD239" s="17" t="n">
        <f aca="false">SQRT(($B239-BD$139)^2+($C239-BD$140)^2+($D239-BD$141)^2)</f>
        <v>2.83003466437344</v>
      </c>
      <c r="BE239" s="17" t="n">
        <f aca="false">SQRT(($B239-BE$139)^2+($C239-BE$140)^2+($D239-BE$141)^2)</f>
        <v>1.08963580601494</v>
      </c>
      <c r="BF239" s="63" t="n">
        <f aca="false">MATCH(MIN(BB239:BE239),BB239:BE239,0)</f>
        <v>2</v>
      </c>
      <c r="BH239" s="17" t="n">
        <f aca="false">SQRT(($B239-BH$139)^2+($C239-BH$140)^2+($D239-BH$141)^2)</f>
        <v>6.02527055805029</v>
      </c>
      <c r="BI239" s="17" t="n">
        <f aca="false">SQRT(($B239-BI$139)^2+($C239-BI$140)^2+($D239-BI$141)^2)</f>
        <v>0.403650707225737</v>
      </c>
      <c r="BJ239" s="17" t="n">
        <f aca="false">SQRT(($B239-BJ$139)^2+($C239-BJ$140)^2+($D239-BJ$141)^2)</f>
        <v>2.83003466437344</v>
      </c>
      <c r="BK239" s="17" t="n">
        <f aca="false">SQRT(($B239-BK$139)^2+($C239-BK$140)^2+($D239-BK$141)^2)</f>
        <v>1.08963580601494</v>
      </c>
      <c r="BL239" s="63" t="n">
        <f aca="false">MATCH(MIN(BH239:BK239),BH239:BK239,0)</f>
        <v>2</v>
      </c>
      <c r="BN239" s="17" t="n">
        <f aca="false">SQRT(($B239-BN$139)^2+($C239-BN$140)^2+($D239-BN$141)^2)</f>
        <v>6.02527055805029</v>
      </c>
      <c r="BO239" s="17" t="n">
        <f aca="false">SQRT(($B239-BO$139)^2+($C239-BO$140)^2+($D239-BO$141)^2)</f>
        <v>0.403650707225737</v>
      </c>
      <c r="BP239" s="17" t="n">
        <f aca="false">SQRT(($B239-BP$139)^2+($C239-BP$140)^2+($D239-BP$141)^2)</f>
        <v>2.83003466437344</v>
      </c>
      <c r="BQ239" s="17" t="n">
        <f aca="false">SQRT(($B239-BQ$139)^2+($C239-BQ$140)^2+($D239-BQ$141)^2)</f>
        <v>1.08963580601494</v>
      </c>
      <c r="BR239" s="63" t="n">
        <f aca="false">MATCH(MIN(BN239:BQ239),BN239:BQ239,0)</f>
        <v>2</v>
      </c>
      <c r="BT239" s="17" t="n">
        <f aca="false">SQRT(($B239-BT$139)^2+($C239-BT$140)^2+($D239-BT$141)^2)</f>
        <v>6.02527055805029</v>
      </c>
      <c r="BU239" s="17" t="n">
        <f aca="false">SQRT(($B239-BU$139)^2+($C239-BU$140)^2+($D239-BU$141)^2)</f>
        <v>0.403650707225737</v>
      </c>
      <c r="BV239" s="17" t="n">
        <f aca="false">SQRT(($B239-BV$139)^2+($C239-BV$140)^2+($D239-BV$141)^2)</f>
        <v>2.83003466437344</v>
      </c>
      <c r="BW239" s="17" t="n">
        <f aca="false">SQRT(($B239-BW$139)^2+($C239-BW$140)^2+($D239-BW$141)^2)</f>
        <v>1.08963580601494</v>
      </c>
      <c r="BX239" s="63" t="n">
        <f aca="false">MATCH(MIN(BT239:BW239),BT239:BW239,0)</f>
        <v>2</v>
      </c>
      <c r="BZ239" s="17" t="n">
        <f aca="false">SQRT(($B239-BZ$139)^2+($C239-BZ$140)^2+($D239-BZ$141)^2)</f>
        <v>6.02527055805029</v>
      </c>
      <c r="CA239" s="17" t="n">
        <f aca="false">SQRT(($B239-CA$139)^2+($C239-CA$140)^2+($D239-CA$141)^2)</f>
        <v>0.403650707225737</v>
      </c>
      <c r="CB239" s="17" t="n">
        <f aca="false">SQRT(($B239-CB$139)^2+($C239-CB$140)^2+($D239-CB$141)^2)</f>
        <v>2.83003466437344</v>
      </c>
      <c r="CC239" s="17" t="n">
        <f aca="false">SQRT(($B239-CC$139)^2+($C239-CC$140)^2+($D239-CC$141)^2)</f>
        <v>1.08963580601494</v>
      </c>
      <c r="CD239" s="63" t="n">
        <f aca="false">MATCH(MIN(BZ239:CC239),BZ239:CC239,0)</f>
        <v>2</v>
      </c>
      <c r="CF239" s="17" t="n">
        <f aca="false">SQRT(($B239-CF$139)^2+($C239-CF$140)^2+($D239-CF$141)^2)</f>
        <v>6.02527055805029</v>
      </c>
      <c r="CG239" s="17" t="n">
        <f aca="false">SQRT(($B239-CG$139)^2+($C239-CG$140)^2+($D239-CG$141)^2)</f>
        <v>0.403650707225737</v>
      </c>
      <c r="CH239" s="17" t="n">
        <f aca="false">SQRT(($B239-CH$139)^2+($C239-CH$140)^2+($D239-CH$141)^2)</f>
        <v>2.83003466437344</v>
      </c>
      <c r="CI239" s="17" t="n">
        <f aca="false">SQRT(($B239-CI$139)^2+($C239-CI$140)^2+($D239-CI$141)^2)</f>
        <v>1.08963580601494</v>
      </c>
      <c r="CJ239" s="63" t="n">
        <f aca="false">MATCH(MIN(CF239:CI239),CF239:CI239,0)</f>
        <v>2</v>
      </c>
      <c r="CL239" s="17" t="n">
        <f aca="false">SQRT(($B239-CL$139)^2+($C239-CL$140)^2+($D239-CL$141)^2)</f>
        <v>6.02527055805029</v>
      </c>
      <c r="CM239" s="17" t="n">
        <f aca="false">SQRT(($B239-CM$139)^2+($C239-CM$140)^2+($D239-CM$141)^2)</f>
        <v>0.403650707225737</v>
      </c>
      <c r="CN239" s="17" t="n">
        <f aca="false">SQRT(($B239-CN$139)^2+($C239-CN$140)^2+($D239-CN$141)^2)</f>
        <v>2.83003466437344</v>
      </c>
      <c r="CO239" s="17" t="n">
        <f aca="false">SQRT(($B239-CO$139)^2+($C239-CO$140)^2+($D239-CO$141)^2)</f>
        <v>1.08963580601494</v>
      </c>
      <c r="CP239" s="63" t="n">
        <f aca="false">MATCH(MIN(CL239:CO239),CL239:CO239,0)</f>
        <v>2</v>
      </c>
    </row>
    <row r="240" customFormat="false" ht="15" hidden="false" customHeight="false" outlineLevel="0" collapsed="false">
      <c r="A240" s="36" t="str">
        <f aca="false">KMeans_Data!A99</f>
        <v>Umerkot</v>
      </c>
      <c r="B240" s="17" t="n">
        <f aca="false">KMeans_Data!H99</f>
        <v>-0.881311477972984</v>
      </c>
      <c r="C240" s="17" t="n">
        <f aca="false">KMeans_Data!I99</f>
        <v>-0.146983133929529</v>
      </c>
      <c r="D240" s="17" t="n">
        <f aca="false">KMeans_Data!J99</f>
        <v>-0.824446015898766</v>
      </c>
      <c r="E240" s="63" t="n">
        <f aca="false">CP240</f>
        <v>2</v>
      </c>
      <c r="F240" s="38" t="n">
        <f aca="false">($B240-INDEX($L$139:$O$139,E240))^2+($C240-INDEX($L$140:$O$140,E240))^2+($D240-INDEX($L$141:$O$141,E240))^2</f>
        <v>0.474226991365421</v>
      </c>
      <c r="G240" s="17" t="n">
        <f aca="false">IF(COUNTIF(Distance_Matrix!$E$10:$DQ$10,$E240)&lt;=1,0,SUMIF(Distance_Matrix!$E$10:$DQ$10,$E240,Distance_Matrix!$E$108:$DQ$108)/(COUNTIF(Distance_Matrix!$E$10:$DQ$10,$E240)-1))</f>
        <v>0.816677142695283</v>
      </c>
      <c r="H240" s="17" t="n">
        <f aca="false">MIN(IF(1=$E240,1E+099,IF(COUNTIF(Distance_Matrix!$E$10:$DQ$10,1)=0,1E+099,SUMIF(Distance_Matrix!$E$10:$DQ$10,1,Distance_Matrix!$E$108:$DQ$108)/COUNTIF(Distance_Matrix!$E$10:$DQ$10,1))),IF(2=$E240,1E+099,IF(COUNTIF(Distance_Matrix!$E$10:$DQ$10,2)=0,1E+099,SUMIF(Distance_Matrix!$E$10:$DQ$10,2,Distance_Matrix!$E$108:$DQ$108)/COUNTIF(Distance_Matrix!$E$10:$DQ$10,2))),IF(3=$E240,1E+099,IF(COUNTIF(Distance_Matrix!$E$10:$DQ$10,3)=0,1E+099,SUMIF(Distance_Matrix!$E$10:$DQ$10,3,Distance_Matrix!$E$108:$DQ$108)/COUNTIF(Distance_Matrix!$E$10:$DQ$10,3))),IF(4=$E240,1E+099,IF(COUNTIF(Distance_Matrix!$E$10:$DQ$10,4)=0,1E+099,SUMIF(Distance_Matrix!$E$10:$DQ$10,4,Distance_Matrix!$E$108:$DQ$108)/COUNTIF(Distance_Matrix!$E$10:$DQ$10,4))))</f>
        <v>1.17560419343105</v>
      </c>
      <c r="I240" s="17" t="n">
        <f aca="false">IF(COUNTIF(Distance_Matrix!$E$10:$DQ$10,$E240)&lt;=1,0,(H240-G240)/MAX(G240,H240))</f>
        <v>0.30531283636223</v>
      </c>
      <c r="X240" s="17" t="n">
        <f aca="false">SQRT(($B240-X$139)^2+($C240-X$140)^2+($D240-X$141)^2)</f>
        <v>7.1703290216323</v>
      </c>
      <c r="Y240" s="17" t="n">
        <f aca="false">SQRT(($B240-Y$139)^2+($C240-Y$140)^2+($D240-Y$141)^2)</f>
        <v>1.34748674660483</v>
      </c>
      <c r="Z240" s="17" t="n">
        <f aca="false">SQRT(($B240-Z$139)^2+($C240-Z$140)^2+($D240-Z$141)^2)</f>
        <v>3.03708367541972</v>
      </c>
      <c r="AA240" s="17" t="n">
        <f aca="false">SQRT(($B240-AA$139)^2+($C240-AA$140)^2+($D240-AA$141)^2)</f>
        <v>1.56040058792694</v>
      </c>
      <c r="AB240" s="63" t="n">
        <f aca="false">MATCH(MIN(X240:AA240),X240:AA240,0)</f>
        <v>2</v>
      </c>
      <c r="AD240" s="17" t="n">
        <f aca="false">SQRT(($B240-AD$139)^2+($C240-AD$140)^2+($D240-AD$141)^2)</f>
        <v>6.16209218071299</v>
      </c>
      <c r="AE240" s="17" t="n">
        <f aca="false">SQRT(($B240-AE$139)^2+($C240-AE$140)^2+($D240-AE$141)^2)</f>
        <v>0.631343913187267</v>
      </c>
      <c r="AF240" s="17" t="n">
        <f aca="false">SQRT(($B240-AF$139)^2+($C240-AF$140)^2+($D240-AF$141)^2)</f>
        <v>2.3759104727572</v>
      </c>
      <c r="AG240" s="17" t="n">
        <f aca="false">SQRT(($B240-AG$139)^2+($C240-AG$140)^2+($D240-AG$141)^2)</f>
        <v>0.940383970393664</v>
      </c>
      <c r="AH240" s="63" t="n">
        <f aca="false">MATCH(MIN(AD240:AG240),AD240:AG240,0)</f>
        <v>2</v>
      </c>
      <c r="AJ240" s="17" t="n">
        <f aca="false">SQRT(($B240-AJ$139)^2+($C240-AJ$140)^2+($D240-AJ$141)^2)</f>
        <v>5.83018087655957</v>
      </c>
      <c r="AK240" s="17" t="n">
        <f aca="false">SQRT(($B240-AK$139)^2+($C240-AK$140)^2+($D240-AK$141)^2)</f>
        <v>0.637250216490494</v>
      </c>
      <c r="AL240" s="17" t="n">
        <f aca="false">SQRT(($B240-AL$139)^2+($C240-AL$140)^2+($D240-AL$141)^2)</f>
        <v>2.43430013226491</v>
      </c>
      <c r="AM240" s="17" t="n">
        <f aca="false">SQRT(($B240-AM$139)^2+($C240-AM$140)^2+($D240-AM$141)^2)</f>
        <v>0.978286552403705</v>
      </c>
      <c r="AN240" s="63" t="n">
        <f aca="false">MATCH(MIN(AJ240:AM240),AJ240:AM240,0)</f>
        <v>2</v>
      </c>
      <c r="AP240" s="17" t="n">
        <f aca="false">SQRT(($B240-AP$139)^2+($C240-AP$140)^2+($D240-AP$141)^2)</f>
        <v>5.53391388416087</v>
      </c>
      <c r="AQ240" s="17" t="n">
        <f aca="false">SQRT(($B240-AQ$139)^2+($C240-AQ$140)^2+($D240-AQ$141)^2)</f>
        <v>0.688641409853794</v>
      </c>
      <c r="AR240" s="17" t="n">
        <f aca="false">SQRT(($B240-AR$139)^2+($C240-AR$140)^2+($D240-AR$141)^2)</f>
        <v>2.39551293273822</v>
      </c>
      <c r="AS240" s="17" t="n">
        <f aca="false">SQRT(($B240-AS$139)^2+($C240-AS$140)^2+($D240-AS$141)^2)</f>
        <v>0.948039320082589</v>
      </c>
      <c r="AT240" s="63" t="n">
        <f aca="false">MATCH(MIN(AP240:AS240),AP240:AS240,0)</f>
        <v>2</v>
      </c>
      <c r="AV240" s="17" t="n">
        <f aca="false">SQRT(($B240-AV$139)^2+($C240-AV$140)^2+($D240-AV$141)^2)</f>
        <v>5.53391388416087</v>
      </c>
      <c r="AW240" s="17" t="n">
        <f aca="false">SQRT(($B240-AW$139)^2+($C240-AW$140)^2+($D240-AW$141)^2)</f>
        <v>0.688641409853794</v>
      </c>
      <c r="AX240" s="17" t="n">
        <f aca="false">SQRT(($B240-AX$139)^2+($C240-AX$140)^2+($D240-AX$141)^2)</f>
        <v>2.39551293273822</v>
      </c>
      <c r="AY240" s="17" t="n">
        <f aca="false">SQRT(($B240-AY$139)^2+($C240-AY$140)^2+($D240-AY$141)^2)</f>
        <v>0.948039320082589</v>
      </c>
      <c r="AZ240" s="63" t="n">
        <f aca="false">MATCH(MIN(AV240:AY240),AV240:AY240,0)</f>
        <v>2</v>
      </c>
      <c r="BB240" s="17" t="n">
        <f aca="false">SQRT(($B240-BB$139)^2+($C240-BB$140)^2+($D240-BB$141)^2)</f>
        <v>5.53391388416087</v>
      </c>
      <c r="BC240" s="17" t="n">
        <f aca="false">SQRT(($B240-BC$139)^2+($C240-BC$140)^2+($D240-BC$141)^2)</f>
        <v>0.688641409853794</v>
      </c>
      <c r="BD240" s="17" t="n">
        <f aca="false">SQRT(($B240-BD$139)^2+($C240-BD$140)^2+($D240-BD$141)^2)</f>
        <v>2.39551293273822</v>
      </c>
      <c r="BE240" s="17" t="n">
        <f aca="false">SQRT(($B240-BE$139)^2+($C240-BE$140)^2+($D240-BE$141)^2)</f>
        <v>0.948039320082589</v>
      </c>
      <c r="BF240" s="63" t="n">
        <f aca="false">MATCH(MIN(BB240:BE240),BB240:BE240,0)</f>
        <v>2</v>
      </c>
      <c r="BH240" s="17" t="n">
        <f aca="false">SQRT(($B240-BH$139)^2+($C240-BH$140)^2+($D240-BH$141)^2)</f>
        <v>5.53391388416087</v>
      </c>
      <c r="BI240" s="17" t="n">
        <f aca="false">SQRT(($B240-BI$139)^2+($C240-BI$140)^2+($D240-BI$141)^2)</f>
        <v>0.688641409853794</v>
      </c>
      <c r="BJ240" s="17" t="n">
        <f aca="false">SQRT(($B240-BJ$139)^2+($C240-BJ$140)^2+($D240-BJ$141)^2)</f>
        <v>2.39551293273822</v>
      </c>
      <c r="BK240" s="17" t="n">
        <f aca="false">SQRT(($B240-BK$139)^2+($C240-BK$140)^2+($D240-BK$141)^2)</f>
        <v>0.948039320082589</v>
      </c>
      <c r="BL240" s="63" t="n">
        <f aca="false">MATCH(MIN(BH240:BK240),BH240:BK240,0)</f>
        <v>2</v>
      </c>
      <c r="BN240" s="17" t="n">
        <f aca="false">SQRT(($B240-BN$139)^2+($C240-BN$140)^2+($D240-BN$141)^2)</f>
        <v>5.53391388416087</v>
      </c>
      <c r="BO240" s="17" t="n">
        <f aca="false">SQRT(($B240-BO$139)^2+($C240-BO$140)^2+($D240-BO$141)^2)</f>
        <v>0.688641409853794</v>
      </c>
      <c r="BP240" s="17" t="n">
        <f aca="false">SQRT(($B240-BP$139)^2+($C240-BP$140)^2+($D240-BP$141)^2)</f>
        <v>2.39551293273822</v>
      </c>
      <c r="BQ240" s="17" t="n">
        <f aca="false">SQRT(($B240-BQ$139)^2+($C240-BQ$140)^2+($D240-BQ$141)^2)</f>
        <v>0.948039320082589</v>
      </c>
      <c r="BR240" s="63" t="n">
        <f aca="false">MATCH(MIN(BN240:BQ240),BN240:BQ240,0)</f>
        <v>2</v>
      </c>
      <c r="BT240" s="17" t="n">
        <f aca="false">SQRT(($B240-BT$139)^2+($C240-BT$140)^2+($D240-BT$141)^2)</f>
        <v>5.53391388416087</v>
      </c>
      <c r="BU240" s="17" t="n">
        <f aca="false">SQRT(($B240-BU$139)^2+($C240-BU$140)^2+($D240-BU$141)^2)</f>
        <v>0.688641409853794</v>
      </c>
      <c r="BV240" s="17" t="n">
        <f aca="false">SQRT(($B240-BV$139)^2+($C240-BV$140)^2+($D240-BV$141)^2)</f>
        <v>2.39551293273822</v>
      </c>
      <c r="BW240" s="17" t="n">
        <f aca="false">SQRT(($B240-BW$139)^2+($C240-BW$140)^2+($D240-BW$141)^2)</f>
        <v>0.948039320082589</v>
      </c>
      <c r="BX240" s="63" t="n">
        <f aca="false">MATCH(MIN(BT240:BW240),BT240:BW240,0)</f>
        <v>2</v>
      </c>
      <c r="BZ240" s="17" t="n">
        <f aca="false">SQRT(($B240-BZ$139)^2+($C240-BZ$140)^2+($D240-BZ$141)^2)</f>
        <v>5.53391388416087</v>
      </c>
      <c r="CA240" s="17" t="n">
        <f aca="false">SQRT(($B240-CA$139)^2+($C240-CA$140)^2+($D240-CA$141)^2)</f>
        <v>0.688641409853794</v>
      </c>
      <c r="CB240" s="17" t="n">
        <f aca="false">SQRT(($B240-CB$139)^2+($C240-CB$140)^2+($D240-CB$141)^2)</f>
        <v>2.39551293273822</v>
      </c>
      <c r="CC240" s="17" t="n">
        <f aca="false">SQRT(($B240-CC$139)^2+($C240-CC$140)^2+($D240-CC$141)^2)</f>
        <v>0.948039320082589</v>
      </c>
      <c r="CD240" s="63" t="n">
        <f aca="false">MATCH(MIN(BZ240:CC240),BZ240:CC240,0)</f>
        <v>2</v>
      </c>
      <c r="CF240" s="17" t="n">
        <f aca="false">SQRT(($B240-CF$139)^2+($C240-CF$140)^2+($D240-CF$141)^2)</f>
        <v>5.53391388416087</v>
      </c>
      <c r="CG240" s="17" t="n">
        <f aca="false">SQRT(($B240-CG$139)^2+($C240-CG$140)^2+($D240-CG$141)^2)</f>
        <v>0.688641409853794</v>
      </c>
      <c r="CH240" s="17" t="n">
        <f aca="false">SQRT(($B240-CH$139)^2+($C240-CH$140)^2+($D240-CH$141)^2)</f>
        <v>2.39551293273822</v>
      </c>
      <c r="CI240" s="17" t="n">
        <f aca="false">SQRT(($B240-CI$139)^2+($C240-CI$140)^2+($D240-CI$141)^2)</f>
        <v>0.948039320082589</v>
      </c>
      <c r="CJ240" s="63" t="n">
        <f aca="false">MATCH(MIN(CF240:CI240),CF240:CI240,0)</f>
        <v>2</v>
      </c>
      <c r="CL240" s="17" t="n">
        <f aca="false">SQRT(($B240-CL$139)^2+($C240-CL$140)^2+($D240-CL$141)^2)</f>
        <v>5.53391388416087</v>
      </c>
      <c r="CM240" s="17" t="n">
        <f aca="false">SQRT(($B240-CM$139)^2+($C240-CM$140)^2+($D240-CM$141)^2)</f>
        <v>0.688641409853794</v>
      </c>
      <c r="CN240" s="17" t="n">
        <f aca="false">SQRT(($B240-CN$139)^2+($C240-CN$140)^2+($D240-CN$141)^2)</f>
        <v>2.39551293273822</v>
      </c>
      <c r="CO240" s="17" t="n">
        <f aca="false">SQRT(($B240-CO$139)^2+($C240-CO$140)^2+($D240-CO$141)^2)</f>
        <v>0.948039320082589</v>
      </c>
      <c r="CP240" s="63" t="n">
        <f aca="false">MATCH(MIN(CL240:CO240),CL240:CO240,0)</f>
        <v>2</v>
      </c>
    </row>
    <row r="241" customFormat="false" ht="15" hidden="false" customHeight="false" outlineLevel="0" collapsed="false">
      <c r="A241" s="36" t="str">
        <f aca="false">KMeans_Data!A100</f>
        <v>Tando Allahyar</v>
      </c>
      <c r="B241" s="17" t="n">
        <f aca="false">KMeans_Data!H100</f>
        <v>-0.881311477972984</v>
      </c>
      <c r="C241" s="17" t="n">
        <f aca="false">KMeans_Data!I100</f>
        <v>-0.672650545388274</v>
      </c>
      <c r="D241" s="17" t="n">
        <f aca="false">KMeans_Data!J100</f>
        <v>0.265159896369606</v>
      </c>
      <c r="E241" s="63" t="n">
        <f aca="false">CP241</f>
        <v>4</v>
      </c>
      <c r="F241" s="38" t="n">
        <f aca="false">($B241-INDEX($L$139:$O$139,E241))^2+($C241-INDEX($L$140:$O$140,E241))^2+($D241-INDEX($L$141:$O$141,E241))^2</f>
        <v>1.00343432553637</v>
      </c>
      <c r="G241" s="17" t="n">
        <f aca="false">IF(COUNTIF(Distance_Matrix!$E$10:$DQ$10,$E241)&lt;=1,0,SUMIF(Distance_Matrix!$E$10:$DQ$10,$E241,Distance_Matrix!$E$109:$DQ$109)/(COUNTIF(Distance_Matrix!$E$10:$DQ$10,$E241)-1))</f>
        <v>1.17572788666557</v>
      </c>
      <c r="H241" s="17" t="n">
        <f aca="false">MIN(IF(1=$E241,1E+099,IF(COUNTIF(Distance_Matrix!$E$10:$DQ$10,1)=0,1E+099,SUMIF(Distance_Matrix!$E$10:$DQ$10,1,Distance_Matrix!$E$109:$DQ$109)/COUNTIF(Distance_Matrix!$E$10:$DQ$10,1))),IF(2=$E241,1E+099,IF(COUNTIF(Distance_Matrix!$E$10:$DQ$10,2)=0,1E+099,SUMIF(Distance_Matrix!$E$10:$DQ$10,2,Distance_Matrix!$E$109:$DQ$109)/COUNTIF(Distance_Matrix!$E$10:$DQ$10,2))),IF(3=$E241,1E+099,IF(COUNTIF(Distance_Matrix!$E$10:$DQ$10,3)=0,1E+099,SUMIF(Distance_Matrix!$E$10:$DQ$10,3,Distance_Matrix!$E$109:$DQ$109)/COUNTIF(Distance_Matrix!$E$10:$DQ$10,3))),IF(4=$E241,1E+099,IF(COUNTIF(Distance_Matrix!$E$10:$DQ$10,4)=0,1E+099,SUMIF(Distance_Matrix!$E$10:$DQ$10,4,Distance_Matrix!$E$109:$DQ$109)/COUNTIF(Distance_Matrix!$E$10:$DQ$10,4))))</f>
        <v>1.45273263056095</v>
      </c>
      <c r="I241" s="17" t="n">
        <f aca="false">IF(COUNTIF(Distance_Matrix!$E$10:$DQ$10,$E241)&lt;=1,0,(H241-G241)/MAX(G241,H241))</f>
        <v>0.190678407070972</v>
      </c>
      <c r="X241" s="17" t="n">
        <f aca="false">SQRT(($B241-X$139)^2+($C241-X$140)^2+($D241-X$141)^2)</f>
        <v>6.95650104174171</v>
      </c>
      <c r="Y241" s="17" t="n">
        <f aca="false">SQRT(($B241-Y$139)^2+($C241-Y$140)^2+($D241-Y$141)^2)</f>
        <v>1.8511061685766</v>
      </c>
      <c r="Z241" s="17" t="n">
        <f aca="false">SQRT(($B241-Z$139)^2+($C241-Z$140)^2+($D241-Z$141)^2)</f>
        <v>2.49782531278287</v>
      </c>
      <c r="AA241" s="17" t="n">
        <f aca="false">SQRT(($B241-AA$139)^2+($C241-AA$140)^2+($D241-AA$141)^2)</f>
        <v>2.14438242037396</v>
      </c>
      <c r="AB241" s="63" t="n">
        <f aca="false">MATCH(MIN(X241:AA241),X241:AA241,0)</f>
        <v>2</v>
      </c>
      <c r="AD241" s="17" t="n">
        <f aca="false">SQRT(($B241-AD$139)^2+($C241-AD$140)^2+($D241-AD$141)^2)</f>
        <v>6.00564092710116</v>
      </c>
      <c r="AE241" s="17" t="n">
        <f aca="false">SQRT(($B241-AE$139)^2+($C241-AE$140)^2+($D241-AE$141)^2)</f>
        <v>1.25325306455757</v>
      </c>
      <c r="AF241" s="17" t="n">
        <f aca="false">SQRT(($B241-AF$139)^2+($C241-AF$140)^2+($D241-AF$141)^2)</f>
        <v>2.03855686105914</v>
      </c>
      <c r="AG241" s="17" t="n">
        <f aca="false">SQRT(($B241-AG$139)^2+($C241-AG$140)^2+($D241-AG$141)^2)</f>
        <v>1.14523865082092</v>
      </c>
      <c r="AH241" s="63" t="n">
        <f aca="false">MATCH(MIN(AD241:AG241),AD241:AG241,0)</f>
        <v>4</v>
      </c>
      <c r="AJ241" s="17" t="n">
        <f aca="false">SQRT(($B241-AJ$139)^2+($C241-AJ$140)^2+($D241-AJ$141)^2)</f>
        <v>5.66809733479188</v>
      </c>
      <c r="AK241" s="17" t="n">
        <f aca="false">SQRT(($B241-AK$139)^2+($C241-AK$140)^2+($D241-AK$141)^2)</f>
        <v>1.29920645094816</v>
      </c>
      <c r="AL241" s="17" t="n">
        <f aca="false">SQRT(($B241-AL$139)^2+($C241-AL$140)^2+($D241-AL$141)^2)</f>
        <v>2.12482884594826</v>
      </c>
      <c r="AM241" s="17" t="n">
        <f aca="false">SQRT(($B241-AM$139)^2+($C241-AM$140)^2+($D241-AM$141)^2)</f>
        <v>1.04440166937626</v>
      </c>
      <c r="AN241" s="63" t="n">
        <f aca="false">MATCH(MIN(AJ241:AM241),AJ241:AM241,0)</f>
        <v>4</v>
      </c>
      <c r="AP241" s="17" t="n">
        <f aca="false">SQRT(($B241-AP$139)^2+($C241-AP$140)^2+($D241-AP$141)^2)</f>
        <v>5.37661818024854</v>
      </c>
      <c r="AQ241" s="17" t="n">
        <f aca="false">SQRT(($B241-AQ$139)^2+($C241-AQ$140)^2+($D241-AQ$141)^2)</f>
        <v>1.39672362380885</v>
      </c>
      <c r="AR241" s="17" t="n">
        <f aca="false">SQRT(($B241-AR$139)^2+($C241-AR$140)^2+($D241-AR$141)^2)</f>
        <v>2.07746968684385</v>
      </c>
      <c r="AS241" s="17" t="n">
        <f aca="false">SQRT(($B241-AS$139)^2+($C241-AS$140)^2+($D241-AS$141)^2)</f>
        <v>1.00171569097043</v>
      </c>
      <c r="AT241" s="63" t="n">
        <f aca="false">MATCH(MIN(AP241:AS241),AP241:AS241,0)</f>
        <v>4</v>
      </c>
      <c r="AV241" s="17" t="n">
        <f aca="false">SQRT(($B241-AV$139)^2+($C241-AV$140)^2+($D241-AV$141)^2)</f>
        <v>5.37661818024854</v>
      </c>
      <c r="AW241" s="17" t="n">
        <f aca="false">SQRT(($B241-AW$139)^2+($C241-AW$140)^2+($D241-AW$141)^2)</f>
        <v>1.39672362380885</v>
      </c>
      <c r="AX241" s="17" t="n">
        <f aca="false">SQRT(($B241-AX$139)^2+($C241-AX$140)^2+($D241-AX$141)^2)</f>
        <v>2.07746968684385</v>
      </c>
      <c r="AY241" s="17" t="n">
        <f aca="false">SQRT(($B241-AY$139)^2+($C241-AY$140)^2+($D241-AY$141)^2)</f>
        <v>1.00171569097043</v>
      </c>
      <c r="AZ241" s="63" t="n">
        <f aca="false">MATCH(MIN(AV241:AY241),AV241:AY241,0)</f>
        <v>4</v>
      </c>
      <c r="BB241" s="17" t="n">
        <f aca="false">SQRT(($B241-BB$139)^2+($C241-BB$140)^2+($D241-BB$141)^2)</f>
        <v>5.37661818024854</v>
      </c>
      <c r="BC241" s="17" t="n">
        <f aca="false">SQRT(($B241-BC$139)^2+($C241-BC$140)^2+($D241-BC$141)^2)</f>
        <v>1.39672362380885</v>
      </c>
      <c r="BD241" s="17" t="n">
        <f aca="false">SQRT(($B241-BD$139)^2+($C241-BD$140)^2+($D241-BD$141)^2)</f>
        <v>2.07746968684385</v>
      </c>
      <c r="BE241" s="17" t="n">
        <f aca="false">SQRT(($B241-BE$139)^2+($C241-BE$140)^2+($D241-BE$141)^2)</f>
        <v>1.00171569097043</v>
      </c>
      <c r="BF241" s="63" t="n">
        <f aca="false">MATCH(MIN(BB241:BE241),BB241:BE241,0)</f>
        <v>4</v>
      </c>
      <c r="BH241" s="17" t="n">
        <f aca="false">SQRT(($B241-BH$139)^2+($C241-BH$140)^2+($D241-BH$141)^2)</f>
        <v>5.37661818024854</v>
      </c>
      <c r="BI241" s="17" t="n">
        <f aca="false">SQRT(($B241-BI$139)^2+($C241-BI$140)^2+($D241-BI$141)^2)</f>
        <v>1.39672362380885</v>
      </c>
      <c r="BJ241" s="17" t="n">
        <f aca="false">SQRT(($B241-BJ$139)^2+($C241-BJ$140)^2+($D241-BJ$141)^2)</f>
        <v>2.07746968684385</v>
      </c>
      <c r="BK241" s="17" t="n">
        <f aca="false">SQRT(($B241-BK$139)^2+($C241-BK$140)^2+($D241-BK$141)^2)</f>
        <v>1.00171569097043</v>
      </c>
      <c r="BL241" s="63" t="n">
        <f aca="false">MATCH(MIN(BH241:BK241),BH241:BK241,0)</f>
        <v>4</v>
      </c>
      <c r="BN241" s="17" t="n">
        <f aca="false">SQRT(($B241-BN$139)^2+($C241-BN$140)^2+($D241-BN$141)^2)</f>
        <v>5.37661818024854</v>
      </c>
      <c r="BO241" s="17" t="n">
        <f aca="false">SQRT(($B241-BO$139)^2+($C241-BO$140)^2+($D241-BO$141)^2)</f>
        <v>1.39672362380885</v>
      </c>
      <c r="BP241" s="17" t="n">
        <f aca="false">SQRT(($B241-BP$139)^2+($C241-BP$140)^2+($D241-BP$141)^2)</f>
        <v>2.07746968684385</v>
      </c>
      <c r="BQ241" s="17" t="n">
        <f aca="false">SQRT(($B241-BQ$139)^2+($C241-BQ$140)^2+($D241-BQ$141)^2)</f>
        <v>1.00171569097043</v>
      </c>
      <c r="BR241" s="63" t="n">
        <f aca="false">MATCH(MIN(BN241:BQ241),BN241:BQ241,0)</f>
        <v>4</v>
      </c>
      <c r="BT241" s="17" t="n">
        <f aca="false">SQRT(($B241-BT$139)^2+($C241-BT$140)^2+($D241-BT$141)^2)</f>
        <v>5.37661818024854</v>
      </c>
      <c r="BU241" s="17" t="n">
        <f aca="false">SQRT(($B241-BU$139)^2+($C241-BU$140)^2+($D241-BU$141)^2)</f>
        <v>1.39672362380885</v>
      </c>
      <c r="BV241" s="17" t="n">
        <f aca="false">SQRT(($B241-BV$139)^2+($C241-BV$140)^2+($D241-BV$141)^2)</f>
        <v>2.07746968684385</v>
      </c>
      <c r="BW241" s="17" t="n">
        <f aca="false">SQRT(($B241-BW$139)^2+($C241-BW$140)^2+($D241-BW$141)^2)</f>
        <v>1.00171569097043</v>
      </c>
      <c r="BX241" s="63" t="n">
        <f aca="false">MATCH(MIN(BT241:BW241),BT241:BW241,0)</f>
        <v>4</v>
      </c>
      <c r="BZ241" s="17" t="n">
        <f aca="false">SQRT(($B241-BZ$139)^2+($C241-BZ$140)^2+($D241-BZ$141)^2)</f>
        <v>5.37661818024854</v>
      </c>
      <c r="CA241" s="17" t="n">
        <f aca="false">SQRT(($B241-CA$139)^2+($C241-CA$140)^2+($D241-CA$141)^2)</f>
        <v>1.39672362380885</v>
      </c>
      <c r="CB241" s="17" t="n">
        <f aca="false">SQRT(($B241-CB$139)^2+($C241-CB$140)^2+($D241-CB$141)^2)</f>
        <v>2.07746968684385</v>
      </c>
      <c r="CC241" s="17" t="n">
        <f aca="false">SQRT(($B241-CC$139)^2+($C241-CC$140)^2+($D241-CC$141)^2)</f>
        <v>1.00171569097043</v>
      </c>
      <c r="CD241" s="63" t="n">
        <f aca="false">MATCH(MIN(BZ241:CC241),BZ241:CC241,0)</f>
        <v>4</v>
      </c>
      <c r="CF241" s="17" t="n">
        <f aca="false">SQRT(($B241-CF$139)^2+($C241-CF$140)^2+($D241-CF$141)^2)</f>
        <v>5.37661818024854</v>
      </c>
      <c r="CG241" s="17" t="n">
        <f aca="false">SQRT(($B241-CG$139)^2+($C241-CG$140)^2+($D241-CG$141)^2)</f>
        <v>1.39672362380885</v>
      </c>
      <c r="CH241" s="17" t="n">
        <f aca="false">SQRT(($B241-CH$139)^2+($C241-CH$140)^2+($D241-CH$141)^2)</f>
        <v>2.07746968684385</v>
      </c>
      <c r="CI241" s="17" t="n">
        <f aca="false">SQRT(($B241-CI$139)^2+($C241-CI$140)^2+($D241-CI$141)^2)</f>
        <v>1.00171569097043</v>
      </c>
      <c r="CJ241" s="63" t="n">
        <f aca="false">MATCH(MIN(CF241:CI241),CF241:CI241,0)</f>
        <v>4</v>
      </c>
      <c r="CL241" s="17" t="n">
        <f aca="false">SQRT(($B241-CL$139)^2+($C241-CL$140)^2+($D241-CL$141)^2)</f>
        <v>5.37661818024854</v>
      </c>
      <c r="CM241" s="17" t="n">
        <f aca="false">SQRT(($B241-CM$139)^2+($C241-CM$140)^2+($D241-CM$141)^2)</f>
        <v>1.39672362380885</v>
      </c>
      <c r="CN241" s="17" t="n">
        <f aca="false">SQRT(($B241-CN$139)^2+($C241-CN$140)^2+($D241-CN$141)^2)</f>
        <v>2.07746968684385</v>
      </c>
      <c r="CO241" s="17" t="n">
        <f aca="false">SQRT(($B241-CO$139)^2+($C241-CO$140)^2+($D241-CO$141)^2)</f>
        <v>1.00171569097043</v>
      </c>
      <c r="CP241" s="63" t="n">
        <f aca="false">MATCH(MIN(CL241:CO241),CL241:CO241,0)</f>
        <v>4</v>
      </c>
    </row>
    <row r="242" customFormat="false" ht="15" hidden="false" customHeight="false" outlineLevel="0" collapsed="false">
      <c r="A242" s="36" t="str">
        <f aca="false">KMeans_Data!A101</f>
        <v>Mirpur</v>
      </c>
      <c r="B242" s="17" t="n">
        <f aca="false">KMeans_Data!H101</f>
        <v>-0.881311477972984</v>
      </c>
      <c r="C242" s="17" t="n">
        <f aca="false">KMeans_Data!I101</f>
        <v>-0.672650545388274</v>
      </c>
      <c r="D242" s="17" t="n">
        <f aca="false">KMeans_Data!J101</f>
        <v>-1.14564411633355</v>
      </c>
      <c r="E242" s="63" t="n">
        <f aca="false">CP242</f>
        <v>2</v>
      </c>
      <c r="F242" s="38" t="n">
        <f aca="false">($B242-INDEX($L$139:$O$139,E242))^2+($C242-INDEX($L$140:$O$140,E242))^2+($D242-INDEX($L$141:$O$141,E242))^2</f>
        <v>0.162933893443838</v>
      </c>
      <c r="G242" s="17" t="n">
        <f aca="false">IF(COUNTIF(Distance_Matrix!$E$10:$DQ$10,$E242)&lt;=1,0,SUMIF(Distance_Matrix!$E$10:$DQ$10,$E242,Distance_Matrix!$E$110:$DQ$110)/(COUNTIF(Distance_Matrix!$E$10:$DQ$10,$E242)-1))</f>
        <v>0.522551107941841</v>
      </c>
      <c r="H242" s="17" t="n">
        <f aca="false">MIN(IF(1=$E242,1E+099,IF(COUNTIF(Distance_Matrix!$E$10:$DQ$10,1)=0,1E+099,SUMIF(Distance_Matrix!$E$10:$DQ$10,1,Distance_Matrix!$E$110:$DQ$110)/COUNTIF(Distance_Matrix!$E$10:$DQ$10,1))),IF(2=$E242,1E+099,IF(COUNTIF(Distance_Matrix!$E$10:$DQ$10,2)=0,1E+099,SUMIF(Distance_Matrix!$E$10:$DQ$10,2,Distance_Matrix!$E$110:$DQ$110)/COUNTIF(Distance_Matrix!$E$10:$DQ$10,2))),IF(3=$E242,1E+099,IF(COUNTIF(Distance_Matrix!$E$10:$DQ$10,3)=0,1E+099,SUMIF(Distance_Matrix!$E$10:$DQ$10,3,Distance_Matrix!$E$110:$DQ$110)/COUNTIF(Distance_Matrix!$E$10:$DQ$10,3))),IF(4=$E242,1E+099,IF(COUNTIF(Distance_Matrix!$E$10:$DQ$10,4)=0,1E+099,SUMIF(Distance_Matrix!$E$10:$DQ$10,4,Distance_Matrix!$E$110:$DQ$110)/COUNTIF(Distance_Matrix!$E$10:$DQ$10,4))))</f>
        <v>1.26034424064507</v>
      </c>
      <c r="I242" s="17" t="n">
        <f aca="false">IF(COUNTIF(Distance_Matrix!$E$10:$DQ$10,$E242)&lt;=1,0,(H242-G242)/MAX(G242,H242))</f>
        <v>0.585390172708381</v>
      </c>
      <c r="X242" s="17" t="n">
        <f aca="false">SQRT(($B242-X$139)^2+($C242-X$140)^2+($D242-X$141)^2)</f>
        <v>7.66896199778013</v>
      </c>
      <c r="Y242" s="17" t="n">
        <f aca="false">SQRT(($B242-Y$139)^2+($C242-Y$140)^2+($D242-Y$141)^2)</f>
        <v>1.19842650383034</v>
      </c>
      <c r="Z242" s="17" t="n">
        <f aca="false">SQRT(($B242-Z$139)^2+($C242-Z$140)^2+($D242-Z$141)^2)</f>
        <v>3.41031193536842</v>
      </c>
      <c r="AA242" s="17" t="n">
        <f aca="false">SQRT(($B242-AA$139)^2+($C242-AA$140)^2+($D242-AA$141)^2)</f>
        <v>1.6149328167294</v>
      </c>
      <c r="AB242" s="63" t="n">
        <f aca="false">MATCH(MIN(X242:AA242),X242:AA242,0)</f>
        <v>2</v>
      </c>
      <c r="AD242" s="17" t="n">
        <f aca="false">SQRT(($B242-AD$139)^2+($C242-AD$140)^2+($D242-AD$141)^2)</f>
        <v>6.6577392498362</v>
      </c>
      <c r="AE242" s="17" t="n">
        <f aca="false">SQRT(($B242-AE$139)^2+($C242-AE$140)^2+($D242-AE$141)^2)</f>
        <v>0.417151279230401</v>
      </c>
      <c r="AF242" s="17" t="n">
        <f aca="false">SQRT(($B242-AF$139)^2+($C242-AF$140)^2+($D242-AF$141)^2)</f>
        <v>2.80715017436544</v>
      </c>
      <c r="AG242" s="17" t="n">
        <f aca="false">SQRT(($B242-AG$139)^2+($C242-AG$140)^2+($D242-AG$141)^2)</f>
        <v>1.05049386128947</v>
      </c>
      <c r="AH242" s="63" t="n">
        <f aca="false">MATCH(MIN(AD242:AG242),AD242:AG242,0)</f>
        <v>2</v>
      </c>
      <c r="AJ242" s="17" t="n">
        <f aca="false">SQRT(($B242-AJ$139)^2+($C242-AJ$140)^2+($D242-AJ$141)^2)</f>
        <v>6.31975962934616</v>
      </c>
      <c r="AK242" s="17" t="n">
        <f aca="false">SQRT(($B242-AK$139)^2+($C242-AK$140)^2+($D242-AK$141)^2)</f>
        <v>0.386186752704643</v>
      </c>
      <c r="AL242" s="17" t="n">
        <f aca="false">SQRT(($B242-AL$139)^2+($C242-AL$140)^2+($D242-AL$141)^2)</f>
        <v>2.87241920627246</v>
      </c>
      <c r="AM242" s="17" t="n">
        <f aca="false">SQRT(($B242-AM$139)^2+($C242-AM$140)^2+($D242-AM$141)^2)</f>
        <v>1.1187542669329</v>
      </c>
      <c r="AN242" s="63" t="n">
        <f aca="false">MATCH(MIN(AJ242:AM242),AJ242:AM242,0)</f>
        <v>2</v>
      </c>
      <c r="AP242" s="17" t="n">
        <f aca="false">SQRT(($B242-AP$139)^2+($C242-AP$140)^2+($D242-AP$141)^2)</f>
        <v>6.02527055805029</v>
      </c>
      <c r="AQ242" s="17" t="n">
        <f aca="false">SQRT(($B242-AQ$139)^2+($C242-AQ$140)^2+($D242-AQ$141)^2)</f>
        <v>0.403650707225737</v>
      </c>
      <c r="AR242" s="17" t="n">
        <f aca="false">SQRT(($B242-AR$139)^2+($C242-AR$140)^2+($D242-AR$141)^2)</f>
        <v>2.83003466437344</v>
      </c>
      <c r="AS242" s="17" t="n">
        <f aca="false">SQRT(($B242-AS$139)^2+($C242-AS$140)^2+($D242-AS$141)^2)</f>
        <v>1.08963580601494</v>
      </c>
      <c r="AT242" s="63" t="n">
        <f aca="false">MATCH(MIN(AP242:AS242),AP242:AS242,0)</f>
        <v>2</v>
      </c>
      <c r="AV242" s="17" t="n">
        <f aca="false">SQRT(($B242-AV$139)^2+($C242-AV$140)^2+($D242-AV$141)^2)</f>
        <v>6.02527055805029</v>
      </c>
      <c r="AW242" s="17" t="n">
        <f aca="false">SQRT(($B242-AW$139)^2+($C242-AW$140)^2+($D242-AW$141)^2)</f>
        <v>0.403650707225737</v>
      </c>
      <c r="AX242" s="17" t="n">
        <f aca="false">SQRT(($B242-AX$139)^2+($C242-AX$140)^2+($D242-AX$141)^2)</f>
        <v>2.83003466437344</v>
      </c>
      <c r="AY242" s="17" t="n">
        <f aca="false">SQRT(($B242-AY$139)^2+($C242-AY$140)^2+($D242-AY$141)^2)</f>
        <v>1.08963580601494</v>
      </c>
      <c r="AZ242" s="63" t="n">
        <f aca="false">MATCH(MIN(AV242:AY242),AV242:AY242,0)</f>
        <v>2</v>
      </c>
      <c r="BB242" s="17" t="n">
        <f aca="false">SQRT(($B242-BB$139)^2+($C242-BB$140)^2+($D242-BB$141)^2)</f>
        <v>6.02527055805029</v>
      </c>
      <c r="BC242" s="17" t="n">
        <f aca="false">SQRT(($B242-BC$139)^2+($C242-BC$140)^2+($D242-BC$141)^2)</f>
        <v>0.403650707225737</v>
      </c>
      <c r="BD242" s="17" t="n">
        <f aca="false">SQRT(($B242-BD$139)^2+($C242-BD$140)^2+($D242-BD$141)^2)</f>
        <v>2.83003466437344</v>
      </c>
      <c r="BE242" s="17" t="n">
        <f aca="false">SQRT(($B242-BE$139)^2+($C242-BE$140)^2+($D242-BE$141)^2)</f>
        <v>1.08963580601494</v>
      </c>
      <c r="BF242" s="63" t="n">
        <f aca="false">MATCH(MIN(BB242:BE242),BB242:BE242,0)</f>
        <v>2</v>
      </c>
      <c r="BH242" s="17" t="n">
        <f aca="false">SQRT(($B242-BH$139)^2+($C242-BH$140)^2+($D242-BH$141)^2)</f>
        <v>6.02527055805029</v>
      </c>
      <c r="BI242" s="17" t="n">
        <f aca="false">SQRT(($B242-BI$139)^2+($C242-BI$140)^2+($D242-BI$141)^2)</f>
        <v>0.403650707225737</v>
      </c>
      <c r="BJ242" s="17" t="n">
        <f aca="false">SQRT(($B242-BJ$139)^2+($C242-BJ$140)^2+($D242-BJ$141)^2)</f>
        <v>2.83003466437344</v>
      </c>
      <c r="BK242" s="17" t="n">
        <f aca="false">SQRT(($B242-BK$139)^2+($C242-BK$140)^2+($D242-BK$141)^2)</f>
        <v>1.08963580601494</v>
      </c>
      <c r="BL242" s="63" t="n">
        <f aca="false">MATCH(MIN(BH242:BK242),BH242:BK242,0)</f>
        <v>2</v>
      </c>
      <c r="BN242" s="17" t="n">
        <f aca="false">SQRT(($B242-BN$139)^2+($C242-BN$140)^2+($D242-BN$141)^2)</f>
        <v>6.02527055805029</v>
      </c>
      <c r="BO242" s="17" t="n">
        <f aca="false">SQRT(($B242-BO$139)^2+($C242-BO$140)^2+($D242-BO$141)^2)</f>
        <v>0.403650707225737</v>
      </c>
      <c r="BP242" s="17" t="n">
        <f aca="false">SQRT(($B242-BP$139)^2+($C242-BP$140)^2+($D242-BP$141)^2)</f>
        <v>2.83003466437344</v>
      </c>
      <c r="BQ242" s="17" t="n">
        <f aca="false">SQRT(($B242-BQ$139)^2+($C242-BQ$140)^2+($D242-BQ$141)^2)</f>
        <v>1.08963580601494</v>
      </c>
      <c r="BR242" s="63" t="n">
        <f aca="false">MATCH(MIN(BN242:BQ242),BN242:BQ242,0)</f>
        <v>2</v>
      </c>
      <c r="BT242" s="17" t="n">
        <f aca="false">SQRT(($B242-BT$139)^2+($C242-BT$140)^2+($D242-BT$141)^2)</f>
        <v>6.02527055805029</v>
      </c>
      <c r="BU242" s="17" t="n">
        <f aca="false">SQRT(($B242-BU$139)^2+($C242-BU$140)^2+($D242-BU$141)^2)</f>
        <v>0.403650707225737</v>
      </c>
      <c r="BV242" s="17" t="n">
        <f aca="false">SQRT(($B242-BV$139)^2+($C242-BV$140)^2+($D242-BV$141)^2)</f>
        <v>2.83003466437344</v>
      </c>
      <c r="BW242" s="17" t="n">
        <f aca="false">SQRT(($B242-BW$139)^2+($C242-BW$140)^2+($D242-BW$141)^2)</f>
        <v>1.08963580601494</v>
      </c>
      <c r="BX242" s="63" t="n">
        <f aca="false">MATCH(MIN(BT242:BW242),BT242:BW242,0)</f>
        <v>2</v>
      </c>
      <c r="BZ242" s="17" t="n">
        <f aca="false">SQRT(($B242-BZ$139)^2+($C242-BZ$140)^2+($D242-BZ$141)^2)</f>
        <v>6.02527055805029</v>
      </c>
      <c r="CA242" s="17" t="n">
        <f aca="false">SQRT(($B242-CA$139)^2+($C242-CA$140)^2+($D242-CA$141)^2)</f>
        <v>0.403650707225737</v>
      </c>
      <c r="CB242" s="17" t="n">
        <f aca="false">SQRT(($B242-CB$139)^2+($C242-CB$140)^2+($D242-CB$141)^2)</f>
        <v>2.83003466437344</v>
      </c>
      <c r="CC242" s="17" t="n">
        <f aca="false">SQRT(($B242-CC$139)^2+($C242-CC$140)^2+($D242-CC$141)^2)</f>
        <v>1.08963580601494</v>
      </c>
      <c r="CD242" s="63" t="n">
        <f aca="false">MATCH(MIN(BZ242:CC242),BZ242:CC242,0)</f>
        <v>2</v>
      </c>
      <c r="CF242" s="17" t="n">
        <f aca="false">SQRT(($B242-CF$139)^2+($C242-CF$140)^2+($D242-CF$141)^2)</f>
        <v>6.02527055805029</v>
      </c>
      <c r="CG242" s="17" t="n">
        <f aca="false">SQRT(($B242-CG$139)^2+($C242-CG$140)^2+($D242-CG$141)^2)</f>
        <v>0.403650707225737</v>
      </c>
      <c r="CH242" s="17" t="n">
        <f aca="false">SQRT(($B242-CH$139)^2+($C242-CH$140)^2+($D242-CH$141)^2)</f>
        <v>2.83003466437344</v>
      </c>
      <c r="CI242" s="17" t="n">
        <f aca="false">SQRT(($B242-CI$139)^2+($C242-CI$140)^2+($D242-CI$141)^2)</f>
        <v>1.08963580601494</v>
      </c>
      <c r="CJ242" s="63" t="n">
        <f aca="false">MATCH(MIN(CF242:CI242),CF242:CI242,0)</f>
        <v>2</v>
      </c>
      <c r="CL242" s="17" t="n">
        <f aca="false">SQRT(($B242-CL$139)^2+($C242-CL$140)^2+($D242-CL$141)^2)</f>
        <v>6.02527055805029</v>
      </c>
      <c r="CM242" s="17" t="n">
        <f aca="false">SQRT(($B242-CM$139)^2+($C242-CM$140)^2+($D242-CM$141)^2)</f>
        <v>0.403650707225737</v>
      </c>
      <c r="CN242" s="17" t="n">
        <f aca="false">SQRT(($B242-CN$139)^2+($C242-CN$140)^2+($D242-CN$141)^2)</f>
        <v>2.83003466437344</v>
      </c>
      <c r="CO242" s="17" t="n">
        <f aca="false">SQRT(($B242-CO$139)^2+($C242-CO$140)^2+($D242-CO$141)^2)</f>
        <v>1.08963580601494</v>
      </c>
      <c r="CP242" s="63" t="n">
        <f aca="false">MATCH(MIN(CL242:CO242),CL242:CO242,0)</f>
        <v>2</v>
      </c>
    </row>
    <row r="243" customFormat="false" ht="15" hidden="false" customHeight="false" outlineLevel="0" collapsed="false">
      <c r="A243" s="36" t="str">
        <f aca="false">KMeans_Data!A102</f>
        <v>Tank</v>
      </c>
      <c r="B243" s="17" t="n">
        <f aca="false">KMeans_Data!H102</f>
        <v>-0.936148467409663</v>
      </c>
      <c r="C243" s="17" t="n">
        <f aca="false">KMeans_Data!I102</f>
        <v>-0.672650545388274</v>
      </c>
      <c r="D243" s="17" t="n">
        <f aca="false">KMeans_Data!J102</f>
        <v>-0.0344812518432112</v>
      </c>
      <c r="E243" s="63" t="n">
        <f aca="false">CP243</f>
        <v>4</v>
      </c>
      <c r="F243" s="38" t="n">
        <f aca="false">($B243-INDEX($L$139:$O$139,E243))^2+($C243-INDEX($L$140:$O$140,E243))^2+($D243-INDEX($L$141:$O$141,E243))^2</f>
        <v>0.795087717346365</v>
      </c>
      <c r="G243" s="17" t="n">
        <f aca="false">IF(COUNTIF(Distance_Matrix!$E$10:$DQ$10,$E243)&lt;=1,0,SUMIF(Distance_Matrix!$E$10:$DQ$10,$E243,Distance_Matrix!$E$111:$DQ$111)/(COUNTIF(Distance_Matrix!$E$10:$DQ$10,$E243)-1))</f>
        <v>1.09300094925412</v>
      </c>
      <c r="H243" s="17" t="n">
        <f aca="false">MIN(IF(1=$E243,1E+099,IF(COUNTIF(Distance_Matrix!$E$10:$DQ$10,1)=0,1E+099,SUMIF(Distance_Matrix!$E$10:$DQ$10,1,Distance_Matrix!$E$111:$DQ$111)/COUNTIF(Distance_Matrix!$E$10:$DQ$10,1))),IF(2=$E243,1E+099,IF(COUNTIF(Distance_Matrix!$E$10:$DQ$10,2)=0,1E+099,SUMIF(Distance_Matrix!$E$10:$DQ$10,2,Distance_Matrix!$E$111:$DQ$111)/COUNTIF(Distance_Matrix!$E$10:$DQ$10,2))),IF(3=$E243,1E+099,IF(COUNTIF(Distance_Matrix!$E$10:$DQ$10,3)=0,1E+099,SUMIF(Distance_Matrix!$E$10:$DQ$10,3,Distance_Matrix!$E$111:$DQ$111)/COUNTIF(Distance_Matrix!$E$10:$DQ$10,3))),IF(4=$E243,1E+099,IF(COUNTIF(Distance_Matrix!$E$10:$DQ$10,4)=0,1E+099,SUMIF(Distance_Matrix!$E$10:$DQ$10,4,Distance_Matrix!$E$111:$DQ$111)/COUNTIF(Distance_Matrix!$E$10:$DQ$10,4))))</f>
        <v>1.16327776904752</v>
      </c>
      <c r="I243" s="17" t="n">
        <f aca="false">IF(COUNTIF(Distance_Matrix!$E$10:$DQ$10,$E243)&lt;=1,0,(H243-G243)/MAX(G243,H243))</f>
        <v>0.0604127592423151</v>
      </c>
      <c r="X243" s="17" t="n">
        <f aca="false">SQRT(($B243-X$139)^2+($C243-X$140)^2+($D243-X$141)^2)</f>
        <v>7.12262940672578</v>
      </c>
      <c r="Y243" s="17" t="n">
        <f aca="false">SQRT(($B243-Y$139)^2+($C243-Y$140)^2+($D243-Y$141)^2)</f>
        <v>1.59451556557266</v>
      </c>
      <c r="Z243" s="17" t="n">
        <f aca="false">SQRT(($B243-Z$139)^2+($C243-Z$140)^2+($D243-Z$141)^2)</f>
        <v>2.69529791351475</v>
      </c>
      <c r="AA243" s="17" t="n">
        <f aca="false">SQRT(($B243-AA$139)^2+($C243-AA$140)^2+($D243-AA$141)^2)</f>
        <v>2.00328941473561</v>
      </c>
      <c r="AB243" s="63" t="n">
        <f aca="false">MATCH(MIN(X243:AA243),X243:AA243,0)</f>
        <v>2</v>
      </c>
      <c r="AD243" s="17" t="n">
        <f aca="false">SQRT(($B243-AD$139)^2+($C243-AD$140)^2+($D243-AD$141)^2)</f>
        <v>6.15599974084581</v>
      </c>
      <c r="AE243" s="17" t="n">
        <f aca="false">SQRT(($B243-AE$139)^2+($C243-AE$140)^2+($D243-AE$141)^2)</f>
        <v>0.95111526948377</v>
      </c>
      <c r="AF243" s="17" t="n">
        <f aca="false">SQRT(($B243-AF$139)^2+($C243-AF$140)^2+($D243-AF$141)^2)</f>
        <v>2.18634237247573</v>
      </c>
      <c r="AG243" s="17" t="n">
        <f aca="false">SQRT(($B243-AG$139)^2+($C243-AG$140)^2+($D243-AG$141)^2)</f>
        <v>1.01354486466453</v>
      </c>
      <c r="AH243" s="63" t="n">
        <f aca="false">MATCH(MIN(AD243:AG243),AD243:AG243,0)</f>
        <v>2</v>
      </c>
      <c r="AJ243" s="17" t="n">
        <f aca="false">SQRT(($B243-AJ$139)^2+($C243-AJ$140)^2+($D243-AJ$141)^2)</f>
        <v>5.81784200388241</v>
      </c>
      <c r="AK243" s="17" t="n">
        <f aca="false">SQRT(($B243-AK$139)^2+($C243-AK$140)^2+($D243-AK$141)^2)</f>
        <v>0.996331888277517</v>
      </c>
      <c r="AL243" s="17" t="n">
        <f aca="false">SQRT(($B243-AL$139)^2+($C243-AL$140)^2+($D243-AL$141)^2)</f>
        <v>2.26865577541124</v>
      </c>
      <c r="AM243" s="17" t="n">
        <f aca="false">SQRT(($B243-AM$139)^2+($C243-AM$140)^2+($D243-AM$141)^2)</f>
        <v>0.939523931282632</v>
      </c>
      <c r="AN243" s="63" t="n">
        <f aca="false">MATCH(MIN(AJ243:AM243),AJ243:AM243,0)</f>
        <v>4</v>
      </c>
      <c r="AP243" s="17" t="n">
        <f aca="false">SQRT(($B243-AP$139)^2+($C243-AP$140)^2+($D243-AP$141)^2)</f>
        <v>5.52429971372823</v>
      </c>
      <c r="AQ243" s="17" t="n">
        <f aca="false">SQRT(($B243-AQ$139)^2+($C243-AQ$140)^2+($D243-AQ$141)^2)</f>
        <v>1.09437503806587</v>
      </c>
      <c r="AR243" s="17" t="n">
        <f aca="false">SQRT(($B243-AR$139)^2+($C243-AR$140)^2+($D243-AR$141)^2)</f>
        <v>2.22176232519092</v>
      </c>
      <c r="AS243" s="17" t="n">
        <f aca="false">SQRT(($B243-AS$139)^2+($C243-AS$140)^2+($D243-AS$141)^2)</f>
        <v>0.891676913094852</v>
      </c>
      <c r="AT243" s="63" t="n">
        <f aca="false">MATCH(MIN(AP243:AS243),AP243:AS243,0)</f>
        <v>4</v>
      </c>
      <c r="AV243" s="17" t="n">
        <f aca="false">SQRT(($B243-AV$139)^2+($C243-AV$140)^2+($D243-AV$141)^2)</f>
        <v>5.52429971372823</v>
      </c>
      <c r="AW243" s="17" t="n">
        <f aca="false">SQRT(($B243-AW$139)^2+($C243-AW$140)^2+($D243-AW$141)^2)</f>
        <v>1.09437503806587</v>
      </c>
      <c r="AX243" s="17" t="n">
        <f aca="false">SQRT(($B243-AX$139)^2+($C243-AX$140)^2+($D243-AX$141)^2)</f>
        <v>2.22176232519092</v>
      </c>
      <c r="AY243" s="17" t="n">
        <f aca="false">SQRT(($B243-AY$139)^2+($C243-AY$140)^2+($D243-AY$141)^2)</f>
        <v>0.891676913094852</v>
      </c>
      <c r="AZ243" s="63" t="n">
        <f aca="false">MATCH(MIN(AV243:AY243),AV243:AY243,0)</f>
        <v>4</v>
      </c>
      <c r="BB243" s="17" t="n">
        <f aca="false">SQRT(($B243-BB$139)^2+($C243-BB$140)^2+($D243-BB$141)^2)</f>
        <v>5.52429971372823</v>
      </c>
      <c r="BC243" s="17" t="n">
        <f aca="false">SQRT(($B243-BC$139)^2+($C243-BC$140)^2+($D243-BC$141)^2)</f>
        <v>1.09437503806587</v>
      </c>
      <c r="BD243" s="17" t="n">
        <f aca="false">SQRT(($B243-BD$139)^2+($C243-BD$140)^2+($D243-BD$141)^2)</f>
        <v>2.22176232519092</v>
      </c>
      <c r="BE243" s="17" t="n">
        <f aca="false">SQRT(($B243-BE$139)^2+($C243-BE$140)^2+($D243-BE$141)^2)</f>
        <v>0.891676913094852</v>
      </c>
      <c r="BF243" s="63" t="n">
        <f aca="false">MATCH(MIN(BB243:BE243),BB243:BE243,0)</f>
        <v>4</v>
      </c>
      <c r="BH243" s="17" t="n">
        <f aca="false">SQRT(($B243-BH$139)^2+($C243-BH$140)^2+($D243-BH$141)^2)</f>
        <v>5.52429971372823</v>
      </c>
      <c r="BI243" s="17" t="n">
        <f aca="false">SQRT(($B243-BI$139)^2+($C243-BI$140)^2+($D243-BI$141)^2)</f>
        <v>1.09437503806587</v>
      </c>
      <c r="BJ243" s="17" t="n">
        <f aca="false">SQRT(($B243-BJ$139)^2+($C243-BJ$140)^2+($D243-BJ$141)^2)</f>
        <v>2.22176232519092</v>
      </c>
      <c r="BK243" s="17" t="n">
        <f aca="false">SQRT(($B243-BK$139)^2+($C243-BK$140)^2+($D243-BK$141)^2)</f>
        <v>0.891676913094852</v>
      </c>
      <c r="BL243" s="63" t="n">
        <f aca="false">MATCH(MIN(BH243:BK243),BH243:BK243,0)</f>
        <v>4</v>
      </c>
      <c r="BN243" s="17" t="n">
        <f aca="false">SQRT(($B243-BN$139)^2+($C243-BN$140)^2+($D243-BN$141)^2)</f>
        <v>5.52429971372823</v>
      </c>
      <c r="BO243" s="17" t="n">
        <f aca="false">SQRT(($B243-BO$139)^2+($C243-BO$140)^2+($D243-BO$141)^2)</f>
        <v>1.09437503806587</v>
      </c>
      <c r="BP243" s="17" t="n">
        <f aca="false">SQRT(($B243-BP$139)^2+($C243-BP$140)^2+($D243-BP$141)^2)</f>
        <v>2.22176232519092</v>
      </c>
      <c r="BQ243" s="17" t="n">
        <f aca="false">SQRT(($B243-BQ$139)^2+($C243-BQ$140)^2+($D243-BQ$141)^2)</f>
        <v>0.891676913094852</v>
      </c>
      <c r="BR243" s="63" t="n">
        <f aca="false">MATCH(MIN(BN243:BQ243),BN243:BQ243,0)</f>
        <v>4</v>
      </c>
      <c r="BT243" s="17" t="n">
        <f aca="false">SQRT(($B243-BT$139)^2+($C243-BT$140)^2+($D243-BT$141)^2)</f>
        <v>5.52429971372823</v>
      </c>
      <c r="BU243" s="17" t="n">
        <f aca="false">SQRT(($B243-BU$139)^2+($C243-BU$140)^2+($D243-BU$141)^2)</f>
        <v>1.09437503806587</v>
      </c>
      <c r="BV243" s="17" t="n">
        <f aca="false">SQRT(($B243-BV$139)^2+($C243-BV$140)^2+($D243-BV$141)^2)</f>
        <v>2.22176232519092</v>
      </c>
      <c r="BW243" s="17" t="n">
        <f aca="false">SQRT(($B243-BW$139)^2+($C243-BW$140)^2+($D243-BW$141)^2)</f>
        <v>0.891676913094852</v>
      </c>
      <c r="BX243" s="63" t="n">
        <f aca="false">MATCH(MIN(BT243:BW243),BT243:BW243,0)</f>
        <v>4</v>
      </c>
      <c r="BZ243" s="17" t="n">
        <f aca="false">SQRT(($B243-BZ$139)^2+($C243-BZ$140)^2+($D243-BZ$141)^2)</f>
        <v>5.52429971372823</v>
      </c>
      <c r="CA243" s="17" t="n">
        <f aca="false">SQRT(($B243-CA$139)^2+($C243-CA$140)^2+($D243-CA$141)^2)</f>
        <v>1.09437503806587</v>
      </c>
      <c r="CB243" s="17" t="n">
        <f aca="false">SQRT(($B243-CB$139)^2+($C243-CB$140)^2+($D243-CB$141)^2)</f>
        <v>2.22176232519092</v>
      </c>
      <c r="CC243" s="17" t="n">
        <f aca="false">SQRT(($B243-CC$139)^2+($C243-CC$140)^2+($D243-CC$141)^2)</f>
        <v>0.891676913094852</v>
      </c>
      <c r="CD243" s="63" t="n">
        <f aca="false">MATCH(MIN(BZ243:CC243),BZ243:CC243,0)</f>
        <v>4</v>
      </c>
      <c r="CF243" s="17" t="n">
        <f aca="false">SQRT(($B243-CF$139)^2+($C243-CF$140)^2+($D243-CF$141)^2)</f>
        <v>5.52429971372823</v>
      </c>
      <c r="CG243" s="17" t="n">
        <f aca="false">SQRT(($B243-CG$139)^2+($C243-CG$140)^2+($D243-CG$141)^2)</f>
        <v>1.09437503806587</v>
      </c>
      <c r="CH243" s="17" t="n">
        <f aca="false">SQRT(($B243-CH$139)^2+($C243-CH$140)^2+($D243-CH$141)^2)</f>
        <v>2.22176232519092</v>
      </c>
      <c r="CI243" s="17" t="n">
        <f aca="false">SQRT(($B243-CI$139)^2+($C243-CI$140)^2+($D243-CI$141)^2)</f>
        <v>0.891676913094852</v>
      </c>
      <c r="CJ243" s="63" t="n">
        <f aca="false">MATCH(MIN(CF243:CI243),CF243:CI243,0)</f>
        <v>4</v>
      </c>
      <c r="CL243" s="17" t="n">
        <f aca="false">SQRT(($B243-CL$139)^2+($C243-CL$140)^2+($D243-CL$141)^2)</f>
        <v>5.52429971372823</v>
      </c>
      <c r="CM243" s="17" t="n">
        <f aca="false">SQRT(($B243-CM$139)^2+($C243-CM$140)^2+($D243-CM$141)^2)</f>
        <v>1.09437503806587</v>
      </c>
      <c r="CN243" s="17" t="n">
        <f aca="false">SQRT(($B243-CN$139)^2+($C243-CN$140)^2+($D243-CN$141)^2)</f>
        <v>2.22176232519092</v>
      </c>
      <c r="CO243" s="17" t="n">
        <f aca="false">SQRT(($B243-CO$139)^2+($C243-CO$140)^2+($D243-CO$141)^2)</f>
        <v>0.891676913094852</v>
      </c>
      <c r="CP243" s="63" t="n">
        <f aca="false">MATCH(MIN(CL243:CO243),CL243:CO243,0)</f>
        <v>4</v>
      </c>
    </row>
    <row r="244" customFormat="false" ht="15" hidden="false" customHeight="false" outlineLevel="0" collapsed="false">
      <c r="A244" s="36" t="str">
        <f aca="false">KMeans_Data!A103</f>
        <v>Sahiwal</v>
      </c>
      <c r="B244" s="17" t="n">
        <f aca="false">KMeans_Data!H103</f>
        <v>-0.936148467409663</v>
      </c>
      <c r="C244" s="17" t="n">
        <f aca="false">KMeans_Data!I103</f>
        <v>-0.672650545388274</v>
      </c>
      <c r="D244" s="17" t="n">
        <f aca="false">KMeans_Data!J103</f>
        <v>-1.14564411633355</v>
      </c>
      <c r="E244" s="63" t="n">
        <f aca="false">CP244</f>
        <v>2</v>
      </c>
      <c r="F244" s="38" t="n">
        <f aca="false">($B244-INDEX($L$139:$O$139,E244))^2+($C244-INDEX($L$140:$O$140,E244))^2+($D244-INDEX($L$141:$O$141,E244))^2</f>
        <v>0.122437181551943</v>
      </c>
      <c r="G244" s="17" t="n">
        <f aca="false">IF(COUNTIF(Distance_Matrix!$E$10:$DQ$10,$E244)&lt;=1,0,SUMIF(Distance_Matrix!$E$10:$DQ$10,$E244,Distance_Matrix!$E$112:$DQ$112)/(COUNTIF(Distance_Matrix!$E$10:$DQ$10,$E244)-1))</f>
        <v>0.495669989488933</v>
      </c>
      <c r="H244" s="17" t="n">
        <f aca="false">MIN(IF(1=$E244,1E+099,IF(COUNTIF(Distance_Matrix!$E$10:$DQ$10,1)=0,1E+099,SUMIF(Distance_Matrix!$E$10:$DQ$10,1,Distance_Matrix!$E$112:$DQ$112)/COUNTIF(Distance_Matrix!$E$10:$DQ$10,1))),IF(2=$E244,1E+099,IF(COUNTIF(Distance_Matrix!$E$10:$DQ$10,2)=0,1E+099,SUMIF(Distance_Matrix!$E$10:$DQ$10,2,Distance_Matrix!$E$112:$DQ$112)/COUNTIF(Distance_Matrix!$E$10:$DQ$10,2))),IF(3=$E244,1E+099,IF(COUNTIF(Distance_Matrix!$E$10:$DQ$10,3)=0,1E+099,SUMIF(Distance_Matrix!$E$10:$DQ$10,3,Distance_Matrix!$E$112:$DQ$112)/COUNTIF(Distance_Matrix!$E$10:$DQ$10,3))),IF(4=$E244,1E+099,IF(COUNTIF(Distance_Matrix!$E$10:$DQ$10,4)=0,1E+099,SUMIF(Distance_Matrix!$E$10:$DQ$10,4,Distance_Matrix!$E$112:$DQ$112)/COUNTIF(Distance_Matrix!$E$10:$DQ$10,4))))</f>
        <v>1.29472066497077</v>
      </c>
      <c r="I244" s="17" t="n">
        <f aca="false">IF(COUNTIF(Distance_Matrix!$E$10:$DQ$10,$E244)&lt;=1,0,(H244-G244)/MAX(G244,H244))</f>
        <v>0.617160671873478</v>
      </c>
      <c r="X244" s="17" t="n">
        <f aca="false">SQRT(($B244-X$139)^2+($C244-X$140)^2+($D244-X$141)^2)</f>
        <v>7.69881475468762</v>
      </c>
      <c r="Y244" s="17" t="n">
        <f aca="false">SQRT(($B244-Y$139)^2+($C244-Y$140)^2+($D244-Y$141)^2)</f>
        <v>1.14358951439366</v>
      </c>
      <c r="Z244" s="17" t="n">
        <f aca="false">SQRT(($B244-Z$139)^2+($C244-Z$140)^2+($D244-Z$141)^2)</f>
        <v>3.44146195541105</v>
      </c>
      <c r="AA244" s="17" t="n">
        <f aca="false">SQRT(($B244-AA$139)^2+($C244-AA$140)^2+($D244-AA$141)^2)</f>
        <v>1.66687899013977</v>
      </c>
      <c r="AB244" s="63" t="n">
        <f aca="false">MATCH(MIN(X244:AA244),X244:AA244,0)</f>
        <v>2</v>
      </c>
      <c r="AD244" s="17" t="n">
        <f aca="false">SQRT(($B244-AD$139)^2+($C244-AD$140)^2+($D244-AD$141)^2)</f>
        <v>6.68828688936163</v>
      </c>
      <c r="AE244" s="17" t="n">
        <f aca="false">SQRT(($B244-AE$139)^2+($C244-AE$140)^2+($D244-AE$141)^2)</f>
        <v>0.370907845490981</v>
      </c>
      <c r="AF244" s="17" t="n">
        <f aca="false">SQRT(($B244-AF$139)^2+($C244-AF$140)^2+($D244-AF$141)^2)</f>
        <v>2.83661756066198</v>
      </c>
      <c r="AG244" s="17" t="n">
        <f aca="false">SQRT(($B244-AG$139)^2+($C244-AG$140)^2+($D244-AG$141)^2)</f>
        <v>1.09378862343544</v>
      </c>
      <c r="AH244" s="63" t="n">
        <f aca="false">MATCH(MIN(AD244:AG244),AD244:AG244,0)</f>
        <v>2</v>
      </c>
      <c r="AJ244" s="17" t="n">
        <f aca="false">SQRT(($B244-AJ$139)^2+($C244-AJ$140)^2+($D244-AJ$141)^2)</f>
        <v>6.35083218277877</v>
      </c>
      <c r="AK244" s="17" t="n">
        <f aca="false">SQRT(($B244-AK$139)^2+($C244-AK$140)^2+($D244-AK$141)^2)</f>
        <v>0.337128785313072</v>
      </c>
      <c r="AL244" s="17" t="n">
        <f aca="false">SQRT(($B244-AL$139)^2+($C244-AL$140)^2+($D244-AL$141)^2)</f>
        <v>2.90209850063981</v>
      </c>
      <c r="AM244" s="17" t="n">
        <f aca="false">SQRT(($B244-AM$139)^2+($C244-AM$140)^2+($D244-AM$141)^2)</f>
        <v>1.15859031921534</v>
      </c>
      <c r="AN244" s="63" t="n">
        <f aca="false">MATCH(MIN(AJ244:AM244),AJ244:AM244,0)</f>
        <v>2</v>
      </c>
      <c r="AP244" s="17" t="n">
        <f aca="false">SQRT(($B244-AP$139)^2+($C244-AP$140)^2+($D244-AP$141)^2)</f>
        <v>6.05606224924065</v>
      </c>
      <c r="AQ244" s="17" t="n">
        <f aca="false">SQRT(($B244-AQ$139)^2+($C244-AQ$140)^2+($D244-AQ$141)^2)</f>
        <v>0.349910247852135</v>
      </c>
      <c r="AR244" s="17" t="n">
        <f aca="false">SQRT(($B244-AR$139)^2+($C244-AR$140)^2+($D244-AR$141)^2)</f>
        <v>2.859718597296</v>
      </c>
      <c r="AS244" s="17" t="n">
        <f aca="false">SQRT(($B244-AS$139)^2+($C244-AS$140)^2+($D244-AS$141)^2)</f>
        <v>1.12820968344206</v>
      </c>
      <c r="AT244" s="63" t="n">
        <f aca="false">MATCH(MIN(AP244:AS244),AP244:AS244,0)</f>
        <v>2</v>
      </c>
      <c r="AV244" s="17" t="n">
        <f aca="false">SQRT(($B244-AV$139)^2+($C244-AV$140)^2+($D244-AV$141)^2)</f>
        <v>6.05606224924065</v>
      </c>
      <c r="AW244" s="17" t="n">
        <f aca="false">SQRT(($B244-AW$139)^2+($C244-AW$140)^2+($D244-AW$141)^2)</f>
        <v>0.349910247852135</v>
      </c>
      <c r="AX244" s="17" t="n">
        <f aca="false">SQRT(($B244-AX$139)^2+($C244-AX$140)^2+($D244-AX$141)^2)</f>
        <v>2.859718597296</v>
      </c>
      <c r="AY244" s="17" t="n">
        <f aca="false">SQRT(($B244-AY$139)^2+($C244-AY$140)^2+($D244-AY$141)^2)</f>
        <v>1.12820968344206</v>
      </c>
      <c r="AZ244" s="63" t="n">
        <f aca="false">MATCH(MIN(AV244:AY244),AV244:AY244,0)</f>
        <v>2</v>
      </c>
      <c r="BB244" s="17" t="n">
        <f aca="false">SQRT(($B244-BB$139)^2+($C244-BB$140)^2+($D244-BB$141)^2)</f>
        <v>6.05606224924065</v>
      </c>
      <c r="BC244" s="17" t="n">
        <f aca="false">SQRT(($B244-BC$139)^2+($C244-BC$140)^2+($D244-BC$141)^2)</f>
        <v>0.349910247852135</v>
      </c>
      <c r="BD244" s="17" t="n">
        <f aca="false">SQRT(($B244-BD$139)^2+($C244-BD$140)^2+($D244-BD$141)^2)</f>
        <v>2.859718597296</v>
      </c>
      <c r="BE244" s="17" t="n">
        <f aca="false">SQRT(($B244-BE$139)^2+($C244-BE$140)^2+($D244-BE$141)^2)</f>
        <v>1.12820968344206</v>
      </c>
      <c r="BF244" s="63" t="n">
        <f aca="false">MATCH(MIN(BB244:BE244),BB244:BE244,0)</f>
        <v>2</v>
      </c>
      <c r="BH244" s="17" t="n">
        <f aca="false">SQRT(($B244-BH$139)^2+($C244-BH$140)^2+($D244-BH$141)^2)</f>
        <v>6.05606224924065</v>
      </c>
      <c r="BI244" s="17" t="n">
        <f aca="false">SQRT(($B244-BI$139)^2+($C244-BI$140)^2+($D244-BI$141)^2)</f>
        <v>0.349910247852135</v>
      </c>
      <c r="BJ244" s="17" t="n">
        <f aca="false">SQRT(($B244-BJ$139)^2+($C244-BJ$140)^2+($D244-BJ$141)^2)</f>
        <v>2.859718597296</v>
      </c>
      <c r="BK244" s="17" t="n">
        <f aca="false">SQRT(($B244-BK$139)^2+($C244-BK$140)^2+($D244-BK$141)^2)</f>
        <v>1.12820968344206</v>
      </c>
      <c r="BL244" s="63" t="n">
        <f aca="false">MATCH(MIN(BH244:BK244),BH244:BK244,0)</f>
        <v>2</v>
      </c>
      <c r="BN244" s="17" t="n">
        <f aca="false">SQRT(($B244-BN$139)^2+($C244-BN$140)^2+($D244-BN$141)^2)</f>
        <v>6.05606224924065</v>
      </c>
      <c r="BO244" s="17" t="n">
        <f aca="false">SQRT(($B244-BO$139)^2+($C244-BO$140)^2+($D244-BO$141)^2)</f>
        <v>0.349910247852135</v>
      </c>
      <c r="BP244" s="17" t="n">
        <f aca="false">SQRT(($B244-BP$139)^2+($C244-BP$140)^2+($D244-BP$141)^2)</f>
        <v>2.859718597296</v>
      </c>
      <c r="BQ244" s="17" t="n">
        <f aca="false">SQRT(($B244-BQ$139)^2+($C244-BQ$140)^2+($D244-BQ$141)^2)</f>
        <v>1.12820968344206</v>
      </c>
      <c r="BR244" s="63" t="n">
        <f aca="false">MATCH(MIN(BN244:BQ244),BN244:BQ244,0)</f>
        <v>2</v>
      </c>
      <c r="BT244" s="17" t="n">
        <f aca="false">SQRT(($B244-BT$139)^2+($C244-BT$140)^2+($D244-BT$141)^2)</f>
        <v>6.05606224924065</v>
      </c>
      <c r="BU244" s="17" t="n">
        <f aca="false">SQRT(($B244-BU$139)^2+($C244-BU$140)^2+($D244-BU$141)^2)</f>
        <v>0.349910247852135</v>
      </c>
      <c r="BV244" s="17" t="n">
        <f aca="false">SQRT(($B244-BV$139)^2+($C244-BV$140)^2+($D244-BV$141)^2)</f>
        <v>2.859718597296</v>
      </c>
      <c r="BW244" s="17" t="n">
        <f aca="false">SQRT(($B244-BW$139)^2+($C244-BW$140)^2+($D244-BW$141)^2)</f>
        <v>1.12820968344206</v>
      </c>
      <c r="BX244" s="63" t="n">
        <f aca="false">MATCH(MIN(BT244:BW244),BT244:BW244,0)</f>
        <v>2</v>
      </c>
      <c r="BZ244" s="17" t="n">
        <f aca="false">SQRT(($B244-BZ$139)^2+($C244-BZ$140)^2+($D244-BZ$141)^2)</f>
        <v>6.05606224924065</v>
      </c>
      <c r="CA244" s="17" t="n">
        <f aca="false">SQRT(($B244-CA$139)^2+($C244-CA$140)^2+($D244-CA$141)^2)</f>
        <v>0.349910247852135</v>
      </c>
      <c r="CB244" s="17" t="n">
        <f aca="false">SQRT(($B244-CB$139)^2+($C244-CB$140)^2+($D244-CB$141)^2)</f>
        <v>2.859718597296</v>
      </c>
      <c r="CC244" s="17" t="n">
        <f aca="false">SQRT(($B244-CC$139)^2+($C244-CC$140)^2+($D244-CC$141)^2)</f>
        <v>1.12820968344206</v>
      </c>
      <c r="CD244" s="63" t="n">
        <f aca="false">MATCH(MIN(BZ244:CC244),BZ244:CC244,0)</f>
        <v>2</v>
      </c>
      <c r="CF244" s="17" t="n">
        <f aca="false">SQRT(($B244-CF$139)^2+($C244-CF$140)^2+($D244-CF$141)^2)</f>
        <v>6.05606224924065</v>
      </c>
      <c r="CG244" s="17" t="n">
        <f aca="false">SQRT(($B244-CG$139)^2+($C244-CG$140)^2+($D244-CG$141)^2)</f>
        <v>0.349910247852135</v>
      </c>
      <c r="CH244" s="17" t="n">
        <f aca="false">SQRT(($B244-CH$139)^2+($C244-CH$140)^2+($D244-CH$141)^2)</f>
        <v>2.859718597296</v>
      </c>
      <c r="CI244" s="17" t="n">
        <f aca="false">SQRT(($B244-CI$139)^2+($C244-CI$140)^2+($D244-CI$141)^2)</f>
        <v>1.12820968344206</v>
      </c>
      <c r="CJ244" s="63" t="n">
        <f aca="false">MATCH(MIN(CF244:CI244),CF244:CI244,0)</f>
        <v>2</v>
      </c>
      <c r="CL244" s="17" t="n">
        <f aca="false">SQRT(($B244-CL$139)^2+($C244-CL$140)^2+($D244-CL$141)^2)</f>
        <v>6.05606224924065</v>
      </c>
      <c r="CM244" s="17" t="n">
        <f aca="false">SQRT(($B244-CM$139)^2+($C244-CM$140)^2+($D244-CM$141)^2)</f>
        <v>0.349910247852135</v>
      </c>
      <c r="CN244" s="17" t="n">
        <f aca="false">SQRT(($B244-CN$139)^2+($C244-CN$140)^2+($D244-CN$141)^2)</f>
        <v>2.859718597296</v>
      </c>
      <c r="CO244" s="17" t="n">
        <f aca="false">SQRT(($B244-CO$139)^2+($C244-CO$140)^2+($D244-CO$141)^2)</f>
        <v>1.12820968344206</v>
      </c>
      <c r="CP244" s="63" t="n">
        <f aca="false">MATCH(MIN(CL244:CO244),CL244:CO244,0)</f>
        <v>2</v>
      </c>
    </row>
    <row r="245" customFormat="false" ht="15" hidden="false" customHeight="false" outlineLevel="0" collapsed="false">
      <c r="A245" s="36" t="str">
        <f aca="false">KMeans_Data!A104</f>
        <v>Chiniot</v>
      </c>
      <c r="B245" s="17" t="n">
        <f aca="false">KMeans_Data!H104</f>
        <v>-0.936148467409663</v>
      </c>
      <c r="C245" s="17" t="n">
        <f aca="false">KMeans_Data!I104</f>
        <v>-0.672650545388274</v>
      </c>
      <c r="D245" s="17" t="n">
        <f aca="false">KMeans_Data!J104</f>
        <v>-1.14564411633355</v>
      </c>
      <c r="E245" s="63" t="n">
        <f aca="false">CP245</f>
        <v>2</v>
      </c>
      <c r="F245" s="38" t="n">
        <f aca="false">($B245-INDEX($L$139:$O$139,E245))^2+($C245-INDEX($L$140:$O$140,E245))^2+($D245-INDEX($L$141:$O$141,E245))^2</f>
        <v>0.122437181551943</v>
      </c>
      <c r="G245" s="17" t="n">
        <f aca="false">IF(COUNTIF(Distance_Matrix!$E$10:$DQ$10,$E245)&lt;=1,0,SUMIF(Distance_Matrix!$E$10:$DQ$10,$E245,Distance_Matrix!$E$113:$DQ$113)/(COUNTIF(Distance_Matrix!$E$10:$DQ$10,$E245)-1))</f>
        <v>0.495669989488933</v>
      </c>
      <c r="H245" s="17" t="n">
        <f aca="false">MIN(IF(1=$E245,1E+099,IF(COUNTIF(Distance_Matrix!$E$10:$DQ$10,1)=0,1E+099,SUMIF(Distance_Matrix!$E$10:$DQ$10,1,Distance_Matrix!$E$113:$DQ$113)/COUNTIF(Distance_Matrix!$E$10:$DQ$10,1))),IF(2=$E245,1E+099,IF(COUNTIF(Distance_Matrix!$E$10:$DQ$10,2)=0,1E+099,SUMIF(Distance_Matrix!$E$10:$DQ$10,2,Distance_Matrix!$E$113:$DQ$113)/COUNTIF(Distance_Matrix!$E$10:$DQ$10,2))),IF(3=$E245,1E+099,IF(COUNTIF(Distance_Matrix!$E$10:$DQ$10,3)=0,1E+099,SUMIF(Distance_Matrix!$E$10:$DQ$10,3,Distance_Matrix!$E$113:$DQ$113)/COUNTIF(Distance_Matrix!$E$10:$DQ$10,3))),IF(4=$E245,1E+099,IF(COUNTIF(Distance_Matrix!$E$10:$DQ$10,4)=0,1E+099,SUMIF(Distance_Matrix!$E$10:$DQ$10,4,Distance_Matrix!$E$113:$DQ$113)/COUNTIF(Distance_Matrix!$E$10:$DQ$10,4))))</f>
        <v>1.29472066497077</v>
      </c>
      <c r="I245" s="17" t="n">
        <f aca="false">IF(COUNTIF(Distance_Matrix!$E$10:$DQ$10,$E245)&lt;=1,0,(H245-G245)/MAX(G245,H245))</f>
        <v>0.617160671873478</v>
      </c>
      <c r="X245" s="17" t="n">
        <f aca="false">SQRT(($B245-X$139)^2+($C245-X$140)^2+($D245-X$141)^2)</f>
        <v>7.69881475468762</v>
      </c>
      <c r="Y245" s="17" t="n">
        <f aca="false">SQRT(($B245-Y$139)^2+($C245-Y$140)^2+($D245-Y$141)^2)</f>
        <v>1.14358951439366</v>
      </c>
      <c r="Z245" s="17" t="n">
        <f aca="false">SQRT(($B245-Z$139)^2+($C245-Z$140)^2+($D245-Z$141)^2)</f>
        <v>3.44146195541105</v>
      </c>
      <c r="AA245" s="17" t="n">
        <f aca="false">SQRT(($B245-AA$139)^2+($C245-AA$140)^2+($D245-AA$141)^2)</f>
        <v>1.66687899013977</v>
      </c>
      <c r="AB245" s="63" t="n">
        <f aca="false">MATCH(MIN(X245:AA245),X245:AA245,0)</f>
        <v>2</v>
      </c>
      <c r="AD245" s="17" t="n">
        <f aca="false">SQRT(($B245-AD$139)^2+($C245-AD$140)^2+($D245-AD$141)^2)</f>
        <v>6.68828688936163</v>
      </c>
      <c r="AE245" s="17" t="n">
        <f aca="false">SQRT(($B245-AE$139)^2+($C245-AE$140)^2+($D245-AE$141)^2)</f>
        <v>0.370907845490981</v>
      </c>
      <c r="AF245" s="17" t="n">
        <f aca="false">SQRT(($B245-AF$139)^2+($C245-AF$140)^2+($D245-AF$141)^2)</f>
        <v>2.83661756066198</v>
      </c>
      <c r="AG245" s="17" t="n">
        <f aca="false">SQRT(($B245-AG$139)^2+($C245-AG$140)^2+($D245-AG$141)^2)</f>
        <v>1.09378862343544</v>
      </c>
      <c r="AH245" s="63" t="n">
        <f aca="false">MATCH(MIN(AD245:AG245),AD245:AG245,0)</f>
        <v>2</v>
      </c>
      <c r="AJ245" s="17" t="n">
        <f aca="false">SQRT(($B245-AJ$139)^2+($C245-AJ$140)^2+($D245-AJ$141)^2)</f>
        <v>6.35083218277877</v>
      </c>
      <c r="AK245" s="17" t="n">
        <f aca="false">SQRT(($B245-AK$139)^2+($C245-AK$140)^2+($D245-AK$141)^2)</f>
        <v>0.337128785313072</v>
      </c>
      <c r="AL245" s="17" t="n">
        <f aca="false">SQRT(($B245-AL$139)^2+($C245-AL$140)^2+($D245-AL$141)^2)</f>
        <v>2.90209850063981</v>
      </c>
      <c r="AM245" s="17" t="n">
        <f aca="false">SQRT(($B245-AM$139)^2+($C245-AM$140)^2+($D245-AM$141)^2)</f>
        <v>1.15859031921534</v>
      </c>
      <c r="AN245" s="63" t="n">
        <f aca="false">MATCH(MIN(AJ245:AM245),AJ245:AM245,0)</f>
        <v>2</v>
      </c>
      <c r="AP245" s="17" t="n">
        <f aca="false">SQRT(($B245-AP$139)^2+($C245-AP$140)^2+($D245-AP$141)^2)</f>
        <v>6.05606224924065</v>
      </c>
      <c r="AQ245" s="17" t="n">
        <f aca="false">SQRT(($B245-AQ$139)^2+($C245-AQ$140)^2+($D245-AQ$141)^2)</f>
        <v>0.349910247852135</v>
      </c>
      <c r="AR245" s="17" t="n">
        <f aca="false">SQRT(($B245-AR$139)^2+($C245-AR$140)^2+($D245-AR$141)^2)</f>
        <v>2.859718597296</v>
      </c>
      <c r="AS245" s="17" t="n">
        <f aca="false">SQRT(($B245-AS$139)^2+($C245-AS$140)^2+($D245-AS$141)^2)</f>
        <v>1.12820968344206</v>
      </c>
      <c r="AT245" s="63" t="n">
        <f aca="false">MATCH(MIN(AP245:AS245),AP245:AS245,0)</f>
        <v>2</v>
      </c>
      <c r="AV245" s="17" t="n">
        <f aca="false">SQRT(($B245-AV$139)^2+($C245-AV$140)^2+($D245-AV$141)^2)</f>
        <v>6.05606224924065</v>
      </c>
      <c r="AW245" s="17" t="n">
        <f aca="false">SQRT(($B245-AW$139)^2+($C245-AW$140)^2+($D245-AW$141)^2)</f>
        <v>0.349910247852135</v>
      </c>
      <c r="AX245" s="17" t="n">
        <f aca="false">SQRT(($B245-AX$139)^2+($C245-AX$140)^2+($D245-AX$141)^2)</f>
        <v>2.859718597296</v>
      </c>
      <c r="AY245" s="17" t="n">
        <f aca="false">SQRT(($B245-AY$139)^2+($C245-AY$140)^2+($D245-AY$141)^2)</f>
        <v>1.12820968344206</v>
      </c>
      <c r="AZ245" s="63" t="n">
        <f aca="false">MATCH(MIN(AV245:AY245),AV245:AY245,0)</f>
        <v>2</v>
      </c>
      <c r="BB245" s="17" t="n">
        <f aca="false">SQRT(($B245-BB$139)^2+($C245-BB$140)^2+($D245-BB$141)^2)</f>
        <v>6.05606224924065</v>
      </c>
      <c r="BC245" s="17" t="n">
        <f aca="false">SQRT(($B245-BC$139)^2+($C245-BC$140)^2+($D245-BC$141)^2)</f>
        <v>0.349910247852135</v>
      </c>
      <c r="BD245" s="17" t="n">
        <f aca="false">SQRT(($B245-BD$139)^2+($C245-BD$140)^2+($D245-BD$141)^2)</f>
        <v>2.859718597296</v>
      </c>
      <c r="BE245" s="17" t="n">
        <f aca="false">SQRT(($B245-BE$139)^2+($C245-BE$140)^2+($D245-BE$141)^2)</f>
        <v>1.12820968344206</v>
      </c>
      <c r="BF245" s="63" t="n">
        <f aca="false">MATCH(MIN(BB245:BE245),BB245:BE245,0)</f>
        <v>2</v>
      </c>
      <c r="BH245" s="17" t="n">
        <f aca="false">SQRT(($B245-BH$139)^2+($C245-BH$140)^2+($D245-BH$141)^2)</f>
        <v>6.05606224924065</v>
      </c>
      <c r="BI245" s="17" t="n">
        <f aca="false">SQRT(($B245-BI$139)^2+($C245-BI$140)^2+($D245-BI$141)^2)</f>
        <v>0.349910247852135</v>
      </c>
      <c r="BJ245" s="17" t="n">
        <f aca="false">SQRT(($B245-BJ$139)^2+($C245-BJ$140)^2+($D245-BJ$141)^2)</f>
        <v>2.859718597296</v>
      </c>
      <c r="BK245" s="17" t="n">
        <f aca="false">SQRT(($B245-BK$139)^2+($C245-BK$140)^2+($D245-BK$141)^2)</f>
        <v>1.12820968344206</v>
      </c>
      <c r="BL245" s="63" t="n">
        <f aca="false">MATCH(MIN(BH245:BK245),BH245:BK245,0)</f>
        <v>2</v>
      </c>
      <c r="BN245" s="17" t="n">
        <f aca="false">SQRT(($B245-BN$139)^2+($C245-BN$140)^2+($D245-BN$141)^2)</f>
        <v>6.05606224924065</v>
      </c>
      <c r="BO245" s="17" t="n">
        <f aca="false">SQRT(($B245-BO$139)^2+($C245-BO$140)^2+($D245-BO$141)^2)</f>
        <v>0.349910247852135</v>
      </c>
      <c r="BP245" s="17" t="n">
        <f aca="false">SQRT(($B245-BP$139)^2+($C245-BP$140)^2+($D245-BP$141)^2)</f>
        <v>2.859718597296</v>
      </c>
      <c r="BQ245" s="17" t="n">
        <f aca="false">SQRT(($B245-BQ$139)^2+($C245-BQ$140)^2+($D245-BQ$141)^2)</f>
        <v>1.12820968344206</v>
      </c>
      <c r="BR245" s="63" t="n">
        <f aca="false">MATCH(MIN(BN245:BQ245),BN245:BQ245,0)</f>
        <v>2</v>
      </c>
      <c r="BT245" s="17" t="n">
        <f aca="false">SQRT(($B245-BT$139)^2+($C245-BT$140)^2+($D245-BT$141)^2)</f>
        <v>6.05606224924065</v>
      </c>
      <c r="BU245" s="17" t="n">
        <f aca="false">SQRT(($B245-BU$139)^2+($C245-BU$140)^2+($D245-BU$141)^2)</f>
        <v>0.349910247852135</v>
      </c>
      <c r="BV245" s="17" t="n">
        <f aca="false">SQRT(($B245-BV$139)^2+($C245-BV$140)^2+($D245-BV$141)^2)</f>
        <v>2.859718597296</v>
      </c>
      <c r="BW245" s="17" t="n">
        <f aca="false">SQRT(($B245-BW$139)^2+($C245-BW$140)^2+($D245-BW$141)^2)</f>
        <v>1.12820968344206</v>
      </c>
      <c r="BX245" s="63" t="n">
        <f aca="false">MATCH(MIN(BT245:BW245),BT245:BW245,0)</f>
        <v>2</v>
      </c>
      <c r="BZ245" s="17" t="n">
        <f aca="false">SQRT(($B245-BZ$139)^2+($C245-BZ$140)^2+($D245-BZ$141)^2)</f>
        <v>6.05606224924065</v>
      </c>
      <c r="CA245" s="17" t="n">
        <f aca="false">SQRT(($B245-CA$139)^2+($C245-CA$140)^2+($D245-CA$141)^2)</f>
        <v>0.349910247852135</v>
      </c>
      <c r="CB245" s="17" t="n">
        <f aca="false">SQRT(($B245-CB$139)^2+($C245-CB$140)^2+($D245-CB$141)^2)</f>
        <v>2.859718597296</v>
      </c>
      <c r="CC245" s="17" t="n">
        <f aca="false">SQRT(($B245-CC$139)^2+($C245-CC$140)^2+($D245-CC$141)^2)</f>
        <v>1.12820968344206</v>
      </c>
      <c r="CD245" s="63" t="n">
        <f aca="false">MATCH(MIN(BZ245:CC245),BZ245:CC245,0)</f>
        <v>2</v>
      </c>
      <c r="CF245" s="17" t="n">
        <f aca="false">SQRT(($B245-CF$139)^2+($C245-CF$140)^2+($D245-CF$141)^2)</f>
        <v>6.05606224924065</v>
      </c>
      <c r="CG245" s="17" t="n">
        <f aca="false">SQRT(($B245-CG$139)^2+($C245-CG$140)^2+($D245-CG$141)^2)</f>
        <v>0.349910247852135</v>
      </c>
      <c r="CH245" s="17" t="n">
        <f aca="false">SQRT(($B245-CH$139)^2+($C245-CH$140)^2+($D245-CH$141)^2)</f>
        <v>2.859718597296</v>
      </c>
      <c r="CI245" s="17" t="n">
        <f aca="false">SQRT(($B245-CI$139)^2+($C245-CI$140)^2+($D245-CI$141)^2)</f>
        <v>1.12820968344206</v>
      </c>
      <c r="CJ245" s="63" t="n">
        <f aca="false">MATCH(MIN(CF245:CI245),CF245:CI245,0)</f>
        <v>2</v>
      </c>
      <c r="CL245" s="17" t="n">
        <f aca="false">SQRT(($B245-CL$139)^2+($C245-CL$140)^2+($D245-CL$141)^2)</f>
        <v>6.05606224924065</v>
      </c>
      <c r="CM245" s="17" t="n">
        <f aca="false">SQRT(($B245-CM$139)^2+($C245-CM$140)^2+($D245-CM$141)^2)</f>
        <v>0.349910247852135</v>
      </c>
      <c r="CN245" s="17" t="n">
        <f aca="false">SQRT(($B245-CN$139)^2+($C245-CN$140)^2+($D245-CN$141)^2)</f>
        <v>2.859718597296</v>
      </c>
      <c r="CO245" s="17" t="n">
        <f aca="false">SQRT(($B245-CO$139)^2+($C245-CO$140)^2+($D245-CO$141)^2)</f>
        <v>1.12820968344206</v>
      </c>
      <c r="CP245" s="63" t="n">
        <f aca="false">MATCH(MIN(CL245:CO245),CL245:CO245,0)</f>
        <v>2</v>
      </c>
    </row>
    <row r="246" customFormat="false" ht="15" hidden="false" customHeight="false" outlineLevel="0" collapsed="false">
      <c r="A246" s="36" t="str">
        <f aca="false">KMeans_Data!A105</f>
        <v>South Waziristan</v>
      </c>
      <c r="B246" s="17" t="n">
        <f aca="false">KMeans_Data!H105</f>
        <v>-0.936148467409663</v>
      </c>
      <c r="C246" s="17" t="n">
        <f aca="false">KMeans_Data!I105</f>
        <v>-0.672650545388274</v>
      </c>
      <c r="D246" s="17" t="n">
        <f aca="false">KMeans_Data!J105</f>
        <v>-0.503247915463979</v>
      </c>
      <c r="E246" s="63" t="n">
        <f aca="false">CP246</f>
        <v>2</v>
      </c>
      <c r="F246" s="38" t="n">
        <f aca="false">($B246-INDEX($L$139:$O$139,E246))^2+($C246-INDEX($L$140:$O$140,E246))^2+($D246-INDEX($L$141:$O$141,E246))^2</f>
        <v>0.442919558296622</v>
      </c>
      <c r="G246" s="17" t="n">
        <f aca="false">IF(COUNTIF(Distance_Matrix!$E$10:$DQ$10,$E246)&lt;=1,0,SUMIF(Distance_Matrix!$E$10:$DQ$10,$E246,Distance_Matrix!$E$114:$DQ$114)/(COUNTIF(Distance_Matrix!$E$10:$DQ$10,$E246)-1))</f>
        <v>0.789152352158095</v>
      </c>
      <c r="H246" s="17" t="n">
        <f aca="false">MIN(IF(1=$E246,1E+099,IF(COUNTIF(Distance_Matrix!$E$10:$DQ$10,1)=0,1E+099,SUMIF(Distance_Matrix!$E$10:$DQ$10,1,Distance_Matrix!$E$114:$DQ$114)/COUNTIF(Distance_Matrix!$E$10:$DQ$10,1))),IF(2=$E246,1E+099,IF(COUNTIF(Distance_Matrix!$E$10:$DQ$10,2)=0,1E+099,SUMIF(Distance_Matrix!$E$10:$DQ$10,2,Distance_Matrix!$E$114:$DQ$114)/COUNTIF(Distance_Matrix!$E$10:$DQ$10,2))),IF(3=$E246,1E+099,IF(COUNTIF(Distance_Matrix!$E$10:$DQ$10,3)=0,1E+099,SUMIF(Distance_Matrix!$E$10:$DQ$10,3,Distance_Matrix!$E$114:$DQ$114)/COUNTIF(Distance_Matrix!$E$10:$DQ$10,3))),IF(4=$E246,1E+099,IF(COUNTIF(Distance_Matrix!$E$10:$DQ$10,4)=0,1E+099,SUMIF(Distance_Matrix!$E$10:$DQ$10,4,Distance_Matrix!$E$114:$DQ$114)/COUNTIF(Distance_Matrix!$E$10:$DQ$10,4))))</f>
        <v>1.04916339469331</v>
      </c>
      <c r="I246" s="17" t="n">
        <f aca="false">IF(COUNTIF(Distance_Matrix!$E$10:$DQ$10,$E246)&lt;=1,0,(H246-G246)/MAX(G246,H246))</f>
        <v>0.247827024704021</v>
      </c>
      <c r="X246" s="17" t="n">
        <f aca="false">SQRT(($B246-X$139)^2+($C246-X$140)^2+($D246-X$141)^2)</f>
        <v>7.35074458018159</v>
      </c>
      <c r="Y246" s="17" t="n">
        <f aca="false">SQRT(($B246-Y$139)^2+($C246-Y$140)^2+($D246-Y$141)^2)</f>
        <v>1.31166682367238</v>
      </c>
      <c r="Z246" s="17" t="n">
        <f aca="false">SQRT(($B246-Z$139)^2+($C246-Z$140)^2+($D246-Z$141)^2)</f>
        <v>2.98249119106413</v>
      </c>
      <c r="AA246" s="17" t="n">
        <f aca="false">SQRT(($B246-AA$139)^2+($C246-AA$140)^2+($D246-AA$141)^2)</f>
        <v>1.78638138331685</v>
      </c>
      <c r="AB246" s="63" t="n">
        <f aca="false">MATCH(MIN(X246:AA246),X246:AA246,0)</f>
        <v>2</v>
      </c>
      <c r="AD246" s="17" t="n">
        <f aca="false">SQRT(($B246-AD$139)^2+($C246-AD$140)^2+($D246-AD$141)^2)</f>
        <v>6.36234725738796</v>
      </c>
      <c r="AE246" s="17" t="n">
        <f aca="false">SQRT(($B246-AE$139)^2+($C246-AE$140)^2+($D246-AE$141)^2)</f>
        <v>0.529047902950233</v>
      </c>
      <c r="AF246" s="17" t="n">
        <f aca="false">SQRT(($B246-AF$139)^2+($C246-AF$140)^2+($D246-AF$141)^2)</f>
        <v>2.42010677114144</v>
      </c>
      <c r="AG246" s="17" t="n">
        <f aca="false">SQRT(($B246-AG$139)^2+($C246-AG$140)^2+($D246-AG$141)^2)</f>
        <v>0.893016067338802</v>
      </c>
      <c r="AH246" s="63" t="n">
        <f aca="false">MATCH(MIN(AD246:AG246),AD246:AG246,0)</f>
        <v>2</v>
      </c>
      <c r="AJ246" s="17" t="n">
        <f aca="false">SQRT(($B246-AJ$139)^2+($C246-AJ$140)^2+($D246-AJ$141)^2)</f>
        <v>6.02348001875447</v>
      </c>
      <c r="AK246" s="17" t="n">
        <f aca="false">SQRT(($B246-AK$139)^2+($C246-AK$140)^2+($D246-AK$141)^2)</f>
        <v>0.566312845211101</v>
      </c>
      <c r="AL246" s="17" t="n">
        <f aca="false">SQRT(($B246-AL$139)^2+($C246-AL$140)^2+($D246-AL$141)^2)</f>
        <v>2.49548580466585</v>
      </c>
      <c r="AM246" s="17" t="n">
        <f aca="false">SQRT(($B246-AM$139)^2+($C246-AM$140)^2+($D246-AM$141)^2)</f>
        <v>0.880610018591519</v>
      </c>
      <c r="AN246" s="63" t="n">
        <f aca="false">MATCH(MIN(AJ246:AM246),AJ246:AM246,0)</f>
        <v>2</v>
      </c>
      <c r="AP246" s="17" t="n">
        <f aca="false">SQRT(($B246-AP$139)^2+($C246-AP$140)^2+($D246-AP$141)^2)</f>
        <v>5.72840572200703</v>
      </c>
      <c r="AQ246" s="17" t="n">
        <f aca="false">SQRT(($B246-AQ$139)^2+($C246-AQ$140)^2+($D246-AQ$141)^2)</f>
        <v>0.665522019392764</v>
      </c>
      <c r="AR246" s="17" t="n">
        <f aca="false">SQRT(($B246-AR$139)^2+($C246-AR$140)^2+($D246-AR$141)^2)</f>
        <v>2.45004029170367</v>
      </c>
      <c r="AS246" s="17" t="n">
        <f aca="false">SQRT(($B246-AS$139)^2+($C246-AS$140)^2+($D246-AS$141)^2)</f>
        <v>0.833972736163672</v>
      </c>
      <c r="AT246" s="63" t="n">
        <f aca="false">MATCH(MIN(AP246:AS246),AP246:AS246,0)</f>
        <v>2</v>
      </c>
      <c r="AV246" s="17" t="n">
        <f aca="false">SQRT(($B246-AV$139)^2+($C246-AV$140)^2+($D246-AV$141)^2)</f>
        <v>5.72840572200703</v>
      </c>
      <c r="AW246" s="17" t="n">
        <f aca="false">SQRT(($B246-AW$139)^2+($C246-AW$140)^2+($D246-AW$141)^2)</f>
        <v>0.665522019392764</v>
      </c>
      <c r="AX246" s="17" t="n">
        <f aca="false">SQRT(($B246-AX$139)^2+($C246-AX$140)^2+($D246-AX$141)^2)</f>
        <v>2.45004029170367</v>
      </c>
      <c r="AY246" s="17" t="n">
        <f aca="false">SQRT(($B246-AY$139)^2+($C246-AY$140)^2+($D246-AY$141)^2)</f>
        <v>0.833972736163672</v>
      </c>
      <c r="AZ246" s="63" t="n">
        <f aca="false">MATCH(MIN(AV246:AY246),AV246:AY246,0)</f>
        <v>2</v>
      </c>
      <c r="BB246" s="17" t="n">
        <f aca="false">SQRT(($B246-BB$139)^2+($C246-BB$140)^2+($D246-BB$141)^2)</f>
        <v>5.72840572200703</v>
      </c>
      <c r="BC246" s="17" t="n">
        <f aca="false">SQRT(($B246-BC$139)^2+($C246-BC$140)^2+($D246-BC$141)^2)</f>
        <v>0.665522019392764</v>
      </c>
      <c r="BD246" s="17" t="n">
        <f aca="false">SQRT(($B246-BD$139)^2+($C246-BD$140)^2+($D246-BD$141)^2)</f>
        <v>2.45004029170367</v>
      </c>
      <c r="BE246" s="17" t="n">
        <f aca="false">SQRT(($B246-BE$139)^2+($C246-BE$140)^2+($D246-BE$141)^2)</f>
        <v>0.833972736163672</v>
      </c>
      <c r="BF246" s="63" t="n">
        <f aca="false">MATCH(MIN(BB246:BE246),BB246:BE246,0)</f>
        <v>2</v>
      </c>
      <c r="BH246" s="17" t="n">
        <f aca="false">SQRT(($B246-BH$139)^2+($C246-BH$140)^2+($D246-BH$141)^2)</f>
        <v>5.72840572200703</v>
      </c>
      <c r="BI246" s="17" t="n">
        <f aca="false">SQRT(($B246-BI$139)^2+($C246-BI$140)^2+($D246-BI$141)^2)</f>
        <v>0.665522019392764</v>
      </c>
      <c r="BJ246" s="17" t="n">
        <f aca="false">SQRT(($B246-BJ$139)^2+($C246-BJ$140)^2+($D246-BJ$141)^2)</f>
        <v>2.45004029170367</v>
      </c>
      <c r="BK246" s="17" t="n">
        <f aca="false">SQRT(($B246-BK$139)^2+($C246-BK$140)^2+($D246-BK$141)^2)</f>
        <v>0.833972736163672</v>
      </c>
      <c r="BL246" s="63" t="n">
        <f aca="false">MATCH(MIN(BH246:BK246),BH246:BK246,0)</f>
        <v>2</v>
      </c>
      <c r="BN246" s="17" t="n">
        <f aca="false">SQRT(($B246-BN$139)^2+($C246-BN$140)^2+($D246-BN$141)^2)</f>
        <v>5.72840572200703</v>
      </c>
      <c r="BO246" s="17" t="n">
        <f aca="false">SQRT(($B246-BO$139)^2+($C246-BO$140)^2+($D246-BO$141)^2)</f>
        <v>0.665522019392764</v>
      </c>
      <c r="BP246" s="17" t="n">
        <f aca="false">SQRT(($B246-BP$139)^2+($C246-BP$140)^2+($D246-BP$141)^2)</f>
        <v>2.45004029170367</v>
      </c>
      <c r="BQ246" s="17" t="n">
        <f aca="false">SQRT(($B246-BQ$139)^2+($C246-BQ$140)^2+($D246-BQ$141)^2)</f>
        <v>0.833972736163672</v>
      </c>
      <c r="BR246" s="63" t="n">
        <f aca="false">MATCH(MIN(BN246:BQ246),BN246:BQ246,0)</f>
        <v>2</v>
      </c>
      <c r="BT246" s="17" t="n">
        <f aca="false">SQRT(($B246-BT$139)^2+($C246-BT$140)^2+($D246-BT$141)^2)</f>
        <v>5.72840572200703</v>
      </c>
      <c r="BU246" s="17" t="n">
        <f aca="false">SQRT(($B246-BU$139)^2+($C246-BU$140)^2+($D246-BU$141)^2)</f>
        <v>0.665522019392764</v>
      </c>
      <c r="BV246" s="17" t="n">
        <f aca="false">SQRT(($B246-BV$139)^2+($C246-BV$140)^2+($D246-BV$141)^2)</f>
        <v>2.45004029170367</v>
      </c>
      <c r="BW246" s="17" t="n">
        <f aca="false">SQRT(($B246-BW$139)^2+($C246-BW$140)^2+($D246-BW$141)^2)</f>
        <v>0.833972736163672</v>
      </c>
      <c r="BX246" s="63" t="n">
        <f aca="false">MATCH(MIN(BT246:BW246),BT246:BW246,0)</f>
        <v>2</v>
      </c>
      <c r="BZ246" s="17" t="n">
        <f aca="false">SQRT(($B246-BZ$139)^2+($C246-BZ$140)^2+($D246-BZ$141)^2)</f>
        <v>5.72840572200703</v>
      </c>
      <c r="CA246" s="17" t="n">
        <f aca="false">SQRT(($B246-CA$139)^2+($C246-CA$140)^2+($D246-CA$141)^2)</f>
        <v>0.665522019392764</v>
      </c>
      <c r="CB246" s="17" t="n">
        <f aca="false">SQRT(($B246-CB$139)^2+($C246-CB$140)^2+($D246-CB$141)^2)</f>
        <v>2.45004029170367</v>
      </c>
      <c r="CC246" s="17" t="n">
        <f aca="false">SQRT(($B246-CC$139)^2+($C246-CC$140)^2+($D246-CC$141)^2)</f>
        <v>0.833972736163672</v>
      </c>
      <c r="CD246" s="63" t="n">
        <f aca="false">MATCH(MIN(BZ246:CC246),BZ246:CC246,0)</f>
        <v>2</v>
      </c>
      <c r="CF246" s="17" t="n">
        <f aca="false">SQRT(($B246-CF$139)^2+($C246-CF$140)^2+($D246-CF$141)^2)</f>
        <v>5.72840572200703</v>
      </c>
      <c r="CG246" s="17" t="n">
        <f aca="false">SQRT(($B246-CG$139)^2+($C246-CG$140)^2+($D246-CG$141)^2)</f>
        <v>0.665522019392764</v>
      </c>
      <c r="CH246" s="17" t="n">
        <f aca="false">SQRT(($B246-CH$139)^2+($C246-CH$140)^2+($D246-CH$141)^2)</f>
        <v>2.45004029170367</v>
      </c>
      <c r="CI246" s="17" t="n">
        <f aca="false">SQRT(($B246-CI$139)^2+($C246-CI$140)^2+($D246-CI$141)^2)</f>
        <v>0.833972736163672</v>
      </c>
      <c r="CJ246" s="63" t="n">
        <f aca="false">MATCH(MIN(CF246:CI246),CF246:CI246,0)</f>
        <v>2</v>
      </c>
      <c r="CL246" s="17" t="n">
        <f aca="false">SQRT(($B246-CL$139)^2+($C246-CL$140)^2+($D246-CL$141)^2)</f>
        <v>5.72840572200703</v>
      </c>
      <c r="CM246" s="17" t="n">
        <f aca="false">SQRT(($B246-CM$139)^2+($C246-CM$140)^2+($D246-CM$141)^2)</f>
        <v>0.665522019392764</v>
      </c>
      <c r="CN246" s="17" t="n">
        <f aca="false">SQRT(($B246-CN$139)^2+($C246-CN$140)^2+($D246-CN$141)^2)</f>
        <v>2.45004029170367</v>
      </c>
      <c r="CO246" s="17" t="n">
        <f aca="false">SQRT(($B246-CO$139)^2+($C246-CO$140)^2+($D246-CO$141)^2)</f>
        <v>0.833972736163672</v>
      </c>
      <c r="CP246" s="63" t="n">
        <f aca="false">MATCH(MIN(CL246:CO246),CL246:CO246,0)</f>
        <v>2</v>
      </c>
    </row>
    <row r="247" customFormat="false" ht="15" hidden="false" customHeight="false" outlineLevel="0" collapsed="false">
      <c r="A247" s="36" t="str">
        <f aca="false">KMeans_Data!A106</f>
        <v>Toba Tek Singh</v>
      </c>
      <c r="B247" s="17" t="n">
        <f aca="false">KMeans_Data!H106</f>
        <v>-0.997451006048382</v>
      </c>
      <c r="C247" s="17" t="n">
        <f aca="false">KMeans_Data!I106</f>
        <v>-0.672650545388274</v>
      </c>
      <c r="D247" s="17" t="n">
        <f aca="false">KMeans_Data!J106</f>
        <v>-1.14564411633355</v>
      </c>
      <c r="E247" s="63" t="n">
        <f aca="false">CP247</f>
        <v>2</v>
      </c>
      <c r="F247" s="38" t="n">
        <f aca="false">($B247-INDEX($L$139:$O$139,E247))^2+($C247-INDEX($L$140:$O$140,E247))^2+($D247-INDEX($L$141:$O$141,E247))^2</f>
        <v>0.084285357210402</v>
      </c>
      <c r="G247" s="17" t="n">
        <f aca="false">IF(COUNTIF(Distance_Matrix!$E$10:$DQ$10,$E247)&lt;=1,0,SUMIF(Distance_Matrix!$E$10:$DQ$10,$E247,Distance_Matrix!$E$115:$DQ$115)/(COUNTIF(Distance_Matrix!$E$10:$DQ$10,$E247)-1))</f>
        <v>0.476861691979582</v>
      </c>
      <c r="H247" s="17" t="n">
        <f aca="false">MIN(IF(1=$E247,1E+099,IF(COUNTIF(Distance_Matrix!$E$10:$DQ$10,1)=0,1E+099,SUMIF(Distance_Matrix!$E$10:$DQ$10,1,Distance_Matrix!$E$115:$DQ$115)/COUNTIF(Distance_Matrix!$E$10:$DQ$10,1))),IF(2=$E247,1E+099,IF(COUNTIF(Distance_Matrix!$E$10:$DQ$10,2)=0,1E+099,SUMIF(Distance_Matrix!$E$10:$DQ$10,2,Distance_Matrix!$E$115:$DQ$115)/COUNTIF(Distance_Matrix!$E$10:$DQ$10,2))),IF(3=$E247,1E+099,IF(COUNTIF(Distance_Matrix!$E$10:$DQ$10,3)=0,1E+099,SUMIF(Distance_Matrix!$E$10:$DQ$10,3,Distance_Matrix!$E$115:$DQ$115)/COUNTIF(Distance_Matrix!$E$10:$DQ$10,3))),IF(4=$E247,1E+099,IF(COUNTIF(Distance_Matrix!$E$10:$DQ$10,4)=0,1E+099,SUMIF(Distance_Matrix!$E$10:$DQ$10,4,Distance_Matrix!$E$115:$DQ$115)/COUNTIF(Distance_Matrix!$E$10:$DQ$10,4))))</f>
        <v>1.33459783533518</v>
      </c>
      <c r="I247" s="17" t="n">
        <f aca="false">IF(COUNTIF(Distance_Matrix!$E$10:$DQ$10,$E247)&lt;=1,0,(H247-G247)/MAX(G247,H247))</f>
        <v>0.642692592963918</v>
      </c>
      <c r="X247" s="17" t="n">
        <f aca="false">SQRT(($B247-X$139)^2+($C247-X$140)^2+($D247-X$141)^2)</f>
        <v>7.73251123919131</v>
      </c>
      <c r="Y247" s="17" t="n">
        <f aca="false">SQRT(($B247-Y$139)^2+($C247-Y$140)^2+($D247-Y$141)^2)</f>
        <v>1.08228697575494</v>
      </c>
      <c r="Z247" s="17" t="n">
        <f aca="false">SQRT(($B247-Z$139)^2+($C247-Z$140)^2+($D247-Z$141)^2)</f>
        <v>3.47697824473286</v>
      </c>
      <c r="AA247" s="17" t="n">
        <f aca="false">SQRT(($B247-AA$139)^2+($C247-AA$140)^2+($D247-AA$141)^2)</f>
        <v>1.72516170820429</v>
      </c>
      <c r="AB247" s="63" t="n">
        <f aca="false">MATCH(MIN(X247:AA247),X247:AA247,0)</f>
        <v>2</v>
      </c>
      <c r="AD247" s="17" t="n">
        <f aca="false">SQRT(($B247-AD$139)^2+($C247-AD$140)^2+($D247-AD$141)^2)</f>
        <v>6.7228014513887</v>
      </c>
      <c r="AE247" s="17" t="n">
        <f aca="false">SQRT(($B247-AE$139)^2+($C247-AE$140)^2+($D247-AE$141)^2)</f>
        <v>0.3224173720856</v>
      </c>
      <c r="AF247" s="17" t="n">
        <f aca="false">SQRT(($B247-AF$139)^2+($C247-AF$140)^2+($D247-AF$141)^2)</f>
        <v>2.87044148796138</v>
      </c>
      <c r="AG247" s="17" t="n">
        <f aca="false">SQRT(($B247-AG$139)^2+($C247-AG$140)^2+($D247-AG$141)^2)</f>
        <v>1.14336137890502</v>
      </c>
      <c r="AH247" s="63" t="n">
        <f aca="false">MATCH(MIN(AD247:AG247),AD247:AG247,0)</f>
        <v>2</v>
      </c>
      <c r="AJ247" s="17" t="n">
        <f aca="false">SQRT(($B247-AJ$139)^2+($C247-AJ$140)^2+($D247-AJ$141)^2)</f>
        <v>6.38594681773255</v>
      </c>
      <c r="AK247" s="17" t="n">
        <f aca="false">SQRT(($B247-AK$139)^2+($C247-AK$140)^2+($D247-AK$141)^2)</f>
        <v>0.284793420940095</v>
      </c>
      <c r="AL247" s="17" t="n">
        <f aca="false">SQRT(($B247-AL$139)^2+($C247-AL$140)^2+($D247-AL$141)^2)</f>
        <v>2.93613452211314</v>
      </c>
      <c r="AM247" s="17" t="n">
        <f aca="false">SQRT(($B247-AM$139)^2+($C247-AM$140)^2+($D247-AM$141)^2)</f>
        <v>1.20451981078838</v>
      </c>
      <c r="AN247" s="63" t="n">
        <f aca="false">MATCH(MIN(AJ247:AM247),AJ247:AM247,0)</f>
        <v>2</v>
      </c>
      <c r="AP247" s="17" t="n">
        <f aca="false">SQRT(($B247-AP$139)^2+($C247-AP$140)^2+($D247-AP$141)^2)</f>
        <v>6.09088461991299</v>
      </c>
      <c r="AQ247" s="17" t="n">
        <f aca="false">SQRT(($B247-AQ$139)^2+($C247-AQ$140)^2+($D247-AQ$141)^2)</f>
        <v>0.29031940550091</v>
      </c>
      <c r="AR247" s="17" t="n">
        <f aca="false">SQRT(($B247-AR$139)^2+($C247-AR$140)^2+($D247-AR$141)^2)</f>
        <v>2.89377224678022</v>
      </c>
      <c r="AS247" s="17" t="n">
        <f aca="false">SQRT(($B247-AS$139)^2+($C247-AS$140)^2+($D247-AS$141)^2)</f>
        <v>1.172865937452</v>
      </c>
      <c r="AT247" s="63" t="n">
        <f aca="false">MATCH(MIN(AP247:AS247),AP247:AS247,0)</f>
        <v>2</v>
      </c>
      <c r="AV247" s="17" t="n">
        <f aca="false">SQRT(($B247-AV$139)^2+($C247-AV$140)^2+($D247-AV$141)^2)</f>
        <v>6.09088461991299</v>
      </c>
      <c r="AW247" s="17" t="n">
        <f aca="false">SQRT(($B247-AW$139)^2+($C247-AW$140)^2+($D247-AW$141)^2)</f>
        <v>0.29031940550091</v>
      </c>
      <c r="AX247" s="17" t="n">
        <f aca="false">SQRT(($B247-AX$139)^2+($C247-AX$140)^2+($D247-AX$141)^2)</f>
        <v>2.89377224678022</v>
      </c>
      <c r="AY247" s="17" t="n">
        <f aca="false">SQRT(($B247-AY$139)^2+($C247-AY$140)^2+($D247-AY$141)^2)</f>
        <v>1.172865937452</v>
      </c>
      <c r="AZ247" s="63" t="n">
        <f aca="false">MATCH(MIN(AV247:AY247),AV247:AY247,0)</f>
        <v>2</v>
      </c>
      <c r="BB247" s="17" t="n">
        <f aca="false">SQRT(($B247-BB$139)^2+($C247-BB$140)^2+($D247-BB$141)^2)</f>
        <v>6.09088461991299</v>
      </c>
      <c r="BC247" s="17" t="n">
        <f aca="false">SQRT(($B247-BC$139)^2+($C247-BC$140)^2+($D247-BC$141)^2)</f>
        <v>0.29031940550091</v>
      </c>
      <c r="BD247" s="17" t="n">
        <f aca="false">SQRT(($B247-BD$139)^2+($C247-BD$140)^2+($D247-BD$141)^2)</f>
        <v>2.89377224678022</v>
      </c>
      <c r="BE247" s="17" t="n">
        <f aca="false">SQRT(($B247-BE$139)^2+($C247-BE$140)^2+($D247-BE$141)^2)</f>
        <v>1.172865937452</v>
      </c>
      <c r="BF247" s="63" t="n">
        <f aca="false">MATCH(MIN(BB247:BE247),BB247:BE247,0)</f>
        <v>2</v>
      </c>
      <c r="BH247" s="17" t="n">
        <f aca="false">SQRT(($B247-BH$139)^2+($C247-BH$140)^2+($D247-BH$141)^2)</f>
        <v>6.09088461991299</v>
      </c>
      <c r="BI247" s="17" t="n">
        <f aca="false">SQRT(($B247-BI$139)^2+($C247-BI$140)^2+($D247-BI$141)^2)</f>
        <v>0.29031940550091</v>
      </c>
      <c r="BJ247" s="17" t="n">
        <f aca="false">SQRT(($B247-BJ$139)^2+($C247-BJ$140)^2+($D247-BJ$141)^2)</f>
        <v>2.89377224678022</v>
      </c>
      <c r="BK247" s="17" t="n">
        <f aca="false">SQRT(($B247-BK$139)^2+($C247-BK$140)^2+($D247-BK$141)^2)</f>
        <v>1.172865937452</v>
      </c>
      <c r="BL247" s="63" t="n">
        <f aca="false">MATCH(MIN(BH247:BK247),BH247:BK247,0)</f>
        <v>2</v>
      </c>
      <c r="BN247" s="17" t="n">
        <f aca="false">SQRT(($B247-BN$139)^2+($C247-BN$140)^2+($D247-BN$141)^2)</f>
        <v>6.09088461991299</v>
      </c>
      <c r="BO247" s="17" t="n">
        <f aca="false">SQRT(($B247-BO$139)^2+($C247-BO$140)^2+($D247-BO$141)^2)</f>
        <v>0.29031940550091</v>
      </c>
      <c r="BP247" s="17" t="n">
        <f aca="false">SQRT(($B247-BP$139)^2+($C247-BP$140)^2+($D247-BP$141)^2)</f>
        <v>2.89377224678022</v>
      </c>
      <c r="BQ247" s="17" t="n">
        <f aca="false">SQRT(($B247-BQ$139)^2+($C247-BQ$140)^2+($D247-BQ$141)^2)</f>
        <v>1.172865937452</v>
      </c>
      <c r="BR247" s="63" t="n">
        <f aca="false">MATCH(MIN(BN247:BQ247),BN247:BQ247,0)</f>
        <v>2</v>
      </c>
      <c r="BT247" s="17" t="n">
        <f aca="false">SQRT(($B247-BT$139)^2+($C247-BT$140)^2+($D247-BT$141)^2)</f>
        <v>6.09088461991299</v>
      </c>
      <c r="BU247" s="17" t="n">
        <f aca="false">SQRT(($B247-BU$139)^2+($C247-BU$140)^2+($D247-BU$141)^2)</f>
        <v>0.29031940550091</v>
      </c>
      <c r="BV247" s="17" t="n">
        <f aca="false">SQRT(($B247-BV$139)^2+($C247-BV$140)^2+($D247-BV$141)^2)</f>
        <v>2.89377224678022</v>
      </c>
      <c r="BW247" s="17" t="n">
        <f aca="false">SQRT(($B247-BW$139)^2+($C247-BW$140)^2+($D247-BW$141)^2)</f>
        <v>1.172865937452</v>
      </c>
      <c r="BX247" s="63" t="n">
        <f aca="false">MATCH(MIN(BT247:BW247),BT247:BW247,0)</f>
        <v>2</v>
      </c>
      <c r="BZ247" s="17" t="n">
        <f aca="false">SQRT(($B247-BZ$139)^2+($C247-BZ$140)^2+($D247-BZ$141)^2)</f>
        <v>6.09088461991299</v>
      </c>
      <c r="CA247" s="17" t="n">
        <f aca="false">SQRT(($B247-CA$139)^2+($C247-CA$140)^2+($D247-CA$141)^2)</f>
        <v>0.29031940550091</v>
      </c>
      <c r="CB247" s="17" t="n">
        <f aca="false">SQRT(($B247-CB$139)^2+($C247-CB$140)^2+($D247-CB$141)^2)</f>
        <v>2.89377224678022</v>
      </c>
      <c r="CC247" s="17" t="n">
        <f aca="false">SQRT(($B247-CC$139)^2+($C247-CC$140)^2+($D247-CC$141)^2)</f>
        <v>1.172865937452</v>
      </c>
      <c r="CD247" s="63" t="n">
        <f aca="false">MATCH(MIN(BZ247:CC247),BZ247:CC247,0)</f>
        <v>2</v>
      </c>
      <c r="CF247" s="17" t="n">
        <f aca="false">SQRT(($B247-CF$139)^2+($C247-CF$140)^2+($D247-CF$141)^2)</f>
        <v>6.09088461991299</v>
      </c>
      <c r="CG247" s="17" t="n">
        <f aca="false">SQRT(($B247-CG$139)^2+($C247-CG$140)^2+($D247-CG$141)^2)</f>
        <v>0.29031940550091</v>
      </c>
      <c r="CH247" s="17" t="n">
        <f aca="false">SQRT(($B247-CH$139)^2+($C247-CH$140)^2+($D247-CH$141)^2)</f>
        <v>2.89377224678022</v>
      </c>
      <c r="CI247" s="17" t="n">
        <f aca="false">SQRT(($B247-CI$139)^2+($C247-CI$140)^2+($D247-CI$141)^2)</f>
        <v>1.172865937452</v>
      </c>
      <c r="CJ247" s="63" t="n">
        <f aca="false">MATCH(MIN(CF247:CI247),CF247:CI247,0)</f>
        <v>2</v>
      </c>
      <c r="CL247" s="17" t="n">
        <f aca="false">SQRT(($B247-CL$139)^2+($C247-CL$140)^2+($D247-CL$141)^2)</f>
        <v>6.09088461991299</v>
      </c>
      <c r="CM247" s="17" t="n">
        <f aca="false">SQRT(($B247-CM$139)^2+($C247-CM$140)^2+($D247-CM$141)^2)</f>
        <v>0.29031940550091</v>
      </c>
      <c r="CN247" s="17" t="n">
        <f aca="false">SQRT(($B247-CN$139)^2+($C247-CN$140)^2+($D247-CN$141)^2)</f>
        <v>2.89377224678022</v>
      </c>
      <c r="CO247" s="17" t="n">
        <f aca="false">SQRT(($B247-CO$139)^2+($C247-CO$140)^2+($D247-CO$141)^2)</f>
        <v>1.172865937452</v>
      </c>
      <c r="CP247" s="63" t="n">
        <f aca="false">MATCH(MIN(CL247:CO247),CL247:CO247,0)</f>
        <v>2</v>
      </c>
    </row>
    <row r="248" customFormat="false" ht="15" hidden="false" customHeight="false" outlineLevel="0" collapsed="false">
      <c r="A248" s="36" t="str">
        <f aca="false">KMeans_Data!A107</f>
        <v>Khanewal</v>
      </c>
      <c r="B248" s="17" t="n">
        <f aca="false">KMeans_Data!H107</f>
        <v>-0.997451006048382</v>
      </c>
      <c r="C248" s="17" t="n">
        <f aca="false">KMeans_Data!I107</f>
        <v>-0.672650545388274</v>
      </c>
      <c r="D248" s="17" t="n">
        <f aca="false">KMeans_Data!J107</f>
        <v>-1.14564411633355</v>
      </c>
      <c r="E248" s="63" t="n">
        <f aca="false">CP248</f>
        <v>2</v>
      </c>
      <c r="F248" s="38" t="n">
        <f aca="false">($B248-INDEX($L$139:$O$139,E248))^2+($C248-INDEX($L$140:$O$140,E248))^2+($D248-INDEX($L$141:$O$141,E248))^2</f>
        <v>0.084285357210402</v>
      </c>
      <c r="G248" s="17" t="n">
        <f aca="false">IF(COUNTIF(Distance_Matrix!$E$10:$DQ$10,$E248)&lt;=1,0,SUMIF(Distance_Matrix!$E$10:$DQ$10,$E248,Distance_Matrix!$E$116:$DQ$116)/(COUNTIF(Distance_Matrix!$E$10:$DQ$10,$E248)-1))</f>
        <v>0.476861691979582</v>
      </c>
      <c r="H248" s="17" t="n">
        <f aca="false">MIN(IF(1=$E248,1E+099,IF(COUNTIF(Distance_Matrix!$E$10:$DQ$10,1)=0,1E+099,SUMIF(Distance_Matrix!$E$10:$DQ$10,1,Distance_Matrix!$E$116:$DQ$116)/COUNTIF(Distance_Matrix!$E$10:$DQ$10,1))),IF(2=$E248,1E+099,IF(COUNTIF(Distance_Matrix!$E$10:$DQ$10,2)=0,1E+099,SUMIF(Distance_Matrix!$E$10:$DQ$10,2,Distance_Matrix!$E$116:$DQ$116)/COUNTIF(Distance_Matrix!$E$10:$DQ$10,2))),IF(3=$E248,1E+099,IF(COUNTIF(Distance_Matrix!$E$10:$DQ$10,3)=0,1E+099,SUMIF(Distance_Matrix!$E$10:$DQ$10,3,Distance_Matrix!$E$116:$DQ$116)/COUNTIF(Distance_Matrix!$E$10:$DQ$10,3))),IF(4=$E248,1E+099,IF(COUNTIF(Distance_Matrix!$E$10:$DQ$10,4)=0,1E+099,SUMIF(Distance_Matrix!$E$10:$DQ$10,4,Distance_Matrix!$E$116:$DQ$116)/COUNTIF(Distance_Matrix!$E$10:$DQ$10,4))))</f>
        <v>1.33459783533518</v>
      </c>
      <c r="I248" s="17" t="n">
        <f aca="false">IF(COUNTIF(Distance_Matrix!$E$10:$DQ$10,$E248)&lt;=1,0,(H248-G248)/MAX(G248,H248))</f>
        <v>0.642692592963918</v>
      </c>
      <c r="X248" s="17" t="n">
        <f aca="false">SQRT(($B248-X$139)^2+($C248-X$140)^2+($D248-X$141)^2)</f>
        <v>7.73251123919131</v>
      </c>
      <c r="Y248" s="17" t="n">
        <f aca="false">SQRT(($B248-Y$139)^2+($C248-Y$140)^2+($D248-Y$141)^2)</f>
        <v>1.08228697575494</v>
      </c>
      <c r="Z248" s="17" t="n">
        <f aca="false">SQRT(($B248-Z$139)^2+($C248-Z$140)^2+($D248-Z$141)^2)</f>
        <v>3.47697824473286</v>
      </c>
      <c r="AA248" s="17" t="n">
        <f aca="false">SQRT(($B248-AA$139)^2+($C248-AA$140)^2+($D248-AA$141)^2)</f>
        <v>1.72516170820429</v>
      </c>
      <c r="AB248" s="63" t="n">
        <f aca="false">MATCH(MIN(X248:AA248),X248:AA248,0)</f>
        <v>2</v>
      </c>
      <c r="AD248" s="17" t="n">
        <f aca="false">SQRT(($B248-AD$139)^2+($C248-AD$140)^2+($D248-AD$141)^2)</f>
        <v>6.7228014513887</v>
      </c>
      <c r="AE248" s="17" t="n">
        <f aca="false">SQRT(($B248-AE$139)^2+($C248-AE$140)^2+($D248-AE$141)^2)</f>
        <v>0.3224173720856</v>
      </c>
      <c r="AF248" s="17" t="n">
        <f aca="false">SQRT(($B248-AF$139)^2+($C248-AF$140)^2+($D248-AF$141)^2)</f>
        <v>2.87044148796138</v>
      </c>
      <c r="AG248" s="17" t="n">
        <f aca="false">SQRT(($B248-AG$139)^2+($C248-AG$140)^2+($D248-AG$141)^2)</f>
        <v>1.14336137890502</v>
      </c>
      <c r="AH248" s="63" t="n">
        <f aca="false">MATCH(MIN(AD248:AG248),AD248:AG248,0)</f>
        <v>2</v>
      </c>
      <c r="AJ248" s="17" t="n">
        <f aca="false">SQRT(($B248-AJ$139)^2+($C248-AJ$140)^2+($D248-AJ$141)^2)</f>
        <v>6.38594681773255</v>
      </c>
      <c r="AK248" s="17" t="n">
        <f aca="false">SQRT(($B248-AK$139)^2+($C248-AK$140)^2+($D248-AK$141)^2)</f>
        <v>0.284793420940095</v>
      </c>
      <c r="AL248" s="17" t="n">
        <f aca="false">SQRT(($B248-AL$139)^2+($C248-AL$140)^2+($D248-AL$141)^2)</f>
        <v>2.93613452211314</v>
      </c>
      <c r="AM248" s="17" t="n">
        <f aca="false">SQRT(($B248-AM$139)^2+($C248-AM$140)^2+($D248-AM$141)^2)</f>
        <v>1.20451981078838</v>
      </c>
      <c r="AN248" s="63" t="n">
        <f aca="false">MATCH(MIN(AJ248:AM248),AJ248:AM248,0)</f>
        <v>2</v>
      </c>
      <c r="AP248" s="17" t="n">
        <f aca="false">SQRT(($B248-AP$139)^2+($C248-AP$140)^2+($D248-AP$141)^2)</f>
        <v>6.09088461991299</v>
      </c>
      <c r="AQ248" s="17" t="n">
        <f aca="false">SQRT(($B248-AQ$139)^2+($C248-AQ$140)^2+($D248-AQ$141)^2)</f>
        <v>0.29031940550091</v>
      </c>
      <c r="AR248" s="17" t="n">
        <f aca="false">SQRT(($B248-AR$139)^2+($C248-AR$140)^2+($D248-AR$141)^2)</f>
        <v>2.89377224678022</v>
      </c>
      <c r="AS248" s="17" t="n">
        <f aca="false">SQRT(($B248-AS$139)^2+($C248-AS$140)^2+($D248-AS$141)^2)</f>
        <v>1.172865937452</v>
      </c>
      <c r="AT248" s="63" t="n">
        <f aca="false">MATCH(MIN(AP248:AS248),AP248:AS248,0)</f>
        <v>2</v>
      </c>
      <c r="AV248" s="17" t="n">
        <f aca="false">SQRT(($B248-AV$139)^2+($C248-AV$140)^2+($D248-AV$141)^2)</f>
        <v>6.09088461991299</v>
      </c>
      <c r="AW248" s="17" t="n">
        <f aca="false">SQRT(($B248-AW$139)^2+($C248-AW$140)^2+($D248-AW$141)^2)</f>
        <v>0.29031940550091</v>
      </c>
      <c r="AX248" s="17" t="n">
        <f aca="false">SQRT(($B248-AX$139)^2+($C248-AX$140)^2+($D248-AX$141)^2)</f>
        <v>2.89377224678022</v>
      </c>
      <c r="AY248" s="17" t="n">
        <f aca="false">SQRT(($B248-AY$139)^2+($C248-AY$140)^2+($D248-AY$141)^2)</f>
        <v>1.172865937452</v>
      </c>
      <c r="AZ248" s="63" t="n">
        <f aca="false">MATCH(MIN(AV248:AY248),AV248:AY248,0)</f>
        <v>2</v>
      </c>
      <c r="BB248" s="17" t="n">
        <f aca="false">SQRT(($B248-BB$139)^2+($C248-BB$140)^2+($D248-BB$141)^2)</f>
        <v>6.09088461991299</v>
      </c>
      <c r="BC248" s="17" t="n">
        <f aca="false">SQRT(($B248-BC$139)^2+($C248-BC$140)^2+($D248-BC$141)^2)</f>
        <v>0.29031940550091</v>
      </c>
      <c r="BD248" s="17" t="n">
        <f aca="false">SQRT(($B248-BD$139)^2+($C248-BD$140)^2+($D248-BD$141)^2)</f>
        <v>2.89377224678022</v>
      </c>
      <c r="BE248" s="17" t="n">
        <f aca="false">SQRT(($B248-BE$139)^2+($C248-BE$140)^2+($D248-BE$141)^2)</f>
        <v>1.172865937452</v>
      </c>
      <c r="BF248" s="63" t="n">
        <f aca="false">MATCH(MIN(BB248:BE248),BB248:BE248,0)</f>
        <v>2</v>
      </c>
      <c r="BH248" s="17" t="n">
        <f aca="false">SQRT(($B248-BH$139)^2+($C248-BH$140)^2+($D248-BH$141)^2)</f>
        <v>6.09088461991299</v>
      </c>
      <c r="BI248" s="17" t="n">
        <f aca="false">SQRT(($B248-BI$139)^2+($C248-BI$140)^2+($D248-BI$141)^2)</f>
        <v>0.29031940550091</v>
      </c>
      <c r="BJ248" s="17" t="n">
        <f aca="false">SQRT(($B248-BJ$139)^2+($C248-BJ$140)^2+($D248-BJ$141)^2)</f>
        <v>2.89377224678022</v>
      </c>
      <c r="BK248" s="17" t="n">
        <f aca="false">SQRT(($B248-BK$139)^2+($C248-BK$140)^2+($D248-BK$141)^2)</f>
        <v>1.172865937452</v>
      </c>
      <c r="BL248" s="63" t="n">
        <f aca="false">MATCH(MIN(BH248:BK248),BH248:BK248,0)</f>
        <v>2</v>
      </c>
      <c r="BN248" s="17" t="n">
        <f aca="false">SQRT(($B248-BN$139)^2+($C248-BN$140)^2+($D248-BN$141)^2)</f>
        <v>6.09088461991299</v>
      </c>
      <c r="BO248" s="17" t="n">
        <f aca="false">SQRT(($B248-BO$139)^2+($C248-BO$140)^2+($D248-BO$141)^2)</f>
        <v>0.29031940550091</v>
      </c>
      <c r="BP248" s="17" t="n">
        <f aca="false">SQRT(($B248-BP$139)^2+($C248-BP$140)^2+($D248-BP$141)^2)</f>
        <v>2.89377224678022</v>
      </c>
      <c r="BQ248" s="17" t="n">
        <f aca="false">SQRT(($B248-BQ$139)^2+($C248-BQ$140)^2+($D248-BQ$141)^2)</f>
        <v>1.172865937452</v>
      </c>
      <c r="BR248" s="63" t="n">
        <f aca="false">MATCH(MIN(BN248:BQ248),BN248:BQ248,0)</f>
        <v>2</v>
      </c>
      <c r="BT248" s="17" t="n">
        <f aca="false">SQRT(($B248-BT$139)^2+($C248-BT$140)^2+($D248-BT$141)^2)</f>
        <v>6.09088461991299</v>
      </c>
      <c r="BU248" s="17" t="n">
        <f aca="false">SQRT(($B248-BU$139)^2+($C248-BU$140)^2+($D248-BU$141)^2)</f>
        <v>0.29031940550091</v>
      </c>
      <c r="BV248" s="17" t="n">
        <f aca="false">SQRT(($B248-BV$139)^2+($C248-BV$140)^2+($D248-BV$141)^2)</f>
        <v>2.89377224678022</v>
      </c>
      <c r="BW248" s="17" t="n">
        <f aca="false">SQRT(($B248-BW$139)^2+($C248-BW$140)^2+($D248-BW$141)^2)</f>
        <v>1.172865937452</v>
      </c>
      <c r="BX248" s="63" t="n">
        <f aca="false">MATCH(MIN(BT248:BW248),BT248:BW248,0)</f>
        <v>2</v>
      </c>
      <c r="BZ248" s="17" t="n">
        <f aca="false">SQRT(($B248-BZ$139)^2+($C248-BZ$140)^2+($D248-BZ$141)^2)</f>
        <v>6.09088461991299</v>
      </c>
      <c r="CA248" s="17" t="n">
        <f aca="false">SQRT(($B248-CA$139)^2+($C248-CA$140)^2+($D248-CA$141)^2)</f>
        <v>0.29031940550091</v>
      </c>
      <c r="CB248" s="17" t="n">
        <f aca="false">SQRT(($B248-CB$139)^2+($C248-CB$140)^2+($D248-CB$141)^2)</f>
        <v>2.89377224678022</v>
      </c>
      <c r="CC248" s="17" t="n">
        <f aca="false">SQRT(($B248-CC$139)^2+($C248-CC$140)^2+($D248-CC$141)^2)</f>
        <v>1.172865937452</v>
      </c>
      <c r="CD248" s="63" t="n">
        <f aca="false">MATCH(MIN(BZ248:CC248),BZ248:CC248,0)</f>
        <v>2</v>
      </c>
      <c r="CF248" s="17" t="n">
        <f aca="false">SQRT(($B248-CF$139)^2+($C248-CF$140)^2+($D248-CF$141)^2)</f>
        <v>6.09088461991299</v>
      </c>
      <c r="CG248" s="17" t="n">
        <f aca="false">SQRT(($B248-CG$139)^2+($C248-CG$140)^2+($D248-CG$141)^2)</f>
        <v>0.29031940550091</v>
      </c>
      <c r="CH248" s="17" t="n">
        <f aca="false">SQRT(($B248-CH$139)^2+($C248-CH$140)^2+($D248-CH$141)^2)</f>
        <v>2.89377224678022</v>
      </c>
      <c r="CI248" s="17" t="n">
        <f aca="false">SQRT(($B248-CI$139)^2+($C248-CI$140)^2+($D248-CI$141)^2)</f>
        <v>1.172865937452</v>
      </c>
      <c r="CJ248" s="63" t="n">
        <f aca="false">MATCH(MIN(CF248:CI248),CF248:CI248,0)</f>
        <v>2</v>
      </c>
      <c r="CL248" s="17" t="n">
        <f aca="false">SQRT(($B248-CL$139)^2+($C248-CL$140)^2+($D248-CL$141)^2)</f>
        <v>6.09088461991299</v>
      </c>
      <c r="CM248" s="17" t="n">
        <f aca="false">SQRT(($B248-CM$139)^2+($C248-CM$140)^2+($D248-CM$141)^2)</f>
        <v>0.29031940550091</v>
      </c>
      <c r="CN248" s="17" t="n">
        <f aca="false">SQRT(($B248-CN$139)^2+($C248-CN$140)^2+($D248-CN$141)^2)</f>
        <v>2.89377224678022</v>
      </c>
      <c r="CO248" s="17" t="n">
        <f aca="false">SQRT(($B248-CO$139)^2+($C248-CO$140)^2+($D248-CO$141)^2)</f>
        <v>1.172865937452</v>
      </c>
      <c r="CP248" s="63" t="n">
        <f aca="false">MATCH(MIN(CL248:CO248),CL248:CO248,0)</f>
        <v>2</v>
      </c>
    </row>
    <row r="249" customFormat="false" ht="15" hidden="false" customHeight="false" outlineLevel="0" collapsed="false">
      <c r="A249" s="36" t="str">
        <f aca="false">KMeans_Data!A108</f>
        <v>Tharparkar</v>
      </c>
      <c r="B249" s="17" t="n">
        <f aca="false">KMeans_Data!H108</f>
        <v>-0.997451006048382</v>
      </c>
      <c r="C249" s="17" t="n">
        <f aca="false">KMeans_Data!I108</f>
        <v>-0.672650545388274</v>
      </c>
      <c r="D249" s="17" t="n">
        <f aca="false">KMeans_Data!J108</f>
        <v>-0.636557171841548</v>
      </c>
      <c r="E249" s="63" t="n">
        <f aca="false">CP249</f>
        <v>2</v>
      </c>
      <c r="F249" s="38" t="n">
        <f aca="false">($B249-INDEX($L$139:$O$139,E249))^2+($C249-INDEX($L$140:$O$140,E249))^2+($D249-INDEX($L$141:$O$141,E249))^2</f>
        <v>0.270395629849798</v>
      </c>
      <c r="G249" s="17" t="n">
        <f aca="false">IF(COUNTIF(Distance_Matrix!$E$10:$DQ$10,$E249)&lt;=1,0,SUMIF(Distance_Matrix!$E$10:$DQ$10,$E249,Distance_Matrix!$E$117:$DQ$117)/(COUNTIF(Distance_Matrix!$E$10:$DQ$10,$E249)-1))</f>
        <v>0.670332017874618</v>
      </c>
      <c r="H249" s="17" t="n">
        <f aca="false">MIN(IF(1=$E249,1E+099,IF(COUNTIF(Distance_Matrix!$E$10:$DQ$10,1)=0,1E+099,SUMIF(Distance_Matrix!$E$10:$DQ$10,1,Distance_Matrix!$E$117:$DQ$117)/COUNTIF(Distance_Matrix!$E$10:$DQ$10,1))),IF(2=$E249,1E+099,IF(COUNTIF(Distance_Matrix!$E$10:$DQ$10,2)=0,1E+099,SUMIF(Distance_Matrix!$E$10:$DQ$10,2,Distance_Matrix!$E$117:$DQ$117)/COUNTIF(Distance_Matrix!$E$10:$DQ$10,2))),IF(3=$E249,1E+099,IF(COUNTIF(Distance_Matrix!$E$10:$DQ$10,3)=0,1E+099,SUMIF(Distance_Matrix!$E$10:$DQ$10,3,Distance_Matrix!$E$117:$DQ$117)/COUNTIF(Distance_Matrix!$E$10:$DQ$10,3))),IF(4=$E249,1E+099,IF(COUNTIF(Distance_Matrix!$E$10:$DQ$10,4)=0,1E+099,SUMIF(Distance_Matrix!$E$10:$DQ$10,4,Distance_Matrix!$E$117:$DQ$117)/COUNTIF(Distance_Matrix!$E$10:$DQ$10,4))))</f>
        <v>1.12375039360272</v>
      </c>
      <c r="I249" s="17" t="n">
        <f aca="false">IF(COUNTIF(Distance_Matrix!$E$10:$DQ$10,$E249)&lt;=1,0,(H249-G249)/MAX(G249,H249))</f>
        <v>0.403486733628144</v>
      </c>
      <c r="X249" s="17" t="n">
        <f aca="false">SQRT(($B249-X$139)^2+($C249-X$140)^2+($D249-X$141)^2)</f>
        <v>7.45470370665017</v>
      </c>
      <c r="Y249" s="17" t="n">
        <f aca="false">SQRT(($B249-Y$139)^2+($C249-Y$140)^2+($D249-Y$141)^2)</f>
        <v>1.19604122627148</v>
      </c>
      <c r="Z249" s="17" t="n">
        <f aca="false">SQRT(($B249-Z$139)^2+($C249-Z$140)^2+($D249-Z$141)^2)</f>
        <v>3.11206598507103</v>
      </c>
      <c r="AA249" s="17" t="n">
        <f aca="false">SQRT(($B249-AA$139)^2+($C249-AA$140)^2+($D249-AA$141)^2)</f>
        <v>1.7987085468487</v>
      </c>
      <c r="AB249" s="63" t="n">
        <f aca="false">MATCH(MIN(X249:AA249),X249:AA249,0)</f>
        <v>2</v>
      </c>
      <c r="AD249" s="17" t="n">
        <f aca="false">SQRT(($B249-AD$139)^2+($C249-AD$140)^2+($D249-AD$141)^2)</f>
        <v>6.46198118904079</v>
      </c>
      <c r="AE249" s="17" t="n">
        <f aca="false">SQRT(($B249-AE$139)^2+($C249-AE$140)^2+($D249-AE$141)^2)</f>
        <v>0.385839528174651</v>
      </c>
      <c r="AF249" s="17" t="n">
        <f aca="false">SQRT(($B249-AF$139)^2+($C249-AF$140)^2+($D249-AF$141)^2)</f>
        <v>2.53701489598341</v>
      </c>
      <c r="AG249" s="17" t="n">
        <f aca="false">SQRT(($B249-AG$139)^2+($C249-AG$140)^2+($D249-AG$141)^2)</f>
        <v>0.960880717810383</v>
      </c>
      <c r="AH249" s="63" t="n">
        <f aca="false">MATCH(MIN(AD249:AG249),AD249:AG249,0)</f>
        <v>2</v>
      </c>
      <c r="AJ249" s="17" t="n">
        <f aca="false">SQRT(($B249-AJ$139)^2+($C249-AJ$140)^2+($D249-AJ$141)^2)</f>
        <v>6.12391223722631</v>
      </c>
      <c r="AK249" s="17" t="n">
        <f aca="false">SQRT(($B249-AK$139)^2+($C249-AK$140)^2+($D249-AK$141)^2)</f>
        <v>0.421103356516047</v>
      </c>
      <c r="AL249" s="17" t="n">
        <f aca="false">SQRT(($B249-AL$139)^2+($C249-AL$140)^2+($D249-AL$141)^2)</f>
        <v>2.61031424979138</v>
      </c>
      <c r="AM249" s="17" t="n">
        <f aca="false">SQRT(($B249-AM$139)^2+($C249-AM$140)^2+($D249-AM$141)^2)</f>
        <v>0.966321899797117</v>
      </c>
      <c r="AN249" s="63" t="n">
        <f aca="false">MATCH(MIN(AJ249:AM249),AJ249:AM249,0)</f>
        <v>2</v>
      </c>
      <c r="AP249" s="17" t="n">
        <f aca="false">SQRT(($B249-AP$139)^2+($C249-AP$140)^2+($D249-AP$141)^2)</f>
        <v>5.82846763751503</v>
      </c>
      <c r="AQ249" s="17" t="n">
        <f aca="false">SQRT(($B249-AQ$139)^2+($C249-AQ$140)^2+($D249-AQ$141)^2)</f>
        <v>0.519995797915519</v>
      </c>
      <c r="AR249" s="17" t="n">
        <f aca="false">SQRT(($B249-AR$139)^2+($C249-AR$140)^2+($D249-AR$141)^2)</f>
        <v>2.56557457075015</v>
      </c>
      <c r="AS249" s="17" t="n">
        <f aca="false">SQRT(($B249-AS$139)^2+($C249-AS$140)^2+($D249-AS$141)^2)</f>
        <v>0.922069507897015</v>
      </c>
      <c r="AT249" s="63" t="n">
        <f aca="false">MATCH(MIN(AP249:AS249),AP249:AS249,0)</f>
        <v>2</v>
      </c>
      <c r="AV249" s="17" t="n">
        <f aca="false">SQRT(($B249-AV$139)^2+($C249-AV$140)^2+($D249-AV$141)^2)</f>
        <v>5.82846763751503</v>
      </c>
      <c r="AW249" s="17" t="n">
        <f aca="false">SQRT(($B249-AW$139)^2+($C249-AW$140)^2+($D249-AW$141)^2)</f>
        <v>0.519995797915519</v>
      </c>
      <c r="AX249" s="17" t="n">
        <f aca="false">SQRT(($B249-AX$139)^2+($C249-AX$140)^2+($D249-AX$141)^2)</f>
        <v>2.56557457075015</v>
      </c>
      <c r="AY249" s="17" t="n">
        <f aca="false">SQRT(($B249-AY$139)^2+($C249-AY$140)^2+($D249-AY$141)^2)</f>
        <v>0.922069507897015</v>
      </c>
      <c r="AZ249" s="63" t="n">
        <f aca="false">MATCH(MIN(AV249:AY249),AV249:AY249,0)</f>
        <v>2</v>
      </c>
      <c r="BB249" s="17" t="n">
        <f aca="false">SQRT(($B249-BB$139)^2+($C249-BB$140)^2+($D249-BB$141)^2)</f>
        <v>5.82846763751503</v>
      </c>
      <c r="BC249" s="17" t="n">
        <f aca="false">SQRT(($B249-BC$139)^2+($C249-BC$140)^2+($D249-BC$141)^2)</f>
        <v>0.519995797915519</v>
      </c>
      <c r="BD249" s="17" t="n">
        <f aca="false">SQRT(($B249-BD$139)^2+($C249-BD$140)^2+($D249-BD$141)^2)</f>
        <v>2.56557457075015</v>
      </c>
      <c r="BE249" s="17" t="n">
        <f aca="false">SQRT(($B249-BE$139)^2+($C249-BE$140)^2+($D249-BE$141)^2)</f>
        <v>0.922069507897015</v>
      </c>
      <c r="BF249" s="63" t="n">
        <f aca="false">MATCH(MIN(BB249:BE249),BB249:BE249,0)</f>
        <v>2</v>
      </c>
      <c r="BH249" s="17" t="n">
        <f aca="false">SQRT(($B249-BH$139)^2+($C249-BH$140)^2+($D249-BH$141)^2)</f>
        <v>5.82846763751503</v>
      </c>
      <c r="BI249" s="17" t="n">
        <f aca="false">SQRT(($B249-BI$139)^2+($C249-BI$140)^2+($D249-BI$141)^2)</f>
        <v>0.519995797915519</v>
      </c>
      <c r="BJ249" s="17" t="n">
        <f aca="false">SQRT(($B249-BJ$139)^2+($C249-BJ$140)^2+($D249-BJ$141)^2)</f>
        <v>2.56557457075015</v>
      </c>
      <c r="BK249" s="17" t="n">
        <f aca="false">SQRT(($B249-BK$139)^2+($C249-BK$140)^2+($D249-BK$141)^2)</f>
        <v>0.922069507897015</v>
      </c>
      <c r="BL249" s="63" t="n">
        <f aca="false">MATCH(MIN(BH249:BK249),BH249:BK249,0)</f>
        <v>2</v>
      </c>
      <c r="BN249" s="17" t="n">
        <f aca="false">SQRT(($B249-BN$139)^2+($C249-BN$140)^2+($D249-BN$141)^2)</f>
        <v>5.82846763751503</v>
      </c>
      <c r="BO249" s="17" t="n">
        <f aca="false">SQRT(($B249-BO$139)^2+($C249-BO$140)^2+($D249-BO$141)^2)</f>
        <v>0.519995797915519</v>
      </c>
      <c r="BP249" s="17" t="n">
        <f aca="false">SQRT(($B249-BP$139)^2+($C249-BP$140)^2+($D249-BP$141)^2)</f>
        <v>2.56557457075015</v>
      </c>
      <c r="BQ249" s="17" t="n">
        <f aca="false">SQRT(($B249-BQ$139)^2+($C249-BQ$140)^2+($D249-BQ$141)^2)</f>
        <v>0.922069507897015</v>
      </c>
      <c r="BR249" s="63" t="n">
        <f aca="false">MATCH(MIN(BN249:BQ249),BN249:BQ249,0)</f>
        <v>2</v>
      </c>
      <c r="BT249" s="17" t="n">
        <f aca="false">SQRT(($B249-BT$139)^2+($C249-BT$140)^2+($D249-BT$141)^2)</f>
        <v>5.82846763751503</v>
      </c>
      <c r="BU249" s="17" t="n">
        <f aca="false">SQRT(($B249-BU$139)^2+($C249-BU$140)^2+($D249-BU$141)^2)</f>
        <v>0.519995797915519</v>
      </c>
      <c r="BV249" s="17" t="n">
        <f aca="false">SQRT(($B249-BV$139)^2+($C249-BV$140)^2+($D249-BV$141)^2)</f>
        <v>2.56557457075015</v>
      </c>
      <c r="BW249" s="17" t="n">
        <f aca="false">SQRT(($B249-BW$139)^2+($C249-BW$140)^2+($D249-BW$141)^2)</f>
        <v>0.922069507897015</v>
      </c>
      <c r="BX249" s="63" t="n">
        <f aca="false">MATCH(MIN(BT249:BW249),BT249:BW249,0)</f>
        <v>2</v>
      </c>
      <c r="BZ249" s="17" t="n">
        <f aca="false">SQRT(($B249-BZ$139)^2+($C249-BZ$140)^2+($D249-BZ$141)^2)</f>
        <v>5.82846763751503</v>
      </c>
      <c r="CA249" s="17" t="n">
        <f aca="false">SQRT(($B249-CA$139)^2+($C249-CA$140)^2+($D249-CA$141)^2)</f>
        <v>0.519995797915519</v>
      </c>
      <c r="CB249" s="17" t="n">
        <f aca="false">SQRT(($B249-CB$139)^2+($C249-CB$140)^2+($D249-CB$141)^2)</f>
        <v>2.56557457075015</v>
      </c>
      <c r="CC249" s="17" t="n">
        <f aca="false">SQRT(($B249-CC$139)^2+($C249-CC$140)^2+($D249-CC$141)^2)</f>
        <v>0.922069507897015</v>
      </c>
      <c r="CD249" s="63" t="n">
        <f aca="false">MATCH(MIN(BZ249:CC249),BZ249:CC249,0)</f>
        <v>2</v>
      </c>
      <c r="CF249" s="17" t="n">
        <f aca="false">SQRT(($B249-CF$139)^2+($C249-CF$140)^2+($D249-CF$141)^2)</f>
        <v>5.82846763751503</v>
      </c>
      <c r="CG249" s="17" t="n">
        <f aca="false">SQRT(($B249-CG$139)^2+($C249-CG$140)^2+($D249-CG$141)^2)</f>
        <v>0.519995797915519</v>
      </c>
      <c r="CH249" s="17" t="n">
        <f aca="false">SQRT(($B249-CH$139)^2+($C249-CH$140)^2+($D249-CH$141)^2)</f>
        <v>2.56557457075015</v>
      </c>
      <c r="CI249" s="17" t="n">
        <f aca="false">SQRT(($B249-CI$139)^2+($C249-CI$140)^2+($D249-CI$141)^2)</f>
        <v>0.922069507897015</v>
      </c>
      <c r="CJ249" s="63" t="n">
        <f aca="false">MATCH(MIN(CF249:CI249),CF249:CI249,0)</f>
        <v>2</v>
      </c>
      <c r="CL249" s="17" t="n">
        <f aca="false">SQRT(($B249-CL$139)^2+($C249-CL$140)^2+($D249-CL$141)^2)</f>
        <v>5.82846763751503</v>
      </c>
      <c r="CM249" s="17" t="n">
        <f aca="false">SQRT(($B249-CM$139)^2+($C249-CM$140)^2+($D249-CM$141)^2)</f>
        <v>0.519995797915519</v>
      </c>
      <c r="CN249" s="17" t="n">
        <f aca="false">SQRT(($B249-CN$139)^2+($C249-CN$140)^2+($D249-CN$141)^2)</f>
        <v>2.56557457075015</v>
      </c>
      <c r="CO249" s="17" t="n">
        <f aca="false">SQRT(($B249-CO$139)^2+($C249-CO$140)^2+($D249-CO$141)^2)</f>
        <v>0.922069507897015</v>
      </c>
      <c r="CP249" s="63" t="n">
        <f aca="false">MATCH(MIN(CL249:CO249),CL249:CO249,0)</f>
        <v>2</v>
      </c>
    </row>
    <row r="250" customFormat="false" ht="15" hidden="false" customHeight="false" outlineLevel="0" collapsed="false">
      <c r="A250" s="36" t="str">
        <f aca="false">KMeans_Data!A109</f>
        <v>Chakwal</v>
      </c>
      <c r="B250" s="17" t="n">
        <f aca="false">KMeans_Data!H109</f>
        <v>-1.14718089935485</v>
      </c>
      <c r="C250" s="17" t="n">
        <f aca="false">KMeans_Data!I109</f>
        <v>-0.672650545388274</v>
      </c>
      <c r="D250" s="17" t="n">
        <f aca="false">KMeans_Data!J109</f>
        <v>-0.824446015898766</v>
      </c>
      <c r="E250" s="63" t="n">
        <f aca="false">CP250</f>
        <v>2</v>
      </c>
      <c r="F250" s="38" t="n">
        <f aca="false">($B250-INDEX($L$139:$O$139,E250))^2+($C250-INDEX($L$140:$O$140,E250))^2+($D250-INDEX($L$141:$O$141,E250))^2</f>
        <v>0.0797713276270151</v>
      </c>
      <c r="G250" s="17" t="n">
        <f aca="false">IF(COUNTIF(Distance_Matrix!$E$10:$DQ$10,$E250)&lt;=1,0,SUMIF(Distance_Matrix!$E$10:$DQ$10,$E250,Distance_Matrix!$E$118:$DQ$118)/(COUNTIF(Distance_Matrix!$E$10:$DQ$10,$E250)-1))</f>
        <v>0.527561152466431</v>
      </c>
      <c r="H250" s="17" t="n">
        <f aca="false">MIN(IF(1=$E250,1E+099,IF(COUNTIF(Distance_Matrix!$E$10:$DQ$10,1)=0,1E+099,SUMIF(Distance_Matrix!$E$10:$DQ$10,1,Distance_Matrix!$E$118:$DQ$118)/COUNTIF(Distance_Matrix!$E$10:$DQ$10,1))),IF(2=$E250,1E+099,IF(COUNTIF(Distance_Matrix!$E$10:$DQ$10,2)=0,1E+099,SUMIF(Distance_Matrix!$E$10:$DQ$10,2,Distance_Matrix!$E$118:$DQ$118)/COUNTIF(Distance_Matrix!$E$10:$DQ$10,2))),IF(3=$E250,1E+099,IF(COUNTIF(Distance_Matrix!$E$10:$DQ$10,3)=0,1E+099,SUMIF(Distance_Matrix!$E$10:$DQ$10,3,Distance_Matrix!$E$118:$DQ$118)/COUNTIF(Distance_Matrix!$E$10:$DQ$10,3))),IF(4=$E250,1E+099,IF(COUNTIF(Distance_Matrix!$E$10:$DQ$10,4)=0,1E+099,SUMIF(Distance_Matrix!$E$10:$DQ$10,4,Distance_Matrix!$E$118:$DQ$118)/COUNTIF(Distance_Matrix!$E$10:$DQ$10,4))))</f>
        <v>1.29621705105506</v>
      </c>
      <c r="I250" s="17" t="n">
        <f aca="false">IF(COUNTIF(Distance_Matrix!$E$10:$DQ$10,$E250)&lt;=1,0,(H250-G250)/MAX(G250,H250))</f>
        <v>0.592999373031685</v>
      </c>
      <c r="X250" s="17" t="n">
        <f aca="false">SQRT(($B250-X$139)^2+($C250-X$140)^2+($D250-X$141)^2)</f>
        <v>7.64009488075629</v>
      </c>
      <c r="Y250" s="17" t="n">
        <f aca="false">SQRT(($B250-Y$139)^2+($C250-Y$140)^2+($D250-Y$141)^2)</f>
        <v>0.986321920950627</v>
      </c>
      <c r="Z250" s="17" t="n">
        <f aca="false">SQRT(($B250-Z$139)^2+($C250-Z$140)^2+($D250-Z$141)^2)</f>
        <v>3.33822742432139</v>
      </c>
      <c r="AA250" s="17" t="n">
        <f aca="false">SQRT(($B250-AA$139)^2+($C250-AA$140)^2+($D250-AA$141)^2)</f>
        <v>1.89573726078257</v>
      </c>
      <c r="AB250" s="63" t="n">
        <f aca="false">MATCH(MIN(X250:AA250),X250:AA250,0)</f>
        <v>2</v>
      </c>
      <c r="AD250" s="17" t="n">
        <f aca="false">SQRT(($B250-AD$139)^2+($C250-AD$140)^2+($D250-AD$141)^2)</f>
        <v>6.64290575873722</v>
      </c>
      <c r="AE250" s="17" t="n">
        <f aca="false">SQRT(($B250-AE$139)^2+($C250-AE$140)^2+($D250-AE$141)^2)</f>
        <v>0.146379463800684</v>
      </c>
      <c r="AF250" s="17" t="n">
        <f aca="false">SQRT(($B250-AF$139)^2+($C250-AF$140)^2+($D250-AF$141)^2)</f>
        <v>2.74674466043904</v>
      </c>
      <c r="AG250" s="17" t="n">
        <f aca="false">SQRT(($B250-AG$139)^2+($C250-AG$140)^2+($D250-AG$141)^2)</f>
        <v>1.14329852575208</v>
      </c>
      <c r="AH250" s="63" t="n">
        <f aca="false">MATCH(MIN(AD250:AG250),AD250:AG250,0)</f>
        <v>2</v>
      </c>
      <c r="AJ250" s="17" t="n">
        <f aca="false">SQRT(($B250-AJ$139)^2+($C250-AJ$140)^2+($D250-AJ$141)^2)</f>
        <v>6.30680249750652</v>
      </c>
      <c r="AK250" s="17" t="n">
        <f aca="false">SQRT(($B250-AK$139)^2+($C250-AK$140)^2+($D250-AK$141)^2)</f>
        <v>0.183208080225369</v>
      </c>
      <c r="AL250" s="17" t="n">
        <f aca="false">SQRT(($B250-AL$139)^2+($C250-AL$140)^2+($D250-AL$141)^2)</f>
        <v>2.81732090789995</v>
      </c>
      <c r="AM250" s="17" t="n">
        <f aca="false">SQRT(($B250-AM$139)^2+($C250-AM$140)^2+($D250-AM$141)^2)</f>
        <v>1.16660463353457</v>
      </c>
      <c r="AN250" s="63" t="n">
        <f aca="false">MATCH(MIN(AJ250:AM250),AJ250:AM250,0)</f>
        <v>2</v>
      </c>
      <c r="AP250" s="17" t="n">
        <f aca="false">SQRT(($B250-AP$139)^2+($C250-AP$140)^2+($D250-AP$141)^2)</f>
        <v>6.01080755611369</v>
      </c>
      <c r="AQ250" s="17" t="n">
        <f aca="false">SQRT(($B250-AQ$139)^2+($C250-AQ$140)^2+($D250-AQ$141)^2)</f>
        <v>0.282438183727015</v>
      </c>
      <c r="AR250" s="17" t="n">
        <f aca="false">SQRT(($B250-AR$139)^2+($C250-AR$140)^2+($D250-AR$141)^2)</f>
        <v>2.77367059118629</v>
      </c>
      <c r="AS250" s="17" t="n">
        <f aca="false">SQRT(($B250-AS$139)^2+($C250-AS$140)^2+($D250-AS$141)^2)</f>
        <v>1.12532362015632</v>
      </c>
      <c r="AT250" s="63" t="n">
        <f aca="false">MATCH(MIN(AP250:AS250),AP250:AS250,0)</f>
        <v>2</v>
      </c>
      <c r="AV250" s="17" t="n">
        <f aca="false">SQRT(($B250-AV$139)^2+($C250-AV$140)^2+($D250-AV$141)^2)</f>
        <v>6.01080755611369</v>
      </c>
      <c r="AW250" s="17" t="n">
        <f aca="false">SQRT(($B250-AW$139)^2+($C250-AW$140)^2+($D250-AW$141)^2)</f>
        <v>0.282438183727015</v>
      </c>
      <c r="AX250" s="17" t="n">
        <f aca="false">SQRT(($B250-AX$139)^2+($C250-AX$140)^2+($D250-AX$141)^2)</f>
        <v>2.77367059118629</v>
      </c>
      <c r="AY250" s="17" t="n">
        <f aca="false">SQRT(($B250-AY$139)^2+($C250-AY$140)^2+($D250-AY$141)^2)</f>
        <v>1.12532362015632</v>
      </c>
      <c r="AZ250" s="63" t="n">
        <f aca="false">MATCH(MIN(AV250:AY250),AV250:AY250,0)</f>
        <v>2</v>
      </c>
      <c r="BB250" s="17" t="n">
        <f aca="false">SQRT(($B250-BB$139)^2+($C250-BB$140)^2+($D250-BB$141)^2)</f>
        <v>6.01080755611369</v>
      </c>
      <c r="BC250" s="17" t="n">
        <f aca="false">SQRT(($B250-BC$139)^2+($C250-BC$140)^2+($D250-BC$141)^2)</f>
        <v>0.282438183727015</v>
      </c>
      <c r="BD250" s="17" t="n">
        <f aca="false">SQRT(($B250-BD$139)^2+($C250-BD$140)^2+($D250-BD$141)^2)</f>
        <v>2.77367059118629</v>
      </c>
      <c r="BE250" s="17" t="n">
        <f aca="false">SQRT(($B250-BE$139)^2+($C250-BE$140)^2+($D250-BE$141)^2)</f>
        <v>1.12532362015632</v>
      </c>
      <c r="BF250" s="63" t="n">
        <f aca="false">MATCH(MIN(BB250:BE250),BB250:BE250,0)</f>
        <v>2</v>
      </c>
      <c r="BH250" s="17" t="n">
        <f aca="false">SQRT(($B250-BH$139)^2+($C250-BH$140)^2+($D250-BH$141)^2)</f>
        <v>6.01080755611369</v>
      </c>
      <c r="BI250" s="17" t="n">
        <f aca="false">SQRT(($B250-BI$139)^2+($C250-BI$140)^2+($D250-BI$141)^2)</f>
        <v>0.282438183727015</v>
      </c>
      <c r="BJ250" s="17" t="n">
        <f aca="false">SQRT(($B250-BJ$139)^2+($C250-BJ$140)^2+($D250-BJ$141)^2)</f>
        <v>2.77367059118629</v>
      </c>
      <c r="BK250" s="17" t="n">
        <f aca="false">SQRT(($B250-BK$139)^2+($C250-BK$140)^2+($D250-BK$141)^2)</f>
        <v>1.12532362015632</v>
      </c>
      <c r="BL250" s="63" t="n">
        <f aca="false">MATCH(MIN(BH250:BK250),BH250:BK250,0)</f>
        <v>2</v>
      </c>
      <c r="BN250" s="17" t="n">
        <f aca="false">SQRT(($B250-BN$139)^2+($C250-BN$140)^2+($D250-BN$141)^2)</f>
        <v>6.01080755611369</v>
      </c>
      <c r="BO250" s="17" t="n">
        <f aca="false">SQRT(($B250-BO$139)^2+($C250-BO$140)^2+($D250-BO$141)^2)</f>
        <v>0.282438183727015</v>
      </c>
      <c r="BP250" s="17" t="n">
        <f aca="false">SQRT(($B250-BP$139)^2+($C250-BP$140)^2+($D250-BP$141)^2)</f>
        <v>2.77367059118629</v>
      </c>
      <c r="BQ250" s="17" t="n">
        <f aca="false">SQRT(($B250-BQ$139)^2+($C250-BQ$140)^2+($D250-BQ$141)^2)</f>
        <v>1.12532362015632</v>
      </c>
      <c r="BR250" s="63" t="n">
        <f aca="false">MATCH(MIN(BN250:BQ250),BN250:BQ250,0)</f>
        <v>2</v>
      </c>
      <c r="BT250" s="17" t="n">
        <f aca="false">SQRT(($B250-BT$139)^2+($C250-BT$140)^2+($D250-BT$141)^2)</f>
        <v>6.01080755611369</v>
      </c>
      <c r="BU250" s="17" t="n">
        <f aca="false">SQRT(($B250-BU$139)^2+($C250-BU$140)^2+($D250-BU$141)^2)</f>
        <v>0.282438183727015</v>
      </c>
      <c r="BV250" s="17" t="n">
        <f aca="false">SQRT(($B250-BV$139)^2+($C250-BV$140)^2+($D250-BV$141)^2)</f>
        <v>2.77367059118629</v>
      </c>
      <c r="BW250" s="17" t="n">
        <f aca="false">SQRT(($B250-BW$139)^2+($C250-BW$140)^2+($D250-BW$141)^2)</f>
        <v>1.12532362015632</v>
      </c>
      <c r="BX250" s="63" t="n">
        <f aca="false">MATCH(MIN(BT250:BW250),BT250:BW250,0)</f>
        <v>2</v>
      </c>
      <c r="BZ250" s="17" t="n">
        <f aca="false">SQRT(($B250-BZ$139)^2+($C250-BZ$140)^2+($D250-BZ$141)^2)</f>
        <v>6.01080755611369</v>
      </c>
      <c r="CA250" s="17" t="n">
        <f aca="false">SQRT(($B250-CA$139)^2+($C250-CA$140)^2+($D250-CA$141)^2)</f>
        <v>0.282438183727015</v>
      </c>
      <c r="CB250" s="17" t="n">
        <f aca="false">SQRT(($B250-CB$139)^2+($C250-CB$140)^2+($D250-CB$141)^2)</f>
        <v>2.77367059118629</v>
      </c>
      <c r="CC250" s="17" t="n">
        <f aca="false">SQRT(($B250-CC$139)^2+($C250-CC$140)^2+($D250-CC$141)^2)</f>
        <v>1.12532362015632</v>
      </c>
      <c r="CD250" s="63" t="n">
        <f aca="false">MATCH(MIN(BZ250:CC250),BZ250:CC250,0)</f>
        <v>2</v>
      </c>
      <c r="CF250" s="17" t="n">
        <f aca="false">SQRT(($B250-CF$139)^2+($C250-CF$140)^2+($D250-CF$141)^2)</f>
        <v>6.01080755611369</v>
      </c>
      <c r="CG250" s="17" t="n">
        <f aca="false">SQRT(($B250-CG$139)^2+($C250-CG$140)^2+($D250-CG$141)^2)</f>
        <v>0.282438183727015</v>
      </c>
      <c r="CH250" s="17" t="n">
        <f aca="false">SQRT(($B250-CH$139)^2+($C250-CH$140)^2+($D250-CH$141)^2)</f>
        <v>2.77367059118629</v>
      </c>
      <c r="CI250" s="17" t="n">
        <f aca="false">SQRT(($B250-CI$139)^2+($C250-CI$140)^2+($D250-CI$141)^2)</f>
        <v>1.12532362015632</v>
      </c>
      <c r="CJ250" s="63" t="n">
        <f aca="false">MATCH(MIN(CF250:CI250),CF250:CI250,0)</f>
        <v>2</v>
      </c>
      <c r="CL250" s="17" t="n">
        <f aca="false">SQRT(($B250-CL$139)^2+($C250-CL$140)^2+($D250-CL$141)^2)</f>
        <v>6.01080755611369</v>
      </c>
      <c r="CM250" s="17" t="n">
        <f aca="false">SQRT(($B250-CM$139)^2+($C250-CM$140)^2+($D250-CM$141)^2)</f>
        <v>0.282438183727015</v>
      </c>
      <c r="CN250" s="17" t="n">
        <f aca="false">SQRT(($B250-CN$139)^2+($C250-CN$140)^2+($D250-CN$141)^2)</f>
        <v>2.77367059118629</v>
      </c>
      <c r="CO250" s="17" t="n">
        <f aca="false">SQRT(($B250-CO$139)^2+($C250-CO$140)^2+($D250-CO$141)^2)</f>
        <v>1.12532362015632</v>
      </c>
      <c r="CP250" s="63" t="n">
        <f aca="false">MATCH(MIN(CL250:CO250),CL250:CO250,0)</f>
        <v>2</v>
      </c>
    </row>
    <row r="251" customFormat="false" ht="15" hidden="false" customHeight="false" outlineLevel="0" collapsed="false">
      <c r="A251" s="36" t="str">
        <f aca="false">KMeans_Data!A110</f>
        <v>Pishin</v>
      </c>
      <c r="B251" s="17" t="n">
        <f aca="false">KMeans_Data!H110</f>
        <v>-1.35821333130003</v>
      </c>
      <c r="C251" s="17" t="n">
        <f aca="false">KMeans_Data!I110</f>
        <v>-0.672650545388274</v>
      </c>
      <c r="D251" s="17" t="n">
        <f aca="false">KMeans_Data!J110</f>
        <v>-1.14564411633355</v>
      </c>
      <c r="E251" s="63" t="n">
        <f aca="false">CP251</f>
        <v>2</v>
      </c>
      <c r="F251" s="38" t="n">
        <f aca="false">($B251-INDEX($L$139:$O$139,E251))^2+($C251-INDEX($L$140:$O$140,E251))^2+($D251-INDEX($L$141:$O$141,E251))^2</f>
        <v>0.0120289110686359</v>
      </c>
      <c r="G251" s="17" t="n">
        <f aca="false">IF(COUNTIF(Distance_Matrix!$E$10:$DQ$10,$E251)&lt;=1,0,SUMIF(Distance_Matrix!$E$10:$DQ$10,$E251,Distance_Matrix!$E$119:$DQ$119)/(COUNTIF(Distance_Matrix!$E$10:$DQ$10,$E251)-1))</f>
        <v>0.449279214888449</v>
      </c>
      <c r="H251" s="17" t="n">
        <f aca="false">MIN(IF(1=$E251,1E+099,IF(COUNTIF(Distance_Matrix!$E$10:$DQ$10,1)=0,1E+099,SUMIF(Distance_Matrix!$E$10:$DQ$10,1,Distance_Matrix!$E$119:$DQ$119)/COUNTIF(Distance_Matrix!$E$10:$DQ$10,1))),IF(2=$E251,1E+099,IF(COUNTIF(Distance_Matrix!$E$10:$DQ$10,2)=0,1E+099,SUMIF(Distance_Matrix!$E$10:$DQ$10,2,Distance_Matrix!$E$119:$DQ$119)/COUNTIF(Distance_Matrix!$E$10:$DQ$10,2))),IF(3=$E251,1E+099,IF(COUNTIF(Distance_Matrix!$E$10:$DQ$10,3)=0,1E+099,SUMIF(Distance_Matrix!$E$10:$DQ$10,3,Distance_Matrix!$E$119:$DQ$119)/COUNTIF(Distance_Matrix!$E$10:$DQ$10,3))),IF(4=$E251,1E+099,IF(COUNTIF(Distance_Matrix!$E$10:$DQ$10,4)=0,1E+099,SUMIF(Distance_Matrix!$E$10:$DQ$10,4,Distance_Matrix!$E$119:$DQ$119)/COUNTIF(Distance_Matrix!$E$10:$DQ$10,4))))</f>
        <v>1.595014869857</v>
      </c>
      <c r="I251" s="17" t="n">
        <f aca="false">IF(COUNTIF(Distance_Matrix!$E$10:$DQ$10,$E251)&lt;=1,0,(H251-G251)/MAX(G251,H251))</f>
        <v>0.718322867467231</v>
      </c>
      <c r="X251" s="17" t="n">
        <f aca="false">SQRT(($B251-X$139)^2+($C251-X$140)^2+($D251-X$141)^2)</f>
        <v>7.93750965384981</v>
      </c>
      <c r="Y251" s="17" t="n">
        <f aca="false">SQRT(($B251-Y$139)^2+($C251-Y$140)^2+($D251-Y$141)^2)</f>
        <v>0.721524650503296</v>
      </c>
      <c r="Z251" s="17" t="n">
        <f aca="false">SQRT(($B251-Z$139)^2+($C251-Z$140)^2+($D251-Z$141)^2)</f>
        <v>3.6996860383442</v>
      </c>
      <c r="AA251" s="17" t="n">
        <f aca="false">SQRT(($B251-AA$139)^2+($C251-AA$140)^2+($D251-AA$141)^2)</f>
        <v>2.07168696749508</v>
      </c>
      <c r="AB251" s="63" t="n">
        <f aca="false">MATCH(MIN(X251:AA251),X251:AA251,0)</f>
        <v>2</v>
      </c>
      <c r="AD251" s="17" t="n">
        <f aca="false">SQRT(($B251-AD$139)^2+($C251-AD$140)^2+($D251-AD$141)^2)</f>
        <v>6.93342174034202</v>
      </c>
      <c r="AE251" s="17" t="n">
        <f aca="false">SQRT(($B251-AE$139)^2+($C251-AE$140)^2+($D251-AE$141)^2)</f>
        <v>0.241594754372566</v>
      </c>
      <c r="AF251" s="17" t="n">
        <f aca="false">SQRT(($B251-AF$139)^2+($C251-AF$140)^2+($D251-AF$141)^2)</f>
        <v>3.08669750537486</v>
      </c>
      <c r="AG251" s="17" t="n">
        <f aca="false">SQRT(($B251-AG$139)^2+($C251-AG$140)^2+($D251-AG$141)^2)</f>
        <v>1.45333793577396</v>
      </c>
      <c r="AH251" s="63" t="n">
        <f aca="false">MATCH(MIN(AD251:AG251),AD251:AG251,0)</f>
        <v>2</v>
      </c>
      <c r="AJ251" s="17" t="n">
        <f aca="false">SQRT(($B251-AJ$139)^2+($C251-AJ$140)^2+($D251-AJ$141)^2)</f>
        <v>6.60034921522231</v>
      </c>
      <c r="AK251" s="17" t="n">
        <f aca="false">SQRT(($B251-AK$139)^2+($C251-AK$140)^2+($D251-AK$141)^2)</f>
        <v>0.204514001427447</v>
      </c>
      <c r="AL251" s="17" t="n">
        <f aca="false">SQRT(($B251-AL$139)^2+($C251-AL$140)^2+($D251-AL$141)^2)</f>
        <v>3.15318103016665</v>
      </c>
      <c r="AM251" s="17" t="n">
        <f aca="false">SQRT(($B251-AM$139)^2+($C251-AM$140)^2+($D251-AM$141)^2)</f>
        <v>1.49728572798786</v>
      </c>
      <c r="AN251" s="63" t="n">
        <f aca="false">MATCH(MIN(AJ251:AM251),AJ251:AM251,0)</f>
        <v>2</v>
      </c>
      <c r="AP251" s="17" t="n">
        <f aca="false">SQRT(($B251-AP$139)^2+($C251-AP$140)^2+($D251-AP$141)^2)</f>
        <v>6.30399783085743</v>
      </c>
      <c r="AQ251" s="17" t="n">
        <f aca="false">SQRT(($B251-AQ$139)^2+($C251-AQ$140)^2+($D251-AQ$141)^2)</f>
        <v>0.109676392485511</v>
      </c>
      <c r="AR251" s="17" t="n">
        <f aca="false">SQRT(($B251-AR$139)^2+($C251-AR$140)^2+($D251-AR$141)^2)</f>
        <v>3.1111421503948</v>
      </c>
      <c r="AS251" s="17" t="n">
        <f aca="false">SQRT(($B251-AS$139)^2+($C251-AS$140)^2+($D251-AS$141)^2)</f>
        <v>1.46034303833392</v>
      </c>
      <c r="AT251" s="63" t="n">
        <f aca="false">MATCH(MIN(AP251:AS251),AP251:AS251,0)</f>
        <v>2</v>
      </c>
      <c r="AV251" s="17" t="n">
        <f aca="false">SQRT(($B251-AV$139)^2+($C251-AV$140)^2+($D251-AV$141)^2)</f>
        <v>6.30399783085743</v>
      </c>
      <c r="AW251" s="17" t="n">
        <f aca="false">SQRT(($B251-AW$139)^2+($C251-AW$140)^2+($D251-AW$141)^2)</f>
        <v>0.109676392485511</v>
      </c>
      <c r="AX251" s="17" t="n">
        <f aca="false">SQRT(($B251-AX$139)^2+($C251-AX$140)^2+($D251-AX$141)^2)</f>
        <v>3.1111421503948</v>
      </c>
      <c r="AY251" s="17" t="n">
        <f aca="false">SQRT(($B251-AY$139)^2+($C251-AY$140)^2+($D251-AY$141)^2)</f>
        <v>1.46034303833392</v>
      </c>
      <c r="AZ251" s="63" t="n">
        <f aca="false">MATCH(MIN(AV251:AY251),AV251:AY251,0)</f>
        <v>2</v>
      </c>
      <c r="BB251" s="17" t="n">
        <f aca="false">SQRT(($B251-BB$139)^2+($C251-BB$140)^2+($D251-BB$141)^2)</f>
        <v>6.30399783085743</v>
      </c>
      <c r="BC251" s="17" t="n">
        <f aca="false">SQRT(($B251-BC$139)^2+($C251-BC$140)^2+($D251-BC$141)^2)</f>
        <v>0.109676392485511</v>
      </c>
      <c r="BD251" s="17" t="n">
        <f aca="false">SQRT(($B251-BD$139)^2+($C251-BD$140)^2+($D251-BD$141)^2)</f>
        <v>3.1111421503948</v>
      </c>
      <c r="BE251" s="17" t="n">
        <f aca="false">SQRT(($B251-BE$139)^2+($C251-BE$140)^2+($D251-BE$141)^2)</f>
        <v>1.46034303833392</v>
      </c>
      <c r="BF251" s="63" t="n">
        <f aca="false">MATCH(MIN(BB251:BE251),BB251:BE251,0)</f>
        <v>2</v>
      </c>
      <c r="BH251" s="17" t="n">
        <f aca="false">SQRT(($B251-BH$139)^2+($C251-BH$140)^2+($D251-BH$141)^2)</f>
        <v>6.30399783085743</v>
      </c>
      <c r="BI251" s="17" t="n">
        <f aca="false">SQRT(($B251-BI$139)^2+($C251-BI$140)^2+($D251-BI$141)^2)</f>
        <v>0.109676392485511</v>
      </c>
      <c r="BJ251" s="17" t="n">
        <f aca="false">SQRT(($B251-BJ$139)^2+($C251-BJ$140)^2+($D251-BJ$141)^2)</f>
        <v>3.1111421503948</v>
      </c>
      <c r="BK251" s="17" t="n">
        <f aca="false">SQRT(($B251-BK$139)^2+($C251-BK$140)^2+($D251-BK$141)^2)</f>
        <v>1.46034303833392</v>
      </c>
      <c r="BL251" s="63" t="n">
        <f aca="false">MATCH(MIN(BH251:BK251),BH251:BK251,0)</f>
        <v>2</v>
      </c>
      <c r="BN251" s="17" t="n">
        <f aca="false">SQRT(($B251-BN$139)^2+($C251-BN$140)^2+($D251-BN$141)^2)</f>
        <v>6.30399783085743</v>
      </c>
      <c r="BO251" s="17" t="n">
        <f aca="false">SQRT(($B251-BO$139)^2+($C251-BO$140)^2+($D251-BO$141)^2)</f>
        <v>0.109676392485511</v>
      </c>
      <c r="BP251" s="17" t="n">
        <f aca="false">SQRT(($B251-BP$139)^2+($C251-BP$140)^2+($D251-BP$141)^2)</f>
        <v>3.1111421503948</v>
      </c>
      <c r="BQ251" s="17" t="n">
        <f aca="false">SQRT(($B251-BQ$139)^2+($C251-BQ$140)^2+($D251-BQ$141)^2)</f>
        <v>1.46034303833392</v>
      </c>
      <c r="BR251" s="63" t="n">
        <f aca="false">MATCH(MIN(BN251:BQ251),BN251:BQ251,0)</f>
        <v>2</v>
      </c>
      <c r="BT251" s="17" t="n">
        <f aca="false">SQRT(($B251-BT$139)^2+($C251-BT$140)^2+($D251-BT$141)^2)</f>
        <v>6.30399783085743</v>
      </c>
      <c r="BU251" s="17" t="n">
        <f aca="false">SQRT(($B251-BU$139)^2+($C251-BU$140)^2+($D251-BU$141)^2)</f>
        <v>0.109676392485511</v>
      </c>
      <c r="BV251" s="17" t="n">
        <f aca="false">SQRT(($B251-BV$139)^2+($C251-BV$140)^2+($D251-BV$141)^2)</f>
        <v>3.1111421503948</v>
      </c>
      <c r="BW251" s="17" t="n">
        <f aca="false">SQRT(($B251-BW$139)^2+($C251-BW$140)^2+($D251-BW$141)^2)</f>
        <v>1.46034303833392</v>
      </c>
      <c r="BX251" s="63" t="n">
        <f aca="false">MATCH(MIN(BT251:BW251),BT251:BW251,0)</f>
        <v>2</v>
      </c>
      <c r="BZ251" s="17" t="n">
        <f aca="false">SQRT(($B251-BZ$139)^2+($C251-BZ$140)^2+($D251-BZ$141)^2)</f>
        <v>6.30399783085743</v>
      </c>
      <c r="CA251" s="17" t="n">
        <f aca="false">SQRT(($B251-CA$139)^2+($C251-CA$140)^2+($D251-CA$141)^2)</f>
        <v>0.109676392485511</v>
      </c>
      <c r="CB251" s="17" t="n">
        <f aca="false">SQRT(($B251-CB$139)^2+($C251-CB$140)^2+($D251-CB$141)^2)</f>
        <v>3.1111421503948</v>
      </c>
      <c r="CC251" s="17" t="n">
        <f aca="false">SQRT(($B251-CC$139)^2+($C251-CC$140)^2+($D251-CC$141)^2)</f>
        <v>1.46034303833392</v>
      </c>
      <c r="CD251" s="63" t="n">
        <f aca="false">MATCH(MIN(BZ251:CC251),BZ251:CC251,0)</f>
        <v>2</v>
      </c>
      <c r="CF251" s="17" t="n">
        <f aca="false">SQRT(($B251-CF$139)^2+($C251-CF$140)^2+($D251-CF$141)^2)</f>
        <v>6.30399783085743</v>
      </c>
      <c r="CG251" s="17" t="n">
        <f aca="false">SQRT(($B251-CG$139)^2+($C251-CG$140)^2+($D251-CG$141)^2)</f>
        <v>0.109676392485511</v>
      </c>
      <c r="CH251" s="17" t="n">
        <f aca="false">SQRT(($B251-CH$139)^2+($C251-CH$140)^2+($D251-CH$141)^2)</f>
        <v>3.1111421503948</v>
      </c>
      <c r="CI251" s="17" t="n">
        <f aca="false">SQRT(($B251-CI$139)^2+($C251-CI$140)^2+($D251-CI$141)^2)</f>
        <v>1.46034303833392</v>
      </c>
      <c r="CJ251" s="63" t="n">
        <f aca="false">MATCH(MIN(CF251:CI251),CF251:CI251,0)</f>
        <v>2</v>
      </c>
      <c r="CL251" s="17" t="n">
        <f aca="false">SQRT(($B251-CL$139)^2+($C251-CL$140)^2+($D251-CL$141)^2)</f>
        <v>6.30399783085743</v>
      </c>
      <c r="CM251" s="17" t="n">
        <f aca="false">SQRT(($B251-CM$139)^2+($C251-CM$140)^2+($D251-CM$141)^2)</f>
        <v>0.109676392485511</v>
      </c>
      <c r="CN251" s="17" t="n">
        <f aca="false">SQRT(($B251-CN$139)^2+($C251-CN$140)^2+($D251-CN$141)^2)</f>
        <v>3.1111421503948</v>
      </c>
      <c r="CO251" s="17" t="n">
        <f aca="false">SQRT(($B251-CO$139)^2+($C251-CO$140)^2+($D251-CO$141)^2)</f>
        <v>1.46034303833392</v>
      </c>
      <c r="CP251" s="63" t="n">
        <f aca="false">MATCH(MIN(CL251:CO251),CL251:CO251,0)</f>
        <v>2</v>
      </c>
    </row>
    <row r="252" customFormat="false" ht="15" hidden="false" customHeight="false" outlineLevel="0" collapsed="false">
      <c r="A252" s="36" t="str">
        <f aca="false">KMeans_Data!A111</f>
        <v>Kohistan Lower</v>
      </c>
      <c r="B252" s="17" t="n">
        <f aca="false">KMeans_Data!H111</f>
        <v>-1.50794322460649</v>
      </c>
      <c r="C252" s="17" t="n">
        <f aca="false">KMeans_Data!I111</f>
        <v>-0.672650545388274</v>
      </c>
      <c r="D252" s="17" t="n">
        <f aca="false">KMeans_Data!J111</f>
        <v>-1.14564411633355</v>
      </c>
      <c r="E252" s="63" t="n">
        <f aca="false">CP252</f>
        <v>2</v>
      </c>
      <c r="F252" s="38" t="n">
        <f aca="false">($B252-INDEX($L$139:$O$139,E252))^2+($C252-INDEX($L$140:$O$140,E252))^2+($D252-INDEX($L$141:$O$141,E252))^2</f>
        <v>0.0584757217736675</v>
      </c>
      <c r="G252" s="17" t="n">
        <f aca="false">IF(COUNTIF(Distance_Matrix!$E$10:$DQ$10,$E252)&lt;=1,0,SUMIF(Distance_Matrix!$E$10:$DQ$10,$E252,Distance_Matrix!$E$120:$DQ$120)/(COUNTIF(Distance_Matrix!$E$10:$DQ$10,$E252)-1))</f>
        <v>0.459154908978199</v>
      </c>
      <c r="H252" s="17" t="n">
        <f aca="false">MIN(IF(1=$E252,1E+099,IF(COUNTIF(Distance_Matrix!$E$10:$DQ$10,1)=0,1E+099,SUMIF(Distance_Matrix!$E$10:$DQ$10,1,Distance_Matrix!$E$120:$DQ$120)/COUNTIF(Distance_Matrix!$E$10:$DQ$10,1))),IF(2=$E252,1E+099,IF(COUNTIF(Distance_Matrix!$E$10:$DQ$10,2)=0,1E+099,SUMIF(Distance_Matrix!$E$10:$DQ$10,2,Distance_Matrix!$E$120:$DQ$120)/COUNTIF(Distance_Matrix!$E$10:$DQ$10,2))),IF(3=$E252,1E+099,IF(COUNTIF(Distance_Matrix!$E$10:$DQ$10,3)=0,1E+099,SUMIF(Distance_Matrix!$E$10:$DQ$10,3,Distance_Matrix!$E$120:$DQ$120)/COUNTIF(Distance_Matrix!$E$10:$DQ$10,3))),IF(4=$E252,1E+099,IF(COUNTIF(Distance_Matrix!$E$10:$DQ$10,4)=0,1E+099,SUMIF(Distance_Matrix!$E$10:$DQ$10,4,Distance_Matrix!$E$120:$DQ$120)/COUNTIF(Distance_Matrix!$E$10:$DQ$10,4))))</f>
        <v>1.71328356860064</v>
      </c>
      <c r="I252" s="17" t="n">
        <f aca="false">IF(COUNTIF(Distance_Matrix!$E$10:$DQ$10,$E252)&lt;=1,0,(H252-G252)/MAX(G252,H252))</f>
        <v>0.732002969389811</v>
      </c>
      <c r="X252" s="17" t="n">
        <f aca="false">SQRT(($B252-X$139)^2+($C252-X$140)^2+($D252-X$141)^2)</f>
        <v>8.02581663311103</v>
      </c>
      <c r="Y252" s="17" t="n">
        <f aca="false">SQRT(($B252-Y$139)^2+($C252-Y$140)^2+($D252-Y$141)^2)</f>
        <v>0.571794757196831</v>
      </c>
      <c r="Z252" s="17" t="n">
        <f aca="false">SQRT(($B252-Z$139)^2+($C252-Z$140)^2+($D252-Z$141)^2)</f>
        <v>3.79835053358808</v>
      </c>
      <c r="AA252" s="17" t="n">
        <f aca="false">SQRT(($B252-AA$139)^2+($C252-AA$140)^2+($D252-AA$141)^2)</f>
        <v>2.21684219622619</v>
      </c>
      <c r="AB252" s="63" t="n">
        <f aca="false">MATCH(MIN(X252:AA252),X252:AA252,0)</f>
        <v>2</v>
      </c>
      <c r="AD252" s="17" t="n">
        <f aca="false">SQRT(($B252-AD$139)^2+($C252-AD$140)^2+($D252-AD$141)^2)</f>
        <v>7.02442425172238</v>
      </c>
      <c r="AE252" s="17" t="n">
        <f aca="false">SQRT(($B252-AE$139)^2+($C252-AE$140)^2+($D252-AE$141)^2)</f>
        <v>0.340418143929567</v>
      </c>
      <c r="AF252" s="17" t="n">
        <f aca="false">SQRT(($B252-AF$139)^2+($C252-AF$140)^2+($D252-AF$141)^2)</f>
        <v>3.18415084646664</v>
      </c>
      <c r="AG252" s="17" t="n">
        <f aca="false">SQRT(($B252-AG$139)^2+($C252-AG$140)^2+($D252-AG$141)^2)</f>
        <v>1.58830015694501</v>
      </c>
      <c r="AH252" s="63" t="n">
        <f aca="false">MATCH(MIN(AD252:AG252),AD252:AG252,0)</f>
        <v>2</v>
      </c>
      <c r="AJ252" s="17" t="n">
        <f aca="false">SQRT(($B252-AJ$139)^2+($C252-AJ$140)^2+($D252-AJ$141)^2)</f>
        <v>6.69302859055111</v>
      </c>
      <c r="AK252" s="17" t="n">
        <f aca="false">SQRT(($B252-AK$139)^2+($C252-AK$140)^2+($D252-AK$141)^2)</f>
        <v>0.319309729115032</v>
      </c>
      <c r="AL252" s="17" t="n">
        <f aca="false">SQRT(($B252-AL$139)^2+($C252-AL$140)^2+($D252-AL$141)^2)</f>
        <v>3.25077328598485</v>
      </c>
      <c r="AM252" s="17" t="n">
        <f aca="false">SQRT(($B252-AM$139)^2+($C252-AM$140)^2+($D252-AM$141)^2)</f>
        <v>1.62683549806593</v>
      </c>
      <c r="AN252" s="63" t="n">
        <f aca="false">MATCH(MIN(AJ252:AM252),AJ252:AM252,0)</f>
        <v>2</v>
      </c>
      <c r="AP252" s="17" t="n">
        <f aca="false">SQRT(($B252-AP$139)^2+($C252-AP$140)^2+($D252-AP$141)^2)</f>
        <v>6.39633892387153</v>
      </c>
      <c r="AQ252" s="17" t="n">
        <f aca="false">SQRT(($B252-AQ$139)^2+($C252-AQ$140)^2+($D252-AQ$141)^2)</f>
        <v>0.241817538184614</v>
      </c>
      <c r="AR252" s="17" t="n">
        <f aca="false">SQRT(($B252-AR$139)^2+($C252-AR$140)^2+($D252-AR$141)^2)</f>
        <v>3.20895384092305</v>
      </c>
      <c r="AS252" s="17" t="n">
        <f aca="false">SQRT(($B252-AS$139)^2+($C252-AS$140)^2+($D252-AS$141)^2)</f>
        <v>1.58846335925375</v>
      </c>
      <c r="AT252" s="63" t="n">
        <f aca="false">MATCH(MIN(AP252:AS252),AP252:AS252,0)</f>
        <v>2</v>
      </c>
      <c r="AV252" s="17" t="n">
        <f aca="false">SQRT(($B252-AV$139)^2+($C252-AV$140)^2+($D252-AV$141)^2)</f>
        <v>6.39633892387153</v>
      </c>
      <c r="AW252" s="17" t="n">
        <f aca="false">SQRT(($B252-AW$139)^2+($C252-AW$140)^2+($D252-AW$141)^2)</f>
        <v>0.241817538184614</v>
      </c>
      <c r="AX252" s="17" t="n">
        <f aca="false">SQRT(($B252-AX$139)^2+($C252-AX$140)^2+($D252-AX$141)^2)</f>
        <v>3.20895384092305</v>
      </c>
      <c r="AY252" s="17" t="n">
        <f aca="false">SQRT(($B252-AY$139)^2+($C252-AY$140)^2+($D252-AY$141)^2)</f>
        <v>1.58846335925375</v>
      </c>
      <c r="AZ252" s="63" t="n">
        <f aca="false">MATCH(MIN(AV252:AY252),AV252:AY252,0)</f>
        <v>2</v>
      </c>
      <c r="BB252" s="17" t="n">
        <f aca="false">SQRT(($B252-BB$139)^2+($C252-BB$140)^2+($D252-BB$141)^2)</f>
        <v>6.39633892387153</v>
      </c>
      <c r="BC252" s="17" t="n">
        <f aca="false">SQRT(($B252-BC$139)^2+($C252-BC$140)^2+($D252-BC$141)^2)</f>
        <v>0.241817538184614</v>
      </c>
      <c r="BD252" s="17" t="n">
        <f aca="false">SQRT(($B252-BD$139)^2+($C252-BD$140)^2+($D252-BD$141)^2)</f>
        <v>3.20895384092305</v>
      </c>
      <c r="BE252" s="17" t="n">
        <f aca="false">SQRT(($B252-BE$139)^2+($C252-BE$140)^2+($D252-BE$141)^2)</f>
        <v>1.58846335925375</v>
      </c>
      <c r="BF252" s="63" t="n">
        <f aca="false">MATCH(MIN(BB252:BE252),BB252:BE252,0)</f>
        <v>2</v>
      </c>
      <c r="BH252" s="17" t="n">
        <f aca="false">SQRT(($B252-BH$139)^2+($C252-BH$140)^2+($D252-BH$141)^2)</f>
        <v>6.39633892387153</v>
      </c>
      <c r="BI252" s="17" t="n">
        <f aca="false">SQRT(($B252-BI$139)^2+($C252-BI$140)^2+($D252-BI$141)^2)</f>
        <v>0.241817538184614</v>
      </c>
      <c r="BJ252" s="17" t="n">
        <f aca="false">SQRT(($B252-BJ$139)^2+($C252-BJ$140)^2+($D252-BJ$141)^2)</f>
        <v>3.20895384092305</v>
      </c>
      <c r="BK252" s="17" t="n">
        <f aca="false">SQRT(($B252-BK$139)^2+($C252-BK$140)^2+($D252-BK$141)^2)</f>
        <v>1.58846335925375</v>
      </c>
      <c r="BL252" s="63" t="n">
        <f aca="false">MATCH(MIN(BH252:BK252),BH252:BK252,0)</f>
        <v>2</v>
      </c>
      <c r="BN252" s="17" t="n">
        <f aca="false">SQRT(($B252-BN$139)^2+($C252-BN$140)^2+($D252-BN$141)^2)</f>
        <v>6.39633892387153</v>
      </c>
      <c r="BO252" s="17" t="n">
        <f aca="false">SQRT(($B252-BO$139)^2+($C252-BO$140)^2+($D252-BO$141)^2)</f>
        <v>0.241817538184614</v>
      </c>
      <c r="BP252" s="17" t="n">
        <f aca="false">SQRT(($B252-BP$139)^2+($C252-BP$140)^2+($D252-BP$141)^2)</f>
        <v>3.20895384092305</v>
      </c>
      <c r="BQ252" s="17" t="n">
        <f aca="false">SQRT(($B252-BQ$139)^2+($C252-BQ$140)^2+($D252-BQ$141)^2)</f>
        <v>1.58846335925375</v>
      </c>
      <c r="BR252" s="63" t="n">
        <f aca="false">MATCH(MIN(BN252:BQ252),BN252:BQ252,0)</f>
        <v>2</v>
      </c>
      <c r="BT252" s="17" t="n">
        <f aca="false">SQRT(($B252-BT$139)^2+($C252-BT$140)^2+($D252-BT$141)^2)</f>
        <v>6.39633892387153</v>
      </c>
      <c r="BU252" s="17" t="n">
        <f aca="false">SQRT(($B252-BU$139)^2+($C252-BU$140)^2+($D252-BU$141)^2)</f>
        <v>0.241817538184614</v>
      </c>
      <c r="BV252" s="17" t="n">
        <f aca="false">SQRT(($B252-BV$139)^2+($C252-BV$140)^2+($D252-BV$141)^2)</f>
        <v>3.20895384092305</v>
      </c>
      <c r="BW252" s="17" t="n">
        <f aca="false">SQRT(($B252-BW$139)^2+($C252-BW$140)^2+($D252-BW$141)^2)</f>
        <v>1.58846335925375</v>
      </c>
      <c r="BX252" s="63" t="n">
        <f aca="false">MATCH(MIN(BT252:BW252),BT252:BW252,0)</f>
        <v>2</v>
      </c>
      <c r="BZ252" s="17" t="n">
        <f aca="false">SQRT(($B252-BZ$139)^2+($C252-BZ$140)^2+($D252-BZ$141)^2)</f>
        <v>6.39633892387153</v>
      </c>
      <c r="CA252" s="17" t="n">
        <f aca="false">SQRT(($B252-CA$139)^2+($C252-CA$140)^2+($D252-CA$141)^2)</f>
        <v>0.241817538184614</v>
      </c>
      <c r="CB252" s="17" t="n">
        <f aca="false">SQRT(($B252-CB$139)^2+($C252-CB$140)^2+($D252-CB$141)^2)</f>
        <v>3.20895384092305</v>
      </c>
      <c r="CC252" s="17" t="n">
        <f aca="false">SQRT(($B252-CC$139)^2+($C252-CC$140)^2+($D252-CC$141)^2)</f>
        <v>1.58846335925375</v>
      </c>
      <c r="CD252" s="63" t="n">
        <f aca="false">MATCH(MIN(BZ252:CC252),BZ252:CC252,0)</f>
        <v>2</v>
      </c>
      <c r="CF252" s="17" t="n">
        <f aca="false">SQRT(($B252-CF$139)^2+($C252-CF$140)^2+($D252-CF$141)^2)</f>
        <v>6.39633892387153</v>
      </c>
      <c r="CG252" s="17" t="n">
        <f aca="false">SQRT(($B252-CG$139)^2+($C252-CG$140)^2+($D252-CG$141)^2)</f>
        <v>0.241817538184614</v>
      </c>
      <c r="CH252" s="17" t="n">
        <f aca="false">SQRT(($B252-CH$139)^2+($C252-CH$140)^2+($D252-CH$141)^2)</f>
        <v>3.20895384092305</v>
      </c>
      <c r="CI252" s="17" t="n">
        <f aca="false">SQRT(($B252-CI$139)^2+($C252-CI$140)^2+($D252-CI$141)^2)</f>
        <v>1.58846335925375</v>
      </c>
      <c r="CJ252" s="63" t="n">
        <f aca="false">MATCH(MIN(CF252:CI252),CF252:CI252,0)</f>
        <v>2</v>
      </c>
      <c r="CL252" s="17" t="n">
        <f aca="false">SQRT(($B252-CL$139)^2+($C252-CL$140)^2+($D252-CL$141)^2)</f>
        <v>6.39633892387153</v>
      </c>
      <c r="CM252" s="17" t="n">
        <f aca="false">SQRT(($B252-CM$139)^2+($C252-CM$140)^2+($D252-CM$141)^2)</f>
        <v>0.241817538184614</v>
      </c>
      <c r="CN252" s="17" t="n">
        <f aca="false">SQRT(($B252-CN$139)^2+($C252-CN$140)^2+($D252-CN$141)^2)</f>
        <v>3.20895384092305</v>
      </c>
      <c r="CO252" s="17" t="n">
        <f aca="false">SQRT(($B252-CO$139)^2+($C252-CO$140)^2+($D252-CO$141)^2)</f>
        <v>1.58846335925375</v>
      </c>
      <c r="CP252" s="63" t="n">
        <f aca="false">MATCH(MIN(CL252:CO252),CL252:CO252,0)</f>
        <v>2</v>
      </c>
    </row>
    <row r="253" customFormat="false" ht="15" hidden="false" customHeight="false" outlineLevel="0" collapsed="false">
      <c r="A253" s="36" t="str">
        <f aca="false">KMeans_Data!A112</f>
        <v>Bhambore</v>
      </c>
      <c r="B253" s="17" t="n">
        <f aca="false">KMeans_Data!H112</f>
        <v>-1.50794322460649</v>
      </c>
      <c r="C253" s="17" t="n">
        <f aca="false">KMeans_Data!I112</f>
        <v>-0.672650545388274</v>
      </c>
      <c r="D253" s="17" t="n">
        <f aca="false">KMeans_Data!J112</f>
        <v>-1.14564411633355</v>
      </c>
      <c r="E253" s="63" t="n">
        <f aca="false">CP253</f>
        <v>2</v>
      </c>
      <c r="F253" s="38" t="n">
        <f aca="false">($B253-INDEX($L$139:$O$139,E253))^2+($C253-INDEX($L$140:$O$140,E253))^2+($D253-INDEX($L$141:$O$141,E253))^2</f>
        <v>0.0584757217736675</v>
      </c>
      <c r="G253" s="17" t="n">
        <f aca="false">IF(COUNTIF(Distance_Matrix!$E$10:$DQ$10,$E253)&lt;=1,0,SUMIF(Distance_Matrix!$E$10:$DQ$10,$E253,Distance_Matrix!$E$121:$DQ$121)/(COUNTIF(Distance_Matrix!$E$10:$DQ$10,$E253)-1))</f>
        <v>0.459154908978199</v>
      </c>
      <c r="H253" s="17" t="n">
        <f aca="false">MIN(IF(1=$E253,1E+099,IF(COUNTIF(Distance_Matrix!$E$10:$DQ$10,1)=0,1E+099,SUMIF(Distance_Matrix!$E$10:$DQ$10,1,Distance_Matrix!$E$121:$DQ$121)/COUNTIF(Distance_Matrix!$E$10:$DQ$10,1))),IF(2=$E253,1E+099,IF(COUNTIF(Distance_Matrix!$E$10:$DQ$10,2)=0,1E+099,SUMIF(Distance_Matrix!$E$10:$DQ$10,2,Distance_Matrix!$E$121:$DQ$121)/COUNTIF(Distance_Matrix!$E$10:$DQ$10,2))),IF(3=$E253,1E+099,IF(COUNTIF(Distance_Matrix!$E$10:$DQ$10,3)=0,1E+099,SUMIF(Distance_Matrix!$E$10:$DQ$10,3,Distance_Matrix!$E$121:$DQ$121)/COUNTIF(Distance_Matrix!$E$10:$DQ$10,3))),IF(4=$E253,1E+099,IF(COUNTIF(Distance_Matrix!$E$10:$DQ$10,4)=0,1E+099,SUMIF(Distance_Matrix!$E$10:$DQ$10,4,Distance_Matrix!$E$121:$DQ$121)/COUNTIF(Distance_Matrix!$E$10:$DQ$10,4))))</f>
        <v>1.71328356860064</v>
      </c>
      <c r="I253" s="17" t="n">
        <f aca="false">IF(COUNTIF(Distance_Matrix!$E$10:$DQ$10,$E253)&lt;=1,0,(H253-G253)/MAX(G253,H253))</f>
        <v>0.732002969389811</v>
      </c>
      <c r="X253" s="17" t="n">
        <f aca="false">SQRT(($B253-X$139)^2+($C253-X$140)^2+($D253-X$141)^2)</f>
        <v>8.02581663311103</v>
      </c>
      <c r="Y253" s="17" t="n">
        <f aca="false">SQRT(($B253-Y$139)^2+($C253-Y$140)^2+($D253-Y$141)^2)</f>
        <v>0.571794757196831</v>
      </c>
      <c r="Z253" s="17" t="n">
        <f aca="false">SQRT(($B253-Z$139)^2+($C253-Z$140)^2+($D253-Z$141)^2)</f>
        <v>3.79835053358808</v>
      </c>
      <c r="AA253" s="17" t="n">
        <f aca="false">SQRT(($B253-AA$139)^2+($C253-AA$140)^2+($D253-AA$141)^2)</f>
        <v>2.21684219622619</v>
      </c>
      <c r="AB253" s="63" t="n">
        <f aca="false">MATCH(MIN(X253:AA253),X253:AA253,0)</f>
        <v>2</v>
      </c>
      <c r="AD253" s="17" t="n">
        <f aca="false">SQRT(($B253-AD$139)^2+($C253-AD$140)^2+($D253-AD$141)^2)</f>
        <v>7.02442425172238</v>
      </c>
      <c r="AE253" s="17" t="n">
        <f aca="false">SQRT(($B253-AE$139)^2+($C253-AE$140)^2+($D253-AE$141)^2)</f>
        <v>0.340418143929567</v>
      </c>
      <c r="AF253" s="17" t="n">
        <f aca="false">SQRT(($B253-AF$139)^2+($C253-AF$140)^2+($D253-AF$141)^2)</f>
        <v>3.18415084646664</v>
      </c>
      <c r="AG253" s="17" t="n">
        <f aca="false">SQRT(($B253-AG$139)^2+($C253-AG$140)^2+($D253-AG$141)^2)</f>
        <v>1.58830015694501</v>
      </c>
      <c r="AH253" s="63" t="n">
        <f aca="false">MATCH(MIN(AD253:AG253),AD253:AG253,0)</f>
        <v>2</v>
      </c>
      <c r="AJ253" s="17" t="n">
        <f aca="false">SQRT(($B253-AJ$139)^2+($C253-AJ$140)^2+($D253-AJ$141)^2)</f>
        <v>6.69302859055111</v>
      </c>
      <c r="AK253" s="17" t="n">
        <f aca="false">SQRT(($B253-AK$139)^2+($C253-AK$140)^2+($D253-AK$141)^2)</f>
        <v>0.319309729115032</v>
      </c>
      <c r="AL253" s="17" t="n">
        <f aca="false">SQRT(($B253-AL$139)^2+($C253-AL$140)^2+($D253-AL$141)^2)</f>
        <v>3.25077328598485</v>
      </c>
      <c r="AM253" s="17" t="n">
        <f aca="false">SQRT(($B253-AM$139)^2+($C253-AM$140)^2+($D253-AM$141)^2)</f>
        <v>1.62683549806593</v>
      </c>
      <c r="AN253" s="63" t="n">
        <f aca="false">MATCH(MIN(AJ253:AM253),AJ253:AM253,0)</f>
        <v>2</v>
      </c>
      <c r="AP253" s="17" t="n">
        <f aca="false">SQRT(($B253-AP$139)^2+($C253-AP$140)^2+($D253-AP$141)^2)</f>
        <v>6.39633892387153</v>
      </c>
      <c r="AQ253" s="17" t="n">
        <f aca="false">SQRT(($B253-AQ$139)^2+($C253-AQ$140)^2+($D253-AQ$141)^2)</f>
        <v>0.241817538184614</v>
      </c>
      <c r="AR253" s="17" t="n">
        <f aca="false">SQRT(($B253-AR$139)^2+($C253-AR$140)^2+($D253-AR$141)^2)</f>
        <v>3.20895384092305</v>
      </c>
      <c r="AS253" s="17" t="n">
        <f aca="false">SQRT(($B253-AS$139)^2+($C253-AS$140)^2+($D253-AS$141)^2)</f>
        <v>1.58846335925375</v>
      </c>
      <c r="AT253" s="63" t="n">
        <f aca="false">MATCH(MIN(AP253:AS253),AP253:AS253,0)</f>
        <v>2</v>
      </c>
      <c r="AV253" s="17" t="n">
        <f aca="false">SQRT(($B253-AV$139)^2+($C253-AV$140)^2+($D253-AV$141)^2)</f>
        <v>6.39633892387153</v>
      </c>
      <c r="AW253" s="17" t="n">
        <f aca="false">SQRT(($B253-AW$139)^2+($C253-AW$140)^2+($D253-AW$141)^2)</f>
        <v>0.241817538184614</v>
      </c>
      <c r="AX253" s="17" t="n">
        <f aca="false">SQRT(($B253-AX$139)^2+($C253-AX$140)^2+($D253-AX$141)^2)</f>
        <v>3.20895384092305</v>
      </c>
      <c r="AY253" s="17" t="n">
        <f aca="false">SQRT(($B253-AY$139)^2+($C253-AY$140)^2+($D253-AY$141)^2)</f>
        <v>1.58846335925375</v>
      </c>
      <c r="AZ253" s="63" t="n">
        <f aca="false">MATCH(MIN(AV253:AY253),AV253:AY253,0)</f>
        <v>2</v>
      </c>
      <c r="BB253" s="17" t="n">
        <f aca="false">SQRT(($B253-BB$139)^2+($C253-BB$140)^2+($D253-BB$141)^2)</f>
        <v>6.39633892387153</v>
      </c>
      <c r="BC253" s="17" t="n">
        <f aca="false">SQRT(($B253-BC$139)^2+($C253-BC$140)^2+($D253-BC$141)^2)</f>
        <v>0.241817538184614</v>
      </c>
      <c r="BD253" s="17" t="n">
        <f aca="false">SQRT(($B253-BD$139)^2+($C253-BD$140)^2+($D253-BD$141)^2)</f>
        <v>3.20895384092305</v>
      </c>
      <c r="BE253" s="17" t="n">
        <f aca="false">SQRT(($B253-BE$139)^2+($C253-BE$140)^2+($D253-BE$141)^2)</f>
        <v>1.58846335925375</v>
      </c>
      <c r="BF253" s="63" t="n">
        <f aca="false">MATCH(MIN(BB253:BE253),BB253:BE253,0)</f>
        <v>2</v>
      </c>
      <c r="BH253" s="17" t="n">
        <f aca="false">SQRT(($B253-BH$139)^2+($C253-BH$140)^2+($D253-BH$141)^2)</f>
        <v>6.39633892387153</v>
      </c>
      <c r="BI253" s="17" t="n">
        <f aca="false">SQRT(($B253-BI$139)^2+($C253-BI$140)^2+($D253-BI$141)^2)</f>
        <v>0.241817538184614</v>
      </c>
      <c r="BJ253" s="17" t="n">
        <f aca="false">SQRT(($B253-BJ$139)^2+($C253-BJ$140)^2+($D253-BJ$141)^2)</f>
        <v>3.20895384092305</v>
      </c>
      <c r="BK253" s="17" t="n">
        <f aca="false">SQRT(($B253-BK$139)^2+($C253-BK$140)^2+($D253-BK$141)^2)</f>
        <v>1.58846335925375</v>
      </c>
      <c r="BL253" s="63" t="n">
        <f aca="false">MATCH(MIN(BH253:BK253),BH253:BK253,0)</f>
        <v>2</v>
      </c>
      <c r="BN253" s="17" t="n">
        <f aca="false">SQRT(($B253-BN$139)^2+($C253-BN$140)^2+($D253-BN$141)^2)</f>
        <v>6.39633892387153</v>
      </c>
      <c r="BO253" s="17" t="n">
        <f aca="false">SQRT(($B253-BO$139)^2+($C253-BO$140)^2+($D253-BO$141)^2)</f>
        <v>0.241817538184614</v>
      </c>
      <c r="BP253" s="17" t="n">
        <f aca="false">SQRT(($B253-BP$139)^2+($C253-BP$140)^2+($D253-BP$141)^2)</f>
        <v>3.20895384092305</v>
      </c>
      <c r="BQ253" s="17" t="n">
        <f aca="false">SQRT(($B253-BQ$139)^2+($C253-BQ$140)^2+($D253-BQ$141)^2)</f>
        <v>1.58846335925375</v>
      </c>
      <c r="BR253" s="63" t="n">
        <f aca="false">MATCH(MIN(BN253:BQ253),BN253:BQ253,0)</f>
        <v>2</v>
      </c>
      <c r="BT253" s="17" t="n">
        <f aca="false">SQRT(($B253-BT$139)^2+($C253-BT$140)^2+($D253-BT$141)^2)</f>
        <v>6.39633892387153</v>
      </c>
      <c r="BU253" s="17" t="n">
        <f aca="false">SQRT(($B253-BU$139)^2+($C253-BU$140)^2+($D253-BU$141)^2)</f>
        <v>0.241817538184614</v>
      </c>
      <c r="BV253" s="17" t="n">
        <f aca="false">SQRT(($B253-BV$139)^2+($C253-BV$140)^2+($D253-BV$141)^2)</f>
        <v>3.20895384092305</v>
      </c>
      <c r="BW253" s="17" t="n">
        <f aca="false">SQRT(($B253-BW$139)^2+($C253-BW$140)^2+($D253-BW$141)^2)</f>
        <v>1.58846335925375</v>
      </c>
      <c r="BX253" s="63" t="n">
        <f aca="false">MATCH(MIN(BT253:BW253),BT253:BW253,0)</f>
        <v>2</v>
      </c>
      <c r="BZ253" s="17" t="n">
        <f aca="false">SQRT(($B253-BZ$139)^2+($C253-BZ$140)^2+($D253-BZ$141)^2)</f>
        <v>6.39633892387153</v>
      </c>
      <c r="CA253" s="17" t="n">
        <f aca="false">SQRT(($B253-CA$139)^2+($C253-CA$140)^2+($D253-CA$141)^2)</f>
        <v>0.241817538184614</v>
      </c>
      <c r="CB253" s="17" t="n">
        <f aca="false">SQRT(($B253-CB$139)^2+($C253-CB$140)^2+($D253-CB$141)^2)</f>
        <v>3.20895384092305</v>
      </c>
      <c r="CC253" s="17" t="n">
        <f aca="false">SQRT(($B253-CC$139)^2+($C253-CC$140)^2+($D253-CC$141)^2)</f>
        <v>1.58846335925375</v>
      </c>
      <c r="CD253" s="63" t="n">
        <f aca="false">MATCH(MIN(BZ253:CC253),BZ253:CC253,0)</f>
        <v>2</v>
      </c>
      <c r="CF253" s="17" t="n">
        <f aca="false">SQRT(($B253-CF$139)^2+($C253-CF$140)^2+($D253-CF$141)^2)</f>
        <v>6.39633892387153</v>
      </c>
      <c r="CG253" s="17" t="n">
        <f aca="false">SQRT(($B253-CG$139)^2+($C253-CG$140)^2+($D253-CG$141)^2)</f>
        <v>0.241817538184614</v>
      </c>
      <c r="CH253" s="17" t="n">
        <f aca="false">SQRT(($B253-CH$139)^2+($C253-CH$140)^2+($D253-CH$141)^2)</f>
        <v>3.20895384092305</v>
      </c>
      <c r="CI253" s="17" t="n">
        <f aca="false">SQRT(($B253-CI$139)^2+($C253-CI$140)^2+($D253-CI$141)^2)</f>
        <v>1.58846335925375</v>
      </c>
      <c r="CJ253" s="63" t="n">
        <f aca="false">MATCH(MIN(CF253:CI253),CF253:CI253,0)</f>
        <v>2</v>
      </c>
      <c r="CL253" s="17" t="n">
        <f aca="false">SQRT(($B253-CL$139)^2+($C253-CL$140)^2+($D253-CL$141)^2)</f>
        <v>6.39633892387153</v>
      </c>
      <c r="CM253" s="17" t="n">
        <f aca="false">SQRT(($B253-CM$139)^2+($C253-CM$140)^2+($D253-CM$141)^2)</f>
        <v>0.241817538184614</v>
      </c>
      <c r="CN253" s="17" t="n">
        <f aca="false">SQRT(($B253-CN$139)^2+($C253-CN$140)^2+($D253-CN$141)^2)</f>
        <v>3.20895384092305</v>
      </c>
      <c r="CO253" s="17" t="n">
        <f aca="false">SQRT(($B253-CO$139)^2+($C253-CO$140)^2+($D253-CO$141)^2)</f>
        <v>1.58846335925375</v>
      </c>
      <c r="CP253" s="63" t="n">
        <f aca="false">MATCH(MIN(CL253:CO253),CL253:CO253,0)</f>
        <v>2</v>
      </c>
    </row>
    <row r="254" customFormat="false" ht="15" hidden="false" customHeight="false" outlineLevel="0" collapsed="false">
      <c r="A254" s="36" t="str">
        <f aca="false">KMeans_Data!A113</f>
        <v>Jhang</v>
      </c>
      <c r="B254" s="17" t="n">
        <f aca="false">KMeans_Data!H113</f>
        <v>-1.50794322460649</v>
      </c>
      <c r="C254" s="17" t="n">
        <f aca="false">KMeans_Data!I113</f>
        <v>-0.672650545388274</v>
      </c>
      <c r="D254" s="17" t="n">
        <f aca="false">KMeans_Data!J113</f>
        <v>-1.14564411633355</v>
      </c>
      <c r="E254" s="63" t="n">
        <f aca="false">CP254</f>
        <v>2</v>
      </c>
      <c r="F254" s="38" t="n">
        <f aca="false">($B254-INDEX($L$139:$O$139,E254))^2+($C254-INDEX($L$140:$O$140,E254))^2+($D254-INDEX($L$141:$O$141,E254))^2</f>
        <v>0.0584757217736675</v>
      </c>
      <c r="G254" s="17" t="n">
        <f aca="false">IF(COUNTIF(Distance_Matrix!$E$10:$DQ$10,$E254)&lt;=1,0,SUMIF(Distance_Matrix!$E$10:$DQ$10,$E254,Distance_Matrix!$E$122:$DQ$122)/(COUNTIF(Distance_Matrix!$E$10:$DQ$10,$E254)-1))</f>
        <v>0.459154908978199</v>
      </c>
      <c r="H254" s="17" t="n">
        <f aca="false">MIN(IF(1=$E254,1E+099,IF(COUNTIF(Distance_Matrix!$E$10:$DQ$10,1)=0,1E+099,SUMIF(Distance_Matrix!$E$10:$DQ$10,1,Distance_Matrix!$E$122:$DQ$122)/COUNTIF(Distance_Matrix!$E$10:$DQ$10,1))),IF(2=$E254,1E+099,IF(COUNTIF(Distance_Matrix!$E$10:$DQ$10,2)=0,1E+099,SUMIF(Distance_Matrix!$E$10:$DQ$10,2,Distance_Matrix!$E$122:$DQ$122)/COUNTIF(Distance_Matrix!$E$10:$DQ$10,2))),IF(3=$E254,1E+099,IF(COUNTIF(Distance_Matrix!$E$10:$DQ$10,3)=0,1E+099,SUMIF(Distance_Matrix!$E$10:$DQ$10,3,Distance_Matrix!$E$122:$DQ$122)/COUNTIF(Distance_Matrix!$E$10:$DQ$10,3))),IF(4=$E254,1E+099,IF(COUNTIF(Distance_Matrix!$E$10:$DQ$10,4)=0,1E+099,SUMIF(Distance_Matrix!$E$10:$DQ$10,4,Distance_Matrix!$E$122:$DQ$122)/COUNTIF(Distance_Matrix!$E$10:$DQ$10,4))))</f>
        <v>1.71328356860064</v>
      </c>
      <c r="I254" s="17" t="n">
        <f aca="false">IF(COUNTIF(Distance_Matrix!$E$10:$DQ$10,$E254)&lt;=1,0,(H254-G254)/MAX(G254,H254))</f>
        <v>0.732002969389811</v>
      </c>
      <c r="X254" s="17" t="n">
        <f aca="false">SQRT(($B254-X$139)^2+($C254-X$140)^2+($D254-X$141)^2)</f>
        <v>8.02581663311103</v>
      </c>
      <c r="Y254" s="17" t="n">
        <f aca="false">SQRT(($B254-Y$139)^2+($C254-Y$140)^2+($D254-Y$141)^2)</f>
        <v>0.571794757196831</v>
      </c>
      <c r="Z254" s="17" t="n">
        <f aca="false">SQRT(($B254-Z$139)^2+($C254-Z$140)^2+($D254-Z$141)^2)</f>
        <v>3.79835053358808</v>
      </c>
      <c r="AA254" s="17" t="n">
        <f aca="false">SQRT(($B254-AA$139)^2+($C254-AA$140)^2+($D254-AA$141)^2)</f>
        <v>2.21684219622619</v>
      </c>
      <c r="AB254" s="63" t="n">
        <f aca="false">MATCH(MIN(X254:AA254),X254:AA254,0)</f>
        <v>2</v>
      </c>
      <c r="AD254" s="17" t="n">
        <f aca="false">SQRT(($B254-AD$139)^2+($C254-AD$140)^2+($D254-AD$141)^2)</f>
        <v>7.02442425172238</v>
      </c>
      <c r="AE254" s="17" t="n">
        <f aca="false">SQRT(($B254-AE$139)^2+($C254-AE$140)^2+($D254-AE$141)^2)</f>
        <v>0.340418143929567</v>
      </c>
      <c r="AF254" s="17" t="n">
        <f aca="false">SQRT(($B254-AF$139)^2+($C254-AF$140)^2+($D254-AF$141)^2)</f>
        <v>3.18415084646664</v>
      </c>
      <c r="AG254" s="17" t="n">
        <f aca="false">SQRT(($B254-AG$139)^2+($C254-AG$140)^2+($D254-AG$141)^2)</f>
        <v>1.58830015694501</v>
      </c>
      <c r="AH254" s="63" t="n">
        <f aca="false">MATCH(MIN(AD254:AG254),AD254:AG254,0)</f>
        <v>2</v>
      </c>
      <c r="AJ254" s="17" t="n">
        <f aca="false">SQRT(($B254-AJ$139)^2+($C254-AJ$140)^2+($D254-AJ$141)^2)</f>
        <v>6.69302859055111</v>
      </c>
      <c r="AK254" s="17" t="n">
        <f aca="false">SQRT(($B254-AK$139)^2+($C254-AK$140)^2+($D254-AK$141)^2)</f>
        <v>0.319309729115032</v>
      </c>
      <c r="AL254" s="17" t="n">
        <f aca="false">SQRT(($B254-AL$139)^2+($C254-AL$140)^2+($D254-AL$141)^2)</f>
        <v>3.25077328598485</v>
      </c>
      <c r="AM254" s="17" t="n">
        <f aca="false">SQRT(($B254-AM$139)^2+($C254-AM$140)^2+($D254-AM$141)^2)</f>
        <v>1.62683549806593</v>
      </c>
      <c r="AN254" s="63" t="n">
        <f aca="false">MATCH(MIN(AJ254:AM254),AJ254:AM254,0)</f>
        <v>2</v>
      </c>
      <c r="AP254" s="17" t="n">
        <f aca="false">SQRT(($B254-AP$139)^2+($C254-AP$140)^2+($D254-AP$141)^2)</f>
        <v>6.39633892387153</v>
      </c>
      <c r="AQ254" s="17" t="n">
        <f aca="false">SQRT(($B254-AQ$139)^2+($C254-AQ$140)^2+($D254-AQ$141)^2)</f>
        <v>0.241817538184614</v>
      </c>
      <c r="AR254" s="17" t="n">
        <f aca="false">SQRT(($B254-AR$139)^2+($C254-AR$140)^2+($D254-AR$141)^2)</f>
        <v>3.20895384092305</v>
      </c>
      <c r="AS254" s="17" t="n">
        <f aca="false">SQRT(($B254-AS$139)^2+($C254-AS$140)^2+($D254-AS$141)^2)</f>
        <v>1.58846335925375</v>
      </c>
      <c r="AT254" s="63" t="n">
        <f aca="false">MATCH(MIN(AP254:AS254),AP254:AS254,0)</f>
        <v>2</v>
      </c>
      <c r="AV254" s="17" t="n">
        <f aca="false">SQRT(($B254-AV$139)^2+($C254-AV$140)^2+($D254-AV$141)^2)</f>
        <v>6.39633892387153</v>
      </c>
      <c r="AW254" s="17" t="n">
        <f aca="false">SQRT(($B254-AW$139)^2+($C254-AW$140)^2+($D254-AW$141)^2)</f>
        <v>0.241817538184614</v>
      </c>
      <c r="AX254" s="17" t="n">
        <f aca="false">SQRT(($B254-AX$139)^2+($C254-AX$140)^2+($D254-AX$141)^2)</f>
        <v>3.20895384092305</v>
      </c>
      <c r="AY254" s="17" t="n">
        <f aca="false">SQRT(($B254-AY$139)^2+($C254-AY$140)^2+($D254-AY$141)^2)</f>
        <v>1.58846335925375</v>
      </c>
      <c r="AZ254" s="63" t="n">
        <f aca="false">MATCH(MIN(AV254:AY254),AV254:AY254,0)</f>
        <v>2</v>
      </c>
      <c r="BB254" s="17" t="n">
        <f aca="false">SQRT(($B254-BB$139)^2+($C254-BB$140)^2+($D254-BB$141)^2)</f>
        <v>6.39633892387153</v>
      </c>
      <c r="BC254" s="17" t="n">
        <f aca="false">SQRT(($B254-BC$139)^2+($C254-BC$140)^2+($D254-BC$141)^2)</f>
        <v>0.241817538184614</v>
      </c>
      <c r="BD254" s="17" t="n">
        <f aca="false">SQRT(($B254-BD$139)^2+($C254-BD$140)^2+($D254-BD$141)^2)</f>
        <v>3.20895384092305</v>
      </c>
      <c r="BE254" s="17" t="n">
        <f aca="false">SQRT(($B254-BE$139)^2+($C254-BE$140)^2+($D254-BE$141)^2)</f>
        <v>1.58846335925375</v>
      </c>
      <c r="BF254" s="63" t="n">
        <f aca="false">MATCH(MIN(BB254:BE254),BB254:BE254,0)</f>
        <v>2</v>
      </c>
      <c r="BH254" s="17" t="n">
        <f aca="false">SQRT(($B254-BH$139)^2+($C254-BH$140)^2+($D254-BH$141)^2)</f>
        <v>6.39633892387153</v>
      </c>
      <c r="BI254" s="17" t="n">
        <f aca="false">SQRT(($B254-BI$139)^2+($C254-BI$140)^2+($D254-BI$141)^2)</f>
        <v>0.241817538184614</v>
      </c>
      <c r="BJ254" s="17" t="n">
        <f aca="false">SQRT(($B254-BJ$139)^2+($C254-BJ$140)^2+($D254-BJ$141)^2)</f>
        <v>3.20895384092305</v>
      </c>
      <c r="BK254" s="17" t="n">
        <f aca="false">SQRT(($B254-BK$139)^2+($C254-BK$140)^2+($D254-BK$141)^2)</f>
        <v>1.58846335925375</v>
      </c>
      <c r="BL254" s="63" t="n">
        <f aca="false">MATCH(MIN(BH254:BK254),BH254:BK254,0)</f>
        <v>2</v>
      </c>
      <c r="BN254" s="17" t="n">
        <f aca="false">SQRT(($B254-BN$139)^2+($C254-BN$140)^2+($D254-BN$141)^2)</f>
        <v>6.39633892387153</v>
      </c>
      <c r="BO254" s="17" t="n">
        <f aca="false">SQRT(($B254-BO$139)^2+($C254-BO$140)^2+($D254-BO$141)^2)</f>
        <v>0.241817538184614</v>
      </c>
      <c r="BP254" s="17" t="n">
        <f aca="false">SQRT(($B254-BP$139)^2+($C254-BP$140)^2+($D254-BP$141)^2)</f>
        <v>3.20895384092305</v>
      </c>
      <c r="BQ254" s="17" t="n">
        <f aca="false">SQRT(($B254-BQ$139)^2+($C254-BQ$140)^2+($D254-BQ$141)^2)</f>
        <v>1.58846335925375</v>
      </c>
      <c r="BR254" s="63" t="n">
        <f aca="false">MATCH(MIN(BN254:BQ254),BN254:BQ254,0)</f>
        <v>2</v>
      </c>
      <c r="BT254" s="17" t="n">
        <f aca="false">SQRT(($B254-BT$139)^2+($C254-BT$140)^2+($D254-BT$141)^2)</f>
        <v>6.39633892387153</v>
      </c>
      <c r="BU254" s="17" t="n">
        <f aca="false">SQRT(($B254-BU$139)^2+($C254-BU$140)^2+($D254-BU$141)^2)</f>
        <v>0.241817538184614</v>
      </c>
      <c r="BV254" s="17" t="n">
        <f aca="false">SQRT(($B254-BV$139)^2+($C254-BV$140)^2+($D254-BV$141)^2)</f>
        <v>3.20895384092305</v>
      </c>
      <c r="BW254" s="17" t="n">
        <f aca="false">SQRT(($B254-BW$139)^2+($C254-BW$140)^2+($D254-BW$141)^2)</f>
        <v>1.58846335925375</v>
      </c>
      <c r="BX254" s="63" t="n">
        <f aca="false">MATCH(MIN(BT254:BW254),BT254:BW254,0)</f>
        <v>2</v>
      </c>
      <c r="BZ254" s="17" t="n">
        <f aca="false">SQRT(($B254-BZ$139)^2+($C254-BZ$140)^2+($D254-BZ$141)^2)</f>
        <v>6.39633892387153</v>
      </c>
      <c r="CA254" s="17" t="n">
        <f aca="false">SQRT(($B254-CA$139)^2+($C254-CA$140)^2+($D254-CA$141)^2)</f>
        <v>0.241817538184614</v>
      </c>
      <c r="CB254" s="17" t="n">
        <f aca="false">SQRT(($B254-CB$139)^2+($C254-CB$140)^2+($D254-CB$141)^2)</f>
        <v>3.20895384092305</v>
      </c>
      <c r="CC254" s="17" t="n">
        <f aca="false">SQRT(($B254-CC$139)^2+($C254-CC$140)^2+($D254-CC$141)^2)</f>
        <v>1.58846335925375</v>
      </c>
      <c r="CD254" s="63" t="n">
        <f aca="false">MATCH(MIN(BZ254:CC254),BZ254:CC254,0)</f>
        <v>2</v>
      </c>
      <c r="CF254" s="17" t="n">
        <f aca="false">SQRT(($B254-CF$139)^2+($C254-CF$140)^2+($D254-CF$141)^2)</f>
        <v>6.39633892387153</v>
      </c>
      <c r="CG254" s="17" t="n">
        <f aca="false">SQRT(($B254-CG$139)^2+($C254-CG$140)^2+($D254-CG$141)^2)</f>
        <v>0.241817538184614</v>
      </c>
      <c r="CH254" s="17" t="n">
        <f aca="false">SQRT(($B254-CH$139)^2+($C254-CH$140)^2+($D254-CH$141)^2)</f>
        <v>3.20895384092305</v>
      </c>
      <c r="CI254" s="17" t="n">
        <f aca="false">SQRT(($B254-CI$139)^2+($C254-CI$140)^2+($D254-CI$141)^2)</f>
        <v>1.58846335925375</v>
      </c>
      <c r="CJ254" s="63" t="n">
        <f aca="false">MATCH(MIN(CF254:CI254),CF254:CI254,0)</f>
        <v>2</v>
      </c>
      <c r="CL254" s="17" t="n">
        <f aca="false">SQRT(($B254-CL$139)^2+($C254-CL$140)^2+($D254-CL$141)^2)</f>
        <v>6.39633892387153</v>
      </c>
      <c r="CM254" s="17" t="n">
        <f aca="false">SQRT(($B254-CM$139)^2+($C254-CM$140)^2+($D254-CM$141)^2)</f>
        <v>0.241817538184614</v>
      </c>
      <c r="CN254" s="17" t="n">
        <f aca="false">SQRT(($B254-CN$139)^2+($C254-CN$140)^2+($D254-CN$141)^2)</f>
        <v>3.20895384092305</v>
      </c>
      <c r="CO254" s="17" t="n">
        <f aca="false">SQRT(($B254-CO$139)^2+($C254-CO$140)^2+($D254-CO$141)^2)</f>
        <v>1.58846335925375</v>
      </c>
      <c r="CP254" s="63" t="n">
        <f aca="false">MATCH(MIN(CL254:CO254),CL254:CO254,0)</f>
        <v>2</v>
      </c>
    </row>
    <row r="255" customFormat="false" ht="15" hidden="false" customHeight="false" outlineLevel="0" collapsed="false">
      <c r="A255" s="36" t="str">
        <f aca="false">KMeans_Data!A114</f>
        <v>Tor Ghar</v>
      </c>
      <c r="B255" s="17" t="n">
        <f aca="false">KMeans_Data!H114</f>
        <v>-1.50794322460649</v>
      </c>
      <c r="C255" s="17" t="n">
        <f aca="false">KMeans_Data!I114</f>
        <v>-0.672650545388274</v>
      </c>
      <c r="D255" s="17" t="n">
        <f aca="false">KMeans_Data!J114</f>
        <v>-1.14564411633355</v>
      </c>
      <c r="E255" s="63" t="n">
        <f aca="false">CP255</f>
        <v>2</v>
      </c>
      <c r="F255" s="38" t="n">
        <f aca="false">($B255-INDEX($L$139:$O$139,E255))^2+($C255-INDEX($L$140:$O$140,E255))^2+($D255-INDEX($L$141:$O$141,E255))^2</f>
        <v>0.0584757217736675</v>
      </c>
      <c r="G255" s="17" t="n">
        <f aca="false">IF(COUNTIF(Distance_Matrix!$E$10:$DQ$10,$E255)&lt;=1,0,SUMIF(Distance_Matrix!$E$10:$DQ$10,$E255,Distance_Matrix!$E$123:$DQ$123)/(COUNTIF(Distance_Matrix!$E$10:$DQ$10,$E255)-1))</f>
        <v>0.459154908978199</v>
      </c>
      <c r="H255" s="17" t="n">
        <f aca="false">MIN(IF(1=$E255,1E+099,IF(COUNTIF(Distance_Matrix!$E$10:$DQ$10,1)=0,1E+099,SUMIF(Distance_Matrix!$E$10:$DQ$10,1,Distance_Matrix!$E$123:$DQ$123)/COUNTIF(Distance_Matrix!$E$10:$DQ$10,1))),IF(2=$E255,1E+099,IF(COUNTIF(Distance_Matrix!$E$10:$DQ$10,2)=0,1E+099,SUMIF(Distance_Matrix!$E$10:$DQ$10,2,Distance_Matrix!$E$123:$DQ$123)/COUNTIF(Distance_Matrix!$E$10:$DQ$10,2))),IF(3=$E255,1E+099,IF(COUNTIF(Distance_Matrix!$E$10:$DQ$10,3)=0,1E+099,SUMIF(Distance_Matrix!$E$10:$DQ$10,3,Distance_Matrix!$E$123:$DQ$123)/COUNTIF(Distance_Matrix!$E$10:$DQ$10,3))),IF(4=$E255,1E+099,IF(COUNTIF(Distance_Matrix!$E$10:$DQ$10,4)=0,1E+099,SUMIF(Distance_Matrix!$E$10:$DQ$10,4,Distance_Matrix!$E$123:$DQ$123)/COUNTIF(Distance_Matrix!$E$10:$DQ$10,4))))</f>
        <v>1.71328356860064</v>
      </c>
      <c r="I255" s="17" t="n">
        <f aca="false">IF(COUNTIF(Distance_Matrix!$E$10:$DQ$10,$E255)&lt;=1,0,(H255-G255)/MAX(G255,H255))</f>
        <v>0.732002969389811</v>
      </c>
      <c r="X255" s="17" t="n">
        <f aca="false">SQRT(($B255-X$139)^2+($C255-X$140)^2+($D255-X$141)^2)</f>
        <v>8.02581663311103</v>
      </c>
      <c r="Y255" s="17" t="n">
        <f aca="false">SQRT(($B255-Y$139)^2+($C255-Y$140)^2+($D255-Y$141)^2)</f>
        <v>0.571794757196831</v>
      </c>
      <c r="Z255" s="17" t="n">
        <f aca="false">SQRT(($B255-Z$139)^2+($C255-Z$140)^2+($D255-Z$141)^2)</f>
        <v>3.79835053358808</v>
      </c>
      <c r="AA255" s="17" t="n">
        <f aca="false">SQRT(($B255-AA$139)^2+($C255-AA$140)^2+($D255-AA$141)^2)</f>
        <v>2.21684219622619</v>
      </c>
      <c r="AB255" s="63" t="n">
        <f aca="false">MATCH(MIN(X255:AA255),X255:AA255,0)</f>
        <v>2</v>
      </c>
      <c r="AD255" s="17" t="n">
        <f aca="false">SQRT(($B255-AD$139)^2+($C255-AD$140)^2+($D255-AD$141)^2)</f>
        <v>7.02442425172238</v>
      </c>
      <c r="AE255" s="17" t="n">
        <f aca="false">SQRT(($B255-AE$139)^2+($C255-AE$140)^2+($D255-AE$141)^2)</f>
        <v>0.340418143929567</v>
      </c>
      <c r="AF255" s="17" t="n">
        <f aca="false">SQRT(($B255-AF$139)^2+($C255-AF$140)^2+($D255-AF$141)^2)</f>
        <v>3.18415084646664</v>
      </c>
      <c r="AG255" s="17" t="n">
        <f aca="false">SQRT(($B255-AG$139)^2+($C255-AG$140)^2+($D255-AG$141)^2)</f>
        <v>1.58830015694501</v>
      </c>
      <c r="AH255" s="63" t="n">
        <f aca="false">MATCH(MIN(AD255:AG255),AD255:AG255,0)</f>
        <v>2</v>
      </c>
      <c r="AJ255" s="17" t="n">
        <f aca="false">SQRT(($B255-AJ$139)^2+($C255-AJ$140)^2+($D255-AJ$141)^2)</f>
        <v>6.69302859055111</v>
      </c>
      <c r="AK255" s="17" t="n">
        <f aca="false">SQRT(($B255-AK$139)^2+($C255-AK$140)^2+($D255-AK$141)^2)</f>
        <v>0.319309729115032</v>
      </c>
      <c r="AL255" s="17" t="n">
        <f aca="false">SQRT(($B255-AL$139)^2+($C255-AL$140)^2+($D255-AL$141)^2)</f>
        <v>3.25077328598485</v>
      </c>
      <c r="AM255" s="17" t="n">
        <f aca="false">SQRT(($B255-AM$139)^2+($C255-AM$140)^2+($D255-AM$141)^2)</f>
        <v>1.62683549806593</v>
      </c>
      <c r="AN255" s="63" t="n">
        <f aca="false">MATCH(MIN(AJ255:AM255),AJ255:AM255,0)</f>
        <v>2</v>
      </c>
      <c r="AP255" s="17" t="n">
        <f aca="false">SQRT(($B255-AP$139)^2+($C255-AP$140)^2+($D255-AP$141)^2)</f>
        <v>6.39633892387153</v>
      </c>
      <c r="AQ255" s="17" t="n">
        <f aca="false">SQRT(($B255-AQ$139)^2+($C255-AQ$140)^2+($D255-AQ$141)^2)</f>
        <v>0.241817538184614</v>
      </c>
      <c r="AR255" s="17" t="n">
        <f aca="false">SQRT(($B255-AR$139)^2+($C255-AR$140)^2+($D255-AR$141)^2)</f>
        <v>3.20895384092305</v>
      </c>
      <c r="AS255" s="17" t="n">
        <f aca="false">SQRT(($B255-AS$139)^2+($C255-AS$140)^2+($D255-AS$141)^2)</f>
        <v>1.58846335925375</v>
      </c>
      <c r="AT255" s="63" t="n">
        <f aca="false">MATCH(MIN(AP255:AS255),AP255:AS255,0)</f>
        <v>2</v>
      </c>
      <c r="AV255" s="17" t="n">
        <f aca="false">SQRT(($B255-AV$139)^2+($C255-AV$140)^2+($D255-AV$141)^2)</f>
        <v>6.39633892387153</v>
      </c>
      <c r="AW255" s="17" t="n">
        <f aca="false">SQRT(($B255-AW$139)^2+($C255-AW$140)^2+($D255-AW$141)^2)</f>
        <v>0.241817538184614</v>
      </c>
      <c r="AX255" s="17" t="n">
        <f aca="false">SQRT(($B255-AX$139)^2+($C255-AX$140)^2+($D255-AX$141)^2)</f>
        <v>3.20895384092305</v>
      </c>
      <c r="AY255" s="17" t="n">
        <f aca="false">SQRT(($B255-AY$139)^2+($C255-AY$140)^2+($D255-AY$141)^2)</f>
        <v>1.58846335925375</v>
      </c>
      <c r="AZ255" s="63" t="n">
        <f aca="false">MATCH(MIN(AV255:AY255),AV255:AY255,0)</f>
        <v>2</v>
      </c>
      <c r="BB255" s="17" t="n">
        <f aca="false">SQRT(($B255-BB$139)^2+($C255-BB$140)^2+($D255-BB$141)^2)</f>
        <v>6.39633892387153</v>
      </c>
      <c r="BC255" s="17" t="n">
        <f aca="false">SQRT(($B255-BC$139)^2+($C255-BC$140)^2+($D255-BC$141)^2)</f>
        <v>0.241817538184614</v>
      </c>
      <c r="BD255" s="17" t="n">
        <f aca="false">SQRT(($B255-BD$139)^2+($C255-BD$140)^2+($D255-BD$141)^2)</f>
        <v>3.20895384092305</v>
      </c>
      <c r="BE255" s="17" t="n">
        <f aca="false">SQRT(($B255-BE$139)^2+($C255-BE$140)^2+($D255-BE$141)^2)</f>
        <v>1.58846335925375</v>
      </c>
      <c r="BF255" s="63" t="n">
        <f aca="false">MATCH(MIN(BB255:BE255),BB255:BE255,0)</f>
        <v>2</v>
      </c>
      <c r="BH255" s="17" t="n">
        <f aca="false">SQRT(($B255-BH$139)^2+($C255-BH$140)^2+($D255-BH$141)^2)</f>
        <v>6.39633892387153</v>
      </c>
      <c r="BI255" s="17" t="n">
        <f aca="false">SQRT(($B255-BI$139)^2+($C255-BI$140)^2+($D255-BI$141)^2)</f>
        <v>0.241817538184614</v>
      </c>
      <c r="BJ255" s="17" t="n">
        <f aca="false">SQRT(($B255-BJ$139)^2+($C255-BJ$140)^2+($D255-BJ$141)^2)</f>
        <v>3.20895384092305</v>
      </c>
      <c r="BK255" s="17" t="n">
        <f aca="false">SQRT(($B255-BK$139)^2+($C255-BK$140)^2+($D255-BK$141)^2)</f>
        <v>1.58846335925375</v>
      </c>
      <c r="BL255" s="63" t="n">
        <f aca="false">MATCH(MIN(BH255:BK255),BH255:BK255,0)</f>
        <v>2</v>
      </c>
      <c r="BN255" s="17" t="n">
        <f aca="false">SQRT(($B255-BN$139)^2+($C255-BN$140)^2+($D255-BN$141)^2)</f>
        <v>6.39633892387153</v>
      </c>
      <c r="BO255" s="17" t="n">
        <f aca="false">SQRT(($B255-BO$139)^2+($C255-BO$140)^2+($D255-BO$141)^2)</f>
        <v>0.241817538184614</v>
      </c>
      <c r="BP255" s="17" t="n">
        <f aca="false">SQRT(($B255-BP$139)^2+($C255-BP$140)^2+($D255-BP$141)^2)</f>
        <v>3.20895384092305</v>
      </c>
      <c r="BQ255" s="17" t="n">
        <f aca="false">SQRT(($B255-BQ$139)^2+($C255-BQ$140)^2+($D255-BQ$141)^2)</f>
        <v>1.58846335925375</v>
      </c>
      <c r="BR255" s="63" t="n">
        <f aca="false">MATCH(MIN(BN255:BQ255),BN255:BQ255,0)</f>
        <v>2</v>
      </c>
      <c r="BT255" s="17" t="n">
        <f aca="false">SQRT(($B255-BT$139)^2+($C255-BT$140)^2+($D255-BT$141)^2)</f>
        <v>6.39633892387153</v>
      </c>
      <c r="BU255" s="17" t="n">
        <f aca="false">SQRT(($B255-BU$139)^2+($C255-BU$140)^2+($D255-BU$141)^2)</f>
        <v>0.241817538184614</v>
      </c>
      <c r="BV255" s="17" t="n">
        <f aca="false">SQRT(($B255-BV$139)^2+($C255-BV$140)^2+($D255-BV$141)^2)</f>
        <v>3.20895384092305</v>
      </c>
      <c r="BW255" s="17" t="n">
        <f aca="false">SQRT(($B255-BW$139)^2+($C255-BW$140)^2+($D255-BW$141)^2)</f>
        <v>1.58846335925375</v>
      </c>
      <c r="BX255" s="63" t="n">
        <f aca="false">MATCH(MIN(BT255:BW255),BT255:BW255,0)</f>
        <v>2</v>
      </c>
      <c r="BZ255" s="17" t="n">
        <f aca="false">SQRT(($B255-BZ$139)^2+($C255-BZ$140)^2+($D255-BZ$141)^2)</f>
        <v>6.39633892387153</v>
      </c>
      <c r="CA255" s="17" t="n">
        <f aca="false">SQRT(($B255-CA$139)^2+($C255-CA$140)^2+($D255-CA$141)^2)</f>
        <v>0.241817538184614</v>
      </c>
      <c r="CB255" s="17" t="n">
        <f aca="false">SQRT(($B255-CB$139)^2+($C255-CB$140)^2+($D255-CB$141)^2)</f>
        <v>3.20895384092305</v>
      </c>
      <c r="CC255" s="17" t="n">
        <f aca="false">SQRT(($B255-CC$139)^2+($C255-CC$140)^2+($D255-CC$141)^2)</f>
        <v>1.58846335925375</v>
      </c>
      <c r="CD255" s="63" t="n">
        <f aca="false">MATCH(MIN(BZ255:CC255),BZ255:CC255,0)</f>
        <v>2</v>
      </c>
      <c r="CF255" s="17" t="n">
        <f aca="false">SQRT(($B255-CF$139)^2+($C255-CF$140)^2+($D255-CF$141)^2)</f>
        <v>6.39633892387153</v>
      </c>
      <c r="CG255" s="17" t="n">
        <f aca="false">SQRT(($B255-CG$139)^2+($C255-CG$140)^2+($D255-CG$141)^2)</f>
        <v>0.241817538184614</v>
      </c>
      <c r="CH255" s="17" t="n">
        <f aca="false">SQRT(($B255-CH$139)^2+($C255-CH$140)^2+($D255-CH$141)^2)</f>
        <v>3.20895384092305</v>
      </c>
      <c r="CI255" s="17" t="n">
        <f aca="false">SQRT(($B255-CI$139)^2+($C255-CI$140)^2+($D255-CI$141)^2)</f>
        <v>1.58846335925375</v>
      </c>
      <c r="CJ255" s="63" t="n">
        <f aca="false">MATCH(MIN(CF255:CI255),CF255:CI255,0)</f>
        <v>2</v>
      </c>
      <c r="CL255" s="17" t="n">
        <f aca="false">SQRT(($B255-CL$139)^2+($C255-CL$140)^2+($D255-CL$141)^2)</f>
        <v>6.39633892387153</v>
      </c>
      <c r="CM255" s="17" t="n">
        <f aca="false">SQRT(($B255-CM$139)^2+($C255-CM$140)^2+($D255-CM$141)^2)</f>
        <v>0.241817538184614</v>
      </c>
      <c r="CN255" s="17" t="n">
        <f aca="false">SQRT(($B255-CN$139)^2+($C255-CN$140)^2+($D255-CN$141)^2)</f>
        <v>3.20895384092305</v>
      </c>
      <c r="CO255" s="17" t="n">
        <f aca="false">SQRT(($B255-CO$139)^2+($C255-CO$140)^2+($D255-CO$141)^2)</f>
        <v>1.58846335925375</v>
      </c>
      <c r="CP255" s="63" t="n">
        <f aca="false">MATCH(MIN(CL255:CO255),CL255:CO255,0)</f>
        <v>2</v>
      </c>
    </row>
    <row r="256" customFormat="false" ht="15" hidden="false" customHeight="false" outlineLevel="0" collapsed="false">
      <c r="A256" s="36" t="str">
        <f aca="false">KMeans_Data!A115</f>
        <v>Trarkhel</v>
      </c>
      <c r="B256" s="17" t="n">
        <f aca="false">KMeans_Data!H115</f>
        <v>-1.71897565655168</v>
      </c>
      <c r="C256" s="17" t="n">
        <f aca="false">KMeans_Data!I115</f>
        <v>-0.672650545388274</v>
      </c>
      <c r="D256" s="17" t="n">
        <f aca="false">KMeans_Data!J115</f>
        <v>-1.14564411633355</v>
      </c>
      <c r="E256" s="63" t="n">
        <f aca="false">CP256</f>
        <v>2</v>
      </c>
      <c r="F256" s="38" t="n">
        <f aca="false">($B256-INDEX($L$139:$O$139,E256))^2+($C256-INDEX($L$140:$O$140,E256))^2+($D256-INDEX($L$141:$O$141,E256))^2</f>
        <v>0.200071375568821</v>
      </c>
      <c r="G256" s="17" t="n">
        <f aca="false">IF(COUNTIF(Distance_Matrix!$E$10:$DQ$10,$E256)&lt;=1,0,SUMIF(Distance_Matrix!$E$10:$DQ$10,$E256,Distance_Matrix!$E$124:$DQ$124)/(COUNTIF(Distance_Matrix!$E$10:$DQ$10,$E256)-1))</f>
        <v>0.54773175436393</v>
      </c>
      <c r="H256" s="17" t="n">
        <f aca="false">MIN(IF(1=$E256,1E+099,IF(COUNTIF(Distance_Matrix!$E$10:$DQ$10,1)=0,1E+099,SUMIF(Distance_Matrix!$E$10:$DQ$10,1,Distance_Matrix!$E$124:$DQ$124)/COUNTIF(Distance_Matrix!$E$10:$DQ$10,1))),IF(2=$E256,1E+099,IF(COUNTIF(Distance_Matrix!$E$10:$DQ$10,2)=0,1E+099,SUMIF(Distance_Matrix!$E$10:$DQ$10,2,Distance_Matrix!$E$124:$DQ$124)/COUNTIF(Distance_Matrix!$E$10:$DQ$10,2))),IF(3=$E256,1E+099,IF(COUNTIF(Distance_Matrix!$E$10:$DQ$10,3)=0,1E+099,SUMIF(Distance_Matrix!$E$10:$DQ$10,3,Distance_Matrix!$E$124:$DQ$124)/COUNTIF(Distance_Matrix!$E$10:$DQ$10,3))),IF(4=$E256,1E+099,IF(COUNTIF(Distance_Matrix!$E$10:$DQ$10,4)=0,1E+099,SUMIF(Distance_Matrix!$E$10:$DQ$10,4,Distance_Matrix!$E$124:$DQ$124)/COUNTIF(Distance_Matrix!$E$10:$DQ$10,4))))</f>
        <v>1.88735613874727</v>
      </c>
      <c r="I256" s="17" t="n">
        <f aca="false">IF(COUNTIF(Distance_Matrix!$E$10:$DQ$10,$E256)&lt;=1,0,(H256-G256)/MAX(G256,H256))</f>
        <v>0.709788871787872</v>
      </c>
      <c r="X256" s="17" t="n">
        <f aca="false">SQRT(($B256-X$139)^2+($C256-X$140)^2+($D256-X$141)^2)</f>
        <v>8.15332373062299</v>
      </c>
      <c r="Y256" s="17" t="n">
        <f aca="false">SQRT(($B256-Y$139)^2+($C256-Y$140)^2+($D256-Y$141)^2)</f>
        <v>0.360762325251648</v>
      </c>
      <c r="Z256" s="17" t="n">
        <f aca="false">SQRT(($B256-Z$139)^2+($C256-Z$140)^2+($D256-Z$141)^2)</f>
        <v>3.94287645773164</v>
      </c>
      <c r="AA256" s="17" t="n">
        <f aca="false">SQRT(($B256-AA$139)^2+($C256-AA$140)^2+($D256-AA$141)^2)</f>
        <v>2.42237275698138</v>
      </c>
      <c r="AB256" s="63" t="n">
        <f aca="false">MATCH(MIN(X256:AA256),X256:AA256,0)</f>
        <v>2</v>
      </c>
      <c r="AD256" s="17" t="n">
        <f aca="false">SQRT(($B256-AD$139)^2+($C256-AD$140)^2+($D256-AD$141)^2)</f>
        <v>7.15604035865804</v>
      </c>
      <c r="AE256" s="17" t="n">
        <f aca="false">SQRT(($B256-AE$139)^2+($C256-AE$140)^2+($D256-AE$141)^2)</f>
        <v>0.522572482532373</v>
      </c>
      <c r="AF256" s="17" t="n">
        <f aca="false">SQRT(($B256-AF$139)^2+($C256-AF$140)^2+($D256-AF$141)^2)</f>
        <v>3.32810269586242</v>
      </c>
      <c r="AG256" s="17" t="n">
        <f aca="false">SQRT(($B256-AG$139)^2+($C256-AG$140)^2+($D256-AG$141)^2)</f>
        <v>1.78252797425168</v>
      </c>
      <c r="AH256" s="63" t="n">
        <f aca="false">MATCH(MIN(AD256:AG256),AD256:AG256,0)</f>
        <v>2</v>
      </c>
      <c r="AJ256" s="17" t="n">
        <f aca="false">SQRT(($B256-AJ$139)^2+($C256-AJ$140)^2+($D256-AJ$141)^2)</f>
        <v>6.82709320849694</v>
      </c>
      <c r="AK256" s="17" t="n">
        <f aca="false">SQRT(($B256-AK$139)^2+($C256-AK$140)^2+($D256-AK$141)^2)</f>
        <v>0.512682720199268</v>
      </c>
      <c r="AL256" s="17" t="n">
        <f aca="false">SQRT(($B256-AL$139)^2+($C256-AL$140)^2+($D256-AL$141)^2)</f>
        <v>3.39477748854075</v>
      </c>
      <c r="AM256" s="17" t="n">
        <f aca="false">SQRT(($B256-AM$139)^2+($C256-AM$140)^2+($D256-AM$141)^2)</f>
        <v>1.81470659847055</v>
      </c>
      <c r="AN256" s="63" t="n">
        <f aca="false">MATCH(MIN(AJ256:AM256),AJ256:AM256,0)</f>
        <v>2</v>
      </c>
      <c r="AP256" s="17" t="n">
        <f aca="false">SQRT(($B256-AP$139)^2+($C256-AP$140)^2+($D256-AP$141)^2)</f>
        <v>6.53009959805052</v>
      </c>
      <c r="AQ256" s="17" t="n">
        <f aca="false">SQRT(($B256-AQ$139)^2+($C256-AQ$140)^2+($D256-AQ$141)^2)</f>
        <v>0.447293388693396</v>
      </c>
      <c r="AR256" s="17" t="n">
        <f aca="false">SQRT(($B256-AR$139)^2+($C256-AR$140)^2+($D256-AR$141)^2)</f>
        <v>3.35332552167738</v>
      </c>
      <c r="AS256" s="17" t="n">
        <f aca="false">SQRT(($B256-AS$139)^2+($C256-AS$140)^2+($D256-AS$141)^2)</f>
        <v>1.77479237732966</v>
      </c>
      <c r="AT256" s="63" t="n">
        <f aca="false">MATCH(MIN(AP256:AS256),AP256:AS256,0)</f>
        <v>2</v>
      </c>
      <c r="AV256" s="17" t="n">
        <f aca="false">SQRT(($B256-AV$139)^2+($C256-AV$140)^2+($D256-AV$141)^2)</f>
        <v>6.53009959805052</v>
      </c>
      <c r="AW256" s="17" t="n">
        <f aca="false">SQRT(($B256-AW$139)^2+($C256-AW$140)^2+($D256-AW$141)^2)</f>
        <v>0.447293388693396</v>
      </c>
      <c r="AX256" s="17" t="n">
        <f aca="false">SQRT(($B256-AX$139)^2+($C256-AX$140)^2+($D256-AX$141)^2)</f>
        <v>3.35332552167738</v>
      </c>
      <c r="AY256" s="17" t="n">
        <f aca="false">SQRT(($B256-AY$139)^2+($C256-AY$140)^2+($D256-AY$141)^2)</f>
        <v>1.77479237732966</v>
      </c>
      <c r="AZ256" s="63" t="n">
        <f aca="false">MATCH(MIN(AV256:AY256),AV256:AY256,0)</f>
        <v>2</v>
      </c>
      <c r="BB256" s="17" t="n">
        <f aca="false">SQRT(($B256-BB$139)^2+($C256-BB$140)^2+($D256-BB$141)^2)</f>
        <v>6.53009959805052</v>
      </c>
      <c r="BC256" s="17" t="n">
        <f aca="false">SQRT(($B256-BC$139)^2+($C256-BC$140)^2+($D256-BC$141)^2)</f>
        <v>0.447293388693396</v>
      </c>
      <c r="BD256" s="17" t="n">
        <f aca="false">SQRT(($B256-BD$139)^2+($C256-BD$140)^2+($D256-BD$141)^2)</f>
        <v>3.35332552167738</v>
      </c>
      <c r="BE256" s="17" t="n">
        <f aca="false">SQRT(($B256-BE$139)^2+($C256-BE$140)^2+($D256-BE$141)^2)</f>
        <v>1.77479237732966</v>
      </c>
      <c r="BF256" s="63" t="n">
        <f aca="false">MATCH(MIN(BB256:BE256),BB256:BE256,0)</f>
        <v>2</v>
      </c>
      <c r="BH256" s="17" t="n">
        <f aca="false">SQRT(($B256-BH$139)^2+($C256-BH$140)^2+($D256-BH$141)^2)</f>
        <v>6.53009959805052</v>
      </c>
      <c r="BI256" s="17" t="n">
        <f aca="false">SQRT(($B256-BI$139)^2+($C256-BI$140)^2+($D256-BI$141)^2)</f>
        <v>0.447293388693396</v>
      </c>
      <c r="BJ256" s="17" t="n">
        <f aca="false">SQRT(($B256-BJ$139)^2+($C256-BJ$140)^2+($D256-BJ$141)^2)</f>
        <v>3.35332552167738</v>
      </c>
      <c r="BK256" s="17" t="n">
        <f aca="false">SQRT(($B256-BK$139)^2+($C256-BK$140)^2+($D256-BK$141)^2)</f>
        <v>1.77479237732966</v>
      </c>
      <c r="BL256" s="63" t="n">
        <f aca="false">MATCH(MIN(BH256:BK256),BH256:BK256,0)</f>
        <v>2</v>
      </c>
      <c r="BN256" s="17" t="n">
        <f aca="false">SQRT(($B256-BN$139)^2+($C256-BN$140)^2+($D256-BN$141)^2)</f>
        <v>6.53009959805052</v>
      </c>
      <c r="BO256" s="17" t="n">
        <f aca="false">SQRT(($B256-BO$139)^2+($C256-BO$140)^2+($D256-BO$141)^2)</f>
        <v>0.447293388693396</v>
      </c>
      <c r="BP256" s="17" t="n">
        <f aca="false">SQRT(($B256-BP$139)^2+($C256-BP$140)^2+($D256-BP$141)^2)</f>
        <v>3.35332552167738</v>
      </c>
      <c r="BQ256" s="17" t="n">
        <f aca="false">SQRT(($B256-BQ$139)^2+($C256-BQ$140)^2+($D256-BQ$141)^2)</f>
        <v>1.77479237732966</v>
      </c>
      <c r="BR256" s="63" t="n">
        <f aca="false">MATCH(MIN(BN256:BQ256),BN256:BQ256,0)</f>
        <v>2</v>
      </c>
      <c r="BT256" s="17" t="n">
        <f aca="false">SQRT(($B256-BT$139)^2+($C256-BT$140)^2+($D256-BT$141)^2)</f>
        <v>6.53009959805052</v>
      </c>
      <c r="BU256" s="17" t="n">
        <f aca="false">SQRT(($B256-BU$139)^2+($C256-BU$140)^2+($D256-BU$141)^2)</f>
        <v>0.447293388693396</v>
      </c>
      <c r="BV256" s="17" t="n">
        <f aca="false">SQRT(($B256-BV$139)^2+($C256-BV$140)^2+($D256-BV$141)^2)</f>
        <v>3.35332552167738</v>
      </c>
      <c r="BW256" s="17" t="n">
        <f aca="false">SQRT(($B256-BW$139)^2+($C256-BW$140)^2+($D256-BW$141)^2)</f>
        <v>1.77479237732966</v>
      </c>
      <c r="BX256" s="63" t="n">
        <f aca="false">MATCH(MIN(BT256:BW256),BT256:BW256,0)</f>
        <v>2</v>
      </c>
      <c r="BZ256" s="17" t="n">
        <f aca="false">SQRT(($B256-BZ$139)^2+($C256-BZ$140)^2+($D256-BZ$141)^2)</f>
        <v>6.53009959805052</v>
      </c>
      <c r="CA256" s="17" t="n">
        <f aca="false">SQRT(($B256-CA$139)^2+($C256-CA$140)^2+($D256-CA$141)^2)</f>
        <v>0.447293388693396</v>
      </c>
      <c r="CB256" s="17" t="n">
        <f aca="false">SQRT(($B256-CB$139)^2+($C256-CB$140)^2+($D256-CB$141)^2)</f>
        <v>3.35332552167738</v>
      </c>
      <c r="CC256" s="17" t="n">
        <f aca="false">SQRT(($B256-CC$139)^2+($C256-CC$140)^2+($D256-CC$141)^2)</f>
        <v>1.77479237732966</v>
      </c>
      <c r="CD256" s="63" t="n">
        <f aca="false">MATCH(MIN(BZ256:CC256),BZ256:CC256,0)</f>
        <v>2</v>
      </c>
      <c r="CF256" s="17" t="n">
        <f aca="false">SQRT(($B256-CF$139)^2+($C256-CF$140)^2+($D256-CF$141)^2)</f>
        <v>6.53009959805052</v>
      </c>
      <c r="CG256" s="17" t="n">
        <f aca="false">SQRT(($B256-CG$139)^2+($C256-CG$140)^2+($D256-CG$141)^2)</f>
        <v>0.447293388693396</v>
      </c>
      <c r="CH256" s="17" t="n">
        <f aca="false">SQRT(($B256-CH$139)^2+($C256-CH$140)^2+($D256-CH$141)^2)</f>
        <v>3.35332552167738</v>
      </c>
      <c r="CI256" s="17" t="n">
        <f aca="false">SQRT(($B256-CI$139)^2+($C256-CI$140)^2+($D256-CI$141)^2)</f>
        <v>1.77479237732966</v>
      </c>
      <c r="CJ256" s="63" t="n">
        <f aca="false">MATCH(MIN(CF256:CI256),CF256:CI256,0)</f>
        <v>2</v>
      </c>
      <c r="CL256" s="17" t="n">
        <f aca="false">SQRT(($B256-CL$139)^2+($C256-CL$140)^2+($D256-CL$141)^2)</f>
        <v>6.53009959805052</v>
      </c>
      <c r="CM256" s="17" t="n">
        <f aca="false">SQRT(($B256-CM$139)^2+($C256-CM$140)^2+($D256-CM$141)^2)</f>
        <v>0.447293388693396</v>
      </c>
      <c r="CN256" s="17" t="n">
        <f aca="false">SQRT(($B256-CN$139)^2+($C256-CN$140)^2+($D256-CN$141)^2)</f>
        <v>3.35332552167738</v>
      </c>
      <c r="CO256" s="17" t="n">
        <f aca="false">SQRT(($B256-CO$139)^2+($C256-CO$140)^2+($D256-CO$141)^2)</f>
        <v>1.77479237732966</v>
      </c>
      <c r="CP256" s="63" t="n">
        <f aca="false">MATCH(MIN(CL256:CO256),CL256:CO256,0)</f>
        <v>2</v>
      </c>
    </row>
    <row r="257" customFormat="false" ht="15" hidden="false" customHeight="false" outlineLevel="0" collapsed="false">
      <c r="A257" s="36" t="str">
        <f aca="false">KMeans_Data!A116</f>
        <v>Kohistan Upper</v>
      </c>
      <c r="B257" s="17" t="n">
        <f aca="false">KMeans_Data!H116</f>
        <v>-1.71897565655168</v>
      </c>
      <c r="C257" s="17" t="n">
        <f aca="false">KMeans_Data!I116</f>
        <v>-0.672650545388274</v>
      </c>
      <c r="D257" s="17" t="n">
        <f aca="false">KMeans_Data!J116</f>
        <v>-1.14564411633355</v>
      </c>
      <c r="E257" s="63" t="n">
        <f aca="false">CP257</f>
        <v>2</v>
      </c>
      <c r="F257" s="38" t="n">
        <f aca="false">($B257-INDEX($L$139:$O$139,E257))^2+($C257-INDEX($L$140:$O$140,E257))^2+($D257-INDEX($L$141:$O$141,E257))^2</f>
        <v>0.200071375568821</v>
      </c>
      <c r="G257" s="17" t="n">
        <f aca="false">IF(COUNTIF(Distance_Matrix!$E$10:$DQ$10,$E257)&lt;=1,0,SUMIF(Distance_Matrix!$E$10:$DQ$10,$E257,Distance_Matrix!$E$125:$DQ$125)/(COUNTIF(Distance_Matrix!$E$10:$DQ$10,$E257)-1))</f>
        <v>0.54773175436393</v>
      </c>
      <c r="H257" s="17" t="n">
        <f aca="false">MIN(IF(1=$E257,1E+099,IF(COUNTIF(Distance_Matrix!$E$10:$DQ$10,1)=0,1E+099,SUMIF(Distance_Matrix!$E$10:$DQ$10,1,Distance_Matrix!$E$125:$DQ$125)/COUNTIF(Distance_Matrix!$E$10:$DQ$10,1))),IF(2=$E257,1E+099,IF(COUNTIF(Distance_Matrix!$E$10:$DQ$10,2)=0,1E+099,SUMIF(Distance_Matrix!$E$10:$DQ$10,2,Distance_Matrix!$E$125:$DQ$125)/COUNTIF(Distance_Matrix!$E$10:$DQ$10,2))),IF(3=$E257,1E+099,IF(COUNTIF(Distance_Matrix!$E$10:$DQ$10,3)=0,1E+099,SUMIF(Distance_Matrix!$E$10:$DQ$10,3,Distance_Matrix!$E$125:$DQ$125)/COUNTIF(Distance_Matrix!$E$10:$DQ$10,3))),IF(4=$E257,1E+099,IF(COUNTIF(Distance_Matrix!$E$10:$DQ$10,4)=0,1E+099,SUMIF(Distance_Matrix!$E$10:$DQ$10,4,Distance_Matrix!$E$125:$DQ$125)/COUNTIF(Distance_Matrix!$E$10:$DQ$10,4))))</f>
        <v>1.88735613874727</v>
      </c>
      <c r="I257" s="17" t="n">
        <f aca="false">IF(COUNTIF(Distance_Matrix!$E$10:$DQ$10,$E257)&lt;=1,0,(H257-G257)/MAX(G257,H257))</f>
        <v>0.709788871787872</v>
      </c>
      <c r="X257" s="17" t="n">
        <f aca="false">SQRT(($B257-X$139)^2+($C257-X$140)^2+($D257-X$141)^2)</f>
        <v>8.15332373062299</v>
      </c>
      <c r="Y257" s="17" t="n">
        <f aca="false">SQRT(($B257-Y$139)^2+($C257-Y$140)^2+($D257-Y$141)^2)</f>
        <v>0.360762325251648</v>
      </c>
      <c r="Z257" s="17" t="n">
        <f aca="false">SQRT(($B257-Z$139)^2+($C257-Z$140)^2+($D257-Z$141)^2)</f>
        <v>3.94287645773164</v>
      </c>
      <c r="AA257" s="17" t="n">
        <f aca="false">SQRT(($B257-AA$139)^2+($C257-AA$140)^2+($D257-AA$141)^2)</f>
        <v>2.42237275698138</v>
      </c>
      <c r="AB257" s="63" t="n">
        <f aca="false">MATCH(MIN(X257:AA257),X257:AA257,0)</f>
        <v>2</v>
      </c>
      <c r="AD257" s="17" t="n">
        <f aca="false">SQRT(($B257-AD$139)^2+($C257-AD$140)^2+($D257-AD$141)^2)</f>
        <v>7.15604035865804</v>
      </c>
      <c r="AE257" s="17" t="n">
        <f aca="false">SQRT(($B257-AE$139)^2+($C257-AE$140)^2+($D257-AE$141)^2)</f>
        <v>0.522572482532373</v>
      </c>
      <c r="AF257" s="17" t="n">
        <f aca="false">SQRT(($B257-AF$139)^2+($C257-AF$140)^2+($D257-AF$141)^2)</f>
        <v>3.32810269586242</v>
      </c>
      <c r="AG257" s="17" t="n">
        <f aca="false">SQRT(($B257-AG$139)^2+($C257-AG$140)^2+($D257-AG$141)^2)</f>
        <v>1.78252797425168</v>
      </c>
      <c r="AH257" s="63" t="n">
        <f aca="false">MATCH(MIN(AD257:AG257),AD257:AG257,0)</f>
        <v>2</v>
      </c>
      <c r="AJ257" s="17" t="n">
        <f aca="false">SQRT(($B257-AJ$139)^2+($C257-AJ$140)^2+($D257-AJ$141)^2)</f>
        <v>6.82709320849694</v>
      </c>
      <c r="AK257" s="17" t="n">
        <f aca="false">SQRT(($B257-AK$139)^2+($C257-AK$140)^2+($D257-AK$141)^2)</f>
        <v>0.512682720199268</v>
      </c>
      <c r="AL257" s="17" t="n">
        <f aca="false">SQRT(($B257-AL$139)^2+($C257-AL$140)^2+($D257-AL$141)^2)</f>
        <v>3.39477748854075</v>
      </c>
      <c r="AM257" s="17" t="n">
        <f aca="false">SQRT(($B257-AM$139)^2+($C257-AM$140)^2+($D257-AM$141)^2)</f>
        <v>1.81470659847055</v>
      </c>
      <c r="AN257" s="63" t="n">
        <f aca="false">MATCH(MIN(AJ257:AM257),AJ257:AM257,0)</f>
        <v>2</v>
      </c>
      <c r="AP257" s="17" t="n">
        <f aca="false">SQRT(($B257-AP$139)^2+($C257-AP$140)^2+($D257-AP$141)^2)</f>
        <v>6.53009959805052</v>
      </c>
      <c r="AQ257" s="17" t="n">
        <f aca="false">SQRT(($B257-AQ$139)^2+($C257-AQ$140)^2+($D257-AQ$141)^2)</f>
        <v>0.447293388693396</v>
      </c>
      <c r="AR257" s="17" t="n">
        <f aca="false">SQRT(($B257-AR$139)^2+($C257-AR$140)^2+($D257-AR$141)^2)</f>
        <v>3.35332552167738</v>
      </c>
      <c r="AS257" s="17" t="n">
        <f aca="false">SQRT(($B257-AS$139)^2+($C257-AS$140)^2+($D257-AS$141)^2)</f>
        <v>1.77479237732966</v>
      </c>
      <c r="AT257" s="63" t="n">
        <f aca="false">MATCH(MIN(AP257:AS257),AP257:AS257,0)</f>
        <v>2</v>
      </c>
      <c r="AV257" s="17" t="n">
        <f aca="false">SQRT(($B257-AV$139)^2+($C257-AV$140)^2+($D257-AV$141)^2)</f>
        <v>6.53009959805052</v>
      </c>
      <c r="AW257" s="17" t="n">
        <f aca="false">SQRT(($B257-AW$139)^2+($C257-AW$140)^2+($D257-AW$141)^2)</f>
        <v>0.447293388693396</v>
      </c>
      <c r="AX257" s="17" t="n">
        <f aca="false">SQRT(($B257-AX$139)^2+($C257-AX$140)^2+($D257-AX$141)^2)</f>
        <v>3.35332552167738</v>
      </c>
      <c r="AY257" s="17" t="n">
        <f aca="false">SQRT(($B257-AY$139)^2+($C257-AY$140)^2+($D257-AY$141)^2)</f>
        <v>1.77479237732966</v>
      </c>
      <c r="AZ257" s="63" t="n">
        <f aca="false">MATCH(MIN(AV257:AY257),AV257:AY257,0)</f>
        <v>2</v>
      </c>
      <c r="BB257" s="17" t="n">
        <f aca="false">SQRT(($B257-BB$139)^2+($C257-BB$140)^2+($D257-BB$141)^2)</f>
        <v>6.53009959805052</v>
      </c>
      <c r="BC257" s="17" t="n">
        <f aca="false">SQRT(($B257-BC$139)^2+($C257-BC$140)^2+($D257-BC$141)^2)</f>
        <v>0.447293388693396</v>
      </c>
      <c r="BD257" s="17" t="n">
        <f aca="false">SQRT(($B257-BD$139)^2+($C257-BD$140)^2+($D257-BD$141)^2)</f>
        <v>3.35332552167738</v>
      </c>
      <c r="BE257" s="17" t="n">
        <f aca="false">SQRT(($B257-BE$139)^2+($C257-BE$140)^2+($D257-BE$141)^2)</f>
        <v>1.77479237732966</v>
      </c>
      <c r="BF257" s="63" t="n">
        <f aca="false">MATCH(MIN(BB257:BE257),BB257:BE257,0)</f>
        <v>2</v>
      </c>
      <c r="BH257" s="17" t="n">
        <f aca="false">SQRT(($B257-BH$139)^2+($C257-BH$140)^2+($D257-BH$141)^2)</f>
        <v>6.53009959805052</v>
      </c>
      <c r="BI257" s="17" t="n">
        <f aca="false">SQRT(($B257-BI$139)^2+($C257-BI$140)^2+($D257-BI$141)^2)</f>
        <v>0.447293388693396</v>
      </c>
      <c r="BJ257" s="17" t="n">
        <f aca="false">SQRT(($B257-BJ$139)^2+($C257-BJ$140)^2+($D257-BJ$141)^2)</f>
        <v>3.35332552167738</v>
      </c>
      <c r="BK257" s="17" t="n">
        <f aca="false">SQRT(($B257-BK$139)^2+($C257-BK$140)^2+($D257-BK$141)^2)</f>
        <v>1.77479237732966</v>
      </c>
      <c r="BL257" s="63" t="n">
        <f aca="false">MATCH(MIN(BH257:BK257),BH257:BK257,0)</f>
        <v>2</v>
      </c>
      <c r="BN257" s="17" t="n">
        <f aca="false">SQRT(($B257-BN$139)^2+($C257-BN$140)^2+($D257-BN$141)^2)</f>
        <v>6.53009959805052</v>
      </c>
      <c r="BO257" s="17" t="n">
        <f aca="false">SQRT(($B257-BO$139)^2+($C257-BO$140)^2+($D257-BO$141)^2)</f>
        <v>0.447293388693396</v>
      </c>
      <c r="BP257" s="17" t="n">
        <f aca="false">SQRT(($B257-BP$139)^2+($C257-BP$140)^2+($D257-BP$141)^2)</f>
        <v>3.35332552167738</v>
      </c>
      <c r="BQ257" s="17" t="n">
        <f aca="false">SQRT(($B257-BQ$139)^2+($C257-BQ$140)^2+($D257-BQ$141)^2)</f>
        <v>1.77479237732966</v>
      </c>
      <c r="BR257" s="63" t="n">
        <f aca="false">MATCH(MIN(BN257:BQ257),BN257:BQ257,0)</f>
        <v>2</v>
      </c>
      <c r="BT257" s="17" t="n">
        <f aca="false">SQRT(($B257-BT$139)^2+($C257-BT$140)^2+($D257-BT$141)^2)</f>
        <v>6.53009959805052</v>
      </c>
      <c r="BU257" s="17" t="n">
        <f aca="false">SQRT(($B257-BU$139)^2+($C257-BU$140)^2+($D257-BU$141)^2)</f>
        <v>0.447293388693396</v>
      </c>
      <c r="BV257" s="17" t="n">
        <f aca="false">SQRT(($B257-BV$139)^2+($C257-BV$140)^2+($D257-BV$141)^2)</f>
        <v>3.35332552167738</v>
      </c>
      <c r="BW257" s="17" t="n">
        <f aca="false">SQRT(($B257-BW$139)^2+($C257-BW$140)^2+($D257-BW$141)^2)</f>
        <v>1.77479237732966</v>
      </c>
      <c r="BX257" s="63" t="n">
        <f aca="false">MATCH(MIN(BT257:BW257),BT257:BW257,0)</f>
        <v>2</v>
      </c>
      <c r="BZ257" s="17" t="n">
        <f aca="false">SQRT(($B257-BZ$139)^2+($C257-BZ$140)^2+($D257-BZ$141)^2)</f>
        <v>6.53009959805052</v>
      </c>
      <c r="CA257" s="17" t="n">
        <f aca="false">SQRT(($B257-CA$139)^2+($C257-CA$140)^2+($D257-CA$141)^2)</f>
        <v>0.447293388693396</v>
      </c>
      <c r="CB257" s="17" t="n">
        <f aca="false">SQRT(($B257-CB$139)^2+($C257-CB$140)^2+($D257-CB$141)^2)</f>
        <v>3.35332552167738</v>
      </c>
      <c r="CC257" s="17" t="n">
        <f aca="false">SQRT(($B257-CC$139)^2+($C257-CC$140)^2+($D257-CC$141)^2)</f>
        <v>1.77479237732966</v>
      </c>
      <c r="CD257" s="63" t="n">
        <f aca="false">MATCH(MIN(BZ257:CC257),BZ257:CC257,0)</f>
        <v>2</v>
      </c>
      <c r="CF257" s="17" t="n">
        <f aca="false">SQRT(($B257-CF$139)^2+($C257-CF$140)^2+($D257-CF$141)^2)</f>
        <v>6.53009959805052</v>
      </c>
      <c r="CG257" s="17" t="n">
        <f aca="false">SQRT(($B257-CG$139)^2+($C257-CG$140)^2+($D257-CG$141)^2)</f>
        <v>0.447293388693396</v>
      </c>
      <c r="CH257" s="17" t="n">
        <f aca="false">SQRT(($B257-CH$139)^2+($C257-CH$140)^2+($D257-CH$141)^2)</f>
        <v>3.35332552167738</v>
      </c>
      <c r="CI257" s="17" t="n">
        <f aca="false">SQRT(($B257-CI$139)^2+($C257-CI$140)^2+($D257-CI$141)^2)</f>
        <v>1.77479237732966</v>
      </c>
      <c r="CJ257" s="63" t="n">
        <f aca="false">MATCH(MIN(CF257:CI257),CF257:CI257,0)</f>
        <v>2</v>
      </c>
      <c r="CL257" s="17" t="n">
        <f aca="false">SQRT(($B257-CL$139)^2+($C257-CL$140)^2+($D257-CL$141)^2)</f>
        <v>6.53009959805052</v>
      </c>
      <c r="CM257" s="17" t="n">
        <f aca="false">SQRT(($B257-CM$139)^2+($C257-CM$140)^2+($D257-CM$141)^2)</f>
        <v>0.447293388693396</v>
      </c>
      <c r="CN257" s="17" t="n">
        <f aca="false">SQRT(($B257-CN$139)^2+($C257-CN$140)^2+($D257-CN$141)^2)</f>
        <v>3.35332552167738</v>
      </c>
      <c r="CO257" s="17" t="n">
        <f aca="false">SQRT(($B257-CO$139)^2+($C257-CO$140)^2+($D257-CO$141)^2)</f>
        <v>1.77479237732966</v>
      </c>
      <c r="CP257" s="63" t="n">
        <f aca="false">MATCH(MIN(CL257:CO257),CL257:CO257,0)</f>
        <v>2</v>
      </c>
    </row>
    <row r="258" customFormat="false" ht="15" hidden="false" customHeight="false" outlineLevel="0" collapsed="false">
      <c r="A258" s="36" t="str">
        <f aca="false">KMeans_Data!A117</f>
        <v>Okara</v>
      </c>
      <c r="B258" s="17" t="n">
        <f aca="false">KMeans_Data!H117</f>
        <v>-1.71897565655168</v>
      </c>
      <c r="C258" s="17" t="n">
        <f aca="false">KMeans_Data!I117</f>
        <v>-0.672650545388274</v>
      </c>
      <c r="D258" s="17" t="n">
        <f aca="false">KMeans_Data!J117</f>
        <v>-1.14564411633355</v>
      </c>
      <c r="E258" s="63" t="n">
        <f aca="false">CP258</f>
        <v>2</v>
      </c>
      <c r="F258" s="38" t="n">
        <f aca="false">($B258-INDEX($L$139:$O$139,E258))^2+($C258-INDEX($L$140:$O$140,E258))^2+($D258-INDEX($L$141:$O$141,E258))^2</f>
        <v>0.200071375568821</v>
      </c>
      <c r="G258" s="17" t="n">
        <f aca="false">IF(COUNTIF(Distance_Matrix!$E$10:$DQ$10,$E258)&lt;=1,0,SUMIF(Distance_Matrix!$E$10:$DQ$10,$E258,Distance_Matrix!$E$126:$DQ$126)/(COUNTIF(Distance_Matrix!$E$10:$DQ$10,$E258)-1))</f>
        <v>0.54773175436393</v>
      </c>
      <c r="H258" s="17" t="n">
        <f aca="false">MIN(IF(1=$E258,1E+099,IF(COUNTIF(Distance_Matrix!$E$10:$DQ$10,1)=0,1E+099,SUMIF(Distance_Matrix!$E$10:$DQ$10,1,Distance_Matrix!$E$126:$DQ$126)/COUNTIF(Distance_Matrix!$E$10:$DQ$10,1))),IF(2=$E258,1E+099,IF(COUNTIF(Distance_Matrix!$E$10:$DQ$10,2)=0,1E+099,SUMIF(Distance_Matrix!$E$10:$DQ$10,2,Distance_Matrix!$E$126:$DQ$126)/COUNTIF(Distance_Matrix!$E$10:$DQ$10,2))),IF(3=$E258,1E+099,IF(COUNTIF(Distance_Matrix!$E$10:$DQ$10,3)=0,1E+099,SUMIF(Distance_Matrix!$E$10:$DQ$10,3,Distance_Matrix!$E$126:$DQ$126)/COUNTIF(Distance_Matrix!$E$10:$DQ$10,3))),IF(4=$E258,1E+099,IF(COUNTIF(Distance_Matrix!$E$10:$DQ$10,4)=0,1E+099,SUMIF(Distance_Matrix!$E$10:$DQ$10,4,Distance_Matrix!$E$126:$DQ$126)/COUNTIF(Distance_Matrix!$E$10:$DQ$10,4))))</f>
        <v>1.88735613874727</v>
      </c>
      <c r="I258" s="17" t="n">
        <f aca="false">IF(COUNTIF(Distance_Matrix!$E$10:$DQ$10,$E258)&lt;=1,0,(H258-G258)/MAX(G258,H258))</f>
        <v>0.709788871787872</v>
      </c>
      <c r="X258" s="17" t="n">
        <f aca="false">SQRT(($B258-X$139)^2+($C258-X$140)^2+($D258-X$141)^2)</f>
        <v>8.15332373062299</v>
      </c>
      <c r="Y258" s="17" t="n">
        <f aca="false">SQRT(($B258-Y$139)^2+($C258-Y$140)^2+($D258-Y$141)^2)</f>
        <v>0.360762325251648</v>
      </c>
      <c r="Z258" s="17" t="n">
        <f aca="false">SQRT(($B258-Z$139)^2+($C258-Z$140)^2+($D258-Z$141)^2)</f>
        <v>3.94287645773164</v>
      </c>
      <c r="AA258" s="17" t="n">
        <f aca="false">SQRT(($B258-AA$139)^2+($C258-AA$140)^2+($D258-AA$141)^2)</f>
        <v>2.42237275698138</v>
      </c>
      <c r="AB258" s="63" t="n">
        <f aca="false">MATCH(MIN(X258:AA258),X258:AA258,0)</f>
        <v>2</v>
      </c>
      <c r="AD258" s="17" t="n">
        <f aca="false">SQRT(($B258-AD$139)^2+($C258-AD$140)^2+($D258-AD$141)^2)</f>
        <v>7.15604035865804</v>
      </c>
      <c r="AE258" s="17" t="n">
        <f aca="false">SQRT(($B258-AE$139)^2+($C258-AE$140)^2+($D258-AE$141)^2)</f>
        <v>0.522572482532373</v>
      </c>
      <c r="AF258" s="17" t="n">
        <f aca="false">SQRT(($B258-AF$139)^2+($C258-AF$140)^2+($D258-AF$141)^2)</f>
        <v>3.32810269586242</v>
      </c>
      <c r="AG258" s="17" t="n">
        <f aca="false">SQRT(($B258-AG$139)^2+($C258-AG$140)^2+($D258-AG$141)^2)</f>
        <v>1.78252797425168</v>
      </c>
      <c r="AH258" s="63" t="n">
        <f aca="false">MATCH(MIN(AD258:AG258),AD258:AG258,0)</f>
        <v>2</v>
      </c>
      <c r="AJ258" s="17" t="n">
        <f aca="false">SQRT(($B258-AJ$139)^2+($C258-AJ$140)^2+($D258-AJ$141)^2)</f>
        <v>6.82709320849694</v>
      </c>
      <c r="AK258" s="17" t="n">
        <f aca="false">SQRT(($B258-AK$139)^2+($C258-AK$140)^2+($D258-AK$141)^2)</f>
        <v>0.512682720199268</v>
      </c>
      <c r="AL258" s="17" t="n">
        <f aca="false">SQRT(($B258-AL$139)^2+($C258-AL$140)^2+($D258-AL$141)^2)</f>
        <v>3.39477748854075</v>
      </c>
      <c r="AM258" s="17" t="n">
        <f aca="false">SQRT(($B258-AM$139)^2+($C258-AM$140)^2+($D258-AM$141)^2)</f>
        <v>1.81470659847055</v>
      </c>
      <c r="AN258" s="63" t="n">
        <f aca="false">MATCH(MIN(AJ258:AM258),AJ258:AM258,0)</f>
        <v>2</v>
      </c>
      <c r="AP258" s="17" t="n">
        <f aca="false">SQRT(($B258-AP$139)^2+($C258-AP$140)^2+($D258-AP$141)^2)</f>
        <v>6.53009959805052</v>
      </c>
      <c r="AQ258" s="17" t="n">
        <f aca="false">SQRT(($B258-AQ$139)^2+($C258-AQ$140)^2+($D258-AQ$141)^2)</f>
        <v>0.447293388693396</v>
      </c>
      <c r="AR258" s="17" t="n">
        <f aca="false">SQRT(($B258-AR$139)^2+($C258-AR$140)^2+($D258-AR$141)^2)</f>
        <v>3.35332552167738</v>
      </c>
      <c r="AS258" s="17" t="n">
        <f aca="false">SQRT(($B258-AS$139)^2+($C258-AS$140)^2+($D258-AS$141)^2)</f>
        <v>1.77479237732966</v>
      </c>
      <c r="AT258" s="63" t="n">
        <f aca="false">MATCH(MIN(AP258:AS258),AP258:AS258,0)</f>
        <v>2</v>
      </c>
      <c r="AV258" s="17" t="n">
        <f aca="false">SQRT(($B258-AV$139)^2+($C258-AV$140)^2+($D258-AV$141)^2)</f>
        <v>6.53009959805052</v>
      </c>
      <c r="AW258" s="17" t="n">
        <f aca="false">SQRT(($B258-AW$139)^2+($C258-AW$140)^2+($D258-AW$141)^2)</f>
        <v>0.447293388693396</v>
      </c>
      <c r="AX258" s="17" t="n">
        <f aca="false">SQRT(($B258-AX$139)^2+($C258-AX$140)^2+($D258-AX$141)^2)</f>
        <v>3.35332552167738</v>
      </c>
      <c r="AY258" s="17" t="n">
        <f aca="false">SQRT(($B258-AY$139)^2+($C258-AY$140)^2+($D258-AY$141)^2)</f>
        <v>1.77479237732966</v>
      </c>
      <c r="AZ258" s="63" t="n">
        <f aca="false">MATCH(MIN(AV258:AY258),AV258:AY258,0)</f>
        <v>2</v>
      </c>
      <c r="BB258" s="17" t="n">
        <f aca="false">SQRT(($B258-BB$139)^2+($C258-BB$140)^2+($D258-BB$141)^2)</f>
        <v>6.53009959805052</v>
      </c>
      <c r="BC258" s="17" t="n">
        <f aca="false">SQRT(($B258-BC$139)^2+($C258-BC$140)^2+($D258-BC$141)^2)</f>
        <v>0.447293388693396</v>
      </c>
      <c r="BD258" s="17" t="n">
        <f aca="false">SQRT(($B258-BD$139)^2+($C258-BD$140)^2+($D258-BD$141)^2)</f>
        <v>3.35332552167738</v>
      </c>
      <c r="BE258" s="17" t="n">
        <f aca="false">SQRT(($B258-BE$139)^2+($C258-BE$140)^2+($D258-BE$141)^2)</f>
        <v>1.77479237732966</v>
      </c>
      <c r="BF258" s="63" t="n">
        <f aca="false">MATCH(MIN(BB258:BE258),BB258:BE258,0)</f>
        <v>2</v>
      </c>
      <c r="BH258" s="17" t="n">
        <f aca="false">SQRT(($B258-BH$139)^2+($C258-BH$140)^2+($D258-BH$141)^2)</f>
        <v>6.53009959805052</v>
      </c>
      <c r="BI258" s="17" t="n">
        <f aca="false">SQRT(($B258-BI$139)^2+($C258-BI$140)^2+($D258-BI$141)^2)</f>
        <v>0.447293388693396</v>
      </c>
      <c r="BJ258" s="17" t="n">
        <f aca="false">SQRT(($B258-BJ$139)^2+($C258-BJ$140)^2+($D258-BJ$141)^2)</f>
        <v>3.35332552167738</v>
      </c>
      <c r="BK258" s="17" t="n">
        <f aca="false">SQRT(($B258-BK$139)^2+($C258-BK$140)^2+($D258-BK$141)^2)</f>
        <v>1.77479237732966</v>
      </c>
      <c r="BL258" s="63" t="n">
        <f aca="false">MATCH(MIN(BH258:BK258),BH258:BK258,0)</f>
        <v>2</v>
      </c>
      <c r="BN258" s="17" t="n">
        <f aca="false">SQRT(($B258-BN$139)^2+($C258-BN$140)^2+($D258-BN$141)^2)</f>
        <v>6.53009959805052</v>
      </c>
      <c r="BO258" s="17" t="n">
        <f aca="false">SQRT(($B258-BO$139)^2+($C258-BO$140)^2+($D258-BO$141)^2)</f>
        <v>0.447293388693396</v>
      </c>
      <c r="BP258" s="17" t="n">
        <f aca="false">SQRT(($B258-BP$139)^2+($C258-BP$140)^2+($D258-BP$141)^2)</f>
        <v>3.35332552167738</v>
      </c>
      <c r="BQ258" s="17" t="n">
        <f aca="false">SQRT(($B258-BQ$139)^2+($C258-BQ$140)^2+($D258-BQ$141)^2)</f>
        <v>1.77479237732966</v>
      </c>
      <c r="BR258" s="63" t="n">
        <f aca="false">MATCH(MIN(BN258:BQ258),BN258:BQ258,0)</f>
        <v>2</v>
      </c>
      <c r="BT258" s="17" t="n">
        <f aca="false">SQRT(($B258-BT$139)^2+($C258-BT$140)^2+($D258-BT$141)^2)</f>
        <v>6.53009959805052</v>
      </c>
      <c r="BU258" s="17" t="n">
        <f aca="false">SQRT(($B258-BU$139)^2+($C258-BU$140)^2+($D258-BU$141)^2)</f>
        <v>0.447293388693396</v>
      </c>
      <c r="BV258" s="17" t="n">
        <f aca="false">SQRT(($B258-BV$139)^2+($C258-BV$140)^2+($D258-BV$141)^2)</f>
        <v>3.35332552167738</v>
      </c>
      <c r="BW258" s="17" t="n">
        <f aca="false">SQRT(($B258-BW$139)^2+($C258-BW$140)^2+($D258-BW$141)^2)</f>
        <v>1.77479237732966</v>
      </c>
      <c r="BX258" s="63" t="n">
        <f aca="false">MATCH(MIN(BT258:BW258),BT258:BW258,0)</f>
        <v>2</v>
      </c>
      <c r="BZ258" s="17" t="n">
        <f aca="false">SQRT(($B258-BZ$139)^2+($C258-BZ$140)^2+($D258-BZ$141)^2)</f>
        <v>6.53009959805052</v>
      </c>
      <c r="CA258" s="17" t="n">
        <f aca="false">SQRT(($B258-CA$139)^2+($C258-CA$140)^2+($D258-CA$141)^2)</f>
        <v>0.447293388693396</v>
      </c>
      <c r="CB258" s="17" t="n">
        <f aca="false">SQRT(($B258-CB$139)^2+($C258-CB$140)^2+($D258-CB$141)^2)</f>
        <v>3.35332552167738</v>
      </c>
      <c r="CC258" s="17" t="n">
        <f aca="false">SQRT(($B258-CC$139)^2+($C258-CC$140)^2+($D258-CC$141)^2)</f>
        <v>1.77479237732966</v>
      </c>
      <c r="CD258" s="63" t="n">
        <f aca="false">MATCH(MIN(BZ258:CC258),BZ258:CC258,0)</f>
        <v>2</v>
      </c>
      <c r="CF258" s="17" t="n">
        <f aca="false">SQRT(($B258-CF$139)^2+($C258-CF$140)^2+($D258-CF$141)^2)</f>
        <v>6.53009959805052</v>
      </c>
      <c r="CG258" s="17" t="n">
        <f aca="false">SQRT(($B258-CG$139)^2+($C258-CG$140)^2+($D258-CG$141)^2)</f>
        <v>0.447293388693396</v>
      </c>
      <c r="CH258" s="17" t="n">
        <f aca="false">SQRT(($B258-CH$139)^2+($C258-CH$140)^2+($D258-CH$141)^2)</f>
        <v>3.35332552167738</v>
      </c>
      <c r="CI258" s="17" t="n">
        <f aca="false">SQRT(($B258-CI$139)^2+($C258-CI$140)^2+($D258-CI$141)^2)</f>
        <v>1.77479237732966</v>
      </c>
      <c r="CJ258" s="63" t="n">
        <f aca="false">MATCH(MIN(CF258:CI258),CF258:CI258,0)</f>
        <v>2</v>
      </c>
      <c r="CL258" s="17" t="n">
        <f aca="false">SQRT(($B258-CL$139)^2+($C258-CL$140)^2+($D258-CL$141)^2)</f>
        <v>6.53009959805052</v>
      </c>
      <c r="CM258" s="17" t="n">
        <f aca="false">SQRT(($B258-CM$139)^2+($C258-CM$140)^2+($D258-CM$141)^2)</f>
        <v>0.447293388693396</v>
      </c>
      <c r="CN258" s="17" t="n">
        <f aca="false">SQRT(($B258-CN$139)^2+($C258-CN$140)^2+($D258-CN$141)^2)</f>
        <v>3.35332552167738</v>
      </c>
      <c r="CO258" s="17" t="n">
        <f aca="false">SQRT(($B258-CO$139)^2+($C258-CO$140)^2+($D258-CO$141)^2)</f>
        <v>1.77479237732966</v>
      </c>
      <c r="CP258" s="63" t="n">
        <f aca="false">MATCH(MIN(CL258:CO258),CL258:CO258,0)</f>
        <v>2</v>
      </c>
    </row>
    <row r="259" customFormat="false" ht="15" hidden="false" customHeight="false" outlineLevel="0" collapsed="false">
      <c r="A259" s="36" t="str">
        <f aca="false">KMeans_Data!A118</f>
        <v>Ziarat</v>
      </c>
      <c r="B259" s="17" t="n">
        <f aca="false">KMeans_Data!H118</f>
        <v>-1.71897565655168</v>
      </c>
      <c r="C259" s="17" t="n">
        <f aca="false">KMeans_Data!I118</f>
        <v>-0.672650545388274</v>
      </c>
      <c r="D259" s="17" t="n">
        <f aca="false">KMeans_Data!J118</f>
        <v>-1.14564411633355</v>
      </c>
      <c r="E259" s="63" t="n">
        <f aca="false">CP259</f>
        <v>2</v>
      </c>
      <c r="F259" s="38" t="n">
        <f aca="false">($B259-INDEX($L$139:$O$139,E259))^2+($C259-INDEX($L$140:$O$140,E259))^2+($D259-INDEX($L$141:$O$141,E259))^2</f>
        <v>0.200071375568821</v>
      </c>
      <c r="G259" s="17" t="n">
        <f aca="false">IF(COUNTIF(Distance_Matrix!$E$10:$DQ$10,$E259)&lt;=1,0,SUMIF(Distance_Matrix!$E$10:$DQ$10,$E259,Distance_Matrix!$E$127:$DQ$127)/(COUNTIF(Distance_Matrix!$E$10:$DQ$10,$E259)-1))</f>
        <v>0.54773175436393</v>
      </c>
      <c r="H259" s="17" t="n">
        <f aca="false">MIN(IF(1=$E259,1E+099,IF(COUNTIF(Distance_Matrix!$E$10:$DQ$10,1)=0,1E+099,SUMIF(Distance_Matrix!$E$10:$DQ$10,1,Distance_Matrix!$E$127:$DQ$127)/COUNTIF(Distance_Matrix!$E$10:$DQ$10,1))),IF(2=$E259,1E+099,IF(COUNTIF(Distance_Matrix!$E$10:$DQ$10,2)=0,1E+099,SUMIF(Distance_Matrix!$E$10:$DQ$10,2,Distance_Matrix!$E$127:$DQ$127)/COUNTIF(Distance_Matrix!$E$10:$DQ$10,2))),IF(3=$E259,1E+099,IF(COUNTIF(Distance_Matrix!$E$10:$DQ$10,3)=0,1E+099,SUMIF(Distance_Matrix!$E$10:$DQ$10,3,Distance_Matrix!$E$127:$DQ$127)/COUNTIF(Distance_Matrix!$E$10:$DQ$10,3))),IF(4=$E259,1E+099,IF(COUNTIF(Distance_Matrix!$E$10:$DQ$10,4)=0,1E+099,SUMIF(Distance_Matrix!$E$10:$DQ$10,4,Distance_Matrix!$E$127:$DQ$127)/COUNTIF(Distance_Matrix!$E$10:$DQ$10,4))))</f>
        <v>1.88735613874727</v>
      </c>
      <c r="I259" s="17" t="n">
        <f aca="false">IF(COUNTIF(Distance_Matrix!$E$10:$DQ$10,$E259)&lt;=1,0,(H259-G259)/MAX(G259,H259))</f>
        <v>0.709788871787872</v>
      </c>
      <c r="X259" s="17" t="n">
        <f aca="false">SQRT(($B259-X$139)^2+($C259-X$140)^2+($D259-X$141)^2)</f>
        <v>8.15332373062299</v>
      </c>
      <c r="Y259" s="17" t="n">
        <f aca="false">SQRT(($B259-Y$139)^2+($C259-Y$140)^2+($D259-Y$141)^2)</f>
        <v>0.360762325251648</v>
      </c>
      <c r="Z259" s="17" t="n">
        <f aca="false">SQRT(($B259-Z$139)^2+($C259-Z$140)^2+($D259-Z$141)^2)</f>
        <v>3.94287645773164</v>
      </c>
      <c r="AA259" s="17" t="n">
        <f aca="false">SQRT(($B259-AA$139)^2+($C259-AA$140)^2+($D259-AA$141)^2)</f>
        <v>2.42237275698138</v>
      </c>
      <c r="AB259" s="63" t="n">
        <f aca="false">MATCH(MIN(X259:AA259),X259:AA259,0)</f>
        <v>2</v>
      </c>
      <c r="AD259" s="17" t="n">
        <f aca="false">SQRT(($B259-AD$139)^2+($C259-AD$140)^2+($D259-AD$141)^2)</f>
        <v>7.15604035865804</v>
      </c>
      <c r="AE259" s="17" t="n">
        <f aca="false">SQRT(($B259-AE$139)^2+($C259-AE$140)^2+($D259-AE$141)^2)</f>
        <v>0.522572482532373</v>
      </c>
      <c r="AF259" s="17" t="n">
        <f aca="false">SQRT(($B259-AF$139)^2+($C259-AF$140)^2+($D259-AF$141)^2)</f>
        <v>3.32810269586242</v>
      </c>
      <c r="AG259" s="17" t="n">
        <f aca="false">SQRT(($B259-AG$139)^2+($C259-AG$140)^2+($D259-AG$141)^2)</f>
        <v>1.78252797425168</v>
      </c>
      <c r="AH259" s="63" t="n">
        <f aca="false">MATCH(MIN(AD259:AG259),AD259:AG259,0)</f>
        <v>2</v>
      </c>
      <c r="AJ259" s="17" t="n">
        <f aca="false">SQRT(($B259-AJ$139)^2+($C259-AJ$140)^2+($D259-AJ$141)^2)</f>
        <v>6.82709320849694</v>
      </c>
      <c r="AK259" s="17" t="n">
        <f aca="false">SQRT(($B259-AK$139)^2+($C259-AK$140)^2+($D259-AK$141)^2)</f>
        <v>0.512682720199268</v>
      </c>
      <c r="AL259" s="17" t="n">
        <f aca="false">SQRT(($B259-AL$139)^2+($C259-AL$140)^2+($D259-AL$141)^2)</f>
        <v>3.39477748854075</v>
      </c>
      <c r="AM259" s="17" t="n">
        <f aca="false">SQRT(($B259-AM$139)^2+($C259-AM$140)^2+($D259-AM$141)^2)</f>
        <v>1.81470659847055</v>
      </c>
      <c r="AN259" s="63" t="n">
        <f aca="false">MATCH(MIN(AJ259:AM259),AJ259:AM259,0)</f>
        <v>2</v>
      </c>
      <c r="AP259" s="17" t="n">
        <f aca="false">SQRT(($B259-AP$139)^2+($C259-AP$140)^2+($D259-AP$141)^2)</f>
        <v>6.53009959805052</v>
      </c>
      <c r="AQ259" s="17" t="n">
        <f aca="false">SQRT(($B259-AQ$139)^2+($C259-AQ$140)^2+($D259-AQ$141)^2)</f>
        <v>0.447293388693396</v>
      </c>
      <c r="AR259" s="17" t="n">
        <f aca="false">SQRT(($B259-AR$139)^2+($C259-AR$140)^2+($D259-AR$141)^2)</f>
        <v>3.35332552167738</v>
      </c>
      <c r="AS259" s="17" t="n">
        <f aca="false">SQRT(($B259-AS$139)^2+($C259-AS$140)^2+($D259-AS$141)^2)</f>
        <v>1.77479237732966</v>
      </c>
      <c r="AT259" s="63" t="n">
        <f aca="false">MATCH(MIN(AP259:AS259),AP259:AS259,0)</f>
        <v>2</v>
      </c>
      <c r="AV259" s="17" t="n">
        <f aca="false">SQRT(($B259-AV$139)^2+($C259-AV$140)^2+($D259-AV$141)^2)</f>
        <v>6.53009959805052</v>
      </c>
      <c r="AW259" s="17" t="n">
        <f aca="false">SQRT(($B259-AW$139)^2+($C259-AW$140)^2+($D259-AW$141)^2)</f>
        <v>0.447293388693396</v>
      </c>
      <c r="AX259" s="17" t="n">
        <f aca="false">SQRT(($B259-AX$139)^2+($C259-AX$140)^2+($D259-AX$141)^2)</f>
        <v>3.35332552167738</v>
      </c>
      <c r="AY259" s="17" t="n">
        <f aca="false">SQRT(($B259-AY$139)^2+($C259-AY$140)^2+($D259-AY$141)^2)</f>
        <v>1.77479237732966</v>
      </c>
      <c r="AZ259" s="63" t="n">
        <f aca="false">MATCH(MIN(AV259:AY259),AV259:AY259,0)</f>
        <v>2</v>
      </c>
      <c r="BB259" s="17" t="n">
        <f aca="false">SQRT(($B259-BB$139)^2+($C259-BB$140)^2+($D259-BB$141)^2)</f>
        <v>6.53009959805052</v>
      </c>
      <c r="BC259" s="17" t="n">
        <f aca="false">SQRT(($B259-BC$139)^2+($C259-BC$140)^2+($D259-BC$141)^2)</f>
        <v>0.447293388693396</v>
      </c>
      <c r="BD259" s="17" t="n">
        <f aca="false">SQRT(($B259-BD$139)^2+($C259-BD$140)^2+($D259-BD$141)^2)</f>
        <v>3.35332552167738</v>
      </c>
      <c r="BE259" s="17" t="n">
        <f aca="false">SQRT(($B259-BE$139)^2+($C259-BE$140)^2+($D259-BE$141)^2)</f>
        <v>1.77479237732966</v>
      </c>
      <c r="BF259" s="63" t="n">
        <f aca="false">MATCH(MIN(BB259:BE259),BB259:BE259,0)</f>
        <v>2</v>
      </c>
      <c r="BH259" s="17" t="n">
        <f aca="false">SQRT(($B259-BH$139)^2+($C259-BH$140)^2+($D259-BH$141)^2)</f>
        <v>6.53009959805052</v>
      </c>
      <c r="BI259" s="17" t="n">
        <f aca="false">SQRT(($B259-BI$139)^2+($C259-BI$140)^2+($D259-BI$141)^2)</f>
        <v>0.447293388693396</v>
      </c>
      <c r="BJ259" s="17" t="n">
        <f aca="false">SQRT(($B259-BJ$139)^2+($C259-BJ$140)^2+($D259-BJ$141)^2)</f>
        <v>3.35332552167738</v>
      </c>
      <c r="BK259" s="17" t="n">
        <f aca="false">SQRT(($B259-BK$139)^2+($C259-BK$140)^2+($D259-BK$141)^2)</f>
        <v>1.77479237732966</v>
      </c>
      <c r="BL259" s="63" t="n">
        <f aca="false">MATCH(MIN(BH259:BK259),BH259:BK259,0)</f>
        <v>2</v>
      </c>
      <c r="BN259" s="17" t="n">
        <f aca="false">SQRT(($B259-BN$139)^2+($C259-BN$140)^2+($D259-BN$141)^2)</f>
        <v>6.53009959805052</v>
      </c>
      <c r="BO259" s="17" t="n">
        <f aca="false">SQRT(($B259-BO$139)^2+($C259-BO$140)^2+($D259-BO$141)^2)</f>
        <v>0.447293388693396</v>
      </c>
      <c r="BP259" s="17" t="n">
        <f aca="false">SQRT(($B259-BP$139)^2+($C259-BP$140)^2+($D259-BP$141)^2)</f>
        <v>3.35332552167738</v>
      </c>
      <c r="BQ259" s="17" t="n">
        <f aca="false">SQRT(($B259-BQ$139)^2+($C259-BQ$140)^2+($D259-BQ$141)^2)</f>
        <v>1.77479237732966</v>
      </c>
      <c r="BR259" s="63" t="n">
        <f aca="false">MATCH(MIN(BN259:BQ259),BN259:BQ259,0)</f>
        <v>2</v>
      </c>
      <c r="BT259" s="17" t="n">
        <f aca="false">SQRT(($B259-BT$139)^2+($C259-BT$140)^2+($D259-BT$141)^2)</f>
        <v>6.53009959805052</v>
      </c>
      <c r="BU259" s="17" t="n">
        <f aca="false">SQRT(($B259-BU$139)^2+($C259-BU$140)^2+($D259-BU$141)^2)</f>
        <v>0.447293388693396</v>
      </c>
      <c r="BV259" s="17" t="n">
        <f aca="false">SQRT(($B259-BV$139)^2+($C259-BV$140)^2+($D259-BV$141)^2)</f>
        <v>3.35332552167738</v>
      </c>
      <c r="BW259" s="17" t="n">
        <f aca="false">SQRT(($B259-BW$139)^2+($C259-BW$140)^2+($D259-BW$141)^2)</f>
        <v>1.77479237732966</v>
      </c>
      <c r="BX259" s="63" t="n">
        <f aca="false">MATCH(MIN(BT259:BW259),BT259:BW259,0)</f>
        <v>2</v>
      </c>
      <c r="BZ259" s="17" t="n">
        <f aca="false">SQRT(($B259-BZ$139)^2+($C259-BZ$140)^2+($D259-BZ$141)^2)</f>
        <v>6.53009959805052</v>
      </c>
      <c r="CA259" s="17" t="n">
        <f aca="false">SQRT(($B259-CA$139)^2+($C259-CA$140)^2+($D259-CA$141)^2)</f>
        <v>0.447293388693396</v>
      </c>
      <c r="CB259" s="17" t="n">
        <f aca="false">SQRT(($B259-CB$139)^2+($C259-CB$140)^2+($D259-CB$141)^2)</f>
        <v>3.35332552167738</v>
      </c>
      <c r="CC259" s="17" t="n">
        <f aca="false">SQRT(($B259-CC$139)^2+($C259-CC$140)^2+($D259-CC$141)^2)</f>
        <v>1.77479237732966</v>
      </c>
      <c r="CD259" s="63" t="n">
        <f aca="false">MATCH(MIN(BZ259:CC259),BZ259:CC259,0)</f>
        <v>2</v>
      </c>
      <c r="CF259" s="17" t="n">
        <f aca="false">SQRT(($B259-CF$139)^2+($C259-CF$140)^2+($D259-CF$141)^2)</f>
        <v>6.53009959805052</v>
      </c>
      <c r="CG259" s="17" t="n">
        <f aca="false">SQRT(($B259-CG$139)^2+($C259-CG$140)^2+($D259-CG$141)^2)</f>
        <v>0.447293388693396</v>
      </c>
      <c r="CH259" s="17" t="n">
        <f aca="false">SQRT(($B259-CH$139)^2+($C259-CH$140)^2+($D259-CH$141)^2)</f>
        <v>3.35332552167738</v>
      </c>
      <c r="CI259" s="17" t="n">
        <f aca="false">SQRT(($B259-CI$139)^2+($C259-CI$140)^2+($D259-CI$141)^2)</f>
        <v>1.77479237732966</v>
      </c>
      <c r="CJ259" s="63" t="n">
        <f aca="false">MATCH(MIN(CF259:CI259),CF259:CI259,0)</f>
        <v>2</v>
      </c>
      <c r="CL259" s="17" t="n">
        <f aca="false">SQRT(($B259-CL$139)^2+($C259-CL$140)^2+($D259-CL$141)^2)</f>
        <v>6.53009959805052</v>
      </c>
      <c r="CM259" s="17" t="n">
        <f aca="false">SQRT(($B259-CM$139)^2+($C259-CM$140)^2+($D259-CM$141)^2)</f>
        <v>0.447293388693396</v>
      </c>
      <c r="CN259" s="17" t="n">
        <f aca="false">SQRT(($B259-CN$139)^2+($C259-CN$140)^2+($D259-CN$141)^2)</f>
        <v>3.35332552167738</v>
      </c>
      <c r="CO259" s="17" t="n">
        <f aca="false">SQRT(($B259-CO$139)^2+($C259-CO$140)^2+($D259-CO$141)^2)</f>
        <v>1.77479237732966</v>
      </c>
      <c r="CP259" s="63" t="n">
        <f aca="false">MATCH(MIN(CL259:CO259),CL259:CO259,0)</f>
        <v>2</v>
      </c>
    </row>
    <row r="260" customFormat="false" ht="15" hidden="false" customHeight="false" outlineLevel="0" collapsed="false">
      <c r="A260" s="36" t="str">
        <f aca="false">KMeans_Data!A119</f>
        <v>Pakpatan</v>
      </c>
      <c r="B260" s="17" t="n">
        <f aca="false">KMeans_Data!H119</f>
        <v>-1.71897565655168</v>
      </c>
      <c r="C260" s="17" t="n">
        <f aca="false">KMeans_Data!I119</f>
        <v>-0.672650545388274</v>
      </c>
      <c r="D260" s="17" t="n">
        <f aca="false">KMeans_Data!J119</f>
        <v>-1.14564411633355</v>
      </c>
      <c r="E260" s="63" t="n">
        <f aca="false">CP260</f>
        <v>2</v>
      </c>
      <c r="F260" s="38" t="n">
        <f aca="false">($B260-INDEX($L$139:$O$139,E260))^2+($C260-INDEX($L$140:$O$140,E260))^2+($D260-INDEX($L$141:$O$141,E260))^2</f>
        <v>0.200071375568821</v>
      </c>
      <c r="G260" s="17" t="n">
        <f aca="false">IF(COUNTIF(Distance_Matrix!$E$10:$DQ$10,$E260)&lt;=1,0,SUMIF(Distance_Matrix!$E$10:$DQ$10,$E260,Distance_Matrix!$E$128:$DQ$128)/(COUNTIF(Distance_Matrix!$E$10:$DQ$10,$E260)-1))</f>
        <v>0.54773175436393</v>
      </c>
      <c r="H260" s="17" t="n">
        <f aca="false">MIN(IF(1=$E260,1E+099,IF(COUNTIF(Distance_Matrix!$E$10:$DQ$10,1)=0,1E+099,SUMIF(Distance_Matrix!$E$10:$DQ$10,1,Distance_Matrix!$E$128:$DQ$128)/COUNTIF(Distance_Matrix!$E$10:$DQ$10,1))),IF(2=$E260,1E+099,IF(COUNTIF(Distance_Matrix!$E$10:$DQ$10,2)=0,1E+099,SUMIF(Distance_Matrix!$E$10:$DQ$10,2,Distance_Matrix!$E$128:$DQ$128)/COUNTIF(Distance_Matrix!$E$10:$DQ$10,2))),IF(3=$E260,1E+099,IF(COUNTIF(Distance_Matrix!$E$10:$DQ$10,3)=0,1E+099,SUMIF(Distance_Matrix!$E$10:$DQ$10,3,Distance_Matrix!$E$128:$DQ$128)/COUNTIF(Distance_Matrix!$E$10:$DQ$10,3))),IF(4=$E260,1E+099,IF(COUNTIF(Distance_Matrix!$E$10:$DQ$10,4)=0,1E+099,SUMIF(Distance_Matrix!$E$10:$DQ$10,4,Distance_Matrix!$E$128:$DQ$128)/COUNTIF(Distance_Matrix!$E$10:$DQ$10,4))))</f>
        <v>1.88735613874727</v>
      </c>
      <c r="I260" s="17" t="n">
        <f aca="false">IF(COUNTIF(Distance_Matrix!$E$10:$DQ$10,$E260)&lt;=1,0,(H260-G260)/MAX(G260,H260))</f>
        <v>0.709788871787872</v>
      </c>
      <c r="X260" s="17" t="n">
        <f aca="false">SQRT(($B260-X$139)^2+($C260-X$140)^2+($D260-X$141)^2)</f>
        <v>8.15332373062299</v>
      </c>
      <c r="Y260" s="17" t="n">
        <f aca="false">SQRT(($B260-Y$139)^2+($C260-Y$140)^2+($D260-Y$141)^2)</f>
        <v>0.360762325251648</v>
      </c>
      <c r="Z260" s="17" t="n">
        <f aca="false">SQRT(($B260-Z$139)^2+($C260-Z$140)^2+($D260-Z$141)^2)</f>
        <v>3.94287645773164</v>
      </c>
      <c r="AA260" s="17" t="n">
        <f aca="false">SQRT(($B260-AA$139)^2+($C260-AA$140)^2+($D260-AA$141)^2)</f>
        <v>2.42237275698138</v>
      </c>
      <c r="AB260" s="63" t="n">
        <f aca="false">MATCH(MIN(X260:AA260),X260:AA260,0)</f>
        <v>2</v>
      </c>
      <c r="AD260" s="17" t="n">
        <f aca="false">SQRT(($B260-AD$139)^2+($C260-AD$140)^2+($D260-AD$141)^2)</f>
        <v>7.15604035865804</v>
      </c>
      <c r="AE260" s="17" t="n">
        <f aca="false">SQRT(($B260-AE$139)^2+($C260-AE$140)^2+($D260-AE$141)^2)</f>
        <v>0.522572482532373</v>
      </c>
      <c r="AF260" s="17" t="n">
        <f aca="false">SQRT(($B260-AF$139)^2+($C260-AF$140)^2+($D260-AF$141)^2)</f>
        <v>3.32810269586242</v>
      </c>
      <c r="AG260" s="17" t="n">
        <f aca="false">SQRT(($B260-AG$139)^2+($C260-AG$140)^2+($D260-AG$141)^2)</f>
        <v>1.78252797425168</v>
      </c>
      <c r="AH260" s="63" t="n">
        <f aca="false">MATCH(MIN(AD260:AG260),AD260:AG260,0)</f>
        <v>2</v>
      </c>
      <c r="AJ260" s="17" t="n">
        <f aca="false">SQRT(($B260-AJ$139)^2+($C260-AJ$140)^2+($D260-AJ$141)^2)</f>
        <v>6.82709320849694</v>
      </c>
      <c r="AK260" s="17" t="n">
        <f aca="false">SQRT(($B260-AK$139)^2+($C260-AK$140)^2+($D260-AK$141)^2)</f>
        <v>0.512682720199268</v>
      </c>
      <c r="AL260" s="17" t="n">
        <f aca="false">SQRT(($B260-AL$139)^2+($C260-AL$140)^2+($D260-AL$141)^2)</f>
        <v>3.39477748854075</v>
      </c>
      <c r="AM260" s="17" t="n">
        <f aca="false">SQRT(($B260-AM$139)^2+($C260-AM$140)^2+($D260-AM$141)^2)</f>
        <v>1.81470659847055</v>
      </c>
      <c r="AN260" s="63" t="n">
        <f aca="false">MATCH(MIN(AJ260:AM260),AJ260:AM260,0)</f>
        <v>2</v>
      </c>
      <c r="AP260" s="17" t="n">
        <f aca="false">SQRT(($B260-AP$139)^2+($C260-AP$140)^2+($D260-AP$141)^2)</f>
        <v>6.53009959805052</v>
      </c>
      <c r="AQ260" s="17" t="n">
        <f aca="false">SQRT(($B260-AQ$139)^2+($C260-AQ$140)^2+($D260-AQ$141)^2)</f>
        <v>0.447293388693396</v>
      </c>
      <c r="AR260" s="17" t="n">
        <f aca="false">SQRT(($B260-AR$139)^2+($C260-AR$140)^2+($D260-AR$141)^2)</f>
        <v>3.35332552167738</v>
      </c>
      <c r="AS260" s="17" t="n">
        <f aca="false">SQRT(($B260-AS$139)^2+($C260-AS$140)^2+($D260-AS$141)^2)</f>
        <v>1.77479237732966</v>
      </c>
      <c r="AT260" s="63" t="n">
        <f aca="false">MATCH(MIN(AP260:AS260),AP260:AS260,0)</f>
        <v>2</v>
      </c>
      <c r="AV260" s="17" t="n">
        <f aca="false">SQRT(($B260-AV$139)^2+($C260-AV$140)^2+($D260-AV$141)^2)</f>
        <v>6.53009959805052</v>
      </c>
      <c r="AW260" s="17" t="n">
        <f aca="false">SQRT(($B260-AW$139)^2+($C260-AW$140)^2+($D260-AW$141)^2)</f>
        <v>0.447293388693396</v>
      </c>
      <c r="AX260" s="17" t="n">
        <f aca="false">SQRT(($B260-AX$139)^2+($C260-AX$140)^2+($D260-AX$141)^2)</f>
        <v>3.35332552167738</v>
      </c>
      <c r="AY260" s="17" t="n">
        <f aca="false">SQRT(($B260-AY$139)^2+($C260-AY$140)^2+($D260-AY$141)^2)</f>
        <v>1.77479237732966</v>
      </c>
      <c r="AZ260" s="63" t="n">
        <f aca="false">MATCH(MIN(AV260:AY260),AV260:AY260,0)</f>
        <v>2</v>
      </c>
      <c r="BB260" s="17" t="n">
        <f aca="false">SQRT(($B260-BB$139)^2+($C260-BB$140)^2+($D260-BB$141)^2)</f>
        <v>6.53009959805052</v>
      </c>
      <c r="BC260" s="17" t="n">
        <f aca="false">SQRT(($B260-BC$139)^2+($C260-BC$140)^2+($D260-BC$141)^2)</f>
        <v>0.447293388693396</v>
      </c>
      <c r="BD260" s="17" t="n">
        <f aca="false">SQRT(($B260-BD$139)^2+($C260-BD$140)^2+($D260-BD$141)^2)</f>
        <v>3.35332552167738</v>
      </c>
      <c r="BE260" s="17" t="n">
        <f aca="false">SQRT(($B260-BE$139)^2+($C260-BE$140)^2+($D260-BE$141)^2)</f>
        <v>1.77479237732966</v>
      </c>
      <c r="BF260" s="63" t="n">
        <f aca="false">MATCH(MIN(BB260:BE260),BB260:BE260,0)</f>
        <v>2</v>
      </c>
      <c r="BH260" s="17" t="n">
        <f aca="false">SQRT(($B260-BH$139)^2+($C260-BH$140)^2+($D260-BH$141)^2)</f>
        <v>6.53009959805052</v>
      </c>
      <c r="BI260" s="17" t="n">
        <f aca="false">SQRT(($B260-BI$139)^2+($C260-BI$140)^2+($D260-BI$141)^2)</f>
        <v>0.447293388693396</v>
      </c>
      <c r="BJ260" s="17" t="n">
        <f aca="false">SQRT(($B260-BJ$139)^2+($C260-BJ$140)^2+($D260-BJ$141)^2)</f>
        <v>3.35332552167738</v>
      </c>
      <c r="BK260" s="17" t="n">
        <f aca="false">SQRT(($B260-BK$139)^2+($C260-BK$140)^2+($D260-BK$141)^2)</f>
        <v>1.77479237732966</v>
      </c>
      <c r="BL260" s="63" t="n">
        <f aca="false">MATCH(MIN(BH260:BK260),BH260:BK260,0)</f>
        <v>2</v>
      </c>
      <c r="BN260" s="17" t="n">
        <f aca="false">SQRT(($B260-BN$139)^2+($C260-BN$140)^2+($D260-BN$141)^2)</f>
        <v>6.53009959805052</v>
      </c>
      <c r="BO260" s="17" t="n">
        <f aca="false">SQRT(($B260-BO$139)^2+($C260-BO$140)^2+($D260-BO$141)^2)</f>
        <v>0.447293388693396</v>
      </c>
      <c r="BP260" s="17" t="n">
        <f aca="false">SQRT(($B260-BP$139)^2+($C260-BP$140)^2+($D260-BP$141)^2)</f>
        <v>3.35332552167738</v>
      </c>
      <c r="BQ260" s="17" t="n">
        <f aca="false">SQRT(($B260-BQ$139)^2+($C260-BQ$140)^2+($D260-BQ$141)^2)</f>
        <v>1.77479237732966</v>
      </c>
      <c r="BR260" s="63" t="n">
        <f aca="false">MATCH(MIN(BN260:BQ260),BN260:BQ260,0)</f>
        <v>2</v>
      </c>
      <c r="BT260" s="17" t="n">
        <f aca="false">SQRT(($B260-BT$139)^2+($C260-BT$140)^2+($D260-BT$141)^2)</f>
        <v>6.53009959805052</v>
      </c>
      <c r="BU260" s="17" t="n">
        <f aca="false">SQRT(($B260-BU$139)^2+($C260-BU$140)^2+($D260-BU$141)^2)</f>
        <v>0.447293388693396</v>
      </c>
      <c r="BV260" s="17" t="n">
        <f aca="false">SQRT(($B260-BV$139)^2+($C260-BV$140)^2+($D260-BV$141)^2)</f>
        <v>3.35332552167738</v>
      </c>
      <c r="BW260" s="17" t="n">
        <f aca="false">SQRT(($B260-BW$139)^2+($C260-BW$140)^2+($D260-BW$141)^2)</f>
        <v>1.77479237732966</v>
      </c>
      <c r="BX260" s="63" t="n">
        <f aca="false">MATCH(MIN(BT260:BW260),BT260:BW260,0)</f>
        <v>2</v>
      </c>
      <c r="BZ260" s="17" t="n">
        <f aca="false">SQRT(($B260-BZ$139)^2+($C260-BZ$140)^2+($D260-BZ$141)^2)</f>
        <v>6.53009959805052</v>
      </c>
      <c r="CA260" s="17" t="n">
        <f aca="false">SQRT(($B260-CA$139)^2+($C260-CA$140)^2+($D260-CA$141)^2)</f>
        <v>0.447293388693396</v>
      </c>
      <c r="CB260" s="17" t="n">
        <f aca="false">SQRT(($B260-CB$139)^2+($C260-CB$140)^2+($D260-CB$141)^2)</f>
        <v>3.35332552167738</v>
      </c>
      <c r="CC260" s="17" t="n">
        <f aca="false">SQRT(($B260-CC$139)^2+($C260-CC$140)^2+($D260-CC$141)^2)</f>
        <v>1.77479237732966</v>
      </c>
      <c r="CD260" s="63" t="n">
        <f aca="false">MATCH(MIN(BZ260:CC260),BZ260:CC260,0)</f>
        <v>2</v>
      </c>
      <c r="CF260" s="17" t="n">
        <f aca="false">SQRT(($B260-CF$139)^2+($C260-CF$140)^2+($D260-CF$141)^2)</f>
        <v>6.53009959805052</v>
      </c>
      <c r="CG260" s="17" t="n">
        <f aca="false">SQRT(($B260-CG$139)^2+($C260-CG$140)^2+($D260-CG$141)^2)</f>
        <v>0.447293388693396</v>
      </c>
      <c r="CH260" s="17" t="n">
        <f aca="false">SQRT(($B260-CH$139)^2+($C260-CH$140)^2+($D260-CH$141)^2)</f>
        <v>3.35332552167738</v>
      </c>
      <c r="CI260" s="17" t="n">
        <f aca="false">SQRT(($B260-CI$139)^2+($C260-CI$140)^2+($D260-CI$141)^2)</f>
        <v>1.77479237732966</v>
      </c>
      <c r="CJ260" s="63" t="n">
        <f aca="false">MATCH(MIN(CF260:CI260),CF260:CI260,0)</f>
        <v>2</v>
      </c>
      <c r="CL260" s="17" t="n">
        <f aca="false">SQRT(($B260-CL$139)^2+($C260-CL$140)^2+($D260-CL$141)^2)</f>
        <v>6.53009959805052</v>
      </c>
      <c r="CM260" s="17" t="n">
        <f aca="false">SQRT(($B260-CM$139)^2+($C260-CM$140)^2+($D260-CM$141)^2)</f>
        <v>0.447293388693396</v>
      </c>
      <c r="CN260" s="17" t="n">
        <f aca="false">SQRT(($B260-CN$139)^2+($C260-CN$140)^2+($D260-CN$141)^2)</f>
        <v>3.35332552167738</v>
      </c>
      <c r="CO260" s="17" t="n">
        <f aca="false">SQRT(($B260-CO$139)^2+($C260-CO$140)^2+($D260-CO$141)^2)</f>
        <v>1.77479237732966</v>
      </c>
      <c r="CP260" s="63" t="n">
        <f aca="false">MATCH(MIN(CL260:CO260),CL260:CO260,0)</f>
        <v>2</v>
      </c>
    </row>
    <row r="261" customFormat="false" ht="15" hidden="false" customHeight="false" outlineLevel="0" collapsed="false">
      <c r="A261" s="36" t="str">
        <f aca="false">KMeans_Data!A120</f>
        <v>Chitral</v>
      </c>
      <c r="B261" s="17" t="n">
        <f aca="false">KMeans_Data!H120</f>
        <v>-2.07973798180332</v>
      </c>
      <c r="C261" s="17" t="n">
        <f aca="false">KMeans_Data!I120</f>
        <v>-0.672650545388274</v>
      </c>
      <c r="D261" s="17" t="n">
        <f aca="false">KMeans_Data!J120</f>
        <v>-1.14564411633355</v>
      </c>
      <c r="E261" s="63" t="n">
        <f aca="false">CP261</f>
        <v>2</v>
      </c>
      <c r="F261" s="38" t="n">
        <f aca="false">($B261-INDEX($L$139:$O$139,E261))^2+($C261-INDEX($L$140:$O$140,E261))^2+($D261-INDEX($L$141:$O$141,E261))^2</f>
        <v>0.648412750710958</v>
      </c>
      <c r="G261" s="17" t="n">
        <f aca="false">IF(COUNTIF(Distance_Matrix!$E$10:$DQ$10,$E261)&lt;=1,0,SUMIF(Distance_Matrix!$E$10:$DQ$10,$E261,Distance_Matrix!$E$129:$DQ$129)/(COUNTIF(Distance_Matrix!$E$10:$DQ$10,$E261)-1))</f>
        <v>0.855362464332144</v>
      </c>
      <c r="H261" s="17" t="n">
        <f aca="false">MIN(IF(1=$E261,1E+099,IF(COUNTIF(Distance_Matrix!$E$10:$DQ$10,1)=0,1E+099,SUMIF(Distance_Matrix!$E$10:$DQ$10,1,Distance_Matrix!$E$129:$DQ$129)/COUNTIF(Distance_Matrix!$E$10:$DQ$10,1))),IF(2=$E261,1E+099,IF(COUNTIF(Distance_Matrix!$E$10:$DQ$10,2)=0,1E+099,SUMIF(Distance_Matrix!$E$10:$DQ$10,2,Distance_Matrix!$E$129:$DQ$129)/COUNTIF(Distance_Matrix!$E$10:$DQ$10,2))),IF(3=$E261,1E+099,IF(COUNTIF(Distance_Matrix!$E$10:$DQ$10,3)=0,1E+099,SUMIF(Distance_Matrix!$E$10:$DQ$10,3,Distance_Matrix!$E$129:$DQ$129)/COUNTIF(Distance_Matrix!$E$10:$DQ$10,3))),IF(4=$E261,1E+099,IF(COUNTIF(Distance_Matrix!$E$10:$DQ$10,4)=0,1E+099,SUMIF(Distance_Matrix!$E$10:$DQ$10,4,Distance_Matrix!$E$129:$DQ$129)/COUNTIF(Distance_Matrix!$E$10:$DQ$10,4))))</f>
        <v>2.19972282291547</v>
      </c>
      <c r="I261" s="17" t="n">
        <f aca="false">IF(COUNTIF(Distance_Matrix!$E$10:$DQ$10,$E261)&lt;=1,0,(H261-G261)/MAX(G261,H261))</f>
        <v>0.611149888785323</v>
      </c>
      <c r="X261" s="17" t="n">
        <f aca="false">SQRT(($B261-X$139)^2+($C261-X$140)^2+($D261-X$141)^2)</f>
        <v>8.37911780072121</v>
      </c>
      <c r="Y261" s="17" t="n">
        <f aca="false">SQRT(($B261-Y$139)^2+($C261-Y$140)^2+($D261-Y$141)^2)</f>
        <v>0</v>
      </c>
      <c r="Z261" s="17" t="n">
        <f aca="false">SQRT(($B261-Z$139)^2+($C261-Z$140)^2+($D261-Z$141)^2)</f>
        <v>4.20299555676564</v>
      </c>
      <c r="AA261" s="17" t="n">
        <f aca="false">SQRT(($B261-AA$139)^2+($C261-AA$140)^2+($D261-AA$141)^2)</f>
        <v>2.77564255027266</v>
      </c>
      <c r="AB261" s="63" t="n">
        <f aca="false">MATCH(MIN(X261:AA261),X261:AA261,0)</f>
        <v>2</v>
      </c>
      <c r="AD261" s="17" t="n">
        <f aca="false">SQRT(($B261-AD$139)^2+($C261-AD$140)^2+($D261-AD$141)^2)</f>
        <v>7.38957299921179</v>
      </c>
      <c r="AE261" s="17" t="n">
        <f aca="false">SQRT(($B261-AE$139)^2+($C261-AE$140)^2+($D261-AE$141)^2)</f>
        <v>0.86492478534362</v>
      </c>
      <c r="AF261" s="17" t="n">
        <f aca="false">SQRT(($B261-AF$139)^2+($C261-AF$140)^2+($D261-AF$141)^2)</f>
        <v>3.58958667946158</v>
      </c>
      <c r="AG261" s="17" t="n">
        <f aca="false">SQRT(($B261-AG$139)^2+($C261-AG$140)^2+($D261-AG$141)^2)</f>
        <v>2.12200841493662</v>
      </c>
      <c r="AH261" s="63" t="n">
        <f aca="false">MATCH(MIN(AD261:AG261),AD261:AG261,0)</f>
        <v>2</v>
      </c>
      <c r="AJ261" s="17" t="n">
        <f aca="false">SQRT(($B261-AJ$139)^2+($C261-AJ$140)^2+($D261-AJ$141)^2)</f>
        <v>7.06499062297795</v>
      </c>
      <c r="AK261" s="17" t="n">
        <f aca="false">SQRT(($B261-AK$139)^2+($C261-AK$140)^2+($D261-AK$141)^2)</f>
        <v>0.862647133562691</v>
      </c>
      <c r="AL261" s="17" t="n">
        <f aca="false">SQRT(($B261-AL$139)^2+($C261-AL$140)^2+($D261-AL$141)^2)</f>
        <v>3.65606026961335</v>
      </c>
      <c r="AM261" s="17" t="n">
        <f aca="false">SQRT(($B261-AM$139)^2+($C261-AM$140)^2+($D261-AM$141)^2)</f>
        <v>2.14586915641912</v>
      </c>
      <c r="AN261" s="63" t="n">
        <f aca="false">MATCH(MIN(AJ261:AM261),AJ261:AM261,0)</f>
        <v>2</v>
      </c>
      <c r="AP261" s="17" t="n">
        <f aca="false">SQRT(($B261-AP$139)^2+($C261-AP$140)^2+($D261-AP$141)^2)</f>
        <v>6.76788828070514</v>
      </c>
      <c r="AQ261" s="17" t="n">
        <f aca="false">SQRT(($B261-AQ$139)^2+($C261-AQ$140)^2+($D261-AQ$141)^2)</f>
        <v>0.805240802934723</v>
      </c>
      <c r="AR261" s="17" t="n">
        <f aca="false">SQRT(($B261-AR$139)^2+($C261-AR$140)^2+($D261-AR$141)^2)</f>
        <v>3.61533920114621</v>
      </c>
      <c r="AS261" s="17" t="n">
        <f aca="false">SQRT(($B261-AS$139)^2+($C261-AS$140)^2+($D261-AS$141)^2)</f>
        <v>2.10415614588998</v>
      </c>
      <c r="AT261" s="63" t="n">
        <f aca="false">MATCH(MIN(AP261:AS261),AP261:AS261,0)</f>
        <v>2</v>
      </c>
      <c r="AV261" s="17" t="n">
        <f aca="false">SQRT(($B261-AV$139)^2+($C261-AV$140)^2+($D261-AV$141)^2)</f>
        <v>6.76788828070514</v>
      </c>
      <c r="AW261" s="17" t="n">
        <f aca="false">SQRT(($B261-AW$139)^2+($C261-AW$140)^2+($D261-AW$141)^2)</f>
        <v>0.805240802934723</v>
      </c>
      <c r="AX261" s="17" t="n">
        <f aca="false">SQRT(($B261-AX$139)^2+($C261-AX$140)^2+($D261-AX$141)^2)</f>
        <v>3.61533920114621</v>
      </c>
      <c r="AY261" s="17" t="n">
        <f aca="false">SQRT(($B261-AY$139)^2+($C261-AY$140)^2+($D261-AY$141)^2)</f>
        <v>2.10415614588998</v>
      </c>
      <c r="AZ261" s="63" t="n">
        <f aca="false">MATCH(MIN(AV261:AY261),AV261:AY261,0)</f>
        <v>2</v>
      </c>
      <c r="BB261" s="17" t="n">
        <f aca="false">SQRT(($B261-BB$139)^2+($C261-BB$140)^2+($D261-BB$141)^2)</f>
        <v>6.76788828070514</v>
      </c>
      <c r="BC261" s="17" t="n">
        <f aca="false">SQRT(($B261-BC$139)^2+($C261-BC$140)^2+($D261-BC$141)^2)</f>
        <v>0.805240802934723</v>
      </c>
      <c r="BD261" s="17" t="n">
        <f aca="false">SQRT(($B261-BD$139)^2+($C261-BD$140)^2+($D261-BD$141)^2)</f>
        <v>3.61533920114621</v>
      </c>
      <c r="BE261" s="17" t="n">
        <f aca="false">SQRT(($B261-BE$139)^2+($C261-BE$140)^2+($D261-BE$141)^2)</f>
        <v>2.10415614588998</v>
      </c>
      <c r="BF261" s="63" t="n">
        <f aca="false">MATCH(MIN(BB261:BE261),BB261:BE261,0)</f>
        <v>2</v>
      </c>
      <c r="BH261" s="17" t="n">
        <f aca="false">SQRT(($B261-BH$139)^2+($C261-BH$140)^2+($D261-BH$141)^2)</f>
        <v>6.76788828070514</v>
      </c>
      <c r="BI261" s="17" t="n">
        <f aca="false">SQRT(($B261-BI$139)^2+($C261-BI$140)^2+($D261-BI$141)^2)</f>
        <v>0.805240802934723</v>
      </c>
      <c r="BJ261" s="17" t="n">
        <f aca="false">SQRT(($B261-BJ$139)^2+($C261-BJ$140)^2+($D261-BJ$141)^2)</f>
        <v>3.61533920114621</v>
      </c>
      <c r="BK261" s="17" t="n">
        <f aca="false">SQRT(($B261-BK$139)^2+($C261-BK$140)^2+($D261-BK$141)^2)</f>
        <v>2.10415614588998</v>
      </c>
      <c r="BL261" s="63" t="n">
        <f aca="false">MATCH(MIN(BH261:BK261),BH261:BK261,0)</f>
        <v>2</v>
      </c>
      <c r="BN261" s="17" t="n">
        <f aca="false">SQRT(($B261-BN$139)^2+($C261-BN$140)^2+($D261-BN$141)^2)</f>
        <v>6.76788828070514</v>
      </c>
      <c r="BO261" s="17" t="n">
        <f aca="false">SQRT(($B261-BO$139)^2+($C261-BO$140)^2+($D261-BO$141)^2)</f>
        <v>0.805240802934723</v>
      </c>
      <c r="BP261" s="17" t="n">
        <f aca="false">SQRT(($B261-BP$139)^2+($C261-BP$140)^2+($D261-BP$141)^2)</f>
        <v>3.61533920114621</v>
      </c>
      <c r="BQ261" s="17" t="n">
        <f aca="false">SQRT(($B261-BQ$139)^2+($C261-BQ$140)^2+($D261-BQ$141)^2)</f>
        <v>2.10415614588998</v>
      </c>
      <c r="BR261" s="63" t="n">
        <f aca="false">MATCH(MIN(BN261:BQ261),BN261:BQ261,0)</f>
        <v>2</v>
      </c>
      <c r="BT261" s="17" t="n">
        <f aca="false">SQRT(($B261-BT$139)^2+($C261-BT$140)^2+($D261-BT$141)^2)</f>
        <v>6.76788828070514</v>
      </c>
      <c r="BU261" s="17" t="n">
        <f aca="false">SQRT(($B261-BU$139)^2+($C261-BU$140)^2+($D261-BU$141)^2)</f>
        <v>0.805240802934723</v>
      </c>
      <c r="BV261" s="17" t="n">
        <f aca="false">SQRT(($B261-BV$139)^2+($C261-BV$140)^2+($D261-BV$141)^2)</f>
        <v>3.61533920114621</v>
      </c>
      <c r="BW261" s="17" t="n">
        <f aca="false">SQRT(($B261-BW$139)^2+($C261-BW$140)^2+($D261-BW$141)^2)</f>
        <v>2.10415614588998</v>
      </c>
      <c r="BX261" s="63" t="n">
        <f aca="false">MATCH(MIN(BT261:BW261),BT261:BW261,0)</f>
        <v>2</v>
      </c>
      <c r="BZ261" s="17" t="n">
        <f aca="false">SQRT(($B261-BZ$139)^2+($C261-BZ$140)^2+($D261-BZ$141)^2)</f>
        <v>6.76788828070514</v>
      </c>
      <c r="CA261" s="17" t="n">
        <f aca="false">SQRT(($B261-CA$139)^2+($C261-CA$140)^2+($D261-CA$141)^2)</f>
        <v>0.805240802934723</v>
      </c>
      <c r="CB261" s="17" t="n">
        <f aca="false">SQRT(($B261-CB$139)^2+($C261-CB$140)^2+($D261-CB$141)^2)</f>
        <v>3.61533920114621</v>
      </c>
      <c r="CC261" s="17" t="n">
        <f aca="false">SQRT(($B261-CC$139)^2+($C261-CC$140)^2+($D261-CC$141)^2)</f>
        <v>2.10415614588998</v>
      </c>
      <c r="CD261" s="63" t="n">
        <f aca="false">MATCH(MIN(BZ261:CC261),BZ261:CC261,0)</f>
        <v>2</v>
      </c>
      <c r="CF261" s="17" t="n">
        <f aca="false">SQRT(($B261-CF$139)^2+($C261-CF$140)^2+($D261-CF$141)^2)</f>
        <v>6.76788828070514</v>
      </c>
      <c r="CG261" s="17" t="n">
        <f aca="false">SQRT(($B261-CG$139)^2+($C261-CG$140)^2+($D261-CG$141)^2)</f>
        <v>0.805240802934723</v>
      </c>
      <c r="CH261" s="17" t="n">
        <f aca="false">SQRT(($B261-CH$139)^2+($C261-CH$140)^2+($D261-CH$141)^2)</f>
        <v>3.61533920114621</v>
      </c>
      <c r="CI261" s="17" t="n">
        <f aca="false">SQRT(($B261-CI$139)^2+($C261-CI$140)^2+($D261-CI$141)^2)</f>
        <v>2.10415614588998</v>
      </c>
      <c r="CJ261" s="63" t="n">
        <f aca="false">MATCH(MIN(CF261:CI261),CF261:CI261,0)</f>
        <v>2</v>
      </c>
      <c r="CL261" s="17" t="n">
        <f aca="false">SQRT(($B261-CL$139)^2+($C261-CL$140)^2+($D261-CL$141)^2)</f>
        <v>6.76788828070514</v>
      </c>
      <c r="CM261" s="17" t="n">
        <f aca="false">SQRT(($B261-CM$139)^2+($C261-CM$140)^2+($D261-CM$141)^2)</f>
        <v>0.805240802934723</v>
      </c>
      <c r="CN261" s="17" t="n">
        <f aca="false">SQRT(($B261-CN$139)^2+($C261-CN$140)^2+($D261-CN$141)^2)</f>
        <v>3.61533920114621</v>
      </c>
      <c r="CO261" s="17" t="n">
        <f aca="false">SQRT(($B261-CO$139)^2+($C261-CO$140)^2+($D261-CO$141)^2)</f>
        <v>2.10415614588998</v>
      </c>
      <c r="CP261" s="63" t="n">
        <f aca="false">MATCH(MIN(CL261:CO261),CL261:CO261,0)</f>
        <v>2</v>
      </c>
    </row>
    <row r="262" customFormat="false" ht="15" hidden="false" customHeight="false" outlineLevel="0" collapsed="false">
      <c r="A262" s="36" t="str">
        <f aca="false">KMeans_Data!A121</f>
        <v>Kolai Pallas</v>
      </c>
      <c r="B262" s="17" t="n">
        <f aca="false">KMeans_Data!H121</f>
        <v>-2.07973798180332</v>
      </c>
      <c r="C262" s="17" t="n">
        <f aca="false">KMeans_Data!I121</f>
        <v>-0.672650545388274</v>
      </c>
      <c r="D262" s="17" t="n">
        <f aca="false">KMeans_Data!J121</f>
        <v>-1.14564411633355</v>
      </c>
      <c r="E262" s="63" t="n">
        <f aca="false">CP262</f>
        <v>2</v>
      </c>
      <c r="F262" s="38" t="n">
        <f aca="false">($B262-INDEX($L$139:$O$139,E262))^2+($C262-INDEX($L$140:$O$140,E262))^2+($D262-INDEX($L$141:$O$141,E262))^2</f>
        <v>0.648412750710958</v>
      </c>
      <c r="G262" s="17" t="n">
        <f aca="false">IF(COUNTIF(Distance_Matrix!$E$10:$DQ$10,$E262)&lt;=1,0,SUMIF(Distance_Matrix!$E$10:$DQ$10,$E262,Distance_Matrix!$E$130:$DQ$130)/(COUNTIF(Distance_Matrix!$E$10:$DQ$10,$E262)-1))</f>
        <v>0.855362464332144</v>
      </c>
      <c r="H262" s="17" t="n">
        <f aca="false">MIN(IF(1=$E262,1E+099,IF(COUNTIF(Distance_Matrix!$E$10:$DQ$10,1)=0,1E+099,SUMIF(Distance_Matrix!$E$10:$DQ$10,1,Distance_Matrix!$E$130:$DQ$130)/COUNTIF(Distance_Matrix!$E$10:$DQ$10,1))),IF(2=$E262,1E+099,IF(COUNTIF(Distance_Matrix!$E$10:$DQ$10,2)=0,1E+099,SUMIF(Distance_Matrix!$E$10:$DQ$10,2,Distance_Matrix!$E$130:$DQ$130)/COUNTIF(Distance_Matrix!$E$10:$DQ$10,2))),IF(3=$E262,1E+099,IF(COUNTIF(Distance_Matrix!$E$10:$DQ$10,3)=0,1E+099,SUMIF(Distance_Matrix!$E$10:$DQ$10,3,Distance_Matrix!$E$130:$DQ$130)/COUNTIF(Distance_Matrix!$E$10:$DQ$10,3))),IF(4=$E262,1E+099,IF(COUNTIF(Distance_Matrix!$E$10:$DQ$10,4)=0,1E+099,SUMIF(Distance_Matrix!$E$10:$DQ$10,4,Distance_Matrix!$E$130:$DQ$130)/COUNTIF(Distance_Matrix!$E$10:$DQ$10,4))))</f>
        <v>2.19972282291547</v>
      </c>
      <c r="I262" s="17" t="n">
        <f aca="false">IF(COUNTIF(Distance_Matrix!$E$10:$DQ$10,$E262)&lt;=1,0,(H262-G262)/MAX(G262,H262))</f>
        <v>0.611149888785323</v>
      </c>
      <c r="X262" s="17" t="n">
        <f aca="false">SQRT(($B262-X$139)^2+($C262-X$140)^2+($D262-X$141)^2)</f>
        <v>8.37911780072121</v>
      </c>
      <c r="Y262" s="17" t="n">
        <f aca="false">SQRT(($B262-Y$139)^2+($C262-Y$140)^2+($D262-Y$141)^2)</f>
        <v>0</v>
      </c>
      <c r="Z262" s="17" t="n">
        <f aca="false">SQRT(($B262-Z$139)^2+($C262-Z$140)^2+($D262-Z$141)^2)</f>
        <v>4.20299555676564</v>
      </c>
      <c r="AA262" s="17" t="n">
        <f aca="false">SQRT(($B262-AA$139)^2+($C262-AA$140)^2+($D262-AA$141)^2)</f>
        <v>2.77564255027266</v>
      </c>
      <c r="AB262" s="63" t="n">
        <f aca="false">MATCH(MIN(X262:AA262),X262:AA262,0)</f>
        <v>2</v>
      </c>
      <c r="AD262" s="17" t="n">
        <f aca="false">SQRT(($B262-AD$139)^2+($C262-AD$140)^2+($D262-AD$141)^2)</f>
        <v>7.38957299921179</v>
      </c>
      <c r="AE262" s="17" t="n">
        <f aca="false">SQRT(($B262-AE$139)^2+($C262-AE$140)^2+($D262-AE$141)^2)</f>
        <v>0.86492478534362</v>
      </c>
      <c r="AF262" s="17" t="n">
        <f aca="false">SQRT(($B262-AF$139)^2+($C262-AF$140)^2+($D262-AF$141)^2)</f>
        <v>3.58958667946158</v>
      </c>
      <c r="AG262" s="17" t="n">
        <f aca="false">SQRT(($B262-AG$139)^2+($C262-AG$140)^2+($D262-AG$141)^2)</f>
        <v>2.12200841493662</v>
      </c>
      <c r="AH262" s="63" t="n">
        <f aca="false">MATCH(MIN(AD262:AG262),AD262:AG262,0)</f>
        <v>2</v>
      </c>
      <c r="AJ262" s="17" t="n">
        <f aca="false">SQRT(($B262-AJ$139)^2+($C262-AJ$140)^2+($D262-AJ$141)^2)</f>
        <v>7.06499062297795</v>
      </c>
      <c r="AK262" s="17" t="n">
        <f aca="false">SQRT(($B262-AK$139)^2+($C262-AK$140)^2+($D262-AK$141)^2)</f>
        <v>0.862647133562691</v>
      </c>
      <c r="AL262" s="17" t="n">
        <f aca="false">SQRT(($B262-AL$139)^2+($C262-AL$140)^2+($D262-AL$141)^2)</f>
        <v>3.65606026961335</v>
      </c>
      <c r="AM262" s="17" t="n">
        <f aca="false">SQRT(($B262-AM$139)^2+($C262-AM$140)^2+($D262-AM$141)^2)</f>
        <v>2.14586915641912</v>
      </c>
      <c r="AN262" s="63" t="n">
        <f aca="false">MATCH(MIN(AJ262:AM262),AJ262:AM262,0)</f>
        <v>2</v>
      </c>
      <c r="AP262" s="17" t="n">
        <f aca="false">SQRT(($B262-AP$139)^2+($C262-AP$140)^2+($D262-AP$141)^2)</f>
        <v>6.76788828070514</v>
      </c>
      <c r="AQ262" s="17" t="n">
        <f aca="false">SQRT(($B262-AQ$139)^2+($C262-AQ$140)^2+($D262-AQ$141)^2)</f>
        <v>0.805240802934723</v>
      </c>
      <c r="AR262" s="17" t="n">
        <f aca="false">SQRT(($B262-AR$139)^2+($C262-AR$140)^2+($D262-AR$141)^2)</f>
        <v>3.61533920114621</v>
      </c>
      <c r="AS262" s="17" t="n">
        <f aca="false">SQRT(($B262-AS$139)^2+($C262-AS$140)^2+($D262-AS$141)^2)</f>
        <v>2.10415614588998</v>
      </c>
      <c r="AT262" s="63" t="n">
        <f aca="false">MATCH(MIN(AP262:AS262),AP262:AS262,0)</f>
        <v>2</v>
      </c>
      <c r="AV262" s="17" t="n">
        <f aca="false">SQRT(($B262-AV$139)^2+($C262-AV$140)^2+($D262-AV$141)^2)</f>
        <v>6.76788828070514</v>
      </c>
      <c r="AW262" s="17" t="n">
        <f aca="false">SQRT(($B262-AW$139)^2+($C262-AW$140)^2+($D262-AW$141)^2)</f>
        <v>0.805240802934723</v>
      </c>
      <c r="AX262" s="17" t="n">
        <f aca="false">SQRT(($B262-AX$139)^2+($C262-AX$140)^2+($D262-AX$141)^2)</f>
        <v>3.61533920114621</v>
      </c>
      <c r="AY262" s="17" t="n">
        <f aca="false">SQRT(($B262-AY$139)^2+($C262-AY$140)^2+($D262-AY$141)^2)</f>
        <v>2.10415614588998</v>
      </c>
      <c r="AZ262" s="63" t="n">
        <f aca="false">MATCH(MIN(AV262:AY262),AV262:AY262,0)</f>
        <v>2</v>
      </c>
      <c r="BB262" s="17" t="n">
        <f aca="false">SQRT(($B262-BB$139)^2+($C262-BB$140)^2+($D262-BB$141)^2)</f>
        <v>6.76788828070514</v>
      </c>
      <c r="BC262" s="17" t="n">
        <f aca="false">SQRT(($B262-BC$139)^2+($C262-BC$140)^2+($D262-BC$141)^2)</f>
        <v>0.805240802934723</v>
      </c>
      <c r="BD262" s="17" t="n">
        <f aca="false">SQRT(($B262-BD$139)^2+($C262-BD$140)^2+($D262-BD$141)^2)</f>
        <v>3.61533920114621</v>
      </c>
      <c r="BE262" s="17" t="n">
        <f aca="false">SQRT(($B262-BE$139)^2+($C262-BE$140)^2+($D262-BE$141)^2)</f>
        <v>2.10415614588998</v>
      </c>
      <c r="BF262" s="63" t="n">
        <f aca="false">MATCH(MIN(BB262:BE262),BB262:BE262,0)</f>
        <v>2</v>
      </c>
      <c r="BH262" s="17" t="n">
        <f aca="false">SQRT(($B262-BH$139)^2+($C262-BH$140)^2+($D262-BH$141)^2)</f>
        <v>6.76788828070514</v>
      </c>
      <c r="BI262" s="17" t="n">
        <f aca="false">SQRT(($B262-BI$139)^2+($C262-BI$140)^2+($D262-BI$141)^2)</f>
        <v>0.805240802934723</v>
      </c>
      <c r="BJ262" s="17" t="n">
        <f aca="false">SQRT(($B262-BJ$139)^2+($C262-BJ$140)^2+($D262-BJ$141)^2)</f>
        <v>3.61533920114621</v>
      </c>
      <c r="BK262" s="17" t="n">
        <f aca="false">SQRT(($B262-BK$139)^2+($C262-BK$140)^2+($D262-BK$141)^2)</f>
        <v>2.10415614588998</v>
      </c>
      <c r="BL262" s="63" t="n">
        <f aca="false">MATCH(MIN(BH262:BK262),BH262:BK262,0)</f>
        <v>2</v>
      </c>
      <c r="BN262" s="17" t="n">
        <f aca="false">SQRT(($B262-BN$139)^2+($C262-BN$140)^2+($D262-BN$141)^2)</f>
        <v>6.76788828070514</v>
      </c>
      <c r="BO262" s="17" t="n">
        <f aca="false">SQRT(($B262-BO$139)^2+($C262-BO$140)^2+($D262-BO$141)^2)</f>
        <v>0.805240802934723</v>
      </c>
      <c r="BP262" s="17" t="n">
        <f aca="false">SQRT(($B262-BP$139)^2+($C262-BP$140)^2+($D262-BP$141)^2)</f>
        <v>3.61533920114621</v>
      </c>
      <c r="BQ262" s="17" t="n">
        <f aca="false">SQRT(($B262-BQ$139)^2+($C262-BQ$140)^2+($D262-BQ$141)^2)</f>
        <v>2.10415614588998</v>
      </c>
      <c r="BR262" s="63" t="n">
        <f aca="false">MATCH(MIN(BN262:BQ262),BN262:BQ262,0)</f>
        <v>2</v>
      </c>
      <c r="BT262" s="17" t="n">
        <f aca="false">SQRT(($B262-BT$139)^2+($C262-BT$140)^2+($D262-BT$141)^2)</f>
        <v>6.76788828070514</v>
      </c>
      <c r="BU262" s="17" t="n">
        <f aca="false">SQRT(($B262-BU$139)^2+($C262-BU$140)^2+($D262-BU$141)^2)</f>
        <v>0.805240802934723</v>
      </c>
      <c r="BV262" s="17" t="n">
        <f aca="false">SQRT(($B262-BV$139)^2+($C262-BV$140)^2+($D262-BV$141)^2)</f>
        <v>3.61533920114621</v>
      </c>
      <c r="BW262" s="17" t="n">
        <f aca="false">SQRT(($B262-BW$139)^2+($C262-BW$140)^2+($D262-BW$141)^2)</f>
        <v>2.10415614588998</v>
      </c>
      <c r="BX262" s="63" t="n">
        <f aca="false">MATCH(MIN(BT262:BW262),BT262:BW262,0)</f>
        <v>2</v>
      </c>
      <c r="BZ262" s="17" t="n">
        <f aca="false">SQRT(($B262-BZ$139)^2+($C262-BZ$140)^2+($D262-BZ$141)^2)</f>
        <v>6.76788828070514</v>
      </c>
      <c r="CA262" s="17" t="n">
        <f aca="false">SQRT(($B262-CA$139)^2+($C262-CA$140)^2+($D262-CA$141)^2)</f>
        <v>0.805240802934723</v>
      </c>
      <c r="CB262" s="17" t="n">
        <f aca="false">SQRT(($B262-CB$139)^2+($C262-CB$140)^2+($D262-CB$141)^2)</f>
        <v>3.61533920114621</v>
      </c>
      <c r="CC262" s="17" t="n">
        <f aca="false">SQRT(($B262-CC$139)^2+($C262-CC$140)^2+($D262-CC$141)^2)</f>
        <v>2.10415614588998</v>
      </c>
      <c r="CD262" s="63" t="n">
        <f aca="false">MATCH(MIN(BZ262:CC262),BZ262:CC262,0)</f>
        <v>2</v>
      </c>
      <c r="CF262" s="17" t="n">
        <f aca="false">SQRT(($B262-CF$139)^2+($C262-CF$140)^2+($D262-CF$141)^2)</f>
        <v>6.76788828070514</v>
      </c>
      <c r="CG262" s="17" t="n">
        <f aca="false">SQRT(($B262-CG$139)^2+($C262-CG$140)^2+($D262-CG$141)^2)</f>
        <v>0.805240802934723</v>
      </c>
      <c r="CH262" s="17" t="n">
        <f aca="false">SQRT(($B262-CH$139)^2+($C262-CH$140)^2+($D262-CH$141)^2)</f>
        <v>3.61533920114621</v>
      </c>
      <c r="CI262" s="17" t="n">
        <f aca="false">SQRT(($B262-CI$139)^2+($C262-CI$140)^2+($D262-CI$141)^2)</f>
        <v>2.10415614588998</v>
      </c>
      <c r="CJ262" s="63" t="n">
        <f aca="false">MATCH(MIN(CF262:CI262),CF262:CI262,0)</f>
        <v>2</v>
      </c>
      <c r="CL262" s="17" t="n">
        <f aca="false">SQRT(($B262-CL$139)^2+($C262-CL$140)^2+($D262-CL$141)^2)</f>
        <v>6.76788828070514</v>
      </c>
      <c r="CM262" s="17" t="n">
        <f aca="false">SQRT(($B262-CM$139)^2+($C262-CM$140)^2+($D262-CM$141)^2)</f>
        <v>0.805240802934723</v>
      </c>
      <c r="CN262" s="17" t="n">
        <f aca="false">SQRT(($B262-CN$139)^2+($C262-CN$140)^2+($D262-CN$141)^2)</f>
        <v>3.61533920114621</v>
      </c>
      <c r="CO262" s="17" t="n">
        <f aca="false">SQRT(($B262-CO$139)^2+($C262-CO$140)^2+($D262-CO$141)^2)</f>
        <v>2.10415614588998</v>
      </c>
      <c r="CP262" s="63" t="n">
        <f aca="false">MATCH(MIN(CL262:CO262),CL262:CO262,0)</f>
        <v>2</v>
      </c>
    </row>
    <row r="266" customFormat="false" ht="15" hidden="false" customHeight="false" outlineLevel="0" collapsed="false">
      <c r="A266" s="68" t="s">
        <v>760</v>
      </c>
      <c r="B266" s="69"/>
    </row>
    <row r="267" customFormat="false" ht="15" hidden="false" customHeight="false" outlineLevel="0" collapsed="false">
      <c r="A267" s="48" t="s">
        <v>755</v>
      </c>
    </row>
    <row r="268" customFormat="false" ht="15" hidden="false" customHeight="false" outlineLevel="0" collapsed="false">
      <c r="A268" s="48" t="s">
        <v>714</v>
      </c>
      <c r="B268" s="32" t="s">
        <v>91</v>
      </c>
    </row>
    <row r="269" customFormat="false" ht="15" hidden="false" customHeight="false" outlineLevel="0" collapsed="false">
      <c r="A269" s="48" t="s">
        <v>715</v>
      </c>
      <c r="B269" s="32" t="s">
        <v>691</v>
      </c>
      <c r="L269" s="68" t="s">
        <v>718</v>
      </c>
      <c r="M269" s="69"/>
      <c r="N269" s="69"/>
      <c r="O269" s="69"/>
      <c r="P269" s="69"/>
      <c r="X269" s="68" t="s">
        <v>719</v>
      </c>
      <c r="Y269" s="69"/>
      <c r="Z269" s="69"/>
      <c r="AA269" s="69"/>
      <c r="AB269" s="69"/>
      <c r="AE269" s="68" t="s">
        <v>720</v>
      </c>
      <c r="AF269" s="69"/>
      <c r="AG269" s="69"/>
      <c r="AH269" s="69"/>
      <c r="AI269" s="69"/>
      <c r="AL269" s="68" t="s">
        <v>721</v>
      </c>
      <c r="AM269" s="69"/>
      <c r="AN269" s="69"/>
      <c r="AO269" s="69"/>
      <c r="AP269" s="69"/>
      <c r="AS269" s="68" t="s">
        <v>722</v>
      </c>
      <c r="AT269" s="69"/>
      <c r="AU269" s="69"/>
      <c r="AV269" s="69"/>
      <c r="AW269" s="69"/>
      <c r="AZ269" s="68" t="s">
        <v>723</v>
      </c>
      <c r="BA269" s="69"/>
      <c r="BB269" s="69"/>
      <c r="BC269" s="69"/>
      <c r="BD269" s="69"/>
      <c r="BG269" s="68" t="s">
        <v>724</v>
      </c>
      <c r="BH269" s="69"/>
      <c r="BI269" s="69"/>
      <c r="BJ269" s="69"/>
      <c r="BK269" s="69"/>
      <c r="BN269" s="68" t="s">
        <v>725</v>
      </c>
      <c r="BO269" s="69"/>
      <c r="BP269" s="69"/>
      <c r="BQ269" s="69"/>
      <c r="BR269" s="69"/>
      <c r="BU269" s="68" t="s">
        <v>726</v>
      </c>
      <c r="BV269" s="69"/>
      <c r="BW269" s="69"/>
      <c r="BX269" s="69"/>
      <c r="BY269" s="69"/>
      <c r="CB269" s="68" t="s">
        <v>727</v>
      </c>
      <c r="CC269" s="69"/>
      <c r="CD269" s="69"/>
      <c r="CE269" s="69"/>
      <c r="CF269" s="69"/>
      <c r="CI269" s="68" t="s">
        <v>728</v>
      </c>
      <c r="CJ269" s="69"/>
      <c r="CK269" s="69"/>
      <c r="CL269" s="69"/>
      <c r="CM269" s="69"/>
      <c r="CP269" s="68" t="s">
        <v>729</v>
      </c>
      <c r="CQ269" s="69"/>
      <c r="CR269" s="69"/>
      <c r="CS269" s="69"/>
      <c r="CT269" s="69"/>
      <c r="CW269" s="68" t="s">
        <v>730</v>
      </c>
      <c r="CX269" s="69"/>
      <c r="CY269" s="69"/>
      <c r="CZ269" s="69"/>
      <c r="DA269" s="69"/>
    </row>
    <row r="270" customFormat="false" ht="15" hidden="false" customHeight="false" outlineLevel="0" collapsed="false">
      <c r="A270" s="48" t="s">
        <v>716</v>
      </c>
      <c r="B270" s="32" t="s">
        <v>104</v>
      </c>
      <c r="K270" s="40" t="s">
        <v>701</v>
      </c>
      <c r="L270" s="17" t="n">
        <f aca="false">IFERROR(AVERAGEIF($E$277:$E$393,1,$B$277:$B$393),0)</f>
        <v>3.26223008722532</v>
      </c>
      <c r="M270" s="17" t="n">
        <f aca="false">IFERROR(AVERAGEIF($E$277:$E$393,2,$B$277:$B$393),0)</f>
        <v>-1.27797628168734</v>
      </c>
      <c r="N270" s="17" t="n">
        <f aca="false">IFERROR(AVERAGEIF($E$277:$E$393,3,$B$277:$B$393),0)</f>
        <v>0.617465724218234</v>
      </c>
      <c r="O270" s="17" t="n">
        <f aca="false">IFERROR(AVERAGEIF($E$277:$E$393,4,$B$277:$B$393),0)</f>
        <v>-0.128682590974885</v>
      </c>
      <c r="P270" s="17" t="n">
        <f aca="false">IFERROR(AVERAGEIF($E$277:$E$393,5,$B$277:$B$393),0)</f>
        <v>1.90032555072917</v>
      </c>
      <c r="W270" s="40" t="s">
        <v>701</v>
      </c>
      <c r="X270" s="17" t="n">
        <f aca="false">INDEX($B$277:$B$393,MATCH($B$268,$A$277:$A$393,0))</f>
        <v>3.2743087782752</v>
      </c>
      <c r="Y270" s="17" t="n">
        <f aca="false">INDEX($B$277:$B$393,MATCH($B$269,$A$277:$A$393,0))</f>
        <v>-2.07973798180332</v>
      </c>
      <c r="Z270" s="17" t="n">
        <f aca="false">INDEX($B$277:$B$393,MATCH($B$270,$A$277:$A$393,0))</f>
        <v>1.03733687213202</v>
      </c>
      <c r="AA270" s="17" t="n">
        <f aca="false">INDEX($B$277:$B$393,MATCH($B$271,$A$277:$A$393,0))</f>
        <v>0.645673058648075</v>
      </c>
      <c r="AB270" s="17" t="n">
        <f aca="false">INDEX($B$277:$B$393,MATCH($B$272,$A$277:$A$393,0))</f>
        <v>2.36453191227648</v>
      </c>
      <c r="AE270" s="17" t="n">
        <f aca="false">IFERROR(AVERAGEIF($AC$277:$AC$393,1,$B$277:$B$393),X270)</f>
        <v>3.26223008722532</v>
      </c>
      <c r="AF270" s="17" t="n">
        <f aca="false">IFERROR(AVERAGEIF($AC$277:$AC$393,2,$B$277:$B$393),Y270)</f>
        <v>-1.24101079528169</v>
      </c>
      <c r="AG270" s="17" t="n">
        <f aca="false">IFERROR(AVERAGEIF($AC$277:$AC$393,3,$B$277:$B$393),Z270)</f>
        <v>0.547900974586114</v>
      </c>
      <c r="AH270" s="17" t="n">
        <f aca="false">IFERROR(AVERAGEIF($AC$277:$AC$393,4,$B$277:$B$393),AA270)</f>
        <v>-0.0622557123096603</v>
      </c>
      <c r="AI270" s="17" t="n">
        <f aca="false">IFERROR(AVERAGEIF($AC$277:$AC$393,5,$B$277:$B$393),AB270)</f>
        <v>2.09366051310294</v>
      </c>
      <c r="AL270" s="17" t="n">
        <f aca="false">IFERROR(AVERAGEIF($AJ$277:$AJ$393,1,$B$277:$B$393),AE270)</f>
        <v>3.26223008722532</v>
      </c>
      <c r="AM270" s="17" t="n">
        <f aca="false">IFERROR(AVERAGEIF($AJ$277:$AJ$393,2,$B$277:$B$393),AF270)</f>
        <v>-1.23227426681111</v>
      </c>
      <c r="AN270" s="17" t="n">
        <f aca="false">IFERROR(AVERAGEIF($AJ$277:$AJ$393,3,$B$277:$B$393),AG270)</f>
        <v>0.598115723865553</v>
      </c>
      <c r="AO270" s="17" t="n">
        <f aca="false">IFERROR(AVERAGEIF($AJ$277:$AJ$393,4,$B$277:$B$393),AH270)</f>
        <v>-0.0811708942313525</v>
      </c>
      <c r="AP270" s="17" t="n">
        <f aca="false">IFERROR(AVERAGEIF($AJ$277:$AJ$393,5,$B$277:$B$393),AI270)</f>
        <v>1.90032555072917</v>
      </c>
      <c r="AS270" s="17" t="n">
        <f aca="false">IFERROR(AVERAGEIF($AQ$277:$AQ$393,1,$B$277:$B$393),AL270)</f>
        <v>3.26223008722532</v>
      </c>
      <c r="AT270" s="17" t="n">
        <f aca="false">IFERROR(AVERAGEIF($AQ$277:$AQ$393,2,$B$277:$B$393),AM270)</f>
        <v>-1.27797628168734</v>
      </c>
      <c r="AU270" s="17" t="n">
        <f aca="false">IFERROR(AVERAGEIF($AQ$277:$AQ$393,3,$B$277:$B$393),AN270)</f>
        <v>0.617465724218234</v>
      </c>
      <c r="AV270" s="17" t="n">
        <f aca="false">IFERROR(AVERAGEIF($AQ$277:$AQ$393,4,$B$277:$B$393),AO270)</f>
        <v>-0.128682590974885</v>
      </c>
      <c r="AW270" s="17" t="n">
        <f aca="false">IFERROR(AVERAGEIF($AQ$277:$AQ$393,5,$B$277:$B$393),AP270)</f>
        <v>1.90032555072917</v>
      </c>
      <c r="AZ270" s="17" t="n">
        <f aca="false">IFERROR(AVERAGEIF($AX$277:$AX$393,1,$B$277:$B$393),AS270)</f>
        <v>3.26223008722532</v>
      </c>
      <c r="BA270" s="17" t="n">
        <f aca="false">IFERROR(AVERAGEIF($AX$277:$AX$393,2,$B$277:$B$393),AT270)</f>
        <v>-1.27797628168734</v>
      </c>
      <c r="BB270" s="17" t="n">
        <f aca="false">IFERROR(AVERAGEIF($AX$277:$AX$393,3,$B$277:$B$393),AU270)</f>
        <v>0.617465724218234</v>
      </c>
      <c r="BC270" s="17" t="n">
        <f aca="false">IFERROR(AVERAGEIF($AX$277:$AX$393,4,$B$277:$B$393),AV270)</f>
        <v>-0.128682590974885</v>
      </c>
      <c r="BD270" s="17" t="n">
        <f aca="false">IFERROR(AVERAGEIF($AX$277:$AX$393,5,$B$277:$B$393),AW270)</f>
        <v>1.90032555072917</v>
      </c>
      <c r="BG270" s="17" t="n">
        <f aca="false">IFERROR(AVERAGEIF($BE$277:$BE$393,1,$B$277:$B$393),AZ270)</f>
        <v>3.26223008722532</v>
      </c>
      <c r="BH270" s="17" t="n">
        <f aca="false">IFERROR(AVERAGEIF($BE$277:$BE$393,2,$B$277:$B$393),BA270)</f>
        <v>-1.27797628168734</v>
      </c>
      <c r="BI270" s="17" t="n">
        <f aca="false">IFERROR(AVERAGEIF($BE$277:$BE$393,3,$B$277:$B$393),BB270)</f>
        <v>0.617465724218234</v>
      </c>
      <c r="BJ270" s="17" t="n">
        <f aca="false">IFERROR(AVERAGEIF($BE$277:$BE$393,4,$B$277:$B$393),BC270)</f>
        <v>-0.128682590974885</v>
      </c>
      <c r="BK270" s="17" t="n">
        <f aca="false">IFERROR(AVERAGEIF($BE$277:$BE$393,5,$B$277:$B$393),BD270)</f>
        <v>1.90032555072917</v>
      </c>
      <c r="BN270" s="17" t="n">
        <f aca="false">IFERROR(AVERAGEIF($BL$277:$BL$393,1,$B$277:$B$393),BG270)</f>
        <v>3.26223008722532</v>
      </c>
      <c r="BO270" s="17" t="n">
        <f aca="false">IFERROR(AVERAGEIF($BL$277:$BL$393,2,$B$277:$B$393),BH270)</f>
        <v>-1.27797628168734</v>
      </c>
      <c r="BP270" s="17" t="n">
        <f aca="false">IFERROR(AVERAGEIF($BL$277:$BL$393,3,$B$277:$B$393),BI270)</f>
        <v>0.617465724218234</v>
      </c>
      <c r="BQ270" s="17" t="n">
        <f aca="false">IFERROR(AVERAGEIF($BL$277:$BL$393,4,$B$277:$B$393),BJ270)</f>
        <v>-0.128682590974885</v>
      </c>
      <c r="BR270" s="17" t="n">
        <f aca="false">IFERROR(AVERAGEIF($BL$277:$BL$393,5,$B$277:$B$393),BK270)</f>
        <v>1.90032555072917</v>
      </c>
      <c r="BU270" s="17" t="n">
        <f aca="false">IFERROR(AVERAGEIF($BS$277:$BS$393,1,$B$277:$B$393),BN270)</f>
        <v>3.26223008722532</v>
      </c>
      <c r="BV270" s="17" t="n">
        <f aca="false">IFERROR(AVERAGEIF($BS$277:$BS$393,2,$B$277:$B$393),BO270)</f>
        <v>-1.27797628168734</v>
      </c>
      <c r="BW270" s="17" t="n">
        <f aca="false">IFERROR(AVERAGEIF($BS$277:$BS$393,3,$B$277:$B$393),BP270)</f>
        <v>0.617465724218234</v>
      </c>
      <c r="BX270" s="17" t="n">
        <f aca="false">IFERROR(AVERAGEIF($BS$277:$BS$393,4,$B$277:$B$393),BQ270)</f>
        <v>-0.128682590974885</v>
      </c>
      <c r="BY270" s="17" t="n">
        <f aca="false">IFERROR(AVERAGEIF($BS$277:$BS$393,5,$B$277:$B$393),BR270)</f>
        <v>1.90032555072917</v>
      </c>
      <c r="CB270" s="17" t="n">
        <f aca="false">IFERROR(AVERAGEIF($BZ$277:$BZ$393,1,$B$277:$B$393),BU270)</f>
        <v>3.26223008722532</v>
      </c>
      <c r="CC270" s="17" t="n">
        <f aca="false">IFERROR(AVERAGEIF($BZ$277:$BZ$393,2,$B$277:$B$393),BV270)</f>
        <v>-1.27797628168734</v>
      </c>
      <c r="CD270" s="17" t="n">
        <f aca="false">IFERROR(AVERAGEIF($BZ$277:$BZ$393,3,$B$277:$B$393),BW270)</f>
        <v>0.617465724218234</v>
      </c>
      <c r="CE270" s="17" t="n">
        <f aca="false">IFERROR(AVERAGEIF($BZ$277:$BZ$393,4,$B$277:$B$393),BX270)</f>
        <v>-0.128682590974885</v>
      </c>
      <c r="CF270" s="17" t="n">
        <f aca="false">IFERROR(AVERAGEIF($BZ$277:$BZ$393,5,$B$277:$B$393),BY270)</f>
        <v>1.90032555072917</v>
      </c>
      <c r="CI270" s="17" t="n">
        <f aca="false">IFERROR(AVERAGEIF($CG$277:$CG$393,1,$B$277:$B$393),CB270)</f>
        <v>3.26223008722532</v>
      </c>
      <c r="CJ270" s="17" t="n">
        <f aca="false">IFERROR(AVERAGEIF($CG$277:$CG$393,2,$B$277:$B$393),CC270)</f>
        <v>-1.27797628168734</v>
      </c>
      <c r="CK270" s="17" t="n">
        <f aca="false">IFERROR(AVERAGEIF($CG$277:$CG$393,3,$B$277:$B$393),CD270)</f>
        <v>0.617465724218234</v>
      </c>
      <c r="CL270" s="17" t="n">
        <f aca="false">IFERROR(AVERAGEIF($CG$277:$CG$393,4,$B$277:$B$393),CE270)</f>
        <v>-0.128682590974885</v>
      </c>
      <c r="CM270" s="17" t="n">
        <f aca="false">IFERROR(AVERAGEIF($CG$277:$CG$393,5,$B$277:$B$393),CF270)</f>
        <v>1.90032555072917</v>
      </c>
      <c r="CP270" s="17" t="n">
        <f aca="false">IFERROR(AVERAGEIF($CN$277:$CN$393,1,$B$277:$B$393),CI270)</f>
        <v>3.26223008722532</v>
      </c>
      <c r="CQ270" s="17" t="n">
        <f aca="false">IFERROR(AVERAGEIF($CN$277:$CN$393,2,$B$277:$B$393),CJ270)</f>
        <v>-1.27797628168734</v>
      </c>
      <c r="CR270" s="17" t="n">
        <f aca="false">IFERROR(AVERAGEIF($CN$277:$CN$393,3,$B$277:$B$393),CK270)</f>
        <v>0.617465724218234</v>
      </c>
      <c r="CS270" s="17" t="n">
        <f aca="false">IFERROR(AVERAGEIF($CN$277:$CN$393,4,$B$277:$B$393),CL270)</f>
        <v>-0.128682590974885</v>
      </c>
      <c r="CT270" s="17" t="n">
        <f aca="false">IFERROR(AVERAGEIF($CN$277:$CN$393,5,$B$277:$B$393),CM270)</f>
        <v>1.90032555072917</v>
      </c>
      <c r="CW270" s="17" t="n">
        <f aca="false">IFERROR(AVERAGEIF($CU$277:$CU$393,1,$B$277:$B$393),CP270)</f>
        <v>3.26223008722532</v>
      </c>
      <c r="CX270" s="17" t="n">
        <f aca="false">IFERROR(AVERAGEIF($CU$277:$CU$393,2,$B$277:$B$393),CQ270)</f>
        <v>-1.27797628168734</v>
      </c>
      <c r="CY270" s="17" t="n">
        <f aca="false">IFERROR(AVERAGEIF($CU$277:$CU$393,3,$B$277:$B$393),CR270)</f>
        <v>0.617465724218234</v>
      </c>
      <c r="CZ270" s="17" t="n">
        <f aca="false">IFERROR(AVERAGEIF($CU$277:$CU$393,4,$B$277:$B$393),CS270)</f>
        <v>-0.128682590974885</v>
      </c>
      <c r="DA270" s="17" t="n">
        <f aca="false">IFERROR(AVERAGEIF($CU$277:$CU$393,5,$B$277:$B$393),CT270)</f>
        <v>1.90032555072917</v>
      </c>
    </row>
    <row r="271" customFormat="false" ht="15" hidden="false" customHeight="false" outlineLevel="0" collapsed="false">
      <c r="A271" s="48" t="s">
        <v>758</v>
      </c>
      <c r="B271" s="32" t="s">
        <v>602</v>
      </c>
      <c r="K271" s="40" t="s">
        <v>702</v>
      </c>
      <c r="L271" s="17" t="n">
        <f aca="false">IFERROR(AVERAGEIF($E$277:$E$393,1,$C$277:$C$393),0)</f>
        <v>4.09784641700123</v>
      </c>
      <c r="M271" s="17" t="n">
        <f aca="false">IFERROR(AVERAGEIF($E$277:$E$393,2,$C$277:$C$393),0)</f>
        <v>-0.651623848929924</v>
      </c>
      <c r="N271" s="17" t="n">
        <f aca="false">IFERROR(AVERAGEIF($E$277:$E$393,3,$C$277:$C$393),0)</f>
        <v>0.585279517025114</v>
      </c>
      <c r="O271" s="17" t="n">
        <f aca="false">IFERROR(AVERAGEIF($E$277:$E$393,4,$C$277:$C$393),0)</f>
        <v>-0.508086071037626</v>
      </c>
      <c r="P271" s="17" t="n">
        <f aca="false">IFERROR(AVERAGEIF($E$277:$E$393,5,$C$277:$C$393),0)</f>
        <v>2.38421165143704</v>
      </c>
      <c r="W271" s="40" t="s">
        <v>702</v>
      </c>
      <c r="X271" s="17" t="n">
        <f aca="false">INDEX($C$277:$C$393,MATCH($B$268,$A$277:$A$393,0))</f>
        <v>4.03885179691129</v>
      </c>
      <c r="Y271" s="17" t="n">
        <f aca="false">INDEX($C$277:$C$393,MATCH($B$269,$A$277:$A$393,0))</f>
        <v>-0.672650545388274</v>
      </c>
      <c r="Z271" s="17" t="n">
        <f aca="false">INDEX($C$277:$C$393,MATCH($B$270,$A$277:$A$393,0))</f>
        <v>0.378684277529216</v>
      </c>
      <c r="AA271" s="17" t="n">
        <f aca="false">INDEX($C$277:$C$393,MATCH($B$271,$A$277:$A$393,0))</f>
        <v>-0.146983133929529</v>
      </c>
      <c r="AB271" s="17" t="n">
        <f aca="false">INDEX($C$277:$C$393,MATCH($B$272,$A$277:$A$393,0))</f>
        <v>2.29414072853602</v>
      </c>
      <c r="AE271" s="17" t="n">
        <f aca="false">IFERROR(AVERAGEIF($AC$277:$AC$393,1,$C$277:$C$393),X271)</f>
        <v>4.09784641700123</v>
      </c>
      <c r="AF271" s="17" t="n">
        <f aca="false">IFERROR(AVERAGEIF($AC$277:$AC$393,2,$C$277:$C$393),Y271)</f>
        <v>-0.653876709264748</v>
      </c>
      <c r="AG271" s="17" t="n">
        <f aca="false">IFERROR(AVERAGEIF($AC$277:$AC$393,3,$C$277:$C$393),Z271)</f>
        <v>0.500106684184677</v>
      </c>
      <c r="AH271" s="17" t="n">
        <f aca="false">IFERROR(AVERAGEIF($AC$277:$AC$393,4,$C$277:$C$393),AA271)</f>
        <v>-0.489145332530219</v>
      </c>
      <c r="AI271" s="17" t="n">
        <f aca="false">IFERROR(AVERAGEIF($AC$277:$AC$393,5,$C$277:$C$393),AB271)</f>
        <v>2.53814623502698</v>
      </c>
      <c r="AL271" s="17" t="n">
        <f aca="false">IFERROR(AVERAGEIF($AJ$277:$AJ$393,1,$C$277:$C$393),AE271)</f>
        <v>4.09784641700123</v>
      </c>
      <c r="AM271" s="17" t="n">
        <f aca="false">IFERROR(AVERAGEIF($AJ$277:$AJ$393,2,$C$277:$C$393),AF271)</f>
        <v>-0.653876709264748</v>
      </c>
      <c r="AN271" s="17" t="n">
        <f aca="false">IFERROR(AVERAGEIF($AJ$277:$AJ$393,3,$C$277:$C$393),AG271)</f>
        <v>0.573799329798084</v>
      </c>
      <c r="AO271" s="17" t="n">
        <f aca="false">IFERROR(AVERAGEIF($AJ$277:$AJ$393,4,$C$277:$C$393),AH271)</f>
        <v>-0.511972854095641</v>
      </c>
      <c r="AP271" s="17" t="n">
        <f aca="false">IFERROR(AVERAGEIF($AJ$277:$AJ$393,5,$C$277:$C$393),AI271)</f>
        <v>2.38421165143704</v>
      </c>
      <c r="AS271" s="17" t="n">
        <f aca="false">IFERROR(AVERAGEIF($AQ$277:$AQ$393,1,$C$277:$C$393),AL271)</f>
        <v>4.09784641700123</v>
      </c>
      <c r="AT271" s="17" t="n">
        <f aca="false">IFERROR(AVERAGEIF($AQ$277:$AQ$393,2,$C$277:$C$393),AM271)</f>
        <v>-0.651623848929924</v>
      </c>
      <c r="AU271" s="17" t="n">
        <f aca="false">IFERROR(AVERAGEIF($AQ$277:$AQ$393,3,$C$277:$C$393),AN271)</f>
        <v>0.585279517025114</v>
      </c>
      <c r="AV271" s="17" t="n">
        <f aca="false">IFERROR(AVERAGEIF($AQ$277:$AQ$393,4,$C$277:$C$393),AO271)</f>
        <v>-0.508086071037626</v>
      </c>
      <c r="AW271" s="17" t="n">
        <f aca="false">IFERROR(AVERAGEIF($AQ$277:$AQ$393,5,$C$277:$C$393),AP271)</f>
        <v>2.38421165143704</v>
      </c>
      <c r="AZ271" s="17" t="n">
        <f aca="false">IFERROR(AVERAGEIF($AX$277:$AX$393,1,$C$277:$C$393),AS271)</f>
        <v>4.09784641700123</v>
      </c>
      <c r="BA271" s="17" t="n">
        <f aca="false">IFERROR(AVERAGEIF($AX$277:$AX$393,2,$C$277:$C$393),AT271)</f>
        <v>-0.651623848929924</v>
      </c>
      <c r="BB271" s="17" t="n">
        <f aca="false">IFERROR(AVERAGEIF($AX$277:$AX$393,3,$C$277:$C$393),AU271)</f>
        <v>0.585279517025114</v>
      </c>
      <c r="BC271" s="17" t="n">
        <f aca="false">IFERROR(AVERAGEIF($AX$277:$AX$393,4,$C$277:$C$393),AV271)</f>
        <v>-0.508086071037626</v>
      </c>
      <c r="BD271" s="17" t="n">
        <f aca="false">IFERROR(AVERAGEIF($AX$277:$AX$393,5,$C$277:$C$393),AW271)</f>
        <v>2.38421165143704</v>
      </c>
      <c r="BG271" s="17" t="n">
        <f aca="false">IFERROR(AVERAGEIF($BE$277:$BE$393,1,$C$277:$C$393),AZ271)</f>
        <v>4.09784641700123</v>
      </c>
      <c r="BH271" s="17" t="n">
        <f aca="false">IFERROR(AVERAGEIF($BE$277:$BE$393,2,$C$277:$C$393),BA271)</f>
        <v>-0.651623848929924</v>
      </c>
      <c r="BI271" s="17" t="n">
        <f aca="false">IFERROR(AVERAGEIF($BE$277:$BE$393,3,$C$277:$C$393),BB271)</f>
        <v>0.585279517025114</v>
      </c>
      <c r="BJ271" s="17" t="n">
        <f aca="false">IFERROR(AVERAGEIF($BE$277:$BE$393,4,$C$277:$C$393),BC271)</f>
        <v>-0.508086071037626</v>
      </c>
      <c r="BK271" s="17" t="n">
        <f aca="false">IFERROR(AVERAGEIF($BE$277:$BE$393,5,$C$277:$C$393),BD271)</f>
        <v>2.38421165143704</v>
      </c>
      <c r="BN271" s="17" t="n">
        <f aca="false">IFERROR(AVERAGEIF($BL$277:$BL$393,1,$C$277:$C$393),BG271)</f>
        <v>4.09784641700123</v>
      </c>
      <c r="BO271" s="17" t="n">
        <f aca="false">IFERROR(AVERAGEIF($BL$277:$BL$393,2,$C$277:$C$393),BH271)</f>
        <v>-0.651623848929924</v>
      </c>
      <c r="BP271" s="17" t="n">
        <f aca="false">IFERROR(AVERAGEIF($BL$277:$BL$393,3,$C$277:$C$393),BI271)</f>
        <v>0.585279517025114</v>
      </c>
      <c r="BQ271" s="17" t="n">
        <f aca="false">IFERROR(AVERAGEIF($BL$277:$BL$393,4,$C$277:$C$393),BJ271)</f>
        <v>-0.508086071037626</v>
      </c>
      <c r="BR271" s="17" t="n">
        <f aca="false">IFERROR(AVERAGEIF($BL$277:$BL$393,5,$C$277:$C$393),BK271)</f>
        <v>2.38421165143704</v>
      </c>
      <c r="BU271" s="17" t="n">
        <f aca="false">IFERROR(AVERAGEIF($BS$277:$BS$393,1,$C$277:$C$393),BN271)</f>
        <v>4.09784641700123</v>
      </c>
      <c r="BV271" s="17" t="n">
        <f aca="false">IFERROR(AVERAGEIF($BS$277:$BS$393,2,$C$277:$C$393),BO271)</f>
        <v>-0.651623848929924</v>
      </c>
      <c r="BW271" s="17" t="n">
        <f aca="false">IFERROR(AVERAGEIF($BS$277:$BS$393,3,$C$277:$C$393),BP271)</f>
        <v>0.585279517025114</v>
      </c>
      <c r="BX271" s="17" t="n">
        <f aca="false">IFERROR(AVERAGEIF($BS$277:$BS$393,4,$C$277:$C$393),BQ271)</f>
        <v>-0.508086071037626</v>
      </c>
      <c r="BY271" s="17" t="n">
        <f aca="false">IFERROR(AVERAGEIF($BS$277:$BS$393,5,$C$277:$C$393),BR271)</f>
        <v>2.38421165143704</v>
      </c>
      <c r="CB271" s="17" t="n">
        <f aca="false">IFERROR(AVERAGEIF($BZ$277:$BZ$393,1,$C$277:$C$393),BU271)</f>
        <v>4.09784641700123</v>
      </c>
      <c r="CC271" s="17" t="n">
        <f aca="false">IFERROR(AVERAGEIF($BZ$277:$BZ$393,2,$C$277:$C$393),BV271)</f>
        <v>-0.651623848929924</v>
      </c>
      <c r="CD271" s="17" t="n">
        <f aca="false">IFERROR(AVERAGEIF($BZ$277:$BZ$393,3,$C$277:$C$393),BW271)</f>
        <v>0.585279517025114</v>
      </c>
      <c r="CE271" s="17" t="n">
        <f aca="false">IFERROR(AVERAGEIF($BZ$277:$BZ$393,4,$C$277:$C$393),BX271)</f>
        <v>-0.508086071037626</v>
      </c>
      <c r="CF271" s="17" t="n">
        <f aca="false">IFERROR(AVERAGEIF($BZ$277:$BZ$393,5,$C$277:$C$393),BY271)</f>
        <v>2.38421165143704</v>
      </c>
      <c r="CI271" s="17" t="n">
        <f aca="false">IFERROR(AVERAGEIF($CG$277:$CG$393,1,$C$277:$C$393),CB271)</f>
        <v>4.09784641700123</v>
      </c>
      <c r="CJ271" s="17" t="n">
        <f aca="false">IFERROR(AVERAGEIF($CG$277:$CG$393,2,$C$277:$C$393),CC271)</f>
        <v>-0.651623848929924</v>
      </c>
      <c r="CK271" s="17" t="n">
        <f aca="false">IFERROR(AVERAGEIF($CG$277:$CG$393,3,$C$277:$C$393),CD271)</f>
        <v>0.585279517025114</v>
      </c>
      <c r="CL271" s="17" t="n">
        <f aca="false">IFERROR(AVERAGEIF($CG$277:$CG$393,4,$C$277:$C$393),CE271)</f>
        <v>-0.508086071037626</v>
      </c>
      <c r="CM271" s="17" t="n">
        <f aca="false">IFERROR(AVERAGEIF($CG$277:$CG$393,5,$C$277:$C$393),CF271)</f>
        <v>2.38421165143704</v>
      </c>
      <c r="CP271" s="17" t="n">
        <f aca="false">IFERROR(AVERAGEIF($CN$277:$CN$393,1,$C$277:$C$393),CI271)</f>
        <v>4.09784641700123</v>
      </c>
      <c r="CQ271" s="17" t="n">
        <f aca="false">IFERROR(AVERAGEIF($CN$277:$CN$393,2,$C$277:$C$393),CJ271)</f>
        <v>-0.651623848929924</v>
      </c>
      <c r="CR271" s="17" t="n">
        <f aca="false">IFERROR(AVERAGEIF($CN$277:$CN$393,3,$C$277:$C$393),CK271)</f>
        <v>0.585279517025114</v>
      </c>
      <c r="CS271" s="17" t="n">
        <f aca="false">IFERROR(AVERAGEIF($CN$277:$CN$393,4,$C$277:$C$393),CL271)</f>
        <v>-0.508086071037626</v>
      </c>
      <c r="CT271" s="17" t="n">
        <f aca="false">IFERROR(AVERAGEIF($CN$277:$CN$393,5,$C$277:$C$393),CM271)</f>
        <v>2.38421165143704</v>
      </c>
      <c r="CW271" s="17" t="n">
        <f aca="false">IFERROR(AVERAGEIF($CU$277:$CU$393,1,$C$277:$C$393),CP271)</f>
        <v>4.09784641700123</v>
      </c>
      <c r="CX271" s="17" t="n">
        <f aca="false">IFERROR(AVERAGEIF($CU$277:$CU$393,2,$C$277:$C$393),CQ271)</f>
        <v>-0.651623848929924</v>
      </c>
      <c r="CY271" s="17" t="n">
        <f aca="false">IFERROR(AVERAGEIF($CU$277:$CU$393,3,$C$277:$C$393),CR271)</f>
        <v>0.585279517025114</v>
      </c>
      <c r="CZ271" s="17" t="n">
        <f aca="false">IFERROR(AVERAGEIF($CU$277:$CU$393,4,$C$277:$C$393),CS271)</f>
        <v>-0.508086071037626</v>
      </c>
      <c r="DA271" s="17" t="n">
        <f aca="false">IFERROR(AVERAGEIF($CU$277:$CU$393,5,$C$277:$C$393),CT271)</f>
        <v>2.38421165143704</v>
      </c>
    </row>
    <row r="272" customFormat="false" ht="15" hidden="false" customHeight="false" outlineLevel="0" collapsed="false">
      <c r="A272" s="48" t="s">
        <v>761</v>
      </c>
      <c r="B272" s="32" t="s">
        <v>93</v>
      </c>
      <c r="K272" s="40" t="s">
        <v>703</v>
      </c>
      <c r="L272" s="17" t="n">
        <f aca="false">IFERROR(AVERAGEIF($E$277:$E$393,1,$D$277:$D$393),0)</f>
        <v>2.96661287921115</v>
      </c>
      <c r="M272" s="17" t="n">
        <f aca="false">IFERROR(AVERAGEIF($E$277:$E$393,2,$D$277:$D$393),0)</f>
        <v>-1.07388894248431</v>
      </c>
      <c r="N272" s="17" t="n">
        <f aca="false">IFERROR(AVERAGEIF($E$277:$E$393,3,$D$277:$D$393),0)</f>
        <v>0.860378819431869</v>
      </c>
      <c r="O272" s="17" t="n">
        <f aca="false">IFERROR(AVERAGEIF($E$277:$E$393,4,$D$277:$D$393),0)</f>
        <v>-0.375076480114945</v>
      </c>
      <c r="P272" s="17" t="n">
        <f aca="false">IFERROR(AVERAGEIF($E$277:$E$393,5,$D$277:$D$393),0)</f>
        <v>1.66382156595408</v>
      </c>
      <c r="W272" s="40" t="s">
        <v>703</v>
      </c>
      <c r="X272" s="17" t="n">
        <f aca="false">INDEX($D$277:$D$393,MATCH($B$268,$A$277:$A$393,0))</f>
        <v>3.25271285960204</v>
      </c>
      <c r="Y272" s="17" t="n">
        <f aca="false">INDEX($D$277:$D$393,MATCH($B$269,$A$277:$A$393,0))</f>
        <v>-1.14564411633355</v>
      </c>
      <c r="Z272" s="17" t="n">
        <f aca="false">INDEX($D$277:$D$393,MATCH($B$270,$A$277:$A$393,0))</f>
        <v>1.47040463995458</v>
      </c>
      <c r="AA272" s="17" t="n">
        <f aca="false">INDEX($D$277:$D$393,MATCH($B$271,$A$277:$A$393,0))</f>
        <v>-1.14564411633355</v>
      </c>
      <c r="AB272" s="17" t="n">
        <f aca="false">INDEX($D$277:$D$393,MATCH($B$272,$A$277:$A$393,0))</f>
        <v>2.37235556681649</v>
      </c>
      <c r="AE272" s="17" t="n">
        <f aca="false">IFERROR(AVERAGEIF($AC$277:$AC$393,1,$D$277:$D$393),X272)</f>
        <v>2.96661287921115</v>
      </c>
      <c r="AF272" s="17" t="n">
        <f aca="false">IFERROR(AVERAGEIF($AC$277:$AC$393,2,$D$277:$D$393),Y272)</f>
        <v>-0.935218039127288</v>
      </c>
      <c r="AG272" s="17" t="n">
        <f aca="false">IFERROR(AVERAGEIF($AC$277:$AC$393,3,$D$277:$D$393),Z272)</f>
        <v>0.846034957431672</v>
      </c>
      <c r="AH272" s="17" t="n">
        <f aca="false">IFERROR(AVERAGEIF($AC$277:$AC$393,4,$D$277:$D$393),AA272)</f>
        <v>-0.513971066255868</v>
      </c>
      <c r="AI272" s="17" t="n">
        <f aca="false">IFERROR(AVERAGEIF($AC$277:$AC$393,5,$D$277:$D$393),AB272)</f>
        <v>1.78805771629741</v>
      </c>
      <c r="AL272" s="17" t="n">
        <f aca="false">IFERROR(AVERAGEIF($AJ$277:$AJ$393,1,$D$277:$D$393),AE272)</f>
        <v>2.96661287921115</v>
      </c>
      <c r="AM272" s="17" t="n">
        <f aca="false">IFERROR(AVERAGEIF($AJ$277:$AJ$393,2,$D$277:$D$393),AF272)</f>
        <v>-0.985603896723829</v>
      </c>
      <c r="AN272" s="17" t="n">
        <f aca="false">IFERROR(AVERAGEIF($AJ$277:$AJ$393,3,$D$277:$D$393),AG272)</f>
        <v>0.844291821511267</v>
      </c>
      <c r="AO272" s="17" t="n">
        <f aca="false">IFERROR(AVERAGEIF($AJ$277:$AJ$393,4,$D$277:$D$393),AH272)</f>
        <v>-0.39764937501872</v>
      </c>
      <c r="AP272" s="17" t="n">
        <f aca="false">IFERROR(AVERAGEIF($AJ$277:$AJ$393,5,$D$277:$D$393),AI272)</f>
        <v>1.66382156595408</v>
      </c>
      <c r="AS272" s="17" t="n">
        <f aca="false">IFERROR(AVERAGEIF($AQ$277:$AQ$393,1,$D$277:$D$393),AL272)</f>
        <v>2.96661287921115</v>
      </c>
      <c r="AT272" s="17" t="n">
        <f aca="false">IFERROR(AVERAGEIF($AQ$277:$AQ$393,2,$D$277:$D$393),AM272)</f>
        <v>-1.07388894248431</v>
      </c>
      <c r="AU272" s="17" t="n">
        <f aca="false">IFERROR(AVERAGEIF($AQ$277:$AQ$393,3,$D$277:$D$393),AN272)</f>
        <v>0.860378819431869</v>
      </c>
      <c r="AV272" s="17" t="n">
        <f aca="false">IFERROR(AVERAGEIF($AQ$277:$AQ$393,4,$D$277:$D$393),AO272)</f>
        <v>-0.375076480114945</v>
      </c>
      <c r="AW272" s="17" t="n">
        <f aca="false">IFERROR(AVERAGEIF($AQ$277:$AQ$393,5,$D$277:$D$393),AP272)</f>
        <v>1.66382156595408</v>
      </c>
      <c r="AZ272" s="17" t="n">
        <f aca="false">IFERROR(AVERAGEIF($AX$277:$AX$393,1,$D$277:$D$393),AS272)</f>
        <v>2.96661287921115</v>
      </c>
      <c r="BA272" s="17" t="n">
        <f aca="false">IFERROR(AVERAGEIF($AX$277:$AX$393,2,$D$277:$D$393),AT272)</f>
        <v>-1.07388894248431</v>
      </c>
      <c r="BB272" s="17" t="n">
        <f aca="false">IFERROR(AVERAGEIF($AX$277:$AX$393,3,$D$277:$D$393),AU272)</f>
        <v>0.860378819431869</v>
      </c>
      <c r="BC272" s="17" t="n">
        <f aca="false">IFERROR(AVERAGEIF($AX$277:$AX$393,4,$D$277:$D$393),AV272)</f>
        <v>-0.375076480114945</v>
      </c>
      <c r="BD272" s="17" t="n">
        <f aca="false">IFERROR(AVERAGEIF($AX$277:$AX$393,5,$D$277:$D$393),AW272)</f>
        <v>1.66382156595408</v>
      </c>
      <c r="BG272" s="17" t="n">
        <f aca="false">IFERROR(AVERAGEIF($BE$277:$BE$393,1,$D$277:$D$393),AZ272)</f>
        <v>2.96661287921115</v>
      </c>
      <c r="BH272" s="17" t="n">
        <f aca="false">IFERROR(AVERAGEIF($BE$277:$BE$393,2,$D$277:$D$393),BA272)</f>
        <v>-1.07388894248431</v>
      </c>
      <c r="BI272" s="17" t="n">
        <f aca="false">IFERROR(AVERAGEIF($BE$277:$BE$393,3,$D$277:$D$393),BB272)</f>
        <v>0.860378819431869</v>
      </c>
      <c r="BJ272" s="17" t="n">
        <f aca="false">IFERROR(AVERAGEIF($BE$277:$BE$393,4,$D$277:$D$393),BC272)</f>
        <v>-0.375076480114945</v>
      </c>
      <c r="BK272" s="17" t="n">
        <f aca="false">IFERROR(AVERAGEIF($BE$277:$BE$393,5,$D$277:$D$393),BD272)</f>
        <v>1.66382156595408</v>
      </c>
      <c r="BN272" s="17" t="n">
        <f aca="false">IFERROR(AVERAGEIF($BL$277:$BL$393,1,$D$277:$D$393),BG272)</f>
        <v>2.96661287921115</v>
      </c>
      <c r="BO272" s="17" t="n">
        <f aca="false">IFERROR(AVERAGEIF($BL$277:$BL$393,2,$D$277:$D$393),BH272)</f>
        <v>-1.07388894248431</v>
      </c>
      <c r="BP272" s="17" t="n">
        <f aca="false">IFERROR(AVERAGEIF($BL$277:$BL$393,3,$D$277:$D$393),BI272)</f>
        <v>0.860378819431869</v>
      </c>
      <c r="BQ272" s="17" t="n">
        <f aca="false">IFERROR(AVERAGEIF($BL$277:$BL$393,4,$D$277:$D$393),BJ272)</f>
        <v>-0.375076480114945</v>
      </c>
      <c r="BR272" s="17" t="n">
        <f aca="false">IFERROR(AVERAGEIF($BL$277:$BL$393,5,$D$277:$D$393),BK272)</f>
        <v>1.66382156595408</v>
      </c>
      <c r="BU272" s="17" t="n">
        <f aca="false">IFERROR(AVERAGEIF($BS$277:$BS$393,1,$D$277:$D$393),BN272)</f>
        <v>2.96661287921115</v>
      </c>
      <c r="BV272" s="17" t="n">
        <f aca="false">IFERROR(AVERAGEIF($BS$277:$BS$393,2,$D$277:$D$393),BO272)</f>
        <v>-1.07388894248431</v>
      </c>
      <c r="BW272" s="17" t="n">
        <f aca="false">IFERROR(AVERAGEIF($BS$277:$BS$393,3,$D$277:$D$393),BP272)</f>
        <v>0.860378819431869</v>
      </c>
      <c r="BX272" s="17" t="n">
        <f aca="false">IFERROR(AVERAGEIF($BS$277:$BS$393,4,$D$277:$D$393),BQ272)</f>
        <v>-0.375076480114945</v>
      </c>
      <c r="BY272" s="17" t="n">
        <f aca="false">IFERROR(AVERAGEIF($BS$277:$BS$393,5,$D$277:$D$393),BR272)</f>
        <v>1.66382156595408</v>
      </c>
      <c r="CB272" s="17" t="n">
        <f aca="false">IFERROR(AVERAGEIF($BZ$277:$BZ$393,1,$D$277:$D$393),BU272)</f>
        <v>2.96661287921115</v>
      </c>
      <c r="CC272" s="17" t="n">
        <f aca="false">IFERROR(AVERAGEIF($BZ$277:$BZ$393,2,$D$277:$D$393),BV272)</f>
        <v>-1.07388894248431</v>
      </c>
      <c r="CD272" s="17" t="n">
        <f aca="false">IFERROR(AVERAGEIF($BZ$277:$BZ$393,3,$D$277:$D$393),BW272)</f>
        <v>0.860378819431869</v>
      </c>
      <c r="CE272" s="17" t="n">
        <f aca="false">IFERROR(AVERAGEIF($BZ$277:$BZ$393,4,$D$277:$D$393),BX272)</f>
        <v>-0.375076480114945</v>
      </c>
      <c r="CF272" s="17" t="n">
        <f aca="false">IFERROR(AVERAGEIF($BZ$277:$BZ$393,5,$D$277:$D$393),BY272)</f>
        <v>1.66382156595408</v>
      </c>
      <c r="CI272" s="17" t="n">
        <f aca="false">IFERROR(AVERAGEIF($CG$277:$CG$393,1,$D$277:$D$393),CB272)</f>
        <v>2.96661287921115</v>
      </c>
      <c r="CJ272" s="17" t="n">
        <f aca="false">IFERROR(AVERAGEIF($CG$277:$CG$393,2,$D$277:$D$393),CC272)</f>
        <v>-1.07388894248431</v>
      </c>
      <c r="CK272" s="17" t="n">
        <f aca="false">IFERROR(AVERAGEIF($CG$277:$CG$393,3,$D$277:$D$393),CD272)</f>
        <v>0.860378819431869</v>
      </c>
      <c r="CL272" s="17" t="n">
        <f aca="false">IFERROR(AVERAGEIF($CG$277:$CG$393,4,$D$277:$D$393),CE272)</f>
        <v>-0.375076480114945</v>
      </c>
      <c r="CM272" s="17" t="n">
        <f aca="false">IFERROR(AVERAGEIF($CG$277:$CG$393,5,$D$277:$D$393),CF272)</f>
        <v>1.66382156595408</v>
      </c>
      <c r="CP272" s="17" t="n">
        <f aca="false">IFERROR(AVERAGEIF($CN$277:$CN$393,1,$D$277:$D$393),CI272)</f>
        <v>2.96661287921115</v>
      </c>
      <c r="CQ272" s="17" t="n">
        <f aca="false">IFERROR(AVERAGEIF($CN$277:$CN$393,2,$D$277:$D$393),CJ272)</f>
        <v>-1.07388894248431</v>
      </c>
      <c r="CR272" s="17" t="n">
        <f aca="false">IFERROR(AVERAGEIF($CN$277:$CN$393,3,$D$277:$D$393),CK272)</f>
        <v>0.860378819431869</v>
      </c>
      <c r="CS272" s="17" t="n">
        <f aca="false">IFERROR(AVERAGEIF($CN$277:$CN$393,4,$D$277:$D$393),CL272)</f>
        <v>-0.375076480114945</v>
      </c>
      <c r="CT272" s="17" t="n">
        <f aca="false">IFERROR(AVERAGEIF($CN$277:$CN$393,5,$D$277:$D$393),CM272)</f>
        <v>1.66382156595408</v>
      </c>
      <c r="CW272" s="17" t="n">
        <f aca="false">IFERROR(AVERAGEIF($CU$277:$CU$393,1,$D$277:$D$393),CP272)</f>
        <v>2.96661287921115</v>
      </c>
      <c r="CX272" s="17" t="n">
        <f aca="false">IFERROR(AVERAGEIF($CU$277:$CU$393,2,$D$277:$D$393),CQ272)</f>
        <v>-1.07388894248431</v>
      </c>
      <c r="CY272" s="17" t="n">
        <f aca="false">IFERROR(AVERAGEIF($CU$277:$CU$393,3,$D$277:$D$393),CR272)</f>
        <v>0.860378819431869</v>
      </c>
      <c r="CZ272" s="17" t="n">
        <f aca="false">IFERROR(AVERAGEIF($CU$277:$CU$393,4,$D$277:$D$393),CS272)</f>
        <v>-0.375076480114945</v>
      </c>
      <c r="DA272" s="17" t="n">
        <f aca="false">IFERROR(AVERAGEIF($CU$277:$CU$393,5,$D$277:$D$393),CT272)</f>
        <v>1.66382156595408</v>
      </c>
    </row>
    <row r="273" customFormat="false" ht="15" hidden="false" customHeight="false" outlineLevel="0" collapsed="false">
      <c r="K273" s="40" t="s">
        <v>731</v>
      </c>
      <c r="L273" s="15" t="n">
        <f aca="false">COUNTIF($E$277:$E$393,1)</f>
        <v>2</v>
      </c>
      <c r="M273" s="15" t="n">
        <f aca="false">COUNTIF($E$277:$E$393,2)</f>
        <v>25</v>
      </c>
      <c r="N273" s="15" t="n">
        <f aca="false">COUNTIF($E$277:$E$393,3)</f>
        <v>36</v>
      </c>
      <c r="O273" s="15" t="n">
        <f aca="false">COUNTIF($E$277:$E$393,4)</f>
        <v>49</v>
      </c>
      <c r="P273" s="15" t="n">
        <f aca="false">COUNTIF($E$277:$E$393,5)</f>
        <v>5</v>
      </c>
      <c r="W273" s="40" t="s">
        <v>731</v>
      </c>
      <c r="X273" s="15" t="n">
        <f aca="false">COUNTIF($AC$277:$AC$393,1)</f>
        <v>2</v>
      </c>
      <c r="Y273" s="15" t="n">
        <f aca="false">COUNTIF($AC$277:$AC$393,2)</f>
        <v>28</v>
      </c>
      <c r="Z273" s="15" t="n">
        <f aca="false">COUNTIF($AC$277:$AC$393,3)</f>
        <v>41</v>
      </c>
      <c r="AA273" s="15" t="n">
        <f aca="false">COUNTIF($AC$277:$AC$393,4)</f>
        <v>42</v>
      </c>
      <c r="AB273" s="15" t="n">
        <f aca="false">COUNTIF($AC$277:$AC$393,5)</f>
        <v>4</v>
      </c>
      <c r="AE273" s="15" t="n">
        <f aca="false">COUNTIF($AJ$277:$AJ$393,1)</f>
        <v>2</v>
      </c>
      <c r="AF273" s="15" t="n">
        <f aca="false">COUNTIF($AJ$277:$AJ$393,2)</f>
        <v>28</v>
      </c>
      <c r="AG273" s="15" t="n">
        <f aca="false">COUNTIF($AJ$277:$AJ$393,3)</f>
        <v>37</v>
      </c>
      <c r="AH273" s="15" t="n">
        <f aca="false">COUNTIF($AJ$277:$AJ$393,4)</f>
        <v>45</v>
      </c>
      <c r="AI273" s="15" t="n">
        <f aca="false">COUNTIF($AJ$277:$AJ$393,5)</f>
        <v>5</v>
      </c>
      <c r="AL273" s="15" t="n">
        <f aca="false">COUNTIF($AQ$277:$AQ$393,1)</f>
        <v>2</v>
      </c>
      <c r="AM273" s="15" t="n">
        <f aca="false">COUNTIF($AQ$277:$AQ$393,2)</f>
        <v>25</v>
      </c>
      <c r="AN273" s="15" t="n">
        <f aca="false">COUNTIF($AQ$277:$AQ$393,3)</f>
        <v>36</v>
      </c>
      <c r="AO273" s="15" t="n">
        <f aca="false">COUNTIF($AQ$277:$AQ$393,4)</f>
        <v>49</v>
      </c>
      <c r="AP273" s="15" t="n">
        <f aca="false">COUNTIF($AQ$277:$AQ$393,5)</f>
        <v>5</v>
      </c>
      <c r="AS273" s="15" t="n">
        <f aca="false">COUNTIF($AX$277:$AX$393,1)</f>
        <v>2</v>
      </c>
      <c r="AT273" s="15" t="n">
        <f aca="false">COUNTIF($AX$277:$AX$393,2)</f>
        <v>25</v>
      </c>
      <c r="AU273" s="15" t="n">
        <f aca="false">COUNTIF($AX$277:$AX$393,3)</f>
        <v>36</v>
      </c>
      <c r="AV273" s="15" t="n">
        <f aca="false">COUNTIF($AX$277:$AX$393,4)</f>
        <v>49</v>
      </c>
      <c r="AW273" s="15" t="n">
        <f aca="false">COUNTIF($AX$277:$AX$393,5)</f>
        <v>5</v>
      </c>
      <c r="AZ273" s="15" t="n">
        <f aca="false">COUNTIF($BE$277:$BE$393,1)</f>
        <v>2</v>
      </c>
      <c r="BA273" s="15" t="n">
        <f aca="false">COUNTIF($BE$277:$BE$393,2)</f>
        <v>25</v>
      </c>
      <c r="BB273" s="15" t="n">
        <f aca="false">COUNTIF($BE$277:$BE$393,3)</f>
        <v>36</v>
      </c>
      <c r="BC273" s="15" t="n">
        <f aca="false">COUNTIF($BE$277:$BE$393,4)</f>
        <v>49</v>
      </c>
      <c r="BD273" s="15" t="n">
        <f aca="false">COUNTIF($BE$277:$BE$393,5)</f>
        <v>5</v>
      </c>
      <c r="BG273" s="15" t="n">
        <f aca="false">COUNTIF($BL$277:$BL$393,1)</f>
        <v>2</v>
      </c>
      <c r="BH273" s="15" t="n">
        <f aca="false">COUNTIF($BL$277:$BL$393,2)</f>
        <v>25</v>
      </c>
      <c r="BI273" s="15" t="n">
        <f aca="false">COUNTIF($BL$277:$BL$393,3)</f>
        <v>36</v>
      </c>
      <c r="BJ273" s="15" t="n">
        <f aca="false">COUNTIF($BL$277:$BL$393,4)</f>
        <v>49</v>
      </c>
      <c r="BK273" s="15" t="n">
        <f aca="false">COUNTIF($BL$277:$BL$393,5)</f>
        <v>5</v>
      </c>
      <c r="BN273" s="15" t="n">
        <f aca="false">COUNTIF($BS$277:$BS$393,1)</f>
        <v>2</v>
      </c>
      <c r="BO273" s="15" t="n">
        <f aca="false">COUNTIF($BS$277:$BS$393,2)</f>
        <v>25</v>
      </c>
      <c r="BP273" s="15" t="n">
        <f aca="false">COUNTIF($BS$277:$BS$393,3)</f>
        <v>36</v>
      </c>
      <c r="BQ273" s="15" t="n">
        <f aca="false">COUNTIF($BS$277:$BS$393,4)</f>
        <v>49</v>
      </c>
      <c r="BR273" s="15" t="n">
        <f aca="false">COUNTIF($BS$277:$BS$393,5)</f>
        <v>5</v>
      </c>
      <c r="BU273" s="15" t="n">
        <f aca="false">COUNTIF($BZ$277:$BZ$393,1)</f>
        <v>2</v>
      </c>
      <c r="BV273" s="15" t="n">
        <f aca="false">COUNTIF($BZ$277:$BZ$393,2)</f>
        <v>25</v>
      </c>
      <c r="BW273" s="15" t="n">
        <f aca="false">COUNTIF($BZ$277:$BZ$393,3)</f>
        <v>36</v>
      </c>
      <c r="BX273" s="15" t="n">
        <f aca="false">COUNTIF($BZ$277:$BZ$393,4)</f>
        <v>49</v>
      </c>
      <c r="BY273" s="15" t="n">
        <f aca="false">COUNTIF($BZ$277:$BZ$393,5)</f>
        <v>5</v>
      </c>
      <c r="CB273" s="15" t="n">
        <f aca="false">COUNTIF($CG$277:$CG$393,1)</f>
        <v>2</v>
      </c>
      <c r="CC273" s="15" t="n">
        <f aca="false">COUNTIF($CG$277:$CG$393,2)</f>
        <v>25</v>
      </c>
      <c r="CD273" s="15" t="n">
        <f aca="false">COUNTIF($CG$277:$CG$393,3)</f>
        <v>36</v>
      </c>
      <c r="CE273" s="15" t="n">
        <f aca="false">COUNTIF($CG$277:$CG$393,4)</f>
        <v>49</v>
      </c>
      <c r="CF273" s="15" t="n">
        <f aca="false">COUNTIF($CG$277:$CG$393,5)</f>
        <v>5</v>
      </c>
      <c r="CI273" s="15" t="n">
        <f aca="false">COUNTIF($CN$277:$CN$393,1)</f>
        <v>2</v>
      </c>
      <c r="CJ273" s="15" t="n">
        <f aca="false">COUNTIF($CN$277:$CN$393,2)</f>
        <v>25</v>
      </c>
      <c r="CK273" s="15" t="n">
        <f aca="false">COUNTIF($CN$277:$CN$393,3)</f>
        <v>36</v>
      </c>
      <c r="CL273" s="15" t="n">
        <f aca="false">COUNTIF($CN$277:$CN$393,4)</f>
        <v>49</v>
      </c>
      <c r="CM273" s="15" t="n">
        <f aca="false">COUNTIF($CN$277:$CN$393,5)</f>
        <v>5</v>
      </c>
      <c r="CP273" s="15" t="n">
        <f aca="false">COUNTIF($CU$277:$CU$393,1)</f>
        <v>2</v>
      </c>
      <c r="CQ273" s="15" t="n">
        <f aca="false">COUNTIF($CU$277:$CU$393,2)</f>
        <v>25</v>
      </c>
      <c r="CR273" s="15" t="n">
        <f aca="false">COUNTIF($CU$277:$CU$393,3)</f>
        <v>36</v>
      </c>
      <c r="CS273" s="15" t="n">
        <f aca="false">COUNTIF($CU$277:$CU$393,4)</f>
        <v>49</v>
      </c>
      <c r="CT273" s="15" t="n">
        <f aca="false">COUNTIF($CU$277:$CU$393,5)</f>
        <v>5</v>
      </c>
      <c r="CW273" s="15" t="n">
        <f aca="false">COUNTIF($DB$277:$DB$393,1)</f>
        <v>2</v>
      </c>
      <c r="CX273" s="15" t="n">
        <f aca="false">COUNTIF($DB$277:$DB$393,2)</f>
        <v>25</v>
      </c>
      <c r="CY273" s="15" t="n">
        <f aca="false">COUNTIF($DB$277:$DB$393,3)</f>
        <v>36</v>
      </c>
      <c r="CZ273" s="15" t="n">
        <f aca="false">COUNTIF($DB$277:$DB$393,4)</f>
        <v>49</v>
      </c>
      <c r="DA273" s="15" t="n">
        <f aca="false">COUNTIF($DB$277:$DB$393,5)</f>
        <v>5</v>
      </c>
    </row>
    <row r="274" customFormat="false" ht="15" hidden="false" customHeight="false" outlineLevel="0" collapsed="false">
      <c r="K274" s="40" t="s">
        <v>732</v>
      </c>
      <c r="L274" s="17" t="n">
        <f aca="false">SUMIF($E$277:$E$393,1,$F$277:$F$393)</f>
        <v>0.170958917513409</v>
      </c>
      <c r="M274" s="17" t="n">
        <f aca="false">SUMIF($E$277:$E$393,2,$F$277:$F$393)</f>
        <v>5.46124177010489</v>
      </c>
      <c r="N274" s="17" t="n">
        <f aca="false">SUMIF($E$277:$E$393,3,$F$277:$F$393)</f>
        <v>22.072535814797</v>
      </c>
      <c r="O274" s="17" t="n">
        <f aca="false">SUMIF($E$277:$E$393,4,$F$277:$F$393)</f>
        <v>30.2190774192816</v>
      </c>
      <c r="P274" s="17" t="n">
        <f aca="false">SUMIF($E$277:$E$393,5,$F$277:$F$393)</f>
        <v>3.948038996437</v>
      </c>
      <c r="W274" s="40" t="s">
        <v>733</v>
      </c>
      <c r="AC274" s="12" t="s">
        <v>734</v>
      </c>
      <c r="AJ274" s="15" t="n">
        <f aca="false">SUMPRODUCT(--($AJ$277:$AJ$393&lt;&gt;$AC$277:$AC$393))</f>
        <v>10</v>
      </c>
      <c r="AQ274" s="15" t="n">
        <f aca="false">SUMPRODUCT(--($AQ$277:$AQ$393&lt;&gt;$AJ$277:$AJ$393))</f>
        <v>4</v>
      </c>
      <c r="AX274" s="15" t="n">
        <f aca="false">SUMPRODUCT(--($AX$277:$AX$393&lt;&gt;$AQ$277:$AQ$393))</f>
        <v>0</v>
      </c>
      <c r="BE274" s="15" t="n">
        <f aca="false">SUMPRODUCT(--($BE$277:$BE$393&lt;&gt;$AX$277:$AX$393))</f>
        <v>0</v>
      </c>
      <c r="BL274" s="15" t="n">
        <f aca="false">SUMPRODUCT(--($BL$277:$BL$393&lt;&gt;$BE$277:$BE$393))</f>
        <v>0</v>
      </c>
      <c r="BS274" s="15" t="n">
        <f aca="false">SUMPRODUCT(--($BS$277:$BS$393&lt;&gt;$BL$277:$BL$393))</f>
        <v>0</v>
      </c>
      <c r="BZ274" s="15" t="n">
        <f aca="false">SUMPRODUCT(--($BZ$277:$BZ$393&lt;&gt;$BS$277:$BS$393))</f>
        <v>0</v>
      </c>
      <c r="CG274" s="15" t="n">
        <f aca="false">SUMPRODUCT(--($CG$277:$CG$393&lt;&gt;$BZ$277:$BZ$393))</f>
        <v>0</v>
      </c>
      <c r="CN274" s="15" t="n">
        <f aca="false">SUMPRODUCT(--($CN$277:$CN$393&lt;&gt;$CG$277:$CG$393))</f>
        <v>0</v>
      </c>
      <c r="CU274" s="15" t="n">
        <f aca="false">SUMPRODUCT(--($CU$277:$CU$393&lt;&gt;$CN$277:$CN$393))</f>
        <v>0</v>
      </c>
      <c r="DB274" s="15" t="n">
        <f aca="false">SUMPRODUCT(--($DB$277:$DB$393&lt;&gt;$CU$277:$CU$393))</f>
        <v>0</v>
      </c>
    </row>
    <row r="275" customFormat="false" ht="15" hidden="false" customHeight="false" outlineLevel="0" collapsed="false">
      <c r="K275" s="40" t="s">
        <v>526</v>
      </c>
      <c r="L275" s="70" t="n">
        <f aca="false">SUM($F$277:$F$393)</f>
        <v>61.8718529181339</v>
      </c>
      <c r="M275" s="40" t="s">
        <v>52</v>
      </c>
      <c r="N275" s="36" t="str">
        <f aca="false">IF(DB274=0,"Converged","Not converged: more iterations needed")</f>
        <v>Converged</v>
      </c>
    </row>
    <row r="276" customFormat="false" ht="31.5" hidden="false" customHeight="true" outlineLevel="0" collapsed="false">
      <c r="A276" s="10" t="s">
        <v>89</v>
      </c>
      <c r="B276" s="10" t="s">
        <v>701</v>
      </c>
      <c r="C276" s="10" t="s">
        <v>702</v>
      </c>
      <c r="D276" s="10" t="s">
        <v>703</v>
      </c>
      <c r="E276" s="10" t="s">
        <v>707</v>
      </c>
      <c r="F276" s="10" t="s">
        <v>756</v>
      </c>
      <c r="G276" s="10" t="s">
        <v>737</v>
      </c>
      <c r="H276" s="10" t="s">
        <v>738</v>
      </c>
      <c r="I276" s="10" t="s">
        <v>739</v>
      </c>
      <c r="X276" s="10" t="s">
        <v>740</v>
      </c>
      <c r="Y276" s="10" t="s">
        <v>741</v>
      </c>
      <c r="Z276" s="10" t="s">
        <v>742</v>
      </c>
      <c r="AA276" s="10" t="s">
        <v>759</v>
      </c>
      <c r="AB276" s="10" t="s">
        <v>762</v>
      </c>
      <c r="AC276" s="10" t="s">
        <v>707</v>
      </c>
      <c r="AE276" s="10" t="s">
        <v>740</v>
      </c>
      <c r="AF276" s="10" t="s">
        <v>741</v>
      </c>
      <c r="AG276" s="10" t="s">
        <v>742</v>
      </c>
      <c r="AH276" s="10" t="s">
        <v>759</v>
      </c>
      <c r="AI276" s="10" t="s">
        <v>762</v>
      </c>
      <c r="AJ276" s="10" t="s">
        <v>707</v>
      </c>
      <c r="AL276" s="10" t="s">
        <v>740</v>
      </c>
      <c r="AM276" s="10" t="s">
        <v>741</v>
      </c>
      <c r="AN276" s="10" t="s">
        <v>742</v>
      </c>
      <c r="AO276" s="10" t="s">
        <v>759</v>
      </c>
      <c r="AP276" s="10" t="s">
        <v>762</v>
      </c>
      <c r="AQ276" s="10" t="s">
        <v>707</v>
      </c>
      <c r="AS276" s="10" t="s">
        <v>740</v>
      </c>
      <c r="AT276" s="10" t="s">
        <v>741</v>
      </c>
      <c r="AU276" s="10" t="s">
        <v>742</v>
      </c>
      <c r="AV276" s="10" t="s">
        <v>759</v>
      </c>
      <c r="AW276" s="10" t="s">
        <v>762</v>
      </c>
      <c r="AX276" s="10" t="s">
        <v>707</v>
      </c>
      <c r="AZ276" s="10" t="s">
        <v>740</v>
      </c>
      <c r="BA276" s="10" t="s">
        <v>741</v>
      </c>
      <c r="BB276" s="10" t="s">
        <v>742</v>
      </c>
      <c r="BC276" s="10" t="s">
        <v>759</v>
      </c>
      <c r="BD276" s="10" t="s">
        <v>762</v>
      </c>
      <c r="BE276" s="10" t="s">
        <v>707</v>
      </c>
      <c r="BG276" s="10" t="s">
        <v>740</v>
      </c>
      <c r="BH276" s="10" t="s">
        <v>741</v>
      </c>
      <c r="BI276" s="10" t="s">
        <v>742</v>
      </c>
      <c r="BJ276" s="10" t="s">
        <v>759</v>
      </c>
      <c r="BK276" s="10" t="s">
        <v>762</v>
      </c>
      <c r="BL276" s="10" t="s">
        <v>707</v>
      </c>
      <c r="BN276" s="10" t="s">
        <v>740</v>
      </c>
      <c r="BO276" s="10" t="s">
        <v>741</v>
      </c>
      <c r="BP276" s="10" t="s">
        <v>742</v>
      </c>
      <c r="BQ276" s="10" t="s">
        <v>759</v>
      </c>
      <c r="BR276" s="10" t="s">
        <v>762</v>
      </c>
      <c r="BS276" s="10" t="s">
        <v>707</v>
      </c>
      <c r="BU276" s="10" t="s">
        <v>740</v>
      </c>
      <c r="BV276" s="10" t="s">
        <v>741</v>
      </c>
      <c r="BW276" s="10" t="s">
        <v>742</v>
      </c>
      <c r="BX276" s="10" t="s">
        <v>759</v>
      </c>
      <c r="BY276" s="10" t="s">
        <v>762</v>
      </c>
      <c r="BZ276" s="10" t="s">
        <v>707</v>
      </c>
      <c r="CB276" s="10" t="s">
        <v>740</v>
      </c>
      <c r="CC276" s="10" t="s">
        <v>741</v>
      </c>
      <c r="CD276" s="10" t="s">
        <v>742</v>
      </c>
      <c r="CE276" s="10" t="s">
        <v>759</v>
      </c>
      <c r="CF276" s="10" t="s">
        <v>762</v>
      </c>
      <c r="CG276" s="10" t="s">
        <v>707</v>
      </c>
      <c r="CI276" s="10" t="s">
        <v>740</v>
      </c>
      <c r="CJ276" s="10" t="s">
        <v>741</v>
      </c>
      <c r="CK276" s="10" t="s">
        <v>742</v>
      </c>
      <c r="CL276" s="10" t="s">
        <v>759</v>
      </c>
      <c r="CM276" s="10" t="s">
        <v>762</v>
      </c>
      <c r="CN276" s="10" t="s">
        <v>707</v>
      </c>
      <c r="CP276" s="10" t="s">
        <v>740</v>
      </c>
      <c r="CQ276" s="10" t="s">
        <v>741</v>
      </c>
      <c r="CR276" s="10" t="s">
        <v>742</v>
      </c>
      <c r="CS276" s="10" t="s">
        <v>759</v>
      </c>
      <c r="CT276" s="10" t="s">
        <v>762</v>
      </c>
      <c r="CU276" s="10" t="s">
        <v>707</v>
      </c>
      <c r="CW276" s="10" t="s">
        <v>740</v>
      </c>
      <c r="CX276" s="10" t="s">
        <v>741</v>
      </c>
      <c r="CY276" s="10" t="s">
        <v>742</v>
      </c>
      <c r="CZ276" s="10" t="s">
        <v>759</v>
      </c>
      <c r="DA276" s="10" t="s">
        <v>762</v>
      </c>
      <c r="DB276" s="10" t="s">
        <v>707</v>
      </c>
    </row>
    <row r="277" customFormat="false" ht="15" hidden="false" customHeight="false" outlineLevel="0" collapsed="false">
      <c r="A277" s="36" t="str">
        <f aca="false">KMeans_Data!A5</f>
        <v>Karachi</v>
      </c>
      <c r="B277" s="17" t="n">
        <f aca="false">KMeans_Data!H5</f>
        <v>3.2743087782752</v>
      </c>
      <c r="C277" s="17" t="n">
        <f aca="false">KMeans_Data!I5</f>
        <v>4.03885179691129</v>
      </c>
      <c r="D277" s="17" t="n">
        <f aca="false">KMeans_Data!J5</f>
        <v>3.25271285960204</v>
      </c>
      <c r="E277" s="63" t="n">
        <f aca="false">DB277</f>
        <v>1</v>
      </c>
      <c r="F277" s="38" t="n">
        <f aca="false">($B277-INDEX($L$270:$P$270,E277))^2+($C277-INDEX($L$271:$P$271,E277))^2+($D277-INDEX($L$272:$P$272,E277))^2</f>
        <v>0.0854794587567048</v>
      </c>
      <c r="G277" s="17" t="n">
        <f aca="false">IF(COUNTIF(Distance_Matrix!$E$11:$DQ$11,$E277)&lt;=1,0,SUMIF(Distance_Matrix!$E$11:$DQ$11,$E277,Distance_Matrix!$E$14:$DQ$14)/(COUNTIF(Distance_Matrix!$E$11:$DQ$11,$E277)-1))</f>
        <v>0.584737406898874</v>
      </c>
      <c r="H277" s="17" t="n">
        <f aca="false">MIN(IF(1=$E277,1E+099,IF(COUNTIF(Distance_Matrix!$E$11:$DQ$11,1)=0,1E+099,SUMIF(Distance_Matrix!$E$11:$DQ$11,1,Distance_Matrix!$E$14:$DQ$14)/COUNTIF(Distance_Matrix!$E$11:$DQ$11,1))),IF(2=$E277,1E+099,IF(COUNTIF(Distance_Matrix!$E$11:$DQ$11,2)=0,1E+099,SUMIF(Distance_Matrix!$E$11:$DQ$11,2,Distance_Matrix!$E$14:$DQ$14)/COUNTIF(Distance_Matrix!$E$11:$DQ$11,2))),IF(3=$E277,1E+099,IF(COUNTIF(Distance_Matrix!$E$11:$DQ$11,3)=0,1E+099,SUMIF(Distance_Matrix!$E$11:$DQ$11,3,Distance_Matrix!$E$14:$DQ$14)/COUNTIF(Distance_Matrix!$E$11:$DQ$11,3))),IF(4=$E277,1E+099,IF(COUNTIF(Distance_Matrix!$E$11:$DQ$11,4)=0,1E+099,SUMIF(Distance_Matrix!$E$11:$DQ$11,4,Distance_Matrix!$E$14:$DQ$14)/COUNTIF(Distance_Matrix!$E$11:$DQ$11,4))),IF(5=$E277,1E+099,IF(COUNTIF(Distance_Matrix!$E$11:$DQ$11,5)=0,1E+099,SUMIF(Distance_Matrix!$E$11:$DQ$11,5,Distance_Matrix!$E$14:$DQ$14)/COUNTIF(Distance_Matrix!$E$11:$DQ$11,5))))</f>
        <v>2.73902527371428</v>
      </c>
      <c r="I277" s="17" t="n">
        <f aca="false">IF(COUNTIF(Distance_Matrix!$E$11:$DQ$11,$E277)&lt;=1,0,(H277-G277)/MAX(G277,H277))</f>
        <v>0.786516242653747</v>
      </c>
      <c r="X277" s="17" t="n">
        <f aca="false">SQRT(($B277-X$270)^2+($C277-X$271)^2+($D277-X$272)^2)</f>
        <v>0</v>
      </c>
      <c r="Y277" s="17" t="n">
        <f aca="false">SQRT(($B277-Y$270)^2+($C277-Y$271)^2+($D277-Y$272)^2)</f>
        <v>8.37911780072121</v>
      </c>
      <c r="Z277" s="17" t="n">
        <f aca="false">SQRT(($B277-Z$270)^2+($C277-Z$271)^2+($D277-Z$272)^2)</f>
        <v>4.64515792720078</v>
      </c>
      <c r="AA277" s="17" t="n">
        <f aca="false">SQRT(($B277-AA$270)^2+($C277-AA$271)^2+($D277-AA$272)^2)</f>
        <v>6.61637996962902</v>
      </c>
      <c r="AB277" s="17" t="n">
        <f aca="false">SQRT(($B277-AB$270)^2+($C277-AB$271)^2+($D277-AB$272)^2)</f>
        <v>2.15562975043914</v>
      </c>
      <c r="AC277" s="63" t="n">
        <f aca="false">MATCH(MIN(X277:AB277),X277:AB277,0)</f>
        <v>1</v>
      </c>
      <c r="AE277" s="17" t="n">
        <f aca="false">SQRT(($B277-AE$270)^2+($C277-AE$271)^2+($D277-AE$272)^2)</f>
        <v>0.292368703449437</v>
      </c>
      <c r="AF277" s="17" t="n">
        <f aca="false">SQRT(($B277-AF$270)^2+($C277-AF$271)^2+($D277-AF$272)^2)</f>
        <v>7.74264663384266</v>
      </c>
      <c r="AG277" s="17" t="n">
        <f aca="false">SQRT(($B277-AG$270)^2+($C277-AG$271)^2+($D277-AG$272)^2)</f>
        <v>5.07426004552964</v>
      </c>
      <c r="AH277" s="17" t="n">
        <f aca="false">SQRT(($B277-AH$270)^2+($C277-AH$271)^2+($D277-AH$272)^2)</f>
        <v>6.7692930503398</v>
      </c>
      <c r="AI277" s="17" t="n">
        <f aca="false">SQRT(($B277-AI$270)^2+($C277-AI$271)^2+($D277-AI$272)^2)</f>
        <v>2.40650414467407</v>
      </c>
      <c r="AJ277" s="63" t="n">
        <f aca="false">MATCH(MIN(AE277:AI277),AE277:AI277,0)</f>
        <v>1</v>
      </c>
      <c r="AL277" s="17" t="n">
        <f aca="false">SQRT(($B277-AL$270)^2+($C277-AL$271)^2+($D277-AL$272)^2)</f>
        <v>0.292368703449437</v>
      </c>
      <c r="AM277" s="17" t="n">
        <f aca="false">SQRT(($B277-AM$270)^2+($C277-AM$271)^2+($D277-AM$272)^2)</f>
        <v>7.76494175779119</v>
      </c>
      <c r="AN277" s="17" t="n">
        <f aca="false">SQRT(($B277-AN$270)^2+($C277-AN$271)^2+($D277-AN$272)^2)</f>
        <v>4.99690802006961</v>
      </c>
      <c r="AO277" s="17" t="n">
        <f aca="false">SQRT(($B277-AO$270)^2+($C277-AO$271)^2+($D277-AO$272)^2)</f>
        <v>6.73011094119276</v>
      </c>
      <c r="AP277" s="17" t="n">
        <f aca="false">SQRT(($B277-AP$270)^2+($C277-AP$271)^2+($D277-AP$272)^2)</f>
        <v>2.67399316820802</v>
      </c>
      <c r="AQ277" s="63" t="n">
        <f aca="false">MATCH(MIN(AL277:AP277),AL277:AP277,0)</f>
        <v>1</v>
      </c>
      <c r="AS277" s="17" t="n">
        <f aca="false">SQRT(($B277-AS$270)^2+($C277-AS$271)^2+($D277-AS$272)^2)</f>
        <v>0.292368703449437</v>
      </c>
      <c r="AT277" s="17" t="n">
        <f aca="false">SQRT(($B277-AT$270)^2+($C277-AT$271)^2+($D277-AT$272)^2)</f>
        <v>7.83858049682496</v>
      </c>
      <c r="AU277" s="17" t="n">
        <f aca="false">SQRT(($B277-AU$270)^2+($C277-AU$271)^2+($D277-AU$272)^2)</f>
        <v>4.97083882921644</v>
      </c>
      <c r="AV277" s="17" t="n">
        <f aca="false">SQRT(($B277-AV$270)^2+($C277-AV$271)^2+($D277-AV$272)^2)</f>
        <v>6.73912826169251</v>
      </c>
      <c r="AW277" s="17" t="n">
        <f aca="false">SQRT(($B277-AW$270)^2+($C277-AW$271)^2+($D277-AW$272)^2)</f>
        <v>2.67399316820802</v>
      </c>
      <c r="AX277" s="63" t="n">
        <f aca="false">MATCH(MIN(AS277:AW277),AS277:AW277,0)</f>
        <v>1</v>
      </c>
      <c r="AZ277" s="17" t="n">
        <f aca="false">SQRT(($B277-AZ$270)^2+($C277-AZ$271)^2+($D277-AZ$272)^2)</f>
        <v>0.292368703449437</v>
      </c>
      <c r="BA277" s="17" t="n">
        <f aca="false">SQRT(($B277-BA$270)^2+($C277-BA$271)^2+($D277-BA$272)^2)</f>
        <v>7.83858049682496</v>
      </c>
      <c r="BB277" s="17" t="n">
        <f aca="false">SQRT(($B277-BB$270)^2+($C277-BB$271)^2+($D277-BB$272)^2)</f>
        <v>4.97083882921644</v>
      </c>
      <c r="BC277" s="17" t="n">
        <f aca="false">SQRT(($B277-BC$270)^2+($C277-BC$271)^2+($D277-BC$272)^2)</f>
        <v>6.73912826169251</v>
      </c>
      <c r="BD277" s="17" t="n">
        <f aca="false">SQRT(($B277-BD$270)^2+($C277-BD$271)^2+($D277-BD$272)^2)</f>
        <v>2.67399316820802</v>
      </c>
      <c r="BE277" s="63" t="n">
        <f aca="false">MATCH(MIN(AZ277:BD277),AZ277:BD277,0)</f>
        <v>1</v>
      </c>
      <c r="BG277" s="17" t="n">
        <f aca="false">SQRT(($B277-BG$270)^2+($C277-BG$271)^2+($D277-BG$272)^2)</f>
        <v>0.292368703449437</v>
      </c>
      <c r="BH277" s="17" t="n">
        <f aca="false">SQRT(($B277-BH$270)^2+($C277-BH$271)^2+($D277-BH$272)^2)</f>
        <v>7.83858049682496</v>
      </c>
      <c r="BI277" s="17" t="n">
        <f aca="false">SQRT(($B277-BI$270)^2+($C277-BI$271)^2+($D277-BI$272)^2)</f>
        <v>4.97083882921644</v>
      </c>
      <c r="BJ277" s="17" t="n">
        <f aca="false">SQRT(($B277-BJ$270)^2+($C277-BJ$271)^2+($D277-BJ$272)^2)</f>
        <v>6.73912826169251</v>
      </c>
      <c r="BK277" s="17" t="n">
        <f aca="false">SQRT(($B277-BK$270)^2+($C277-BK$271)^2+($D277-BK$272)^2)</f>
        <v>2.67399316820802</v>
      </c>
      <c r="BL277" s="63" t="n">
        <f aca="false">MATCH(MIN(BG277:BK277),BG277:BK277,0)</f>
        <v>1</v>
      </c>
      <c r="BN277" s="17" t="n">
        <f aca="false">SQRT(($B277-BN$270)^2+($C277-BN$271)^2+($D277-BN$272)^2)</f>
        <v>0.292368703449437</v>
      </c>
      <c r="BO277" s="17" t="n">
        <f aca="false">SQRT(($B277-BO$270)^2+($C277-BO$271)^2+($D277-BO$272)^2)</f>
        <v>7.83858049682496</v>
      </c>
      <c r="BP277" s="17" t="n">
        <f aca="false">SQRT(($B277-BP$270)^2+($C277-BP$271)^2+($D277-BP$272)^2)</f>
        <v>4.97083882921644</v>
      </c>
      <c r="BQ277" s="17" t="n">
        <f aca="false">SQRT(($B277-BQ$270)^2+($C277-BQ$271)^2+($D277-BQ$272)^2)</f>
        <v>6.73912826169251</v>
      </c>
      <c r="BR277" s="17" t="n">
        <f aca="false">SQRT(($B277-BR$270)^2+($C277-BR$271)^2+($D277-BR$272)^2)</f>
        <v>2.67399316820802</v>
      </c>
      <c r="BS277" s="63" t="n">
        <f aca="false">MATCH(MIN(BN277:BR277),BN277:BR277,0)</f>
        <v>1</v>
      </c>
      <c r="BU277" s="17" t="n">
        <f aca="false">SQRT(($B277-BU$270)^2+($C277-BU$271)^2+($D277-BU$272)^2)</f>
        <v>0.292368703449437</v>
      </c>
      <c r="BV277" s="17" t="n">
        <f aca="false">SQRT(($B277-BV$270)^2+($C277-BV$271)^2+($D277-BV$272)^2)</f>
        <v>7.83858049682496</v>
      </c>
      <c r="BW277" s="17" t="n">
        <f aca="false">SQRT(($B277-BW$270)^2+($C277-BW$271)^2+($D277-BW$272)^2)</f>
        <v>4.97083882921644</v>
      </c>
      <c r="BX277" s="17" t="n">
        <f aca="false">SQRT(($B277-BX$270)^2+($C277-BX$271)^2+($D277-BX$272)^2)</f>
        <v>6.73912826169251</v>
      </c>
      <c r="BY277" s="17" t="n">
        <f aca="false">SQRT(($B277-BY$270)^2+($C277-BY$271)^2+($D277-BY$272)^2)</f>
        <v>2.67399316820802</v>
      </c>
      <c r="BZ277" s="63" t="n">
        <f aca="false">MATCH(MIN(BU277:BY277),BU277:BY277,0)</f>
        <v>1</v>
      </c>
      <c r="CB277" s="17" t="n">
        <f aca="false">SQRT(($B277-CB$270)^2+($C277-CB$271)^2+($D277-CB$272)^2)</f>
        <v>0.292368703449437</v>
      </c>
      <c r="CC277" s="17" t="n">
        <f aca="false">SQRT(($B277-CC$270)^2+($C277-CC$271)^2+($D277-CC$272)^2)</f>
        <v>7.83858049682496</v>
      </c>
      <c r="CD277" s="17" t="n">
        <f aca="false">SQRT(($B277-CD$270)^2+($C277-CD$271)^2+($D277-CD$272)^2)</f>
        <v>4.97083882921644</v>
      </c>
      <c r="CE277" s="17" t="n">
        <f aca="false">SQRT(($B277-CE$270)^2+($C277-CE$271)^2+($D277-CE$272)^2)</f>
        <v>6.73912826169251</v>
      </c>
      <c r="CF277" s="17" t="n">
        <f aca="false">SQRT(($B277-CF$270)^2+($C277-CF$271)^2+($D277-CF$272)^2)</f>
        <v>2.67399316820802</v>
      </c>
      <c r="CG277" s="63" t="n">
        <f aca="false">MATCH(MIN(CB277:CF277),CB277:CF277,0)</f>
        <v>1</v>
      </c>
      <c r="CI277" s="17" t="n">
        <f aca="false">SQRT(($B277-CI$270)^2+($C277-CI$271)^2+($D277-CI$272)^2)</f>
        <v>0.292368703449437</v>
      </c>
      <c r="CJ277" s="17" t="n">
        <f aca="false">SQRT(($B277-CJ$270)^2+($C277-CJ$271)^2+($D277-CJ$272)^2)</f>
        <v>7.83858049682496</v>
      </c>
      <c r="CK277" s="17" t="n">
        <f aca="false">SQRT(($B277-CK$270)^2+($C277-CK$271)^2+($D277-CK$272)^2)</f>
        <v>4.97083882921644</v>
      </c>
      <c r="CL277" s="17" t="n">
        <f aca="false">SQRT(($B277-CL$270)^2+($C277-CL$271)^2+($D277-CL$272)^2)</f>
        <v>6.73912826169251</v>
      </c>
      <c r="CM277" s="17" t="n">
        <f aca="false">SQRT(($B277-CM$270)^2+($C277-CM$271)^2+($D277-CM$272)^2)</f>
        <v>2.67399316820802</v>
      </c>
      <c r="CN277" s="63" t="n">
        <f aca="false">MATCH(MIN(CI277:CM277),CI277:CM277,0)</f>
        <v>1</v>
      </c>
      <c r="CP277" s="17" t="n">
        <f aca="false">SQRT(($B277-CP$270)^2+($C277-CP$271)^2+($D277-CP$272)^2)</f>
        <v>0.292368703449437</v>
      </c>
      <c r="CQ277" s="17" t="n">
        <f aca="false">SQRT(($B277-CQ$270)^2+($C277-CQ$271)^2+($D277-CQ$272)^2)</f>
        <v>7.83858049682496</v>
      </c>
      <c r="CR277" s="17" t="n">
        <f aca="false">SQRT(($B277-CR$270)^2+($C277-CR$271)^2+($D277-CR$272)^2)</f>
        <v>4.97083882921644</v>
      </c>
      <c r="CS277" s="17" t="n">
        <f aca="false">SQRT(($B277-CS$270)^2+($C277-CS$271)^2+($D277-CS$272)^2)</f>
        <v>6.73912826169251</v>
      </c>
      <c r="CT277" s="17" t="n">
        <f aca="false">SQRT(($B277-CT$270)^2+($C277-CT$271)^2+($D277-CT$272)^2)</f>
        <v>2.67399316820802</v>
      </c>
      <c r="CU277" s="63" t="n">
        <f aca="false">MATCH(MIN(CP277:CT277),CP277:CT277,0)</f>
        <v>1</v>
      </c>
      <c r="CW277" s="17" t="n">
        <f aca="false">SQRT(($B277-CW$270)^2+($C277-CW$271)^2+($D277-CW$272)^2)</f>
        <v>0.292368703449437</v>
      </c>
      <c r="CX277" s="17" t="n">
        <f aca="false">SQRT(($B277-CX$270)^2+($C277-CX$271)^2+($D277-CX$272)^2)</f>
        <v>7.83858049682496</v>
      </c>
      <c r="CY277" s="17" t="n">
        <f aca="false">SQRT(($B277-CY$270)^2+($C277-CY$271)^2+($D277-CY$272)^2)</f>
        <v>4.97083882921644</v>
      </c>
      <c r="CZ277" s="17" t="n">
        <f aca="false">SQRT(($B277-CZ$270)^2+($C277-CZ$271)^2+($D277-CZ$272)^2)</f>
        <v>6.73912826169251</v>
      </c>
      <c r="DA277" s="17" t="n">
        <f aca="false">SQRT(($B277-DA$270)^2+($C277-DA$271)^2+($D277-DA$272)^2)</f>
        <v>2.67399316820802</v>
      </c>
      <c r="DB277" s="63" t="n">
        <f aca="false">MATCH(MIN(CW277:DA277),CW277:DA277,0)</f>
        <v>1</v>
      </c>
    </row>
    <row r="278" customFormat="false" ht="15" hidden="false" customHeight="false" outlineLevel="0" collapsed="false">
      <c r="A278" s="36" t="str">
        <f aca="false">KMeans_Data!A6</f>
        <v>Lahore</v>
      </c>
      <c r="B278" s="17" t="n">
        <f aca="false">KMeans_Data!H6</f>
        <v>3.25015139617543</v>
      </c>
      <c r="C278" s="17" t="n">
        <f aca="false">KMeans_Data!I6</f>
        <v>4.15684103709117</v>
      </c>
      <c r="D278" s="17" t="n">
        <f aca="false">KMeans_Data!J6</f>
        <v>2.68051289882026</v>
      </c>
      <c r="E278" s="63" t="n">
        <f aca="false">DB278</f>
        <v>1</v>
      </c>
      <c r="F278" s="38" t="n">
        <f aca="false">($B278-INDEX($L$270:$P$270,E278))^2+($C278-INDEX($L$271:$P$271,E278))^2+($D278-INDEX($L$272:$P$272,E278))^2</f>
        <v>0.0854794587567046</v>
      </c>
      <c r="G278" s="17" t="n">
        <f aca="false">IF(COUNTIF(Distance_Matrix!$E$11:$DQ$11,$E278)&lt;=1,0,SUMIF(Distance_Matrix!$E$11:$DQ$11,$E278,Distance_Matrix!$E$15:$DQ$15)/(COUNTIF(Distance_Matrix!$E$11:$DQ$11,$E278)-1))</f>
        <v>0.584737406898874</v>
      </c>
      <c r="H278" s="17" t="n">
        <f aca="false">MIN(IF(1=$E278,1E+099,IF(COUNTIF(Distance_Matrix!$E$11:$DQ$11,1)=0,1E+099,SUMIF(Distance_Matrix!$E$11:$DQ$11,1,Distance_Matrix!$E$15:$DQ$15)/COUNTIF(Distance_Matrix!$E$11:$DQ$11,1))),IF(2=$E278,1E+099,IF(COUNTIF(Distance_Matrix!$E$11:$DQ$11,2)=0,1E+099,SUMIF(Distance_Matrix!$E$11:$DQ$11,2,Distance_Matrix!$E$15:$DQ$15)/COUNTIF(Distance_Matrix!$E$11:$DQ$11,2))),IF(3=$E278,1E+099,IF(COUNTIF(Distance_Matrix!$E$11:$DQ$11,3)=0,1E+099,SUMIF(Distance_Matrix!$E$11:$DQ$11,3,Distance_Matrix!$E$15:$DQ$15)/COUNTIF(Distance_Matrix!$E$11:$DQ$11,3))),IF(4=$E278,1E+099,IF(COUNTIF(Distance_Matrix!$E$11:$DQ$11,4)=0,1E+099,SUMIF(Distance_Matrix!$E$11:$DQ$11,4,Distance_Matrix!$E$15:$DQ$15)/COUNTIF(Distance_Matrix!$E$11:$DQ$11,4))),IF(5=$E278,1E+099,IF(COUNTIF(Distance_Matrix!$E$11:$DQ$11,5)=0,1E+099,SUMIF(Distance_Matrix!$E$11:$DQ$11,5,Distance_Matrix!$E$15:$DQ$15)/COUNTIF(Distance_Matrix!$E$11:$DQ$11,5))))</f>
        <v>2.51181386558118</v>
      </c>
      <c r="I278" s="17" t="n">
        <f aca="false">IF(COUNTIF(Distance_Matrix!$E$11:$DQ$11,$E278)&lt;=1,0,(H278-G278)/MAX(G278,H278))</f>
        <v>0.767205120207593</v>
      </c>
      <c r="X278" s="17" t="n">
        <f aca="false">SQRT(($B278-X$270)^2+($C278-X$271)^2+($D278-X$272)^2)</f>
        <v>0.584737406898874</v>
      </c>
      <c r="Y278" s="17" t="n">
        <f aca="false">SQRT(($B278-Y$270)^2+($C278-Y$271)^2+($D278-Y$272)^2)</f>
        <v>8.14685136916964</v>
      </c>
      <c r="Z278" s="17" t="n">
        <f aca="false">SQRT(($B278-Z$270)^2+($C278-Z$271)^2+($D278-Z$272)^2)</f>
        <v>4.54261803543023</v>
      </c>
      <c r="AA278" s="17" t="n">
        <f aca="false">SQRT(($B278-AA$270)^2+($C278-AA$271)^2+($D278-AA$272)^2)</f>
        <v>6.32026007457936</v>
      </c>
      <c r="AB278" s="17" t="n">
        <f aca="false">SQRT(($B278-AB$270)^2+($C278-AB$271)^2+($D278-AB$272)^2)</f>
        <v>2.08541009180941</v>
      </c>
      <c r="AC278" s="63" t="n">
        <f aca="false">MATCH(MIN(X278:AB278),X278:AB278,0)</f>
        <v>1</v>
      </c>
      <c r="AE278" s="17" t="n">
        <f aca="false">SQRT(($B278-AE$270)^2+($C278-AE$271)^2+($D278-AE$272)^2)</f>
        <v>0.292368703449437</v>
      </c>
      <c r="AF278" s="17" t="n">
        <f aca="false">SQRT(($B278-AF$270)^2+($C278-AF$271)^2+($D278-AF$272)^2)</f>
        <v>7.50913132663883</v>
      </c>
      <c r="AG278" s="17" t="n">
        <f aca="false">SQRT(($B278-AG$270)^2+($C278-AG$271)^2+($D278-AG$272)^2)</f>
        <v>4.90297591123466</v>
      </c>
      <c r="AH278" s="17" t="n">
        <f aca="false">SQRT(($B278-AH$270)^2+($C278-AH$271)^2+($D278-AH$272)^2)</f>
        <v>6.53926280265434</v>
      </c>
      <c r="AI278" s="17" t="n">
        <f aca="false">SQRT(($B278-AI$270)^2+($C278-AI$271)^2+($D278-AI$272)^2)</f>
        <v>2.18039452339967</v>
      </c>
      <c r="AJ278" s="63" t="n">
        <f aca="false">MATCH(MIN(AE278:AI278),AE278:AI278,0)</f>
        <v>1</v>
      </c>
      <c r="AL278" s="17" t="n">
        <f aca="false">SQRT(($B278-AL$270)^2+($C278-AL$271)^2+($D278-AL$272)^2)</f>
        <v>0.292368703449437</v>
      </c>
      <c r="AM278" s="17" t="n">
        <f aca="false">SQRT(($B278-AM$270)^2+($C278-AM$271)^2+($D278-AM$272)^2)</f>
        <v>7.52831703755059</v>
      </c>
      <c r="AN278" s="17" t="n">
        <f aca="false">SQRT(($B278-AN$270)^2+($C278-AN$271)^2+($D278-AN$272)^2)</f>
        <v>4.8211190535144</v>
      </c>
      <c r="AO278" s="17" t="n">
        <f aca="false">SQRT(($B278-AO$270)^2+($C278-AO$271)^2+($D278-AO$272)^2)</f>
        <v>6.50927141369797</v>
      </c>
      <c r="AP278" s="17" t="n">
        <f aca="false">SQRT(($B278-AP$270)^2+($C278-AP$271)^2+($D278-AP$272)^2)</f>
        <v>2.44906227324755</v>
      </c>
      <c r="AQ278" s="63" t="n">
        <f aca="false">MATCH(MIN(AL278:AP278),AL278:AP278,0)</f>
        <v>1</v>
      </c>
      <c r="AS278" s="17" t="n">
        <f aca="false">SQRT(($B278-AS$270)^2+($C278-AS$271)^2+($D278-AS$272)^2)</f>
        <v>0.292368703449437</v>
      </c>
      <c r="AT278" s="17" t="n">
        <f aca="false">SQRT(($B278-AT$270)^2+($C278-AT$271)^2+($D278-AT$272)^2)</f>
        <v>7.59742114227689</v>
      </c>
      <c r="AU278" s="17" t="n">
        <f aca="false">SQRT(($B278-AU$270)^2+($C278-AU$271)^2+($D278-AU$272)^2)</f>
        <v>4.79582877153639</v>
      </c>
      <c r="AV278" s="17" t="n">
        <f aca="false">SQRT(($B278-AV$270)^2+($C278-AV$271)^2+($D278-AV$272)^2)</f>
        <v>6.52032901696982</v>
      </c>
      <c r="AW278" s="17" t="n">
        <f aca="false">SQRT(($B278-AW$270)^2+($C278-AW$271)^2+($D278-AW$272)^2)</f>
        <v>2.44906227324755</v>
      </c>
      <c r="AX278" s="63" t="n">
        <f aca="false">MATCH(MIN(AS278:AW278),AS278:AW278,0)</f>
        <v>1</v>
      </c>
      <c r="AZ278" s="17" t="n">
        <f aca="false">SQRT(($B278-AZ$270)^2+($C278-AZ$271)^2+($D278-AZ$272)^2)</f>
        <v>0.292368703449437</v>
      </c>
      <c r="BA278" s="17" t="n">
        <f aca="false">SQRT(($B278-BA$270)^2+($C278-BA$271)^2+($D278-BA$272)^2)</f>
        <v>7.59742114227689</v>
      </c>
      <c r="BB278" s="17" t="n">
        <f aca="false">SQRT(($B278-BB$270)^2+($C278-BB$271)^2+($D278-BB$272)^2)</f>
        <v>4.79582877153639</v>
      </c>
      <c r="BC278" s="17" t="n">
        <f aca="false">SQRT(($B278-BC$270)^2+($C278-BC$271)^2+($D278-BC$272)^2)</f>
        <v>6.52032901696982</v>
      </c>
      <c r="BD278" s="17" t="n">
        <f aca="false">SQRT(($B278-BD$270)^2+($C278-BD$271)^2+($D278-BD$272)^2)</f>
        <v>2.44906227324755</v>
      </c>
      <c r="BE278" s="63" t="n">
        <f aca="false">MATCH(MIN(AZ278:BD278),AZ278:BD278,0)</f>
        <v>1</v>
      </c>
      <c r="BG278" s="17" t="n">
        <f aca="false">SQRT(($B278-BG$270)^2+($C278-BG$271)^2+($D278-BG$272)^2)</f>
        <v>0.292368703449437</v>
      </c>
      <c r="BH278" s="17" t="n">
        <f aca="false">SQRT(($B278-BH$270)^2+($C278-BH$271)^2+($D278-BH$272)^2)</f>
        <v>7.59742114227689</v>
      </c>
      <c r="BI278" s="17" t="n">
        <f aca="false">SQRT(($B278-BI$270)^2+($C278-BI$271)^2+($D278-BI$272)^2)</f>
        <v>4.79582877153639</v>
      </c>
      <c r="BJ278" s="17" t="n">
        <f aca="false">SQRT(($B278-BJ$270)^2+($C278-BJ$271)^2+($D278-BJ$272)^2)</f>
        <v>6.52032901696982</v>
      </c>
      <c r="BK278" s="17" t="n">
        <f aca="false">SQRT(($B278-BK$270)^2+($C278-BK$271)^2+($D278-BK$272)^2)</f>
        <v>2.44906227324755</v>
      </c>
      <c r="BL278" s="63" t="n">
        <f aca="false">MATCH(MIN(BG278:BK278),BG278:BK278,0)</f>
        <v>1</v>
      </c>
      <c r="BN278" s="17" t="n">
        <f aca="false">SQRT(($B278-BN$270)^2+($C278-BN$271)^2+($D278-BN$272)^2)</f>
        <v>0.292368703449437</v>
      </c>
      <c r="BO278" s="17" t="n">
        <f aca="false">SQRT(($B278-BO$270)^2+($C278-BO$271)^2+($D278-BO$272)^2)</f>
        <v>7.59742114227689</v>
      </c>
      <c r="BP278" s="17" t="n">
        <f aca="false">SQRT(($B278-BP$270)^2+($C278-BP$271)^2+($D278-BP$272)^2)</f>
        <v>4.79582877153639</v>
      </c>
      <c r="BQ278" s="17" t="n">
        <f aca="false">SQRT(($B278-BQ$270)^2+($C278-BQ$271)^2+($D278-BQ$272)^2)</f>
        <v>6.52032901696982</v>
      </c>
      <c r="BR278" s="17" t="n">
        <f aca="false">SQRT(($B278-BR$270)^2+($C278-BR$271)^2+($D278-BR$272)^2)</f>
        <v>2.44906227324755</v>
      </c>
      <c r="BS278" s="63" t="n">
        <f aca="false">MATCH(MIN(BN278:BR278),BN278:BR278,0)</f>
        <v>1</v>
      </c>
      <c r="BU278" s="17" t="n">
        <f aca="false">SQRT(($B278-BU$270)^2+($C278-BU$271)^2+($D278-BU$272)^2)</f>
        <v>0.292368703449437</v>
      </c>
      <c r="BV278" s="17" t="n">
        <f aca="false">SQRT(($B278-BV$270)^2+($C278-BV$271)^2+($D278-BV$272)^2)</f>
        <v>7.59742114227689</v>
      </c>
      <c r="BW278" s="17" t="n">
        <f aca="false">SQRT(($B278-BW$270)^2+($C278-BW$271)^2+($D278-BW$272)^2)</f>
        <v>4.79582877153639</v>
      </c>
      <c r="BX278" s="17" t="n">
        <f aca="false">SQRT(($B278-BX$270)^2+($C278-BX$271)^2+($D278-BX$272)^2)</f>
        <v>6.52032901696982</v>
      </c>
      <c r="BY278" s="17" t="n">
        <f aca="false">SQRT(($B278-BY$270)^2+($C278-BY$271)^2+($D278-BY$272)^2)</f>
        <v>2.44906227324755</v>
      </c>
      <c r="BZ278" s="63" t="n">
        <f aca="false">MATCH(MIN(BU278:BY278),BU278:BY278,0)</f>
        <v>1</v>
      </c>
      <c r="CB278" s="17" t="n">
        <f aca="false">SQRT(($B278-CB$270)^2+($C278-CB$271)^2+($D278-CB$272)^2)</f>
        <v>0.292368703449437</v>
      </c>
      <c r="CC278" s="17" t="n">
        <f aca="false">SQRT(($B278-CC$270)^2+($C278-CC$271)^2+($D278-CC$272)^2)</f>
        <v>7.59742114227689</v>
      </c>
      <c r="CD278" s="17" t="n">
        <f aca="false">SQRT(($B278-CD$270)^2+($C278-CD$271)^2+($D278-CD$272)^2)</f>
        <v>4.79582877153639</v>
      </c>
      <c r="CE278" s="17" t="n">
        <f aca="false">SQRT(($B278-CE$270)^2+($C278-CE$271)^2+($D278-CE$272)^2)</f>
        <v>6.52032901696982</v>
      </c>
      <c r="CF278" s="17" t="n">
        <f aca="false">SQRT(($B278-CF$270)^2+($C278-CF$271)^2+($D278-CF$272)^2)</f>
        <v>2.44906227324755</v>
      </c>
      <c r="CG278" s="63" t="n">
        <f aca="false">MATCH(MIN(CB278:CF278),CB278:CF278,0)</f>
        <v>1</v>
      </c>
      <c r="CI278" s="17" t="n">
        <f aca="false">SQRT(($B278-CI$270)^2+($C278-CI$271)^2+($D278-CI$272)^2)</f>
        <v>0.292368703449437</v>
      </c>
      <c r="CJ278" s="17" t="n">
        <f aca="false">SQRT(($B278-CJ$270)^2+($C278-CJ$271)^2+($D278-CJ$272)^2)</f>
        <v>7.59742114227689</v>
      </c>
      <c r="CK278" s="17" t="n">
        <f aca="false">SQRT(($B278-CK$270)^2+($C278-CK$271)^2+($D278-CK$272)^2)</f>
        <v>4.79582877153639</v>
      </c>
      <c r="CL278" s="17" t="n">
        <f aca="false">SQRT(($B278-CL$270)^2+($C278-CL$271)^2+($D278-CL$272)^2)</f>
        <v>6.52032901696982</v>
      </c>
      <c r="CM278" s="17" t="n">
        <f aca="false">SQRT(($B278-CM$270)^2+($C278-CM$271)^2+($D278-CM$272)^2)</f>
        <v>2.44906227324755</v>
      </c>
      <c r="CN278" s="63" t="n">
        <f aca="false">MATCH(MIN(CI278:CM278),CI278:CM278,0)</f>
        <v>1</v>
      </c>
      <c r="CP278" s="17" t="n">
        <f aca="false">SQRT(($B278-CP$270)^2+($C278-CP$271)^2+($D278-CP$272)^2)</f>
        <v>0.292368703449437</v>
      </c>
      <c r="CQ278" s="17" t="n">
        <f aca="false">SQRT(($B278-CQ$270)^2+($C278-CQ$271)^2+($D278-CQ$272)^2)</f>
        <v>7.59742114227689</v>
      </c>
      <c r="CR278" s="17" t="n">
        <f aca="false">SQRT(($B278-CR$270)^2+($C278-CR$271)^2+($D278-CR$272)^2)</f>
        <v>4.79582877153639</v>
      </c>
      <c r="CS278" s="17" t="n">
        <f aca="false">SQRT(($B278-CS$270)^2+($C278-CS$271)^2+($D278-CS$272)^2)</f>
        <v>6.52032901696982</v>
      </c>
      <c r="CT278" s="17" t="n">
        <f aca="false">SQRT(($B278-CT$270)^2+($C278-CT$271)^2+($D278-CT$272)^2)</f>
        <v>2.44906227324755</v>
      </c>
      <c r="CU278" s="63" t="n">
        <f aca="false">MATCH(MIN(CP278:CT278),CP278:CT278,0)</f>
        <v>1</v>
      </c>
      <c r="CW278" s="17" t="n">
        <f aca="false">SQRT(($B278-CW$270)^2+($C278-CW$271)^2+($D278-CW$272)^2)</f>
        <v>0.292368703449437</v>
      </c>
      <c r="CX278" s="17" t="n">
        <f aca="false">SQRT(($B278-CX$270)^2+($C278-CX$271)^2+($D278-CX$272)^2)</f>
        <v>7.59742114227689</v>
      </c>
      <c r="CY278" s="17" t="n">
        <f aca="false">SQRT(($B278-CY$270)^2+($C278-CY$271)^2+($D278-CY$272)^2)</f>
        <v>4.79582877153639</v>
      </c>
      <c r="CZ278" s="17" t="n">
        <f aca="false">SQRT(($B278-CZ$270)^2+($C278-CZ$271)^2+($D278-CZ$272)^2)</f>
        <v>6.52032901696982</v>
      </c>
      <c r="DA278" s="17" t="n">
        <f aca="false">SQRT(($B278-DA$270)^2+($C278-DA$271)^2+($D278-DA$272)^2)</f>
        <v>2.44906227324755</v>
      </c>
      <c r="DB278" s="63" t="n">
        <f aca="false">MATCH(MIN(CW278:DA278),CW278:DA278,0)</f>
        <v>1</v>
      </c>
    </row>
    <row r="279" customFormat="false" ht="15" hidden="false" customHeight="false" outlineLevel="0" collapsed="false">
      <c r="A279" s="36" t="str">
        <f aca="false">KMeans_Data!A7</f>
        <v>Quetta</v>
      </c>
      <c r="B279" s="17" t="n">
        <f aca="false">KMeans_Data!H7</f>
        <v>2.36453191227648</v>
      </c>
      <c r="C279" s="17" t="n">
        <f aca="false">KMeans_Data!I7</f>
        <v>2.29414072853602</v>
      </c>
      <c r="D279" s="17" t="n">
        <f aca="false">KMeans_Data!J7</f>
        <v>2.37235556681649</v>
      </c>
      <c r="E279" s="63" t="n">
        <f aca="false">DB279</f>
        <v>5</v>
      </c>
      <c r="F279" s="38" t="n">
        <f aca="false">($B279-INDEX($L$270:$P$270,E279))^2+($C279-INDEX($L$271:$P$271,E279))^2+($D279-INDEX($L$272:$P$272,E279))^2</f>
        <v>0.725620747631333</v>
      </c>
      <c r="G279" s="17" t="n">
        <f aca="false">IF(COUNTIF(Distance_Matrix!$E$11:$DQ$11,$E279)&lt;=1,0,SUMIF(Distance_Matrix!$E$11:$DQ$11,$E279,Distance_Matrix!$E$16:$DQ$16)/(COUNTIF(Distance_Matrix!$E$11:$DQ$11,$E279)-1))</f>
        <v>1.32097386602712</v>
      </c>
      <c r="H279" s="17" t="n">
        <f aca="false">MIN(IF(1=$E279,1E+099,IF(COUNTIF(Distance_Matrix!$E$11:$DQ$11,1)=0,1E+099,SUMIF(Distance_Matrix!$E$11:$DQ$11,1,Distance_Matrix!$E$16:$DQ$16)/COUNTIF(Distance_Matrix!$E$11:$DQ$11,1))),IF(2=$E279,1E+099,IF(COUNTIF(Distance_Matrix!$E$11:$DQ$11,2)=0,1E+099,SUMIF(Distance_Matrix!$E$11:$DQ$11,2,Distance_Matrix!$E$16:$DQ$16)/COUNTIF(Distance_Matrix!$E$11:$DQ$11,2))),IF(3=$E279,1E+099,IF(COUNTIF(Distance_Matrix!$E$11:$DQ$11,3)=0,1E+099,SUMIF(Distance_Matrix!$E$11:$DQ$11,3,Distance_Matrix!$E$16:$DQ$16)/COUNTIF(Distance_Matrix!$E$11:$DQ$11,3))),IF(4=$E279,1E+099,IF(COUNTIF(Distance_Matrix!$E$11:$DQ$11,4)=0,1E+099,SUMIF(Distance_Matrix!$E$11:$DQ$11,4,Distance_Matrix!$E$16:$DQ$16)/COUNTIF(Distance_Matrix!$E$11:$DQ$11,4))),IF(5=$E279,1E+099,IF(COUNTIF(Distance_Matrix!$E$11:$DQ$11,5)=0,1E+099,SUMIF(Distance_Matrix!$E$11:$DQ$11,5,Distance_Matrix!$E$16:$DQ$16)/COUNTIF(Distance_Matrix!$E$11:$DQ$11,5))))</f>
        <v>2.12051992112428</v>
      </c>
      <c r="I279" s="17" t="n">
        <f aca="false">IF(COUNTIF(Distance_Matrix!$E$11:$DQ$11,$E279)&lt;=1,0,(H279-G279)/MAX(G279,H279))</f>
        <v>0.377051895213156</v>
      </c>
      <c r="X279" s="17" t="n">
        <f aca="false">SQRT(($B279-X$270)^2+($C279-X$271)^2+($D279-X$272)^2)</f>
        <v>2.15562975043914</v>
      </c>
      <c r="Y279" s="17" t="n">
        <f aca="false">SQRT(($B279-Y$270)^2+($C279-Y$271)^2+($D279-Y$272)^2)</f>
        <v>6.3976329314131</v>
      </c>
      <c r="Z279" s="17" t="n">
        <f aca="false">SQRT(($B279-Z$270)^2+($C279-Z$271)^2+($D279-Z$272)^2)</f>
        <v>2.49878681858911</v>
      </c>
      <c r="AA279" s="17" t="n">
        <f aca="false">SQRT(($B279-AA$270)^2+($C279-AA$271)^2+($D279-AA$272)^2)</f>
        <v>4.61409614564319</v>
      </c>
      <c r="AB279" s="17" t="n">
        <f aca="false">SQRT(($B279-AB$270)^2+($C279-AB$271)^2+($D279-AB$272)^2)</f>
        <v>0</v>
      </c>
      <c r="AC279" s="63" t="n">
        <f aca="false">MATCH(MIN(X279:AB279),X279:AB279,0)</f>
        <v>5</v>
      </c>
      <c r="AE279" s="17" t="n">
        <f aca="false">SQRT(($B279-AE$270)^2+($C279-AE$271)^2+($D279-AE$272)^2)</f>
        <v>2.10056134812643</v>
      </c>
      <c r="AF279" s="17" t="n">
        <f aca="false">SQRT(($B279-AF$270)^2+($C279-AF$271)^2+($D279-AF$272)^2)</f>
        <v>5.71233649116885</v>
      </c>
      <c r="AG279" s="17" t="n">
        <f aca="false">SQRT(($B279-AG$270)^2+($C279-AG$271)^2+($D279-AG$272)^2)</f>
        <v>2.97461942417821</v>
      </c>
      <c r="AH279" s="17" t="n">
        <f aca="false">SQRT(($B279-AH$270)^2+($C279-AH$271)^2+($D279-AH$272)^2)</f>
        <v>4.68688178913795</v>
      </c>
      <c r="AI279" s="17" t="n">
        <f aca="false">SQRT(($B279-AI$270)^2+($C279-AI$271)^2+($D279-AI$272)^2)</f>
        <v>0.688704566711563</v>
      </c>
      <c r="AJ279" s="63" t="n">
        <f aca="false">MATCH(MIN(AE279:AI279),AE279:AI279,0)</f>
        <v>5</v>
      </c>
      <c r="AL279" s="17" t="n">
        <f aca="false">SQRT(($B279-AL$270)^2+($C279-AL$271)^2+($D279-AL$272)^2)</f>
        <v>2.10056134812643</v>
      </c>
      <c r="AM279" s="17" t="n">
        <f aca="false">SQRT(($B279-AM$270)^2+($C279-AM$271)^2+($D279-AM$272)^2)</f>
        <v>5.73617583955375</v>
      </c>
      <c r="AN279" s="17" t="n">
        <f aca="false">SQRT(($B279-AN$270)^2+($C279-AN$271)^2+($D279-AN$272)^2)</f>
        <v>2.9008239327143</v>
      </c>
      <c r="AO279" s="17" t="n">
        <f aca="false">SQRT(($B279-AO$270)^2+($C279-AO$271)^2+($D279-AO$272)^2)</f>
        <v>4.63989903275726</v>
      </c>
      <c r="AP279" s="17" t="n">
        <f aca="false">SQRT(($B279-AP$270)^2+($C279-AP$271)^2+($D279-AP$272)^2)</f>
        <v>0.851833755865153</v>
      </c>
      <c r="AQ279" s="63" t="n">
        <f aca="false">MATCH(MIN(AL279:AP279),AL279:AP279,0)</f>
        <v>5</v>
      </c>
      <c r="AS279" s="17" t="n">
        <f aca="false">SQRT(($B279-AS$270)^2+($C279-AS$271)^2+($D279-AS$272)^2)</f>
        <v>2.10056134812643</v>
      </c>
      <c r="AT279" s="17" t="n">
        <f aca="false">SQRT(($B279-AT$270)^2+($C279-AT$271)^2+($D279-AT$272)^2)</f>
        <v>5.81566815652618</v>
      </c>
      <c r="AU279" s="17" t="n">
        <f aca="false">SQRT(($B279-AU$270)^2+($C279-AU$271)^2+($D279-AU$272)^2)</f>
        <v>2.87376418487925</v>
      </c>
      <c r="AV279" s="17" t="n">
        <f aca="false">SQRT(($B279-AV$270)^2+($C279-AV$271)^2+($D279-AV$272)^2)</f>
        <v>4.64940603173971</v>
      </c>
      <c r="AW279" s="17" t="n">
        <f aca="false">SQRT(($B279-AW$270)^2+($C279-AW$271)^2+($D279-AW$272)^2)</f>
        <v>0.851833755865153</v>
      </c>
      <c r="AX279" s="63" t="n">
        <f aca="false">MATCH(MIN(AS279:AW279),AS279:AW279,0)</f>
        <v>5</v>
      </c>
      <c r="AZ279" s="17" t="n">
        <f aca="false">SQRT(($B279-AZ$270)^2+($C279-AZ$271)^2+($D279-AZ$272)^2)</f>
        <v>2.10056134812643</v>
      </c>
      <c r="BA279" s="17" t="n">
        <f aca="false">SQRT(($B279-BA$270)^2+($C279-BA$271)^2+($D279-BA$272)^2)</f>
        <v>5.81566815652618</v>
      </c>
      <c r="BB279" s="17" t="n">
        <f aca="false">SQRT(($B279-BB$270)^2+($C279-BB$271)^2+($D279-BB$272)^2)</f>
        <v>2.87376418487925</v>
      </c>
      <c r="BC279" s="17" t="n">
        <f aca="false">SQRT(($B279-BC$270)^2+($C279-BC$271)^2+($D279-BC$272)^2)</f>
        <v>4.64940603173971</v>
      </c>
      <c r="BD279" s="17" t="n">
        <f aca="false">SQRT(($B279-BD$270)^2+($C279-BD$271)^2+($D279-BD$272)^2)</f>
        <v>0.851833755865153</v>
      </c>
      <c r="BE279" s="63" t="n">
        <f aca="false">MATCH(MIN(AZ279:BD279),AZ279:BD279,0)</f>
        <v>5</v>
      </c>
      <c r="BG279" s="17" t="n">
        <f aca="false">SQRT(($B279-BG$270)^2+($C279-BG$271)^2+($D279-BG$272)^2)</f>
        <v>2.10056134812643</v>
      </c>
      <c r="BH279" s="17" t="n">
        <f aca="false">SQRT(($B279-BH$270)^2+($C279-BH$271)^2+($D279-BH$272)^2)</f>
        <v>5.81566815652618</v>
      </c>
      <c r="BI279" s="17" t="n">
        <f aca="false">SQRT(($B279-BI$270)^2+($C279-BI$271)^2+($D279-BI$272)^2)</f>
        <v>2.87376418487925</v>
      </c>
      <c r="BJ279" s="17" t="n">
        <f aca="false">SQRT(($B279-BJ$270)^2+($C279-BJ$271)^2+($D279-BJ$272)^2)</f>
        <v>4.64940603173971</v>
      </c>
      <c r="BK279" s="17" t="n">
        <f aca="false">SQRT(($B279-BK$270)^2+($C279-BK$271)^2+($D279-BK$272)^2)</f>
        <v>0.851833755865153</v>
      </c>
      <c r="BL279" s="63" t="n">
        <f aca="false">MATCH(MIN(BG279:BK279),BG279:BK279,0)</f>
        <v>5</v>
      </c>
      <c r="BN279" s="17" t="n">
        <f aca="false">SQRT(($B279-BN$270)^2+($C279-BN$271)^2+($D279-BN$272)^2)</f>
        <v>2.10056134812643</v>
      </c>
      <c r="BO279" s="17" t="n">
        <f aca="false">SQRT(($B279-BO$270)^2+($C279-BO$271)^2+($D279-BO$272)^2)</f>
        <v>5.81566815652618</v>
      </c>
      <c r="BP279" s="17" t="n">
        <f aca="false">SQRT(($B279-BP$270)^2+($C279-BP$271)^2+($D279-BP$272)^2)</f>
        <v>2.87376418487925</v>
      </c>
      <c r="BQ279" s="17" t="n">
        <f aca="false">SQRT(($B279-BQ$270)^2+($C279-BQ$271)^2+($D279-BQ$272)^2)</f>
        <v>4.64940603173971</v>
      </c>
      <c r="BR279" s="17" t="n">
        <f aca="false">SQRT(($B279-BR$270)^2+($C279-BR$271)^2+($D279-BR$272)^2)</f>
        <v>0.851833755865153</v>
      </c>
      <c r="BS279" s="63" t="n">
        <f aca="false">MATCH(MIN(BN279:BR279),BN279:BR279,0)</f>
        <v>5</v>
      </c>
      <c r="BU279" s="17" t="n">
        <f aca="false">SQRT(($B279-BU$270)^2+($C279-BU$271)^2+($D279-BU$272)^2)</f>
        <v>2.10056134812643</v>
      </c>
      <c r="BV279" s="17" t="n">
        <f aca="false">SQRT(($B279-BV$270)^2+($C279-BV$271)^2+($D279-BV$272)^2)</f>
        <v>5.81566815652618</v>
      </c>
      <c r="BW279" s="17" t="n">
        <f aca="false">SQRT(($B279-BW$270)^2+($C279-BW$271)^2+($D279-BW$272)^2)</f>
        <v>2.87376418487925</v>
      </c>
      <c r="BX279" s="17" t="n">
        <f aca="false">SQRT(($B279-BX$270)^2+($C279-BX$271)^2+($D279-BX$272)^2)</f>
        <v>4.64940603173971</v>
      </c>
      <c r="BY279" s="17" t="n">
        <f aca="false">SQRT(($B279-BY$270)^2+($C279-BY$271)^2+($D279-BY$272)^2)</f>
        <v>0.851833755865153</v>
      </c>
      <c r="BZ279" s="63" t="n">
        <f aca="false">MATCH(MIN(BU279:BY279),BU279:BY279,0)</f>
        <v>5</v>
      </c>
      <c r="CB279" s="17" t="n">
        <f aca="false">SQRT(($B279-CB$270)^2+($C279-CB$271)^2+($D279-CB$272)^2)</f>
        <v>2.10056134812643</v>
      </c>
      <c r="CC279" s="17" t="n">
        <f aca="false">SQRT(($B279-CC$270)^2+($C279-CC$271)^2+($D279-CC$272)^2)</f>
        <v>5.81566815652618</v>
      </c>
      <c r="CD279" s="17" t="n">
        <f aca="false">SQRT(($B279-CD$270)^2+($C279-CD$271)^2+($D279-CD$272)^2)</f>
        <v>2.87376418487925</v>
      </c>
      <c r="CE279" s="17" t="n">
        <f aca="false">SQRT(($B279-CE$270)^2+($C279-CE$271)^2+($D279-CE$272)^2)</f>
        <v>4.64940603173971</v>
      </c>
      <c r="CF279" s="17" t="n">
        <f aca="false">SQRT(($B279-CF$270)^2+($C279-CF$271)^2+($D279-CF$272)^2)</f>
        <v>0.851833755865153</v>
      </c>
      <c r="CG279" s="63" t="n">
        <f aca="false">MATCH(MIN(CB279:CF279),CB279:CF279,0)</f>
        <v>5</v>
      </c>
      <c r="CI279" s="17" t="n">
        <f aca="false">SQRT(($B279-CI$270)^2+($C279-CI$271)^2+($D279-CI$272)^2)</f>
        <v>2.10056134812643</v>
      </c>
      <c r="CJ279" s="17" t="n">
        <f aca="false">SQRT(($B279-CJ$270)^2+($C279-CJ$271)^2+($D279-CJ$272)^2)</f>
        <v>5.81566815652618</v>
      </c>
      <c r="CK279" s="17" t="n">
        <f aca="false">SQRT(($B279-CK$270)^2+($C279-CK$271)^2+($D279-CK$272)^2)</f>
        <v>2.87376418487925</v>
      </c>
      <c r="CL279" s="17" t="n">
        <f aca="false">SQRT(($B279-CL$270)^2+($C279-CL$271)^2+($D279-CL$272)^2)</f>
        <v>4.64940603173971</v>
      </c>
      <c r="CM279" s="17" t="n">
        <f aca="false">SQRT(($B279-CM$270)^2+($C279-CM$271)^2+($D279-CM$272)^2)</f>
        <v>0.851833755865153</v>
      </c>
      <c r="CN279" s="63" t="n">
        <f aca="false">MATCH(MIN(CI279:CM279),CI279:CM279,0)</f>
        <v>5</v>
      </c>
      <c r="CP279" s="17" t="n">
        <f aca="false">SQRT(($B279-CP$270)^2+($C279-CP$271)^2+($D279-CP$272)^2)</f>
        <v>2.10056134812643</v>
      </c>
      <c r="CQ279" s="17" t="n">
        <f aca="false">SQRT(($B279-CQ$270)^2+($C279-CQ$271)^2+($D279-CQ$272)^2)</f>
        <v>5.81566815652618</v>
      </c>
      <c r="CR279" s="17" t="n">
        <f aca="false">SQRT(($B279-CR$270)^2+($C279-CR$271)^2+($D279-CR$272)^2)</f>
        <v>2.87376418487925</v>
      </c>
      <c r="CS279" s="17" t="n">
        <f aca="false">SQRT(($B279-CS$270)^2+($C279-CS$271)^2+($D279-CS$272)^2)</f>
        <v>4.64940603173971</v>
      </c>
      <c r="CT279" s="17" t="n">
        <f aca="false">SQRT(($B279-CT$270)^2+($C279-CT$271)^2+($D279-CT$272)^2)</f>
        <v>0.851833755865153</v>
      </c>
      <c r="CU279" s="63" t="n">
        <f aca="false">MATCH(MIN(CP279:CT279),CP279:CT279,0)</f>
        <v>5</v>
      </c>
      <c r="CW279" s="17" t="n">
        <f aca="false">SQRT(($B279-CW$270)^2+($C279-CW$271)^2+($D279-CW$272)^2)</f>
        <v>2.10056134812643</v>
      </c>
      <c r="CX279" s="17" t="n">
        <f aca="false">SQRT(($B279-CX$270)^2+($C279-CX$271)^2+($D279-CX$272)^2)</f>
        <v>5.81566815652618</v>
      </c>
      <c r="CY279" s="17" t="n">
        <f aca="false">SQRT(($B279-CY$270)^2+($C279-CY$271)^2+($D279-CY$272)^2)</f>
        <v>2.87376418487925</v>
      </c>
      <c r="CZ279" s="17" t="n">
        <f aca="false">SQRT(($B279-CZ$270)^2+($C279-CZ$271)^2+($D279-CZ$272)^2)</f>
        <v>4.64940603173971</v>
      </c>
      <c r="DA279" s="17" t="n">
        <f aca="false">SQRT(($B279-DA$270)^2+($C279-DA$271)^2+($D279-DA$272)^2)</f>
        <v>0.851833755865153</v>
      </c>
      <c r="DB279" s="63" t="n">
        <f aca="false">MATCH(MIN(CW279:DA279),CW279:DA279,0)</f>
        <v>5</v>
      </c>
    </row>
    <row r="280" customFormat="false" ht="15" hidden="false" customHeight="false" outlineLevel="0" collapsed="false">
      <c r="A280" s="36" t="str">
        <f aca="false">KMeans_Data!A8</f>
        <v>Peshawar</v>
      </c>
      <c r="B280" s="17" t="n">
        <f aca="false">KMeans_Data!H8</f>
        <v>2.345233823008</v>
      </c>
      <c r="C280" s="17" t="n">
        <f aca="false">KMeans_Data!I8</f>
        <v>3.56174892105073</v>
      </c>
      <c r="D280" s="17" t="n">
        <f aca="false">KMeans_Data!J8</f>
        <v>1.6399224296702</v>
      </c>
      <c r="E280" s="63" t="n">
        <f aca="false">DB280</f>
        <v>5</v>
      </c>
      <c r="F280" s="38" t="n">
        <f aca="false">($B280-INDEX($L$270:$P$270,E280))^2+($C280-INDEX($L$271:$P$271,E280))^2+($D280-INDEX($L$272:$P$272,E280))^2</f>
        <v>1.58510856078652</v>
      </c>
      <c r="G280" s="17" t="n">
        <f aca="false">IF(COUNTIF(Distance_Matrix!$E$11:$DQ$11,$E280)&lt;=1,0,SUMIF(Distance_Matrix!$E$11:$DQ$11,$E280,Distance_Matrix!$E$17:$DQ$17)/(COUNTIF(Distance_Matrix!$E$11:$DQ$11,$E280)-1))</f>
        <v>1.69557280354625</v>
      </c>
      <c r="H280" s="17" t="n">
        <f aca="false">MIN(IF(1=$E280,1E+099,IF(COUNTIF(Distance_Matrix!$E$11:$DQ$11,1)=0,1E+099,SUMIF(Distance_Matrix!$E$11:$DQ$11,1,Distance_Matrix!$E$17:$DQ$17)/COUNTIF(Distance_Matrix!$E$11:$DQ$11,1))),IF(2=$E280,1E+099,IF(COUNTIF(Distance_Matrix!$E$11:$DQ$11,2)=0,1E+099,SUMIF(Distance_Matrix!$E$11:$DQ$11,2,Distance_Matrix!$E$17:$DQ$17)/COUNTIF(Distance_Matrix!$E$11:$DQ$11,2))),IF(3=$E280,1E+099,IF(COUNTIF(Distance_Matrix!$E$11:$DQ$11,3)=0,1E+099,SUMIF(Distance_Matrix!$E$11:$DQ$11,3,Distance_Matrix!$E$17:$DQ$17)/COUNTIF(Distance_Matrix!$E$11:$DQ$11,3))),IF(4=$E280,1E+099,IF(COUNTIF(Distance_Matrix!$E$11:$DQ$11,4)=0,1E+099,SUMIF(Distance_Matrix!$E$11:$DQ$11,4,Distance_Matrix!$E$17:$DQ$17)/COUNTIF(Distance_Matrix!$E$11:$DQ$11,4))),IF(5=$E280,1E+099,IF(COUNTIF(Distance_Matrix!$E$11:$DQ$11,5)=0,1E+099,SUMIF(Distance_Matrix!$E$11:$DQ$11,5,Distance_Matrix!$E$17:$DQ$17)/COUNTIF(Distance_Matrix!$E$11:$DQ$11,5))))</f>
        <v>1.71168846097721</v>
      </c>
      <c r="I280" s="17" t="n">
        <f aca="false">IF(COUNTIF(Distance_Matrix!$E$11:$DQ$11,$E280)&lt;=1,0,(H280-G280)/MAX(G280,H280))</f>
        <v>0.00941506459753261</v>
      </c>
      <c r="X280" s="17" t="n">
        <f aca="false">SQRT(($B280-X$270)^2+($C280-X$271)^2+($D280-X$272)^2)</f>
        <v>1.92143186127921</v>
      </c>
      <c r="Y280" s="17" t="n">
        <f aca="false">SQRT(($B280-Y$270)^2+($C280-Y$271)^2+($D280-Y$272)^2)</f>
        <v>6.7282906668016</v>
      </c>
      <c r="Z280" s="17" t="n">
        <f aca="false">SQRT(($B280-Z$270)^2+($C280-Z$271)^2+($D280-Z$272)^2)</f>
        <v>3.44546531545124</v>
      </c>
      <c r="AA280" s="17" t="n">
        <f aca="false">SQRT(($B280-AA$270)^2+($C280-AA$271)^2+($D280-AA$272)^2)</f>
        <v>4.93989688451137</v>
      </c>
      <c r="AB280" s="17" t="n">
        <f aca="false">SQRT(($B280-AB$270)^2+($C280-AB$271)^2+($D280-AB$272)^2)</f>
        <v>1.46412473729863</v>
      </c>
      <c r="AC280" s="63" t="n">
        <f aca="false">MATCH(MIN(X280:AB280),X280:AB280,0)</f>
        <v>5</v>
      </c>
      <c r="AE280" s="17" t="n">
        <f aca="false">SQRT(($B280-AE$270)^2+($C280-AE$271)^2+($D280-AE$272)^2)</f>
        <v>1.69952647012515</v>
      </c>
      <c r="AF280" s="17" t="n">
        <f aca="false">SQRT(($B280-AF$270)^2+($C280-AF$271)^2+($D280-AF$272)^2)</f>
        <v>6.1044244897634</v>
      </c>
      <c r="AG280" s="17" t="n">
        <f aca="false">SQRT(($B280-AG$270)^2+($C280-AG$271)^2+($D280-AG$272)^2)</f>
        <v>3.6378999262151</v>
      </c>
      <c r="AH280" s="17" t="n">
        <f aca="false">SQRT(($B280-AH$270)^2+($C280-AH$271)^2+($D280-AH$272)^2)</f>
        <v>5.18121677872601</v>
      </c>
      <c r="AI280" s="17" t="n">
        <f aca="false">SQRT(($B280-AI$270)^2+($C280-AI$271)^2+($D280-AI$272)^2)</f>
        <v>1.06442268494981</v>
      </c>
      <c r="AJ280" s="63" t="n">
        <f aca="false">MATCH(MIN(AE280:AI280),AE280:AI280,0)</f>
        <v>5</v>
      </c>
      <c r="AL280" s="17" t="n">
        <f aca="false">SQRT(($B280-AL$270)^2+($C280-AL$271)^2+($D280-AL$272)^2)</f>
        <v>1.69952647012515</v>
      </c>
      <c r="AM280" s="17" t="n">
        <f aca="false">SQRT(($B280-AM$270)^2+($C280-AM$271)^2+($D280-AM$272)^2)</f>
        <v>6.12073950420063</v>
      </c>
      <c r="AN280" s="17" t="n">
        <f aca="false">SQRT(($B280-AN$270)^2+($C280-AN$271)^2+($D280-AN$272)^2)</f>
        <v>3.55151974186507</v>
      </c>
      <c r="AO280" s="17" t="n">
        <f aca="false">SQRT(($B280-AO$270)^2+($C280-AO$271)^2+($D280-AO$272)^2)</f>
        <v>5.16084758662823</v>
      </c>
      <c r="AP280" s="17" t="n">
        <f aca="false">SQRT(($B280-AP$270)^2+($C280-AP$271)^2+($D280-AP$272)^2)</f>
        <v>1.25901094545938</v>
      </c>
      <c r="AQ280" s="63" t="n">
        <f aca="false">MATCH(MIN(AL280:AP280),AL280:AP280,0)</f>
        <v>5</v>
      </c>
      <c r="AS280" s="17" t="n">
        <f aca="false">SQRT(($B280-AS$270)^2+($C280-AS$271)^2+($D280-AS$272)^2)</f>
        <v>1.69952647012515</v>
      </c>
      <c r="AT280" s="17" t="n">
        <f aca="false">SQRT(($B280-AT$270)^2+($C280-AT$271)^2+($D280-AT$272)^2)</f>
        <v>6.18424884082263</v>
      </c>
      <c r="AU280" s="17" t="n">
        <f aca="false">SQRT(($B280-AU$270)^2+($C280-AU$271)^2+($D280-AU$272)^2)</f>
        <v>3.52877329344911</v>
      </c>
      <c r="AV280" s="17" t="n">
        <f aca="false">SQRT(($B280-AV$270)^2+($C280-AV$271)^2+($D280-AV$272)^2)</f>
        <v>5.17146399896936</v>
      </c>
      <c r="AW280" s="17" t="n">
        <f aca="false">SQRT(($B280-AW$270)^2+($C280-AW$271)^2+($D280-AW$272)^2)</f>
        <v>1.25901094545938</v>
      </c>
      <c r="AX280" s="63" t="n">
        <f aca="false">MATCH(MIN(AS280:AW280),AS280:AW280,0)</f>
        <v>5</v>
      </c>
      <c r="AZ280" s="17" t="n">
        <f aca="false">SQRT(($B280-AZ$270)^2+($C280-AZ$271)^2+($D280-AZ$272)^2)</f>
        <v>1.69952647012515</v>
      </c>
      <c r="BA280" s="17" t="n">
        <f aca="false">SQRT(($B280-BA$270)^2+($C280-BA$271)^2+($D280-BA$272)^2)</f>
        <v>6.18424884082263</v>
      </c>
      <c r="BB280" s="17" t="n">
        <f aca="false">SQRT(($B280-BB$270)^2+($C280-BB$271)^2+($D280-BB$272)^2)</f>
        <v>3.52877329344911</v>
      </c>
      <c r="BC280" s="17" t="n">
        <f aca="false">SQRT(($B280-BC$270)^2+($C280-BC$271)^2+($D280-BC$272)^2)</f>
        <v>5.17146399896936</v>
      </c>
      <c r="BD280" s="17" t="n">
        <f aca="false">SQRT(($B280-BD$270)^2+($C280-BD$271)^2+($D280-BD$272)^2)</f>
        <v>1.25901094545938</v>
      </c>
      <c r="BE280" s="63" t="n">
        <f aca="false">MATCH(MIN(AZ280:BD280),AZ280:BD280,0)</f>
        <v>5</v>
      </c>
      <c r="BG280" s="17" t="n">
        <f aca="false">SQRT(($B280-BG$270)^2+($C280-BG$271)^2+($D280-BG$272)^2)</f>
        <v>1.69952647012515</v>
      </c>
      <c r="BH280" s="17" t="n">
        <f aca="false">SQRT(($B280-BH$270)^2+($C280-BH$271)^2+($D280-BH$272)^2)</f>
        <v>6.18424884082263</v>
      </c>
      <c r="BI280" s="17" t="n">
        <f aca="false">SQRT(($B280-BI$270)^2+($C280-BI$271)^2+($D280-BI$272)^2)</f>
        <v>3.52877329344911</v>
      </c>
      <c r="BJ280" s="17" t="n">
        <f aca="false">SQRT(($B280-BJ$270)^2+($C280-BJ$271)^2+($D280-BJ$272)^2)</f>
        <v>5.17146399896936</v>
      </c>
      <c r="BK280" s="17" t="n">
        <f aca="false">SQRT(($B280-BK$270)^2+($C280-BK$271)^2+($D280-BK$272)^2)</f>
        <v>1.25901094545938</v>
      </c>
      <c r="BL280" s="63" t="n">
        <f aca="false">MATCH(MIN(BG280:BK280),BG280:BK280,0)</f>
        <v>5</v>
      </c>
      <c r="BN280" s="17" t="n">
        <f aca="false">SQRT(($B280-BN$270)^2+($C280-BN$271)^2+($D280-BN$272)^2)</f>
        <v>1.69952647012515</v>
      </c>
      <c r="BO280" s="17" t="n">
        <f aca="false">SQRT(($B280-BO$270)^2+($C280-BO$271)^2+($D280-BO$272)^2)</f>
        <v>6.18424884082263</v>
      </c>
      <c r="BP280" s="17" t="n">
        <f aca="false">SQRT(($B280-BP$270)^2+($C280-BP$271)^2+($D280-BP$272)^2)</f>
        <v>3.52877329344911</v>
      </c>
      <c r="BQ280" s="17" t="n">
        <f aca="false">SQRT(($B280-BQ$270)^2+($C280-BQ$271)^2+($D280-BQ$272)^2)</f>
        <v>5.17146399896936</v>
      </c>
      <c r="BR280" s="17" t="n">
        <f aca="false">SQRT(($B280-BR$270)^2+($C280-BR$271)^2+($D280-BR$272)^2)</f>
        <v>1.25901094545938</v>
      </c>
      <c r="BS280" s="63" t="n">
        <f aca="false">MATCH(MIN(BN280:BR280),BN280:BR280,0)</f>
        <v>5</v>
      </c>
      <c r="BU280" s="17" t="n">
        <f aca="false">SQRT(($B280-BU$270)^2+($C280-BU$271)^2+($D280-BU$272)^2)</f>
        <v>1.69952647012515</v>
      </c>
      <c r="BV280" s="17" t="n">
        <f aca="false">SQRT(($B280-BV$270)^2+($C280-BV$271)^2+($D280-BV$272)^2)</f>
        <v>6.18424884082263</v>
      </c>
      <c r="BW280" s="17" t="n">
        <f aca="false">SQRT(($B280-BW$270)^2+($C280-BW$271)^2+($D280-BW$272)^2)</f>
        <v>3.52877329344911</v>
      </c>
      <c r="BX280" s="17" t="n">
        <f aca="false">SQRT(($B280-BX$270)^2+($C280-BX$271)^2+($D280-BX$272)^2)</f>
        <v>5.17146399896936</v>
      </c>
      <c r="BY280" s="17" t="n">
        <f aca="false">SQRT(($B280-BY$270)^2+($C280-BY$271)^2+($D280-BY$272)^2)</f>
        <v>1.25901094545938</v>
      </c>
      <c r="BZ280" s="63" t="n">
        <f aca="false">MATCH(MIN(BU280:BY280),BU280:BY280,0)</f>
        <v>5</v>
      </c>
      <c r="CB280" s="17" t="n">
        <f aca="false">SQRT(($B280-CB$270)^2+($C280-CB$271)^2+($D280-CB$272)^2)</f>
        <v>1.69952647012515</v>
      </c>
      <c r="CC280" s="17" t="n">
        <f aca="false">SQRT(($B280-CC$270)^2+($C280-CC$271)^2+($D280-CC$272)^2)</f>
        <v>6.18424884082263</v>
      </c>
      <c r="CD280" s="17" t="n">
        <f aca="false">SQRT(($B280-CD$270)^2+($C280-CD$271)^2+($D280-CD$272)^2)</f>
        <v>3.52877329344911</v>
      </c>
      <c r="CE280" s="17" t="n">
        <f aca="false">SQRT(($B280-CE$270)^2+($C280-CE$271)^2+($D280-CE$272)^2)</f>
        <v>5.17146399896936</v>
      </c>
      <c r="CF280" s="17" t="n">
        <f aca="false">SQRT(($B280-CF$270)^2+($C280-CF$271)^2+($D280-CF$272)^2)</f>
        <v>1.25901094545938</v>
      </c>
      <c r="CG280" s="63" t="n">
        <f aca="false">MATCH(MIN(CB280:CF280),CB280:CF280,0)</f>
        <v>5</v>
      </c>
      <c r="CI280" s="17" t="n">
        <f aca="false">SQRT(($B280-CI$270)^2+($C280-CI$271)^2+($D280-CI$272)^2)</f>
        <v>1.69952647012515</v>
      </c>
      <c r="CJ280" s="17" t="n">
        <f aca="false">SQRT(($B280-CJ$270)^2+($C280-CJ$271)^2+($D280-CJ$272)^2)</f>
        <v>6.18424884082263</v>
      </c>
      <c r="CK280" s="17" t="n">
        <f aca="false">SQRT(($B280-CK$270)^2+($C280-CK$271)^2+($D280-CK$272)^2)</f>
        <v>3.52877329344911</v>
      </c>
      <c r="CL280" s="17" t="n">
        <f aca="false">SQRT(($B280-CL$270)^2+($C280-CL$271)^2+($D280-CL$272)^2)</f>
        <v>5.17146399896936</v>
      </c>
      <c r="CM280" s="17" t="n">
        <f aca="false">SQRT(($B280-CM$270)^2+($C280-CM$271)^2+($D280-CM$272)^2)</f>
        <v>1.25901094545938</v>
      </c>
      <c r="CN280" s="63" t="n">
        <f aca="false">MATCH(MIN(CI280:CM280),CI280:CM280,0)</f>
        <v>5</v>
      </c>
      <c r="CP280" s="17" t="n">
        <f aca="false">SQRT(($B280-CP$270)^2+($C280-CP$271)^2+($D280-CP$272)^2)</f>
        <v>1.69952647012515</v>
      </c>
      <c r="CQ280" s="17" t="n">
        <f aca="false">SQRT(($B280-CQ$270)^2+($C280-CQ$271)^2+($D280-CQ$272)^2)</f>
        <v>6.18424884082263</v>
      </c>
      <c r="CR280" s="17" t="n">
        <f aca="false">SQRT(($B280-CR$270)^2+($C280-CR$271)^2+($D280-CR$272)^2)</f>
        <v>3.52877329344911</v>
      </c>
      <c r="CS280" s="17" t="n">
        <f aca="false">SQRT(($B280-CS$270)^2+($C280-CS$271)^2+($D280-CS$272)^2)</f>
        <v>5.17146399896936</v>
      </c>
      <c r="CT280" s="17" t="n">
        <f aca="false">SQRT(($B280-CT$270)^2+($C280-CT$271)^2+($D280-CT$272)^2)</f>
        <v>1.25901094545938</v>
      </c>
      <c r="CU280" s="63" t="n">
        <f aca="false">MATCH(MIN(CP280:CT280),CP280:CT280,0)</f>
        <v>5</v>
      </c>
      <c r="CW280" s="17" t="n">
        <f aca="false">SQRT(($B280-CW$270)^2+($C280-CW$271)^2+($D280-CW$272)^2)</f>
        <v>1.69952647012515</v>
      </c>
      <c r="CX280" s="17" t="n">
        <f aca="false">SQRT(($B280-CX$270)^2+($C280-CX$271)^2+($D280-CX$272)^2)</f>
        <v>6.18424884082263</v>
      </c>
      <c r="CY280" s="17" t="n">
        <f aca="false">SQRT(($B280-CY$270)^2+($C280-CY$271)^2+($D280-CY$272)^2)</f>
        <v>3.52877329344911</v>
      </c>
      <c r="CZ280" s="17" t="n">
        <f aca="false">SQRT(($B280-CZ$270)^2+($C280-CZ$271)^2+($D280-CZ$272)^2)</f>
        <v>5.17146399896936</v>
      </c>
      <c r="DA280" s="17" t="n">
        <f aca="false">SQRT(($B280-DA$270)^2+($C280-DA$271)^2+($D280-DA$272)^2)</f>
        <v>1.25901094545938</v>
      </c>
      <c r="DB280" s="63" t="n">
        <f aca="false">MATCH(MIN(CW280:DA280),CW280:DA280,0)</f>
        <v>5</v>
      </c>
    </row>
    <row r="281" customFormat="false" ht="15" hidden="false" customHeight="false" outlineLevel="0" collapsed="false">
      <c r="A281" s="36" t="str">
        <f aca="false">KMeans_Data!A9</f>
        <v>Islamabad</v>
      </c>
      <c r="B281" s="17" t="n">
        <f aca="false">KMeans_Data!H9</f>
        <v>2.1711238504828</v>
      </c>
      <c r="C281" s="17" t="n">
        <f aca="false">KMeans_Data!I9</f>
        <v>2.06578932043694</v>
      </c>
      <c r="D281" s="17" t="n">
        <f aca="false">KMeans_Data!J9</f>
        <v>1.69651676359603</v>
      </c>
      <c r="E281" s="63" t="n">
        <f aca="false">DB281</f>
        <v>5</v>
      </c>
      <c r="F281" s="38" t="n">
        <f aca="false">($B281-INDEX($L$270:$P$270,E281))^2+($C281-INDEX($L$271:$P$271,E281))^2+($D281-INDEX($L$272:$P$272,E281))^2</f>
        <v>0.175793475977838</v>
      </c>
      <c r="G281" s="17" t="n">
        <f aca="false">IF(COUNTIF(Distance_Matrix!$E$11:$DQ$11,$E281)&lt;=1,0,SUMIF(Distance_Matrix!$E$11:$DQ$11,$E281,Distance_Matrix!$E$18:$DQ$18)/(COUNTIF(Distance_Matrix!$E$11:$DQ$11,$E281)-1))</f>
        <v>1.04897853582921</v>
      </c>
      <c r="H281" s="17" t="n">
        <f aca="false">MIN(IF(1=$E281,1E+099,IF(COUNTIF(Distance_Matrix!$E$11:$DQ$11,1)=0,1E+099,SUMIF(Distance_Matrix!$E$11:$DQ$11,1,Distance_Matrix!$E$18:$DQ$18)/COUNTIF(Distance_Matrix!$E$11:$DQ$11,1))),IF(2=$E281,1E+099,IF(COUNTIF(Distance_Matrix!$E$11:$DQ$11,2)=0,1E+099,SUMIF(Distance_Matrix!$E$11:$DQ$11,2,Distance_Matrix!$E$18:$DQ$18)/COUNTIF(Distance_Matrix!$E$11:$DQ$11,2))),IF(3=$E281,1E+099,IF(COUNTIF(Distance_Matrix!$E$11:$DQ$11,3)=0,1E+099,SUMIF(Distance_Matrix!$E$11:$DQ$11,3,Distance_Matrix!$E$18:$DQ$18)/COUNTIF(Distance_Matrix!$E$11:$DQ$11,3))),IF(4=$E281,1E+099,IF(COUNTIF(Distance_Matrix!$E$11:$DQ$11,4)=0,1E+099,SUMIF(Distance_Matrix!$E$11:$DQ$11,4,Distance_Matrix!$E$18:$DQ$18)/COUNTIF(Distance_Matrix!$E$11:$DQ$11,4))),IF(5=$E281,1E+099,IF(COUNTIF(Distance_Matrix!$E$11:$DQ$11,5)=0,1E+099,SUMIF(Distance_Matrix!$E$11:$DQ$11,5,Distance_Matrix!$E$18:$DQ$18)/COUNTIF(Distance_Matrix!$E$11:$DQ$11,5))))</f>
        <v>2.3654258860365</v>
      </c>
      <c r="I281" s="17" t="n">
        <f aca="false">IF(COUNTIF(Distance_Matrix!$E$11:$DQ$11,$E281)&lt;=1,0,(H281-G281)/MAX(G281,H281))</f>
        <v>0.556537136918345</v>
      </c>
      <c r="X281" s="17" t="n">
        <f aca="false">SQRT(($B281-X$270)^2+($C281-X$271)^2+($D281-X$272)^2)</f>
        <v>2.74440135734622</v>
      </c>
      <c r="Y281" s="17" t="n">
        <f aca="false">SQRT(($B281-Y$270)^2+($C281-Y$271)^2+($D281-Y$272)^2)</f>
        <v>5.80058252965424</v>
      </c>
      <c r="Z281" s="17" t="n">
        <f aca="false">SQRT(($B281-Z$270)^2+($C281-Z$271)^2+($D281-Z$272)^2)</f>
        <v>2.04521955558325</v>
      </c>
      <c r="AA281" s="17" t="n">
        <f aca="false">SQRT(($B281-AA$270)^2+($C281-AA$271)^2+($D281-AA$272)^2)</f>
        <v>3.9116800125412</v>
      </c>
      <c r="AB281" s="17" t="n">
        <f aca="false">SQRT(($B281-AB$270)^2+($C281-AB$271)^2+($D281-AB$272)^2)</f>
        <v>0.73912727718985</v>
      </c>
      <c r="AC281" s="63" t="n">
        <f aca="false">MATCH(MIN(X281:AB281),X281:AB281,0)</f>
        <v>5</v>
      </c>
      <c r="AE281" s="17" t="n">
        <f aca="false">SQRT(($B281-AE$270)^2+($C281-AE$271)^2+($D281-AE$272)^2)</f>
        <v>2.63304253791242</v>
      </c>
      <c r="AF281" s="17" t="n">
        <f aca="false">SQRT(($B281-AF$270)^2+($C281-AF$271)^2+($D281-AF$272)^2)</f>
        <v>5.09561323353774</v>
      </c>
      <c r="AG281" s="17" t="n">
        <f aca="false">SQRT(($B281-AG$270)^2+($C281-AG$271)^2+($D281-AG$272)^2)</f>
        <v>2.4102974764358</v>
      </c>
      <c r="AH281" s="17" t="n">
        <f aca="false">SQRT(($B281-AH$270)^2+($C281-AH$271)^2+($D281-AH$272)^2)</f>
        <v>4.04992985104123</v>
      </c>
      <c r="AI281" s="17" t="n">
        <f aca="false">SQRT(($B281-AI$270)^2+($C281-AI$271)^2+($D281-AI$272)^2)</f>
        <v>0.487341122234232</v>
      </c>
      <c r="AJ281" s="63" t="n">
        <f aca="false">MATCH(MIN(AE281:AI281),AE281:AI281,0)</f>
        <v>5</v>
      </c>
      <c r="AL281" s="17" t="n">
        <f aca="false">SQRT(($B281-AL$270)^2+($C281-AL$271)^2+($D281-AL$272)^2)</f>
        <v>2.63304253791242</v>
      </c>
      <c r="AM281" s="17" t="n">
        <f aca="false">SQRT(($B281-AM$270)^2+($C281-AM$271)^2+($D281-AM$272)^2)</f>
        <v>5.11600169022918</v>
      </c>
      <c r="AN281" s="17" t="n">
        <f aca="false">SQRT(($B281-AN$270)^2+($C281-AN$271)^2+($D281-AN$272)^2)</f>
        <v>2.32952270872852</v>
      </c>
      <c r="AO281" s="17" t="n">
        <f aca="false">SQRT(($B281-AO$270)^2+($C281-AO$271)^2+($D281-AO$272)^2)</f>
        <v>4.01288191473891</v>
      </c>
      <c r="AP281" s="17" t="n">
        <f aca="false">SQRT(($B281-AP$270)^2+($C281-AP$271)^2+($D281-AP$272)^2)</f>
        <v>0.419277325857049</v>
      </c>
      <c r="AQ281" s="63" t="n">
        <f aca="false">MATCH(MIN(AL281:AP281),AL281:AP281,0)</f>
        <v>5</v>
      </c>
      <c r="AS281" s="17" t="n">
        <f aca="false">SQRT(($B281-AS$270)^2+($C281-AS$271)^2+($D281-AS$272)^2)</f>
        <v>2.63304253791242</v>
      </c>
      <c r="AT281" s="17" t="n">
        <f aca="false">SQRT(($B281-AT$270)^2+($C281-AT$271)^2+($D281-AT$272)^2)</f>
        <v>5.19189501348661</v>
      </c>
      <c r="AU281" s="17" t="n">
        <f aca="false">SQRT(($B281-AU$270)^2+($C281-AU$271)^2+($D281-AU$272)^2)</f>
        <v>2.30323457619443</v>
      </c>
      <c r="AV281" s="17" t="n">
        <f aca="false">SQRT(($B281-AV$270)^2+($C281-AV$271)^2+($D281-AV$272)^2)</f>
        <v>4.02559843581021</v>
      </c>
      <c r="AW281" s="17" t="n">
        <f aca="false">SQRT(($B281-AW$270)^2+($C281-AW$271)^2+($D281-AW$272)^2)</f>
        <v>0.419277325857049</v>
      </c>
      <c r="AX281" s="63" t="n">
        <f aca="false">MATCH(MIN(AS281:AW281),AS281:AW281,0)</f>
        <v>5</v>
      </c>
      <c r="AZ281" s="17" t="n">
        <f aca="false">SQRT(($B281-AZ$270)^2+($C281-AZ$271)^2+($D281-AZ$272)^2)</f>
        <v>2.63304253791242</v>
      </c>
      <c r="BA281" s="17" t="n">
        <f aca="false">SQRT(($B281-BA$270)^2+($C281-BA$271)^2+($D281-BA$272)^2)</f>
        <v>5.19189501348661</v>
      </c>
      <c r="BB281" s="17" t="n">
        <f aca="false">SQRT(($B281-BB$270)^2+($C281-BB$271)^2+($D281-BB$272)^2)</f>
        <v>2.30323457619443</v>
      </c>
      <c r="BC281" s="17" t="n">
        <f aca="false">SQRT(($B281-BC$270)^2+($C281-BC$271)^2+($D281-BC$272)^2)</f>
        <v>4.02559843581021</v>
      </c>
      <c r="BD281" s="17" t="n">
        <f aca="false">SQRT(($B281-BD$270)^2+($C281-BD$271)^2+($D281-BD$272)^2)</f>
        <v>0.419277325857049</v>
      </c>
      <c r="BE281" s="63" t="n">
        <f aca="false">MATCH(MIN(AZ281:BD281),AZ281:BD281,0)</f>
        <v>5</v>
      </c>
      <c r="BG281" s="17" t="n">
        <f aca="false">SQRT(($B281-BG$270)^2+($C281-BG$271)^2+($D281-BG$272)^2)</f>
        <v>2.63304253791242</v>
      </c>
      <c r="BH281" s="17" t="n">
        <f aca="false">SQRT(($B281-BH$270)^2+($C281-BH$271)^2+($D281-BH$272)^2)</f>
        <v>5.19189501348661</v>
      </c>
      <c r="BI281" s="17" t="n">
        <f aca="false">SQRT(($B281-BI$270)^2+($C281-BI$271)^2+($D281-BI$272)^2)</f>
        <v>2.30323457619443</v>
      </c>
      <c r="BJ281" s="17" t="n">
        <f aca="false">SQRT(($B281-BJ$270)^2+($C281-BJ$271)^2+($D281-BJ$272)^2)</f>
        <v>4.02559843581021</v>
      </c>
      <c r="BK281" s="17" t="n">
        <f aca="false">SQRT(($B281-BK$270)^2+($C281-BK$271)^2+($D281-BK$272)^2)</f>
        <v>0.419277325857049</v>
      </c>
      <c r="BL281" s="63" t="n">
        <f aca="false">MATCH(MIN(BG281:BK281),BG281:BK281,0)</f>
        <v>5</v>
      </c>
      <c r="BN281" s="17" t="n">
        <f aca="false">SQRT(($B281-BN$270)^2+($C281-BN$271)^2+($D281-BN$272)^2)</f>
        <v>2.63304253791242</v>
      </c>
      <c r="BO281" s="17" t="n">
        <f aca="false">SQRT(($B281-BO$270)^2+($C281-BO$271)^2+($D281-BO$272)^2)</f>
        <v>5.19189501348661</v>
      </c>
      <c r="BP281" s="17" t="n">
        <f aca="false">SQRT(($B281-BP$270)^2+($C281-BP$271)^2+($D281-BP$272)^2)</f>
        <v>2.30323457619443</v>
      </c>
      <c r="BQ281" s="17" t="n">
        <f aca="false">SQRT(($B281-BQ$270)^2+($C281-BQ$271)^2+($D281-BQ$272)^2)</f>
        <v>4.02559843581021</v>
      </c>
      <c r="BR281" s="17" t="n">
        <f aca="false">SQRT(($B281-BR$270)^2+($C281-BR$271)^2+($D281-BR$272)^2)</f>
        <v>0.419277325857049</v>
      </c>
      <c r="BS281" s="63" t="n">
        <f aca="false">MATCH(MIN(BN281:BR281),BN281:BR281,0)</f>
        <v>5</v>
      </c>
      <c r="BU281" s="17" t="n">
        <f aca="false">SQRT(($B281-BU$270)^2+($C281-BU$271)^2+($D281-BU$272)^2)</f>
        <v>2.63304253791242</v>
      </c>
      <c r="BV281" s="17" t="n">
        <f aca="false">SQRT(($B281-BV$270)^2+($C281-BV$271)^2+($D281-BV$272)^2)</f>
        <v>5.19189501348661</v>
      </c>
      <c r="BW281" s="17" t="n">
        <f aca="false">SQRT(($B281-BW$270)^2+($C281-BW$271)^2+($D281-BW$272)^2)</f>
        <v>2.30323457619443</v>
      </c>
      <c r="BX281" s="17" t="n">
        <f aca="false">SQRT(($B281-BX$270)^2+($C281-BX$271)^2+($D281-BX$272)^2)</f>
        <v>4.02559843581021</v>
      </c>
      <c r="BY281" s="17" t="n">
        <f aca="false">SQRT(($B281-BY$270)^2+($C281-BY$271)^2+($D281-BY$272)^2)</f>
        <v>0.419277325857049</v>
      </c>
      <c r="BZ281" s="63" t="n">
        <f aca="false">MATCH(MIN(BU281:BY281),BU281:BY281,0)</f>
        <v>5</v>
      </c>
      <c r="CB281" s="17" t="n">
        <f aca="false">SQRT(($B281-CB$270)^2+($C281-CB$271)^2+($D281-CB$272)^2)</f>
        <v>2.63304253791242</v>
      </c>
      <c r="CC281" s="17" t="n">
        <f aca="false">SQRT(($B281-CC$270)^2+($C281-CC$271)^2+($D281-CC$272)^2)</f>
        <v>5.19189501348661</v>
      </c>
      <c r="CD281" s="17" t="n">
        <f aca="false">SQRT(($B281-CD$270)^2+($C281-CD$271)^2+($D281-CD$272)^2)</f>
        <v>2.30323457619443</v>
      </c>
      <c r="CE281" s="17" t="n">
        <f aca="false">SQRT(($B281-CE$270)^2+($C281-CE$271)^2+($D281-CE$272)^2)</f>
        <v>4.02559843581021</v>
      </c>
      <c r="CF281" s="17" t="n">
        <f aca="false">SQRT(($B281-CF$270)^2+($C281-CF$271)^2+($D281-CF$272)^2)</f>
        <v>0.419277325857049</v>
      </c>
      <c r="CG281" s="63" t="n">
        <f aca="false">MATCH(MIN(CB281:CF281),CB281:CF281,0)</f>
        <v>5</v>
      </c>
      <c r="CI281" s="17" t="n">
        <f aca="false">SQRT(($B281-CI$270)^2+($C281-CI$271)^2+($D281-CI$272)^2)</f>
        <v>2.63304253791242</v>
      </c>
      <c r="CJ281" s="17" t="n">
        <f aca="false">SQRT(($B281-CJ$270)^2+($C281-CJ$271)^2+($D281-CJ$272)^2)</f>
        <v>5.19189501348661</v>
      </c>
      <c r="CK281" s="17" t="n">
        <f aca="false">SQRT(($B281-CK$270)^2+($C281-CK$271)^2+($D281-CK$272)^2)</f>
        <v>2.30323457619443</v>
      </c>
      <c r="CL281" s="17" t="n">
        <f aca="false">SQRT(($B281-CL$270)^2+($C281-CL$271)^2+($D281-CL$272)^2)</f>
        <v>4.02559843581021</v>
      </c>
      <c r="CM281" s="17" t="n">
        <f aca="false">SQRT(($B281-CM$270)^2+($C281-CM$271)^2+($D281-CM$272)^2)</f>
        <v>0.419277325857049</v>
      </c>
      <c r="CN281" s="63" t="n">
        <f aca="false">MATCH(MIN(CI281:CM281),CI281:CM281,0)</f>
        <v>5</v>
      </c>
      <c r="CP281" s="17" t="n">
        <f aca="false">SQRT(($B281-CP$270)^2+($C281-CP$271)^2+($D281-CP$272)^2)</f>
        <v>2.63304253791242</v>
      </c>
      <c r="CQ281" s="17" t="n">
        <f aca="false">SQRT(($B281-CQ$270)^2+($C281-CQ$271)^2+($D281-CQ$272)^2)</f>
        <v>5.19189501348661</v>
      </c>
      <c r="CR281" s="17" t="n">
        <f aca="false">SQRT(($B281-CR$270)^2+($C281-CR$271)^2+($D281-CR$272)^2)</f>
        <v>2.30323457619443</v>
      </c>
      <c r="CS281" s="17" t="n">
        <f aca="false">SQRT(($B281-CS$270)^2+($C281-CS$271)^2+($D281-CS$272)^2)</f>
        <v>4.02559843581021</v>
      </c>
      <c r="CT281" s="17" t="n">
        <f aca="false">SQRT(($B281-CT$270)^2+($C281-CT$271)^2+($D281-CT$272)^2)</f>
        <v>0.419277325857049</v>
      </c>
      <c r="CU281" s="63" t="n">
        <f aca="false">MATCH(MIN(CP281:CT281),CP281:CT281,0)</f>
        <v>5</v>
      </c>
      <c r="CW281" s="17" t="n">
        <f aca="false">SQRT(($B281-CW$270)^2+($C281-CW$271)^2+($D281-CW$272)^2)</f>
        <v>2.63304253791242</v>
      </c>
      <c r="CX281" s="17" t="n">
        <f aca="false">SQRT(($B281-CX$270)^2+($C281-CX$271)^2+($D281-CX$272)^2)</f>
        <v>5.19189501348661</v>
      </c>
      <c r="CY281" s="17" t="n">
        <f aca="false">SQRT(($B281-CY$270)^2+($C281-CY$271)^2+($D281-CY$272)^2)</f>
        <v>2.30323457619443</v>
      </c>
      <c r="CZ281" s="17" t="n">
        <f aca="false">SQRT(($B281-CZ$270)^2+($C281-CZ$271)^2+($D281-CZ$272)^2)</f>
        <v>4.02559843581021</v>
      </c>
      <c r="DA281" s="17" t="n">
        <f aca="false">SQRT(($B281-DA$270)^2+($C281-DA$271)^2+($D281-DA$272)^2)</f>
        <v>0.419277325857049</v>
      </c>
      <c r="DB281" s="63" t="n">
        <f aca="false">MATCH(MIN(CW281:DA281),CW281:DA281,0)</f>
        <v>5</v>
      </c>
    </row>
    <row r="282" customFormat="false" ht="15" hidden="false" customHeight="false" outlineLevel="0" collapsed="false">
      <c r="A282" s="36" t="str">
        <f aca="false">KMeans_Data!A10</f>
        <v>Swat</v>
      </c>
      <c r="B282" s="17" t="n">
        <f aca="false">KMeans_Data!H10</f>
        <v>1.49375246664447</v>
      </c>
      <c r="C282" s="17" t="n">
        <f aca="false">KMeans_Data!I10</f>
        <v>2.23090597008422</v>
      </c>
      <c r="D282" s="17" t="n">
        <f aca="false">KMeans_Data!J10</f>
        <v>1.44343610510691</v>
      </c>
      <c r="E282" s="63" t="n">
        <f aca="false">DB282</f>
        <v>5</v>
      </c>
      <c r="F282" s="38" t="n">
        <f aca="false">($B282-INDEX($L$270:$P$270,E282))^2+($C282-INDEX($L$271:$P$271,E282))^2+($D282-INDEX($L$272:$P$272,E282))^2</f>
        <v>0.237374055990018</v>
      </c>
      <c r="G282" s="17" t="n">
        <f aca="false">IF(COUNTIF(Distance_Matrix!$E$11:$DQ$11,$E282)&lt;=1,0,SUMIF(Distance_Matrix!$E$11:$DQ$11,$E282,Distance_Matrix!$E$19:$DQ$19)/(COUNTIF(Distance_Matrix!$E$11:$DQ$11,$E282)-1))</f>
        <v>1.06510730299284</v>
      </c>
      <c r="H282" s="17" t="n">
        <f aca="false">MIN(IF(1=$E282,1E+099,IF(COUNTIF(Distance_Matrix!$E$11:$DQ$11,1)=0,1E+099,SUMIF(Distance_Matrix!$E$11:$DQ$11,1,Distance_Matrix!$E$19:$DQ$19)/COUNTIF(Distance_Matrix!$E$11:$DQ$11,1))),IF(2=$E282,1E+099,IF(COUNTIF(Distance_Matrix!$E$11:$DQ$11,2)=0,1E+099,SUMIF(Distance_Matrix!$E$11:$DQ$11,2,Distance_Matrix!$E$19:$DQ$19)/COUNTIF(Distance_Matrix!$E$11:$DQ$11,2))),IF(3=$E282,1E+099,IF(COUNTIF(Distance_Matrix!$E$11:$DQ$11,3)=0,1E+099,SUMIF(Distance_Matrix!$E$11:$DQ$11,3,Distance_Matrix!$E$19:$DQ$19)/COUNTIF(Distance_Matrix!$E$11:$DQ$11,3))),IF(4=$E282,1E+099,IF(COUNTIF(Distance_Matrix!$E$11:$DQ$11,4)=0,1E+099,SUMIF(Distance_Matrix!$E$11:$DQ$11,4,Distance_Matrix!$E$19:$DQ$19)/COUNTIF(Distance_Matrix!$E$11:$DQ$11,4))),IF(5=$E282,1E+099,IF(COUNTIF(Distance_Matrix!$E$11:$DQ$11,5)=0,1E+099,SUMIF(Distance_Matrix!$E$11:$DQ$11,5,Distance_Matrix!$E$19:$DQ$19)/COUNTIF(Distance_Matrix!$E$11:$DQ$11,5))))</f>
        <v>2.02113004834947</v>
      </c>
      <c r="I282" s="17" t="n">
        <f aca="false">IF(COUNTIF(Distance_Matrix!$E$11:$DQ$11,$E282)&lt;=1,0,(H282-G282)/MAX(G282,H282))</f>
        <v>0.473013968664391</v>
      </c>
      <c r="X282" s="17" t="n">
        <f aca="false">SQRT(($B282-X$270)^2+($C282-X$271)^2+($D282-X$272)^2)</f>
        <v>3.11649342466592</v>
      </c>
      <c r="Y282" s="17" t="n">
        <f aca="false">SQRT(($B282-Y$270)^2+($C282-Y$271)^2+($D282-Y$272)^2)</f>
        <v>5.28240577925859</v>
      </c>
      <c r="Z282" s="17" t="n">
        <f aca="false">SQRT(($B282-Z$270)^2+($C282-Z$271)^2+($D282-Z$272)^2)</f>
        <v>1.90781752145149</v>
      </c>
      <c r="AA282" s="17" t="n">
        <f aca="false">SQRT(($B282-AA$270)^2+($C282-AA$271)^2+($D282-AA$272)^2)</f>
        <v>3.61620404102272</v>
      </c>
      <c r="AB282" s="17" t="n">
        <f aca="false">SQRT(($B282-AB$270)^2+($C282-AB$271)^2+($D282-AB$272)^2)</f>
        <v>1.2748124740347</v>
      </c>
      <c r="AC282" s="63" t="n">
        <f aca="false">MATCH(MIN(X282:AB282),X282:AB282,0)</f>
        <v>5</v>
      </c>
      <c r="AE282" s="17" t="n">
        <f aca="false">SQRT(($B282-AE$270)^2+($C282-AE$271)^2+($D282-AE$272)^2)</f>
        <v>2.98882037131718</v>
      </c>
      <c r="AF282" s="17" t="n">
        <f aca="false">SQRT(($B282-AF$270)^2+($C282-AF$271)^2+($D282-AF$272)^2)</f>
        <v>4.63237484922532</v>
      </c>
      <c r="AG282" s="17" t="n">
        <f aca="false">SQRT(($B282-AG$270)^2+($C282-AG$271)^2+($D282-AG$272)^2)</f>
        <v>2.06087101594037</v>
      </c>
      <c r="AH282" s="17" t="n">
        <f aca="false">SQRT(($B282-AH$270)^2+($C282-AH$271)^2+($D282-AH$272)^2)</f>
        <v>3.69476431945653</v>
      </c>
      <c r="AI282" s="17" t="n">
        <f aca="false">SQRT(($B282-AI$270)^2+($C282-AI$271)^2+($D282-AI$272)^2)</f>
        <v>0.757000858326629</v>
      </c>
      <c r="AJ282" s="63" t="n">
        <f aca="false">MATCH(MIN(AE282:AI282),AE282:AI282,0)</f>
        <v>5</v>
      </c>
      <c r="AL282" s="17" t="n">
        <f aca="false">SQRT(($B282-AL$270)^2+($C282-AL$271)^2+($D282-AL$272)^2)</f>
        <v>2.98882037131718</v>
      </c>
      <c r="AM282" s="17" t="n">
        <f aca="false">SQRT(($B282-AM$270)^2+($C282-AM$271)^2+($D282-AM$272)^2)</f>
        <v>4.65332442336446</v>
      </c>
      <c r="AN282" s="17" t="n">
        <f aca="false">SQRT(($B282-AN$270)^2+($C282-AN$271)^2+($D282-AN$272)^2)</f>
        <v>1.97664904949295</v>
      </c>
      <c r="AO282" s="17" t="n">
        <f aca="false">SQRT(($B282-AO$270)^2+($C282-AO$271)^2+($D282-AO$272)^2)</f>
        <v>3.65969446564821</v>
      </c>
      <c r="AP282" s="17" t="n">
        <f aca="false">SQRT(($B282-AP$270)^2+($C282-AP$271)^2+($D282-AP$272)^2)</f>
        <v>0.487210484277605</v>
      </c>
      <c r="AQ282" s="63" t="n">
        <f aca="false">MATCH(MIN(AL282:AP282),AL282:AP282,0)</f>
        <v>5</v>
      </c>
      <c r="AS282" s="17" t="n">
        <f aca="false">SQRT(($B282-AS$270)^2+($C282-AS$271)^2+($D282-AS$272)^2)</f>
        <v>2.98882037131718</v>
      </c>
      <c r="AT282" s="17" t="n">
        <f aca="false">SQRT(($B282-AT$270)^2+($C282-AT$271)^2+($D282-AT$272)^2)</f>
        <v>4.72529192823733</v>
      </c>
      <c r="AU282" s="17" t="n">
        <f aca="false">SQRT(($B282-AU$270)^2+($C282-AU$271)^2+($D282-AU$272)^2)</f>
        <v>1.95343816803569</v>
      </c>
      <c r="AV282" s="17" t="n">
        <f aca="false">SQRT(($B282-AV$270)^2+($C282-AV$271)^2+($D282-AV$272)^2)</f>
        <v>3.66624616469372</v>
      </c>
      <c r="AW282" s="17" t="n">
        <f aca="false">SQRT(($B282-AW$270)^2+($C282-AW$271)^2+($D282-AW$272)^2)</f>
        <v>0.487210484277605</v>
      </c>
      <c r="AX282" s="63" t="n">
        <f aca="false">MATCH(MIN(AS282:AW282),AS282:AW282,0)</f>
        <v>5</v>
      </c>
      <c r="AZ282" s="17" t="n">
        <f aca="false">SQRT(($B282-AZ$270)^2+($C282-AZ$271)^2+($D282-AZ$272)^2)</f>
        <v>2.98882037131718</v>
      </c>
      <c r="BA282" s="17" t="n">
        <f aca="false">SQRT(($B282-BA$270)^2+($C282-BA$271)^2+($D282-BA$272)^2)</f>
        <v>4.72529192823733</v>
      </c>
      <c r="BB282" s="17" t="n">
        <f aca="false">SQRT(($B282-BB$270)^2+($C282-BB$271)^2+($D282-BB$272)^2)</f>
        <v>1.95343816803569</v>
      </c>
      <c r="BC282" s="17" t="n">
        <f aca="false">SQRT(($B282-BC$270)^2+($C282-BC$271)^2+($D282-BC$272)^2)</f>
        <v>3.66624616469372</v>
      </c>
      <c r="BD282" s="17" t="n">
        <f aca="false">SQRT(($B282-BD$270)^2+($C282-BD$271)^2+($D282-BD$272)^2)</f>
        <v>0.487210484277605</v>
      </c>
      <c r="BE282" s="63" t="n">
        <f aca="false">MATCH(MIN(AZ282:BD282),AZ282:BD282,0)</f>
        <v>5</v>
      </c>
      <c r="BG282" s="17" t="n">
        <f aca="false">SQRT(($B282-BG$270)^2+($C282-BG$271)^2+($D282-BG$272)^2)</f>
        <v>2.98882037131718</v>
      </c>
      <c r="BH282" s="17" t="n">
        <f aca="false">SQRT(($B282-BH$270)^2+($C282-BH$271)^2+($D282-BH$272)^2)</f>
        <v>4.72529192823733</v>
      </c>
      <c r="BI282" s="17" t="n">
        <f aca="false">SQRT(($B282-BI$270)^2+($C282-BI$271)^2+($D282-BI$272)^2)</f>
        <v>1.95343816803569</v>
      </c>
      <c r="BJ282" s="17" t="n">
        <f aca="false">SQRT(($B282-BJ$270)^2+($C282-BJ$271)^2+($D282-BJ$272)^2)</f>
        <v>3.66624616469372</v>
      </c>
      <c r="BK282" s="17" t="n">
        <f aca="false">SQRT(($B282-BK$270)^2+($C282-BK$271)^2+($D282-BK$272)^2)</f>
        <v>0.487210484277605</v>
      </c>
      <c r="BL282" s="63" t="n">
        <f aca="false">MATCH(MIN(BG282:BK282),BG282:BK282,0)</f>
        <v>5</v>
      </c>
      <c r="BN282" s="17" t="n">
        <f aca="false">SQRT(($B282-BN$270)^2+($C282-BN$271)^2+($D282-BN$272)^2)</f>
        <v>2.98882037131718</v>
      </c>
      <c r="BO282" s="17" t="n">
        <f aca="false">SQRT(($B282-BO$270)^2+($C282-BO$271)^2+($D282-BO$272)^2)</f>
        <v>4.72529192823733</v>
      </c>
      <c r="BP282" s="17" t="n">
        <f aca="false">SQRT(($B282-BP$270)^2+($C282-BP$271)^2+($D282-BP$272)^2)</f>
        <v>1.95343816803569</v>
      </c>
      <c r="BQ282" s="17" t="n">
        <f aca="false">SQRT(($B282-BQ$270)^2+($C282-BQ$271)^2+($D282-BQ$272)^2)</f>
        <v>3.66624616469372</v>
      </c>
      <c r="BR282" s="17" t="n">
        <f aca="false">SQRT(($B282-BR$270)^2+($C282-BR$271)^2+($D282-BR$272)^2)</f>
        <v>0.487210484277605</v>
      </c>
      <c r="BS282" s="63" t="n">
        <f aca="false">MATCH(MIN(BN282:BR282),BN282:BR282,0)</f>
        <v>5</v>
      </c>
      <c r="BU282" s="17" t="n">
        <f aca="false">SQRT(($B282-BU$270)^2+($C282-BU$271)^2+($D282-BU$272)^2)</f>
        <v>2.98882037131718</v>
      </c>
      <c r="BV282" s="17" t="n">
        <f aca="false">SQRT(($B282-BV$270)^2+($C282-BV$271)^2+($D282-BV$272)^2)</f>
        <v>4.72529192823733</v>
      </c>
      <c r="BW282" s="17" t="n">
        <f aca="false">SQRT(($B282-BW$270)^2+($C282-BW$271)^2+($D282-BW$272)^2)</f>
        <v>1.95343816803569</v>
      </c>
      <c r="BX282" s="17" t="n">
        <f aca="false">SQRT(($B282-BX$270)^2+($C282-BX$271)^2+($D282-BX$272)^2)</f>
        <v>3.66624616469372</v>
      </c>
      <c r="BY282" s="17" t="n">
        <f aca="false">SQRT(($B282-BY$270)^2+($C282-BY$271)^2+($D282-BY$272)^2)</f>
        <v>0.487210484277605</v>
      </c>
      <c r="BZ282" s="63" t="n">
        <f aca="false">MATCH(MIN(BU282:BY282),BU282:BY282,0)</f>
        <v>5</v>
      </c>
      <c r="CB282" s="17" t="n">
        <f aca="false">SQRT(($B282-CB$270)^2+($C282-CB$271)^2+($D282-CB$272)^2)</f>
        <v>2.98882037131718</v>
      </c>
      <c r="CC282" s="17" t="n">
        <f aca="false">SQRT(($B282-CC$270)^2+($C282-CC$271)^2+($D282-CC$272)^2)</f>
        <v>4.72529192823733</v>
      </c>
      <c r="CD282" s="17" t="n">
        <f aca="false">SQRT(($B282-CD$270)^2+($C282-CD$271)^2+($D282-CD$272)^2)</f>
        <v>1.95343816803569</v>
      </c>
      <c r="CE282" s="17" t="n">
        <f aca="false">SQRT(($B282-CE$270)^2+($C282-CE$271)^2+($D282-CE$272)^2)</f>
        <v>3.66624616469372</v>
      </c>
      <c r="CF282" s="17" t="n">
        <f aca="false">SQRT(($B282-CF$270)^2+($C282-CF$271)^2+($D282-CF$272)^2)</f>
        <v>0.487210484277605</v>
      </c>
      <c r="CG282" s="63" t="n">
        <f aca="false">MATCH(MIN(CB282:CF282),CB282:CF282,0)</f>
        <v>5</v>
      </c>
      <c r="CI282" s="17" t="n">
        <f aca="false">SQRT(($B282-CI$270)^2+($C282-CI$271)^2+($D282-CI$272)^2)</f>
        <v>2.98882037131718</v>
      </c>
      <c r="CJ282" s="17" t="n">
        <f aca="false">SQRT(($B282-CJ$270)^2+($C282-CJ$271)^2+($D282-CJ$272)^2)</f>
        <v>4.72529192823733</v>
      </c>
      <c r="CK282" s="17" t="n">
        <f aca="false">SQRT(($B282-CK$270)^2+($C282-CK$271)^2+($D282-CK$272)^2)</f>
        <v>1.95343816803569</v>
      </c>
      <c r="CL282" s="17" t="n">
        <f aca="false">SQRT(($B282-CL$270)^2+($C282-CL$271)^2+($D282-CL$272)^2)</f>
        <v>3.66624616469372</v>
      </c>
      <c r="CM282" s="17" t="n">
        <f aca="false">SQRT(($B282-CM$270)^2+($C282-CM$271)^2+($D282-CM$272)^2)</f>
        <v>0.487210484277605</v>
      </c>
      <c r="CN282" s="63" t="n">
        <f aca="false">MATCH(MIN(CI282:CM282),CI282:CM282,0)</f>
        <v>5</v>
      </c>
      <c r="CP282" s="17" t="n">
        <f aca="false">SQRT(($B282-CP$270)^2+($C282-CP$271)^2+($D282-CP$272)^2)</f>
        <v>2.98882037131718</v>
      </c>
      <c r="CQ282" s="17" t="n">
        <f aca="false">SQRT(($B282-CQ$270)^2+($C282-CQ$271)^2+($D282-CQ$272)^2)</f>
        <v>4.72529192823733</v>
      </c>
      <c r="CR282" s="17" t="n">
        <f aca="false">SQRT(($B282-CR$270)^2+($C282-CR$271)^2+($D282-CR$272)^2)</f>
        <v>1.95343816803569</v>
      </c>
      <c r="CS282" s="17" t="n">
        <f aca="false">SQRT(($B282-CS$270)^2+($C282-CS$271)^2+($D282-CS$272)^2)</f>
        <v>3.66624616469372</v>
      </c>
      <c r="CT282" s="17" t="n">
        <f aca="false">SQRT(($B282-CT$270)^2+($C282-CT$271)^2+($D282-CT$272)^2)</f>
        <v>0.487210484277605</v>
      </c>
      <c r="CU282" s="63" t="n">
        <f aca="false">MATCH(MIN(CP282:CT282),CP282:CT282,0)</f>
        <v>5</v>
      </c>
      <c r="CW282" s="17" t="n">
        <f aca="false">SQRT(($B282-CW$270)^2+($C282-CW$271)^2+($D282-CW$272)^2)</f>
        <v>2.98882037131718</v>
      </c>
      <c r="CX282" s="17" t="n">
        <f aca="false">SQRT(($B282-CX$270)^2+($C282-CX$271)^2+($D282-CX$272)^2)</f>
        <v>4.72529192823733</v>
      </c>
      <c r="CY282" s="17" t="n">
        <f aca="false">SQRT(($B282-CY$270)^2+($C282-CY$271)^2+($D282-CY$272)^2)</f>
        <v>1.95343816803569</v>
      </c>
      <c r="CZ282" s="17" t="n">
        <f aca="false">SQRT(($B282-CZ$270)^2+($C282-CZ$271)^2+($D282-CZ$272)^2)</f>
        <v>3.66624616469372</v>
      </c>
      <c r="DA282" s="17" t="n">
        <f aca="false">SQRT(($B282-DA$270)^2+($C282-DA$271)^2+($D282-DA$272)^2)</f>
        <v>0.487210484277605</v>
      </c>
      <c r="DB282" s="63" t="n">
        <f aca="false">MATCH(MIN(CW282:DA282),CW282:DA282,0)</f>
        <v>5</v>
      </c>
    </row>
    <row r="283" customFormat="false" ht="15" hidden="false" customHeight="false" outlineLevel="0" collapsed="false">
      <c r="A283" s="36" t="str">
        <f aca="false">KMeans_Data!A11</f>
        <v>Multan</v>
      </c>
      <c r="B283" s="17" t="n">
        <f aca="false">KMeans_Data!H11</f>
        <v>1.339480128572</v>
      </c>
      <c r="C283" s="17" t="n">
        <f aca="false">KMeans_Data!I11</f>
        <v>0.160512589624996</v>
      </c>
      <c r="D283" s="17" t="n">
        <f aca="false">KMeans_Data!J11</f>
        <v>-0.824446015898766</v>
      </c>
      <c r="E283" s="63" t="n">
        <f aca="false">DB283</f>
        <v>4</v>
      </c>
      <c r="F283" s="38" t="n">
        <f aca="false">($B283-INDEX($L$270:$P$270,E283))^2+($C283-INDEX($L$271:$P$271,E283))^2+($D283-INDEX($L$272:$P$272,E283))^2</f>
        <v>2.80445891979772</v>
      </c>
      <c r="G283" s="17" t="n">
        <f aca="false">IF(COUNTIF(Distance_Matrix!$E$11:$DQ$11,$E283)&lt;=1,0,SUMIF(Distance_Matrix!$E$11:$DQ$11,$E283,Distance_Matrix!$E$20:$DQ$20)/(COUNTIF(Distance_Matrix!$E$11:$DQ$11,$E283)-1))</f>
        <v>1.81606884273683</v>
      </c>
      <c r="H283" s="17" t="n">
        <f aca="false">MIN(IF(1=$E283,1E+099,IF(COUNTIF(Distance_Matrix!$E$11:$DQ$11,1)=0,1E+099,SUMIF(Distance_Matrix!$E$11:$DQ$11,1,Distance_Matrix!$E$20:$DQ$20)/COUNTIF(Distance_Matrix!$E$11:$DQ$11,1))),IF(2=$E283,1E+099,IF(COUNTIF(Distance_Matrix!$E$11:$DQ$11,2)=0,1E+099,SUMIF(Distance_Matrix!$E$11:$DQ$11,2,Distance_Matrix!$E$20:$DQ$20)/COUNTIF(Distance_Matrix!$E$11:$DQ$11,2))),IF(3=$E283,1E+099,IF(COUNTIF(Distance_Matrix!$E$11:$DQ$11,3)=0,1E+099,SUMIF(Distance_Matrix!$E$11:$DQ$11,3,Distance_Matrix!$E$20:$DQ$20)/COUNTIF(Distance_Matrix!$E$11:$DQ$11,3))),IF(4=$E283,1E+099,IF(COUNTIF(Distance_Matrix!$E$11:$DQ$11,4)=0,1E+099,SUMIF(Distance_Matrix!$E$11:$DQ$11,4,Distance_Matrix!$E$20:$DQ$20)/COUNTIF(Distance_Matrix!$E$11:$DQ$11,4))),IF(5=$E283,1E+099,IF(COUNTIF(Distance_Matrix!$E$11:$DQ$11,5)=0,1E+099,SUMIF(Distance_Matrix!$E$11:$DQ$11,5,Distance_Matrix!$E$20:$DQ$20)/COUNTIF(Distance_Matrix!$E$11:$DQ$11,5))))</f>
        <v>2.01607162647869</v>
      </c>
      <c r="I283" s="17" t="n">
        <f aca="false">IF(COUNTIF(Distance_Matrix!$E$11:$DQ$11,$E283)&lt;=1,0,(H283-G283)/MAX(G283,H283))</f>
        <v>0.0992042054037483</v>
      </c>
      <c r="X283" s="17" t="n">
        <f aca="false">SQRT(($B283-X$270)^2+($C283-X$271)^2+($D283-X$272)^2)</f>
        <v>5.95048749318587</v>
      </c>
      <c r="Y283" s="17" t="n">
        <f aca="false">SQRT(($B283-Y$270)^2+($C283-Y$271)^2+($D283-Y$272)^2)</f>
        <v>3.53389042212498</v>
      </c>
      <c r="Z283" s="17" t="n">
        <f aca="false">SQRT(($B283-Z$270)^2+($C283-Z$271)^2+($D283-Z$272)^2)</f>
        <v>2.32491482972725</v>
      </c>
      <c r="AA283" s="17" t="n">
        <f aca="false">SQRT(($B283-AA$270)^2+($C283-AA$271)^2+($D283-AA$272)^2)</f>
        <v>0.824069226463199</v>
      </c>
      <c r="AB283" s="17" t="n">
        <f aca="false">SQRT(($B283-AB$270)^2+($C283-AB$271)^2+($D283-AB$272)^2)</f>
        <v>3.97776828808309</v>
      </c>
      <c r="AC283" s="63" t="n">
        <f aca="false">MATCH(MIN(X283:AB283),X283:AB283,0)</f>
        <v>4</v>
      </c>
      <c r="AE283" s="17" t="n">
        <f aca="false">SQRT(($B283-AE$270)^2+($C283-AE$271)^2+($D283-AE$272)^2)</f>
        <v>5.79410844029472</v>
      </c>
      <c r="AF283" s="17" t="n">
        <f aca="false">SQRT(($B283-AF$270)^2+($C283-AF$271)^2+($D283-AF$272)^2)</f>
        <v>2.70821597723807</v>
      </c>
      <c r="AG283" s="17" t="n">
        <f aca="false">SQRT(($B283-AG$270)^2+($C283-AG$271)^2+($D283-AG$272)^2)</f>
        <v>1.87947556205018</v>
      </c>
      <c r="AH283" s="17" t="n">
        <f aca="false">SQRT(($B283-AH$270)^2+($C283-AH$271)^2+($D283-AH$272)^2)</f>
        <v>1.57585325388724</v>
      </c>
      <c r="AI283" s="17" t="n">
        <f aca="false">SQRT(($B283-AI$270)^2+($C283-AI$271)^2+($D283-AI$272)^2)</f>
        <v>3.61207773378394</v>
      </c>
      <c r="AJ283" s="63" t="n">
        <f aca="false">MATCH(MIN(AE283:AI283),AE283:AI283,0)</f>
        <v>4</v>
      </c>
      <c r="AL283" s="17" t="n">
        <f aca="false">SQRT(($B283-AL$270)^2+($C283-AL$271)^2+($D283-AL$272)^2)</f>
        <v>5.79410844029472</v>
      </c>
      <c r="AM283" s="17" t="n">
        <f aca="false">SQRT(($B283-AM$270)^2+($C283-AM$271)^2+($D283-AM$272)^2)</f>
        <v>2.70242899312276</v>
      </c>
      <c r="AN283" s="17" t="n">
        <f aca="false">SQRT(($B283-AN$270)^2+($C283-AN$271)^2+($D283-AN$272)^2)</f>
        <v>1.87219472282467</v>
      </c>
      <c r="AO283" s="17" t="n">
        <f aca="false">SQRT(($B283-AO$270)^2+($C283-AO$271)^2+($D283-AO$272)^2)</f>
        <v>1.62869314890032</v>
      </c>
      <c r="AP283" s="17" t="n">
        <f aca="false">SQRT(($B283-AP$270)^2+($C283-AP$271)^2+($D283-AP$272)^2)</f>
        <v>3.38391203549357</v>
      </c>
      <c r="AQ283" s="63" t="n">
        <f aca="false">MATCH(MIN(AL283:AP283),AL283:AP283,0)</f>
        <v>4</v>
      </c>
      <c r="AS283" s="17" t="n">
        <f aca="false">SQRT(($B283-AS$270)^2+($C283-AS$271)^2+($D283-AS$272)^2)</f>
        <v>5.79410844029472</v>
      </c>
      <c r="AT283" s="17" t="n">
        <f aca="false">SQRT(($B283-AT$270)^2+($C283-AT$271)^2+($D283-AT$272)^2)</f>
        <v>2.7518839779431</v>
      </c>
      <c r="AU283" s="17" t="n">
        <f aca="false">SQRT(($B283-AU$270)^2+($C283-AU$271)^2+($D283-AU$272)^2)</f>
        <v>1.88158615759528</v>
      </c>
      <c r="AV283" s="17" t="n">
        <f aca="false">SQRT(($B283-AV$270)^2+($C283-AV$271)^2+($D283-AV$272)^2)</f>
        <v>1.67465188018218</v>
      </c>
      <c r="AW283" s="17" t="n">
        <f aca="false">SQRT(($B283-AW$270)^2+($C283-AW$271)^2+($D283-AW$272)^2)</f>
        <v>3.38391203549357</v>
      </c>
      <c r="AX283" s="63" t="n">
        <f aca="false">MATCH(MIN(AS283:AW283),AS283:AW283,0)</f>
        <v>4</v>
      </c>
      <c r="AZ283" s="17" t="n">
        <f aca="false">SQRT(($B283-AZ$270)^2+($C283-AZ$271)^2+($D283-AZ$272)^2)</f>
        <v>5.79410844029472</v>
      </c>
      <c r="BA283" s="17" t="n">
        <f aca="false">SQRT(($B283-BA$270)^2+($C283-BA$271)^2+($D283-BA$272)^2)</f>
        <v>2.7518839779431</v>
      </c>
      <c r="BB283" s="17" t="n">
        <f aca="false">SQRT(($B283-BB$270)^2+($C283-BB$271)^2+($D283-BB$272)^2)</f>
        <v>1.88158615759528</v>
      </c>
      <c r="BC283" s="17" t="n">
        <f aca="false">SQRT(($B283-BC$270)^2+($C283-BC$271)^2+($D283-BC$272)^2)</f>
        <v>1.67465188018218</v>
      </c>
      <c r="BD283" s="17" t="n">
        <f aca="false">SQRT(($B283-BD$270)^2+($C283-BD$271)^2+($D283-BD$272)^2)</f>
        <v>3.38391203549357</v>
      </c>
      <c r="BE283" s="63" t="n">
        <f aca="false">MATCH(MIN(AZ283:BD283),AZ283:BD283,0)</f>
        <v>4</v>
      </c>
      <c r="BG283" s="17" t="n">
        <f aca="false">SQRT(($B283-BG$270)^2+($C283-BG$271)^2+($D283-BG$272)^2)</f>
        <v>5.79410844029472</v>
      </c>
      <c r="BH283" s="17" t="n">
        <f aca="false">SQRT(($B283-BH$270)^2+($C283-BH$271)^2+($D283-BH$272)^2)</f>
        <v>2.7518839779431</v>
      </c>
      <c r="BI283" s="17" t="n">
        <f aca="false">SQRT(($B283-BI$270)^2+($C283-BI$271)^2+($D283-BI$272)^2)</f>
        <v>1.88158615759528</v>
      </c>
      <c r="BJ283" s="17" t="n">
        <f aca="false">SQRT(($B283-BJ$270)^2+($C283-BJ$271)^2+($D283-BJ$272)^2)</f>
        <v>1.67465188018218</v>
      </c>
      <c r="BK283" s="17" t="n">
        <f aca="false">SQRT(($B283-BK$270)^2+($C283-BK$271)^2+($D283-BK$272)^2)</f>
        <v>3.38391203549357</v>
      </c>
      <c r="BL283" s="63" t="n">
        <f aca="false">MATCH(MIN(BG283:BK283),BG283:BK283,0)</f>
        <v>4</v>
      </c>
      <c r="BN283" s="17" t="n">
        <f aca="false">SQRT(($B283-BN$270)^2+($C283-BN$271)^2+($D283-BN$272)^2)</f>
        <v>5.79410844029472</v>
      </c>
      <c r="BO283" s="17" t="n">
        <f aca="false">SQRT(($B283-BO$270)^2+($C283-BO$271)^2+($D283-BO$272)^2)</f>
        <v>2.7518839779431</v>
      </c>
      <c r="BP283" s="17" t="n">
        <f aca="false">SQRT(($B283-BP$270)^2+($C283-BP$271)^2+($D283-BP$272)^2)</f>
        <v>1.88158615759528</v>
      </c>
      <c r="BQ283" s="17" t="n">
        <f aca="false">SQRT(($B283-BQ$270)^2+($C283-BQ$271)^2+($D283-BQ$272)^2)</f>
        <v>1.67465188018218</v>
      </c>
      <c r="BR283" s="17" t="n">
        <f aca="false">SQRT(($B283-BR$270)^2+($C283-BR$271)^2+($D283-BR$272)^2)</f>
        <v>3.38391203549357</v>
      </c>
      <c r="BS283" s="63" t="n">
        <f aca="false">MATCH(MIN(BN283:BR283),BN283:BR283,0)</f>
        <v>4</v>
      </c>
      <c r="BU283" s="17" t="n">
        <f aca="false">SQRT(($B283-BU$270)^2+($C283-BU$271)^2+($D283-BU$272)^2)</f>
        <v>5.79410844029472</v>
      </c>
      <c r="BV283" s="17" t="n">
        <f aca="false">SQRT(($B283-BV$270)^2+($C283-BV$271)^2+($D283-BV$272)^2)</f>
        <v>2.7518839779431</v>
      </c>
      <c r="BW283" s="17" t="n">
        <f aca="false">SQRT(($B283-BW$270)^2+($C283-BW$271)^2+($D283-BW$272)^2)</f>
        <v>1.88158615759528</v>
      </c>
      <c r="BX283" s="17" t="n">
        <f aca="false">SQRT(($B283-BX$270)^2+($C283-BX$271)^2+($D283-BX$272)^2)</f>
        <v>1.67465188018218</v>
      </c>
      <c r="BY283" s="17" t="n">
        <f aca="false">SQRT(($B283-BY$270)^2+($C283-BY$271)^2+($D283-BY$272)^2)</f>
        <v>3.38391203549357</v>
      </c>
      <c r="BZ283" s="63" t="n">
        <f aca="false">MATCH(MIN(BU283:BY283),BU283:BY283,0)</f>
        <v>4</v>
      </c>
      <c r="CB283" s="17" t="n">
        <f aca="false">SQRT(($B283-CB$270)^2+($C283-CB$271)^2+($D283-CB$272)^2)</f>
        <v>5.79410844029472</v>
      </c>
      <c r="CC283" s="17" t="n">
        <f aca="false">SQRT(($B283-CC$270)^2+($C283-CC$271)^2+($D283-CC$272)^2)</f>
        <v>2.7518839779431</v>
      </c>
      <c r="CD283" s="17" t="n">
        <f aca="false">SQRT(($B283-CD$270)^2+($C283-CD$271)^2+($D283-CD$272)^2)</f>
        <v>1.88158615759528</v>
      </c>
      <c r="CE283" s="17" t="n">
        <f aca="false">SQRT(($B283-CE$270)^2+($C283-CE$271)^2+($D283-CE$272)^2)</f>
        <v>1.67465188018218</v>
      </c>
      <c r="CF283" s="17" t="n">
        <f aca="false">SQRT(($B283-CF$270)^2+($C283-CF$271)^2+($D283-CF$272)^2)</f>
        <v>3.38391203549357</v>
      </c>
      <c r="CG283" s="63" t="n">
        <f aca="false">MATCH(MIN(CB283:CF283),CB283:CF283,0)</f>
        <v>4</v>
      </c>
      <c r="CI283" s="17" t="n">
        <f aca="false">SQRT(($B283-CI$270)^2+($C283-CI$271)^2+($D283-CI$272)^2)</f>
        <v>5.79410844029472</v>
      </c>
      <c r="CJ283" s="17" t="n">
        <f aca="false">SQRT(($B283-CJ$270)^2+($C283-CJ$271)^2+($D283-CJ$272)^2)</f>
        <v>2.7518839779431</v>
      </c>
      <c r="CK283" s="17" t="n">
        <f aca="false">SQRT(($B283-CK$270)^2+($C283-CK$271)^2+($D283-CK$272)^2)</f>
        <v>1.88158615759528</v>
      </c>
      <c r="CL283" s="17" t="n">
        <f aca="false">SQRT(($B283-CL$270)^2+($C283-CL$271)^2+($D283-CL$272)^2)</f>
        <v>1.67465188018218</v>
      </c>
      <c r="CM283" s="17" t="n">
        <f aca="false">SQRT(($B283-CM$270)^2+($C283-CM$271)^2+($D283-CM$272)^2)</f>
        <v>3.38391203549357</v>
      </c>
      <c r="CN283" s="63" t="n">
        <f aca="false">MATCH(MIN(CI283:CM283),CI283:CM283,0)</f>
        <v>4</v>
      </c>
      <c r="CP283" s="17" t="n">
        <f aca="false">SQRT(($B283-CP$270)^2+($C283-CP$271)^2+($D283-CP$272)^2)</f>
        <v>5.79410844029472</v>
      </c>
      <c r="CQ283" s="17" t="n">
        <f aca="false">SQRT(($B283-CQ$270)^2+($C283-CQ$271)^2+($D283-CQ$272)^2)</f>
        <v>2.7518839779431</v>
      </c>
      <c r="CR283" s="17" t="n">
        <f aca="false">SQRT(($B283-CR$270)^2+($C283-CR$271)^2+($D283-CR$272)^2)</f>
        <v>1.88158615759528</v>
      </c>
      <c r="CS283" s="17" t="n">
        <f aca="false">SQRT(($B283-CS$270)^2+($C283-CS$271)^2+($D283-CS$272)^2)</f>
        <v>1.67465188018218</v>
      </c>
      <c r="CT283" s="17" t="n">
        <f aca="false">SQRT(($B283-CT$270)^2+($C283-CT$271)^2+($D283-CT$272)^2)</f>
        <v>3.38391203549357</v>
      </c>
      <c r="CU283" s="63" t="n">
        <f aca="false">MATCH(MIN(CP283:CT283),CP283:CT283,0)</f>
        <v>4</v>
      </c>
      <c r="CW283" s="17" t="n">
        <f aca="false">SQRT(($B283-CW$270)^2+($C283-CW$271)^2+($D283-CW$272)^2)</f>
        <v>5.79410844029472</v>
      </c>
      <c r="CX283" s="17" t="n">
        <f aca="false">SQRT(($B283-CX$270)^2+($C283-CX$271)^2+($D283-CX$272)^2)</f>
        <v>2.7518839779431</v>
      </c>
      <c r="CY283" s="17" t="n">
        <f aca="false">SQRT(($B283-CY$270)^2+($C283-CY$271)^2+($D283-CY$272)^2)</f>
        <v>1.88158615759528</v>
      </c>
      <c r="CZ283" s="17" t="n">
        <f aca="false">SQRT(($B283-CZ$270)^2+($C283-CZ$271)^2+($D283-CZ$272)^2)</f>
        <v>1.67465188018218</v>
      </c>
      <c r="DA283" s="17" t="n">
        <f aca="false">SQRT(($B283-DA$270)^2+($C283-DA$271)^2+($D283-DA$272)^2)</f>
        <v>3.38391203549357</v>
      </c>
      <c r="DB283" s="63" t="n">
        <f aca="false">MATCH(MIN(CW283:DA283),CW283:DA283,0)</f>
        <v>4</v>
      </c>
    </row>
    <row r="284" customFormat="false" ht="15" hidden="false" customHeight="false" outlineLevel="0" collapsed="false">
      <c r="A284" s="36" t="str">
        <f aca="false">KMeans_Data!A12</f>
        <v>Sukkur</v>
      </c>
      <c r="B284" s="17" t="n">
        <f aca="false">KMeans_Data!H12</f>
        <v>1.31634431892529</v>
      </c>
      <c r="C284" s="17" t="n">
        <f aca="false">KMeans_Data!I12</f>
        <v>0.686180001083741</v>
      </c>
      <c r="D284" s="17" t="n">
        <f aca="false">KMeans_Data!J12</f>
        <v>1.72384035190912</v>
      </c>
      <c r="E284" s="63" t="n">
        <f aca="false">DB284</f>
        <v>3</v>
      </c>
      <c r="F284" s="38" t="n">
        <f aca="false">($B284-INDEX($L$270:$P$270,E284))^2+($C284-INDEX($L$271:$P$271,E284))^2+($D284-INDEX($L$272:$P$272,E284))^2</f>
        <v>1.24417801589093</v>
      </c>
      <c r="G284" s="17" t="n">
        <f aca="false">IF(COUNTIF(Distance_Matrix!$E$11:$DQ$11,$E284)&lt;=1,0,SUMIF(Distance_Matrix!$E$11:$DQ$11,$E284,Distance_Matrix!$E$21:$DQ$21)/(COUNTIF(Distance_Matrix!$E$11:$DQ$11,$E284)-1))</f>
        <v>1.31054572143326</v>
      </c>
      <c r="H284" s="17" t="n">
        <f aca="false">MIN(IF(1=$E284,1E+099,IF(COUNTIF(Distance_Matrix!$E$11:$DQ$11,1)=0,1E+099,SUMIF(Distance_Matrix!$E$11:$DQ$11,1,Distance_Matrix!$E$21:$DQ$21)/COUNTIF(Distance_Matrix!$E$11:$DQ$11,1))),IF(2=$E284,1E+099,IF(COUNTIF(Distance_Matrix!$E$11:$DQ$11,2)=0,1E+099,SUMIF(Distance_Matrix!$E$11:$DQ$11,2,Distance_Matrix!$E$21:$DQ$21)/COUNTIF(Distance_Matrix!$E$11:$DQ$11,2))),IF(3=$E284,1E+099,IF(COUNTIF(Distance_Matrix!$E$11:$DQ$11,3)=0,1E+099,SUMIF(Distance_Matrix!$E$11:$DQ$11,3,Distance_Matrix!$E$21:$DQ$21)/COUNTIF(Distance_Matrix!$E$11:$DQ$11,3))),IF(4=$E284,1E+099,IF(COUNTIF(Distance_Matrix!$E$11:$DQ$11,4)=0,1E+099,SUMIF(Distance_Matrix!$E$11:$DQ$11,4,Distance_Matrix!$E$21:$DQ$21)/COUNTIF(Distance_Matrix!$E$11:$DQ$11,4))),IF(5=$E284,1E+099,IF(COUNTIF(Distance_Matrix!$E$11:$DQ$11,5)=0,1E+099,SUMIF(Distance_Matrix!$E$11:$DQ$11,5,Distance_Matrix!$E$21:$DQ$21)/COUNTIF(Distance_Matrix!$E$11:$DQ$11,5))))</f>
        <v>1.90325247280685</v>
      </c>
      <c r="I284" s="17" t="n">
        <f aca="false">IF(COUNTIF(Distance_Matrix!$E$11:$DQ$11,$E284)&lt;=1,0,(H284-G284)/MAX(G284,H284))</f>
        <v>0.311417828082202</v>
      </c>
      <c r="X284" s="17" t="n">
        <f aca="false">SQRT(($B284-X$270)^2+($C284-X$271)^2+($D284-X$272)^2)</f>
        <v>4.17270705171046</v>
      </c>
      <c r="Y284" s="17" t="n">
        <f aca="false">SQRT(($B284-Y$270)^2+($C284-Y$271)^2+($D284-Y$272)^2)</f>
        <v>4.64905759921659</v>
      </c>
      <c r="Z284" s="17" t="n">
        <f aca="false">SQRT(($B284-Z$270)^2+($C284-Z$271)^2+($D284-Z$272)^2)</f>
        <v>0.486444689008236</v>
      </c>
      <c r="AA284" s="17" t="n">
        <f aca="false">SQRT(($B284-AA$270)^2+($C284-AA$271)^2+($D284-AA$272)^2)</f>
        <v>3.06233601395942</v>
      </c>
      <c r="AB284" s="17" t="n">
        <f aca="false">SQRT(($B284-AB$270)^2+($C284-AB$271)^2+($D284-AB$272)^2)</f>
        <v>2.02603230868873</v>
      </c>
      <c r="AC284" s="63" t="n">
        <f aca="false">MATCH(MIN(X284:AB284),X284:AB284,0)</f>
        <v>3</v>
      </c>
      <c r="AE284" s="17" t="n">
        <f aca="false">SQRT(($B284-AE$270)^2+($C284-AE$271)^2+($D284-AE$272)^2)</f>
        <v>4.11951729106561</v>
      </c>
      <c r="AF284" s="17" t="n">
        <f aca="false">SQRT(($B284-AF$270)^2+($C284-AF$271)^2+($D284-AF$272)^2)</f>
        <v>3.92509983236754</v>
      </c>
      <c r="AG284" s="17" t="n">
        <f aca="false">SQRT(($B284-AG$270)^2+($C284-AG$271)^2+($D284-AG$272)^2)</f>
        <v>1.18138510372135</v>
      </c>
      <c r="AH284" s="17" t="n">
        <f aca="false">SQRT(($B284-AH$270)^2+($C284-AH$271)^2+($D284-AH$272)^2)</f>
        <v>2.87918871024901</v>
      </c>
      <c r="AI284" s="17" t="n">
        <f aca="false">SQRT(($B284-AI$270)^2+($C284-AI$271)^2+($D284-AI$272)^2)</f>
        <v>2.00950821528197</v>
      </c>
      <c r="AJ284" s="63" t="n">
        <f aca="false">MATCH(MIN(AE284:AI284),AE284:AI284,0)</f>
        <v>3</v>
      </c>
      <c r="AL284" s="17" t="n">
        <f aca="false">SQRT(($B284-AL$270)^2+($C284-AL$271)^2+($D284-AL$272)^2)</f>
        <v>4.11951729106561</v>
      </c>
      <c r="AM284" s="17" t="n">
        <f aca="false">SQRT(($B284-AM$270)^2+($C284-AM$271)^2+($D284-AM$272)^2)</f>
        <v>3.95376995018187</v>
      </c>
      <c r="AN284" s="17" t="n">
        <f aca="false">SQRT(($B284-AN$270)^2+($C284-AN$271)^2+($D284-AN$272)^2)</f>
        <v>1.14109042032834</v>
      </c>
      <c r="AO284" s="17" t="n">
        <f aca="false">SQRT(($B284-AO$270)^2+($C284-AO$271)^2+($D284-AO$272)^2)</f>
        <v>2.80879648547899</v>
      </c>
      <c r="AP284" s="17" t="n">
        <f aca="false">SQRT(($B284-AP$270)^2+($C284-AP$271)^2+($D284-AP$272)^2)</f>
        <v>1.79664905292276</v>
      </c>
      <c r="AQ284" s="63" t="n">
        <f aca="false">MATCH(MIN(AL284:AP284),AL284:AP284,0)</f>
        <v>3</v>
      </c>
      <c r="AS284" s="17" t="n">
        <f aca="false">SQRT(($B284-AS$270)^2+($C284-AS$271)^2+($D284-AS$272)^2)</f>
        <v>4.11951729106561</v>
      </c>
      <c r="AT284" s="17" t="n">
        <f aca="false">SQRT(($B284-AT$270)^2+($C284-AT$271)^2+($D284-AT$272)^2)</f>
        <v>4.04320513016364</v>
      </c>
      <c r="AU284" s="17" t="n">
        <f aca="false">SQRT(($B284-AU$270)^2+($C284-AU$271)^2+($D284-AU$272)^2)</f>
        <v>1.11542727951711</v>
      </c>
      <c r="AV284" s="17" t="n">
        <f aca="false">SQRT(($B284-AV$270)^2+($C284-AV$271)^2+($D284-AV$272)^2)</f>
        <v>2.81421855745245</v>
      </c>
      <c r="AW284" s="17" t="n">
        <f aca="false">SQRT(($B284-AW$270)^2+($C284-AW$271)^2+($D284-AW$272)^2)</f>
        <v>1.79664905292276</v>
      </c>
      <c r="AX284" s="63" t="n">
        <f aca="false">MATCH(MIN(AS284:AW284),AS284:AW284,0)</f>
        <v>3</v>
      </c>
      <c r="AZ284" s="17" t="n">
        <f aca="false">SQRT(($B284-AZ$270)^2+($C284-AZ$271)^2+($D284-AZ$272)^2)</f>
        <v>4.11951729106561</v>
      </c>
      <c r="BA284" s="17" t="n">
        <f aca="false">SQRT(($B284-BA$270)^2+($C284-BA$271)^2+($D284-BA$272)^2)</f>
        <v>4.04320513016364</v>
      </c>
      <c r="BB284" s="17" t="n">
        <f aca="false">SQRT(($B284-BB$270)^2+($C284-BB$271)^2+($D284-BB$272)^2)</f>
        <v>1.11542727951711</v>
      </c>
      <c r="BC284" s="17" t="n">
        <f aca="false">SQRT(($B284-BC$270)^2+($C284-BC$271)^2+($D284-BC$272)^2)</f>
        <v>2.81421855745245</v>
      </c>
      <c r="BD284" s="17" t="n">
        <f aca="false">SQRT(($B284-BD$270)^2+($C284-BD$271)^2+($D284-BD$272)^2)</f>
        <v>1.79664905292276</v>
      </c>
      <c r="BE284" s="63" t="n">
        <f aca="false">MATCH(MIN(AZ284:BD284),AZ284:BD284,0)</f>
        <v>3</v>
      </c>
      <c r="BG284" s="17" t="n">
        <f aca="false">SQRT(($B284-BG$270)^2+($C284-BG$271)^2+($D284-BG$272)^2)</f>
        <v>4.11951729106561</v>
      </c>
      <c r="BH284" s="17" t="n">
        <f aca="false">SQRT(($B284-BH$270)^2+($C284-BH$271)^2+($D284-BH$272)^2)</f>
        <v>4.04320513016364</v>
      </c>
      <c r="BI284" s="17" t="n">
        <f aca="false">SQRT(($B284-BI$270)^2+($C284-BI$271)^2+($D284-BI$272)^2)</f>
        <v>1.11542727951711</v>
      </c>
      <c r="BJ284" s="17" t="n">
        <f aca="false">SQRT(($B284-BJ$270)^2+($C284-BJ$271)^2+($D284-BJ$272)^2)</f>
        <v>2.81421855745245</v>
      </c>
      <c r="BK284" s="17" t="n">
        <f aca="false">SQRT(($B284-BK$270)^2+($C284-BK$271)^2+($D284-BK$272)^2)</f>
        <v>1.79664905292276</v>
      </c>
      <c r="BL284" s="63" t="n">
        <f aca="false">MATCH(MIN(BG284:BK284),BG284:BK284,0)</f>
        <v>3</v>
      </c>
      <c r="BN284" s="17" t="n">
        <f aca="false">SQRT(($B284-BN$270)^2+($C284-BN$271)^2+($D284-BN$272)^2)</f>
        <v>4.11951729106561</v>
      </c>
      <c r="BO284" s="17" t="n">
        <f aca="false">SQRT(($B284-BO$270)^2+($C284-BO$271)^2+($D284-BO$272)^2)</f>
        <v>4.04320513016364</v>
      </c>
      <c r="BP284" s="17" t="n">
        <f aca="false">SQRT(($B284-BP$270)^2+($C284-BP$271)^2+($D284-BP$272)^2)</f>
        <v>1.11542727951711</v>
      </c>
      <c r="BQ284" s="17" t="n">
        <f aca="false">SQRT(($B284-BQ$270)^2+($C284-BQ$271)^2+($D284-BQ$272)^2)</f>
        <v>2.81421855745245</v>
      </c>
      <c r="BR284" s="17" t="n">
        <f aca="false">SQRT(($B284-BR$270)^2+($C284-BR$271)^2+($D284-BR$272)^2)</f>
        <v>1.79664905292276</v>
      </c>
      <c r="BS284" s="63" t="n">
        <f aca="false">MATCH(MIN(BN284:BR284),BN284:BR284,0)</f>
        <v>3</v>
      </c>
      <c r="BU284" s="17" t="n">
        <f aca="false">SQRT(($B284-BU$270)^2+($C284-BU$271)^2+($D284-BU$272)^2)</f>
        <v>4.11951729106561</v>
      </c>
      <c r="BV284" s="17" t="n">
        <f aca="false">SQRT(($B284-BV$270)^2+($C284-BV$271)^2+($D284-BV$272)^2)</f>
        <v>4.04320513016364</v>
      </c>
      <c r="BW284" s="17" t="n">
        <f aca="false">SQRT(($B284-BW$270)^2+($C284-BW$271)^2+($D284-BW$272)^2)</f>
        <v>1.11542727951711</v>
      </c>
      <c r="BX284" s="17" t="n">
        <f aca="false">SQRT(($B284-BX$270)^2+($C284-BX$271)^2+($D284-BX$272)^2)</f>
        <v>2.81421855745245</v>
      </c>
      <c r="BY284" s="17" t="n">
        <f aca="false">SQRT(($B284-BY$270)^2+($C284-BY$271)^2+($D284-BY$272)^2)</f>
        <v>1.79664905292276</v>
      </c>
      <c r="BZ284" s="63" t="n">
        <f aca="false">MATCH(MIN(BU284:BY284),BU284:BY284,0)</f>
        <v>3</v>
      </c>
      <c r="CB284" s="17" t="n">
        <f aca="false">SQRT(($B284-CB$270)^2+($C284-CB$271)^2+($D284-CB$272)^2)</f>
        <v>4.11951729106561</v>
      </c>
      <c r="CC284" s="17" t="n">
        <f aca="false">SQRT(($B284-CC$270)^2+($C284-CC$271)^2+($D284-CC$272)^2)</f>
        <v>4.04320513016364</v>
      </c>
      <c r="CD284" s="17" t="n">
        <f aca="false">SQRT(($B284-CD$270)^2+($C284-CD$271)^2+($D284-CD$272)^2)</f>
        <v>1.11542727951711</v>
      </c>
      <c r="CE284" s="17" t="n">
        <f aca="false">SQRT(($B284-CE$270)^2+($C284-CE$271)^2+($D284-CE$272)^2)</f>
        <v>2.81421855745245</v>
      </c>
      <c r="CF284" s="17" t="n">
        <f aca="false">SQRT(($B284-CF$270)^2+($C284-CF$271)^2+($D284-CF$272)^2)</f>
        <v>1.79664905292276</v>
      </c>
      <c r="CG284" s="63" t="n">
        <f aca="false">MATCH(MIN(CB284:CF284),CB284:CF284,0)</f>
        <v>3</v>
      </c>
      <c r="CI284" s="17" t="n">
        <f aca="false">SQRT(($B284-CI$270)^2+($C284-CI$271)^2+($D284-CI$272)^2)</f>
        <v>4.11951729106561</v>
      </c>
      <c r="CJ284" s="17" t="n">
        <f aca="false">SQRT(($B284-CJ$270)^2+($C284-CJ$271)^2+($D284-CJ$272)^2)</f>
        <v>4.04320513016364</v>
      </c>
      <c r="CK284" s="17" t="n">
        <f aca="false">SQRT(($B284-CK$270)^2+($C284-CK$271)^2+($D284-CK$272)^2)</f>
        <v>1.11542727951711</v>
      </c>
      <c r="CL284" s="17" t="n">
        <f aca="false">SQRT(($B284-CL$270)^2+($C284-CL$271)^2+($D284-CL$272)^2)</f>
        <v>2.81421855745245</v>
      </c>
      <c r="CM284" s="17" t="n">
        <f aca="false">SQRT(($B284-CM$270)^2+($C284-CM$271)^2+($D284-CM$272)^2)</f>
        <v>1.79664905292276</v>
      </c>
      <c r="CN284" s="63" t="n">
        <f aca="false">MATCH(MIN(CI284:CM284),CI284:CM284,0)</f>
        <v>3</v>
      </c>
      <c r="CP284" s="17" t="n">
        <f aca="false">SQRT(($B284-CP$270)^2+($C284-CP$271)^2+($D284-CP$272)^2)</f>
        <v>4.11951729106561</v>
      </c>
      <c r="CQ284" s="17" t="n">
        <f aca="false">SQRT(($B284-CQ$270)^2+($C284-CQ$271)^2+($D284-CQ$272)^2)</f>
        <v>4.04320513016364</v>
      </c>
      <c r="CR284" s="17" t="n">
        <f aca="false">SQRT(($B284-CR$270)^2+($C284-CR$271)^2+($D284-CR$272)^2)</f>
        <v>1.11542727951711</v>
      </c>
      <c r="CS284" s="17" t="n">
        <f aca="false">SQRT(($B284-CS$270)^2+($C284-CS$271)^2+($D284-CS$272)^2)</f>
        <v>2.81421855745245</v>
      </c>
      <c r="CT284" s="17" t="n">
        <f aca="false">SQRT(($B284-CT$270)^2+($C284-CT$271)^2+($D284-CT$272)^2)</f>
        <v>1.79664905292276</v>
      </c>
      <c r="CU284" s="63" t="n">
        <f aca="false">MATCH(MIN(CP284:CT284),CP284:CT284,0)</f>
        <v>3</v>
      </c>
      <c r="CW284" s="17" t="n">
        <f aca="false">SQRT(($B284-CW$270)^2+($C284-CW$271)^2+($D284-CW$272)^2)</f>
        <v>4.11951729106561</v>
      </c>
      <c r="CX284" s="17" t="n">
        <f aca="false">SQRT(($B284-CX$270)^2+($C284-CX$271)^2+($D284-CX$272)^2)</f>
        <v>4.04320513016364</v>
      </c>
      <c r="CY284" s="17" t="n">
        <f aca="false">SQRT(($B284-CY$270)^2+($C284-CY$271)^2+($D284-CY$272)^2)</f>
        <v>1.11542727951711</v>
      </c>
      <c r="CZ284" s="17" t="n">
        <f aca="false">SQRT(($B284-CZ$270)^2+($C284-CZ$271)^2+($D284-CZ$272)^2)</f>
        <v>2.81421855745245</v>
      </c>
      <c r="DA284" s="17" t="n">
        <f aca="false">SQRT(($B284-DA$270)^2+($C284-DA$271)^2+($D284-DA$272)^2)</f>
        <v>1.79664905292276</v>
      </c>
      <c r="DB284" s="63" t="n">
        <f aca="false">MATCH(MIN(CW284:DA284),CW284:DA284,0)</f>
        <v>3</v>
      </c>
    </row>
    <row r="285" customFormat="false" ht="15" hidden="false" customHeight="false" outlineLevel="0" collapsed="false">
      <c r="A285" s="36" t="str">
        <f aca="false">KMeans_Data!A13</f>
        <v>Hyderabad</v>
      </c>
      <c r="B285" s="17" t="n">
        <f aca="false">KMeans_Data!H13</f>
        <v>1.25912764531491</v>
      </c>
      <c r="C285" s="17" t="n">
        <f aca="false">KMeans_Data!I13</f>
        <v>1.21184741254249</v>
      </c>
      <c r="D285" s="17" t="n">
        <f aca="false">KMeans_Data!J13</f>
        <v>1.69551048544459</v>
      </c>
      <c r="E285" s="63" t="n">
        <f aca="false">DB285</f>
        <v>3</v>
      </c>
      <c r="F285" s="38" t="n">
        <f aca="false">($B285-INDEX($L$270:$P$270,E285))^2+($C285-INDEX($L$271:$P$271,E285))^2+($D285-INDEX($L$272:$P$272,E285))^2</f>
        <v>1.50176224825573</v>
      </c>
      <c r="G285" s="17" t="n">
        <f aca="false">IF(COUNTIF(Distance_Matrix!$E$11:$DQ$11,$E285)&lt;=1,0,SUMIF(Distance_Matrix!$E$11:$DQ$11,$E285,Distance_Matrix!$E$22:$DQ$22)/(COUNTIF(Distance_Matrix!$E$11:$DQ$11,$E285)-1))</f>
        <v>1.3904848139483</v>
      </c>
      <c r="H285" s="17" t="n">
        <f aca="false">MIN(IF(1=$E285,1E+099,IF(COUNTIF(Distance_Matrix!$E$11:$DQ$11,1)=0,1E+099,SUMIF(Distance_Matrix!$E$11:$DQ$11,1,Distance_Matrix!$E$22:$DQ$22)/COUNTIF(Distance_Matrix!$E$11:$DQ$11,1))),IF(2=$E285,1E+099,IF(COUNTIF(Distance_Matrix!$E$11:$DQ$11,2)=0,1E+099,SUMIF(Distance_Matrix!$E$11:$DQ$11,2,Distance_Matrix!$E$22:$DQ$22)/COUNTIF(Distance_Matrix!$E$11:$DQ$11,2))),IF(3=$E285,1E+099,IF(COUNTIF(Distance_Matrix!$E$11:$DQ$11,3)=0,1E+099,SUMIF(Distance_Matrix!$E$11:$DQ$11,3,Distance_Matrix!$E$22:$DQ$22)/COUNTIF(Distance_Matrix!$E$11:$DQ$11,3))),IF(4=$E285,1E+099,IF(COUNTIF(Distance_Matrix!$E$11:$DQ$11,4)=0,1E+099,SUMIF(Distance_Matrix!$E$11:$DQ$11,4,Distance_Matrix!$E$22:$DQ$22)/COUNTIF(Distance_Matrix!$E$11:$DQ$11,4))),IF(5=$E285,1E+099,IF(COUNTIF(Distance_Matrix!$E$11:$DQ$11,5)=0,1E+099,SUMIF(Distance_Matrix!$E$11:$DQ$11,5,Distance_Matrix!$E$22:$DQ$22)/COUNTIF(Distance_Matrix!$E$11:$DQ$11,5))))</f>
        <v>1.47639113356886</v>
      </c>
      <c r="I285" s="17" t="n">
        <f aca="false">IF(COUNTIF(Distance_Matrix!$E$11:$DQ$11,$E285)&lt;=1,0,(H285-G285)/MAX(G285,H285))</f>
        <v>0.0581866943435884</v>
      </c>
      <c r="X285" s="17" t="n">
        <f aca="false">SQRT(($B285-X$270)^2+($C285-X$271)^2+($D285-X$272)^2)</f>
        <v>3.80496885952581</v>
      </c>
      <c r="Y285" s="17" t="n">
        <f aca="false">SQRT(($B285-Y$270)^2+($C285-Y$271)^2+($D285-Y$272)^2)</f>
        <v>4.77195093233386</v>
      </c>
      <c r="Z285" s="17" t="n">
        <f aca="false">SQRT(($B285-Z$270)^2+($C285-Z$271)^2+($D285-Z$272)^2)</f>
        <v>0.891080579009539</v>
      </c>
      <c r="AA285" s="17" t="n">
        <f aca="false">SQRT(($B285-AA$270)^2+($C285-AA$271)^2+($D285-AA$272)^2)</f>
        <v>3.2085676641039</v>
      </c>
      <c r="AB285" s="17" t="n">
        <f aca="false">SQRT(($B285-AB$270)^2+($C285-AB$271)^2+($D285-AB$272)^2)</f>
        <v>1.68860791169486</v>
      </c>
      <c r="AC285" s="63" t="n">
        <f aca="false">MATCH(MIN(X285:AB285),X285:AB285,0)</f>
        <v>3</v>
      </c>
      <c r="AE285" s="17" t="n">
        <f aca="false">SQRT(($B285-AE$270)^2+($C285-AE$271)^2+($D285-AE$272)^2)</f>
        <v>3.73592169912103</v>
      </c>
      <c r="AF285" s="17" t="n">
        <f aca="false">SQRT(($B285-AF$270)^2+($C285-AF$271)^2+($D285-AF$272)^2)</f>
        <v>4.08072925968366</v>
      </c>
      <c r="AG285" s="17" t="n">
        <f aca="false">SQRT(($B285-AG$270)^2+($C285-AG$271)^2+($D285-AG$272)^2)</f>
        <v>1.31682455712677</v>
      </c>
      <c r="AH285" s="17" t="n">
        <f aca="false">SQRT(($B285-AH$270)^2+($C285-AH$271)^2+($D285-AH$272)^2)</f>
        <v>3.08565050255239</v>
      </c>
      <c r="AI285" s="17" t="n">
        <f aca="false">SQRT(($B285-AI$270)^2+($C285-AI$271)^2+($D285-AI$272)^2)</f>
        <v>1.5697384061941</v>
      </c>
      <c r="AJ285" s="63" t="n">
        <f aca="false">MATCH(MIN(AE285:AI285),AE285:AI285,0)</f>
        <v>3</v>
      </c>
      <c r="AL285" s="17" t="n">
        <f aca="false">SQRT(($B285-AL$270)^2+($C285-AL$271)^2+($D285-AL$272)^2)</f>
        <v>3.73592169912103</v>
      </c>
      <c r="AM285" s="17" t="n">
        <f aca="false">SQRT(($B285-AM$270)^2+($C285-AM$271)^2+($D285-AM$272)^2)</f>
        <v>4.1080876714974</v>
      </c>
      <c r="AN285" s="17" t="n">
        <f aca="false">SQRT(($B285-AN$270)^2+($C285-AN$271)^2+($D285-AN$272)^2)</f>
        <v>1.25244374325573</v>
      </c>
      <c r="AO285" s="17" t="n">
        <f aca="false">SQRT(($B285-AO$270)^2+($C285-AO$271)^2+($D285-AO$272)^2)</f>
        <v>3.02477679973862</v>
      </c>
      <c r="AP285" s="17" t="n">
        <f aca="false">SQRT(($B285-AP$270)^2+($C285-AP$271)^2+($D285-AP$272)^2)</f>
        <v>1.33662891266234</v>
      </c>
      <c r="AQ285" s="63" t="n">
        <f aca="false">MATCH(MIN(AL285:AP285),AL285:AP285,0)</f>
        <v>3</v>
      </c>
      <c r="AS285" s="17" t="n">
        <f aca="false">SQRT(($B285-AS$270)^2+($C285-AS$271)^2+($D285-AS$272)^2)</f>
        <v>3.73592169912103</v>
      </c>
      <c r="AT285" s="17" t="n">
        <f aca="false">SQRT(($B285-AT$270)^2+($C285-AT$271)^2+($D285-AT$272)^2)</f>
        <v>4.19273117074739</v>
      </c>
      <c r="AU285" s="17" t="n">
        <f aca="false">SQRT(($B285-AU$270)^2+($C285-AU$271)^2+($D285-AU$272)^2)</f>
        <v>1.2254640950496</v>
      </c>
      <c r="AV285" s="17" t="n">
        <f aca="false">SQRT(($B285-AV$270)^2+($C285-AV$271)^2+($D285-AV$272)^2)</f>
        <v>3.02845155514098</v>
      </c>
      <c r="AW285" s="17" t="n">
        <f aca="false">SQRT(($B285-AW$270)^2+($C285-AW$271)^2+($D285-AW$272)^2)</f>
        <v>1.33662891266234</v>
      </c>
      <c r="AX285" s="63" t="n">
        <f aca="false">MATCH(MIN(AS285:AW285),AS285:AW285,0)</f>
        <v>3</v>
      </c>
      <c r="AZ285" s="17" t="n">
        <f aca="false">SQRT(($B285-AZ$270)^2+($C285-AZ$271)^2+($D285-AZ$272)^2)</f>
        <v>3.73592169912103</v>
      </c>
      <c r="BA285" s="17" t="n">
        <f aca="false">SQRT(($B285-BA$270)^2+($C285-BA$271)^2+($D285-BA$272)^2)</f>
        <v>4.19273117074739</v>
      </c>
      <c r="BB285" s="17" t="n">
        <f aca="false">SQRT(($B285-BB$270)^2+($C285-BB$271)^2+($D285-BB$272)^2)</f>
        <v>1.2254640950496</v>
      </c>
      <c r="BC285" s="17" t="n">
        <f aca="false">SQRT(($B285-BC$270)^2+($C285-BC$271)^2+($D285-BC$272)^2)</f>
        <v>3.02845155514098</v>
      </c>
      <c r="BD285" s="17" t="n">
        <f aca="false">SQRT(($B285-BD$270)^2+($C285-BD$271)^2+($D285-BD$272)^2)</f>
        <v>1.33662891266234</v>
      </c>
      <c r="BE285" s="63" t="n">
        <f aca="false">MATCH(MIN(AZ285:BD285),AZ285:BD285,0)</f>
        <v>3</v>
      </c>
      <c r="BG285" s="17" t="n">
        <f aca="false">SQRT(($B285-BG$270)^2+($C285-BG$271)^2+($D285-BG$272)^2)</f>
        <v>3.73592169912103</v>
      </c>
      <c r="BH285" s="17" t="n">
        <f aca="false">SQRT(($B285-BH$270)^2+($C285-BH$271)^2+($D285-BH$272)^2)</f>
        <v>4.19273117074739</v>
      </c>
      <c r="BI285" s="17" t="n">
        <f aca="false">SQRT(($B285-BI$270)^2+($C285-BI$271)^2+($D285-BI$272)^2)</f>
        <v>1.2254640950496</v>
      </c>
      <c r="BJ285" s="17" t="n">
        <f aca="false">SQRT(($B285-BJ$270)^2+($C285-BJ$271)^2+($D285-BJ$272)^2)</f>
        <v>3.02845155514098</v>
      </c>
      <c r="BK285" s="17" t="n">
        <f aca="false">SQRT(($B285-BK$270)^2+($C285-BK$271)^2+($D285-BK$272)^2)</f>
        <v>1.33662891266234</v>
      </c>
      <c r="BL285" s="63" t="n">
        <f aca="false">MATCH(MIN(BG285:BK285),BG285:BK285,0)</f>
        <v>3</v>
      </c>
      <c r="BN285" s="17" t="n">
        <f aca="false">SQRT(($B285-BN$270)^2+($C285-BN$271)^2+($D285-BN$272)^2)</f>
        <v>3.73592169912103</v>
      </c>
      <c r="BO285" s="17" t="n">
        <f aca="false">SQRT(($B285-BO$270)^2+($C285-BO$271)^2+($D285-BO$272)^2)</f>
        <v>4.19273117074739</v>
      </c>
      <c r="BP285" s="17" t="n">
        <f aca="false">SQRT(($B285-BP$270)^2+($C285-BP$271)^2+($D285-BP$272)^2)</f>
        <v>1.2254640950496</v>
      </c>
      <c r="BQ285" s="17" t="n">
        <f aca="false">SQRT(($B285-BQ$270)^2+($C285-BQ$271)^2+($D285-BQ$272)^2)</f>
        <v>3.02845155514098</v>
      </c>
      <c r="BR285" s="17" t="n">
        <f aca="false">SQRT(($B285-BR$270)^2+($C285-BR$271)^2+($D285-BR$272)^2)</f>
        <v>1.33662891266234</v>
      </c>
      <c r="BS285" s="63" t="n">
        <f aca="false">MATCH(MIN(BN285:BR285),BN285:BR285,0)</f>
        <v>3</v>
      </c>
      <c r="BU285" s="17" t="n">
        <f aca="false">SQRT(($B285-BU$270)^2+($C285-BU$271)^2+($D285-BU$272)^2)</f>
        <v>3.73592169912103</v>
      </c>
      <c r="BV285" s="17" t="n">
        <f aca="false">SQRT(($B285-BV$270)^2+($C285-BV$271)^2+($D285-BV$272)^2)</f>
        <v>4.19273117074739</v>
      </c>
      <c r="BW285" s="17" t="n">
        <f aca="false">SQRT(($B285-BW$270)^2+($C285-BW$271)^2+($D285-BW$272)^2)</f>
        <v>1.2254640950496</v>
      </c>
      <c r="BX285" s="17" t="n">
        <f aca="false">SQRT(($B285-BX$270)^2+($C285-BX$271)^2+($D285-BX$272)^2)</f>
        <v>3.02845155514098</v>
      </c>
      <c r="BY285" s="17" t="n">
        <f aca="false">SQRT(($B285-BY$270)^2+($C285-BY$271)^2+($D285-BY$272)^2)</f>
        <v>1.33662891266234</v>
      </c>
      <c r="BZ285" s="63" t="n">
        <f aca="false">MATCH(MIN(BU285:BY285),BU285:BY285,0)</f>
        <v>3</v>
      </c>
      <c r="CB285" s="17" t="n">
        <f aca="false">SQRT(($B285-CB$270)^2+($C285-CB$271)^2+($D285-CB$272)^2)</f>
        <v>3.73592169912103</v>
      </c>
      <c r="CC285" s="17" t="n">
        <f aca="false">SQRT(($B285-CC$270)^2+($C285-CC$271)^2+($D285-CC$272)^2)</f>
        <v>4.19273117074739</v>
      </c>
      <c r="CD285" s="17" t="n">
        <f aca="false">SQRT(($B285-CD$270)^2+($C285-CD$271)^2+($D285-CD$272)^2)</f>
        <v>1.2254640950496</v>
      </c>
      <c r="CE285" s="17" t="n">
        <f aca="false">SQRT(($B285-CE$270)^2+($C285-CE$271)^2+($D285-CE$272)^2)</f>
        <v>3.02845155514098</v>
      </c>
      <c r="CF285" s="17" t="n">
        <f aca="false">SQRT(($B285-CF$270)^2+($C285-CF$271)^2+($D285-CF$272)^2)</f>
        <v>1.33662891266234</v>
      </c>
      <c r="CG285" s="63" t="n">
        <f aca="false">MATCH(MIN(CB285:CF285),CB285:CF285,0)</f>
        <v>3</v>
      </c>
      <c r="CI285" s="17" t="n">
        <f aca="false">SQRT(($B285-CI$270)^2+($C285-CI$271)^2+($D285-CI$272)^2)</f>
        <v>3.73592169912103</v>
      </c>
      <c r="CJ285" s="17" t="n">
        <f aca="false">SQRT(($B285-CJ$270)^2+($C285-CJ$271)^2+($D285-CJ$272)^2)</f>
        <v>4.19273117074739</v>
      </c>
      <c r="CK285" s="17" t="n">
        <f aca="false">SQRT(($B285-CK$270)^2+($C285-CK$271)^2+($D285-CK$272)^2)</f>
        <v>1.2254640950496</v>
      </c>
      <c r="CL285" s="17" t="n">
        <f aca="false">SQRT(($B285-CL$270)^2+($C285-CL$271)^2+($D285-CL$272)^2)</f>
        <v>3.02845155514098</v>
      </c>
      <c r="CM285" s="17" t="n">
        <f aca="false">SQRT(($B285-CM$270)^2+($C285-CM$271)^2+($D285-CM$272)^2)</f>
        <v>1.33662891266234</v>
      </c>
      <c r="CN285" s="63" t="n">
        <f aca="false">MATCH(MIN(CI285:CM285),CI285:CM285,0)</f>
        <v>3</v>
      </c>
      <c r="CP285" s="17" t="n">
        <f aca="false">SQRT(($B285-CP$270)^2+($C285-CP$271)^2+($D285-CP$272)^2)</f>
        <v>3.73592169912103</v>
      </c>
      <c r="CQ285" s="17" t="n">
        <f aca="false">SQRT(($B285-CQ$270)^2+($C285-CQ$271)^2+($D285-CQ$272)^2)</f>
        <v>4.19273117074739</v>
      </c>
      <c r="CR285" s="17" t="n">
        <f aca="false">SQRT(($B285-CR$270)^2+($C285-CR$271)^2+($D285-CR$272)^2)</f>
        <v>1.2254640950496</v>
      </c>
      <c r="CS285" s="17" t="n">
        <f aca="false">SQRT(($B285-CS$270)^2+($C285-CS$271)^2+($D285-CS$272)^2)</f>
        <v>3.02845155514098</v>
      </c>
      <c r="CT285" s="17" t="n">
        <f aca="false">SQRT(($B285-CT$270)^2+($C285-CT$271)^2+($D285-CT$272)^2)</f>
        <v>1.33662891266234</v>
      </c>
      <c r="CU285" s="63" t="n">
        <f aca="false">MATCH(MIN(CP285:CT285),CP285:CT285,0)</f>
        <v>3</v>
      </c>
      <c r="CW285" s="17" t="n">
        <f aca="false">SQRT(($B285-CW$270)^2+($C285-CW$271)^2+($D285-CW$272)^2)</f>
        <v>3.73592169912103</v>
      </c>
      <c r="CX285" s="17" t="n">
        <f aca="false">SQRT(($B285-CX$270)^2+($C285-CX$271)^2+($D285-CX$272)^2)</f>
        <v>4.19273117074739</v>
      </c>
      <c r="CY285" s="17" t="n">
        <f aca="false">SQRT(($B285-CY$270)^2+($C285-CY$271)^2+($D285-CY$272)^2)</f>
        <v>1.2254640950496</v>
      </c>
      <c r="CZ285" s="17" t="n">
        <f aca="false">SQRT(($B285-CZ$270)^2+($C285-CZ$271)^2+($D285-CZ$272)^2)</f>
        <v>3.02845155514098</v>
      </c>
      <c r="DA285" s="17" t="n">
        <f aca="false">SQRT(($B285-DA$270)^2+($C285-DA$271)^2+($D285-DA$272)^2)</f>
        <v>1.33662891266234</v>
      </c>
      <c r="DB285" s="63" t="n">
        <f aca="false">MATCH(MIN(CW285:DA285),CW285:DA285,0)</f>
        <v>3</v>
      </c>
    </row>
    <row r="286" customFormat="false" ht="15" hidden="false" customHeight="false" outlineLevel="0" collapsed="false">
      <c r="A286" s="36" t="str">
        <f aca="false">KMeans_Data!A14</f>
        <v>Raiwind</v>
      </c>
      <c r="B286" s="17" t="n">
        <f aca="false">KMeans_Data!H14</f>
        <v>1.20153859722623</v>
      </c>
      <c r="C286" s="17" t="n">
        <f aca="false">KMeans_Data!I14</f>
        <v>-0.146983133929529</v>
      </c>
      <c r="D286" s="17" t="n">
        <f aca="false">KMeans_Data!J14</f>
        <v>-0.824446015898766</v>
      </c>
      <c r="E286" s="63" t="n">
        <f aca="false">DB286</f>
        <v>4</v>
      </c>
      <c r="F286" s="38" t="n">
        <f aca="false">($B286-INDEX($L$270:$P$270,E286))^2+($C286-INDEX($L$271:$P$271,E286))^2+($D286-INDEX($L$272:$P$272,E286))^2</f>
        <v>2.10181672041785</v>
      </c>
      <c r="G286" s="17" t="n">
        <f aca="false">IF(COUNTIF(Distance_Matrix!$E$11:$DQ$11,$E286)&lt;=1,0,SUMIF(Distance_Matrix!$E$11:$DQ$11,$E286,Distance_Matrix!$E$23:$DQ$23)/(COUNTIF(Distance_Matrix!$E$11:$DQ$11,$E286)-1))</f>
        <v>1.60704499161326</v>
      </c>
      <c r="H286" s="17" t="n">
        <f aca="false">MIN(IF(1=$E286,1E+099,IF(COUNTIF(Distance_Matrix!$E$11:$DQ$11,1)=0,1E+099,SUMIF(Distance_Matrix!$E$11:$DQ$11,1,Distance_Matrix!$E$23:$DQ$23)/COUNTIF(Distance_Matrix!$E$11:$DQ$11,1))),IF(2=$E286,1E+099,IF(COUNTIF(Distance_Matrix!$E$11:$DQ$11,2)=0,1E+099,SUMIF(Distance_Matrix!$E$11:$DQ$11,2,Distance_Matrix!$E$23:$DQ$23)/COUNTIF(Distance_Matrix!$E$11:$DQ$11,2))),IF(3=$E286,1E+099,IF(COUNTIF(Distance_Matrix!$E$11:$DQ$11,3)=0,1E+099,SUMIF(Distance_Matrix!$E$11:$DQ$11,3,Distance_Matrix!$E$23:$DQ$23)/COUNTIF(Distance_Matrix!$E$11:$DQ$11,3))),IF(4=$E286,1E+099,IF(COUNTIF(Distance_Matrix!$E$11:$DQ$11,4)=0,1E+099,SUMIF(Distance_Matrix!$E$11:$DQ$11,4,Distance_Matrix!$E$23:$DQ$23)/COUNTIF(Distance_Matrix!$E$11:$DQ$11,4))),IF(5=$E286,1E+099,IF(COUNTIF(Distance_Matrix!$E$11:$DQ$11,5)=0,1E+099,SUMIF(Distance_Matrix!$E$11:$DQ$11,5,Distance_Matrix!$E$23:$DQ$23)/COUNTIF(Distance_Matrix!$E$11:$DQ$11,5))))</f>
        <v>2.0537652818265</v>
      </c>
      <c r="I286" s="17" t="n">
        <f aca="false">IF(COUNTIF(Distance_Matrix!$E$11:$DQ$11,$E286)&lt;=1,0,(H286-G286)/MAX(G286,H286))</f>
        <v>0.217512825913558</v>
      </c>
      <c r="X286" s="17" t="n">
        <f aca="false">SQRT(($B286-X$270)^2+($C286-X$271)^2+($D286-X$272)^2)</f>
        <v>6.20006570834277</v>
      </c>
      <c r="Y286" s="17" t="n">
        <f aca="false">SQRT(($B286-Y$270)^2+($C286-Y$271)^2+($D286-Y$272)^2)</f>
        <v>3.33860306644569</v>
      </c>
      <c r="Z286" s="17" t="n">
        <f aca="false">SQRT(($B286-Z$270)^2+($C286-Z$271)^2+($D286-Z$272)^2)</f>
        <v>2.36000592513328</v>
      </c>
      <c r="AA286" s="17" t="n">
        <f aca="false">SQRT(($B286-AA$270)^2+($C286-AA$271)^2+($D286-AA$272)^2)</f>
        <v>0.641992769976189</v>
      </c>
      <c r="AB286" s="17" t="n">
        <f aca="false">SQRT(($B286-AB$270)^2+($C286-AB$271)^2+($D286-AB$272)^2)</f>
        <v>4.18702513988167</v>
      </c>
      <c r="AC286" s="63" t="n">
        <f aca="false">MATCH(MIN(X286:AB286),X286:AB286,0)</f>
        <v>4</v>
      </c>
      <c r="AE286" s="17" t="n">
        <f aca="false">SQRT(($B286-AE$270)^2+($C286-AE$271)^2+($D286-AE$272)^2)</f>
        <v>6.05286336204624</v>
      </c>
      <c r="AF286" s="17" t="n">
        <f aca="false">SQRT(($B286-AF$270)^2+($C286-AF$271)^2+($D286-AF$272)^2)</f>
        <v>2.49705007412488</v>
      </c>
      <c r="AG286" s="17" t="n">
        <f aca="false">SQRT(($B286-AG$270)^2+($C286-AG$271)^2+($D286-AG$272)^2)</f>
        <v>1.90695413072698</v>
      </c>
      <c r="AH286" s="17" t="n">
        <f aca="false">SQRT(($B286-AH$270)^2+($C286-AH$271)^2+($D286-AH$272)^2)</f>
        <v>1.3456023637473</v>
      </c>
      <c r="AI286" s="17" t="n">
        <f aca="false">SQRT(($B286-AI$270)^2+($C286-AI$271)^2+($D286-AI$272)^2)</f>
        <v>3.85110075063731</v>
      </c>
      <c r="AJ286" s="63" t="n">
        <f aca="false">MATCH(MIN(AE286:AI286),AE286:AI286,0)</f>
        <v>4</v>
      </c>
      <c r="AL286" s="17" t="n">
        <f aca="false">SQRT(($B286-AL$270)^2+($C286-AL$271)^2+($D286-AL$272)^2)</f>
        <v>6.05286336204624</v>
      </c>
      <c r="AM286" s="17" t="n">
        <f aca="false">SQRT(($B286-AM$270)^2+($C286-AM$271)^2+($D286-AM$272)^2)</f>
        <v>2.49125631287144</v>
      </c>
      <c r="AN286" s="17" t="n">
        <f aca="false">SQRT(($B286-AN$270)^2+($C286-AN$271)^2+($D286-AN$272)^2)</f>
        <v>1.91528914112622</v>
      </c>
      <c r="AO286" s="17" t="n">
        <f aca="false">SQRT(($B286-AO$270)^2+($C286-AO$271)^2+($D286-AO$272)^2)</f>
        <v>1.40025587232077</v>
      </c>
      <c r="AP286" s="17" t="n">
        <f aca="false">SQRT(($B286-AP$270)^2+($C286-AP$271)^2+($D286-AP$272)^2)</f>
        <v>3.61755798941118</v>
      </c>
      <c r="AQ286" s="63" t="n">
        <f aca="false">MATCH(MIN(AL286:AP286),AL286:AP286,0)</f>
        <v>4</v>
      </c>
      <c r="AS286" s="17" t="n">
        <f aca="false">SQRT(($B286-AS$270)^2+($C286-AS$271)^2+($D286-AS$272)^2)</f>
        <v>6.05286336204624</v>
      </c>
      <c r="AT286" s="17" t="n">
        <f aca="false">SQRT(($B286-AT$270)^2+($C286-AT$271)^2+($D286-AT$272)^2)</f>
        <v>2.54261244778151</v>
      </c>
      <c r="AU286" s="17" t="n">
        <f aca="false">SQRT(($B286-AU$270)^2+($C286-AU$271)^2+($D286-AU$272)^2)</f>
        <v>1.92768888483433</v>
      </c>
      <c r="AV286" s="17" t="n">
        <f aca="false">SQRT(($B286-AV$270)^2+($C286-AV$271)^2+($D286-AV$272)^2)</f>
        <v>1.44976436720519</v>
      </c>
      <c r="AW286" s="17" t="n">
        <f aca="false">SQRT(($B286-AW$270)^2+($C286-AW$271)^2+($D286-AW$272)^2)</f>
        <v>3.61755798941118</v>
      </c>
      <c r="AX286" s="63" t="n">
        <f aca="false">MATCH(MIN(AS286:AW286),AS286:AW286,0)</f>
        <v>4</v>
      </c>
      <c r="AZ286" s="17" t="n">
        <f aca="false">SQRT(($B286-AZ$270)^2+($C286-AZ$271)^2+($D286-AZ$272)^2)</f>
        <v>6.05286336204624</v>
      </c>
      <c r="BA286" s="17" t="n">
        <f aca="false">SQRT(($B286-BA$270)^2+($C286-BA$271)^2+($D286-BA$272)^2)</f>
        <v>2.54261244778151</v>
      </c>
      <c r="BB286" s="17" t="n">
        <f aca="false">SQRT(($B286-BB$270)^2+($C286-BB$271)^2+($D286-BB$272)^2)</f>
        <v>1.92768888483433</v>
      </c>
      <c r="BC286" s="17" t="n">
        <f aca="false">SQRT(($B286-BC$270)^2+($C286-BC$271)^2+($D286-BC$272)^2)</f>
        <v>1.44976436720519</v>
      </c>
      <c r="BD286" s="17" t="n">
        <f aca="false">SQRT(($B286-BD$270)^2+($C286-BD$271)^2+($D286-BD$272)^2)</f>
        <v>3.61755798941118</v>
      </c>
      <c r="BE286" s="63" t="n">
        <f aca="false">MATCH(MIN(AZ286:BD286),AZ286:BD286,0)</f>
        <v>4</v>
      </c>
      <c r="BG286" s="17" t="n">
        <f aca="false">SQRT(($B286-BG$270)^2+($C286-BG$271)^2+($D286-BG$272)^2)</f>
        <v>6.05286336204624</v>
      </c>
      <c r="BH286" s="17" t="n">
        <f aca="false">SQRT(($B286-BH$270)^2+($C286-BH$271)^2+($D286-BH$272)^2)</f>
        <v>2.54261244778151</v>
      </c>
      <c r="BI286" s="17" t="n">
        <f aca="false">SQRT(($B286-BI$270)^2+($C286-BI$271)^2+($D286-BI$272)^2)</f>
        <v>1.92768888483433</v>
      </c>
      <c r="BJ286" s="17" t="n">
        <f aca="false">SQRT(($B286-BJ$270)^2+($C286-BJ$271)^2+($D286-BJ$272)^2)</f>
        <v>1.44976436720519</v>
      </c>
      <c r="BK286" s="17" t="n">
        <f aca="false">SQRT(($B286-BK$270)^2+($C286-BK$271)^2+($D286-BK$272)^2)</f>
        <v>3.61755798941118</v>
      </c>
      <c r="BL286" s="63" t="n">
        <f aca="false">MATCH(MIN(BG286:BK286),BG286:BK286,0)</f>
        <v>4</v>
      </c>
      <c r="BN286" s="17" t="n">
        <f aca="false">SQRT(($B286-BN$270)^2+($C286-BN$271)^2+($D286-BN$272)^2)</f>
        <v>6.05286336204624</v>
      </c>
      <c r="BO286" s="17" t="n">
        <f aca="false">SQRT(($B286-BO$270)^2+($C286-BO$271)^2+($D286-BO$272)^2)</f>
        <v>2.54261244778151</v>
      </c>
      <c r="BP286" s="17" t="n">
        <f aca="false">SQRT(($B286-BP$270)^2+($C286-BP$271)^2+($D286-BP$272)^2)</f>
        <v>1.92768888483433</v>
      </c>
      <c r="BQ286" s="17" t="n">
        <f aca="false">SQRT(($B286-BQ$270)^2+($C286-BQ$271)^2+($D286-BQ$272)^2)</f>
        <v>1.44976436720519</v>
      </c>
      <c r="BR286" s="17" t="n">
        <f aca="false">SQRT(($B286-BR$270)^2+($C286-BR$271)^2+($D286-BR$272)^2)</f>
        <v>3.61755798941118</v>
      </c>
      <c r="BS286" s="63" t="n">
        <f aca="false">MATCH(MIN(BN286:BR286),BN286:BR286,0)</f>
        <v>4</v>
      </c>
      <c r="BU286" s="17" t="n">
        <f aca="false">SQRT(($B286-BU$270)^2+($C286-BU$271)^2+($D286-BU$272)^2)</f>
        <v>6.05286336204624</v>
      </c>
      <c r="BV286" s="17" t="n">
        <f aca="false">SQRT(($B286-BV$270)^2+($C286-BV$271)^2+($D286-BV$272)^2)</f>
        <v>2.54261244778151</v>
      </c>
      <c r="BW286" s="17" t="n">
        <f aca="false">SQRT(($B286-BW$270)^2+($C286-BW$271)^2+($D286-BW$272)^2)</f>
        <v>1.92768888483433</v>
      </c>
      <c r="BX286" s="17" t="n">
        <f aca="false">SQRT(($B286-BX$270)^2+($C286-BX$271)^2+($D286-BX$272)^2)</f>
        <v>1.44976436720519</v>
      </c>
      <c r="BY286" s="17" t="n">
        <f aca="false">SQRT(($B286-BY$270)^2+($C286-BY$271)^2+($D286-BY$272)^2)</f>
        <v>3.61755798941118</v>
      </c>
      <c r="BZ286" s="63" t="n">
        <f aca="false">MATCH(MIN(BU286:BY286),BU286:BY286,0)</f>
        <v>4</v>
      </c>
      <c r="CB286" s="17" t="n">
        <f aca="false">SQRT(($B286-CB$270)^2+($C286-CB$271)^2+($D286-CB$272)^2)</f>
        <v>6.05286336204624</v>
      </c>
      <c r="CC286" s="17" t="n">
        <f aca="false">SQRT(($B286-CC$270)^2+($C286-CC$271)^2+($D286-CC$272)^2)</f>
        <v>2.54261244778151</v>
      </c>
      <c r="CD286" s="17" t="n">
        <f aca="false">SQRT(($B286-CD$270)^2+($C286-CD$271)^2+($D286-CD$272)^2)</f>
        <v>1.92768888483433</v>
      </c>
      <c r="CE286" s="17" t="n">
        <f aca="false">SQRT(($B286-CE$270)^2+($C286-CE$271)^2+($D286-CE$272)^2)</f>
        <v>1.44976436720519</v>
      </c>
      <c r="CF286" s="17" t="n">
        <f aca="false">SQRT(($B286-CF$270)^2+($C286-CF$271)^2+($D286-CF$272)^2)</f>
        <v>3.61755798941118</v>
      </c>
      <c r="CG286" s="63" t="n">
        <f aca="false">MATCH(MIN(CB286:CF286),CB286:CF286,0)</f>
        <v>4</v>
      </c>
      <c r="CI286" s="17" t="n">
        <f aca="false">SQRT(($B286-CI$270)^2+($C286-CI$271)^2+($D286-CI$272)^2)</f>
        <v>6.05286336204624</v>
      </c>
      <c r="CJ286" s="17" t="n">
        <f aca="false">SQRT(($B286-CJ$270)^2+($C286-CJ$271)^2+($D286-CJ$272)^2)</f>
        <v>2.54261244778151</v>
      </c>
      <c r="CK286" s="17" t="n">
        <f aca="false">SQRT(($B286-CK$270)^2+($C286-CK$271)^2+($D286-CK$272)^2)</f>
        <v>1.92768888483433</v>
      </c>
      <c r="CL286" s="17" t="n">
        <f aca="false">SQRT(($B286-CL$270)^2+($C286-CL$271)^2+($D286-CL$272)^2)</f>
        <v>1.44976436720519</v>
      </c>
      <c r="CM286" s="17" t="n">
        <f aca="false">SQRT(($B286-CM$270)^2+($C286-CM$271)^2+($D286-CM$272)^2)</f>
        <v>3.61755798941118</v>
      </c>
      <c r="CN286" s="63" t="n">
        <f aca="false">MATCH(MIN(CI286:CM286),CI286:CM286,0)</f>
        <v>4</v>
      </c>
      <c r="CP286" s="17" t="n">
        <f aca="false">SQRT(($B286-CP$270)^2+($C286-CP$271)^2+($D286-CP$272)^2)</f>
        <v>6.05286336204624</v>
      </c>
      <c r="CQ286" s="17" t="n">
        <f aca="false">SQRT(($B286-CQ$270)^2+($C286-CQ$271)^2+($D286-CQ$272)^2)</f>
        <v>2.54261244778151</v>
      </c>
      <c r="CR286" s="17" t="n">
        <f aca="false">SQRT(($B286-CR$270)^2+($C286-CR$271)^2+($D286-CR$272)^2)</f>
        <v>1.92768888483433</v>
      </c>
      <c r="CS286" s="17" t="n">
        <f aca="false">SQRT(($B286-CS$270)^2+($C286-CS$271)^2+($D286-CS$272)^2)</f>
        <v>1.44976436720519</v>
      </c>
      <c r="CT286" s="17" t="n">
        <f aca="false">SQRT(($B286-CT$270)^2+($C286-CT$271)^2+($D286-CT$272)^2)</f>
        <v>3.61755798941118</v>
      </c>
      <c r="CU286" s="63" t="n">
        <f aca="false">MATCH(MIN(CP286:CT286),CP286:CT286,0)</f>
        <v>4</v>
      </c>
      <c r="CW286" s="17" t="n">
        <f aca="false">SQRT(($B286-CW$270)^2+($C286-CW$271)^2+($D286-CW$272)^2)</f>
        <v>6.05286336204624</v>
      </c>
      <c r="CX286" s="17" t="n">
        <f aca="false">SQRT(($B286-CX$270)^2+($C286-CX$271)^2+($D286-CX$272)^2)</f>
        <v>2.54261244778151</v>
      </c>
      <c r="CY286" s="17" t="n">
        <f aca="false">SQRT(($B286-CY$270)^2+($C286-CY$271)^2+($D286-CY$272)^2)</f>
        <v>1.92768888483433</v>
      </c>
      <c r="CZ286" s="17" t="n">
        <f aca="false">SQRT(($B286-CZ$270)^2+($C286-CZ$271)^2+($D286-CZ$272)^2)</f>
        <v>1.44976436720519</v>
      </c>
      <c r="DA286" s="17" t="n">
        <f aca="false">SQRT(($B286-DA$270)^2+($C286-DA$271)^2+($D286-DA$272)^2)</f>
        <v>3.61755798941118</v>
      </c>
      <c r="DB286" s="63" t="n">
        <f aca="false">MATCH(MIN(CW286:DA286),CW286:DA286,0)</f>
        <v>4</v>
      </c>
    </row>
    <row r="287" customFormat="false" ht="15" hidden="false" customHeight="false" outlineLevel="0" collapsed="false">
      <c r="A287" s="36" t="str">
        <f aca="false">KMeans_Data!A15</f>
        <v>Malakand</v>
      </c>
      <c r="B287" s="17" t="n">
        <f aca="false">KMeans_Data!H15</f>
        <v>1.14106795512792</v>
      </c>
      <c r="C287" s="17" t="n">
        <f aca="false">KMeans_Data!I15</f>
        <v>1.4759954658056</v>
      </c>
      <c r="D287" s="17" t="n">
        <f aca="false">KMeans_Data!J15</f>
        <v>0.988349871383994</v>
      </c>
      <c r="E287" s="63" t="n">
        <f aca="false">DB287</f>
        <v>3</v>
      </c>
      <c r="F287" s="38" t="n">
        <f aca="false">($B287-INDEX($L$270:$P$270,E287))^2+($C287-INDEX($L$271:$P$271,E287))^2+($D287-INDEX($L$272:$P$272,E287))^2</f>
        <v>1.08391078776325</v>
      </c>
      <c r="G287" s="17" t="n">
        <f aca="false">IF(COUNTIF(Distance_Matrix!$E$11:$DQ$11,$E287)&lt;=1,0,SUMIF(Distance_Matrix!$E$11:$DQ$11,$E287,Distance_Matrix!$E$24:$DQ$24)/(COUNTIF(Distance_Matrix!$E$11:$DQ$11,$E287)-1))</f>
        <v>1.21323156576076</v>
      </c>
      <c r="H287" s="17" t="n">
        <f aca="false">MIN(IF(1=$E287,1E+099,IF(COUNTIF(Distance_Matrix!$E$11:$DQ$11,1)=0,1E+099,SUMIF(Distance_Matrix!$E$11:$DQ$11,1,Distance_Matrix!$E$24:$DQ$24)/COUNTIF(Distance_Matrix!$E$11:$DQ$11,1))),IF(2=$E287,1E+099,IF(COUNTIF(Distance_Matrix!$E$11:$DQ$11,2)=0,1E+099,SUMIF(Distance_Matrix!$E$11:$DQ$11,2,Distance_Matrix!$E$24:$DQ$24)/COUNTIF(Distance_Matrix!$E$11:$DQ$11,2))),IF(3=$E287,1E+099,IF(COUNTIF(Distance_Matrix!$E$11:$DQ$11,3)=0,1E+099,SUMIF(Distance_Matrix!$E$11:$DQ$11,3,Distance_Matrix!$E$24:$DQ$24)/COUNTIF(Distance_Matrix!$E$11:$DQ$11,3))),IF(4=$E287,1E+099,IF(COUNTIF(Distance_Matrix!$E$11:$DQ$11,4)=0,1E+099,SUMIF(Distance_Matrix!$E$11:$DQ$11,4,Distance_Matrix!$E$24:$DQ$24)/COUNTIF(Distance_Matrix!$E$11:$DQ$11,4))),IF(5=$E287,1E+099,IF(COUNTIF(Distance_Matrix!$E$11:$DQ$11,5)=0,1E+099,SUMIF(Distance_Matrix!$E$11:$DQ$11,5,Distance_Matrix!$E$24:$DQ$24)/COUNTIF(Distance_Matrix!$E$11:$DQ$11,5))))</f>
        <v>1.43796453910304</v>
      </c>
      <c r="I287" s="17" t="n">
        <f aca="false">IF(COUNTIF(Distance_Matrix!$E$11:$DQ$11,$E287)&lt;=1,0,(H287-G287)/MAX(G287,H287))</f>
        <v>0.156285476610192</v>
      </c>
      <c r="X287" s="17" t="n">
        <f aca="false">SQRT(($B287-X$270)^2+($C287-X$271)^2+($D287-X$272)^2)</f>
        <v>4.03066852095808</v>
      </c>
      <c r="Y287" s="17" t="n">
        <f aca="false">SQRT(($B287-Y$270)^2+($C287-Y$271)^2+($D287-Y$272)^2)</f>
        <v>4.42088236717576</v>
      </c>
      <c r="Z287" s="17" t="n">
        <f aca="false">SQRT(($B287-Z$270)^2+($C287-Z$271)^2+($D287-Z$272)^2)</f>
        <v>1.2030082216667</v>
      </c>
      <c r="AA287" s="17" t="n">
        <f aca="false">SQRT(($B287-AA$270)^2+($C287-AA$271)^2+($D287-AA$272)^2)</f>
        <v>2.72642732862461</v>
      </c>
      <c r="AB287" s="17" t="n">
        <f aca="false">SQRT(($B287-AB$270)^2+($C287-AB$271)^2+($D287-AB$272)^2)</f>
        <v>2.02032113545334</v>
      </c>
      <c r="AC287" s="63" t="n">
        <f aca="false">MATCH(MIN(X287:AB287),X287:AB287,0)</f>
        <v>3</v>
      </c>
      <c r="AE287" s="17" t="n">
        <f aca="false">SQRT(($B287-AE$270)^2+($C287-AE$271)^2+($D287-AE$272)^2)</f>
        <v>3.90985367105557</v>
      </c>
      <c r="AF287" s="17" t="n">
        <f aca="false">SQRT(($B287-AF$270)^2+($C287-AF$271)^2+($D287-AF$272)^2)</f>
        <v>3.72971421983516</v>
      </c>
      <c r="AG287" s="17" t="n">
        <f aca="false">SQRT(($B287-AG$270)^2+($C287-AG$271)^2+($D287-AG$272)^2)</f>
        <v>1.15085164796854</v>
      </c>
      <c r="AH287" s="17" t="n">
        <f aca="false">SQRT(($B287-AH$270)^2+($C287-AH$271)^2+($D287-AH$272)^2)</f>
        <v>2.75076978418233</v>
      </c>
      <c r="AI287" s="17" t="n">
        <f aca="false">SQRT(($B287-AI$270)^2+($C287-AI$271)^2+($D287-AI$272)^2)</f>
        <v>1.63558230464964</v>
      </c>
      <c r="AJ287" s="63" t="n">
        <f aca="false">MATCH(MIN(AE287:AI287),AE287:AI287,0)</f>
        <v>3</v>
      </c>
      <c r="AL287" s="17" t="n">
        <f aca="false">SQRT(($B287-AL$270)^2+($C287-AL$271)^2+($D287-AL$272)^2)</f>
        <v>3.90985367105557</v>
      </c>
      <c r="AM287" s="17" t="n">
        <f aca="false">SQRT(($B287-AM$270)^2+($C287-AM$271)^2+($D287-AM$272)^2)</f>
        <v>3.75041361228391</v>
      </c>
      <c r="AN287" s="17" t="n">
        <f aca="false">SQRT(($B287-AN$270)^2+($C287-AN$271)^2+($D287-AN$272)^2)</f>
        <v>1.06278300465937</v>
      </c>
      <c r="AO287" s="17" t="n">
        <f aca="false">SQRT(($B287-AO$270)^2+($C287-AO$271)^2+($D287-AO$272)^2)</f>
        <v>2.71419965309167</v>
      </c>
      <c r="AP287" s="17" t="n">
        <f aca="false">SQRT(($B287-AP$270)^2+($C287-AP$271)^2+($D287-AP$272)^2)</f>
        <v>1.36293460829436</v>
      </c>
      <c r="AQ287" s="63" t="n">
        <f aca="false">MATCH(MIN(AL287:AP287),AL287:AP287,0)</f>
        <v>3</v>
      </c>
      <c r="AS287" s="17" t="n">
        <f aca="false">SQRT(($B287-AS$270)^2+($C287-AS$271)^2+($D287-AS$272)^2)</f>
        <v>3.90985367105557</v>
      </c>
      <c r="AT287" s="17" t="n">
        <f aca="false">SQRT(($B287-AT$270)^2+($C287-AT$271)^2+($D287-AT$272)^2)</f>
        <v>3.82509710903262</v>
      </c>
      <c r="AU287" s="17" t="n">
        <f aca="false">SQRT(($B287-AU$270)^2+($C287-AU$271)^2+($D287-AU$272)^2)</f>
        <v>1.04111036291224</v>
      </c>
      <c r="AV287" s="17" t="n">
        <f aca="false">SQRT(($B287-AV$270)^2+($C287-AV$271)^2+($D287-AV$272)^2)</f>
        <v>2.72172324275123</v>
      </c>
      <c r="AW287" s="17" t="n">
        <f aca="false">SQRT(($B287-AW$270)^2+($C287-AW$271)^2+($D287-AW$272)^2)</f>
        <v>1.36293460829436</v>
      </c>
      <c r="AX287" s="63" t="n">
        <f aca="false">MATCH(MIN(AS287:AW287),AS287:AW287,0)</f>
        <v>3</v>
      </c>
      <c r="AZ287" s="17" t="n">
        <f aca="false">SQRT(($B287-AZ$270)^2+($C287-AZ$271)^2+($D287-AZ$272)^2)</f>
        <v>3.90985367105557</v>
      </c>
      <c r="BA287" s="17" t="n">
        <f aca="false">SQRT(($B287-BA$270)^2+($C287-BA$271)^2+($D287-BA$272)^2)</f>
        <v>3.82509710903262</v>
      </c>
      <c r="BB287" s="17" t="n">
        <f aca="false">SQRT(($B287-BB$270)^2+($C287-BB$271)^2+($D287-BB$272)^2)</f>
        <v>1.04111036291224</v>
      </c>
      <c r="BC287" s="17" t="n">
        <f aca="false">SQRT(($B287-BC$270)^2+($C287-BC$271)^2+($D287-BC$272)^2)</f>
        <v>2.72172324275123</v>
      </c>
      <c r="BD287" s="17" t="n">
        <f aca="false">SQRT(($B287-BD$270)^2+($C287-BD$271)^2+($D287-BD$272)^2)</f>
        <v>1.36293460829436</v>
      </c>
      <c r="BE287" s="63" t="n">
        <f aca="false">MATCH(MIN(AZ287:BD287),AZ287:BD287,0)</f>
        <v>3</v>
      </c>
      <c r="BG287" s="17" t="n">
        <f aca="false">SQRT(($B287-BG$270)^2+($C287-BG$271)^2+($D287-BG$272)^2)</f>
        <v>3.90985367105557</v>
      </c>
      <c r="BH287" s="17" t="n">
        <f aca="false">SQRT(($B287-BH$270)^2+($C287-BH$271)^2+($D287-BH$272)^2)</f>
        <v>3.82509710903262</v>
      </c>
      <c r="BI287" s="17" t="n">
        <f aca="false">SQRT(($B287-BI$270)^2+($C287-BI$271)^2+($D287-BI$272)^2)</f>
        <v>1.04111036291224</v>
      </c>
      <c r="BJ287" s="17" t="n">
        <f aca="false">SQRT(($B287-BJ$270)^2+($C287-BJ$271)^2+($D287-BJ$272)^2)</f>
        <v>2.72172324275123</v>
      </c>
      <c r="BK287" s="17" t="n">
        <f aca="false">SQRT(($B287-BK$270)^2+($C287-BK$271)^2+($D287-BK$272)^2)</f>
        <v>1.36293460829436</v>
      </c>
      <c r="BL287" s="63" t="n">
        <f aca="false">MATCH(MIN(BG287:BK287),BG287:BK287,0)</f>
        <v>3</v>
      </c>
      <c r="BN287" s="17" t="n">
        <f aca="false">SQRT(($B287-BN$270)^2+($C287-BN$271)^2+($D287-BN$272)^2)</f>
        <v>3.90985367105557</v>
      </c>
      <c r="BO287" s="17" t="n">
        <f aca="false">SQRT(($B287-BO$270)^2+($C287-BO$271)^2+($D287-BO$272)^2)</f>
        <v>3.82509710903262</v>
      </c>
      <c r="BP287" s="17" t="n">
        <f aca="false">SQRT(($B287-BP$270)^2+($C287-BP$271)^2+($D287-BP$272)^2)</f>
        <v>1.04111036291224</v>
      </c>
      <c r="BQ287" s="17" t="n">
        <f aca="false">SQRT(($B287-BQ$270)^2+($C287-BQ$271)^2+($D287-BQ$272)^2)</f>
        <v>2.72172324275123</v>
      </c>
      <c r="BR287" s="17" t="n">
        <f aca="false">SQRT(($B287-BR$270)^2+($C287-BR$271)^2+($D287-BR$272)^2)</f>
        <v>1.36293460829436</v>
      </c>
      <c r="BS287" s="63" t="n">
        <f aca="false">MATCH(MIN(BN287:BR287),BN287:BR287,0)</f>
        <v>3</v>
      </c>
      <c r="BU287" s="17" t="n">
        <f aca="false">SQRT(($B287-BU$270)^2+($C287-BU$271)^2+($D287-BU$272)^2)</f>
        <v>3.90985367105557</v>
      </c>
      <c r="BV287" s="17" t="n">
        <f aca="false">SQRT(($B287-BV$270)^2+($C287-BV$271)^2+($D287-BV$272)^2)</f>
        <v>3.82509710903262</v>
      </c>
      <c r="BW287" s="17" t="n">
        <f aca="false">SQRT(($B287-BW$270)^2+($C287-BW$271)^2+($D287-BW$272)^2)</f>
        <v>1.04111036291224</v>
      </c>
      <c r="BX287" s="17" t="n">
        <f aca="false">SQRT(($B287-BX$270)^2+($C287-BX$271)^2+($D287-BX$272)^2)</f>
        <v>2.72172324275123</v>
      </c>
      <c r="BY287" s="17" t="n">
        <f aca="false">SQRT(($B287-BY$270)^2+($C287-BY$271)^2+($D287-BY$272)^2)</f>
        <v>1.36293460829436</v>
      </c>
      <c r="BZ287" s="63" t="n">
        <f aca="false">MATCH(MIN(BU287:BY287),BU287:BY287,0)</f>
        <v>3</v>
      </c>
      <c r="CB287" s="17" t="n">
        <f aca="false">SQRT(($B287-CB$270)^2+($C287-CB$271)^2+($D287-CB$272)^2)</f>
        <v>3.90985367105557</v>
      </c>
      <c r="CC287" s="17" t="n">
        <f aca="false">SQRT(($B287-CC$270)^2+($C287-CC$271)^2+($D287-CC$272)^2)</f>
        <v>3.82509710903262</v>
      </c>
      <c r="CD287" s="17" t="n">
        <f aca="false">SQRT(($B287-CD$270)^2+($C287-CD$271)^2+($D287-CD$272)^2)</f>
        <v>1.04111036291224</v>
      </c>
      <c r="CE287" s="17" t="n">
        <f aca="false">SQRT(($B287-CE$270)^2+($C287-CE$271)^2+($D287-CE$272)^2)</f>
        <v>2.72172324275123</v>
      </c>
      <c r="CF287" s="17" t="n">
        <f aca="false">SQRT(($B287-CF$270)^2+($C287-CF$271)^2+($D287-CF$272)^2)</f>
        <v>1.36293460829436</v>
      </c>
      <c r="CG287" s="63" t="n">
        <f aca="false">MATCH(MIN(CB287:CF287),CB287:CF287,0)</f>
        <v>3</v>
      </c>
      <c r="CI287" s="17" t="n">
        <f aca="false">SQRT(($B287-CI$270)^2+($C287-CI$271)^2+($D287-CI$272)^2)</f>
        <v>3.90985367105557</v>
      </c>
      <c r="CJ287" s="17" t="n">
        <f aca="false">SQRT(($B287-CJ$270)^2+($C287-CJ$271)^2+($D287-CJ$272)^2)</f>
        <v>3.82509710903262</v>
      </c>
      <c r="CK287" s="17" t="n">
        <f aca="false">SQRT(($B287-CK$270)^2+($C287-CK$271)^2+($D287-CK$272)^2)</f>
        <v>1.04111036291224</v>
      </c>
      <c r="CL287" s="17" t="n">
        <f aca="false">SQRT(($B287-CL$270)^2+($C287-CL$271)^2+($D287-CL$272)^2)</f>
        <v>2.72172324275123</v>
      </c>
      <c r="CM287" s="17" t="n">
        <f aca="false">SQRT(($B287-CM$270)^2+($C287-CM$271)^2+($D287-CM$272)^2)</f>
        <v>1.36293460829436</v>
      </c>
      <c r="CN287" s="63" t="n">
        <f aca="false">MATCH(MIN(CI287:CM287),CI287:CM287,0)</f>
        <v>3</v>
      </c>
      <c r="CP287" s="17" t="n">
        <f aca="false">SQRT(($B287-CP$270)^2+($C287-CP$271)^2+($D287-CP$272)^2)</f>
        <v>3.90985367105557</v>
      </c>
      <c r="CQ287" s="17" t="n">
        <f aca="false">SQRT(($B287-CQ$270)^2+($C287-CQ$271)^2+($D287-CQ$272)^2)</f>
        <v>3.82509710903262</v>
      </c>
      <c r="CR287" s="17" t="n">
        <f aca="false">SQRT(($B287-CR$270)^2+($C287-CR$271)^2+($D287-CR$272)^2)</f>
        <v>1.04111036291224</v>
      </c>
      <c r="CS287" s="17" t="n">
        <f aca="false">SQRT(($B287-CS$270)^2+($C287-CS$271)^2+($D287-CS$272)^2)</f>
        <v>2.72172324275123</v>
      </c>
      <c r="CT287" s="17" t="n">
        <f aca="false">SQRT(($B287-CT$270)^2+($C287-CT$271)^2+($D287-CT$272)^2)</f>
        <v>1.36293460829436</v>
      </c>
      <c r="CU287" s="63" t="n">
        <f aca="false">MATCH(MIN(CP287:CT287),CP287:CT287,0)</f>
        <v>3</v>
      </c>
      <c r="CW287" s="17" t="n">
        <f aca="false">SQRT(($B287-CW$270)^2+($C287-CW$271)^2+($D287-CW$272)^2)</f>
        <v>3.90985367105557</v>
      </c>
      <c r="CX287" s="17" t="n">
        <f aca="false">SQRT(($B287-CX$270)^2+($C287-CX$271)^2+($D287-CX$272)^2)</f>
        <v>3.82509710903262</v>
      </c>
      <c r="CY287" s="17" t="n">
        <f aca="false">SQRT(($B287-CY$270)^2+($C287-CY$271)^2+($D287-CY$272)^2)</f>
        <v>1.04111036291224</v>
      </c>
      <c r="CZ287" s="17" t="n">
        <f aca="false">SQRT(($B287-CZ$270)^2+($C287-CZ$271)^2+($D287-CZ$272)^2)</f>
        <v>2.72172324275123</v>
      </c>
      <c r="DA287" s="17" t="n">
        <f aca="false">SQRT(($B287-DA$270)^2+($C287-DA$271)^2+($D287-DA$272)^2)</f>
        <v>1.36293460829436</v>
      </c>
      <c r="DB287" s="63" t="n">
        <f aca="false">MATCH(MIN(CW287:DA287),CW287:DA287,0)</f>
        <v>3</v>
      </c>
    </row>
    <row r="288" customFormat="false" ht="15" hidden="false" customHeight="false" outlineLevel="0" collapsed="false">
      <c r="A288" s="36" t="str">
        <f aca="false">KMeans_Data!A16</f>
        <v>Mardan</v>
      </c>
      <c r="B288" s="17" t="n">
        <f aca="false">KMeans_Data!H16</f>
        <v>1.1269857012341</v>
      </c>
      <c r="C288" s="17" t="n">
        <f aca="false">KMeans_Data!I16</f>
        <v>1.76847331707728</v>
      </c>
      <c r="D288" s="17" t="n">
        <f aca="false">KMeans_Data!J16</f>
        <v>1.16687696458076</v>
      </c>
      <c r="E288" s="63" t="n">
        <f aca="false">DB288</f>
        <v>5</v>
      </c>
      <c r="F288" s="38" t="n">
        <f aca="false">($B288-INDEX($L$270:$P$270,E288))^2+($C288-INDEX($L$271:$P$271,E288))^2+($D288-INDEX($L$272:$P$272,E288))^2</f>
        <v>1.22414215605129</v>
      </c>
      <c r="G288" s="17" t="n">
        <f aca="false">IF(COUNTIF(Distance_Matrix!$E$11:$DQ$11,$E288)&lt;=1,0,SUMIF(Distance_Matrix!$E$11:$DQ$11,$E288,Distance_Matrix!$E$25:$DQ$25)/(COUNTIF(Distance_Matrix!$E$11:$DQ$11,$E288)-1))</f>
        <v>1.471132980832</v>
      </c>
      <c r="H288" s="17" t="n">
        <f aca="false">MIN(IF(1=$E288,1E+099,IF(COUNTIF(Distance_Matrix!$E$11:$DQ$11,1)=0,1E+099,SUMIF(Distance_Matrix!$E$11:$DQ$11,1,Distance_Matrix!$E$25:$DQ$25)/COUNTIF(Distance_Matrix!$E$11:$DQ$11,1))),IF(2=$E288,1E+099,IF(COUNTIF(Distance_Matrix!$E$11:$DQ$11,2)=0,1E+099,SUMIF(Distance_Matrix!$E$11:$DQ$11,2,Distance_Matrix!$E$25:$DQ$25)/COUNTIF(Distance_Matrix!$E$11:$DQ$11,2))),IF(3=$E288,1E+099,IF(COUNTIF(Distance_Matrix!$E$11:$DQ$11,3)=0,1E+099,SUMIF(Distance_Matrix!$E$11:$DQ$11,3,Distance_Matrix!$E$25:$DQ$25)/COUNTIF(Distance_Matrix!$E$11:$DQ$11,3))),IF(4=$E288,1E+099,IF(COUNTIF(Distance_Matrix!$E$11:$DQ$11,4)=0,1E+099,SUMIF(Distance_Matrix!$E$11:$DQ$11,4,Distance_Matrix!$E$25:$DQ$25)/COUNTIF(Distance_Matrix!$E$11:$DQ$11,4))),IF(5=$E288,1E+099,IF(COUNTIF(Distance_Matrix!$E$11:$DQ$11,5)=0,1E+099,SUMIF(Distance_Matrix!$E$11:$DQ$11,5,Distance_Matrix!$E$25:$DQ$25)/COUNTIF(Distance_Matrix!$E$11:$DQ$11,5))))</f>
        <v>1.42877390287213</v>
      </c>
      <c r="I288" s="17" t="n">
        <f aca="false">IF(COUNTIF(Distance_Matrix!$E$11:$DQ$11,$E288)&lt;=1,0,(H288-G288)/MAX(G288,H288))</f>
        <v>-0.028793507121238</v>
      </c>
      <c r="X288" s="17" t="n">
        <f aca="false">SQRT(($B288-X$270)^2+($C288-X$271)^2+($D288-X$272)^2)</f>
        <v>3.7571699748409</v>
      </c>
      <c r="Y288" s="17" t="n">
        <f aca="false">SQRT(($B288-Y$270)^2+($C288-Y$271)^2+($D288-Y$272)^2)</f>
        <v>4.64649504905847</v>
      </c>
      <c r="Z288" s="17" t="n">
        <f aca="false">SQRT(($B288-Z$270)^2+($C288-Z$271)^2+($D288-Z$272)^2)</f>
        <v>1.42536996486005</v>
      </c>
      <c r="AA288" s="17" t="n">
        <f aca="false">SQRT(($B288-AA$270)^2+($C288-AA$271)^2+($D288-AA$272)^2)</f>
        <v>3.04111641100597</v>
      </c>
      <c r="AB288" s="17" t="n">
        <f aca="false">SQRT(($B288-AB$270)^2+($C288-AB$271)^2+($D288-AB$272)^2)</f>
        <v>1.80583097558529</v>
      </c>
      <c r="AC288" s="63" t="n">
        <f aca="false">MATCH(MIN(X288:AB288),X288:AB288,0)</f>
        <v>3</v>
      </c>
      <c r="AE288" s="17" t="n">
        <f aca="false">SQRT(($B288-AE$270)^2+($C288-AE$271)^2+($D288-AE$272)^2)</f>
        <v>3.63652265068799</v>
      </c>
      <c r="AF288" s="17" t="n">
        <f aca="false">SQRT(($B288-AF$270)^2+($C288-AF$271)^2+($D288-AF$272)^2)</f>
        <v>3.98672678550269</v>
      </c>
      <c r="AG288" s="17" t="n">
        <f aca="false">SQRT(($B288-AG$270)^2+($C288-AG$271)^2+($D288-AG$272)^2)</f>
        <v>1.43074548037858</v>
      </c>
      <c r="AH288" s="17" t="n">
        <f aca="false">SQRT(($B288-AH$270)^2+($C288-AH$271)^2+($D288-AH$272)^2)</f>
        <v>3.05555023023849</v>
      </c>
      <c r="AI288" s="17" t="n">
        <f aca="false">SQRT(($B288-AI$270)^2+($C288-AI$271)^2+($D288-AI$272)^2)</f>
        <v>1.38301197349486</v>
      </c>
      <c r="AJ288" s="63" t="n">
        <f aca="false">MATCH(MIN(AE288:AI288),AE288:AI288,0)</f>
        <v>5</v>
      </c>
      <c r="AL288" s="17" t="n">
        <f aca="false">SQRT(($B288-AL$270)^2+($C288-AL$271)^2+($D288-AL$272)^2)</f>
        <v>3.63652265068799</v>
      </c>
      <c r="AM288" s="17" t="n">
        <f aca="false">SQRT(($B288-AM$270)^2+($C288-AM$271)^2+($D288-AM$272)^2)</f>
        <v>4.00837387293431</v>
      </c>
      <c r="AN288" s="17" t="n">
        <f aca="false">SQRT(($B288-AN$270)^2+($C288-AN$271)^2+($D288-AN$272)^2)</f>
        <v>1.34573792521892</v>
      </c>
      <c r="AO288" s="17" t="n">
        <f aca="false">SQRT(($B288-AO$270)^2+($C288-AO$271)^2+($D288-AO$272)^2)</f>
        <v>3.01791646108444</v>
      </c>
      <c r="AP288" s="17" t="n">
        <f aca="false">SQRT(($B288-AP$270)^2+($C288-AP$271)^2+($D288-AP$272)^2)</f>
        <v>1.10640957879589</v>
      </c>
      <c r="AQ288" s="63" t="n">
        <f aca="false">MATCH(MIN(AL288:AP288),AL288:AP288,0)</f>
        <v>5</v>
      </c>
      <c r="AS288" s="17" t="n">
        <f aca="false">SQRT(($B288-AS$270)^2+($C288-AS$271)^2+($D288-AS$272)^2)</f>
        <v>3.63652265068799</v>
      </c>
      <c r="AT288" s="17" t="n">
        <f aca="false">SQRT(($B288-AT$270)^2+($C288-AT$271)^2+($D288-AT$272)^2)</f>
        <v>4.08187999364002</v>
      </c>
      <c r="AU288" s="17" t="n">
        <f aca="false">SQRT(($B288-AU$270)^2+($C288-AU$271)^2+($D288-AU$272)^2)</f>
        <v>1.32419760173466</v>
      </c>
      <c r="AV288" s="17" t="n">
        <f aca="false">SQRT(($B288-AV$270)^2+($C288-AV$271)^2+($D288-AV$272)^2)</f>
        <v>3.02275469287239</v>
      </c>
      <c r="AW288" s="17" t="n">
        <f aca="false">SQRT(($B288-AW$270)^2+($C288-AW$271)^2+($D288-AW$272)^2)</f>
        <v>1.10640957879589</v>
      </c>
      <c r="AX288" s="63" t="n">
        <f aca="false">MATCH(MIN(AS288:AW288),AS288:AW288,0)</f>
        <v>5</v>
      </c>
      <c r="AZ288" s="17" t="n">
        <f aca="false">SQRT(($B288-AZ$270)^2+($C288-AZ$271)^2+($D288-AZ$272)^2)</f>
        <v>3.63652265068799</v>
      </c>
      <c r="BA288" s="17" t="n">
        <f aca="false">SQRT(($B288-BA$270)^2+($C288-BA$271)^2+($D288-BA$272)^2)</f>
        <v>4.08187999364002</v>
      </c>
      <c r="BB288" s="17" t="n">
        <f aca="false">SQRT(($B288-BB$270)^2+($C288-BB$271)^2+($D288-BB$272)^2)</f>
        <v>1.32419760173466</v>
      </c>
      <c r="BC288" s="17" t="n">
        <f aca="false">SQRT(($B288-BC$270)^2+($C288-BC$271)^2+($D288-BC$272)^2)</f>
        <v>3.02275469287239</v>
      </c>
      <c r="BD288" s="17" t="n">
        <f aca="false">SQRT(($B288-BD$270)^2+($C288-BD$271)^2+($D288-BD$272)^2)</f>
        <v>1.10640957879589</v>
      </c>
      <c r="BE288" s="63" t="n">
        <f aca="false">MATCH(MIN(AZ288:BD288),AZ288:BD288,0)</f>
        <v>5</v>
      </c>
      <c r="BG288" s="17" t="n">
        <f aca="false">SQRT(($B288-BG$270)^2+($C288-BG$271)^2+($D288-BG$272)^2)</f>
        <v>3.63652265068799</v>
      </c>
      <c r="BH288" s="17" t="n">
        <f aca="false">SQRT(($B288-BH$270)^2+($C288-BH$271)^2+($D288-BH$272)^2)</f>
        <v>4.08187999364002</v>
      </c>
      <c r="BI288" s="17" t="n">
        <f aca="false">SQRT(($B288-BI$270)^2+($C288-BI$271)^2+($D288-BI$272)^2)</f>
        <v>1.32419760173466</v>
      </c>
      <c r="BJ288" s="17" t="n">
        <f aca="false">SQRT(($B288-BJ$270)^2+($C288-BJ$271)^2+($D288-BJ$272)^2)</f>
        <v>3.02275469287239</v>
      </c>
      <c r="BK288" s="17" t="n">
        <f aca="false">SQRT(($B288-BK$270)^2+($C288-BK$271)^2+($D288-BK$272)^2)</f>
        <v>1.10640957879589</v>
      </c>
      <c r="BL288" s="63" t="n">
        <f aca="false">MATCH(MIN(BG288:BK288),BG288:BK288,0)</f>
        <v>5</v>
      </c>
      <c r="BN288" s="17" t="n">
        <f aca="false">SQRT(($B288-BN$270)^2+($C288-BN$271)^2+($D288-BN$272)^2)</f>
        <v>3.63652265068799</v>
      </c>
      <c r="BO288" s="17" t="n">
        <f aca="false">SQRT(($B288-BO$270)^2+($C288-BO$271)^2+($D288-BO$272)^2)</f>
        <v>4.08187999364002</v>
      </c>
      <c r="BP288" s="17" t="n">
        <f aca="false">SQRT(($B288-BP$270)^2+($C288-BP$271)^2+($D288-BP$272)^2)</f>
        <v>1.32419760173466</v>
      </c>
      <c r="BQ288" s="17" t="n">
        <f aca="false">SQRT(($B288-BQ$270)^2+($C288-BQ$271)^2+($D288-BQ$272)^2)</f>
        <v>3.02275469287239</v>
      </c>
      <c r="BR288" s="17" t="n">
        <f aca="false">SQRT(($B288-BR$270)^2+($C288-BR$271)^2+($D288-BR$272)^2)</f>
        <v>1.10640957879589</v>
      </c>
      <c r="BS288" s="63" t="n">
        <f aca="false">MATCH(MIN(BN288:BR288),BN288:BR288,0)</f>
        <v>5</v>
      </c>
      <c r="BU288" s="17" t="n">
        <f aca="false">SQRT(($B288-BU$270)^2+($C288-BU$271)^2+($D288-BU$272)^2)</f>
        <v>3.63652265068799</v>
      </c>
      <c r="BV288" s="17" t="n">
        <f aca="false">SQRT(($B288-BV$270)^2+($C288-BV$271)^2+($D288-BV$272)^2)</f>
        <v>4.08187999364002</v>
      </c>
      <c r="BW288" s="17" t="n">
        <f aca="false">SQRT(($B288-BW$270)^2+($C288-BW$271)^2+($D288-BW$272)^2)</f>
        <v>1.32419760173466</v>
      </c>
      <c r="BX288" s="17" t="n">
        <f aca="false">SQRT(($B288-BX$270)^2+($C288-BX$271)^2+($D288-BX$272)^2)</f>
        <v>3.02275469287239</v>
      </c>
      <c r="BY288" s="17" t="n">
        <f aca="false">SQRT(($B288-BY$270)^2+($C288-BY$271)^2+($D288-BY$272)^2)</f>
        <v>1.10640957879589</v>
      </c>
      <c r="BZ288" s="63" t="n">
        <f aca="false">MATCH(MIN(BU288:BY288),BU288:BY288,0)</f>
        <v>5</v>
      </c>
      <c r="CB288" s="17" t="n">
        <f aca="false">SQRT(($B288-CB$270)^2+($C288-CB$271)^2+($D288-CB$272)^2)</f>
        <v>3.63652265068799</v>
      </c>
      <c r="CC288" s="17" t="n">
        <f aca="false">SQRT(($B288-CC$270)^2+($C288-CC$271)^2+($D288-CC$272)^2)</f>
        <v>4.08187999364002</v>
      </c>
      <c r="CD288" s="17" t="n">
        <f aca="false">SQRT(($B288-CD$270)^2+($C288-CD$271)^2+($D288-CD$272)^2)</f>
        <v>1.32419760173466</v>
      </c>
      <c r="CE288" s="17" t="n">
        <f aca="false">SQRT(($B288-CE$270)^2+($C288-CE$271)^2+($D288-CE$272)^2)</f>
        <v>3.02275469287239</v>
      </c>
      <c r="CF288" s="17" t="n">
        <f aca="false">SQRT(($B288-CF$270)^2+($C288-CF$271)^2+($D288-CF$272)^2)</f>
        <v>1.10640957879589</v>
      </c>
      <c r="CG288" s="63" t="n">
        <f aca="false">MATCH(MIN(CB288:CF288),CB288:CF288,0)</f>
        <v>5</v>
      </c>
      <c r="CI288" s="17" t="n">
        <f aca="false">SQRT(($B288-CI$270)^2+($C288-CI$271)^2+($D288-CI$272)^2)</f>
        <v>3.63652265068799</v>
      </c>
      <c r="CJ288" s="17" t="n">
        <f aca="false">SQRT(($B288-CJ$270)^2+($C288-CJ$271)^2+($D288-CJ$272)^2)</f>
        <v>4.08187999364002</v>
      </c>
      <c r="CK288" s="17" t="n">
        <f aca="false">SQRT(($B288-CK$270)^2+($C288-CK$271)^2+($D288-CK$272)^2)</f>
        <v>1.32419760173466</v>
      </c>
      <c r="CL288" s="17" t="n">
        <f aca="false">SQRT(($B288-CL$270)^2+($C288-CL$271)^2+($D288-CL$272)^2)</f>
        <v>3.02275469287239</v>
      </c>
      <c r="CM288" s="17" t="n">
        <f aca="false">SQRT(($B288-CM$270)^2+($C288-CM$271)^2+($D288-CM$272)^2)</f>
        <v>1.10640957879589</v>
      </c>
      <c r="CN288" s="63" t="n">
        <f aca="false">MATCH(MIN(CI288:CM288),CI288:CM288,0)</f>
        <v>5</v>
      </c>
      <c r="CP288" s="17" t="n">
        <f aca="false">SQRT(($B288-CP$270)^2+($C288-CP$271)^2+($D288-CP$272)^2)</f>
        <v>3.63652265068799</v>
      </c>
      <c r="CQ288" s="17" t="n">
        <f aca="false">SQRT(($B288-CQ$270)^2+($C288-CQ$271)^2+($D288-CQ$272)^2)</f>
        <v>4.08187999364002</v>
      </c>
      <c r="CR288" s="17" t="n">
        <f aca="false">SQRT(($B288-CR$270)^2+($C288-CR$271)^2+($D288-CR$272)^2)</f>
        <v>1.32419760173466</v>
      </c>
      <c r="CS288" s="17" t="n">
        <f aca="false">SQRT(($B288-CS$270)^2+($C288-CS$271)^2+($D288-CS$272)^2)</f>
        <v>3.02275469287239</v>
      </c>
      <c r="CT288" s="17" t="n">
        <f aca="false">SQRT(($B288-CT$270)^2+($C288-CT$271)^2+($D288-CT$272)^2)</f>
        <v>1.10640957879589</v>
      </c>
      <c r="CU288" s="63" t="n">
        <f aca="false">MATCH(MIN(CP288:CT288),CP288:CT288,0)</f>
        <v>5</v>
      </c>
      <c r="CW288" s="17" t="n">
        <f aca="false">SQRT(($B288-CW$270)^2+($C288-CW$271)^2+($D288-CW$272)^2)</f>
        <v>3.63652265068799</v>
      </c>
      <c r="CX288" s="17" t="n">
        <f aca="false">SQRT(($B288-CX$270)^2+($C288-CX$271)^2+($D288-CX$272)^2)</f>
        <v>4.08187999364002</v>
      </c>
      <c r="CY288" s="17" t="n">
        <f aca="false">SQRT(($B288-CY$270)^2+($C288-CY$271)^2+($D288-CY$272)^2)</f>
        <v>1.32419760173466</v>
      </c>
      <c r="CZ288" s="17" t="n">
        <f aca="false">SQRT(($B288-CZ$270)^2+($C288-CZ$271)^2+($D288-CZ$272)^2)</f>
        <v>3.02275469287239</v>
      </c>
      <c r="DA288" s="17" t="n">
        <f aca="false">SQRT(($B288-DA$270)^2+($C288-DA$271)^2+($D288-DA$272)^2)</f>
        <v>1.10640957879589</v>
      </c>
      <c r="DB288" s="63" t="n">
        <f aca="false">MATCH(MIN(CW288:DA288),CW288:DA288,0)</f>
        <v>5</v>
      </c>
    </row>
    <row r="289" customFormat="false" ht="15" hidden="false" customHeight="false" outlineLevel="0" collapsed="false">
      <c r="A289" s="36" t="str">
        <f aca="false">KMeans_Data!A17</f>
        <v>Gilgit</v>
      </c>
      <c r="B289" s="17" t="n">
        <f aca="false">KMeans_Data!H17</f>
        <v>1.04252863605511</v>
      </c>
      <c r="C289" s="17" t="n">
        <f aca="false">KMeans_Data!I17</f>
        <v>0.993675724638266</v>
      </c>
      <c r="D289" s="17" t="n">
        <f aca="false">KMeans_Data!J17</f>
        <v>1.0804955511041</v>
      </c>
      <c r="E289" s="63" t="n">
        <f aca="false">DB289</f>
        <v>3</v>
      </c>
      <c r="F289" s="38" t="n">
        <f aca="false">($B289-INDEX($L$270:$P$270,E289))^2+($C289-INDEX($L$271:$P$271,E289))^2+($D289-INDEX($L$272:$P$272,E289))^2</f>
        <v>0.395917316974115</v>
      </c>
      <c r="G289" s="17" t="n">
        <f aca="false">IF(COUNTIF(Distance_Matrix!$E$11:$DQ$11,$E289)&lt;=1,0,SUMIF(Distance_Matrix!$E$11:$DQ$11,$E289,Distance_Matrix!$E$26:$DQ$26)/(COUNTIF(Distance_Matrix!$E$11:$DQ$11,$E289)-1))</f>
        <v>0.923626415236985</v>
      </c>
      <c r="H289" s="17" t="n">
        <f aca="false">MIN(IF(1=$E289,1E+099,IF(COUNTIF(Distance_Matrix!$E$11:$DQ$11,1)=0,1E+099,SUMIF(Distance_Matrix!$E$11:$DQ$11,1,Distance_Matrix!$E$26:$DQ$26)/COUNTIF(Distance_Matrix!$E$11:$DQ$11,1))),IF(2=$E289,1E+099,IF(COUNTIF(Distance_Matrix!$E$11:$DQ$11,2)=0,1E+099,SUMIF(Distance_Matrix!$E$11:$DQ$11,2,Distance_Matrix!$E$26:$DQ$26)/COUNTIF(Distance_Matrix!$E$11:$DQ$11,2))),IF(3=$E289,1E+099,IF(COUNTIF(Distance_Matrix!$E$11:$DQ$11,3)=0,1E+099,SUMIF(Distance_Matrix!$E$11:$DQ$11,3,Distance_Matrix!$E$26:$DQ$26)/COUNTIF(Distance_Matrix!$E$11:$DQ$11,3))),IF(4=$E289,1E+099,IF(COUNTIF(Distance_Matrix!$E$11:$DQ$11,4)=0,1E+099,SUMIF(Distance_Matrix!$E$11:$DQ$11,4,Distance_Matrix!$E$26:$DQ$26)/COUNTIF(Distance_Matrix!$E$11:$DQ$11,4))),IF(5=$E289,1E+099,IF(COUNTIF(Distance_Matrix!$E$11:$DQ$11,5)=0,1E+099,SUMIF(Distance_Matrix!$E$11:$DQ$11,5,Distance_Matrix!$E$26:$DQ$26)/COUNTIF(Distance_Matrix!$E$11:$DQ$11,5))))</f>
        <v>1.80355621996119</v>
      </c>
      <c r="I289" s="17" t="n">
        <f aca="false">IF(COUNTIF(Distance_Matrix!$E$11:$DQ$11,$E289)&lt;=1,0,(H289-G289)/MAX(G289,H289))</f>
        <v>0.487885986023292</v>
      </c>
      <c r="X289" s="17" t="n">
        <f aca="false">SQRT(($B289-X$270)^2+($C289-X$271)^2+($D289-X$272)^2)</f>
        <v>4.35573965586675</v>
      </c>
      <c r="Y289" s="17" t="n">
        <f aca="false">SQRT(($B289-Y$270)^2+($C289-Y$271)^2+($D289-Y$272)^2)</f>
        <v>4.18101541376173</v>
      </c>
      <c r="Z289" s="17" t="n">
        <f aca="false">SQRT(($B289-Z$270)^2+($C289-Z$271)^2+($D289-Z$272)^2)</f>
        <v>0.72819676736314</v>
      </c>
      <c r="AA289" s="17" t="n">
        <f aca="false">SQRT(($B289-AA$270)^2+($C289-AA$271)^2+($D289-AA$272)^2)</f>
        <v>2.53264581019291</v>
      </c>
      <c r="AB289" s="17" t="n">
        <f aca="false">SQRT(($B289-AB$270)^2+($C289-AB$271)^2+($D289-AB$272)^2)</f>
        <v>2.26004517408375</v>
      </c>
      <c r="AC289" s="63" t="n">
        <f aca="false">MATCH(MIN(X289:AB289),X289:AB289,0)</f>
        <v>3</v>
      </c>
      <c r="AE289" s="17" t="n">
        <f aca="false">SQRT(($B289-AE$270)^2+($C289-AE$271)^2+($D289-AE$272)^2)</f>
        <v>4.25680499847455</v>
      </c>
      <c r="AF289" s="17" t="n">
        <f aca="false">SQRT(($B289-AF$270)^2+($C289-AF$271)^2+($D289-AF$272)^2)</f>
        <v>3.46295865334446</v>
      </c>
      <c r="AG289" s="17" t="n">
        <f aca="false">SQRT(($B289-AG$270)^2+($C289-AG$271)^2+($D289-AG$272)^2)</f>
        <v>0.737047278788677</v>
      </c>
      <c r="AH289" s="17" t="n">
        <f aca="false">SQRT(($B289-AH$270)^2+($C289-AH$271)^2+($D289-AH$272)^2)</f>
        <v>2.44164504747299</v>
      </c>
      <c r="AI289" s="17" t="n">
        <f aca="false">SQRT(($B289-AI$270)^2+($C289-AI$271)^2+($D289-AI$272)^2)</f>
        <v>1.99772660742643</v>
      </c>
      <c r="AJ289" s="63" t="n">
        <f aca="false">MATCH(MIN(AE289:AI289),AE289:AI289,0)</f>
        <v>3</v>
      </c>
      <c r="AL289" s="17" t="n">
        <f aca="false">SQRT(($B289-AL$270)^2+($C289-AL$271)^2+($D289-AL$272)^2)</f>
        <v>4.25680499847455</v>
      </c>
      <c r="AM289" s="17" t="n">
        <f aca="false">SQRT(($B289-AM$270)^2+($C289-AM$271)^2+($D289-AM$272)^2)</f>
        <v>3.48682150355639</v>
      </c>
      <c r="AN289" s="17" t="n">
        <f aca="false">SQRT(($B289-AN$270)^2+($C289-AN$271)^2+($D289-AN$272)^2)</f>
        <v>0.655432090561911</v>
      </c>
      <c r="AO289" s="17" t="n">
        <f aca="false">SQRT(($B289-AO$270)^2+($C289-AO$271)^2+($D289-AO$272)^2)</f>
        <v>2.39052101007962</v>
      </c>
      <c r="AP289" s="17" t="n">
        <f aca="false">SQRT(($B289-AP$270)^2+($C289-AP$271)^2+($D289-AP$272)^2)</f>
        <v>1.73484147694918</v>
      </c>
      <c r="AQ289" s="63" t="n">
        <f aca="false">MATCH(MIN(AL289:AP289),AL289:AP289,0)</f>
        <v>3</v>
      </c>
      <c r="AS289" s="17" t="n">
        <f aca="false">SQRT(($B289-AS$270)^2+($C289-AS$271)^2+($D289-AS$272)^2)</f>
        <v>4.25680499847455</v>
      </c>
      <c r="AT289" s="17" t="n">
        <f aca="false">SQRT(($B289-AT$270)^2+($C289-AT$271)^2+($D289-AT$272)^2)</f>
        <v>3.56835064228065</v>
      </c>
      <c r="AU289" s="17" t="n">
        <f aca="false">SQRT(($B289-AU$270)^2+($C289-AU$271)^2+($D289-AU$272)^2)</f>
        <v>0.629219609495854</v>
      </c>
      <c r="AV289" s="17" t="n">
        <f aca="false">SQRT(($B289-AV$270)^2+($C289-AV$271)^2+($D289-AV$272)^2)</f>
        <v>2.39702193718371</v>
      </c>
      <c r="AW289" s="17" t="n">
        <f aca="false">SQRT(($B289-AW$270)^2+($C289-AW$271)^2+($D289-AW$272)^2)</f>
        <v>1.73484147694918</v>
      </c>
      <c r="AX289" s="63" t="n">
        <f aca="false">MATCH(MIN(AS289:AW289),AS289:AW289,0)</f>
        <v>3</v>
      </c>
      <c r="AZ289" s="17" t="n">
        <f aca="false">SQRT(($B289-AZ$270)^2+($C289-AZ$271)^2+($D289-AZ$272)^2)</f>
        <v>4.25680499847455</v>
      </c>
      <c r="BA289" s="17" t="n">
        <f aca="false">SQRT(($B289-BA$270)^2+($C289-BA$271)^2+($D289-BA$272)^2)</f>
        <v>3.56835064228065</v>
      </c>
      <c r="BB289" s="17" t="n">
        <f aca="false">SQRT(($B289-BB$270)^2+($C289-BB$271)^2+($D289-BB$272)^2)</f>
        <v>0.629219609495854</v>
      </c>
      <c r="BC289" s="17" t="n">
        <f aca="false">SQRT(($B289-BC$270)^2+($C289-BC$271)^2+($D289-BC$272)^2)</f>
        <v>2.39702193718371</v>
      </c>
      <c r="BD289" s="17" t="n">
        <f aca="false">SQRT(($B289-BD$270)^2+($C289-BD$271)^2+($D289-BD$272)^2)</f>
        <v>1.73484147694918</v>
      </c>
      <c r="BE289" s="63" t="n">
        <f aca="false">MATCH(MIN(AZ289:BD289),AZ289:BD289,0)</f>
        <v>3</v>
      </c>
      <c r="BG289" s="17" t="n">
        <f aca="false">SQRT(($B289-BG$270)^2+($C289-BG$271)^2+($D289-BG$272)^2)</f>
        <v>4.25680499847455</v>
      </c>
      <c r="BH289" s="17" t="n">
        <f aca="false">SQRT(($B289-BH$270)^2+($C289-BH$271)^2+($D289-BH$272)^2)</f>
        <v>3.56835064228065</v>
      </c>
      <c r="BI289" s="17" t="n">
        <f aca="false">SQRT(($B289-BI$270)^2+($C289-BI$271)^2+($D289-BI$272)^2)</f>
        <v>0.629219609495854</v>
      </c>
      <c r="BJ289" s="17" t="n">
        <f aca="false">SQRT(($B289-BJ$270)^2+($C289-BJ$271)^2+($D289-BJ$272)^2)</f>
        <v>2.39702193718371</v>
      </c>
      <c r="BK289" s="17" t="n">
        <f aca="false">SQRT(($B289-BK$270)^2+($C289-BK$271)^2+($D289-BK$272)^2)</f>
        <v>1.73484147694918</v>
      </c>
      <c r="BL289" s="63" t="n">
        <f aca="false">MATCH(MIN(BG289:BK289),BG289:BK289,0)</f>
        <v>3</v>
      </c>
      <c r="BN289" s="17" t="n">
        <f aca="false">SQRT(($B289-BN$270)^2+($C289-BN$271)^2+($D289-BN$272)^2)</f>
        <v>4.25680499847455</v>
      </c>
      <c r="BO289" s="17" t="n">
        <f aca="false">SQRT(($B289-BO$270)^2+($C289-BO$271)^2+($D289-BO$272)^2)</f>
        <v>3.56835064228065</v>
      </c>
      <c r="BP289" s="17" t="n">
        <f aca="false">SQRT(($B289-BP$270)^2+($C289-BP$271)^2+($D289-BP$272)^2)</f>
        <v>0.629219609495854</v>
      </c>
      <c r="BQ289" s="17" t="n">
        <f aca="false">SQRT(($B289-BQ$270)^2+($C289-BQ$271)^2+($D289-BQ$272)^2)</f>
        <v>2.39702193718371</v>
      </c>
      <c r="BR289" s="17" t="n">
        <f aca="false">SQRT(($B289-BR$270)^2+($C289-BR$271)^2+($D289-BR$272)^2)</f>
        <v>1.73484147694918</v>
      </c>
      <c r="BS289" s="63" t="n">
        <f aca="false">MATCH(MIN(BN289:BR289),BN289:BR289,0)</f>
        <v>3</v>
      </c>
      <c r="BU289" s="17" t="n">
        <f aca="false">SQRT(($B289-BU$270)^2+($C289-BU$271)^2+($D289-BU$272)^2)</f>
        <v>4.25680499847455</v>
      </c>
      <c r="BV289" s="17" t="n">
        <f aca="false">SQRT(($B289-BV$270)^2+($C289-BV$271)^2+($D289-BV$272)^2)</f>
        <v>3.56835064228065</v>
      </c>
      <c r="BW289" s="17" t="n">
        <f aca="false">SQRT(($B289-BW$270)^2+($C289-BW$271)^2+($D289-BW$272)^2)</f>
        <v>0.629219609495854</v>
      </c>
      <c r="BX289" s="17" t="n">
        <f aca="false">SQRT(($B289-BX$270)^2+($C289-BX$271)^2+($D289-BX$272)^2)</f>
        <v>2.39702193718371</v>
      </c>
      <c r="BY289" s="17" t="n">
        <f aca="false">SQRT(($B289-BY$270)^2+($C289-BY$271)^2+($D289-BY$272)^2)</f>
        <v>1.73484147694918</v>
      </c>
      <c r="BZ289" s="63" t="n">
        <f aca="false">MATCH(MIN(BU289:BY289),BU289:BY289,0)</f>
        <v>3</v>
      </c>
      <c r="CB289" s="17" t="n">
        <f aca="false">SQRT(($B289-CB$270)^2+($C289-CB$271)^2+($D289-CB$272)^2)</f>
        <v>4.25680499847455</v>
      </c>
      <c r="CC289" s="17" t="n">
        <f aca="false">SQRT(($B289-CC$270)^2+($C289-CC$271)^2+($D289-CC$272)^2)</f>
        <v>3.56835064228065</v>
      </c>
      <c r="CD289" s="17" t="n">
        <f aca="false">SQRT(($B289-CD$270)^2+($C289-CD$271)^2+($D289-CD$272)^2)</f>
        <v>0.629219609495854</v>
      </c>
      <c r="CE289" s="17" t="n">
        <f aca="false">SQRT(($B289-CE$270)^2+($C289-CE$271)^2+($D289-CE$272)^2)</f>
        <v>2.39702193718371</v>
      </c>
      <c r="CF289" s="17" t="n">
        <f aca="false">SQRT(($B289-CF$270)^2+($C289-CF$271)^2+($D289-CF$272)^2)</f>
        <v>1.73484147694918</v>
      </c>
      <c r="CG289" s="63" t="n">
        <f aca="false">MATCH(MIN(CB289:CF289),CB289:CF289,0)</f>
        <v>3</v>
      </c>
      <c r="CI289" s="17" t="n">
        <f aca="false">SQRT(($B289-CI$270)^2+($C289-CI$271)^2+($D289-CI$272)^2)</f>
        <v>4.25680499847455</v>
      </c>
      <c r="CJ289" s="17" t="n">
        <f aca="false">SQRT(($B289-CJ$270)^2+($C289-CJ$271)^2+($D289-CJ$272)^2)</f>
        <v>3.56835064228065</v>
      </c>
      <c r="CK289" s="17" t="n">
        <f aca="false">SQRT(($B289-CK$270)^2+($C289-CK$271)^2+($D289-CK$272)^2)</f>
        <v>0.629219609495854</v>
      </c>
      <c r="CL289" s="17" t="n">
        <f aca="false">SQRT(($B289-CL$270)^2+($C289-CL$271)^2+($D289-CL$272)^2)</f>
        <v>2.39702193718371</v>
      </c>
      <c r="CM289" s="17" t="n">
        <f aca="false">SQRT(($B289-CM$270)^2+($C289-CM$271)^2+($D289-CM$272)^2)</f>
        <v>1.73484147694918</v>
      </c>
      <c r="CN289" s="63" t="n">
        <f aca="false">MATCH(MIN(CI289:CM289),CI289:CM289,0)</f>
        <v>3</v>
      </c>
      <c r="CP289" s="17" t="n">
        <f aca="false">SQRT(($B289-CP$270)^2+($C289-CP$271)^2+($D289-CP$272)^2)</f>
        <v>4.25680499847455</v>
      </c>
      <c r="CQ289" s="17" t="n">
        <f aca="false">SQRT(($B289-CQ$270)^2+($C289-CQ$271)^2+($D289-CQ$272)^2)</f>
        <v>3.56835064228065</v>
      </c>
      <c r="CR289" s="17" t="n">
        <f aca="false">SQRT(($B289-CR$270)^2+($C289-CR$271)^2+($D289-CR$272)^2)</f>
        <v>0.629219609495854</v>
      </c>
      <c r="CS289" s="17" t="n">
        <f aca="false">SQRT(($B289-CS$270)^2+($C289-CS$271)^2+($D289-CS$272)^2)</f>
        <v>2.39702193718371</v>
      </c>
      <c r="CT289" s="17" t="n">
        <f aca="false">SQRT(($B289-CT$270)^2+($C289-CT$271)^2+($D289-CT$272)^2)</f>
        <v>1.73484147694918</v>
      </c>
      <c r="CU289" s="63" t="n">
        <f aca="false">MATCH(MIN(CP289:CT289),CP289:CT289,0)</f>
        <v>3</v>
      </c>
      <c r="CW289" s="17" t="n">
        <f aca="false">SQRT(($B289-CW$270)^2+($C289-CW$271)^2+($D289-CW$272)^2)</f>
        <v>4.25680499847455</v>
      </c>
      <c r="CX289" s="17" t="n">
        <f aca="false">SQRT(($B289-CX$270)^2+($C289-CX$271)^2+($D289-CX$272)^2)</f>
        <v>3.56835064228065</v>
      </c>
      <c r="CY289" s="17" t="n">
        <f aca="false">SQRT(($B289-CY$270)^2+($C289-CY$271)^2+($D289-CY$272)^2)</f>
        <v>0.629219609495854</v>
      </c>
      <c r="CZ289" s="17" t="n">
        <f aca="false">SQRT(($B289-CZ$270)^2+($C289-CZ$271)^2+($D289-CZ$272)^2)</f>
        <v>2.39702193718371</v>
      </c>
      <c r="DA289" s="17" t="n">
        <f aca="false">SQRT(($B289-DA$270)^2+($C289-DA$271)^2+($D289-DA$272)^2)</f>
        <v>1.73484147694918</v>
      </c>
      <c r="DB289" s="63" t="n">
        <f aca="false">MATCH(MIN(CW289:DA289),CW289:DA289,0)</f>
        <v>3</v>
      </c>
    </row>
    <row r="290" customFormat="false" ht="15" hidden="false" customHeight="false" outlineLevel="0" collapsed="false">
      <c r="A290" s="36" t="str">
        <f aca="false">KMeans_Data!A18</f>
        <v>Larkana</v>
      </c>
      <c r="B290" s="17" t="n">
        <f aca="false">KMeans_Data!H18</f>
        <v>1.03733687213202</v>
      </c>
      <c r="C290" s="17" t="n">
        <f aca="false">KMeans_Data!I18</f>
        <v>0.378684277529216</v>
      </c>
      <c r="D290" s="17" t="n">
        <f aca="false">KMeans_Data!J18</f>
        <v>1.47040463995458</v>
      </c>
      <c r="E290" s="63" t="n">
        <f aca="false">DB290</f>
        <v>3</v>
      </c>
      <c r="F290" s="38" t="n">
        <f aca="false">($B290-INDEX($L$270:$P$270,E290))^2+($C290-INDEX($L$271:$P$271,E290))^2+($D290-INDEX($L$272:$P$272,E290))^2</f>
        <v>0.59110487553722</v>
      </c>
      <c r="G290" s="17" t="n">
        <f aca="false">IF(COUNTIF(Distance_Matrix!$E$11:$DQ$11,$E290)&lt;=1,0,SUMIF(Distance_Matrix!$E$11:$DQ$11,$E290,Distance_Matrix!$E$27:$DQ$27)/(COUNTIF(Distance_Matrix!$E$11:$DQ$11,$E290)-1))</f>
        <v>1.04986191118714</v>
      </c>
      <c r="H290" s="17" t="n">
        <f aca="false">MIN(IF(1=$E290,1E+099,IF(COUNTIF(Distance_Matrix!$E$11:$DQ$11,1)=0,1E+099,SUMIF(Distance_Matrix!$E$11:$DQ$11,1,Distance_Matrix!$E$27:$DQ$27)/COUNTIF(Distance_Matrix!$E$11:$DQ$11,1))),IF(2=$E290,1E+099,IF(COUNTIF(Distance_Matrix!$E$11:$DQ$11,2)=0,1E+099,SUMIF(Distance_Matrix!$E$11:$DQ$11,2,Distance_Matrix!$E$27:$DQ$27)/COUNTIF(Distance_Matrix!$E$11:$DQ$11,2))),IF(3=$E290,1E+099,IF(COUNTIF(Distance_Matrix!$E$11:$DQ$11,3)=0,1E+099,SUMIF(Distance_Matrix!$E$11:$DQ$11,3,Distance_Matrix!$E$27:$DQ$27)/COUNTIF(Distance_Matrix!$E$11:$DQ$11,3))),IF(4=$E290,1E+099,IF(COUNTIF(Distance_Matrix!$E$11:$DQ$11,4)=0,1E+099,SUMIF(Distance_Matrix!$E$11:$DQ$11,4,Distance_Matrix!$E$27:$DQ$27)/COUNTIF(Distance_Matrix!$E$11:$DQ$11,4))),IF(5=$E290,1E+099,IF(COUNTIF(Distance_Matrix!$E$11:$DQ$11,5)=0,1E+099,SUMIF(Distance_Matrix!$E$11:$DQ$11,5,Distance_Matrix!$E$27:$DQ$27)/COUNTIF(Distance_Matrix!$E$11:$DQ$11,5))))</f>
        <v>2.26453183518703</v>
      </c>
      <c r="I290" s="17" t="n">
        <f aca="false">IF(COUNTIF(Distance_Matrix!$E$11:$DQ$11,$E290)&lt;=1,0,(H290-G290)/MAX(G290,H290))</f>
        <v>0.536388981212784</v>
      </c>
      <c r="X290" s="17" t="n">
        <f aca="false">SQRT(($B290-X$270)^2+($C290-X$271)^2+($D290-X$272)^2)</f>
        <v>4.64515792720078</v>
      </c>
      <c r="Y290" s="17" t="n">
        <f aca="false">SQRT(($B290-Y$270)^2+($C290-Y$271)^2+($D290-Y$272)^2)</f>
        <v>4.20299555676564</v>
      </c>
      <c r="Z290" s="17" t="n">
        <f aca="false">SQRT(($B290-Z$270)^2+($C290-Z$271)^2+($D290-Z$272)^2)</f>
        <v>0</v>
      </c>
      <c r="AA290" s="17" t="n">
        <f aca="false">SQRT(($B290-AA$270)^2+($C290-AA$271)^2+($D290-AA$272)^2)</f>
        <v>2.6969311940684</v>
      </c>
      <c r="AB290" s="17" t="n">
        <f aca="false">SQRT(($B290-AB$270)^2+($C290-AB$271)^2+($D290-AB$272)^2)</f>
        <v>2.49878681858911</v>
      </c>
      <c r="AC290" s="63" t="n">
        <f aca="false">MATCH(MIN(X290:AB290),X290:AB290,0)</f>
        <v>3</v>
      </c>
      <c r="AE290" s="17" t="n">
        <f aca="false">SQRT(($B290-AE$270)^2+($C290-AE$271)^2+($D290-AE$272)^2)</f>
        <v>4.58486160461463</v>
      </c>
      <c r="AF290" s="17" t="n">
        <f aca="false">SQRT(($B290-AF$270)^2+($C290-AF$271)^2+($D290-AF$272)^2)</f>
        <v>3.47045685165101</v>
      </c>
      <c r="AG290" s="17" t="n">
        <f aca="false">SQRT(($B290-AG$270)^2+($C290-AG$271)^2+($D290-AG$272)^2)</f>
        <v>0.802576101748821</v>
      </c>
      <c r="AH290" s="17" t="n">
        <f aca="false">SQRT(($B290-AH$270)^2+($C290-AH$271)^2+($D290-AH$272)^2)</f>
        <v>2.42898724312279</v>
      </c>
      <c r="AI290" s="17" t="n">
        <f aca="false">SQRT(($B290-AI$270)^2+($C290-AI$271)^2+($D290-AI$272)^2)</f>
        <v>2.42487093620757</v>
      </c>
      <c r="AJ290" s="63" t="n">
        <f aca="false">MATCH(MIN(AE290:AI290),AE290:AI290,0)</f>
        <v>3</v>
      </c>
      <c r="AL290" s="17" t="n">
        <f aca="false">SQRT(($B290-AL$270)^2+($C290-AL$271)^2+($D290-AL$272)^2)</f>
        <v>4.58486160461463</v>
      </c>
      <c r="AM290" s="17" t="n">
        <f aca="false">SQRT(($B290-AM$270)^2+($C290-AM$271)^2+($D290-AM$272)^2)</f>
        <v>3.49989926222183</v>
      </c>
      <c r="AN290" s="17" t="n">
        <f aca="false">SQRT(($B290-AN$270)^2+($C290-AN$271)^2+($D290-AN$272)^2)</f>
        <v>0.789304986760777</v>
      </c>
      <c r="AO290" s="17" t="n">
        <f aca="false">SQRT(($B290-AO$270)^2+($C290-AO$271)^2+($D290-AO$272)^2)</f>
        <v>2.35243608890598</v>
      </c>
      <c r="AP290" s="17" t="n">
        <f aca="false">SQRT(($B290-AP$270)^2+($C290-AP$271)^2+($D290-AP$272)^2)</f>
        <v>2.19187125856962</v>
      </c>
      <c r="AQ290" s="63" t="n">
        <f aca="false">MATCH(MIN(AL290:AP290),AL290:AP290,0)</f>
        <v>3</v>
      </c>
      <c r="AS290" s="17" t="n">
        <f aca="false">SQRT(($B290-AS$270)^2+($C290-AS$271)^2+($D290-AS$272)^2)</f>
        <v>4.58486160461463</v>
      </c>
      <c r="AT290" s="17" t="n">
        <f aca="false">SQRT(($B290-AT$270)^2+($C290-AT$271)^2+($D290-AT$272)^2)</f>
        <v>3.59104993968845</v>
      </c>
      <c r="AU290" s="17" t="n">
        <f aca="false">SQRT(($B290-AU$270)^2+($C290-AU$271)^2+($D290-AU$272)^2)</f>
        <v>0.768833451104477</v>
      </c>
      <c r="AV290" s="17" t="n">
        <f aca="false">SQRT(($B290-AV$270)^2+($C290-AV$271)^2+($D290-AV$272)^2)</f>
        <v>2.35621807224513</v>
      </c>
      <c r="AW290" s="17" t="n">
        <f aca="false">SQRT(($B290-AW$270)^2+($C290-AW$271)^2+($D290-AW$272)^2)</f>
        <v>2.19187125856962</v>
      </c>
      <c r="AX290" s="63" t="n">
        <f aca="false">MATCH(MIN(AS290:AW290),AS290:AW290,0)</f>
        <v>3</v>
      </c>
      <c r="AZ290" s="17" t="n">
        <f aca="false">SQRT(($B290-AZ$270)^2+($C290-AZ$271)^2+($D290-AZ$272)^2)</f>
        <v>4.58486160461463</v>
      </c>
      <c r="BA290" s="17" t="n">
        <f aca="false">SQRT(($B290-BA$270)^2+($C290-BA$271)^2+($D290-BA$272)^2)</f>
        <v>3.59104993968845</v>
      </c>
      <c r="BB290" s="17" t="n">
        <f aca="false">SQRT(($B290-BB$270)^2+($C290-BB$271)^2+($D290-BB$272)^2)</f>
        <v>0.768833451104477</v>
      </c>
      <c r="BC290" s="17" t="n">
        <f aca="false">SQRT(($B290-BC$270)^2+($C290-BC$271)^2+($D290-BC$272)^2)</f>
        <v>2.35621807224513</v>
      </c>
      <c r="BD290" s="17" t="n">
        <f aca="false">SQRT(($B290-BD$270)^2+($C290-BD$271)^2+($D290-BD$272)^2)</f>
        <v>2.19187125856962</v>
      </c>
      <c r="BE290" s="63" t="n">
        <f aca="false">MATCH(MIN(AZ290:BD290),AZ290:BD290,0)</f>
        <v>3</v>
      </c>
      <c r="BG290" s="17" t="n">
        <f aca="false">SQRT(($B290-BG$270)^2+($C290-BG$271)^2+($D290-BG$272)^2)</f>
        <v>4.58486160461463</v>
      </c>
      <c r="BH290" s="17" t="n">
        <f aca="false">SQRT(($B290-BH$270)^2+($C290-BH$271)^2+($D290-BH$272)^2)</f>
        <v>3.59104993968845</v>
      </c>
      <c r="BI290" s="17" t="n">
        <f aca="false">SQRT(($B290-BI$270)^2+($C290-BI$271)^2+($D290-BI$272)^2)</f>
        <v>0.768833451104477</v>
      </c>
      <c r="BJ290" s="17" t="n">
        <f aca="false">SQRT(($B290-BJ$270)^2+($C290-BJ$271)^2+($D290-BJ$272)^2)</f>
        <v>2.35621807224513</v>
      </c>
      <c r="BK290" s="17" t="n">
        <f aca="false">SQRT(($B290-BK$270)^2+($C290-BK$271)^2+($D290-BK$272)^2)</f>
        <v>2.19187125856962</v>
      </c>
      <c r="BL290" s="63" t="n">
        <f aca="false">MATCH(MIN(BG290:BK290),BG290:BK290,0)</f>
        <v>3</v>
      </c>
      <c r="BN290" s="17" t="n">
        <f aca="false">SQRT(($B290-BN$270)^2+($C290-BN$271)^2+($D290-BN$272)^2)</f>
        <v>4.58486160461463</v>
      </c>
      <c r="BO290" s="17" t="n">
        <f aca="false">SQRT(($B290-BO$270)^2+($C290-BO$271)^2+($D290-BO$272)^2)</f>
        <v>3.59104993968845</v>
      </c>
      <c r="BP290" s="17" t="n">
        <f aca="false">SQRT(($B290-BP$270)^2+($C290-BP$271)^2+($D290-BP$272)^2)</f>
        <v>0.768833451104477</v>
      </c>
      <c r="BQ290" s="17" t="n">
        <f aca="false">SQRT(($B290-BQ$270)^2+($C290-BQ$271)^2+($D290-BQ$272)^2)</f>
        <v>2.35621807224513</v>
      </c>
      <c r="BR290" s="17" t="n">
        <f aca="false">SQRT(($B290-BR$270)^2+($C290-BR$271)^2+($D290-BR$272)^2)</f>
        <v>2.19187125856962</v>
      </c>
      <c r="BS290" s="63" t="n">
        <f aca="false">MATCH(MIN(BN290:BR290),BN290:BR290,0)</f>
        <v>3</v>
      </c>
      <c r="BU290" s="17" t="n">
        <f aca="false">SQRT(($B290-BU$270)^2+($C290-BU$271)^2+($D290-BU$272)^2)</f>
        <v>4.58486160461463</v>
      </c>
      <c r="BV290" s="17" t="n">
        <f aca="false">SQRT(($B290-BV$270)^2+($C290-BV$271)^2+($D290-BV$272)^2)</f>
        <v>3.59104993968845</v>
      </c>
      <c r="BW290" s="17" t="n">
        <f aca="false">SQRT(($B290-BW$270)^2+($C290-BW$271)^2+($D290-BW$272)^2)</f>
        <v>0.768833451104477</v>
      </c>
      <c r="BX290" s="17" t="n">
        <f aca="false">SQRT(($B290-BX$270)^2+($C290-BX$271)^2+($D290-BX$272)^2)</f>
        <v>2.35621807224513</v>
      </c>
      <c r="BY290" s="17" t="n">
        <f aca="false">SQRT(($B290-BY$270)^2+($C290-BY$271)^2+($D290-BY$272)^2)</f>
        <v>2.19187125856962</v>
      </c>
      <c r="BZ290" s="63" t="n">
        <f aca="false">MATCH(MIN(BU290:BY290),BU290:BY290,0)</f>
        <v>3</v>
      </c>
      <c r="CB290" s="17" t="n">
        <f aca="false">SQRT(($B290-CB$270)^2+($C290-CB$271)^2+($D290-CB$272)^2)</f>
        <v>4.58486160461463</v>
      </c>
      <c r="CC290" s="17" t="n">
        <f aca="false">SQRT(($B290-CC$270)^2+($C290-CC$271)^2+($D290-CC$272)^2)</f>
        <v>3.59104993968845</v>
      </c>
      <c r="CD290" s="17" t="n">
        <f aca="false">SQRT(($B290-CD$270)^2+($C290-CD$271)^2+($D290-CD$272)^2)</f>
        <v>0.768833451104477</v>
      </c>
      <c r="CE290" s="17" t="n">
        <f aca="false">SQRT(($B290-CE$270)^2+($C290-CE$271)^2+($D290-CE$272)^2)</f>
        <v>2.35621807224513</v>
      </c>
      <c r="CF290" s="17" t="n">
        <f aca="false">SQRT(($B290-CF$270)^2+($C290-CF$271)^2+($D290-CF$272)^2)</f>
        <v>2.19187125856962</v>
      </c>
      <c r="CG290" s="63" t="n">
        <f aca="false">MATCH(MIN(CB290:CF290),CB290:CF290,0)</f>
        <v>3</v>
      </c>
      <c r="CI290" s="17" t="n">
        <f aca="false">SQRT(($B290-CI$270)^2+($C290-CI$271)^2+($D290-CI$272)^2)</f>
        <v>4.58486160461463</v>
      </c>
      <c r="CJ290" s="17" t="n">
        <f aca="false">SQRT(($B290-CJ$270)^2+($C290-CJ$271)^2+($D290-CJ$272)^2)</f>
        <v>3.59104993968845</v>
      </c>
      <c r="CK290" s="17" t="n">
        <f aca="false">SQRT(($B290-CK$270)^2+($C290-CK$271)^2+($D290-CK$272)^2)</f>
        <v>0.768833451104477</v>
      </c>
      <c r="CL290" s="17" t="n">
        <f aca="false">SQRT(($B290-CL$270)^2+($C290-CL$271)^2+($D290-CL$272)^2)</f>
        <v>2.35621807224513</v>
      </c>
      <c r="CM290" s="17" t="n">
        <f aca="false">SQRT(($B290-CM$270)^2+($C290-CM$271)^2+($D290-CM$272)^2)</f>
        <v>2.19187125856962</v>
      </c>
      <c r="CN290" s="63" t="n">
        <f aca="false">MATCH(MIN(CI290:CM290),CI290:CM290,0)</f>
        <v>3</v>
      </c>
      <c r="CP290" s="17" t="n">
        <f aca="false">SQRT(($B290-CP$270)^2+($C290-CP$271)^2+($D290-CP$272)^2)</f>
        <v>4.58486160461463</v>
      </c>
      <c r="CQ290" s="17" t="n">
        <f aca="false">SQRT(($B290-CQ$270)^2+($C290-CQ$271)^2+($D290-CQ$272)^2)</f>
        <v>3.59104993968845</v>
      </c>
      <c r="CR290" s="17" t="n">
        <f aca="false">SQRT(($B290-CR$270)^2+($C290-CR$271)^2+($D290-CR$272)^2)</f>
        <v>0.768833451104477</v>
      </c>
      <c r="CS290" s="17" t="n">
        <f aca="false">SQRT(($B290-CS$270)^2+($C290-CS$271)^2+($D290-CS$272)^2)</f>
        <v>2.35621807224513</v>
      </c>
      <c r="CT290" s="17" t="n">
        <f aca="false">SQRT(($B290-CT$270)^2+($C290-CT$271)^2+($D290-CT$272)^2)</f>
        <v>2.19187125856962</v>
      </c>
      <c r="CU290" s="63" t="n">
        <f aca="false">MATCH(MIN(CP290:CT290),CP290:CT290,0)</f>
        <v>3</v>
      </c>
      <c r="CW290" s="17" t="n">
        <f aca="false">SQRT(($B290-CW$270)^2+($C290-CW$271)^2+($D290-CW$272)^2)</f>
        <v>4.58486160461463</v>
      </c>
      <c r="CX290" s="17" t="n">
        <f aca="false">SQRT(($B290-CX$270)^2+($C290-CX$271)^2+($D290-CX$272)^2)</f>
        <v>3.59104993968845</v>
      </c>
      <c r="CY290" s="17" t="n">
        <f aca="false">SQRT(($B290-CY$270)^2+($C290-CY$271)^2+($D290-CY$272)^2)</f>
        <v>0.768833451104477</v>
      </c>
      <c r="CZ290" s="17" t="n">
        <f aca="false">SQRT(($B290-CZ$270)^2+($C290-CZ$271)^2+($D290-CZ$272)^2)</f>
        <v>2.35621807224513</v>
      </c>
      <c r="DA290" s="17" t="n">
        <f aca="false">SQRT(($B290-DA$270)^2+($C290-DA$271)^2+($D290-DA$272)^2)</f>
        <v>2.19187125856962</v>
      </c>
      <c r="DB290" s="63" t="n">
        <f aca="false">MATCH(MIN(CW290:DA290),CW290:DA290,0)</f>
        <v>3</v>
      </c>
    </row>
    <row r="291" customFormat="false" ht="15" hidden="false" customHeight="false" outlineLevel="0" collapsed="false">
      <c r="A291" s="36" t="str">
        <f aca="false">KMeans_Data!A19</f>
        <v>Ghotki</v>
      </c>
      <c r="B291" s="17" t="n">
        <f aca="false">KMeans_Data!H19</f>
        <v>1.00781777519734</v>
      </c>
      <c r="C291" s="17" t="n">
        <f aca="false">KMeans_Data!I19</f>
        <v>-0.146983133929529</v>
      </c>
      <c r="D291" s="17" t="n">
        <f aca="false">KMeans_Data!J19</f>
        <v>1.16687696458076</v>
      </c>
      <c r="E291" s="63" t="n">
        <f aca="false">DB291</f>
        <v>3</v>
      </c>
      <c r="F291" s="38" t="n">
        <f aca="false">($B291-INDEX($L$270:$P$270,E291))^2+($C291-INDEX($L$271:$P$271,E291))^2+($D291-INDEX($L$272:$P$272,E291))^2</f>
        <v>0.782524426666429</v>
      </c>
      <c r="G291" s="17" t="n">
        <f aca="false">IF(COUNTIF(Distance_Matrix!$E$11:$DQ$11,$E291)&lt;=1,0,SUMIF(Distance_Matrix!$E$11:$DQ$11,$E291,Distance_Matrix!$E$28:$DQ$28)/(COUNTIF(Distance_Matrix!$E$11:$DQ$11,$E291)-1))</f>
        <v>1.14290800486158</v>
      </c>
      <c r="H291" s="17" t="n">
        <f aca="false">MIN(IF(1=$E291,1E+099,IF(COUNTIF(Distance_Matrix!$E$11:$DQ$11,1)=0,1E+099,SUMIF(Distance_Matrix!$E$11:$DQ$11,1,Distance_Matrix!$E$28:$DQ$28)/COUNTIF(Distance_Matrix!$E$11:$DQ$11,1))),IF(2=$E291,1E+099,IF(COUNTIF(Distance_Matrix!$E$11:$DQ$11,2)=0,1E+099,SUMIF(Distance_Matrix!$E$11:$DQ$11,2,Distance_Matrix!$E$28:$DQ$28)/COUNTIF(Distance_Matrix!$E$11:$DQ$11,2))),IF(3=$E291,1E+099,IF(COUNTIF(Distance_Matrix!$E$11:$DQ$11,3)=0,1E+099,SUMIF(Distance_Matrix!$E$11:$DQ$11,3,Distance_Matrix!$E$28:$DQ$28)/COUNTIF(Distance_Matrix!$E$11:$DQ$11,3))),IF(4=$E291,1E+099,IF(COUNTIF(Distance_Matrix!$E$11:$DQ$11,4)=0,1E+099,SUMIF(Distance_Matrix!$E$11:$DQ$11,4,Distance_Matrix!$E$28:$DQ$28)/COUNTIF(Distance_Matrix!$E$11:$DQ$11,4))),IF(5=$E291,1E+099,IF(COUNTIF(Distance_Matrix!$E$11:$DQ$11,5)=0,1E+099,SUMIF(Distance_Matrix!$E$11:$DQ$11,5,Distance_Matrix!$E$28:$DQ$28)/COUNTIF(Distance_Matrix!$E$11:$DQ$11,5))))</f>
        <v>2.05726068142675</v>
      </c>
      <c r="I291" s="17" t="n">
        <f aca="false">IF(COUNTIF(Distance_Matrix!$E$11:$DQ$11,$E291)&lt;=1,0,(H291-G291)/MAX(G291,H291))</f>
        <v>0.444451539282346</v>
      </c>
      <c r="X291" s="17" t="n">
        <f aca="false">SQRT(($B291-X$270)^2+($C291-X$271)^2+($D291-X$272)^2)</f>
        <v>5.19700942044935</v>
      </c>
      <c r="Y291" s="17" t="n">
        <f aca="false">SQRT(($B291-Y$270)^2+($C291-Y$271)^2+($D291-Y$272)^2)</f>
        <v>3.89320954094829</v>
      </c>
      <c r="Z291" s="17" t="n">
        <f aca="false">SQRT(($B291-Z$270)^2+($C291-Z$271)^2+($D291-Z$272)^2)</f>
        <v>0.607722514204808</v>
      </c>
      <c r="AA291" s="17" t="n">
        <f aca="false">SQRT(($B291-AA$270)^2+($C291-AA$271)^2+($D291-AA$272)^2)</f>
        <v>2.34070556572108</v>
      </c>
      <c r="AB291" s="17" t="n">
        <f aca="false">SQRT(($B291-AB$270)^2+($C291-AB$271)^2+($D291-AB$272)^2)</f>
        <v>3.04186416890981</v>
      </c>
      <c r="AC291" s="63" t="n">
        <f aca="false">MATCH(MIN(X291:AB291),X291:AB291,0)</f>
        <v>3</v>
      </c>
      <c r="AE291" s="17" t="n">
        <f aca="false">SQRT(($B291-AE$270)^2+($C291-AE$271)^2+($D291-AE$272)^2)</f>
        <v>5.13225117774733</v>
      </c>
      <c r="AF291" s="17" t="n">
        <f aca="false">SQRT(($B291-AF$270)^2+($C291-AF$271)^2+($D291-AF$272)^2)</f>
        <v>3.11977153662463</v>
      </c>
      <c r="AG291" s="17" t="n">
        <f aca="false">SQRT(($B291-AG$270)^2+($C291-AG$271)^2+($D291-AG$272)^2)</f>
        <v>0.856264147178311</v>
      </c>
      <c r="AH291" s="17" t="n">
        <f aca="false">SQRT(($B291-AH$270)^2+($C291-AH$271)^2+($D291-AH$272)^2)</f>
        <v>2.02172756364057</v>
      </c>
      <c r="AI291" s="17" t="n">
        <f aca="false">SQRT(($B291-AI$270)^2+($C291-AI$271)^2+($D291-AI$272)^2)</f>
        <v>2.96223559255478</v>
      </c>
      <c r="AJ291" s="63" t="n">
        <f aca="false">MATCH(MIN(AE291:AI291),AE291:AI291,0)</f>
        <v>3</v>
      </c>
      <c r="AL291" s="17" t="n">
        <f aca="false">SQRT(($B291-AL$270)^2+($C291-AL$271)^2+($D291-AL$272)^2)</f>
        <v>5.13225117774733</v>
      </c>
      <c r="AM291" s="17" t="n">
        <f aca="false">SQRT(($B291-AM$270)^2+($C291-AM$271)^2+($D291-AM$272)^2)</f>
        <v>3.14771779415949</v>
      </c>
      <c r="AN291" s="17" t="n">
        <f aca="false">SQRT(($B291-AN$270)^2+($C291-AN$271)^2+($D291-AN$272)^2)</f>
        <v>0.88963155598927</v>
      </c>
      <c r="AO291" s="17" t="n">
        <f aca="false">SQRT(($B291-AO$270)^2+($C291-AO$271)^2+($D291-AO$272)^2)</f>
        <v>1.94083911885338</v>
      </c>
      <c r="AP291" s="17" t="n">
        <f aca="false">SQRT(($B291-AP$270)^2+($C291-AP$271)^2+($D291-AP$272)^2)</f>
        <v>2.72955511167768</v>
      </c>
      <c r="AQ291" s="63" t="n">
        <f aca="false">MATCH(MIN(AL291:AP291),AL291:AP291,0)</f>
        <v>3</v>
      </c>
      <c r="AS291" s="17" t="n">
        <f aca="false">SQRT(($B291-AS$270)^2+($C291-AS$271)^2+($D291-AS$272)^2)</f>
        <v>5.13225117774733</v>
      </c>
      <c r="AT291" s="17" t="n">
        <f aca="false">SQRT(($B291-AT$270)^2+($C291-AT$271)^2+($D291-AT$272)^2)</f>
        <v>3.24045499459421</v>
      </c>
      <c r="AU291" s="17" t="n">
        <f aca="false">SQRT(($B291-AU$270)^2+($C291-AU$271)^2+($D291-AU$272)^2)</f>
        <v>0.884604107308139</v>
      </c>
      <c r="AV291" s="17" t="n">
        <f aca="false">SQRT(($B291-AV$270)^2+($C291-AV$271)^2+($D291-AV$272)^2)</f>
        <v>1.94926879601215</v>
      </c>
      <c r="AW291" s="17" t="n">
        <f aca="false">SQRT(($B291-AW$270)^2+($C291-AW$271)^2+($D291-AW$272)^2)</f>
        <v>2.72955511167768</v>
      </c>
      <c r="AX291" s="63" t="n">
        <f aca="false">MATCH(MIN(AS291:AW291),AS291:AW291,0)</f>
        <v>3</v>
      </c>
      <c r="AZ291" s="17" t="n">
        <f aca="false">SQRT(($B291-AZ$270)^2+($C291-AZ$271)^2+($D291-AZ$272)^2)</f>
        <v>5.13225117774733</v>
      </c>
      <c r="BA291" s="17" t="n">
        <f aca="false">SQRT(($B291-BA$270)^2+($C291-BA$271)^2+($D291-BA$272)^2)</f>
        <v>3.24045499459421</v>
      </c>
      <c r="BB291" s="17" t="n">
        <f aca="false">SQRT(($B291-BB$270)^2+($C291-BB$271)^2+($D291-BB$272)^2)</f>
        <v>0.884604107308139</v>
      </c>
      <c r="BC291" s="17" t="n">
        <f aca="false">SQRT(($B291-BC$270)^2+($C291-BC$271)^2+($D291-BC$272)^2)</f>
        <v>1.94926879601215</v>
      </c>
      <c r="BD291" s="17" t="n">
        <f aca="false">SQRT(($B291-BD$270)^2+($C291-BD$271)^2+($D291-BD$272)^2)</f>
        <v>2.72955511167768</v>
      </c>
      <c r="BE291" s="63" t="n">
        <f aca="false">MATCH(MIN(AZ291:BD291),AZ291:BD291,0)</f>
        <v>3</v>
      </c>
      <c r="BG291" s="17" t="n">
        <f aca="false">SQRT(($B291-BG$270)^2+($C291-BG$271)^2+($D291-BG$272)^2)</f>
        <v>5.13225117774733</v>
      </c>
      <c r="BH291" s="17" t="n">
        <f aca="false">SQRT(($B291-BH$270)^2+($C291-BH$271)^2+($D291-BH$272)^2)</f>
        <v>3.24045499459421</v>
      </c>
      <c r="BI291" s="17" t="n">
        <f aca="false">SQRT(($B291-BI$270)^2+($C291-BI$271)^2+($D291-BI$272)^2)</f>
        <v>0.884604107308139</v>
      </c>
      <c r="BJ291" s="17" t="n">
        <f aca="false">SQRT(($B291-BJ$270)^2+($C291-BJ$271)^2+($D291-BJ$272)^2)</f>
        <v>1.94926879601215</v>
      </c>
      <c r="BK291" s="17" t="n">
        <f aca="false">SQRT(($B291-BK$270)^2+($C291-BK$271)^2+($D291-BK$272)^2)</f>
        <v>2.72955511167768</v>
      </c>
      <c r="BL291" s="63" t="n">
        <f aca="false">MATCH(MIN(BG291:BK291),BG291:BK291,0)</f>
        <v>3</v>
      </c>
      <c r="BN291" s="17" t="n">
        <f aca="false">SQRT(($B291-BN$270)^2+($C291-BN$271)^2+($D291-BN$272)^2)</f>
        <v>5.13225117774733</v>
      </c>
      <c r="BO291" s="17" t="n">
        <f aca="false">SQRT(($B291-BO$270)^2+($C291-BO$271)^2+($D291-BO$272)^2)</f>
        <v>3.24045499459421</v>
      </c>
      <c r="BP291" s="17" t="n">
        <f aca="false">SQRT(($B291-BP$270)^2+($C291-BP$271)^2+($D291-BP$272)^2)</f>
        <v>0.884604107308139</v>
      </c>
      <c r="BQ291" s="17" t="n">
        <f aca="false">SQRT(($B291-BQ$270)^2+($C291-BQ$271)^2+($D291-BQ$272)^2)</f>
        <v>1.94926879601215</v>
      </c>
      <c r="BR291" s="17" t="n">
        <f aca="false">SQRT(($B291-BR$270)^2+($C291-BR$271)^2+($D291-BR$272)^2)</f>
        <v>2.72955511167768</v>
      </c>
      <c r="BS291" s="63" t="n">
        <f aca="false">MATCH(MIN(BN291:BR291),BN291:BR291,0)</f>
        <v>3</v>
      </c>
      <c r="BU291" s="17" t="n">
        <f aca="false">SQRT(($B291-BU$270)^2+($C291-BU$271)^2+($D291-BU$272)^2)</f>
        <v>5.13225117774733</v>
      </c>
      <c r="BV291" s="17" t="n">
        <f aca="false">SQRT(($B291-BV$270)^2+($C291-BV$271)^2+($D291-BV$272)^2)</f>
        <v>3.24045499459421</v>
      </c>
      <c r="BW291" s="17" t="n">
        <f aca="false">SQRT(($B291-BW$270)^2+($C291-BW$271)^2+($D291-BW$272)^2)</f>
        <v>0.884604107308139</v>
      </c>
      <c r="BX291" s="17" t="n">
        <f aca="false">SQRT(($B291-BX$270)^2+($C291-BX$271)^2+($D291-BX$272)^2)</f>
        <v>1.94926879601215</v>
      </c>
      <c r="BY291" s="17" t="n">
        <f aca="false">SQRT(($B291-BY$270)^2+($C291-BY$271)^2+($D291-BY$272)^2)</f>
        <v>2.72955511167768</v>
      </c>
      <c r="BZ291" s="63" t="n">
        <f aca="false">MATCH(MIN(BU291:BY291),BU291:BY291,0)</f>
        <v>3</v>
      </c>
      <c r="CB291" s="17" t="n">
        <f aca="false">SQRT(($B291-CB$270)^2+($C291-CB$271)^2+($D291-CB$272)^2)</f>
        <v>5.13225117774733</v>
      </c>
      <c r="CC291" s="17" t="n">
        <f aca="false">SQRT(($B291-CC$270)^2+($C291-CC$271)^2+($D291-CC$272)^2)</f>
        <v>3.24045499459421</v>
      </c>
      <c r="CD291" s="17" t="n">
        <f aca="false">SQRT(($B291-CD$270)^2+($C291-CD$271)^2+($D291-CD$272)^2)</f>
        <v>0.884604107308139</v>
      </c>
      <c r="CE291" s="17" t="n">
        <f aca="false">SQRT(($B291-CE$270)^2+($C291-CE$271)^2+($D291-CE$272)^2)</f>
        <v>1.94926879601215</v>
      </c>
      <c r="CF291" s="17" t="n">
        <f aca="false">SQRT(($B291-CF$270)^2+($C291-CF$271)^2+($D291-CF$272)^2)</f>
        <v>2.72955511167768</v>
      </c>
      <c r="CG291" s="63" t="n">
        <f aca="false">MATCH(MIN(CB291:CF291),CB291:CF291,0)</f>
        <v>3</v>
      </c>
      <c r="CI291" s="17" t="n">
        <f aca="false">SQRT(($B291-CI$270)^2+($C291-CI$271)^2+($D291-CI$272)^2)</f>
        <v>5.13225117774733</v>
      </c>
      <c r="CJ291" s="17" t="n">
        <f aca="false">SQRT(($B291-CJ$270)^2+($C291-CJ$271)^2+($D291-CJ$272)^2)</f>
        <v>3.24045499459421</v>
      </c>
      <c r="CK291" s="17" t="n">
        <f aca="false">SQRT(($B291-CK$270)^2+($C291-CK$271)^2+($D291-CK$272)^2)</f>
        <v>0.884604107308139</v>
      </c>
      <c r="CL291" s="17" t="n">
        <f aca="false">SQRT(($B291-CL$270)^2+($C291-CL$271)^2+($D291-CL$272)^2)</f>
        <v>1.94926879601215</v>
      </c>
      <c r="CM291" s="17" t="n">
        <f aca="false">SQRT(($B291-CM$270)^2+($C291-CM$271)^2+($D291-CM$272)^2)</f>
        <v>2.72955511167768</v>
      </c>
      <c r="CN291" s="63" t="n">
        <f aca="false">MATCH(MIN(CI291:CM291),CI291:CM291,0)</f>
        <v>3</v>
      </c>
      <c r="CP291" s="17" t="n">
        <f aca="false">SQRT(($B291-CP$270)^2+($C291-CP$271)^2+($D291-CP$272)^2)</f>
        <v>5.13225117774733</v>
      </c>
      <c r="CQ291" s="17" t="n">
        <f aca="false">SQRT(($B291-CQ$270)^2+($C291-CQ$271)^2+($D291-CQ$272)^2)</f>
        <v>3.24045499459421</v>
      </c>
      <c r="CR291" s="17" t="n">
        <f aca="false">SQRT(($B291-CR$270)^2+($C291-CR$271)^2+($D291-CR$272)^2)</f>
        <v>0.884604107308139</v>
      </c>
      <c r="CS291" s="17" t="n">
        <f aca="false">SQRT(($B291-CS$270)^2+($C291-CS$271)^2+($D291-CS$272)^2)</f>
        <v>1.94926879601215</v>
      </c>
      <c r="CT291" s="17" t="n">
        <f aca="false">SQRT(($B291-CT$270)^2+($C291-CT$271)^2+($D291-CT$272)^2)</f>
        <v>2.72955511167768</v>
      </c>
      <c r="CU291" s="63" t="n">
        <f aca="false">MATCH(MIN(CP291:CT291),CP291:CT291,0)</f>
        <v>3</v>
      </c>
      <c r="CW291" s="17" t="n">
        <f aca="false">SQRT(($B291-CW$270)^2+($C291-CW$271)^2+($D291-CW$272)^2)</f>
        <v>5.13225117774733</v>
      </c>
      <c r="CX291" s="17" t="n">
        <f aca="false">SQRT(($B291-CX$270)^2+($C291-CX$271)^2+($D291-CX$272)^2)</f>
        <v>3.24045499459421</v>
      </c>
      <c r="CY291" s="17" t="n">
        <f aca="false">SQRT(($B291-CY$270)^2+($C291-CY$271)^2+($D291-CY$272)^2)</f>
        <v>0.884604107308139</v>
      </c>
      <c r="CZ291" s="17" t="n">
        <f aca="false">SQRT(($B291-CZ$270)^2+($C291-CZ$271)^2+($D291-CZ$272)^2)</f>
        <v>1.94926879601215</v>
      </c>
      <c r="DA291" s="17" t="n">
        <f aca="false">SQRT(($B291-DA$270)^2+($C291-DA$271)^2+($D291-DA$272)^2)</f>
        <v>2.72955511167768</v>
      </c>
      <c r="DB291" s="63" t="n">
        <f aca="false">MATCH(MIN(CW291:DA291),CW291:DA291,0)</f>
        <v>3</v>
      </c>
    </row>
    <row r="292" customFormat="false" ht="15" hidden="false" customHeight="false" outlineLevel="0" collapsed="false">
      <c r="A292" s="36" t="str">
        <f aca="false">KMeans_Data!A20</f>
        <v>Dir Lower</v>
      </c>
      <c r="B292" s="17" t="n">
        <f aca="false">KMeans_Data!H20</f>
        <v>0.970625526957299</v>
      </c>
      <c r="C292" s="17" t="n">
        <f aca="false">KMeans_Data!I20</f>
        <v>0.993675724638266</v>
      </c>
      <c r="D292" s="17" t="n">
        <f aca="false">KMeans_Data!J20</f>
        <v>0.997526228800629</v>
      </c>
      <c r="E292" s="63" t="n">
        <f aca="false">DB292</f>
        <v>3</v>
      </c>
      <c r="F292" s="38" t="n">
        <f aca="false">($B292-INDEX($L$270:$P$270,E292))^2+($C292-INDEX($L$271:$P$271,E292))^2+($D292-INDEX($L$272:$P$272,E292))^2</f>
        <v>0.310318720560062</v>
      </c>
      <c r="G292" s="17" t="n">
        <f aca="false">IF(COUNTIF(Distance_Matrix!$E$11:$DQ$11,$E292)&lt;=1,0,SUMIF(Distance_Matrix!$E$11:$DQ$11,$E292,Distance_Matrix!$E$29:$DQ$29)/(COUNTIF(Distance_Matrix!$E$11:$DQ$11,$E292)-1))</f>
        <v>0.87987405714831</v>
      </c>
      <c r="H292" s="17" t="n">
        <f aca="false">MIN(IF(1=$E292,1E+099,IF(COUNTIF(Distance_Matrix!$E$11:$DQ$11,1)=0,1E+099,SUMIF(Distance_Matrix!$E$11:$DQ$11,1,Distance_Matrix!$E$29:$DQ$29)/COUNTIF(Distance_Matrix!$E$11:$DQ$11,1))),IF(2=$E292,1E+099,IF(COUNTIF(Distance_Matrix!$E$11:$DQ$11,2)=0,1E+099,SUMIF(Distance_Matrix!$E$11:$DQ$11,2,Distance_Matrix!$E$29:$DQ$29)/COUNTIF(Distance_Matrix!$E$11:$DQ$11,2))),IF(3=$E292,1E+099,IF(COUNTIF(Distance_Matrix!$E$11:$DQ$11,3)=0,1E+099,SUMIF(Distance_Matrix!$E$11:$DQ$11,3,Distance_Matrix!$E$29:$DQ$29)/COUNTIF(Distance_Matrix!$E$11:$DQ$11,3))),IF(4=$E292,1E+099,IF(COUNTIF(Distance_Matrix!$E$11:$DQ$11,4)=0,1E+099,SUMIF(Distance_Matrix!$E$11:$DQ$11,4,Distance_Matrix!$E$29:$DQ$29)/COUNTIF(Distance_Matrix!$E$11:$DQ$11,4))),IF(5=$E292,1E+099,IF(COUNTIF(Distance_Matrix!$E$11:$DQ$11,5)=0,1E+099,SUMIF(Distance_Matrix!$E$11:$DQ$11,5,Distance_Matrix!$E$29:$DQ$29)/COUNTIF(Distance_Matrix!$E$11:$DQ$11,5))))</f>
        <v>1.86233877882955</v>
      </c>
      <c r="I292" s="17" t="n">
        <f aca="false">IF(COUNTIF(Distance_Matrix!$E$11:$DQ$11,$E292)&lt;=1,0,(H292-G292)/MAX(G292,H292))</f>
        <v>0.527543502207856</v>
      </c>
      <c r="X292" s="17" t="n">
        <f aca="false">SQRT(($B292-X$270)^2+($C292-X$271)^2+($D292-X$272)^2)</f>
        <v>4.43462744470065</v>
      </c>
      <c r="Y292" s="17" t="n">
        <f aca="false">SQRT(($B292-Y$270)^2+($C292-Y$271)^2+($D292-Y$272)^2)</f>
        <v>4.08344706124881</v>
      </c>
      <c r="Z292" s="17" t="n">
        <f aca="false">SQRT(($B292-Z$270)^2+($C292-Z$271)^2+($D292-Z$272)^2)</f>
        <v>0.778639117517089</v>
      </c>
      <c r="AA292" s="17" t="n">
        <f aca="false">SQRT(($B292-AA$270)^2+($C292-AA$271)^2+($D292-AA$272)^2)</f>
        <v>2.44946440401815</v>
      </c>
      <c r="AB292" s="17" t="n">
        <f aca="false">SQRT(($B292-AB$270)^2+($C292-AB$271)^2+($D292-AB$272)^2)</f>
        <v>2.35039144528428</v>
      </c>
      <c r="AC292" s="63" t="n">
        <f aca="false">MATCH(MIN(X292:AB292),X292:AB292,0)</f>
        <v>3</v>
      </c>
      <c r="AE292" s="17" t="n">
        <f aca="false">SQRT(($B292-AE$270)^2+($C292-AE$271)^2+($D292-AE$272)^2)</f>
        <v>4.33181594539649</v>
      </c>
      <c r="AF292" s="17" t="n">
        <f aca="false">SQRT(($B292-AF$270)^2+($C292-AF$271)^2+($D292-AF$272)^2)</f>
        <v>3.36767941608384</v>
      </c>
      <c r="AG292" s="17" t="n">
        <f aca="false">SQRT(($B292-AG$270)^2+($C292-AG$271)^2+($D292-AG$272)^2)</f>
        <v>0.667275093325593</v>
      </c>
      <c r="AH292" s="17" t="n">
        <f aca="false">SQRT(($B292-AH$270)^2+($C292-AH$271)^2+($D292-AH$272)^2)</f>
        <v>2.35589176639654</v>
      </c>
      <c r="AI292" s="17" t="n">
        <f aca="false">SQRT(($B292-AI$270)^2+($C292-AI$271)^2+($D292-AI$272)^2)</f>
        <v>2.06676964616074</v>
      </c>
      <c r="AJ292" s="63" t="n">
        <f aca="false">MATCH(MIN(AE292:AI292),AE292:AI292,0)</f>
        <v>3</v>
      </c>
      <c r="AL292" s="17" t="n">
        <f aca="false">SQRT(($B292-AL$270)^2+($C292-AL$271)^2+($D292-AL$272)^2)</f>
        <v>4.33181594539649</v>
      </c>
      <c r="AM292" s="17" t="n">
        <f aca="false">SQRT(($B292-AM$270)^2+($C292-AM$271)^2+($D292-AM$272)^2)</f>
        <v>3.39116523021325</v>
      </c>
      <c r="AN292" s="17" t="n">
        <f aca="false">SQRT(($B292-AN$270)^2+($C292-AN$271)^2+($D292-AN$272)^2)</f>
        <v>0.581842353151403</v>
      </c>
      <c r="AO292" s="17" t="n">
        <f aca="false">SQRT(($B292-AO$270)^2+($C292-AO$271)^2+($D292-AO$272)^2)</f>
        <v>2.30646229532619</v>
      </c>
      <c r="AP292" s="17" t="n">
        <f aca="false">SQRT(($B292-AP$270)^2+($C292-AP$271)^2+($D292-AP$272)^2)</f>
        <v>1.80052263918896</v>
      </c>
      <c r="AQ292" s="63" t="n">
        <f aca="false">MATCH(MIN(AL292:AP292),AL292:AP292,0)</f>
        <v>3</v>
      </c>
      <c r="AS292" s="17" t="n">
        <f aca="false">SQRT(($B292-AS$270)^2+($C292-AS$271)^2+($D292-AS$272)^2)</f>
        <v>4.33181594539649</v>
      </c>
      <c r="AT292" s="17" t="n">
        <f aca="false">SQRT(($B292-AT$270)^2+($C292-AT$271)^2+($D292-AT$272)^2)</f>
        <v>3.47188444399479</v>
      </c>
      <c r="AU292" s="17" t="n">
        <f aca="false">SQRT(($B292-AU$270)^2+($C292-AU$271)^2+($D292-AU$272)^2)</f>
        <v>0.55706258226528</v>
      </c>
      <c r="AV292" s="17" t="n">
        <f aca="false">SQRT(($B292-AV$270)^2+($C292-AV$271)^2+($D292-AV$272)^2)</f>
        <v>2.31253216747911</v>
      </c>
      <c r="AW292" s="17" t="n">
        <f aca="false">SQRT(($B292-AW$270)^2+($C292-AW$271)^2+($D292-AW$272)^2)</f>
        <v>1.80052263918896</v>
      </c>
      <c r="AX292" s="63" t="n">
        <f aca="false">MATCH(MIN(AS292:AW292),AS292:AW292,0)</f>
        <v>3</v>
      </c>
      <c r="AZ292" s="17" t="n">
        <f aca="false">SQRT(($B292-AZ$270)^2+($C292-AZ$271)^2+($D292-AZ$272)^2)</f>
        <v>4.33181594539649</v>
      </c>
      <c r="BA292" s="17" t="n">
        <f aca="false">SQRT(($B292-BA$270)^2+($C292-BA$271)^2+($D292-BA$272)^2)</f>
        <v>3.47188444399479</v>
      </c>
      <c r="BB292" s="17" t="n">
        <f aca="false">SQRT(($B292-BB$270)^2+($C292-BB$271)^2+($D292-BB$272)^2)</f>
        <v>0.55706258226528</v>
      </c>
      <c r="BC292" s="17" t="n">
        <f aca="false">SQRT(($B292-BC$270)^2+($C292-BC$271)^2+($D292-BC$272)^2)</f>
        <v>2.31253216747911</v>
      </c>
      <c r="BD292" s="17" t="n">
        <f aca="false">SQRT(($B292-BD$270)^2+($C292-BD$271)^2+($D292-BD$272)^2)</f>
        <v>1.80052263918896</v>
      </c>
      <c r="BE292" s="63" t="n">
        <f aca="false">MATCH(MIN(AZ292:BD292),AZ292:BD292,0)</f>
        <v>3</v>
      </c>
      <c r="BG292" s="17" t="n">
        <f aca="false">SQRT(($B292-BG$270)^2+($C292-BG$271)^2+($D292-BG$272)^2)</f>
        <v>4.33181594539649</v>
      </c>
      <c r="BH292" s="17" t="n">
        <f aca="false">SQRT(($B292-BH$270)^2+($C292-BH$271)^2+($D292-BH$272)^2)</f>
        <v>3.47188444399479</v>
      </c>
      <c r="BI292" s="17" t="n">
        <f aca="false">SQRT(($B292-BI$270)^2+($C292-BI$271)^2+($D292-BI$272)^2)</f>
        <v>0.55706258226528</v>
      </c>
      <c r="BJ292" s="17" t="n">
        <f aca="false">SQRT(($B292-BJ$270)^2+($C292-BJ$271)^2+($D292-BJ$272)^2)</f>
        <v>2.31253216747911</v>
      </c>
      <c r="BK292" s="17" t="n">
        <f aca="false">SQRT(($B292-BK$270)^2+($C292-BK$271)^2+($D292-BK$272)^2)</f>
        <v>1.80052263918896</v>
      </c>
      <c r="BL292" s="63" t="n">
        <f aca="false">MATCH(MIN(BG292:BK292),BG292:BK292,0)</f>
        <v>3</v>
      </c>
      <c r="BN292" s="17" t="n">
        <f aca="false">SQRT(($B292-BN$270)^2+($C292-BN$271)^2+($D292-BN$272)^2)</f>
        <v>4.33181594539649</v>
      </c>
      <c r="BO292" s="17" t="n">
        <f aca="false">SQRT(($B292-BO$270)^2+($C292-BO$271)^2+($D292-BO$272)^2)</f>
        <v>3.47188444399479</v>
      </c>
      <c r="BP292" s="17" t="n">
        <f aca="false">SQRT(($B292-BP$270)^2+($C292-BP$271)^2+($D292-BP$272)^2)</f>
        <v>0.55706258226528</v>
      </c>
      <c r="BQ292" s="17" t="n">
        <f aca="false">SQRT(($B292-BQ$270)^2+($C292-BQ$271)^2+($D292-BQ$272)^2)</f>
        <v>2.31253216747911</v>
      </c>
      <c r="BR292" s="17" t="n">
        <f aca="false">SQRT(($B292-BR$270)^2+($C292-BR$271)^2+($D292-BR$272)^2)</f>
        <v>1.80052263918896</v>
      </c>
      <c r="BS292" s="63" t="n">
        <f aca="false">MATCH(MIN(BN292:BR292),BN292:BR292,0)</f>
        <v>3</v>
      </c>
      <c r="BU292" s="17" t="n">
        <f aca="false">SQRT(($B292-BU$270)^2+($C292-BU$271)^2+($D292-BU$272)^2)</f>
        <v>4.33181594539649</v>
      </c>
      <c r="BV292" s="17" t="n">
        <f aca="false">SQRT(($B292-BV$270)^2+($C292-BV$271)^2+($D292-BV$272)^2)</f>
        <v>3.47188444399479</v>
      </c>
      <c r="BW292" s="17" t="n">
        <f aca="false">SQRT(($B292-BW$270)^2+($C292-BW$271)^2+($D292-BW$272)^2)</f>
        <v>0.55706258226528</v>
      </c>
      <c r="BX292" s="17" t="n">
        <f aca="false">SQRT(($B292-BX$270)^2+($C292-BX$271)^2+($D292-BX$272)^2)</f>
        <v>2.31253216747911</v>
      </c>
      <c r="BY292" s="17" t="n">
        <f aca="false">SQRT(($B292-BY$270)^2+($C292-BY$271)^2+($D292-BY$272)^2)</f>
        <v>1.80052263918896</v>
      </c>
      <c r="BZ292" s="63" t="n">
        <f aca="false">MATCH(MIN(BU292:BY292),BU292:BY292,0)</f>
        <v>3</v>
      </c>
      <c r="CB292" s="17" t="n">
        <f aca="false">SQRT(($B292-CB$270)^2+($C292-CB$271)^2+($D292-CB$272)^2)</f>
        <v>4.33181594539649</v>
      </c>
      <c r="CC292" s="17" t="n">
        <f aca="false">SQRT(($B292-CC$270)^2+($C292-CC$271)^2+($D292-CC$272)^2)</f>
        <v>3.47188444399479</v>
      </c>
      <c r="CD292" s="17" t="n">
        <f aca="false">SQRT(($B292-CD$270)^2+($C292-CD$271)^2+($D292-CD$272)^2)</f>
        <v>0.55706258226528</v>
      </c>
      <c r="CE292" s="17" t="n">
        <f aca="false">SQRT(($B292-CE$270)^2+($C292-CE$271)^2+($D292-CE$272)^2)</f>
        <v>2.31253216747911</v>
      </c>
      <c r="CF292" s="17" t="n">
        <f aca="false">SQRT(($B292-CF$270)^2+($C292-CF$271)^2+($D292-CF$272)^2)</f>
        <v>1.80052263918896</v>
      </c>
      <c r="CG292" s="63" t="n">
        <f aca="false">MATCH(MIN(CB292:CF292),CB292:CF292,0)</f>
        <v>3</v>
      </c>
      <c r="CI292" s="17" t="n">
        <f aca="false">SQRT(($B292-CI$270)^2+($C292-CI$271)^2+($D292-CI$272)^2)</f>
        <v>4.33181594539649</v>
      </c>
      <c r="CJ292" s="17" t="n">
        <f aca="false">SQRT(($B292-CJ$270)^2+($C292-CJ$271)^2+($D292-CJ$272)^2)</f>
        <v>3.47188444399479</v>
      </c>
      <c r="CK292" s="17" t="n">
        <f aca="false">SQRT(($B292-CK$270)^2+($C292-CK$271)^2+($D292-CK$272)^2)</f>
        <v>0.55706258226528</v>
      </c>
      <c r="CL292" s="17" t="n">
        <f aca="false">SQRT(($B292-CL$270)^2+($C292-CL$271)^2+($D292-CL$272)^2)</f>
        <v>2.31253216747911</v>
      </c>
      <c r="CM292" s="17" t="n">
        <f aca="false">SQRT(($B292-CM$270)^2+($C292-CM$271)^2+($D292-CM$272)^2)</f>
        <v>1.80052263918896</v>
      </c>
      <c r="CN292" s="63" t="n">
        <f aca="false">MATCH(MIN(CI292:CM292),CI292:CM292,0)</f>
        <v>3</v>
      </c>
      <c r="CP292" s="17" t="n">
        <f aca="false">SQRT(($B292-CP$270)^2+($C292-CP$271)^2+($D292-CP$272)^2)</f>
        <v>4.33181594539649</v>
      </c>
      <c r="CQ292" s="17" t="n">
        <f aca="false">SQRT(($B292-CQ$270)^2+($C292-CQ$271)^2+($D292-CQ$272)^2)</f>
        <v>3.47188444399479</v>
      </c>
      <c r="CR292" s="17" t="n">
        <f aca="false">SQRT(($B292-CR$270)^2+($C292-CR$271)^2+($D292-CR$272)^2)</f>
        <v>0.55706258226528</v>
      </c>
      <c r="CS292" s="17" t="n">
        <f aca="false">SQRT(($B292-CS$270)^2+($C292-CS$271)^2+($D292-CS$272)^2)</f>
        <v>2.31253216747911</v>
      </c>
      <c r="CT292" s="17" t="n">
        <f aca="false">SQRT(($B292-CT$270)^2+($C292-CT$271)^2+($D292-CT$272)^2)</f>
        <v>1.80052263918896</v>
      </c>
      <c r="CU292" s="63" t="n">
        <f aca="false">MATCH(MIN(CP292:CT292),CP292:CT292,0)</f>
        <v>3</v>
      </c>
      <c r="CW292" s="17" t="n">
        <f aca="false">SQRT(($B292-CW$270)^2+($C292-CW$271)^2+($D292-CW$272)^2)</f>
        <v>4.33181594539649</v>
      </c>
      <c r="CX292" s="17" t="n">
        <f aca="false">SQRT(($B292-CX$270)^2+($C292-CX$271)^2+($D292-CX$272)^2)</f>
        <v>3.47188444399479</v>
      </c>
      <c r="CY292" s="17" t="n">
        <f aca="false">SQRT(($B292-CY$270)^2+($C292-CY$271)^2+($D292-CY$272)^2)</f>
        <v>0.55706258226528</v>
      </c>
      <c r="CZ292" s="17" t="n">
        <f aca="false">SQRT(($B292-CZ$270)^2+($C292-CZ$271)^2+($D292-CZ$272)^2)</f>
        <v>2.31253216747911</v>
      </c>
      <c r="DA292" s="17" t="n">
        <f aca="false">SQRT(($B292-DA$270)^2+($C292-DA$271)^2+($D292-DA$272)^2)</f>
        <v>1.80052263918896</v>
      </c>
      <c r="DB292" s="63" t="n">
        <f aca="false">MATCH(MIN(CW292:DA292),CW292:DA292,0)</f>
        <v>3</v>
      </c>
    </row>
    <row r="293" customFormat="false" ht="15" hidden="false" customHeight="false" outlineLevel="0" collapsed="false">
      <c r="A293" s="36" t="str">
        <f aca="false">KMeans_Data!A21</f>
        <v>Khairpur</v>
      </c>
      <c r="B293" s="17" t="n">
        <f aca="false">KMeans_Data!H21</f>
        <v>0.88016218188859</v>
      </c>
      <c r="C293" s="17" t="n">
        <f aca="false">KMeans_Data!I21</f>
        <v>0.378684277529216</v>
      </c>
      <c r="D293" s="17" t="n">
        <f aca="false">KMeans_Data!J21</f>
        <v>1.58320837987195</v>
      </c>
      <c r="E293" s="63" t="n">
        <f aca="false">DB293</f>
        <v>3</v>
      </c>
      <c r="F293" s="38" t="n">
        <f aca="false">($B293-INDEX($L$270:$P$270,E293))^2+($C293-INDEX($L$271:$P$271,E293))^2+($D293-INDEX($L$272:$P$272,E293))^2</f>
        <v>0.634173595300917</v>
      </c>
      <c r="G293" s="17" t="n">
        <f aca="false">IF(COUNTIF(Distance_Matrix!$E$11:$DQ$11,$E293)&lt;=1,0,SUMIF(Distance_Matrix!$E$11:$DQ$11,$E293,Distance_Matrix!$E$30:$DQ$30)/(COUNTIF(Distance_Matrix!$E$11:$DQ$11,$E293)-1))</f>
        <v>1.07384233223918</v>
      </c>
      <c r="H293" s="17" t="n">
        <f aca="false">MIN(IF(1=$E293,1E+099,IF(COUNTIF(Distance_Matrix!$E$11:$DQ$11,1)=0,1E+099,SUMIF(Distance_Matrix!$E$11:$DQ$11,1,Distance_Matrix!$E$30:$DQ$30)/COUNTIF(Distance_Matrix!$E$11:$DQ$11,1))),IF(2=$E293,1E+099,IF(COUNTIF(Distance_Matrix!$E$11:$DQ$11,2)=0,1E+099,SUMIF(Distance_Matrix!$E$11:$DQ$11,2,Distance_Matrix!$E$30:$DQ$30)/COUNTIF(Distance_Matrix!$E$11:$DQ$11,2))),IF(3=$E293,1E+099,IF(COUNTIF(Distance_Matrix!$E$11:$DQ$11,3)=0,1E+099,SUMIF(Distance_Matrix!$E$11:$DQ$11,3,Distance_Matrix!$E$30:$DQ$30)/COUNTIF(Distance_Matrix!$E$11:$DQ$11,3))),IF(4=$E293,1E+099,IF(COUNTIF(Distance_Matrix!$E$11:$DQ$11,4)=0,1E+099,SUMIF(Distance_Matrix!$E$11:$DQ$11,4,Distance_Matrix!$E$30:$DQ$30)/COUNTIF(Distance_Matrix!$E$11:$DQ$11,4))),IF(5=$E293,1E+099,IF(COUNTIF(Distance_Matrix!$E$11:$DQ$11,5)=0,1E+099,SUMIF(Distance_Matrix!$E$11:$DQ$11,5,Distance_Matrix!$E$30:$DQ$30)/COUNTIF(Distance_Matrix!$E$11:$DQ$11,5))))</f>
        <v>2.32165854653921</v>
      </c>
      <c r="I293" s="17" t="n">
        <f aca="false">IF(COUNTIF(Distance_Matrix!$E$11:$DQ$11,$E293)&lt;=1,0,(H293-G293)/MAX(G293,H293))</f>
        <v>0.537467585903229</v>
      </c>
      <c r="X293" s="17" t="n">
        <f aca="false">SQRT(($B293-X$270)^2+($C293-X$271)^2+($D293-X$272)^2)</f>
        <v>4.68145377022651</v>
      </c>
      <c r="Y293" s="17" t="n">
        <f aca="false">SQRT(($B293-Y$270)^2+($C293-Y$271)^2+($D293-Y$272)^2)</f>
        <v>4.16088329984745</v>
      </c>
      <c r="Z293" s="17" t="n">
        <f aca="false">SQRT(($B293-Z$270)^2+($C293-Z$271)^2+($D293-Z$272)^2)</f>
        <v>0.193464640160583</v>
      </c>
      <c r="AA293" s="17" t="n">
        <f aca="false">SQRT(($B293-AA$270)^2+($C293-AA$271)^2+($D293-AA$272)^2)</f>
        <v>2.78889715164164</v>
      </c>
      <c r="AB293" s="17" t="n">
        <f aca="false">SQRT(($B293-AB$270)^2+($C293-AB$271)^2+($D293-AB$272)^2)</f>
        <v>2.54854472098449</v>
      </c>
      <c r="AC293" s="63" t="n">
        <f aca="false">MATCH(MIN(X293:AB293),X293:AB293,0)</f>
        <v>3</v>
      </c>
      <c r="AE293" s="17" t="n">
        <f aca="false">SQRT(($B293-AE$270)^2+($C293-AE$271)^2+($D293-AE$272)^2)</f>
        <v>4.62819862733972</v>
      </c>
      <c r="AF293" s="17" t="n">
        <f aca="false">SQRT(($B293-AF$270)^2+($C293-AF$271)^2+($D293-AF$272)^2)</f>
        <v>3.45080115602735</v>
      </c>
      <c r="AG293" s="17" t="n">
        <f aca="false">SQRT(($B293-AG$270)^2+($C293-AG$271)^2+($D293-AG$272)^2)</f>
        <v>0.817658587350742</v>
      </c>
      <c r="AH293" s="17" t="n">
        <f aca="false">SQRT(($B293-AH$270)^2+($C293-AH$271)^2+($D293-AH$272)^2)</f>
        <v>2.45752748685787</v>
      </c>
      <c r="AI293" s="17" t="n">
        <f aca="false">SQRT(($B293-AI$270)^2+($C293-AI$271)^2+($D293-AI$272)^2)</f>
        <v>2.48552155419623</v>
      </c>
      <c r="AJ293" s="63" t="n">
        <f aca="false">MATCH(MIN(AE293:AI293),AE293:AI293,0)</f>
        <v>3</v>
      </c>
      <c r="AL293" s="17" t="n">
        <f aca="false">SQRT(($B293-AL$270)^2+($C293-AL$271)^2+($D293-AL$272)^2)</f>
        <v>4.62819862733972</v>
      </c>
      <c r="AM293" s="17" t="n">
        <f aca="false">SQRT(($B293-AM$270)^2+($C293-AM$271)^2+($D293-AM$272)^2)</f>
        <v>3.48243685565627</v>
      </c>
      <c r="AN293" s="17" t="n">
        <f aca="false">SQRT(($B293-AN$270)^2+($C293-AN$271)^2+($D293-AN$272)^2)</f>
        <v>0.814627380048581</v>
      </c>
      <c r="AO293" s="17" t="n">
        <f aca="false">SQRT(($B293-AO$270)^2+($C293-AO$271)^2+($D293-AO$272)^2)</f>
        <v>2.37512712385399</v>
      </c>
      <c r="AP293" s="17" t="n">
        <f aca="false">SQRT(($B293-AP$270)^2+($C293-AP$271)^2+($D293-AP$272)^2)</f>
        <v>2.2515265560033</v>
      </c>
      <c r="AQ293" s="63" t="n">
        <f aca="false">MATCH(MIN(AL293:AP293),AL293:AP293,0)</f>
        <v>3</v>
      </c>
      <c r="AS293" s="17" t="n">
        <f aca="false">SQRT(($B293-AS$270)^2+($C293-AS$271)^2+($D293-AS$272)^2)</f>
        <v>4.62819862733972</v>
      </c>
      <c r="AT293" s="17" t="n">
        <f aca="false">SQRT(($B293-AT$270)^2+($C293-AT$271)^2+($D293-AT$272)^2)</f>
        <v>3.57480945560549</v>
      </c>
      <c r="AU293" s="17" t="n">
        <f aca="false">SQRT(($B293-AU$270)^2+($C293-AU$271)^2+($D293-AU$272)^2)</f>
        <v>0.796350171282029</v>
      </c>
      <c r="AV293" s="17" t="n">
        <f aca="false">SQRT(($B293-AV$270)^2+($C293-AV$271)^2+($D293-AV$272)^2)</f>
        <v>2.37465976924805</v>
      </c>
      <c r="AW293" s="17" t="n">
        <f aca="false">SQRT(($B293-AW$270)^2+($C293-AW$271)^2+($D293-AW$272)^2)</f>
        <v>2.2515265560033</v>
      </c>
      <c r="AX293" s="63" t="n">
        <f aca="false">MATCH(MIN(AS293:AW293),AS293:AW293,0)</f>
        <v>3</v>
      </c>
      <c r="AZ293" s="17" t="n">
        <f aca="false">SQRT(($B293-AZ$270)^2+($C293-AZ$271)^2+($D293-AZ$272)^2)</f>
        <v>4.62819862733972</v>
      </c>
      <c r="BA293" s="17" t="n">
        <f aca="false">SQRT(($B293-BA$270)^2+($C293-BA$271)^2+($D293-BA$272)^2)</f>
        <v>3.57480945560549</v>
      </c>
      <c r="BB293" s="17" t="n">
        <f aca="false">SQRT(($B293-BB$270)^2+($C293-BB$271)^2+($D293-BB$272)^2)</f>
        <v>0.796350171282029</v>
      </c>
      <c r="BC293" s="17" t="n">
        <f aca="false">SQRT(($B293-BC$270)^2+($C293-BC$271)^2+($D293-BC$272)^2)</f>
        <v>2.37465976924805</v>
      </c>
      <c r="BD293" s="17" t="n">
        <f aca="false">SQRT(($B293-BD$270)^2+($C293-BD$271)^2+($D293-BD$272)^2)</f>
        <v>2.2515265560033</v>
      </c>
      <c r="BE293" s="63" t="n">
        <f aca="false">MATCH(MIN(AZ293:BD293),AZ293:BD293,0)</f>
        <v>3</v>
      </c>
      <c r="BG293" s="17" t="n">
        <f aca="false">SQRT(($B293-BG$270)^2+($C293-BG$271)^2+($D293-BG$272)^2)</f>
        <v>4.62819862733972</v>
      </c>
      <c r="BH293" s="17" t="n">
        <f aca="false">SQRT(($B293-BH$270)^2+($C293-BH$271)^2+($D293-BH$272)^2)</f>
        <v>3.57480945560549</v>
      </c>
      <c r="BI293" s="17" t="n">
        <f aca="false">SQRT(($B293-BI$270)^2+($C293-BI$271)^2+($D293-BI$272)^2)</f>
        <v>0.796350171282029</v>
      </c>
      <c r="BJ293" s="17" t="n">
        <f aca="false">SQRT(($B293-BJ$270)^2+($C293-BJ$271)^2+($D293-BJ$272)^2)</f>
        <v>2.37465976924805</v>
      </c>
      <c r="BK293" s="17" t="n">
        <f aca="false">SQRT(($B293-BK$270)^2+($C293-BK$271)^2+($D293-BK$272)^2)</f>
        <v>2.2515265560033</v>
      </c>
      <c r="BL293" s="63" t="n">
        <f aca="false">MATCH(MIN(BG293:BK293),BG293:BK293,0)</f>
        <v>3</v>
      </c>
      <c r="BN293" s="17" t="n">
        <f aca="false">SQRT(($B293-BN$270)^2+($C293-BN$271)^2+($D293-BN$272)^2)</f>
        <v>4.62819862733972</v>
      </c>
      <c r="BO293" s="17" t="n">
        <f aca="false">SQRT(($B293-BO$270)^2+($C293-BO$271)^2+($D293-BO$272)^2)</f>
        <v>3.57480945560549</v>
      </c>
      <c r="BP293" s="17" t="n">
        <f aca="false">SQRT(($B293-BP$270)^2+($C293-BP$271)^2+($D293-BP$272)^2)</f>
        <v>0.796350171282029</v>
      </c>
      <c r="BQ293" s="17" t="n">
        <f aca="false">SQRT(($B293-BQ$270)^2+($C293-BQ$271)^2+($D293-BQ$272)^2)</f>
        <v>2.37465976924805</v>
      </c>
      <c r="BR293" s="17" t="n">
        <f aca="false">SQRT(($B293-BR$270)^2+($C293-BR$271)^2+($D293-BR$272)^2)</f>
        <v>2.2515265560033</v>
      </c>
      <c r="BS293" s="63" t="n">
        <f aca="false">MATCH(MIN(BN293:BR293),BN293:BR293,0)</f>
        <v>3</v>
      </c>
      <c r="BU293" s="17" t="n">
        <f aca="false">SQRT(($B293-BU$270)^2+($C293-BU$271)^2+($D293-BU$272)^2)</f>
        <v>4.62819862733972</v>
      </c>
      <c r="BV293" s="17" t="n">
        <f aca="false">SQRT(($B293-BV$270)^2+($C293-BV$271)^2+($D293-BV$272)^2)</f>
        <v>3.57480945560549</v>
      </c>
      <c r="BW293" s="17" t="n">
        <f aca="false">SQRT(($B293-BW$270)^2+($C293-BW$271)^2+($D293-BW$272)^2)</f>
        <v>0.796350171282029</v>
      </c>
      <c r="BX293" s="17" t="n">
        <f aca="false">SQRT(($B293-BX$270)^2+($C293-BX$271)^2+($D293-BX$272)^2)</f>
        <v>2.37465976924805</v>
      </c>
      <c r="BY293" s="17" t="n">
        <f aca="false">SQRT(($B293-BY$270)^2+($C293-BY$271)^2+($D293-BY$272)^2)</f>
        <v>2.2515265560033</v>
      </c>
      <c r="BZ293" s="63" t="n">
        <f aca="false">MATCH(MIN(BU293:BY293),BU293:BY293,0)</f>
        <v>3</v>
      </c>
      <c r="CB293" s="17" t="n">
        <f aca="false">SQRT(($B293-CB$270)^2+($C293-CB$271)^2+($D293-CB$272)^2)</f>
        <v>4.62819862733972</v>
      </c>
      <c r="CC293" s="17" t="n">
        <f aca="false">SQRT(($B293-CC$270)^2+($C293-CC$271)^2+($D293-CC$272)^2)</f>
        <v>3.57480945560549</v>
      </c>
      <c r="CD293" s="17" t="n">
        <f aca="false">SQRT(($B293-CD$270)^2+($C293-CD$271)^2+($D293-CD$272)^2)</f>
        <v>0.796350171282029</v>
      </c>
      <c r="CE293" s="17" t="n">
        <f aca="false">SQRT(($B293-CE$270)^2+($C293-CE$271)^2+($D293-CE$272)^2)</f>
        <v>2.37465976924805</v>
      </c>
      <c r="CF293" s="17" t="n">
        <f aca="false">SQRT(($B293-CF$270)^2+($C293-CF$271)^2+($D293-CF$272)^2)</f>
        <v>2.2515265560033</v>
      </c>
      <c r="CG293" s="63" t="n">
        <f aca="false">MATCH(MIN(CB293:CF293),CB293:CF293,0)</f>
        <v>3</v>
      </c>
      <c r="CI293" s="17" t="n">
        <f aca="false">SQRT(($B293-CI$270)^2+($C293-CI$271)^2+($D293-CI$272)^2)</f>
        <v>4.62819862733972</v>
      </c>
      <c r="CJ293" s="17" t="n">
        <f aca="false">SQRT(($B293-CJ$270)^2+($C293-CJ$271)^2+($D293-CJ$272)^2)</f>
        <v>3.57480945560549</v>
      </c>
      <c r="CK293" s="17" t="n">
        <f aca="false">SQRT(($B293-CK$270)^2+($C293-CK$271)^2+($D293-CK$272)^2)</f>
        <v>0.796350171282029</v>
      </c>
      <c r="CL293" s="17" t="n">
        <f aca="false">SQRT(($B293-CL$270)^2+($C293-CL$271)^2+($D293-CL$272)^2)</f>
        <v>2.37465976924805</v>
      </c>
      <c r="CM293" s="17" t="n">
        <f aca="false">SQRT(($B293-CM$270)^2+($C293-CM$271)^2+($D293-CM$272)^2)</f>
        <v>2.2515265560033</v>
      </c>
      <c r="CN293" s="63" t="n">
        <f aca="false">MATCH(MIN(CI293:CM293),CI293:CM293,0)</f>
        <v>3</v>
      </c>
      <c r="CP293" s="17" t="n">
        <f aca="false">SQRT(($B293-CP$270)^2+($C293-CP$271)^2+($D293-CP$272)^2)</f>
        <v>4.62819862733972</v>
      </c>
      <c r="CQ293" s="17" t="n">
        <f aca="false">SQRT(($B293-CQ$270)^2+($C293-CQ$271)^2+($D293-CQ$272)^2)</f>
        <v>3.57480945560549</v>
      </c>
      <c r="CR293" s="17" t="n">
        <f aca="false">SQRT(($B293-CR$270)^2+($C293-CR$271)^2+($D293-CR$272)^2)</f>
        <v>0.796350171282029</v>
      </c>
      <c r="CS293" s="17" t="n">
        <f aca="false">SQRT(($B293-CS$270)^2+($C293-CS$271)^2+($D293-CS$272)^2)</f>
        <v>2.37465976924805</v>
      </c>
      <c r="CT293" s="17" t="n">
        <f aca="false">SQRT(($B293-CT$270)^2+($C293-CT$271)^2+($D293-CT$272)^2)</f>
        <v>2.2515265560033</v>
      </c>
      <c r="CU293" s="63" t="n">
        <f aca="false">MATCH(MIN(CP293:CT293),CP293:CT293,0)</f>
        <v>3</v>
      </c>
      <c r="CW293" s="17" t="n">
        <f aca="false">SQRT(($B293-CW$270)^2+($C293-CW$271)^2+($D293-CW$272)^2)</f>
        <v>4.62819862733972</v>
      </c>
      <c r="CX293" s="17" t="n">
        <f aca="false">SQRT(($B293-CX$270)^2+($C293-CX$271)^2+($D293-CX$272)^2)</f>
        <v>3.57480945560549</v>
      </c>
      <c r="CY293" s="17" t="n">
        <f aca="false">SQRT(($B293-CY$270)^2+($C293-CY$271)^2+($D293-CY$272)^2)</f>
        <v>0.796350171282029</v>
      </c>
      <c r="CZ293" s="17" t="n">
        <f aca="false">SQRT(($B293-CZ$270)^2+($C293-CZ$271)^2+($D293-CZ$272)^2)</f>
        <v>2.37465976924805</v>
      </c>
      <c r="DA293" s="17" t="n">
        <f aca="false">SQRT(($B293-DA$270)^2+($C293-DA$271)^2+($D293-DA$272)^2)</f>
        <v>2.2515265560033</v>
      </c>
      <c r="DB293" s="63" t="n">
        <f aca="false">MATCH(MIN(CW293:DA293),CW293:DA293,0)</f>
        <v>3</v>
      </c>
    </row>
    <row r="294" customFormat="false" ht="15" hidden="false" customHeight="false" outlineLevel="0" collapsed="false">
      <c r="A294" s="36" t="str">
        <f aca="false">KMeans_Data!A22</f>
        <v>Abbottabad</v>
      </c>
      <c r="B294" s="17" t="n">
        <f aca="false">KMeans_Data!H22</f>
        <v>0.853001062018471</v>
      </c>
      <c r="C294" s="17" t="n">
        <f aca="false">KMeans_Data!I22</f>
        <v>1.38107452085777</v>
      </c>
      <c r="D294" s="17" t="n">
        <f aca="false">KMeans_Data!J22</f>
        <v>0.618328666074444</v>
      </c>
      <c r="E294" s="63" t="n">
        <f aca="false">DB294</f>
        <v>3</v>
      </c>
      <c r="F294" s="38" t="n">
        <f aca="false">($B294-INDEX($L$270:$P$270,E294))^2+($C294-INDEX($L$271:$P$271,E294))^2+($D294-INDEX($L$272:$P$272,E294))^2</f>
        <v>0.747354860218043</v>
      </c>
      <c r="G294" s="17" t="n">
        <f aca="false">IF(COUNTIF(Distance_Matrix!$E$11:$DQ$11,$E294)&lt;=1,0,SUMIF(Distance_Matrix!$E$11:$DQ$11,$E294,Distance_Matrix!$E$31:$DQ$31)/(COUNTIF(Distance_Matrix!$E$11:$DQ$11,$E294)-1))</f>
        <v>1.07336000718388</v>
      </c>
      <c r="H294" s="17" t="n">
        <f aca="false">MIN(IF(1=$E294,1E+099,IF(COUNTIF(Distance_Matrix!$E$11:$DQ$11,1)=0,1E+099,SUMIF(Distance_Matrix!$E$11:$DQ$11,1,Distance_Matrix!$E$31:$DQ$31)/COUNTIF(Distance_Matrix!$E$11:$DQ$11,1))),IF(2=$E294,1E+099,IF(COUNTIF(Distance_Matrix!$E$11:$DQ$11,2)=0,1E+099,SUMIF(Distance_Matrix!$E$11:$DQ$11,2,Distance_Matrix!$E$31:$DQ$31)/COUNTIF(Distance_Matrix!$E$11:$DQ$11,2))),IF(3=$E294,1E+099,IF(COUNTIF(Distance_Matrix!$E$11:$DQ$11,3)=0,1E+099,SUMIF(Distance_Matrix!$E$11:$DQ$11,3,Distance_Matrix!$E$31:$DQ$31)/COUNTIF(Distance_Matrix!$E$11:$DQ$11,3))),IF(4=$E294,1E+099,IF(COUNTIF(Distance_Matrix!$E$11:$DQ$11,4)=0,1E+099,SUMIF(Distance_Matrix!$E$11:$DQ$11,4,Distance_Matrix!$E$31:$DQ$31)/COUNTIF(Distance_Matrix!$E$11:$DQ$11,4))),IF(5=$E294,1E+099,IF(COUNTIF(Distance_Matrix!$E$11:$DQ$11,5)=0,1E+099,SUMIF(Distance_Matrix!$E$11:$DQ$11,5,Distance_Matrix!$E$31:$DQ$31)/COUNTIF(Distance_Matrix!$E$11:$DQ$11,5))))</f>
        <v>1.84587266644174</v>
      </c>
      <c r="I294" s="17" t="n">
        <f aca="false">IF(COUNTIF(Distance_Matrix!$E$11:$DQ$11,$E294)&lt;=1,0,(H294-G294)/MAX(G294,H294))</f>
        <v>0.418508098257405</v>
      </c>
      <c r="X294" s="17" t="n">
        <f aca="false">SQRT(($B294-X$270)^2+($C294-X$271)^2+($D294-X$272)^2)</f>
        <v>4.45718422157071</v>
      </c>
      <c r="Y294" s="17" t="n">
        <f aca="false">SQRT(($B294-Y$270)^2+($C294-Y$271)^2+($D294-Y$272)^2)</f>
        <v>3.99128361858191</v>
      </c>
      <c r="Z294" s="17" t="n">
        <f aca="false">SQRT(($B294-Z$270)^2+($C294-Z$271)^2+($D294-Z$272)^2)</f>
        <v>1.32845751007486</v>
      </c>
      <c r="AA294" s="17" t="n">
        <f aca="false">SQRT(($B294-AA$270)^2+($C294-AA$271)^2+($D294-AA$272)^2)</f>
        <v>2.34297782200597</v>
      </c>
      <c r="AB294" s="17" t="n">
        <f aca="false">SQRT(($B294-AB$270)^2+($C294-AB$271)^2+($D294-AB$272)^2)</f>
        <v>2.48898087164454</v>
      </c>
      <c r="AC294" s="63" t="n">
        <f aca="false">MATCH(MIN(X294:AB294),X294:AB294,0)</f>
        <v>3</v>
      </c>
      <c r="AE294" s="17" t="n">
        <f aca="false">SQRT(($B294-AE$270)^2+($C294-AE$271)^2+($D294-AE$272)^2)</f>
        <v>4.32431182701261</v>
      </c>
      <c r="AF294" s="17" t="n">
        <f aca="false">SQRT(($B294-AF$270)^2+($C294-AF$271)^2+($D294-AF$272)^2)</f>
        <v>3.30747933217034</v>
      </c>
      <c r="AG294" s="17" t="n">
        <f aca="false">SQRT(($B294-AG$270)^2+($C294-AG$271)^2+($D294-AG$272)^2)</f>
        <v>0.959708574374204</v>
      </c>
      <c r="AH294" s="17" t="n">
        <f aca="false">SQRT(($B294-AH$270)^2+($C294-AH$271)^2+($D294-AH$272)^2)</f>
        <v>2.37013078685448</v>
      </c>
      <c r="AI294" s="17" t="n">
        <f aca="false">SQRT(($B294-AI$270)^2+($C294-AI$271)^2+($D294-AI$272)^2)</f>
        <v>2.0606593304647</v>
      </c>
      <c r="AJ294" s="63" t="n">
        <f aca="false">MATCH(MIN(AE294:AI294),AE294:AI294,0)</f>
        <v>3</v>
      </c>
      <c r="AL294" s="17" t="n">
        <f aca="false">SQRT(($B294-AL$270)^2+($C294-AL$271)^2+($D294-AL$272)^2)</f>
        <v>4.32431182701261</v>
      </c>
      <c r="AM294" s="17" t="n">
        <f aca="false">SQRT(($B294-AM$270)^2+($C294-AM$271)^2+($D294-AM$272)^2)</f>
        <v>3.32595841405257</v>
      </c>
      <c r="AN294" s="17" t="n">
        <f aca="false">SQRT(($B294-AN$270)^2+($C294-AN$271)^2+($D294-AN$272)^2)</f>
        <v>0.876195821332622</v>
      </c>
      <c r="AO294" s="17" t="n">
        <f aca="false">SQRT(($B294-AO$270)^2+($C294-AO$271)^2+($D294-AO$272)^2)</f>
        <v>2.34275841427261</v>
      </c>
      <c r="AP294" s="17" t="n">
        <f aca="false">SQRT(($B294-AP$270)^2+($C294-AP$271)^2+($D294-AP$272)^2)</f>
        <v>1.78779979055225</v>
      </c>
      <c r="AQ294" s="63" t="n">
        <f aca="false">MATCH(MIN(AL294:AP294),AL294:AP294,0)</f>
        <v>3</v>
      </c>
      <c r="AS294" s="17" t="n">
        <f aca="false">SQRT(($B294-AS$270)^2+($C294-AS$271)^2+($D294-AS$272)^2)</f>
        <v>4.32431182701261</v>
      </c>
      <c r="AT294" s="17" t="n">
        <f aca="false">SQRT(($B294-AT$270)^2+($C294-AT$271)^2+($D294-AT$272)^2)</f>
        <v>3.396546413144</v>
      </c>
      <c r="AU294" s="17" t="n">
        <f aca="false">SQRT(($B294-AU$270)^2+($C294-AU$271)^2+($D294-AU$272)^2)</f>
        <v>0.864496882711582</v>
      </c>
      <c r="AV294" s="17" t="n">
        <f aca="false">SQRT(($B294-AV$270)^2+($C294-AV$271)^2+($D294-AV$272)^2)</f>
        <v>2.34935827855193</v>
      </c>
      <c r="AW294" s="17" t="n">
        <f aca="false">SQRT(($B294-AW$270)^2+($C294-AW$271)^2+($D294-AW$272)^2)</f>
        <v>1.78779979055225</v>
      </c>
      <c r="AX294" s="63" t="n">
        <f aca="false">MATCH(MIN(AS294:AW294),AS294:AW294,0)</f>
        <v>3</v>
      </c>
      <c r="AZ294" s="17" t="n">
        <f aca="false">SQRT(($B294-AZ$270)^2+($C294-AZ$271)^2+($D294-AZ$272)^2)</f>
        <v>4.32431182701261</v>
      </c>
      <c r="BA294" s="17" t="n">
        <f aca="false">SQRT(($B294-BA$270)^2+($C294-BA$271)^2+($D294-BA$272)^2)</f>
        <v>3.396546413144</v>
      </c>
      <c r="BB294" s="17" t="n">
        <f aca="false">SQRT(($B294-BB$270)^2+($C294-BB$271)^2+($D294-BB$272)^2)</f>
        <v>0.864496882711582</v>
      </c>
      <c r="BC294" s="17" t="n">
        <f aca="false">SQRT(($B294-BC$270)^2+($C294-BC$271)^2+($D294-BC$272)^2)</f>
        <v>2.34935827855193</v>
      </c>
      <c r="BD294" s="17" t="n">
        <f aca="false">SQRT(($B294-BD$270)^2+($C294-BD$271)^2+($D294-BD$272)^2)</f>
        <v>1.78779979055225</v>
      </c>
      <c r="BE294" s="63" t="n">
        <f aca="false">MATCH(MIN(AZ294:BD294),AZ294:BD294,0)</f>
        <v>3</v>
      </c>
      <c r="BG294" s="17" t="n">
        <f aca="false">SQRT(($B294-BG$270)^2+($C294-BG$271)^2+($D294-BG$272)^2)</f>
        <v>4.32431182701261</v>
      </c>
      <c r="BH294" s="17" t="n">
        <f aca="false">SQRT(($B294-BH$270)^2+($C294-BH$271)^2+($D294-BH$272)^2)</f>
        <v>3.396546413144</v>
      </c>
      <c r="BI294" s="17" t="n">
        <f aca="false">SQRT(($B294-BI$270)^2+($C294-BI$271)^2+($D294-BI$272)^2)</f>
        <v>0.864496882711582</v>
      </c>
      <c r="BJ294" s="17" t="n">
        <f aca="false">SQRT(($B294-BJ$270)^2+($C294-BJ$271)^2+($D294-BJ$272)^2)</f>
        <v>2.34935827855193</v>
      </c>
      <c r="BK294" s="17" t="n">
        <f aca="false">SQRT(($B294-BK$270)^2+($C294-BK$271)^2+($D294-BK$272)^2)</f>
        <v>1.78779979055225</v>
      </c>
      <c r="BL294" s="63" t="n">
        <f aca="false">MATCH(MIN(BG294:BK294),BG294:BK294,0)</f>
        <v>3</v>
      </c>
      <c r="BN294" s="17" t="n">
        <f aca="false">SQRT(($B294-BN$270)^2+($C294-BN$271)^2+($D294-BN$272)^2)</f>
        <v>4.32431182701261</v>
      </c>
      <c r="BO294" s="17" t="n">
        <f aca="false">SQRT(($B294-BO$270)^2+($C294-BO$271)^2+($D294-BO$272)^2)</f>
        <v>3.396546413144</v>
      </c>
      <c r="BP294" s="17" t="n">
        <f aca="false">SQRT(($B294-BP$270)^2+($C294-BP$271)^2+($D294-BP$272)^2)</f>
        <v>0.864496882711582</v>
      </c>
      <c r="BQ294" s="17" t="n">
        <f aca="false">SQRT(($B294-BQ$270)^2+($C294-BQ$271)^2+($D294-BQ$272)^2)</f>
        <v>2.34935827855193</v>
      </c>
      <c r="BR294" s="17" t="n">
        <f aca="false">SQRT(($B294-BR$270)^2+($C294-BR$271)^2+($D294-BR$272)^2)</f>
        <v>1.78779979055225</v>
      </c>
      <c r="BS294" s="63" t="n">
        <f aca="false">MATCH(MIN(BN294:BR294),BN294:BR294,0)</f>
        <v>3</v>
      </c>
      <c r="BU294" s="17" t="n">
        <f aca="false">SQRT(($B294-BU$270)^2+($C294-BU$271)^2+($D294-BU$272)^2)</f>
        <v>4.32431182701261</v>
      </c>
      <c r="BV294" s="17" t="n">
        <f aca="false">SQRT(($B294-BV$270)^2+($C294-BV$271)^2+($D294-BV$272)^2)</f>
        <v>3.396546413144</v>
      </c>
      <c r="BW294" s="17" t="n">
        <f aca="false">SQRT(($B294-BW$270)^2+($C294-BW$271)^2+($D294-BW$272)^2)</f>
        <v>0.864496882711582</v>
      </c>
      <c r="BX294" s="17" t="n">
        <f aca="false">SQRT(($B294-BX$270)^2+($C294-BX$271)^2+($D294-BX$272)^2)</f>
        <v>2.34935827855193</v>
      </c>
      <c r="BY294" s="17" t="n">
        <f aca="false">SQRT(($B294-BY$270)^2+($C294-BY$271)^2+($D294-BY$272)^2)</f>
        <v>1.78779979055225</v>
      </c>
      <c r="BZ294" s="63" t="n">
        <f aca="false">MATCH(MIN(BU294:BY294),BU294:BY294,0)</f>
        <v>3</v>
      </c>
      <c r="CB294" s="17" t="n">
        <f aca="false">SQRT(($B294-CB$270)^2+($C294-CB$271)^2+($D294-CB$272)^2)</f>
        <v>4.32431182701261</v>
      </c>
      <c r="CC294" s="17" t="n">
        <f aca="false">SQRT(($B294-CC$270)^2+($C294-CC$271)^2+($D294-CC$272)^2)</f>
        <v>3.396546413144</v>
      </c>
      <c r="CD294" s="17" t="n">
        <f aca="false">SQRT(($B294-CD$270)^2+($C294-CD$271)^2+($D294-CD$272)^2)</f>
        <v>0.864496882711582</v>
      </c>
      <c r="CE294" s="17" t="n">
        <f aca="false">SQRT(($B294-CE$270)^2+($C294-CE$271)^2+($D294-CE$272)^2)</f>
        <v>2.34935827855193</v>
      </c>
      <c r="CF294" s="17" t="n">
        <f aca="false">SQRT(($B294-CF$270)^2+($C294-CF$271)^2+($D294-CF$272)^2)</f>
        <v>1.78779979055225</v>
      </c>
      <c r="CG294" s="63" t="n">
        <f aca="false">MATCH(MIN(CB294:CF294),CB294:CF294,0)</f>
        <v>3</v>
      </c>
      <c r="CI294" s="17" t="n">
        <f aca="false">SQRT(($B294-CI$270)^2+($C294-CI$271)^2+($D294-CI$272)^2)</f>
        <v>4.32431182701261</v>
      </c>
      <c r="CJ294" s="17" t="n">
        <f aca="false">SQRT(($B294-CJ$270)^2+($C294-CJ$271)^2+($D294-CJ$272)^2)</f>
        <v>3.396546413144</v>
      </c>
      <c r="CK294" s="17" t="n">
        <f aca="false">SQRT(($B294-CK$270)^2+($C294-CK$271)^2+($D294-CK$272)^2)</f>
        <v>0.864496882711582</v>
      </c>
      <c r="CL294" s="17" t="n">
        <f aca="false">SQRT(($B294-CL$270)^2+($C294-CL$271)^2+($D294-CL$272)^2)</f>
        <v>2.34935827855193</v>
      </c>
      <c r="CM294" s="17" t="n">
        <f aca="false">SQRT(($B294-CM$270)^2+($C294-CM$271)^2+($D294-CM$272)^2)</f>
        <v>1.78779979055225</v>
      </c>
      <c r="CN294" s="63" t="n">
        <f aca="false">MATCH(MIN(CI294:CM294),CI294:CM294,0)</f>
        <v>3</v>
      </c>
      <c r="CP294" s="17" t="n">
        <f aca="false">SQRT(($B294-CP$270)^2+($C294-CP$271)^2+($D294-CP$272)^2)</f>
        <v>4.32431182701261</v>
      </c>
      <c r="CQ294" s="17" t="n">
        <f aca="false">SQRT(($B294-CQ$270)^2+($C294-CQ$271)^2+($D294-CQ$272)^2)</f>
        <v>3.396546413144</v>
      </c>
      <c r="CR294" s="17" t="n">
        <f aca="false">SQRT(($B294-CR$270)^2+($C294-CR$271)^2+($D294-CR$272)^2)</f>
        <v>0.864496882711582</v>
      </c>
      <c r="CS294" s="17" t="n">
        <f aca="false">SQRT(($B294-CS$270)^2+($C294-CS$271)^2+($D294-CS$272)^2)</f>
        <v>2.34935827855193</v>
      </c>
      <c r="CT294" s="17" t="n">
        <f aca="false">SQRT(($B294-CT$270)^2+($C294-CT$271)^2+($D294-CT$272)^2)</f>
        <v>1.78779979055225</v>
      </c>
      <c r="CU294" s="63" t="n">
        <f aca="false">MATCH(MIN(CP294:CT294),CP294:CT294,0)</f>
        <v>3</v>
      </c>
      <c r="CW294" s="17" t="n">
        <f aca="false">SQRT(($B294-CW$270)^2+($C294-CW$271)^2+($D294-CW$272)^2)</f>
        <v>4.32431182701261</v>
      </c>
      <c r="CX294" s="17" t="n">
        <f aca="false">SQRT(($B294-CX$270)^2+($C294-CX$271)^2+($D294-CX$272)^2)</f>
        <v>3.396546413144</v>
      </c>
      <c r="CY294" s="17" t="n">
        <f aca="false">SQRT(($B294-CY$270)^2+($C294-CY$271)^2+($D294-CY$272)^2)</f>
        <v>0.864496882711582</v>
      </c>
      <c r="CZ294" s="17" t="n">
        <f aca="false">SQRT(($B294-CZ$270)^2+($C294-CZ$271)^2+($D294-CZ$272)^2)</f>
        <v>2.34935827855193</v>
      </c>
      <c r="DA294" s="17" t="n">
        <f aca="false">SQRT(($B294-DA$270)^2+($C294-DA$271)^2+($D294-DA$272)^2)</f>
        <v>1.78779979055225</v>
      </c>
      <c r="DB294" s="63" t="n">
        <f aca="false">MATCH(MIN(CW294:DA294),CW294:DA294,0)</f>
        <v>3</v>
      </c>
    </row>
    <row r="295" customFormat="false" ht="15" hidden="false" customHeight="false" outlineLevel="0" collapsed="false">
      <c r="A295" s="36" t="str">
        <f aca="false">KMeans_Data!A23</f>
        <v>Nowshera</v>
      </c>
      <c r="B295" s="17" t="n">
        <f aca="false">KMeans_Data!H23</f>
        <v>0.851138913278639</v>
      </c>
      <c r="C295" s="17" t="n">
        <f aca="false">KMeans_Data!I23</f>
        <v>1.38107452085777</v>
      </c>
      <c r="D295" s="17" t="n">
        <f aca="false">KMeans_Data!J23</f>
        <v>0.934349160614903</v>
      </c>
      <c r="E295" s="63" t="n">
        <f aca="false">DB295</f>
        <v>3</v>
      </c>
      <c r="F295" s="38" t="n">
        <f aca="false">($B295-INDEX($L$270:$P$270,E295))^2+($C295-INDEX($L$271:$P$271,E295))^2+($D295-INDEX($L$272:$P$272,E295))^2</f>
        <v>0.693364458785413</v>
      </c>
      <c r="G295" s="17" t="n">
        <f aca="false">IF(COUNTIF(Distance_Matrix!$E$11:$DQ$11,$E295)&lt;=1,0,SUMIF(Distance_Matrix!$E$11:$DQ$11,$E295,Distance_Matrix!$E$32:$DQ$32)/(COUNTIF(Distance_Matrix!$E$11:$DQ$11,$E295)-1))</f>
        <v>1.04438891346118</v>
      </c>
      <c r="H295" s="17" t="n">
        <f aca="false">MIN(IF(1=$E295,1E+099,IF(COUNTIF(Distance_Matrix!$E$11:$DQ$11,1)=0,1E+099,SUMIF(Distance_Matrix!$E$11:$DQ$11,1,Distance_Matrix!$E$32:$DQ$32)/COUNTIF(Distance_Matrix!$E$11:$DQ$11,1))),IF(2=$E295,1E+099,IF(COUNTIF(Distance_Matrix!$E$11:$DQ$11,2)=0,1E+099,SUMIF(Distance_Matrix!$E$11:$DQ$11,2,Distance_Matrix!$E$32:$DQ$32)/COUNTIF(Distance_Matrix!$E$11:$DQ$11,2))),IF(3=$E295,1E+099,IF(COUNTIF(Distance_Matrix!$E$11:$DQ$11,3)=0,1E+099,SUMIF(Distance_Matrix!$E$11:$DQ$11,3,Distance_Matrix!$E$32:$DQ$32)/COUNTIF(Distance_Matrix!$E$11:$DQ$11,3))),IF(4=$E295,1E+099,IF(COUNTIF(Distance_Matrix!$E$11:$DQ$11,4)=0,1E+099,SUMIF(Distance_Matrix!$E$11:$DQ$11,4,Distance_Matrix!$E$32:$DQ$32)/COUNTIF(Distance_Matrix!$E$11:$DQ$11,4))),IF(5=$E295,1E+099,IF(COUNTIF(Distance_Matrix!$E$11:$DQ$11,5)=0,1E+099,SUMIF(Distance_Matrix!$E$11:$DQ$11,5,Distance_Matrix!$E$32:$DQ$32)/COUNTIF(Distance_Matrix!$E$11:$DQ$11,5))))</f>
        <v>1.6791381667572</v>
      </c>
      <c r="I295" s="17" t="n">
        <f aca="false">IF(COUNTIF(Distance_Matrix!$E$11:$DQ$11,$E295)&lt;=1,0,(H295-G295)/MAX(G295,H295))</f>
        <v>0.378020859666281</v>
      </c>
      <c r="X295" s="17" t="n">
        <f aca="false">SQRT(($B295-X$270)^2+($C295-X$271)^2+($D295-X$272)^2)</f>
        <v>4.2790585979296</v>
      </c>
      <c r="Y295" s="17" t="n">
        <f aca="false">SQRT(($B295-Y$270)^2+($C295-Y$271)^2+($D295-Y$272)^2)</f>
        <v>4.13934753964962</v>
      </c>
      <c r="Z295" s="17" t="n">
        <f aca="false">SQRT(($B295-Z$270)^2+($C295-Z$271)^2+($D295-Z$272)^2)</f>
        <v>1.15187297768961</v>
      </c>
      <c r="AA295" s="17" t="n">
        <f aca="false">SQRT(($B295-AA$270)^2+($C295-AA$271)^2+($D295-AA$272)^2)</f>
        <v>2.58912117250698</v>
      </c>
      <c r="AB295" s="17" t="n">
        <f aca="false">SQRT(($B295-AB$270)^2+($C295-AB$271)^2+($D295-AB$272)^2)</f>
        <v>2.27857646202546</v>
      </c>
      <c r="AC295" s="63" t="n">
        <f aca="false">MATCH(MIN(X295:AB295),X295:AB295,0)</f>
        <v>3</v>
      </c>
      <c r="AE295" s="17" t="n">
        <f aca="false">SQRT(($B295-AE$270)^2+($C295-AE$271)^2+($D295-AE$272)^2)</f>
        <v>4.16224771087463</v>
      </c>
      <c r="AF295" s="17" t="n">
        <f aca="false">SQRT(($B295-AF$270)^2+($C295-AF$271)^2+($D295-AF$272)^2)</f>
        <v>3.46603497188907</v>
      </c>
      <c r="AG295" s="17" t="n">
        <f aca="false">SQRT(($B295-AG$270)^2+($C295-AG$271)^2+($D295-AG$272)^2)</f>
        <v>0.935872307101163</v>
      </c>
      <c r="AH295" s="17" t="n">
        <f aca="false">SQRT(($B295-AH$270)^2+($C295-AH$271)^2+($D295-AH$272)^2)</f>
        <v>2.53567417497264</v>
      </c>
      <c r="AI295" s="17" t="n">
        <f aca="false">SQRT(($B295-AI$270)^2+($C295-AI$271)^2+($D295-AI$272)^2)</f>
        <v>1.90039290037769</v>
      </c>
      <c r="AJ295" s="63" t="n">
        <f aca="false">MATCH(MIN(AE295:AI295),AE295:AI295,0)</f>
        <v>3</v>
      </c>
      <c r="AL295" s="17" t="n">
        <f aca="false">SQRT(($B295-AL$270)^2+($C295-AL$271)^2+($D295-AL$272)^2)</f>
        <v>4.16224771087463</v>
      </c>
      <c r="AM295" s="17" t="n">
        <f aca="false">SQRT(($B295-AM$270)^2+($C295-AM$271)^2+($D295-AM$272)^2)</f>
        <v>3.48824550889601</v>
      </c>
      <c r="AN295" s="17" t="n">
        <f aca="false">SQRT(($B295-AN$270)^2+($C295-AN$271)^2+($D295-AN$272)^2)</f>
        <v>0.850778639134559</v>
      </c>
      <c r="AO295" s="17" t="n">
        <f aca="false">SQRT(($B295-AO$270)^2+($C295-AO$271)^2+($D295-AO$272)^2)</f>
        <v>2.49540578662618</v>
      </c>
      <c r="AP295" s="17" t="n">
        <f aca="false">SQRT(($B295-AP$270)^2+($C295-AP$271)^2+($D295-AP$272)^2)</f>
        <v>1.62456353926305</v>
      </c>
      <c r="AQ295" s="63" t="n">
        <f aca="false">MATCH(MIN(AL295:AP295),AL295:AP295,0)</f>
        <v>3</v>
      </c>
      <c r="AS295" s="17" t="n">
        <f aca="false">SQRT(($B295-AS$270)^2+($C295-AS$271)^2+($D295-AS$272)^2)</f>
        <v>4.16224771087463</v>
      </c>
      <c r="AT295" s="17" t="n">
        <f aca="false">SQRT(($B295-AT$270)^2+($C295-AT$271)^2+($D295-AT$272)^2)</f>
        <v>3.56342734663022</v>
      </c>
      <c r="AU295" s="17" t="n">
        <f aca="false">SQRT(($B295-AU$270)^2+($C295-AU$271)^2+($D295-AU$272)^2)</f>
        <v>0.832685089806112</v>
      </c>
      <c r="AV295" s="17" t="n">
        <f aca="false">SQRT(($B295-AV$270)^2+($C295-AV$271)^2+($D295-AV$272)^2)</f>
        <v>2.49871435557748</v>
      </c>
      <c r="AW295" s="17" t="n">
        <f aca="false">SQRT(($B295-AW$270)^2+($C295-AW$271)^2+($D295-AW$272)^2)</f>
        <v>1.62456353926305</v>
      </c>
      <c r="AX295" s="63" t="n">
        <f aca="false">MATCH(MIN(AS295:AW295),AS295:AW295,0)</f>
        <v>3</v>
      </c>
      <c r="AZ295" s="17" t="n">
        <f aca="false">SQRT(($B295-AZ$270)^2+($C295-AZ$271)^2+($D295-AZ$272)^2)</f>
        <v>4.16224771087463</v>
      </c>
      <c r="BA295" s="17" t="n">
        <f aca="false">SQRT(($B295-BA$270)^2+($C295-BA$271)^2+($D295-BA$272)^2)</f>
        <v>3.56342734663022</v>
      </c>
      <c r="BB295" s="17" t="n">
        <f aca="false">SQRT(($B295-BB$270)^2+($C295-BB$271)^2+($D295-BB$272)^2)</f>
        <v>0.832685089806112</v>
      </c>
      <c r="BC295" s="17" t="n">
        <f aca="false">SQRT(($B295-BC$270)^2+($C295-BC$271)^2+($D295-BC$272)^2)</f>
        <v>2.49871435557748</v>
      </c>
      <c r="BD295" s="17" t="n">
        <f aca="false">SQRT(($B295-BD$270)^2+($C295-BD$271)^2+($D295-BD$272)^2)</f>
        <v>1.62456353926305</v>
      </c>
      <c r="BE295" s="63" t="n">
        <f aca="false">MATCH(MIN(AZ295:BD295),AZ295:BD295,0)</f>
        <v>3</v>
      </c>
      <c r="BG295" s="17" t="n">
        <f aca="false">SQRT(($B295-BG$270)^2+($C295-BG$271)^2+($D295-BG$272)^2)</f>
        <v>4.16224771087463</v>
      </c>
      <c r="BH295" s="17" t="n">
        <f aca="false">SQRT(($B295-BH$270)^2+($C295-BH$271)^2+($D295-BH$272)^2)</f>
        <v>3.56342734663022</v>
      </c>
      <c r="BI295" s="17" t="n">
        <f aca="false">SQRT(($B295-BI$270)^2+($C295-BI$271)^2+($D295-BI$272)^2)</f>
        <v>0.832685089806112</v>
      </c>
      <c r="BJ295" s="17" t="n">
        <f aca="false">SQRT(($B295-BJ$270)^2+($C295-BJ$271)^2+($D295-BJ$272)^2)</f>
        <v>2.49871435557748</v>
      </c>
      <c r="BK295" s="17" t="n">
        <f aca="false">SQRT(($B295-BK$270)^2+($C295-BK$271)^2+($D295-BK$272)^2)</f>
        <v>1.62456353926305</v>
      </c>
      <c r="BL295" s="63" t="n">
        <f aca="false">MATCH(MIN(BG295:BK295),BG295:BK295,0)</f>
        <v>3</v>
      </c>
      <c r="BN295" s="17" t="n">
        <f aca="false">SQRT(($B295-BN$270)^2+($C295-BN$271)^2+($D295-BN$272)^2)</f>
        <v>4.16224771087463</v>
      </c>
      <c r="BO295" s="17" t="n">
        <f aca="false">SQRT(($B295-BO$270)^2+($C295-BO$271)^2+($D295-BO$272)^2)</f>
        <v>3.56342734663022</v>
      </c>
      <c r="BP295" s="17" t="n">
        <f aca="false">SQRT(($B295-BP$270)^2+($C295-BP$271)^2+($D295-BP$272)^2)</f>
        <v>0.832685089806112</v>
      </c>
      <c r="BQ295" s="17" t="n">
        <f aca="false">SQRT(($B295-BQ$270)^2+($C295-BQ$271)^2+($D295-BQ$272)^2)</f>
        <v>2.49871435557748</v>
      </c>
      <c r="BR295" s="17" t="n">
        <f aca="false">SQRT(($B295-BR$270)^2+($C295-BR$271)^2+($D295-BR$272)^2)</f>
        <v>1.62456353926305</v>
      </c>
      <c r="BS295" s="63" t="n">
        <f aca="false">MATCH(MIN(BN295:BR295),BN295:BR295,0)</f>
        <v>3</v>
      </c>
      <c r="BU295" s="17" t="n">
        <f aca="false">SQRT(($B295-BU$270)^2+($C295-BU$271)^2+($D295-BU$272)^2)</f>
        <v>4.16224771087463</v>
      </c>
      <c r="BV295" s="17" t="n">
        <f aca="false">SQRT(($B295-BV$270)^2+($C295-BV$271)^2+($D295-BV$272)^2)</f>
        <v>3.56342734663022</v>
      </c>
      <c r="BW295" s="17" t="n">
        <f aca="false">SQRT(($B295-BW$270)^2+($C295-BW$271)^2+($D295-BW$272)^2)</f>
        <v>0.832685089806112</v>
      </c>
      <c r="BX295" s="17" t="n">
        <f aca="false">SQRT(($B295-BX$270)^2+($C295-BX$271)^2+($D295-BX$272)^2)</f>
        <v>2.49871435557748</v>
      </c>
      <c r="BY295" s="17" t="n">
        <f aca="false">SQRT(($B295-BY$270)^2+($C295-BY$271)^2+($D295-BY$272)^2)</f>
        <v>1.62456353926305</v>
      </c>
      <c r="BZ295" s="63" t="n">
        <f aca="false">MATCH(MIN(BU295:BY295),BU295:BY295,0)</f>
        <v>3</v>
      </c>
      <c r="CB295" s="17" t="n">
        <f aca="false">SQRT(($B295-CB$270)^2+($C295-CB$271)^2+($D295-CB$272)^2)</f>
        <v>4.16224771087463</v>
      </c>
      <c r="CC295" s="17" t="n">
        <f aca="false">SQRT(($B295-CC$270)^2+($C295-CC$271)^2+($D295-CC$272)^2)</f>
        <v>3.56342734663022</v>
      </c>
      <c r="CD295" s="17" t="n">
        <f aca="false">SQRT(($B295-CD$270)^2+($C295-CD$271)^2+($D295-CD$272)^2)</f>
        <v>0.832685089806112</v>
      </c>
      <c r="CE295" s="17" t="n">
        <f aca="false">SQRT(($B295-CE$270)^2+($C295-CE$271)^2+($D295-CE$272)^2)</f>
        <v>2.49871435557748</v>
      </c>
      <c r="CF295" s="17" t="n">
        <f aca="false">SQRT(($B295-CF$270)^2+($C295-CF$271)^2+($D295-CF$272)^2)</f>
        <v>1.62456353926305</v>
      </c>
      <c r="CG295" s="63" t="n">
        <f aca="false">MATCH(MIN(CB295:CF295),CB295:CF295,0)</f>
        <v>3</v>
      </c>
      <c r="CI295" s="17" t="n">
        <f aca="false">SQRT(($B295-CI$270)^2+($C295-CI$271)^2+($D295-CI$272)^2)</f>
        <v>4.16224771087463</v>
      </c>
      <c r="CJ295" s="17" t="n">
        <f aca="false">SQRT(($B295-CJ$270)^2+($C295-CJ$271)^2+($D295-CJ$272)^2)</f>
        <v>3.56342734663022</v>
      </c>
      <c r="CK295" s="17" t="n">
        <f aca="false">SQRT(($B295-CK$270)^2+($C295-CK$271)^2+($D295-CK$272)^2)</f>
        <v>0.832685089806112</v>
      </c>
      <c r="CL295" s="17" t="n">
        <f aca="false">SQRT(($B295-CL$270)^2+($C295-CL$271)^2+($D295-CL$272)^2)</f>
        <v>2.49871435557748</v>
      </c>
      <c r="CM295" s="17" t="n">
        <f aca="false">SQRT(($B295-CM$270)^2+($C295-CM$271)^2+($D295-CM$272)^2)</f>
        <v>1.62456353926305</v>
      </c>
      <c r="CN295" s="63" t="n">
        <f aca="false">MATCH(MIN(CI295:CM295),CI295:CM295,0)</f>
        <v>3</v>
      </c>
      <c r="CP295" s="17" t="n">
        <f aca="false">SQRT(($B295-CP$270)^2+($C295-CP$271)^2+($D295-CP$272)^2)</f>
        <v>4.16224771087463</v>
      </c>
      <c r="CQ295" s="17" t="n">
        <f aca="false">SQRT(($B295-CQ$270)^2+($C295-CQ$271)^2+($D295-CQ$272)^2)</f>
        <v>3.56342734663022</v>
      </c>
      <c r="CR295" s="17" t="n">
        <f aca="false">SQRT(($B295-CR$270)^2+($C295-CR$271)^2+($D295-CR$272)^2)</f>
        <v>0.832685089806112</v>
      </c>
      <c r="CS295" s="17" t="n">
        <f aca="false">SQRT(($B295-CS$270)^2+($C295-CS$271)^2+($D295-CS$272)^2)</f>
        <v>2.49871435557748</v>
      </c>
      <c r="CT295" s="17" t="n">
        <f aca="false">SQRT(($B295-CT$270)^2+($C295-CT$271)^2+($D295-CT$272)^2)</f>
        <v>1.62456353926305</v>
      </c>
      <c r="CU295" s="63" t="n">
        <f aca="false">MATCH(MIN(CP295:CT295),CP295:CT295,0)</f>
        <v>3</v>
      </c>
      <c r="CW295" s="17" t="n">
        <f aca="false">SQRT(($B295-CW$270)^2+($C295-CW$271)^2+($D295-CW$272)^2)</f>
        <v>4.16224771087463</v>
      </c>
      <c r="CX295" s="17" t="n">
        <f aca="false">SQRT(($B295-CX$270)^2+($C295-CX$271)^2+($D295-CX$272)^2)</f>
        <v>3.56342734663022</v>
      </c>
      <c r="CY295" s="17" t="n">
        <f aca="false">SQRT(($B295-CY$270)^2+($C295-CY$271)^2+($D295-CY$272)^2)</f>
        <v>0.832685089806112</v>
      </c>
      <c r="CZ295" s="17" t="n">
        <f aca="false">SQRT(($B295-CZ$270)^2+($C295-CZ$271)^2+($D295-CZ$272)^2)</f>
        <v>2.49871435557748</v>
      </c>
      <c r="DA295" s="17" t="n">
        <f aca="false">SQRT(($B295-DA$270)^2+($C295-DA$271)^2+($D295-DA$272)^2)</f>
        <v>1.62456353926305</v>
      </c>
      <c r="DB295" s="63" t="n">
        <f aca="false">MATCH(MIN(CW295:DA295),CW295:DA295,0)</f>
        <v>3</v>
      </c>
    </row>
    <row r="296" customFormat="false" ht="15" hidden="false" customHeight="false" outlineLevel="0" collapsed="false">
      <c r="A296" s="36" t="str">
        <f aca="false">KMeans_Data!A24</f>
        <v>Muzaffarabad</v>
      </c>
      <c r="B296" s="17" t="n">
        <f aca="false">KMeans_Data!H24</f>
        <v>0.841726902407959</v>
      </c>
      <c r="C296" s="17" t="n">
        <f aca="false">KMeans_Data!I24</f>
        <v>0.803084449535714</v>
      </c>
      <c r="D296" s="17" t="n">
        <f aca="false">KMeans_Data!J24</f>
        <v>1.03670935350208</v>
      </c>
      <c r="E296" s="63" t="n">
        <f aca="false">DB296</f>
        <v>3</v>
      </c>
      <c r="F296" s="38" t="n">
        <f aca="false">($B296-INDEX($L$270:$P$270,E296))^2+($C296-INDEX($L$271:$P$271,E296))^2+($D296-INDEX($L$272:$P$272,E296))^2</f>
        <v>0.128824521914477</v>
      </c>
      <c r="G296" s="17" t="n">
        <f aca="false">IF(COUNTIF(Distance_Matrix!$E$11:$DQ$11,$E296)&lt;=1,0,SUMIF(Distance_Matrix!$E$11:$DQ$11,$E296,Distance_Matrix!$E$33:$DQ$33)/(COUNTIF(Distance_Matrix!$E$11:$DQ$11,$E296)-1))</f>
        <v>0.797896066332553</v>
      </c>
      <c r="H296" s="17" t="n">
        <f aca="false">MIN(IF(1=$E296,1E+099,IF(COUNTIF(Distance_Matrix!$E$11:$DQ$11,1)=0,1E+099,SUMIF(Distance_Matrix!$E$11:$DQ$11,1,Distance_Matrix!$E$33:$DQ$33)/COUNTIF(Distance_Matrix!$E$11:$DQ$11,1))),IF(2=$E296,1E+099,IF(COUNTIF(Distance_Matrix!$E$11:$DQ$11,2)=0,1E+099,SUMIF(Distance_Matrix!$E$11:$DQ$11,2,Distance_Matrix!$E$33:$DQ$33)/COUNTIF(Distance_Matrix!$E$11:$DQ$11,2))),IF(3=$E296,1E+099,IF(COUNTIF(Distance_Matrix!$E$11:$DQ$11,3)=0,1E+099,SUMIF(Distance_Matrix!$E$11:$DQ$11,3,Distance_Matrix!$E$33:$DQ$33)/COUNTIF(Distance_Matrix!$E$11:$DQ$11,3))),IF(4=$E296,1E+099,IF(COUNTIF(Distance_Matrix!$E$11:$DQ$11,4)=0,1E+099,SUMIF(Distance_Matrix!$E$11:$DQ$11,4,Distance_Matrix!$E$33:$DQ$33)/COUNTIF(Distance_Matrix!$E$11:$DQ$11,4))),IF(5=$E296,1E+099,IF(COUNTIF(Distance_Matrix!$E$11:$DQ$11,5)=0,1E+099,SUMIF(Distance_Matrix!$E$11:$DQ$11,5,Distance_Matrix!$E$33:$DQ$33)/COUNTIF(Distance_Matrix!$E$11:$DQ$11,5))))</f>
        <v>2.0598946215295</v>
      </c>
      <c r="I296" s="17" t="n">
        <f aca="false">IF(COUNTIF(Distance_Matrix!$E$11:$DQ$11,$E296)&lt;=1,0,(H296-G296)/MAX(G296,H296))</f>
        <v>0.612651997828847</v>
      </c>
      <c r="X296" s="17" t="n">
        <f aca="false">SQRT(($B296-X$270)^2+($C296-X$271)^2+($D296-X$272)^2)</f>
        <v>4.61500990770194</v>
      </c>
      <c r="Y296" s="17" t="n">
        <f aca="false">SQRT(($B296-Y$270)^2+($C296-Y$271)^2+($D296-Y$272)^2)</f>
        <v>3.93388071911523</v>
      </c>
      <c r="Z296" s="17" t="n">
        <f aca="false">SQRT(($B296-Z$270)^2+($C296-Z$271)^2+($D296-Z$272)^2)</f>
        <v>0.637550286444693</v>
      </c>
      <c r="AA296" s="17" t="n">
        <f aca="false">SQRT(($B296-AA$270)^2+($C296-AA$271)^2+($D296-AA$272)^2)</f>
        <v>2.38824877056561</v>
      </c>
      <c r="AB296" s="17" t="n">
        <f aca="false">SQRT(($B296-AB$270)^2+($C296-AB$271)^2+($D296-AB$272)^2)</f>
        <v>2.5151808548031</v>
      </c>
      <c r="AC296" s="63" t="n">
        <f aca="false">MATCH(MIN(X296:AB296),X296:AB296,0)</f>
        <v>3</v>
      </c>
      <c r="AE296" s="17" t="n">
        <f aca="false">SQRT(($B296-AE$270)^2+($C296-AE$271)^2+($D296-AE$272)^2)</f>
        <v>4.52093128774509</v>
      </c>
      <c r="AF296" s="17" t="n">
        <f aca="false">SQRT(($B296-AF$270)^2+($C296-AF$271)^2+($D296-AF$272)^2)</f>
        <v>3.21699079536029</v>
      </c>
      <c r="AG296" s="17" t="n">
        <f aca="false">SQRT(($B296-AG$270)^2+($C296-AG$271)^2+($D296-AG$272)^2)</f>
        <v>0.463126254356511</v>
      </c>
      <c r="AH296" s="17" t="n">
        <f aca="false">SQRT(($B296-AH$270)^2+($C296-AH$271)^2+($D296-AH$272)^2)</f>
        <v>2.21170796932836</v>
      </c>
      <c r="AI296" s="17" t="n">
        <f aca="false">SQRT(($B296-AI$270)^2+($C296-AI$271)^2+($D296-AI$272)^2)</f>
        <v>2.26766433303854</v>
      </c>
      <c r="AJ296" s="63" t="n">
        <f aca="false">MATCH(MIN(AE296:AI296),AE296:AI296,0)</f>
        <v>3</v>
      </c>
      <c r="AL296" s="17" t="n">
        <f aca="false">SQRT(($B296-AL$270)^2+($C296-AL$271)^2+($D296-AL$272)^2)</f>
        <v>4.52093128774509</v>
      </c>
      <c r="AM296" s="17" t="n">
        <f aca="false">SQRT(($B296-AM$270)^2+($C296-AM$271)^2+($D296-AM$272)^2)</f>
        <v>3.24252487272103</v>
      </c>
      <c r="AN296" s="17" t="n">
        <f aca="false">SQRT(($B296-AN$270)^2+($C296-AN$271)^2+($D296-AN$272)^2)</f>
        <v>0.385930795689273</v>
      </c>
      <c r="AO296" s="17" t="n">
        <f aca="false">SQRT(($B296-AO$270)^2+($C296-AO$271)^2+($D296-AO$272)^2)</f>
        <v>2.15371795204471</v>
      </c>
      <c r="AP296" s="17" t="n">
        <f aca="false">SQRT(($B296-AP$270)^2+($C296-AP$271)^2+($D296-AP$272)^2)</f>
        <v>2.00346301533776</v>
      </c>
      <c r="AQ296" s="63" t="n">
        <f aca="false">MATCH(MIN(AL296:AP296),AL296:AP296,0)</f>
        <v>3</v>
      </c>
      <c r="AS296" s="17" t="n">
        <f aca="false">SQRT(($B296-AS$270)^2+($C296-AS$271)^2+($D296-AS$272)^2)</f>
        <v>4.52093128774509</v>
      </c>
      <c r="AT296" s="17" t="n">
        <f aca="false">SQRT(($B296-AT$270)^2+($C296-AT$271)^2+($D296-AT$272)^2)</f>
        <v>3.32625059027566</v>
      </c>
      <c r="AU296" s="17" t="n">
        <f aca="false">SQRT(($B296-AU$270)^2+($C296-AU$271)^2+($D296-AU$272)^2)</f>
        <v>0.358921331094263</v>
      </c>
      <c r="AV296" s="17" t="n">
        <f aca="false">SQRT(($B296-AV$270)^2+($C296-AV$271)^2+($D296-AV$272)^2)</f>
        <v>2.15731359771124</v>
      </c>
      <c r="AW296" s="17" t="n">
        <f aca="false">SQRT(($B296-AW$270)^2+($C296-AW$271)^2+($D296-AW$272)^2)</f>
        <v>2.00346301533776</v>
      </c>
      <c r="AX296" s="63" t="n">
        <f aca="false">MATCH(MIN(AS296:AW296),AS296:AW296,0)</f>
        <v>3</v>
      </c>
      <c r="AZ296" s="17" t="n">
        <f aca="false">SQRT(($B296-AZ$270)^2+($C296-AZ$271)^2+($D296-AZ$272)^2)</f>
        <v>4.52093128774509</v>
      </c>
      <c r="BA296" s="17" t="n">
        <f aca="false">SQRT(($B296-BA$270)^2+($C296-BA$271)^2+($D296-BA$272)^2)</f>
        <v>3.32625059027566</v>
      </c>
      <c r="BB296" s="17" t="n">
        <f aca="false">SQRT(($B296-BB$270)^2+($C296-BB$271)^2+($D296-BB$272)^2)</f>
        <v>0.358921331094263</v>
      </c>
      <c r="BC296" s="17" t="n">
        <f aca="false">SQRT(($B296-BC$270)^2+($C296-BC$271)^2+($D296-BC$272)^2)</f>
        <v>2.15731359771124</v>
      </c>
      <c r="BD296" s="17" t="n">
        <f aca="false">SQRT(($B296-BD$270)^2+($C296-BD$271)^2+($D296-BD$272)^2)</f>
        <v>2.00346301533776</v>
      </c>
      <c r="BE296" s="63" t="n">
        <f aca="false">MATCH(MIN(AZ296:BD296),AZ296:BD296,0)</f>
        <v>3</v>
      </c>
      <c r="BG296" s="17" t="n">
        <f aca="false">SQRT(($B296-BG$270)^2+($C296-BG$271)^2+($D296-BG$272)^2)</f>
        <v>4.52093128774509</v>
      </c>
      <c r="BH296" s="17" t="n">
        <f aca="false">SQRT(($B296-BH$270)^2+($C296-BH$271)^2+($D296-BH$272)^2)</f>
        <v>3.32625059027566</v>
      </c>
      <c r="BI296" s="17" t="n">
        <f aca="false">SQRT(($B296-BI$270)^2+($C296-BI$271)^2+($D296-BI$272)^2)</f>
        <v>0.358921331094263</v>
      </c>
      <c r="BJ296" s="17" t="n">
        <f aca="false">SQRT(($B296-BJ$270)^2+($C296-BJ$271)^2+($D296-BJ$272)^2)</f>
        <v>2.15731359771124</v>
      </c>
      <c r="BK296" s="17" t="n">
        <f aca="false">SQRT(($B296-BK$270)^2+($C296-BK$271)^2+($D296-BK$272)^2)</f>
        <v>2.00346301533776</v>
      </c>
      <c r="BL296" s="63" t="n">
        <f aca="false">MATCH(MIN(BG296:BK296),BG296:BK296,0)</f>
        <v>3</v>
      </c>
      <c r="BN296" s="17" t="n">
        <f aca="false">SQRT(($B296-BN$270)^2+($C296-BN$271)^2+($D296-BN$272)^2)</f>
        <v>4.52093128774509</v>
      </c>
      <c r="BO296" s="17" t="n">
        <f aca="false">SQRT(($B296-BO$270)^2+($C296-BO$271)^2+($D296-BO$272)^2)</f>
        <v>3.32625059027566</v>
      </c>
      <c r="BP296" s="17" t="n">
        <f aca="false">SQRT(($B296-BP$270)^2+($C296-BP$271)^2+($D296-BP$272)^2)</f>
        <v>0.358921331094263</v>
      </c>
      <c r="BQ296" s="17" t="n">
        <f aca="false">SQRT(($B296-BQ$270)^2+($C296-BQ$271)^2+($D296-BQ$272)^2)</f>
        <v>2.15731359771124</v>
      </c>
      <c r="BR296" s="17" t="n">
        <f aca="false">SQRT(($B296-BR$270)^2+($C296-BR$271)^2+($D296-BR$272)^2)</f>
        <v>2.00346301533776</v>
      </c>
      <c r="BS296" s="63" t="n">
        <f aca="false">MATCH(MIN(BN296:BR296),BN296:BR296,0)</f>
        <v>3</v>
      </c>
      <c r="BU296" s="17" t="n">
        <f aca="false">SQRT(($B296-BU$270)^2+($C296-BU$271)^2+($D296-BU$272)^2)</f>
        <v>4.52093128774509</v>
      </c>
      <c r="BV296" s="17" t="n">
        <f aca="false">SQRT(($B296-BV$270)^2+($C296-BV$271)^2+($D296-BV$272)^2)</f>
        <v>3.32625059027566</v>
      </c>
      <c r="BW296" s="17" t="n">
        <f aca="false">SQRT(($B296-BW$270)^2+($C296-BW$271)^2+($D296-BW$272)^2)</f>
        <v>0.358921331094263</v>
      </c>
      <c r="BX296" s="17" t="n">
        <f aca="false">SQRT(($B296-BX$270)^2+($C296-BX$271)^2+($D296-BX$272)^2)</f>
        <v>2.15731359771124</v>
      </c>
      <c r="BY296" s="17" t="n">
        <f aca="false">SQRT(($B296-BY$270)^2+($C296-BY$271)^2+($D296-BY$272)^2)</f>
        <v>2.00346301533776</v>
      </c>
      <c r="BZ296" s="63" t="n">
        <f aca="false">MATCH(MIN(BU296:BY296),BU296:BY296,0)</f>
        <v>3</v>
      </c>
      <c r="CB296" s="17" t="n">
        <f aca="false">SQRT(($B296-CB$270)^2+($C296-CB$271)^2+($D296-CB$272)^2)</f>
        <v>4.52093128774509</v>
      </c>
      <c r="CC296" s="17" t="n">
        <f aca="false">SQRT(($B296-CC$270)^2+($C296-CC$271)^2+($D296-CC$272)^2)</f>
        <v>3.32625059027566</v>
      </c>
      <c r="CD296" s="17" t="n">
        <f aca="false">SQRT(($B296-CD$270)^2+($C296-CD$271)^2+($D296-CD$272)^2)</f>
        <v>0.358921331094263</v>
      </c>
      <c r="CE296" s="17" t="n">
        <f aca="false">SQRT(($B296-CE$270)^2+($C296-CE$271)^2+($D296-CE$272)^2)</f>
        <v>2.15731359771124</v>
      </c>
      <c r="CF296" s="17" t="n">
        <f aca="false">SQRT(($B296-CF$270)^2+($C296-CF$271)^2+($D296-CF$272)^2)</f>
        <v>2.00346301533776</v>
      </c>
      <c r="CG296" s="63" t="n">
        <f aca="false">MATCH(MIN(CB296:CF296),CB296:CF296,0)</f>
        <v>3</v>
      </c>
      <c r="CI296" s="17" t="n">
        <f aca="false">SQRT(($B296-CI$270)^2+($C296-CI$271)^2+($D296-CI$272)^2)</f>
        <v>4.52093128774509</v>
      </c>
      <c r="CJ296" s="17" t="n">
        <f aca="false">SQRT(($B296-CJ$270)^2+($C296-CJ$271)^2+($D296-CJ$272)^2)</f>
        <v>3.32625059027566</v>
      </c>
      <c r="CK296" s="17" t="n">
        <f aca="false">SQRT(($B296-CK$270)^2+($C296-CK$271)^2+($D296-CK$272)^2)</f>
        <v>0.358921331094263</v>
      </c>
      <c r="CL296" s="17" t="n">
        <f aca="false">SQRT(($B296-CL$270)^2+($C296-CL$271)^2+($D296-CL$272)^2)</f>
        <v>2.15731359771124</v>
      </c>
      <c r="CM296" s="17" t="n">
        <f aca="false">SQRT(($B296-CM$270)^2+($C296-CM$271)^2+($D296-CM$272)^2)</f>
        <v>2.00346301533776</v>
      </c>
      <c r="CN296" s="63" t="n">
        <f aca="false">MATCH(MIN(CI296:CM296),CI296:CM296,0)</f>
        <v>3</v>
      </c>
      <c r="CP296" s="17" t="n">
        <f aca="false">SQRT(($B296-CP$270)^2+($C296-CP$271)^2+($D296-CP$272)^2)</f>
        <v>4.52093128774509</v>
      </c>
      <c r="CQ296" s="17" t="n">
        <f aca="false">SQRT(($B296-CQ$270)^2+($C296-CQ$271)^2+($D296-CQ$272)^2)</f>
        <v>3.32625059027566</v>
      </c>
      <c r="CR296" s="17" t="n">
        <f aca="false">SQRT(($B296-CR$270)^2+($C296-CR$271)^2+($D296-CR$272)^2)</f>
        <v>0.358921331094263</v>
      </c>
      <c r="CS296" s="17" t="n">
        <f aca="false">SQRT(($B296-CS$270)^2+($C296-CS$271)^2+($D296-CS$272)^2)</f>
        <v>2.15731359771124</v>
      </c>
      <c r="CT296" s="17" t="n">
        <f aca="false">SQRT(($B296-CT$270)^2+($C296-CT$271)^2+($D296-CT$272)^2)</f>
        <v>2.00346301533776</v>
      </c>
      <c r="CU296" s="63" t="n">
        <f aca="false">MATCH(MIN(CP296:CT296),CP296:CT296,0)</f>
        <v>3</v>
      </c>
      <c r="CW296" s="17" t="n">
        <f aca="false">SQRT(($B296-CW$270)^2+($C296-CW$271)^2+($D296-CW$272)^2)</f>
        <v>4.52093128774509</v>
      </c>
      <c r="CX296" s="17" t="n">
        <f aca="false">SQRT(($B296-CX$270)^2+($C296-CX$271)^2+($D296-CX$272)^2)</f>
        <v>3.32625059027566</v>
      </c>
      <c r="CY296" s="17" t="n">
        <f aca="false">SQRT(($B296-CY$270)^2+($C296-CY$271)^2+($D296-CY$272)^2)</f>
        <v>0.358921331094263</v>
      </c>
      <c r="CZ296" s="17" t="n">
        <f aca="false">SQRT(($B296-CZ$270)^2+($C296-CZ$271)^2+($D296-CZ$272)^2)</f>
        <v>2.15731359771124</v>
      </c>
      <c r="DA296" s="17" t="n">
        <f aca="false">SQRT(($B296-DA$270)^2+($C296-DA$271)^2+($D296-DA$272)^2)</f>
        <v>2.00346301533776</v>
      </c>
      <c r="DB296" s="63" t="n">
        <f aca="false">MATCH(MIN(CW296:DA296),CW296:DA296,0)</f>
        <v>3</v>
      </c>
    </row>
    <row r="297" customFormat="false" ht="15" hidden="false" customHeight="false" outlineLevel="0" collapsed="false">
      <c r="A297" s="36" t="str">
        <f aca="false">KMeans_Data!A25</f>
        <v>Dera Ghazi Khan</v>
      </c>
      <c r="B297" s="17" t="n">
        <f aca="false">KMeans_Data!H25</f>
        <v>0.789836374639921</v>
      </c>
      <c r="C297" s="17" t="n">
        <f aca="false">KMeans_Data!I25</f>
        <v>0.803084449535714</v>
      </c>
      <c r="D297" s="17" t="n">
        <f aca="false">KMeans_Data!J25</f>
        <v>1.26838439516132</v>
      </c>
      <c r="E297" s="63" t="n">
        <f aca="false">DB297</f>
        <v>3</v>
      </c>
      <c r="F297" s="38" t="n">
        <f aca="false">($B297-INDEX($L$270:$P$270,E297))^2+($C297-INDEX($L$271:$P$271,E297))^2+($D297-INDEX($L$272:$P$272,E297))^2</f>
        <v>0.243619179579064</v>
      </c>
      <c r="G297" s="17" t="n">
        <f aca="false">IF(COUNTIF(Distance_Matrix!$E$11:$DQ$11,$E297)&lt;=1,0,SUMIF(Distance_Matrix!$E$11:$DQ$11,$E297,Distance_Matrix!$E$34:$DQ$34)/(COUNTIF(Distance_Matrix!$E$11:$DQ$11,$E297)-1))</f>
        <v>0.862824000428645</v>
      </c>
      <c r="H297" s="17" t="n">
        <f aca="false">MIN(IF(1=$E297,1E+099,IF(COUNTIF(Distance_Matrix!$E$11:$DQ$11,1)=0,1E+099,SUMIF(Distance_Matrix!$E$11:$DQ$11,1,Distance_Matrix!$E$34:$DQ$34)/COUNTIF(Distance_Matrix!$E$11:$DQ$11,1))),IF(2=$E297,1E+099,IF(COUNTIF(Distance_Matrix!$E$11:$DQ$11,2)=0,1E+099,SUMIF(Distance_Matrix!$E$11:$DQ$11,2,Distance_Matrix!$E$34:$DQ$34)/COUNTIF(Distance_Matrix!$E$11:$DQ$11,2))),IF(3=$E297,1E+099,IF(COUNTIF(Distance_Matrix!$E$11:$DQ$11,3)=0,1E+099,SUMIF(Distance_Matrix!$E$11:$DQ$11,3,Distance_Matrix!$E$34:$DQ$34)/COUNTIF(Distance_Matrix!$E$11:$DQ$11,3))),IF(4=$E297,1E+099,IF(COUNTIF(Distance_Matrix!$E$11:$DQ$11,4)=0,1E+099,SUMIF(Distance_Matrix!$E$11:$DQ$11,4,Distance_Matrix!$E$34:$DQ$34)/COUNTIF(Distance_Matrix!$E$11:$DQ$11,4))),IF(5=$E297,1E+099,IF(COUNTIF(Distance_Matrix!$E$11:$DQ$11,5)=0,1E+099,SUMIF(Distance_Matrix!$E$11:$DQ$11,5,Distance_Matrix!$E$34:$DQ$34)/COUNTIF(Distance_Matrix!$E$11:$DQ$11,5))))</f>
        <v>2.03420272465356</v>
      </c>
      <c r="I297" s="17" t="n">
        <f aca="false">IF(COUNTIF(Distance_Matrix!$E$11:$DQ$11,$E297)&lt;=1,0,(H297-G297)/MAX(G297,H297))</f>
        <v>0.57584168481753</v>
      </c>
      <c r="X297" s="17" t="n">
        <f aca="false">SQRT(($B297-X$270)^2+($C297-X$271)^2+($D297-X$272)^2)</f>
        <v>4.53655738479708</v>
      </c>
      <c r="Y297" s="17" t="n">
        <f aca="false">SQRT(($B297-Y$270)^2+($C297-Y$271)^2+($D297-Y$272)^2)</f>
        <v>4.02986158778563</v>
      </c>
      <c r="Z297" s="17" t="n">
        <f aca="false">SQRT(($B297-Z$270)^2+($C297-Z$271)^2+($D297-Z$272)^2)</f>
        <v>0.53121011056296</v>
      </c>
      <c r="AA297" s="17" t="n">
        <f aca="false">SQRT(($B297-AA$270)^2+($C297-AA$271)^2+($D297-AA$272)^2)</f>
        <v>2.59825809517442</v>
      </c>
      <c r="AB297" s="17" t="n">
        <f aca="false">SQRT(($B297-AB$270)^2+($C297-AB$271)^2+($D297-AB$272)^2)</f>
        <v>2.4334475978012</v>
      </c>
      <c r="AC297" s="63" t="n">
        <f aca="false">MATCH(MIN(X297:AB297),X297:AB297,0)</f>
        <v>3</v>
      </c>
      <c r="AE297" s="17" t="n">
        <f aca="false">SQRT(($B297-AE$270)^2+($C297-AE$271)^2+($D297-AE$272)^2)</f>
        <v>4.45557707556801</v>
      </c>
      <c r="AF297" s="17" t="n">
        <f aca="false">SQRT(($B297-AF$270)^2+($C297-AF$271)^2+($D297-AF$272)^2)</f>
        <v>3.33210740136546</v>
      </c>
      <c r="AG297" s="17" t="n">
        <f aca="false">SQRT(($B297-AG$270)^2+($C297-AG$271)^2+($D297-AG$272)^2)</f>
        <v>0.573330019837488</v>
      </c>
      <c r="AH297" s="17" t="n">
        <f aca="false">SQRT(($B297-AH$270)^2+($C297-AH$271)^2+($D297-AH$272)^2)</f>
        <v>2.3606587481345</v>
      </c>
      <c r="AI297" s="17" t="n">
        <f aca="false">SQRT(($B297-AI$270)^2+($C297-AI$271)^2+($D297-AI$272)^2)</f>
        <v>2.23169378370143</v>
      </c>
      <c r="AJ297" s="63" t="n">
        <f aca="false">MATCH(MIN(AE297:AI297),AE297:AI297,0)</f>
        <v>3</v>
      </c>
      <c r="AL297" s="17" t="n">
        <f aca="false">SQRT(($B297-AL$270)^2+($C297-AL$271)^2+($D297-AL$272)^2)</f>
        <v>4.45557707556801</v>
      </c>
      <c r="AM297" s="17" t="n">
        <f aca="false">SQRT(($B297-AM$270)^2+($C297-AM$271)^2+($D297-AM$272)^2)</f>
        <v>3.36037653909172</v>
      </c>
      <c r="AN297" s="17" t="n">
        <f aca="false">SQRT(($B297-AN$270)^2+($C297-AN$271)^2+($D297-AN$272)^2)</f>
        <v>0.518828473670801</v>
      </c>
      <c r="AO297" s="17" t="n">
        <f aca="false">SQRT(($B297-AO$270)^2+($C297-AO$271)^2+($D297-AO$272)^2)</f>
        <v>2.29427502659143</v>
      </c>
      <c r="AP297" s="17" t="n">
        <f aca="false">SQRT(($B297-AP$270)^2+($C297-AP$271)^2+($D297-AP$272)^2)</f>
        <v>1.97218660244113</v>
      </c>
      <c r="AQ297" s="63" t="n">
        <f aca="false">MATCH(MIN(AL297:AP297),AL297:AP297,0)</f>
        <v>3</v>
      </c>
      <c r="AS297" s="17" t="n">
        <f aca="false">SQRT(($B297-AS$270)^2+($C297-AS$271)^2+($D297-AS$272)^2)</f>
        <v>4.45557707556801</v>
      </c>
      <c r="AT297" s="17" t="n">
        <f aca="false">SQRT(($B297-AT$270)^2+($C297-AT$271)^2+($D297-AT$272)^2)</f>
        <v>3.44648658832986</v>
      </c>
      <c r="AU297" s="17" t="n">
        <f aca="false">SQRT(($B297-AU$270)^2+($C297-AU$271)^2+($D297-AU$272)^2)</f>
        <v>0.493577936681801</v>
      </c>
      <c r="AV297" s="17" t="n">
        <f aca="false">SQRT(($B297-AV$270)^2+($C297-AV$271)^2+($D297-AV$272)^2)</f>
        <v>2.29429921169373</v>
      </c>
      <c r="AW297" s="17" t="n">
        <f aca="false">SQRT(($B297-AW$270)^2+($C297-AW$271)^2+($D297-AW$272)^2)</f>
        <v>1.97218660244113</v>
      </c>
      <c r="AX297" s="63" t="n">
        <f aca="false">MATCH(MIN(AS297:AW297),AS297:AW297,0)</f>
        <v>3</v>
      </c>
      <c r="AZ297" s="17" t="n">
        <f aca="false">SQRT(($B297-AZ$270)^2+($C297-AZ$271)^2+($D297-AZ$272)^2)</f>
        <v>4.45557707556801</v>
      </c>
      <c r="BA297" s="17" t="n">
        <f aca="false">SQRT(($B297-BA$270)^2+($C297-BA$271)^2+($D297-BA$272)^2)</f>
        <v>3.44648658832986</v>
      </c>
      <c r="BB297" s="17" t="n">
        <f aca="false">SQRT(($B297-BB$270)^2+($C297-BB$271)^2+($D297-BB$272)^2)</f>
        <v>0.493577936681801</v>
      </c>
      <c r="BC297" s="17" t="n">
        <f aca="false">SQRT(($B297-BC$270)^2+($C297-BC$271)^2+($D297-BC$272)^2)</f>
        <v>2.29429921169373</v>
      </c>
      <c r="BD297" s="17" t="n">
        <f aca="false">SQRT(($B297-BD$270)^2+($C297-BD$271)^2+($D297-BD$272)^2)</f>
        <v>1.97218660244113</v>
      </c>
      <c r="BE297" s="63" t="n">
        <f aca="false">MATCH(MIN(AZ297:BD297),AZ297:BD297,0)</f>
        <v>3</v>
      </c>
      <c r="BG297" s="17" t="n">
        <f aca="false">SQRT(($B297-BG$270)^2+($C297-BG$271)^2+($D297-BG$272)^2)</f>
        <v>4.45557707556801</v>
      </c>
      <c r="BH297" s="17" t="n">
        <f aca="false">SQRT(($B297-BH$270)^2+($C297-BH$271)^2+($D297-BH$272)^2)</f>
        <v>3.44648658832986</v>
      </c>
      <c r="BI297" s="17" t="n">
        <f aca="false">SQRT(($B297-BI$270)^2+($C297-BI$271)^2+($D297-BI$272)^2)</f>
        <v>0.493577936681801</v>
      </c>
      <c r="BJ297" s="17" t="n">
        <f aca="false">SQRT(($B297-BJ$270)^2+($C297-BJ$271)^2+($D297-BJ$272)^2)</f>
        <v>2.29429921169373</v>
      </c>
      <c r="BK297" s="17" t="n">
        <f aca="false">SQRT(($B297-BK$270)^2+($C297-BK$271)^2+($D297-BK$272)^2)</f>
        <v>1.97218660244113</v>
      </c>
      <c r="BL297" s="63" t="n">
        <f aca="false">MATCH(MIN(BG297:BK297),BG297:BK297,0)</f>
        <v>3</v>
      </c>
      <c r="BN297" s="17" t="n">
        <f aca="false">SQRT(($B297-BN$270)^2+($C297-BN$271)^2+($D297-BN$272)^2)</f>
        <v>4.45557707556801</v>
      </c>
      <c r="BO297" s="17" t="n">
        <f aca="false">SQRT(($B297-BO$270)^2+($C297-BO$271)^2+($D297-BO$272)^2)</f>
        <v>3.44648658832986</v>
      </c>
      <c r="BP297" s="17" t="n">
        <f aca="false">SQRT(($B297-BP$270)^2+($C297-BP$271)^2+($D297-BP$272)^2)</f>
        <v>0.493577936681801</v>
      </c>
      <c r="BQ297" s="17" t="n">
        <f aca="false">SQRT(($B297-BQ$270)^2+($C297-BQ$271)^2+($D297-BQ$272)^2)</f>
        <v>2.29429921169373</v>
      </c>
      <c r="BR297" s="17" t="n">
        <f aca="false">SQRT(($B297-BR$270)^2+($C297-BR$271)^2+($D297-BR$272)^2)</f>
        <v>1.97218660244113</v>
      </c>
      <c r="BS297" s="63" t="n">
        <f aca="false">MATCH(MIN(BN297:BR297),BN297:BR297,0)</f>
        <v>3</v>
      </c>
      <c r="BU297" s="17" t="n">
        <f aca="false">SQRT(($B297-BU$270)^2+($C297-BU$271)^2+($D297-BU$272)^2)</f>
        <v>4.45557707556801</v>
      </c>
      <c r="BV297" s="17" t="n">
        <f aca="false">SQRT(($B297-BV$270)^2+($C297-BV$271)^2+($D297-BV$272)^2)</f>
        <v>3.44648658832986</v>
      </c>
      <c r="BW297" s="17" t="n">
        <f aca="false">SQRT(($B297-BW$270)^2+($C297-BW$271)^2+($D297-BW$272)^2)</f>
        <v>0.493577936681801</v>
      </c>
      <c r="BX297" s="17" t="n">
        <f aca="false">SQRT(($B297-BX$270)^2+($C297-BX$271)^2+($D297-BX$272)^2)</f>
        <v>2.29429921169373</v>
      </c>
      <c r="BY297" s="17" t="n">
        <f aca="false">SQRT(($B297-BY$270)^2+($C297-BY$271)^2+($D297-BY$272)^2)</f>
        <v>1.97218660244113</v>
      </c>
      <c r="BZ297" s="63" t="n">
        <f aca="false">MATCH(MIN(BU297:BY297),BU297:BY297,0)</f>
        <v>3</v>
      </c>
      <c r="CB297" s="17" t="n">
        <f aca="false">SQRT(($B297-CB$270)^2+($C297-CB$271)^2+($D297-CB$272)^2)</f>
        <v>4.45557707556801</v>
      </c>
      <c r="CC297" s="17" t="n">
        <f aca="false">SQRT(($B297-CC$270)^2+($C297-CC$271)^2+($D297-CC$272)^2)</f>
        <v>3.44648658832986</v>
      </c>
      <c r="CD297" s="17" t="n">
        <f aca="false">SQRT(($B297-CD$270)^2+($C297-CD$271)^2+($D297-CD$272)^2)</f>
        <v>0.493577936681801</v>
      </c>
      <c r="CE297" s="17" t="n">
        <f aca="false">SQRT(($B297-CE$270)^2+($C297-CE$271)^2+($D297-CE$272)^2)</f>
        <v>2.29429921169373</v>
      </c>
      <c r="CF297" s="17" t="n">
        <f aca="false">SQRT(($B297-CF$270)^2+($C297-CF$271)^2+($D297-CF$272)^2)</f>
        <v>1.97218660244113</v>
      </c>
      <c r="CG297" s="63" t="n">
        <f aca="false">MATCH(MIN(CB297:CF297),CB297:CF297,0)</f>
        <v>3</v>
      </c>
      <c r="CI297" s="17" t="n">
        <f aca="false">SQRT(($B297-CI$270)^2+($C297-CI$271)^2+($D297-CI$272)^2)</f>
        <v>4.45557707556801</v>
      </c>
      <c r="CJ297" s="17" t="n">
        <f aca="false">SQRT(($B297-CJ$270)^2+($C297-CJ$271)^2+($D297-CJ$272)^2)</f>
        <v>3.44648658832986</v>
      </c>
      <c r="CK297" s="17" t="n">
        <f aca="false">SQRT(($B297-CK$270)^2+($C297-CK$271)^2+($D297-CK$272)^2)</f>
        <v>0.493577936681801</v>
      </c>
      <c r="CL297" s="17" t="n">
        <f aca="false">SQRT(($B297-CL$270)^2+($C297-CL$271)^2+($D297-CL$272)^2)</f>
        <v>2.29429921169373</v>
      </c>
      <c r="CM297" s="17" t="n">
        <f aca="false">SQRT(($B297-CM$270)^2+($C297-CM$271)^2+($D297-CM$272)^2)</f>
        <v>1.97218660244113</v>
      </c>
      <c r="CN297" s="63" t="n">
        <f aca="false">MATCH(MIN(CI297:CM297),CI297:CM297,0)</f>
        <v>3</v>
      </c>
      <c r="CP297" s="17" t="n">
        <f aca="false">SQRT(($B297-CP$270)^2+($C297-CP$271)^2+($D297-CP$272)^2)</f>
        <v>4.45557707556801</v>
      </c>
      <c r="CQ297" s="17" t="n">
        <f aca="false">SQRT(($B297-CQ$270)^2+($C297-CQ$271)^2+($D297-CQ$272)^2)</f>
        <v>3.44648658832986</v>
      </c>
      <c r="CR297" s="17" t="n">
        <f aca="false">SQRT(($B297-CR$270)^2+($C297-CR$271)^2+($D297-CR$272)^2)</f>
        <v>0.493577936681801</v>
      </c>
      <c r="CS297" s="17" t="n">
        <f aca="false">SQRT(($B297-CS$270)^2+($C297-CS$271)^2+($D297-CS$272)^2)</f>
        <v>2.29429921169373</v>
      </c>
      <c r="CT297" s="17" t="n">
        <f aca="false">SQRT(($B297-CT$270)^2+($C297-CT$271)^2+($D297-CT$272)^2)</f>
        <v>1.97218660244113</v>
      </c>
      <c r="CU297" s="63" t="n">
        <f aca="false">MATCH(MIN(CP297:CT297),CP297:CT297,0)</f>
        <v>3</v>
      </c>
      <c r="CW297" s="17" t="n">
        <f aca="false">SQRT(($B297-CW$270)^2+($C297-CW$271)^2+($D297-CW$272)^2)</f>
        <v>4.45557707556801</v>
      </c>
      <c r="CX297" s="17" t="n">
        <f aca="false">SQRT(($B297-CX$270)^2+($C297-CX$271)^2+($D297-CX$272)^2)</f>
        <v>3.44648658832986</v>
      </c>
      <c r="CY297" s="17" t="n">
        <f aca="false">SQRT(($B297-CY$270)^2+($C297-CY$271)^2+($D297-CY$272)^2)</f>
        <v>0.493577936681801</v>
      </c>
      <c r="CZ297" s="17" t="n">
        <f aca="false">SQRT(($B297-CZ$270)^2+($C297-CZ$271)^2+($D297-CZ$272)^2)</f>
        <v>2.29429921169373</v>
      </c>
      <c r="DA297" s="17" t="n">
        <f aca="false">SQRT(($B297-DA$270)^2+($C297-DA$271)^2+($D297-DA$272)^2)</f>
        <v>1.97218660244113</v>
      </c>
      <c r="DB297" s="63" t="n">
        <f aca="false">MATCH(MIN(CW297:DA297),CW297:DA297,0)</f>
        <v>3</v>
      </c>
    </row>
    <row r="298" customFormat="false" ht="15" hidden="false" customHeight="false" outlineLevel="0" collapsed="false">
      <c r="A298" s="36" t="str">
        <f aca="false">KMeans_Data!A26</f>
        <v>Charsadda</v>
      </c>
      <c r="B298" s="17" t="n">
        <f aca="false">KMeans_Data!H26</f>
        <v>0.7856220194878</v>
      </c>
      <c r="C298" s="17" t="n">
        <f aca="false">KMeans_Data!I26</f>
        <v>0.803084449535714</v>
      </c>
      <c r="D298" s="17" t="n">
        <f aca="false">KMeans_Data!J26</f>
        <v>0.618328666074444</v>
      </c>
      <c r="E298" s="63" t="n">
        <f aca="false">DB298</f>
        <v>3</v>
      </c>
      <c r="F298" s="38" t="n">
        <f aca="false">($B298-INDEX($L$270:$P$270,E298))^2+($C298-INDEX($L$271:$P$271,E298))^2+($D298-INDEX($L$272:$P$272,E298))^2</f>
        <v>0.134303805005085</v>
      </c>
      <c r="G298" s="17" t="n">
        <f aca="false">IF(COUNTIF(Distance_Matrix!$E$11:$DQ$11,$E298)&lt;=1,0,SUMIF(Distance_Matrix!$E$11:$DQ$11,$E298,Distance_Matrix!$E$35:$DQ$35)/(COUNTIF(Distance_Matrix!$E$11:$DQ$11,$E298)-1))</f>
        <v>0.814592017689702</v>
      </c>
      <c r="H298" s="17" t="n">
        <f aca="false">MIN(IF(1=$E298,1E+099,IF(COUNTIF(Distance_Matrix!$E$11:$DQ$11,1)=0,1E+099,SUMIF(Distance_Matrix!$E$11:$DQ$11,1,Distance_Matrix!$E$35:$DQ$35)/COUNTIF(Distance_Matrix!$E$11:$DQ$11,1))),IF(2=$E298,1E+099,IF(COUNTIF(Distance_Matrix!$E$11:$DQ$11,2)=0,1E+099,SUMIF(Distance_Matrix!$E$11:$DQ$11,2,Distance_Matrix!$E$35:$DQ$35)/COUNTIF(Distance_Matrix!$E$11:$DQ$11,2))),IF(3=$E298,1E+099,IF(COUNTIF(Distance_Matrix!$E$11:$DQ$11,3)=0,1E+099,SUMIF(Distance_Matrix!$E$11:$DQ$11,3,Distance_Matrix!$E$35:$DQ$35)/COUNTIF(Distance_Matrix!$E$11:$DQ$11,3))),IF(4=$E298,1E+099,IF(COUNTIF(Distance_Matrix!$E$11:$DQ$11,4)=0,1E+099,SUMIF(Distance_Matrix!$E$11:$DQ$11,4,Distance_Matrix!$E$35:$DQ$35)/COUNTIF(Distance_Matrix!$E$11:$DQ$11,4))),IF(5=$E298,1E+099,IF(COUNTIF(Distance_Matrix!$E$11:$DQ$11,5)=0,1E+099,SUMIF(Distance_Matrix!$E$11:$DQ$11,5,Distance_Matrix!$E$35:$DQ$35)/COUNTIF(Distance_Matrix!$E$11:$DQ$11,5))))</f>
        <v>2.00155750420841</v>
      </c>
      <c r="I298" s="17" t="n">
        <f aca="false">IF(COUNTIF(Distance_Matrix!$E$11:$DQ$11,$E298)&lt;=1,0,(H298-G298)/MAX(G298,H298))</f>
        <v>0.593020926964642</v>
      </c>
      <c r="X298" s="17" t="n">
        <f aca="false">SQRT(($B298-X$270)^2+($C298-X$271)^2+($D298-X$272)^2)</f>
        <v>4.85836723486541</v>
      </c>
      <c r="Y298" s="17" t="n">
        <f aca="false">SQRT(($B298-Y$270)^2+($C298-Y$271)^2+($D298-Y$272)^2)</f>
        <v>3.67419129732225</v>
      </c>
      <c r="Z298" s="17" t="n">
        <f aca="false">SQRT(($B298-Z$270)^2+($C298-Z$271)^2+($D298-Z$272)^2)</f>
        <v>0.984636652935809</v>
      </c>
      <c r="AA298" s="17" t="n">
        <f aca="false">SQRT(($B298-AA$270)^2+($C298-AA$271)^2+($D298-AA$272)^2)</f>
        <v>2.00843573506045</v>
      </c>
      <c r="AB298" s="17" t="n">
        <f aca="false">SQRT(($B298-AB$270)^2+($C298-AB$271)^2+($D298-AB$272)^2)</f>
        <v>2.79156150661578</v>
      </c>
      <c r="AC298" s="63" t="n">
        <f aca="false">MATCH(MIN(X298:AB298),X298:AB298,0)</f>
        <v>3</v>
      </c>
      <c r="AE298" s="17" t="n">
        <f aca="false">SQRT(($B298-AE$270)^2+($C298-AE$271)^2+($D298-AE$272)^2)</f>
        <v>4.7437835837132</v>
      </c>
      <c r="AF298" s="17" t="n">
        <f aca="false">SQRT(($B298-AF$270)^2+($C298-AF$271)^2+($D298-AF$272)^2)</f>
        <v>2.93998022942278</v>
      </c>
      <c r="AG298" s="17" t="n">
        <f aca="false">SQRT(($B298-AG$270)^2+($C298-AG$271)^2+($D298-AG$272)^2)</f>
        <v>0.447389066261034</v>
      </c>
      <c r="AH298" s="17" t="n">
        <f aca="false">SQRT(($B298-AH$270)^2+($C298-AH$271)^2+($D298-AH$272)^2)</f>
        <v>1.91594810513528</v>
      </c>
      <c r="AI298" s="17" t="n">
        <f aca="false">SQRT(($B298-AI$270)^2+($C298-AI$271)^2+($D298-AI$272)^2)</f>
        <v>2.46772570420349</v>
      </c>
      <c r="AJ298" s="63" t="n">
        <f aca="false">MATCH(MIN(AE298:AI298),AE298:AI298,0)</f>
        <v>3</v>
      </c>
      <c r="AL298" s="17" t="n">
        <f aca="false">SQRT(($B298-AL$270)^2+($C298-AL$271)^2+($D298-AL$272)^2)</f>
        <v>4.7437835837132</v>
      </c>
      <c r="AM298" s="17" t="n">
        <f aca="false">SQRT(($B298-AM$270)^2+($C298-AM$271)^2+($D298-AM$272)^2)</f>
        <v>2.96095270251261</v>
      </c>
      <c r="AN298" s="17" t="n">
        <f aca="false">SQRT(($B298-AN$270)^2+($C298-AN$271)^2+($D298-AN$272)^2)</f>
        <v>0.372544795489137</v>
      </c>
      <c r="AO298" s="17" t="n">
        <f aca="false">SQRT(($B298-AO$270)^2+($C298-AO$271)^2+($D298-AO$272)^2)</f>
        <v>1.87427774011522</v>
      </c>
      <c r="AP298" s="17" t="n">
        <f aca="false">SQRT(($B298-AP$270)^2+($C298-AP$271)^2+($D298-AP$272)^2)</f>
        <v>2.19899581510585</v>
      </c>
      <c r="AQ298" s="63" t="n">
        <f aca="false">MATCH(MIN(AL298:AP298),AL298:AP298,0)</f>
        <v>3</v>
      </c>
      <c r="AS298" s="17" t="n">
        <f aca="false">SQRT(($B298-AS$270)^2+($C298-AS$271)^2+($D298-AS$272)^2)</f>
        <v>4.7437835837132</v>
      </c>
      <c r="AT298" s="17" t="n">
        <f aca="false">SQRT(($B298-AT$270)^2+($C298-AT$271)^2+($D298-AT$272)^2)</f>
        <v>3.03944314257629</v>
      </c>
      <c r="AU298" s="17" t="n">
        <f aca="false">SQRT(($B298-AU$270)^2+($C298-AU$271)^2+($D298-AU$272)^2)</f>
        <v>0.366474835432237</v>
      </c>
      <c r="AV298" s="17" t="n">
        <f aca="false">SQRT(($B298-AV$270)^2+($C298-AV$271)^2+($D298-AV$272)^2)</f>
        <v>1.88201350664905</v>
      </c>
      <c r="AW298" s="17" t="n">
        <f aca="false">SQRT(($B298-AW$270)^2+($C298-AW$271)^2+($D298-AW$272)^2)</f>
        <v>2.19899581510585</v>
      </c>
      <c r="AX298" s="63" t="n">
        <f aca="false">MATCH(MIN(AS298:AW298),AS298:AW298,0)</f>
        <v>3</v>
      </c>
      <c r="AZ298" s="17" t="n">
        <f aca="false">SQRT(($B298-AZ$270)^2+($C298-AZ$271)^2+($D298-AZ$272)^2)</f>
        <v>4.7437835837132</v>
      </c>
      <c r="BA298" s="17" t="n">
        <f aca="false">SQRT(($B298-BA$270)^2+($C298-BA$271)^2+($D298-BA$272)^2)</f>
        <v>3.03944314257629</v>
      </c>
      <c r="BB298" s="17" t="n">
        <f aca="false">SQRT(($B298-BB$270)^2+($C298-BB$271)^2+($D298-BB$272)^2)</f>
        <v>0.366474835432237</v>
      </c>
      <c r="BC298" s="17" t="n">
        <f aca="false">SQRT(($B298-BC$270)^2+($C298-BC$271)^2+($D298-BC$272)^2)</f>
        <v>1.88201350664905</v>
      </c>
      <c r="BD298" s="17" t="n">
        <f aca="false">SQRT(($B298-BD$270)^2+($C298-BD$271)^2+($D298-BD$272)^2)</f>
        <v>2.19899581510585</v>
      </c>
      <c r="BE298" s="63" t="n">
        <f aca="false">MATCH(MIN(AZ298:BD298),AZ298:BD298,0)</f>
        <v>3</v>
      </c>
      <c r="BG298" s="17" t="n">
        <f aca="false">SQRT(($B298-BG$270)^2+($C298-BG$271)^2+($D298-BG$272)^2)</f>
        <v>4.7437835837132</v>
      </c>
      <c r="BH298" s="17" t="n">
        <f aca="false">SQRT(($B298-BH$270)^2+($C298-BH$271)^2+($D298-BH$272)^2)</f>
        <v>3.03944314257629</v>
      </c>
      <c r="BI298" s="17" t="n">
        <f aca="false">SQRT(($B298-BI$270)^2+($C298-BI$271)^2+($D298-BI$272)^2)</f>
        <v>0.366474835432237</v>
      </c>
      <c r="BJ298" s="17" t="n">
        <f aca="false">SQRT(($B298-BJ$270)^2+($C298-BJ$271)^2+($D298-BJ$272)^2)</f>
        <v>1.88201350664905</v>
      </c>
      <c r="BK298" s="17" t="n">
        <f aca="false">SQRT(($B298-BK$270)^2+($C298-BK$271)^2+($D298-BK$272)^2)</f>
        <v>2.19899581510585</v>
      </c>
      <c r="BL298" s="63" t="n">
        <f aca="false">MATCH(MIN(BG298:BK298),BG298:BK298,0)</f>
        <v>3</v>
      </c>
      <c r="BN298" s="17" t="n">
        <f aca="false">SQRT(($B298-BN$270)^2+($C298-BN$271)^2+($D298-BN$272)^2)</f>
        <v>4.7437835837132</v>
      </c>
      <c r="BO298" s="17" t="n">
        <f aca="false">SQRT(($B298-BO$270)^2+($C298-BO$271)^2+($D298-BO$272)^2)</f>
        <v>3.03944314257629</v>
      </c>
      <c r="BP298" s="17" t="n">
        <f aca="false">SQRT(($B298-BP$270)^2+($C298-BP$271)^2+($D298-BP$272)^2)</f>
        <v>0.366474835432237</v>
      </c>
      <c r="BQ298" s="17" t="n">
        <f aca="false">SQRT(($B298-BQ$270)^2+($C298-BQ$271)^2+($D298-BQ$272)^2)</f>
        <v>1.88201350664905</v>
      </c>
      <c r="BR298" s="17" t="n">
        <f aca="false">SQRT(($B298-BR$270)^2+($C298-BR$271)^2+($D298-BR$272)^2)</f>
        <v>2.19899581510585</v>
      </c>
      <c r="BS298" s="63" t="n">
        <f aca="false">MATCH(MIN(BN298:BR298),BN298:BR298,0)</f>
        <v>3</v>
      </c>
      <c r="BU298" s="17" t="n">
        <f aca="false">SQRT(($B298-BU$270)^2+($C298-BU$271)^2+($D298-BU$272)^2)</f>
        <v>4.7437835837132</v>
      </c>
      <c r="BV298" s="17" t="n">
        <f aca="false">SQRT(($B298-BV$270)^2+($C298-BV$271)^2+($D298-BV$272)^2)</f>
        <v>3.03944314257629</v>
      </c>
      <c r="BW298" s="17" t="n">
        <f aca="false">SQRT(($B298-BW$270)^2+($C298-BW$271)^2+($D298-BW$272)^2)</f>
        <v>0.366474835432237</v>
      </c>
      <c r="BX298" s="17" t="n">
        <f aca="false">SQRT(($B298-BX$270)^2+($C298-BX$271)^2+($D298-BX$272)^2)</f>
        <v>1.88201350664905</v>
      </c>
      <c r="BY298" s="17" t="n">
        <f aca="false">SQRT(($B298-BY$270)^2+($C298-BY$271)^2+($D298-BY$272)^2)</f>
        <v>2.19899581510585</v>
      </c>
      <c r="BZ298" s="63" t="n">
        <f aca="false">MATCH(MIN(BU298:BY298),BU298:BY298,0)</f>
        <v>3</v>
      </c>
      <c r="CB298" s="17" t="n">
        <f aca="false">SQRT(($B298-CB$270)^2+($C298-CB$271)^2+($D298-CB$272)^2)</f>
        <v>4.7437835837132</v>
      </c>
      <c r="CC298" s="17" t="n">
        <f aca="false">SQRT(($B298-CC$270)^2+($C298-CC$271)^2+($D298-CC$272)^2)</f>
        <v>3.03944314257629</v>
      </c>
      <c r="CD298" s="17" t="n">
        <f aca="false">SQRT(($B298-CD$270)^2+($C298-CD$271)^2+($D298-CD$272)^2)</f>
        <v>0.366474835432237</v>
      </c>
      <c r="CE298" s="17" t="n">
        <f aca="false">SQRT(($B298-CE$270)^2+($C298-CE$271)^2+($D298-CE$272)^2)</f>
        <v>1.88201350664905</v>
      </c>
      <c r="CF298" s="17" t="n">
        <f aca="false">SQRT(($B298-CF$270)^2+($C298-CF$271)^2+($D298-CF$272)^2)</f>
        <v>2.19899581510585</v>
      </c>
      <c r="CG298" s="63" t="n">
        <f aca="false">MATCH(MIN(CB298:CF298),CB298:CF298,0)</f>
        <v>3</v>
      </c>
      <c r="CI298" s="17" t="n">
        <f aca="false">SQRT(($B298-CI$270)^2+($C298-CI$271)^2+($D298-CI$272)^2)</f>
        <v>4.7437835837132</v>
      </c>
      <c r="CJ298" s="17" t="n">
        <f aca="false">SQRT(($B298-CJ$270)^2+($C298-CJ$271)^2+($D298-CJ$272)^2)</f>
        <v>3.03944314257629</v>
      </c>
      <c r="CK298" s="17" t="n">
        <f aca="false">SQRT(($B298-CK$270)^2+($C298-CK$271)^2+($D298-CK$272)^2)</f>
        <v>0.366474835432237</v>
      </c>
      <c r="CL298" s="17" t="n">
        <f aca="false">SQRT(($B298-CL$270)^2+($C298-CL$271)^2+($D298-CL$272)^2)</f>
        <v>1.88201350664905</v>
      </c>
      <c r="CM298" s="17" t="n">
        <f aca="false">SQRT(($B298-CM$270)^2+($C298-CM$271)^2+($D298-CM$272)^2)</f>
        <v>2.19899581510585</v>
      </c>
      <c r="CN298" s="63" t="n">
        <f aca="false">MATCH(MIN(CI298:CM298),CI298:CM298,0)</f>
        <v>3</v>
      </c>
      <c r="CP298" s="17" t="n">
        <f aca="false">SQRT(($B298-CP$270)^2+($C298-CP$271)^2+($D298-CP$272)^2)</f>
        <v>4.7437835837132</v>
      </c>
      <c r="CQ298" s="17" t="n">
        <f aca="false">SQRT(($B298-CQ$270)^2+($C298-CQ$271)^2+($D298-CQ$272)^2)</f>
        <v>3.03944314257629</v>
      </c>
      <c r="CR298" s="17" t="n">
        <f aca="false">SQRT(($B298-CR$270)^2+($C298-CR$271)^2+($D298-CR$272)^2)</f>
        <v>0.366474835432237</v>
      </c>
      <c r="CS298" s="17" t="n">
        <f aca="false">SQRT(($B298-CS$270)^2+($C298-CS$271)^2+($D298-CS$272)^2)</f>
        <v>1.88201350664905</v>
      </c>
      <c r="CT298" s="17" t="n">
        <f aca="false">SQRT(($B298-CT$270)^2+($C298-CT$271)^2+($D298-CT$272)^2)</f>
        <v>2.19899581510585</v>
      </c>
      <c r="CU298" s="63" t="n">
        <f aca="false">MATCH(MIN(CP298:CT298),CP298:CT298,0)</f>
        <v>3</v>
      </c>
      <c r="CW298" s="17" t="n">
        <f aca="false">SQRT(($B298-CW$270)^2+($C298-CW$271)^2+($D298-CW$272)^2)</f>
        <v>4.7437835837132</v>
      </c>
      <c r="CX298" s="17" t="n">
        <f aca="false">SQRT(($B298-CX$270)^2+($C298-CX$271)^2+($D298-CX$272)^2)</f>
        <v>3.03944314257629</v>
      </c>
      <c r="CY298" s="17" t="n">
        <f aca="false">SQRT(($B298-CY$270)^2+($C298-CY$271)^2+($D298-CY$272)^2)</f>
        <v>0.366474835432237</v>
      </c>
      <c r="CZ298" s="17" t="n">
        <f aca="false">SQRT(($B298-CZ$270)^2+($C298-CZ$271)^2+($D298-CZ$272)^2)</f>
        <v>1.88201350664905</v>
      </c>
      <c r="DA298" s="17" t="n">
        <f aca="false">SQRT(($B298-DA$270)^2+($C298-DA$271)^2+($D298-DA$272)^2)</f>
        <v>2.19899581510585</v>
      </c>
      <c r="DB298" s="63" t="n">
        <f aca="false">MATCH(MIN(CW298:DA298),CW298:DA298,0)</f>
        <v>3</v>
      </c>
    </row>
    <row r="299" customFormat="false" ht="15" hidden="false" customHeight="false" outlineLevel="0" collapsed="false">
      <c r="A299" s="36" t="str">
        <f aca="false">KMeans_Data!A27</f>
        <v>Dir Upper</v>
      </c>
      <c r="B299" s="17" t="n">
        <f aca="false">KMeans_Data!H27</f>
        <v>0.783501975751688</v>
      </c>
      <c r="C299" s="17" t="n">
        <f aca="false">KMeans_Data!I27</f>
        <v>0.160512589624996</v>
      </c>
      <c r="D299" s="17" t="n">
        <f aca="false">KMeans_Data!J27</f>
        <v>0.959677371956339</v>
      </c>
      <c r="E299" s="63" t="n">
        <f aca="false">DB299</f>
        <v>3</v>
      </c>
      <c r="F299" s="38" t="n">
        <f aca="false">($B299-INDEX($L$270:$P$270,E299))^2+($C299-INDEX($L$271:$P$271,E299))^2+($D299-INDEX($L$272:$P$272,E299))^2</f>
        <v>0.217855181969673</v>
      </c>
      <c r="G299" s="17" t="n">
        <f aca="false">IF(COUNTIF(Distance_Matrix!$E$11:$DQ$11,$E299)&lt;=1,0,SUMIF(Distance_Matrix!$E$11:$DQ$11,$E299,Distance_Matrix!$E$36:$DQ$36)/(COUNTIF(Distance_Matrix!$E$11:$DQ$11,$E299)-1))</f>
        <v>0.870311342355397</v>
      </c>
      <c r="H299" s="17" t="n">
        <f aca="false">MIN(IF(1=$E299,1E+099,IF(COUNTIF(Distance_Matrix!$E$11:$DQ$11,1)=0,1E+099,SUMIF(Distance_Matrix!$E$11:$DQ$11,1,Distance_Matrix!$E$36:$DQ$36)/COUNTIF(Distance_Matrix!$E$11:$DQ$11,1))),IF(2=$E299,1E+099,IF(COUNTIF(Distance_Matrix!$E$11:$DQ$11,2)=0,1E+099,SUMIF(Distance_Matrix!$E$11:$DQ$11,2,Distance_Matrix!$E$36:$DQ$36)/COUNTIF(Distance_Matrix!$E$11:$DQ$11,2))),IF(3=$E299,1E+099,IF(COUNTIF(Distance_Matrix!$E$11:$DQ$11,3)=0,1E+099,SUMIF(Distance_Matrix!$E$11:$DQ$11,3,Distance_Matrix!$E$36:$DQ$36)/COUNTIF(Distance_Matrix!$E$11:$DQ$11,3))),IF(4=$E299,1E+099,IF(COUNTIF(Distance_Matrix!$E$11:$DQ$11,4)=0,1E+099,SUMIF(Distance_Matrix!$E$11:$DQ$11,4,Distance_Matrix!$E$36:$DQ$36)/COUNTIF(Distance_Matrix!$E$11:$DQ$11,4))),IF(5=$E299,1E+099,IF(COUNTIF(Distance_Matrix!$E$11:$DQ$11,5)=0,1E+099,SUMIF(Distance_Matrix!$E$11:$DQ$11,5,Distance_Matrix!$E$36:$DQ$36)/COUNTIF(Distance_Matrix!$E$11:$DQ$11,5))))</f>
        <v>1.8687896125085</v>
      </c>
      <c r="I299" s="17" t="n">
        <f aca="false">IF(COUNTIF(Distance_Matrix!$E$11:$DQ$11,$E299)&lt;=1,0,(H299-G299)/MAX(G299,H299))</f>
        <v>0.534291427708029</v>
      </c>
      <c r="X299" s="17" t="n">
        <f aca="false">SQRT(($B299-X$270)^2+($C299-X$271)^2+($D299-X$272)^2)</f>
        <v>5.14816911939323</v>
      </c>
      <c r="Y299" s="17" t="n">
        <f aca="false">SQRT(($B299-Y$270)^2+($C299-Y$271)^2+($D299-Y$272)^2)</f>
        <v>3.65029895120111</v>
      </c>
      <c r="Z299" s="17" t="n">
        <f aca="false">SQRT(($B299-Z$270)^2+($C299-Z$271)^2+($D299-Z$272)^2)</f>
        <v>0.61063359087127</v>
      </c>
      <c r="AA299" s="17" t="n">
        <f aca="false">SQRT(($B299-AA$270)^2+($C299-AA$271)^2+($D299-AA$272)^2)</f>
        <v>2.13211842997744</v>
      </c>
      <c r="AB299" s="17" t="n">
        <f aca="false">SQRT(($B299-AB$270)^2+($C299-AB$271)^2+($D299-AB$272)^2)</f>
        <v>3.0079368972061</v>
      </c>
      <c r="AC299" s="63" t="n">
        <f aca="false">MATCH(MIN(X299:AB299),X299:AB299,0)</f>
        <v>3</v>
      </c>
      <c r="AE299" s="17" t="n">
        <f aca="false">SQRT(($B299-AE$270)^2+($C299-AE$271)^2+($D299-AE$272)^2)</f>
        <v>5.06699919568682</v>
      </c>
      <c r="AF299" s="17" t="n">
        <f aca="false">SQRT(($B299-AF$270)^2+($C299-AF$271)^2+($D299-AF$272)^2)</f>
        <v>2.89007102147493</v>
      </c>
      <c r="AG299" s="17" t="n">
        <f aca="false">SQRT(($B299-AG$270)^2+($C299-AG$271)^2+($D299-AG$272)^2)</f>
        <v>0.428656714853537</v>
      </c>
      <c r="AH299" s="17" t="n">
        <f aca="false">SQRT(($B299-AH$270)^2+($C299-AH$271)^2+($D299-AH$272)^2)</f>
        <v>1.81906602468937</v>
      </c>
      <c r="AI299" s="17" t="n">
        <f aca="false">SQRT(($B299-AI$270)^2+($C299-AI$271)^2+($D299-AI$272)^2)</f>
        <v>2.83828665564853</v>
      </c>
      <c r="AJ299" s="63" t="n">
        <f aca="false">MATCH(MIN(AE299:AI299),AE299:AI299,0)</f>
        <v>3</v>
      </c>
      <c r="AL299" s="17" t="n">
        <f aca="false">SQRT(($B299-AL$270)^2+($C299-AL$271)^2+($D299-AL$272)^2)</f>
        <v>5.06699919568682</v>
      </c>
      <c r="AM299" s="17" t="n">
        <f aca="false">SQRT(($B299-AM$270)^2+($C299-AM$271)^2+($D299-AM$272)^2)</f>
        <v>2.91731092009485</v>
      </c>
      <c r="AN299" s="17" t="n">
        <f aca="false">SQRT(($B299-AN$270)^2+($C299-AN$271)^2+($D299-AN$272)^2)</f>
        <v>0.46742680415526</v>
      </c>
      <c r="AO299" s="17" t="n">
        <f aca="false">SQRT(($B299-AO$270)^2+($C299-AO$271)^2+($D299-AO$272)^2)</f>
        <v>1.74419945595529</v>
      </c>
      <c r="AP299" s="17" t="n">
        <f aca="false">SQRT(($B299-AP$270)^2+($C299-AP$271)^2+($D299-AP$272)^2)</f>
        <v>2.58610739550197</v>
      </c>
      <c r="AQ299" s="63" t="n">
        <f aca="false">MATCH(MIN(AL299:AP299),AL299:AP299,0)</f>
        <v>3</v>
      </c>
      <c r="AS299" s="17" t="n">
        <f aca="false">SQRT(($B299-AS$270)^2+($C299-AS$271)^2+($D299-AS$272)^2)</f>
        <v>5.06699919568682</v>
      </c>
      <c r="AT299" s="17" t="n">
        <f aca="false">SQRT(($B299-AT$270)^2+($C299-AT$271)^2+($D299-AT$272)^2)</f>
        <v>3.00743248568447</v>
      </c>
      <c r="AU299" s="17" t="n">
        <f aca="false">SQRT(($B299-AU$270)^2+($C299-AU$271)^2+($D299-AU$272)^2)</f>
        <v>0.46674959236155</v>
      </c>
      <c r="AV299" s="17" t="n">
        <f aca="false">SQRT(($B299-AV$270)^2+($C299-AV$271)^2+($D299-AV$272)^2)</f>
        <v>1.74947783593652</v>
      </c>
      <c r="AW299" s="17" t="n">
        <f aca="false">SQRT(($B299-AW$270)^2+($C299-AW$271)^2+($D299-AW$272)^2)</f>
        <v>2.58610739550197</v>
      </c>
      <c r="AX299" s="63" t="n">
        <f aca="false">MATCH(MIN(AS299:AW299),AS299:AW299,0)</f>
        <v>3</v>
      </c>
      <c r="AZ299" s="17" t="n">
        <f aca="false">SQRT(($B299-AZ$270)^2+($C299-AZ$271)^2+($D299-AZ$272)^2)</f>
        <v>5.06699919568682</v>
      </c>
      <c r="BA299" s="17" t="n">
        <f aca="false">SQRT(($B299-BA$270)^2+($C299-BA$271)^2+($D299-BA$272)^2)</f>
        <v>3.00743248568447</v>
      </c>
      <c r="BB299" s="17" t="n">
        <f aca="false">SQRT(($B299-BB$270)^2+($C299-BB$271)^2+($D299-BB$272)^2)</f>
        <v>0.46674959236155</v>
      </c>
      <c r="BC299" s="17" t="n">
        <f aca="false">SQRT(($B299-BC$270)^2+($C299-BC$271)^2+($D299-BC$272)^2)</f>
        <v>1.74947783593652</v>
      </c>
      <c r="BD299" s="17" t="n">
        <f aca="false">SQRT(($B299-BD$270)^2+($C299-BD$271)^2+($D299-BD$272)^2)</f>
        <v>2.58610739550197</v>
      </c>
      <c r="BE299" s="63" t="n">
        <f aca="false">MATCH(MIN(AZ299:BD299),AZ299:BD299,0)</f>
        <v>3</v>
      </c>
      <c r="BG299" s="17" t="n">
        <f aca="false">SQRT(($B299-BG$270)^2+($C299-BG$271)^2+($D299-BG$272)^2)</f>
        <v>5.06699919568682</v>
      </c>
      <c r="BH299" s="17" t="n">
        <f aca="false">SQRT(($B299-BH$270)^2+($C299-BH$271)^2+($D299-BH$272)^2)</f>
        <v>3.00743248568447</v>
      </c>
      <c r="BI299" s="17" t="n">
        <f aca="false">SQRT(($B299-BI$270)^2+($C299-BI$271)^2+($D299-BI$272)^2)</f>
        <v>0.46674959236155</v>
      </c>
      <c r="BJ299" s="17" t="n">
        <f aca="false">SQRT(($B299-BJ$270)^2+($C299-BJ$271)^2+($D299-BJ$272)^2)</f>
        <v>1.74947783593652</v>
      </c>
      <c r="BK299" s="17" t="n">
        <f aca="false">SQRT(($B299-BK$270)^2+($C299-BK$271)^2+($D299-BK$272)^2)</f>
        <v>2.58610739550197</v>
      </c>
      <c r="BL299" s="63" t="n">
        <f aca="false">MATCH(MIN(BG299:BK299),BG299:BK299,0)</f>
        <v>3</v>
      </c>
      <c r="BN299" s="17" t="n">
        <f aca="false">SQRT(($B299-BN$270)^2+($C299-BN$271)^2+($D299-BN$272)^2)</f>
        <v>5.06699919568682</v>
      </c>
      <c r="BO299" s="17" t="n">
        <f aca="false">SQRT(($B299-BO$270)^2+($C299-BO$271)^2+($D299-BO$272)^2)</f>
        <v>3.00743248568447</v>
      </c>
      <c r="BP299" s="17" t="n">
        <f aca="false">SQRT(($B299-BP$270)^2+($C299-BP$271)^2+($D299-BP$272)^2)</f>
        <v>0.46674959236155</v>
      </c>
      <c r="BQ299" s="17" t="n">
        <f aca="false">SQRT(($B299-BQ$270)^2+($C299-BQ$271)^2+($D299-BQ$272)^2)</f>
        <v>1.74947783593652</v>
      </c>
      <c r="BR299" s="17" t="n">
        <f aca="false">SQRT(($B299-BR$270)^2+($C299-BR$271)^2+($D299-BR$272)^2)</f>
        <v>2.58610739550197</v>
      </c>
      <c r="BS299" s="63" t="n">
        <f aca="false">MATCH(MIN(BN299:BR299),BN299:BR299,0)</f>
        <v>3</v>
      </c>
      <c r="BU299" s="17" t="n">
        <f aca="false">SQRT(($B299-BU$270)^2+($C299-BU$271)^2+($D299-BU$272)^2)</f>
        <v>5.06699919568682</v>
      </c>
      <c r="BV299" s="17" t="n">
        <f aca="false">SQRT(($B299-BV$270)^2+($C299-BV$271)^2+($D299-BV$272)^2)</f>
        <v>3.00743248568447</v>
      </c>
      <c r="BW299" s="17" t="n">
        <f aca="false">SQRT(($B299-BW$270)^2+($C299-BW$271)^2+($D299-BW$272)^2)</f>
        <v>0.46674959236155</v>
      </c>
      <c r="BX299" s="17" t="n">
        <f aca="false">SQRT(($B299-BX$270)^2+($C299-BX$271)^2+($D299-BX$272)^2)</f>
        <v>1.74947783593652</v>
      </c>
      <c r="BY299" s="17" t="n">
        <f aca="false">SQRT(($B299-BY$270)^2+($C299-BY$271)^2+($D299-BY$272)^2)</f>
        <v>2.58610739550197</v>
      </c>
      <c r="BZ299" s="63" t="n">
        <f aca="false">MATCH(MIN(BU299:BY299),BU299:BY299,0)</f>
        <v>3</v>
      </c>
      <c r="CB299" s="17" t="n">
        <f aca="false">SQRT(($B299-CB$270)^2+($C299-CB$271)^2+($D299-CB$272)^2)</f>
        <v>5.06699919568682</v>
      </c>
      <c r="CC299" s="17" t="n">
        <f aca="false">SQRT(($B299-CC$270)^2+($C299-CC$271)^2+($D299-CC$272)^2)</f>
        <v>3.00743248568447</v>
      </c>
      <c r="CD299" s="17" t="n">
        <f aca="false">SQRT(($B299-CD$270)^2+($C299-CD$271)^2+($D299-CD$272)^2)</f>
        <v>0.46674959236155</v>
      </c>
      <c r="CE299" s="17" t="n">
        <f aca="false">SQRT(($B299-CE$270)^2+($C299-CE$271)^2+($D299-CE$272)^2)</f>
        <v>1.74947783593652</v>
      </c>
      <c r="CF299" s="17" t="n">
        <f aca="false">SQRT(($B299-CF$270)^2+($C299-CF$271)^2+($D299-CF$272)^2)</f>
        <v>2.58610739550197</v>
      </c>
      <c r="CG299" s="63" t="n">
        <f aca="false">MATCH(MIN(CB299:CF299),CB299:CF299,0)</f>
        <v>3</v>
      </c>
      <c r="CI299" s="17" t="n">
        <f aca="false">SQRT(($B299-CI$270)^2+($C299-CI$271)^2+($D299-CI$272)^2)</f>
        <v>5.06699919568682</v>
      </c>
      <c r="CJ299" s="17" t="n">
        <f aca="false">SQRT(($B299-CJ$270)^2+($C299-CJ$271)^2+($D299-CJ$272)^2)</f>
        <v>3.00743248568447</v>
      </c>
      <c r="CK299" s="17" t="n">
        <f aca="false">SQRT(($B299-CK$270)^2+($C299-CK$271)^2+($D299-CK$272)^2)</f>
        <v>0.46674959236155</v>
      </c>
      <c r="CL299" s="17" t="n">
        <f aca="false">SQRT(($B299-CL$270)^2+($C299-CL$271)^2+($D299-CL$272)^2)</f>
        <v>1.74947783593652</v>
      </c>
      <c r="CM299" s="17" t="n">
        <f aca="false">SQRT(($B299-CM$270)^2+($C299-CM$271)^2+($D299-CM$272)^2)</f>
        <v>2.58610739550197</v>
      </c>
      <c r="CN299" s="63" t="n">
        <f aca="false">MATCH(MIN(CI299:CM299),CI299:CM299,0)</f>
        <v>3</v>
      </c>
      <c r="CP299" s="17" t="n">
        <f aca="false">SQRT(($B299-CP$270)^2+($C299-CP$271)^2+($D299-CP$272)^2)</f>
        <v>5.06699919568682</v>
      </c>
      <c r="CQ299" s="17" t="n">
        <f aca="false">SQRT(($B299-CQ$270)^2+($C299-CQ$271)^2+($D299-CQ$272)^2)</f>
        <v>3.00743248568447</v>
      </c>
      <c r="CR299" s="17" t="n">
        <f aca="false">SQRT(($B299-CR$270)^2+($C299-CR$271)^2+($D299-CR$272)^2)</f>
        <v>0.46674959236155</v>
      </c>
      <c r="CS299" s="17" t="n">
        <f aca="false">SQRT(($B299-CS$270)^2+($C299-CS$271)^2+($D299-CS$272)^2)</f>
        <v>1.74947783593652</v>
      </c>
      <c r="CT299" s="17" t="n">
        <f aca="false">SQRT(($B299-CT$270)^2+($C299-CT$271)^2+($D299-CT$272)^2)</f>
        <v>2.58610739550197</v>
      </c>
      <c r="CU299" s="63" t="n">
        <f aca="false">MATCH(MIN(CP299:CT299),CP299:CT299,0)</f>
        <v>3</v>
      </c>
      <c r="CW299" s="17" t="n">
        <f aca="false">SQRT(($B299-CW$270)^2+($C299-CW$271)^2+($D299-CW$272)^2)</f>
        <v>5.06699919568682</v>
      </c>
      <c r="CX299" s="17" t="n">
        <f aca="false">SQRT(($B299-CX$270)^2+($C299-CX$271)^2+($D299-CX$272)^2)</f>
        <v>3.00743248568447</v>
      </c>
      <c r="CY299" s="17" t="n">
        <f aca="false">SQRT(($B299-CY$270)^2+($C299-CY$271)^2+($D299-CY$272)^2)</f>
        <v>0.46674959236155</v>
      </c>
      <c r="CZ299" s="17" t="n">
        <f aca="false">SQRT(($B299-CZ$270)^2+($C299-CZ$271)^2+($D299-CZ$272)^2)</f>
        <v>1.74947783593652</v>
      </c>
      <c r="DA299" s="17" t="n">
        <f aca="false">SQRT(($B299-DA$270)^2+($C299-DA$271)^2+($D299-DA$272)^2)</f>
        <v>2.58610739550197</v>
      </c>
      <c r="DB299" s="63" t="n">
        <f aca="false">MATCH(MIN(CW299:DA299),CW299:DA299,0)</f>
        <v>3</v>
      </c>
    </row>
    <row r="300" customFormat="false" ht="15" hidden="false" customHeight="false" outlineLevel="0" collapsed="false">
      <c r="A300" s="36" t="str">
        <f aca="false">KMeans_Data!A28</f>
        <v>Khyber</v>
      </c>
      <c r="B300" s="17" t="n">
        <f aca="false">KMeans_Data!H28</f>
        <v>0.783501975751688</v>
      </c>
      <c r="C300" s="17" t="n">
        <f aca="false">KMeans_Data!I28</f>
        <v>0.547911385844501</v>
      </c>
      <c r="D300" s="17" t="n">
        <f aca="false">KMeans_Data!J28</f>
        <v>0.667151770949206</v>
      </c>
      <c r="E300" s="63" t="n">
        <f aca="false">DB300</f>
        <v>3</v>
      </c>
      <c r="F300" s="38" t="n">
        <f aca="false">($B300-INDEX($L$270:$P$270,E300))^2+($C300-INDEX($L$271:$P$271,E300))^2+($D300-INDEX($L$272:$P$272,E300))^2</f>
        <v>0.0663011063165332</v>
      </c>
      <c r="G300" s="17" t="n">
        <f aca="false">IF(COUNTIF(Distance_Matrix!$E$11:$DQ$11,$E300)&lt;=1,0,SUMIF(Distance_Matrix!$E$11:$DQ$11,$E300,Distance_Matrix!$E$37:$DQ$37)/(COUNTIF(Distance_Matrix!$E$11:$DQ$11,$E300)-1))</f>
        <v>0.786137513791524</v>
      </c>
      <c r="H300" s="17" t="n">
        <f aca="false">MIN(IF(1=$E300,1E+099,IF(COUNTIF(Distance_Matrix!$E$11:$DQ$11,1)=0,1E+099,SUMIF(Distance_Matrix!$E$11:$DQ$11,1,Distance_Matrix!$E$37:$DQ$37)/COUNTIF(Distance_Matrix!$E$11:$DQ$11,1))),IF(2=$E300,1E+099,IF(COUNTIF(Distance_Matrix!$E$11:$DQ$11,2)=0,1E+099,SUMIF(Distance_Matrix!$E$11:$DQ$11,2,Distance_Matrix!$E$37:$DQ$37)/COUNTIF(Distance_Matrix!$E$11:$DQ$11,2))),IF(3=$E300,1E+099,IF(COUNTIF(Distance_Matrix!$E$11:$DQ$11,3)=0,1E+099,SUMIF(Distance_Matrix!$E$11:$DQ$11,3,Distance_Matrix!$E$37:$DQ$37)/COUNTIF(Distance_Matrix!$E$11:$DQ$11,3))),IF(4=$E300,1E+099,IF(COUNTIF(Distance_Matrix!$E$11:$DQ$11,4)=0,1E+099,SUMIF(Distance_Matrix!$E$11:$DQ$11,4,Distance_Matrix!$E$37:$DQ$37)/COUNTIF(Distance_Matrix!$E$11:$DQ$11,4))),IF(5=$E300,1E+099,IF(COUNTIF(Distance_Matrix!$E$11:$DQ$11,5)=0,1E+099,SUMIF(Distance_Matrix!$E$11:$DQ$11,5,Distance_Matrix!$E$37:$DQ$37)/COUNTIF(Distance_Matrix!$E$11:$DQ$11,5))))</f>
        <v>1.86836452405525</v>
      </c>
      <c r="I300" s="17" t="n">
        <f aca="false">IF(COUNTIF(Distance_Matrix!$E$11:$DQ$11,$E300)&lt;=1,0,(H300-G300)/MAX(G300,H300))</f>
        <v>0.579237614678518</v>
      </c>
      <c r="X300" s="17" t="n">
        <f aca="false">SQRT(($B300-X$270)^2+($C300-X$271)^2+($D300-X$272)^2)</f>
        <v>5.00758520888784</v>
      </c>
      <c r="Y300" s="17" t="n">
        <f aca="false">SQRT(($B300-Y$270)^2+($C300-Y$271)^2+($D300-Y$272)^2)</f>
        <v>3.60196382706207</v>
      </c>
      <c r="Z300" s="17" t="n">
        <f aca="false">SQRT(($B300-Z$270)^2+($C300-Z$271)^2+($D300-Z$272)^2)</f>
        <v>0.859235206666101</v>
      </c>
      <c r="AA300" s="17" t="n">
        <f aca="false">SQRT(($B300-AA$270)^2+($C300-AA$271)^2+($D300-AA$272)^2)</f>
        <v>1.94630525174013</v>
      </c>
      <c r="AB300" s="17" t="n">
        <f aca="false">SQRT(($B300-AB$270)^2+($C300-AB$271)^2+($D300-AB$272)^2)</f>
        <v>2.90803929872082</v>
      </c>
      <c r="AC300" s="63" t="n">
        <f aca="false">MATCH(MIN(X300:AB300),X300:AB300,0)</f>
        <v>3</v>
      </c>
      <c r="AE300" s="17" t="n">
        <f aca="false">SQRT(($B300-AE$270)^2+($C300-AE$271)^2+($D300-AE$272)^2)</f>
        <v>4.90241299407267</v>
      </c>
      <c r="AF300" s="17" t="n">
        <f aca="false">SQRT(($B300-AF$270)^2+($C300-AF$271)^2+($D300-AF$272)^2)</f>
        <v>2.84790020784931</v>
      </c>
      <c r="AG300" s="17" t="n">
        <f aca="false">SQRT(($B300-AG$270)^2+($C300-AG$271)^2+($D300-AG$272)^2)</f>
        <v>0.299653659508984</v>
      </c>
      <c r="AH300" s="17" t="n">
        <f aca="false">SQRT(($B300-AH$270)^2+($C300-AH$271)^2+($D300-AH$272)^2)</f>
        <v>1.78489323507273</v>
      </c>
      <c r="AI300" s="17" t="n">
        <f aca="false">SQRT(($B300-AI$270)^2+($C300-AI$271)^2+($D300-AI$272)^2)</f>
        <v>2.6332452005485</v>
      </c>
      <c r="AJ300" s="63" t="n">
        <f aca="false">MATCH(MIN(AE300:AI300),AE300:AI300,0)</f>
        <v>3</v>
      </c>
      <c r="AL300" s="17" t="n">
        <f aca="false">SQRT(($B300-AL$270)^2+($C300-AL$271)^2+($D300-AL$272)^2)</f>
        <v>4.90241299407267</v>
      </c>
      <c r="AM300" s="17" t="n">
        <f aca="false">SQRT(($B300-AM$270)^2+($C300-AM$271)^2+($D300-AM$272)^2)</f>
        <v>2.87040934060845</v>
      </c>
      <c r="AN300" s="17" t="n">
        <f aca="false">SQRT(($B300-AN$270)^2+($C300-AN$271)^2+($D300-AN$272)^2)</f>
        <v>0.257714659155553</v>
      </c>
      <c r="AO300" s="17" t="n">
        <f aca="false">SQRT(($B300-AO$270)^2+($C300-AO$271)^2+($D300-AO$272)^2)</f>
        <v>1.73344029450478</v>
      </c>
      <c r="AP300" s="17" t="n">
        <f aca="false">SQRT(($B300-AP$270)^2+($C300-AP$271)^2+($D300-AP$272)^2)</f>
        <v>2.36910199090621</v>
      </c>
      <c r="AQ300" s="63" t="n">
        <f aca="false">MATCH(MIN(AL300:AP300),AL300:AP300,0)</f>
        <v>3</v>
      </c>
      <c r="AS300" s="17" t="n">
        <f aca="false">SQRT(($B300-AS$270)^2+($C300-AS$271)^2+($D300-AS$272)^2)</f>
        <v>4.90241299407267</v>
      </c>
      <c r="AT300" s="17" t="n">
        <f aca="false">SQRT(($B300-AT$270)^2+($C300-AT$271)^2+($D300-AT$272)^2)</f>
        <v>2.9529307731798</v>
      </c>
      <c r="AU300" s="17" t="n">
        <f aca="false">SQRT(($B300-AU$270)^2+($C300-AU$271)^2+($D300-AU$272)^2)</f>
        <v>0.257490012071407</v>
      </c>
      <c r="AV300" s="17" t="n">
        <f aca="false">SQRT(($B300-AV$270)^2+($C300-AV$271)^2+($D300-AV$272)^2)</f>
        <v>1.74168052180413</v>
      </c>
      <c r="AW300" s="17" t="n">
        <f aca="false">SQRT(($B300-AW$270)^2+($C300-AW$271)^2+($D300-AW$272)^2)</f>
        <v>2.36910199090621</v>
      </c>
      <c r="AX300" s="63" t="n">
        <f aca="false">MATCH(MIN(AS300:AW300),AS300:AW300,0)</f>
        <v>3</v>
      </c>
      <c r="AZ300" s="17" t="n">
        <f aca="false">SQRT(($B300-AZ$270)^2+($C300-AZ$271)^2+($D300-AZ$272)^2)</f>
        <v>4.90241299407267</v>
      </c>
      <c r="BA300" s="17" t="n">
        <f aca="false">SQRT(($B300-BA$270)^2+($C300-BA$271)^2+($D300-BA$272)^2)</f>
        <v>2.9529307731798</v>
      </c>
      <c r="BB300" s="17" t="n">
        <f aca="false">SQRT(($B300-BB$270)^2+($C300-BB$271)^2+($D300-BB$272)^2)</f>
        <v>0.257490012071407</v>
      </c>
      <c r="BC300" s="17" t="n">
        <f aca="false">SQRT(($B300-BC$270)^2+($C300-BC$271)^2+($D300-BC$272)^2)</f>
        <v>1.74168052180413</v>
      </c>
      <c r="BD300" s="17" t="n">
        <f aca="false">SQRT(($B300-BD$270)^2+($C300-BD$271)^2+($D300-BD$272)^2)</f>
        <v>2.36910199090621</v>
      </c>
      <c r="BE300" s="63" t="n">
        <f aca="false">MATCH(MIN(AZ300:BD300),AZ300:BD300,0)</f>
        <v>3</v>
      </c>
      <c r="BG300" s="17" t="n">
        <f aca="false">SQRT(($B300-BG$270)^2+($C300-BG$271)^2+($D300-BG$272)^2)</f>
        <v>4.90241299407267</v>
      </c>
      <c r="BH300" s="17" t="n">
        <f aca="false">SQRT(($B300-BH$270)^2+($C300-BH$271)^2+($D300-BH$272)^2)</f>
        <v>2.9529307731798</v>
      </c>
      <c r="BI300" s="17" t="n">
        <f aca="false">SQRT(($B300-BI$270)^2+($C300-BI$271)^2+($D300-BI$272)^2)</f>
        <v>0.257490012071407</v>
      </c>
      <c r="BJ300" s="17" t="n">
        <f aca="false">SQRT(($B300-BJ$270)^2+($C300-BJ$271)^2+($D300-BJ$272)^2)</f>
        <v>1.74168052180413</v>
      </c>
      <c r="BK300" s="17" t="n">
        <f aca="false">SQRT(($B300-BK$270)^2+($C300-BK$271)^2+($D300-BK$272)^2)</f>
        <v>2.36910199090621</v>
      </c>
      <c r="BL300" s="63" t="n">
        <f aca="false">MATCH(MIN(BG300:BK300),BG300:BK300,0)</f>
        <v>3</v>
      </c>
      <c r="BN300" s="17" t="n">
        <f aca="false">SQRT(($B300-BN$270)^2+($C300-BN$271)^2+($D300-BN$272)^2)</f>
        <v>4.90241299407267</v>
      </c>
      <c r="BO300" s="17" t="n">
        <f aca="false">SQRT(($B300-BO$270)^2+($C300-BO$271)^2+($D300-BO$272)^2)</f>
        <v>2.9529307731798</v>
      </c>
      <c r="BP300" s="17" t="n">
        <f aca="false">SQRT(($B300-BP$270)^2+($C300-BP$271)^2+($D300-BP$272)^2)</f>
        <v>0.257490012071407</v>
      </c>
      <c r="BQ300" s="17" t="n">
        <f aca="false">SQRT(($B300-BQ$270)^2+($C300-BQ$271)^2+($D300-BQ$272)^2)</f>
        <v>1.74168052180413</v>
      </c>
      <c r="BR300" s="17" t="n">
        <f aca="false">SQRT(($B300-BR$270)^2+($C300-BR$271)^2+($D300-BR$272)^2)</f>
        <v>2.36910199090621</v>
      </c>
      <c r="BS300" s="63" t="n">
        <f aca="false">MATCH(MIN(BN300:BR300),BN300:BR300,0)</f>
        <v>3</v>
      </c>
      <c r="BU300" s="17" t="n">
        <f aca="false">SQRT(($B300-BU$270)^2+($C300-BU$271)^2+($D300-BU$272)^2)</f>
        <v>4.90241299407267</v>
      </c>
      <c r="BV300" s="17" t="n">
        <f aca="false">SQRT(($B300-BV$270)^2+($C300-BV$271)^2+($D300-BV$272)^2)</f>
        <v>2.9529307731798</v>
      </c>
      <c r="BW300" s="17" t="n">
        <f aca="false">SQRT(($B300-BW$270)^2+($C300-BW$271)^2+($D300-BW$272)^2)</f>
        <v>0.257490012071407</v>
      </c>
      <c r="BX300" s="17" t="n">
        <f aca="false">SQRT(($B300-BX$270)^2+($C300-BX$271)^2+($D300-BX$272)^2)</f>
        <v>1.74168052180413</v>
      </c>
      <c r="BY300" s="17" t="n">
        <f aca="false">SQRT(($B300-BY$270)^2+($C300-BY$271)^2+($D300-BY$272)^2)</f>
        <v>2.36910199090621</v>
      </c>
      <c r="BZ300" s="63" t="n">
        <f aca="false">MATCH(MIN(BU300:BY300),BU300:BY300,0)</f>
        <v>3</v>
      </c>
      <c r="CB300" s="17" t="n">
        <f aca="false">SQRT(($B300-CB$270)^2+($C300-CB$271)^2+($D300-CB$272)^2)</f>
        <v>4.90241299407267</v>
      </c>
      <c r="CC300" s="17" t="n">
        <f aca="false">SQRT(($B300-CC$270)^2+($C300-CC$271)^2+($D300-CC$272)^2)</f>
        <v>2.9529307731798</v>
      </c>
      <c r="CD300" s="17" t="n">
        <f aca="false">SQRT(($B300-CD$270)^2+($C300-CD$271)^2+($D300-CD$272)^2)</f>
        <v>0.257490012071407</v>
      </c>
      <c r="CE300" s="17" t="n">
        <f aca="false">SQRT(($B300-CE$270)^2+($C300-CE$271)^2+($D300-CE$272)^2)</f>
        <v>1.74168052180413</v>
      </c>
      <c r="CF300" s="17" t="n">
        <f aca="false">SQRT(($B300-CF$270)^2+($C300-CF$271)^2+($D300-CF$272)^2)</f>
        <v>2.36910199090621</v>
      </c>
      <c r="CG300" s="63" t="n">
        <f aca="false">MATCH(MIN(CB300:CF300),CB300:CF300,0)</f>
        <v>3</v>
      </c>
      <c r="CI300" s="17" t="n">
        <f aca="false">SQRT(($B300-CI$270)^2+($C300-CI$271)^2+($D300-CI$272)^2)</f>
        <v>4.90241299407267</v>
      </c>
      <c r="CJ300" s="17" t="n">
        <f aca="false">SQRT(($B300-CJ$270)^2+($C300-CJ$271)^2+($D300-CJ$272)^2)</f>
        <v>2.9529307731798</v>
      </c>
      <c r="CK300" s="17" t="n">
        <f aca="false">SQRT(($B300-CK$270)^2+($C300-CK$271)^2+($D300-CK$272)^2)</f>
        <v>0.257490012071407</v>
      </c>
      <c r="CL300" s="17" t="n">
        <f aca="false">SQRT(($B300-CL$270)^2+($C300-CL$271)^2+($D300-CL$272)^2)</f>
        <v>1.74168052180413</v>
      </c>
      <c r="CM300" s="17" t="n">
        <f aca="false">SQRT(($B300-CM$270)^2+($C300-CM$271)^2+($D300-CM$272)^2)</f>
        <v>2.36910199090621</v>
      </c>
      <c r="CN300" s="63" t="n">
        <f aca="false">MATCH(MIN(CI300:CM300),CI300:CM300,0)</f>
        <v>3</v>
      </c>
      <c r="CP300" s="17" t="n">
        <f aca="false">SQRT(($B300-CP$270)^2+($C300-CP$271)^2+($D300-CP$272)^2)</f>
        <v>4.90241299407267</v>
      </c>
      <c r="CQ300" s="17" t="n">
        <f aca="false">SQRT(($B300-CQ$270)^2+($C300-CQ$271)^2+($D300-CQ$272)^2)</f>
        <v>2.9529307731798</v>
      </c>
      <c r="CR300" s="17" t="n">
        <f aca="false">SQRT(($B300-CR$270)^2+($C300-CR$271)^2+($D300-CR$272)^2)</f>
        <v>0.257490012071407</v>
      </c>
      <c r="CS300" s="17" t="n">
        <f aca="false">SQRT(($B300-CS$270)^2+($C300-CS$271)^2+($D300-CS$272)^2)</f>
        <v>1.74168052180413</v>
      </c>
      <c r="CT300" s="17" t="n">
        <f aca="false">SQRT(($B300-CT$270)^2+($C300-CT$271)^2+($D300-CT$272)^2)</f>
        <v>2.36910199090621</v>
      </c>
      <c r="CU300" s="63" t="n">
        <f aca="false">MATCH(MIN(CP300:CT300),CP300:CT300,0)</f>
        <v>3</v>
      </c>
      <c r="CW300" s="17" t="n">
        <f aca="false">SQRT(($B300-CW$270)^2+($C300-CW$271)^2+($D300-CW$272)^2)</f>
        <v>4.90241299407267</v>
      </c>
      <c r="CX300" s="17" t="n">
        <f aca="false">SQRT(($B300-CX$270)^2+($C300-CX$271)^2+($D300-CX$272)^2)</f>
        <v>2.9529307731798</v>
      </c>
      <c r="CY300" s="17" t="n">
        <f aca="false">SQRT(($B300-CY$270)^2+($C300-CY$271)^2+($D300-CY$272)^2)</f>
        <v>0.257490012071407</v>
      </c>
      <c r="CZ300" s="17" t="n">
        <f aca="false">SQRT(($B300-CZ$270)^2+($C300-CZ$271)^2+($D300-CZ$272)^2)</f>
        <v>1.74168052180413</v>
      </c>
      <c r="DA300" s="17" t="n">
        <f aca="false">SQRT(($B300-DA$270)^2+($C300-DA$271)^2+($D300-DA$272)^2)</f>
        <v>2.36910199090621</v>
      </c>
      <c r="DB300" s="63" t="n">
        <f aca="false">MATCH(MIN(CW300:DA300),CW300:DA300,0)</f>
        <v>3</v>
      </c>
    </row>
    <row r="301" customFormat="false" ht="15" hidden="false" customHeight="false" outlineLevel="0" collapsed="false">
      <c r="A301" s="36" t="str">
        <f aca="false">KMeans_Data!A29</f>
        <v>Bajaur</v>
      </c>
      <c r="B301" s="17" t="n">
        <f aca="false">KMeans_Data!H29</f>
        <v>0.761812586723473</v>
      </c>
      <c r="C301" s="17" t="n">
        <f aca="false">KMeans_Data!I29</f>
        <v>1.38107452085777</v>
      </c>
      <c r="D301" s="17" t="n">
        <f aca="false">KMeans_Data!J29</f>
        <v>0.727869076261203</v>
      </c>
      <c r="E301" s="63" t="n">
        <f aca="false">DB301</f>
        <v>3</v>
      </c>
      <c r="F301" s="38" t="n">
        <f aca="false">($B301-INDEX($L$270:$P$270,E301))^2+($C301-INDEX($L$271:$P$271,E301))^2+($D301-INDEX($L$272:$P$272,E301))^2</f>
        <v>0.671684536875281</v>
      </c>
      <c r="G301" s="17" t="n">
        <f aca="false">IF(COUNTIF(Distance_Matrix!$E$11:$DQ$11,$E301)&lt;=1,0,SUMIF(Distance_Matrix!$E$11:$DQ$11,$E301,Distance_Matrix!$E$38:$DQ$38)/(COUNTIF(Distance_Matrix!$E$11:$DQ$11,$E301)-1))</f>
        <v>1.03467899869115</v>
      </c>
      <c r="H301" s="17" t="n">
        <f aca="false">MIN(IF(1=$E301,1E+099,IF(COUNTIF(Distance_Matrix!$E$11:$DQ$11,1)=0,1E+099,SUMIF(Distance_Matrix!$E$11:$DQ$11,1,Distance_Matrix!$E$38:$DQ$38)/COUNTIF(Distance_Matrix!$E$11:$DQ$11,1))),IF(2=$E301,1E+099,IF(COUNTIF(Distance_Matrix!$E$11:$DQ$11,2)=0,1E+099,SUMIF(Distance_Matrix!$E$11:$DQ$11,2,Distance_Matrix!$E$38:$DQ$38)/COUNTIF(Distance_Matrix!$E$11:$DQ$11,2))),IF(3=$E301,1E+099,IF(COUNTIF(Distance_Matrix!$E$11:$DQ$11,3)=0,1E+099,SUMIF(Distance_Matrix!$E$11:$DQ$11,3,Distance_Matrix!$E$38:$DQ$38)/COUNTIF(Distance_Matrix!$E$11:$DQ$11,3))),IF(4=$E301,1E+099,IF(COUNTIF(Distance_Matrix!$E$11:$DQ$11,4)=0,1E+099,SUMIF(Distance_Matrix!$E$11:$DQ$11,4,Distance_Matrix!$E$38:$DQ$38)/COUNTIF(Distance_Matrix!$E$11:$DQ$11,4))),IF(5=$E301,1E+099,IF(COUNTIF(Distance_Matrix!$E$11:$DQ$11,5)=0,1E+099,SUMIF(Distance_Matrix!$E$11:$DQ$11,5,Distance_Matrix!$E$38:$DQ$38)/COUNTIF(Distance_Matrix!$E$11:$DQ$11,5))))</f>
        <v>1.83575609379784</v>
      </c>
      <c r="I301" s="17" t="n">
        <f aca="false">IF(COUNTIF(Distance_Matrix!$E$11:$DQ$11,$E301)&lt;=1,0,(H301-G301)/MAX(G301,H301))</f>
        <v>0.436374471430683</v>
      </c>
      <c r="X301" s="17" t="n">
        <f aca="false">SQRT(($B301-X$270)^2+($C301-X$271)^2+($D301-X$272)^2)</f>
        <v>4.44423821278105</v>
      </c>
      <c r="Y301" s="17" t="n">
        <f aca="false">SQRT(($B301-Y$270)^2+($C301-Y$271)^2+($D301-Y$272)^2)</f>
        <v>3.97520414117928</v>
      </c>
      <c r="Z301" s="17" t="n">
        <f aca="false">SQRT(($B301-Z$270)^2+($C301-Z$271)^2+($D301-Z$272)^2)</f>
        <v>1.27752060457733</v>
      </c>
      <c r="AA301" s="17" t="n">
        <f aca="false">SQRT(($B301-AA$270)^2+($C301-AA$271)^2+($D301-AA$272)^2)</f>
        <v>2.42043390101077</v>
      </c>
      <c r="AB301" s="17" t="n">
        <f aca="false">SQRT(($B301-AB$270)^2+($C301-AB$271)^2+($D301-AB$272)^2)</f>
        <v>2.47118088243736</v>
      </c>
      <c r="AC301" s="63" t="n">
        <f aca="false">MATCH(MIN(X301:AB301),X301:AB301,0)</f>
        <v>3</v>
      </c>
      <c r="AE301" s="17" t="n">
        <f aca="false">SQRT(($B301-AE$270)^2+($C301-AE$271)^2+($D301-AE$272)^2)</f>
        <v>4.31797533894505</v>
      </c>
      <c r="AF301" s="17" t="n">
        <f aca="false">SQRT(($B301-AF$270)^2+($C301-AF$271)^2+($D301-AF$272)^2)</f>
        <v>3.30426796156955</v>
      </c>
      <c r="AG301" s="17" t="n">
        <f aca="false">SQRT(($B301-AG$270)^2+($C301-AG$271)^2+($D301-AG$272)^2)</f>
        <v>0.914235025872707</v>
      </c>
      <c r="AH301" s="17" t="n">
        <f aca="false">SQRT(($B301-AH$270)^2+($C301-AH$271)^2+($D301-AH$272)^2)</f>
        <v>2.39143843764475</v>
      </c>
      <c r="AI301" s="17" t="n">
        <f aca="false">SQRT(($B301-AI$270)^2+($C301-AI$271)^2+($D301-AI$272)^2)</f>
        <v>2.05830848105758</v>
      </c>
      <c r="AJ301" s="63" t="n">
        <f aca="false">MATCH(MIN(AE301:AI301),AE301:AI301,0)</f>
        <v>3</v>
      </c>
      <c r="AL301" s="17" t="n">
        <f aca="false">SQRT(($B301-AL$270)^2+($C301-AL$271)^2+($D301-AL$272)^2)</f>
        <v>4.31797533894505</v>
      </c>
      <c r="AM301" s="17" t="n">
        <f aca="false">SQRT(($B301-AM$270)^2+($C301-AM$271)^2+($D301-AM$272)^2)</f>
        <v>3.32466517375311</v>
      </c>
      <c r="AN301" s="17" t="n">
        <f aca="false">SQRT(($B301-AN$270)^2+($C301-AN$271)^2+($D301-AN$272)^2)</f>
        <v>0.831891911621661</v>
      </c>
      <c r="AO301" s="17" t="n">
        <f aca="false">SQRT(($B301-AO$270)^2+($C301-AO$271)^2+($D301-AO$272)^2)</f>
        <v>2.3581860183523</v>
      </c>
      <c r="AP301" s="17" t="n">
        <f aca="false">SQRT(($B301-AP$270)^2+($C301-AP$271)^2+($D301-AP$272)^2)</f>
        <v>1.78283564439298</v>
      </c>
      <c r="AQ301" s="63" t="n">
        <f aca="false">MATCH(MIN(AL301:AP301),AL301:AP301,0)</f>
        <v>3</v>
      </c>
      <c r="AS301" s="17" t="n">
        <f aca="false">SQRT(($B301-AS$270)^2+($C301-AS$271)^2+($D301-AS$272)^2)</f>
        <v>4.31797533894505</v>
      </c>
      <c r="AT301" s="17" t="n">
        <f aca="false">SQRT(($B301-AT$270)^2+($C301-AT$271)^2+($D301-AT$272)^2)</f>
        <v>3.39690053553883</v>
      </c>
      <c r="AU301" s="17" t="n">
        <f aca="false">SQRT(($B301-AU$270)^2+($C301-AU$271)^2+($D301-AU$272)^2)</f>
        <v>0.819563625885923</v>
      </c>
      <c r="AV301" s="17" t="n">
        <f aca="false">SQRT(($B301-AV$270)^2+($C301-AV$271)^2+($D301-AV$272)^2)</f>
        <v>2.3618633118376</v>
      </c>
      <c r="AW301" s="17" t="n">
        <f aca="false">SQRT(($B301-AW$270)^2+($C301-AW$271)^2+($D301-AW$272)^2)</f>
        <v>1.78283564439298</v>
      </c>
      <c r="AX301" s="63" t="n">
        <f aca="false">MATCH(MIN(AS301:AW301),AS301:AW301,0)</f>
        <v>3</v>
      </c>
      <c r="AZ301" s="17" t="n">
        <f aca="false">SQRT(($B301-AZ$270)^2+($C301-AZ$271)^2+($D301-AZ$272)^2)</f>
        <v>4.31797533894505</v>
      </c>
      <c r="BA301" s="17" t="n">
        <f aca="false">SQRT(($B301-BA$270)^2+($C301-BA$271)^2+($D301-BA$272)^2)</f>
        <v>3.39690053553883</v>
      </c>
      <c r="BB301" s="17" t="n">
        <f aca="false">SQRT(($B301-BB$270)^2+($C301-BB$271)^2+($D301-BB$272)^2)</f>
        <v>0.819563625885923</v>
      </c>
      <c r="BC301" s="17" t="n">
        <f aca="false">SQRT(($B301-BC$270)^2+($C301-BC$271)^2+($D301-BC$272)^2)</f>
        <v>2.3618633118376</v>
      </c>
      <c r="BD301" s="17" t="n">
        <f aca="false">SQRT(($B301-BD$270)^2+($C301-BD$271)^2+($D301-BD$272)^2)</f>
        <v>1.78283564439298</v>
      </c>
      <c r="BE301" s="63" t="n">
        <f aca="false">MATCH(MIN(AZ301:BD301),AZ301:BD301,0)</f>
        <v>3</v>
      </c>
      <c r="BG301" s="17" t="n">
        <f aca="false">SQRT(($B301-BG$270)^2+($C301-BG$271)^2+($D301-BG$272)^2)</f>
        <v>4.31797533894505</v>
      </c>
      <c r="BH301" s="17" t="n">
        <f aca="false">SQRT(($B301-BH$270)^2+($C301-BH$271)^2+($D301-BH$272)^2)</f>
        <v>3.39690053553883</v>
      </c>
      <c r="BI301" s="17" t="n">
        <f aca="false">SQRT(($B301-BI$270)^2+($C301-BI$271)^2+($D301-BI$272)^2)</f>
        <v>0.819563625885923</v>
      </c>
      <c r="BJ301" s="17" t="n">
        <f aca="false">SQRT(($B301-BJ$270)^2+($C301-BJ$271)^2+($D301-BJ$272)^2)</f>
        <v>2.3618633118376</v>
      </c>
      <c r="BK301" s="17" t="n">
        <f aca="false">SQRT(($B301-BK$270)^2+($C301-BK$271)^2+($D301-BK$272)^2)</f>
        <v>1.78283564439298</v>
      </c>
      <c r="BL301" s="63" t="n">
        <f aca="false">MATCH(MIN(BG301:BK301),BG301:BK301,0)</f>
        <v>3</v>
      </c>
      <c r="BN301" s="17" t="n">
        <f aca="false">SQRT(($B301-BN$270)^2+($C301-BN$271)^2+($D301-BN$272)^2)</f>
        <v>4.31797533894505</v>
      </c>
      <c r="BO301" s="17" t="n">
        <f aca="false">SQRT(($B301-BO$270)^2+($C301-BO$271)^2+($D301-BO$272)^2)</f>
        <v>3.39690053553883</v>
      </c>
      <c r="BP301" s="17" t="n">
        <f aca="false">SQRT(($B301-BP$270)^2+($C301-BP$271)^2+($D301-BP$272)^2)</f>
        <v>0.819563625885923</v>
      </c>
      <c r="BQ301" s="17" t="n">
        <f aca="false">SQRT(($B301-BQ$270)^2+($C301-BQ$271)^2+($D301-BQ$272)^2)</f>
        <v>2.3618633118376</v>
      </c>
      <c r="BR301" s="17" t="n">
        <f aca="false">SQRT(($B301-BR$270)^2+($C301-BR$271)^2+($D301-BR$272)^2)</f>
        <v>1.78283564439298</v>
      </c>
      <c r="BS301" s="63" t="n">
        <f aca="false">MATCH(MIN(BN301:BR301),BN301:BR301,0)</f>
        <v>3</v>
      </c>
      <c r="BU301" s="17" t="n">
        <f aca="false">SQRT(($B301-BU$270)^2+($C301-BU$271)^2+($D301-BU$272)^2)</f>
        <v>4.31797533894505</v>
      </c>
      <c r="BV301" s="17" t="n">
        <f aca="false">SQRT(($B301-BV$270)^2+($C301-BV$271)^2+($D301-BV$272)^2)</f>
        <v>3.39690053553883</v>
      </c>
      <c r="BW301" s="17" t="n">
        <f aca="false">SQRT(($B301-BW$270)^2+($C301-BW$271)^2+($D301-BW$272)^2)</f>
        <v>0.819563625885923</v>
      </c>
      <c r="BX301" s="17" t="n">
        <f aca="false">SQRT(($B301-BX$270)^2+($C301-BX$271)^2+($D301-BX$272)^2)</f>
        <v>2.3618633118376</v>
      </c>
      <c r="BY301" s="17" t="n">
        <f aca="false">SQRT(($B301-BY$270)^2+($C301-BY$271)^2+($D301-BY$272)^2)</f>
        <v>1.78283564439298</v>
      </c>
      <c r="BZ301" s="63" t="n">
        <f aca="false">MATCH(MIN(BU301:BY301),BU301:BY301,0)</f>
        <v>3</v>
      </c>
      <c r="CB301" s="17" t="n">
        <f aca="false">SQRT(($B301-CB$270)^2+($C301-CB$271)^2+($D301-CB$272)^2)</f>
        <v>4.31797533894505</v>
      </c>
      <c r="CC301" s="17" t="n">
        <f aca="false">SQRT(($B301-CC$270)^2+($C301-CC$271)^2+($D301-CC$272)^2)</f>
        <v>3.39690053553883</v>
      </c>
      <c r="CD301" s="17" t="n">
        <f aca="false">SQRT(($B301-CD$270)^2+($C301-CD$271)^2+($D301-CD$272)^2)</f>
        <v>0.819563625885923</v>
      </c>
      <c r="CE301" s="17" t="n">
        <f aca="false">SQRT(($B301-CE$270)^2+($C301-CE$271)^2+($D301-CE$272)^2)</f>
        <v>2.3618633118376</v>
      </c>
      <c r="CF301" s="17" t="n">
        <f aca="false">SQRT(($B301-CF$270)^2+($C301-CF$271)^2+($D301-CF$272)^2)</f>
        <v>1.78283564439298</v>
      </c>
      <c r="CG301" s="63" t="n">
        <f aca="false">MATCH(MIN(CB301:CF301),CB301:CF301,0)</f>
        <v>3</v>
      </c>
      <c r="CI301" s="17" t="n">
        <f aca="false">SQRT(($B301-CI$270)^2+($C301-CI$271)^2+($D301-CI$272)^2)</f>
        <v>4.31797533894505</v>
      </c>
      <c r="CJ301" s="17" t="n">
        <f aca="false">SQRT(($B301-CJ$270)^2+($C301-CJ$271)^2+($D301-CJ$272)^2)</f>
        <v>3.39690053553883</v>
      </c>
      <c r="CK301" s="17" t="n">
        <f aca="false">SQRT(($B301-CK$270)^2+($C301-CK$271)^2+($D301-CK$272)^2)</f>
        <v>0.819563625885923</v>
      </c>
      <c r="CL301" s="17" t="n">
        <f aca="false">SQRT(($B301-CL$270)^2+($C301-CL$271)^2+($D301-CL$272)^2)</f>
        <v>2.3618633118376</v>
      </c>
      <c r="CM301" s="17" t="n">
        <f aca="false">SQRT(($B301-CM$270)^2+($C301-CM$271)^2+($D301-CM$272)^2)</f>
        <v>1.78283564439298</v>
      </c>
      <c r="CN301" s="63" t="n">
        <f aca="false">MATCH(MIN(CI301:CM301),CI301:CM301,0)</f>
        <v>3</v>
      </c>
      <c r="CP301" s="17" t="n">
        <f aca="false">SQRT(($B301-CP$270)^2+($C301-CP$271)^2+($D301-CP$272)^2)</f>
        <v>4.31797533894505</v>
      </c>
      <c r="CQ301" s="17" t="n">
        <f aca="false">SQRT(($B301-CQ$270)^2+($C301-CQ$271)^2+($D301-CQ$272)^2)</f>
        <v>3.39690053553883</v>
      </c>
      <c r="CR301" s="17" t="n">
        <f aca="false">SQRT(($B301-CR$270)^2+($C301-CR$271)^2+($D301-CR$272)^2)</f>
        <v>0.819563625885923</v>
      </c>
      <c r="CS301" s="17" t="n">
        <f aca="false">SQRT(($B301-CS$270)^2+($C301-CS$271)^2+($D301-CS$272)^2)</f>
        <v>2.3618633118376</v>
      </c>
      <c r="CT301" s="17" t="n">
        <f aca="false">SQRT(($B301-CT$270)^2+($C301-CT$271)^2+($D301-CT$272)^2)</f>
        <v>1.78283564439298</v>
      </c>
      <c r="CU301" s="63" t="n">
        <f aca="false">MATCH(MIN(CP301:CT301),CP301:CT301,0)</f>
        <v>3</v>
      </c>
      <c r="CW301" s="17" t="n">
        <f aca="false">SQRT(($B301-CW$270)^2+($C301-CW$271)^2+($D301-CW$272)^2)</f>
        <v>4.31797533894505</v>
      </c>
      <c r="CX301" s="17" t="n">
        <f aca="false">SQRT(($B301-CX$270)^2+($C301-CX$271)^2+($D301-CX$272)^2)</f>
        <v>3.39690053553883</v>
      </c>
      <c r="CY301" s="17" t="n">
        <f aca="false">SQRT(($B301-CY$270)^2+($C301-CY$271)^2+($D301-CY$272)^2)</f>
        <v>0.819563625885923</v>
      </c>
      <c r="CZ301" s="17" t="n">
        <f aca="false">SQRT(($B301-CZ$270)^2+($C301-CZ$271)^2+($D301-CZ$272)^2)</f>
        <v>2.3618633118376</v>
      </c>
      <c r="DA301" s="17" t="n">
        <f aca="false">SQRT(($B301-DA$270)^2+($C301-DA$271)^2+($D301-DA$272)^2)</f>
        <v>1.78283564439298</v>
      </c>
      <c r="DB301" s="63" t="n">
        <f aca="false">MATCH(MIN(CW301:DA301),CW301:DA301,0)</f>
        <v>3</v>
      </c>
    </row>
    <row r="302" customFormat="false" ht="15" hidden="false" customHeight="false" outlineLevel="0" collapsed="false">
      <c r="A302" s="36" t="str">
        <f aca="false">KMeans_Data!A30</f>
        <v>Shikarpur</v>
      </c>
      <c r="B302" s="17" t="n">
        <f aca="false">KMeans_Data!H30</f>
        <v>0.708204570744665</v>
      </c>
      <c r="C302" s="17" t="n">
        <f aca="false">KMeans_Data!I30</f>
        <v>0.803084449535714</v>
      </c>
      <c r="D302" s="17" t="n">
        <f aca="false">KMeans_Data!J30</f>
        <v>1.27840404836418</v>
      </c>
      <c r="E302" s="63" t="n">
        <f aca="false">DB302</f>
        <v>3</v>
      </c>
      <c r="F302" s="38" t="n">
        <f aca="false">($B302-INDEX($L$270:$P$270,E302))^2+($C302-INDEX($L$271:$P$271,E302))^2+($D302-INDEX($L$272:$P$272,E302))^2</f>
        <v>0.230417618918803</v>
      </c>
      <c r="G302" s="17" t="n">
        <f aca="false">IF(COUNTIF(Distance_Matrix!$E$11:$DQ$11,$E302)&lt;=1,0,SUMIF(Distance_Matrix!$E$11:$DQ$11,$E302,Distance_Matrix!$E$39:$DQ$39)/(COUNTIF(Distance_Matrix!$E$11:$DQ$11,$E302)-1))</f>
        <v>0.862026787387681</v>
      </c>
      <c r="H302" s="17" t="n">
        <f aca="false">MIN(IF(1=$E302,1E+099,IF(COUNTIF(Distance_Matrix!$E$11:$DQ$11,1)=0,1E+099,SUMIF(Distance_Matrix!$E$11:$DQ$11,1,Distance_Matrix!$E$39:$DQ$39)/COUNTIF(Distance_Matrix!$E$11:$DQ$11,1))),IF(2=$E302,1E+099,IF(COUNTIF(Distance_Matrix!$E$11:$DQ$11,2)=0,1E+099,SUMIF(Distance_Matrix!$E$11:$DQ$11,2,Distance_Matrix!$E$39:$DQ$39)/COUNTIF(Distance_Matrix!$E$11:$DQ$11,2))),IF(3=$E302,1E+099,IF(COUNTIF(Distance_Matrix!$E$11:$DQ$11,3)=0,1E+099,SUMIF(Distance_Matrix!$E$11:$DQ$11,3,Distance_Matrix!$E$39:$DQ$39)/COUNTIF(Distance_Matrix!$E$11:$DQ$11,3))),IF(4=$E302,1E+099,IF(COUNTIF(Distance_Matrix!$E$11:$DQ$11,4)=0,1E+099,SUMIF(Distance_Matrix!$E$11:$DQ$11,4,Distance_Matrix!$E$39:$DQ$39)/COUNTIF(Distance_Matrix!$E$11:$DQ$11,4))),IF(5=$E302,1E+099,IF(COUNTIF(Distance_Matrix!$E$11:$DQ$11,5)=0,1E+099,SUMIF(Distance_Matrix!$E$11:$DQ$11,5,Distance_Matrix!$E$39:$DQ$39)/COUNTIF(Distance_Matrix!$E$11:$DQ$11,5))))</f>
        <v>2.07682905963606</v>
      </c>
      <c r="I302" s="17" t="n">
        <f aca="false">IF(COUNTIF(Distance_Matrix!$E$11:$DQ$11,$E302)&lt;=1,0,(H302-G302)/MAX(G302,H302))</f>
        <v>0.584931276174101</v>
      </c>
      <c r="X302" s="17" t="n">
        <f aca="false">SQRT(($B302-X$270)^2+($C302-X$271)^2+($D302-X$272)^2)</f>
        <v>4.57744212550846</v>
      </c>
      <c r="Y302" s="17" t="n">
        <f aca="false">SQRT(($B302-Y$270)^2+($C302-Y$271)^2+($D302-Y$272)^2)</f>
        <v>3.97824420521485</v>
      </c>
      <c r="Z302" s="17" t="n">
        <f aca="false">SQRT(($B302-Z$270)^2+($C302-Z$271)^2+($D302-Z$272)^2)</f>
        <v>0.570357611491903</v>
      </c>
      <c r="AA302" s="17" t="n">
        <f aca="false">SQRT(($B302-AA$270)^2+($C302-AA$271)^2+($D302-AA$272)^2)</f>
        <v>2.60433256477183</v>
      </c>
      <c r="AB302" s="17" t="n">
        <f aca="false">SQRT(($B302-AB$270)^2+($C302-AB$271)^2+($D302-AB$272)^2)</f>
        <v>2.48261938568445</v>
      </c>
      <c r="AC302" s="63" t="n">
        <f aca="false">MATCH(MIN(X302:AB302),X302:AB302,0)</f>
        <v>3</v>
      </c>
      <c r="AE302" s="17" t="n">
        <f aca="false">SQRT(($B302-AE$270)^2+($C302-AE$271)^2+($D302-AE$272)^2)</f>
        <v>4.49761623725738</v>
      </c>
      <c r="AF302" s="17" t="n">
        <f aca="false">SQRT(($B302-AF$270)^2+($C302-AF$271)^2+($D302-AF$272)^2)</f>
        <v>3.28972629676642</v>
      </c>
      <c r="AG302" s="17" t="n">
        <f aca="false">SQRT(($B302-AG$270)^2+($C302-AG$271)^2+($D302-AG$272)^2)</f>
        <v>0.551757011765391</v>
      </c>
      <c r="AH302" s="17" t="n">
        <f aca="false">SQRT(($B302-AH$270)^2+($C302-AH$271)^2+($D302-AH$272)^2)</f>
        <v>2.34010158090018</v>
      </c>
      <c r="AI302" s="17" t="n">
        <f aca="false">SQRT(($B302-AI$270)^2+($C302-AI$271)^2+($D302-AI$272)^2)</f>
        <v>2.27808569393818</v>
      </c>
      <c r="AJ302" s="63" t="n">
        <f aca="false">MATCH(MIN(AE302:AI302),AE302:AI302,0)</f>
        <v>3</v>
      </c>
      <c r="AL302" s="17" t="n">
        <f aca="false">SQRT(($B302-AL$270)^2+($C302-AL$271)^2+($D302-AL$272)^2)</f>
        <v>4.49761623725738</v>
      </c>
      <c r="AM302" s="17" t="n">
        <f aca="false">SQRT(($B302-AM$270)^2+($C302-AM$271)^2+($D302-AM$272)^2)</f>
        <v>3.31872353664427</v>
      </c>
      <c r="AN302" s="17" t="n">
        <f aca="false">SQRT(($B302-AN$270)^2+($C302-AN$271)^2+($D302-AN$272)^2)</f>
        <v>0.503134818754839</v>
      </c>
      <c r="AO302" s="17" t="n">
        <f aca="false">SQRT(($B302-AO$270)^2+($C302-AO$271)^2+($D302-AO$272)^2)</f>
        <v>2.27192526606264</v>
      </c>
      <c r="AP302" s="17" t="n">
        <f aca="false">SQRT(($B302-AP$270)^2+($C302-AP$271)^2+($D302-AP$272)^2)</f>
        <v>2.01734040815543</v>
      </c>
      <c r="AQ302" s="63" t="n">
        <f aca="false">MATCH(MIN(AL302:AP302),AL302:AP302,0)</f>
        <v>3</v>
      </c>
      <c r="AS302" s="17" t="n">
        <f aca="false">SQRT(($B302-AS$270)^2+($C302-AS$271)^2+($D302-AS$272)^2)</f>
        <v>4.49761623725738</v>
      </c>
      <c r="AT302" s="17" t="n">
        <f aca="false">SQRT(($B302-AT$270)^2+($C302-AT$271)^2+($D302-AT$272)^2)</f>
        <v>3.40505109021689</v>
      </c>
      <c r="AU302" s="17" t="n">
        <f aca="false">SQRT(($B302-AU$270)^2+($C302-AU$271)^2+($D302-AU$272)^2)</f>
        <v>0.480018352689565</v>
      </c>
      <c r="AV302" s="17" t="n">
        <f aca="false">SQRT(($B302-AV$270)^2+($C302-AV$271)^2+($D302-AV$272)^2)</f>
        <v>2.27014231129486</v>
      </c>
      <c r="AW302" s="17" t="n">
        <f aca="false">SQRT(($B302-AW$270)^2+($C302-AW$271)^2+($D302-AW$272)^2)</f>
        <v>2.01734040815543</v>
      </c>
      <c r="AX302" s="63" t="n">
        <f aca="false">MATCH(MIN(AS302:AW302),AS302:AW302,0)</f>
        <v>3</v>
      </c>
      <c r="AZ302" s="17" t="n">
        <f aca="false">SQRT(($B302-AZ$270)^2+($C302-AZ$271)^2+($D302-AZ$272)^2)</f>
        <v>4.49761623725738</v>
      </c>
      <c r="BA302" s="17" t="n">
        <f aca="false">SQRT(($B302-BA$270)^2+($C302-BA$271)^2+($D302-BA$272)^2)</f>
        <v>3.40505109021689</v>
      </c>
      <c r="BB302" s="17" t="n">
        <f aca="false">SQRT(($B302-BB$270)^2+($C302-BB$271)^2+($D302-BB$272)^2)</f>
        <v>0.480018352689565</v>
      </c>
      <c r="BC302" s="17" t="n">
        <f aca="false">SQRT(($B302-BC$270)^2+($C302-BC$271)^2+($D302-BC$272)^2)</f>
        <v>2.27014231129486</v>
      </c>
      <c r="BD302" s="17" t="n">
        <f aca="false">SQRT(($B302-BD$270)^2+($C302-BD$271)^2+($D302-BD$272)^2)</f>
        <v>2.01734040815543</v>
      </c>
      <c r="BE302" s="63" t="n">
        <f aca="false">MATCH(MIN(AZ302:BD302),AZ302:BD302,0)</f>
        <v>3</v>
      </c>
      <c r="BG302" s="17" t="n">
        <f aca="false">SQRT(($B302-BG$270)^2+($C302-BG$271)^2+($D302-BG$272)^2)</f>
        <v>4.49761623725738</v>
      </c>
      <c r="BH302" s="17" t="n">
        <f aca="false">SQRT(($B302-BH$270)^2+($C302-BH$271)^2+($D302-BH$272)^2)</f>
        <v>3.40505109021689</v>
      </c>
      <c r="BI302" s="17" t="n">
        <f aca="false">SQRT(($B302-BI$270)^2+($C302-BI$271)^2+($D302-BI$272)^2)</f>
        <v>0.480018352689565</v>
      </c>
      <c r="BJ302" s="17" t="n">
        <f aca="false">SQRT(($B302-BJ$270)^2+($C302-BJ$271)^2+($D302-BJ$272)^2)</f>
        <v>2.27014231129486</v>
      </c>
      <c r="BK302" s="17" t="n">
        <f aca="false">SQRT(($B302-BK$270)^2+($C302-BK$271)^2+($D302-BK$272)^2)</f>
        <v>2.01734040815543</v>
      </c>
      <c r="BL302" s="63" t="n">
        <f aca="false">MATCH(MIN(BG302:BK302),BG302:BK302,0)</f>
        <v>3</v>
      </c>
      <c r="BN302" s="17" t="n">
        <f aca="false">SQRT(($B302-BN$270)^2+($C302-BN$271)^2+($D302-BN$272)^2)</f>
        <v>4.49761623725738</v>
      </c>
      <c r="BO302" s="17" t="n">
        <f aca="false">SQRT(($B302-BO$270)^2+($C302-BO$271)^2+($D302-BO$272)^2)</f>
        <v>3.40505109021689</v>
      </c>
      <c r="BP302" s="17" t="n">
        <f aca="false">SQRT(($B302-BP$270)^2+($C302-BP$271)^2+($D302-BP$272)^2)</f>
        <v>0.480018352689565</v>
      </c>
      <c r="BQ302" s="17" t="n">
        <f aca="false">SQRT(($B302-BQ$270)^2+($C302-BQ$271)^2+($D302-BQ$272)^2)</f>
        <v>2.27014231129486</v>
      </c>
      <c r="BR302" s="17" t="n">
        <f aca="false">SQRT(($B302-BR$270)^2+($C302-BR$271)^2+($D302-BR$272)^2)</f>
        <v>2.01734040815543</v>
      </c>
      <c r="BS302" s="63" t="n">
        <f aca="false">MATCH(MIN(BN302:BR302),BN302:BR302,0)</f>
        <v>3</v>
      </c>
      <c r="BU302" s="17" t="n">
        <f aca="false">SQRT(($B302-BU$270)^2+($C302-BU$271)^2+($D302-BU$272)^2)</f>
        <v>4.49761623725738</v>
      </c>
      <c r="BV302" s="17" t="n">
        <f aca="false">SQRT(($B302-BV$270)^2+($C302-BV$271)^2+($D302-BV$272)^2)</f>
        <v>3.40505109021689</v>
      </c>
      <c r="BW302" s="17" t="n">
        <f aca="false">SQRT(($B302-BW$270)^2+($C302-BW$271)^2+($D302-BW$272)^2)</f>
        <v>0.480018352689565</v>
      </c>
      <c r="BX302" s="17" t="n">
        <f aca="false">SQRT(($B302-BX$270)^2+($C302-BX$271)^2+($D302-BX$272)^2)</f>
        <v>2.27014231129486</v>
      </c>
      <c r="BY302" s="17" t="n">
        <f aca="false">SQRT(($B302-BY$270)^2+($C302-BY$271)^2+($D302-BY$272)^2)</f>
        <v>2.01734040815543</v>
      </c>
      <c r="BZ302" s="63" t="n">
        <f aca="false">MATCH(MIN(BU302:BY302),BU302:BY302,0)</f>
        <v>3</v>
      </c>
      <c r="CB302" s="17" t="n">
        <f aca="false">SQRT(($B302-CB$270)^2+($C302-CB$271)^2+($D302-CB$272)^2)</f>
        <v>4.49761623725738</v>
      </c>
      <c r="CC302" s="17" t="n">
        <f aca="false">SQRT(($B302-CC$270)^2+($C302-CC$271)^2+($D302-CC$272)^2)</f>
        <v>3.40505109021689</v>
      </c>
      <c r="CD302" s="17" t="n">
        <f aca="false">SQRT(($B302-CD$270)^2+($C302-CD$271)^2+($D302-CD$272)^2)</f>
        <v>0.480018352689565</v>
      </c>
      <c r="CE302" s="17" t="n">
        <f aca="false">SQRT(($B302-CE$270)^2+($C302-CE$271)^2+($D302-CE$272)^2)</f>
        <v>2.27014231129486</v>
      </c>
      <c r="CF302" s="17" t="n">
        <f aca="false">SQRT(($B302-CF$270)^2+($C302-CF$271)^2+($D302-CF$272)^2)</f>
        <v>2.01734040815543</v>
      </c>
      <c r="CG302" s="63" t="n">
        <f aca="false">MATCH(MIN(CB302:CF302),CB302:CF302,0)</f>
        <v>3</v>
      </c>
      <c r="CI302" s="17" t="n">
        <f aca="false">SQRT(($B302-CI$270)^2+($C302-CI$271)^2+($D302-CI$272)^2)</f>
        <v>4.49761623725738</v>
      </c>
      <c r="CJ302" s="17" t="n">
        <f aca="false">SQRT(($B302-CJ$270)^2+($C302-CJ$271)^2+($D302-CJ$272)^2)</f>
        <v>3.40505109021689</v>
      </c>
      <c r="CK302" s="17" t="n">
        <f aca="false">SQRT(($B302-CK$270)^2+($C302-CK$271)^2+($D302-CK$272)^2)</f>
        <v>0.480018352689565</v>
      </c>
      <c r="CL302" s="17" t="n">
        <f aca="false">SQRT(($B302-CL$270)^2+($C302-CL$271)^2+($D302-CL$272)^2)</f>
        <v>2.27014231129486</v>
      </c>
      <c r="CM302" s="17" t="n">
        <f aca="false">SQRT(($B302-CM$270)^2+($C302-CM$271)^2+($D302-CM$272)^2)</f>
        <v>2.01734040815543</v>
      </c>
      <c r="CN302" s="63" t="n">
        <f aca="false">MATCH(MIN(CI302:CM302),CI302:CM302,0)</f>
        <v>3</v>
      </c>
      <c r="CP302" s="17" t="n">
        <f aca="false">SQRT(($B302-CP$270)^2+($C302-CP$271)^2+($D302-CP$272)^2)</f>
        <v>4.49761623725738</v>
      </c>
      <c r="CQ302" s="17" t="n">
        <f aca="false">SQRT(($B302-CQ$270)^2+($C302-CQ$271)^2+($D302-CQ$272)^2)</f>
        <v>3.40505109021689</v>
      </c>
      <c r="CR302" s="17" t="n">
        <f aca="false">SQRT(($B302-CR$270)^2+($C302-CR$271)^2+($D302-CR$272)^2)</f>
        <v>0.480018352689565</v>
      </c>
      <c r="CS302" s="17" t="n">
        <f aca="false">SQRT(($B302-CS$270)^2+($C302-CS$271)^2+($D302-CS$272)^2)</f>
        <v>2.27014231129486</v>
      </c>
      <c r="CT302" s="17" t="n">
        <f aca="false">SQRT(($B302-CT$270)^2+($C302-CT$271)^2+($D302-CT$272)^2)</f>
        <v>2.01734040815543</v>
      </c>
      <c r="CU302" s="63" t="n">
        <f aca="false">MATCH(MIN(CP302:CT302),CP302:CT302,0)</f>
        <v>3</v>
      </c>
      <c r="CW302" s="17" t="n">
        <f aca="false">SQRT(($B302-CW$270)^2+($C302-CW$271)^2+($D302-CW$272)^2)</f>
        <v>4.49761623725738</v>
      </c>
      <c r="CX302" s="17" t="n">
        <f aca="false">SQRT(($B302-CX$270)^2+($C302-CX$271)^2+($D302-CX$272)^2)</f>
        <v>3.40505109021689</v>
      </c>
      <c r="CY302" s="17" t="n">
        <f aca="false">SQRT(($B302-CY$270)^2+($C302-CY$271)^2+($D302-CY$272)^2)</f>
        <v>0.480018352689565</v>
      </c>
      <c r="CZ302" s="17" t="n">
        <f aca="false">SQRT(($B302-CZ$270)^2+($C302-CZ$271)^2+($D302-CZ$272)^2)</f>
        <v>2.27014231129486</v>
      </c>
      <c r="DA302" s="17" t="n">
        <f aca="false">SQRT(($B302-DA$270)^2+($C302-DA$271)^2+($D302-DA$272)^2)</f>
        <v>2.01734040815543</v>
      </c>
      <c r="DB302" s="63" t="n">
        <f aca="false">MATCH(MIN(CW302:DA302),CW302:DA302,0)</f>
        <v>3</v>
      </c>
    </row>
    <row r="303" customFormat="false" ht="15" hidden="false" customHeight="false" outlineLevel="0" collapsed="false">
      <c r="A303" s="36" t="str">
        <f aca="false">KMeans_Data!A31</f>
        <v>Rawalpindi</v>
      </c>
      <c r="B303" s="17" t="n">
        <f aca="false">KMeans_Data!H31</f>
        <v>0.645673058648075</v>
      </c>
      <c r="C303" s="17" t="n">
        <f aca="false">KMeans_Data!I31</f>
        <v>-0.146983133929529</v>
      </c>
      <c r="D303" s="17" t="n">
        <f aca="false">KMeans_Data!J31</f>
        <v>-1.14564411633355</v>
      </c>
      <c r="E303" s="63" t="n">
        <f aca="false">DB303</f>
        <v>4</v>
      </c>
      <c r="F303" s="38" t="n">
        <f aca="false">($B303-INDEX($L$270:$P$270,E303))^2+($C303-INDEX($L$271:$P$271,E303))^2+($D303-INDEX($L$272:$P$272,E303))^2</f>
        <v>1.32379648527862</v>
      </c>
      <c r="G303" s="17" t="n">
        <f aca="false">IF(COUNTIF(Distance_Matrix!$E$11:$DQ$11,$E303)&lt;=1,0,SUMIF(Distance_Matrix!$E$11:$DQ$11,$E303,Distance_Matrix!$E$40:$DQ$40)/(COUNTIF(Distance_Matrix!$E$11:$DQ$11,$E303)-1))</f>
        <v>1.33936948129784</v>
      </c>
      <c r="H303" s="17" t="n">
        <f aca="false">MIN(IF(1=$E303,1E+099,IF(COUNTIF(Distance_Matrix!$E$11:$DQ$11,1)=0,1E+099,SUMIF(Distance_Matrix!$E$11:$DQ$11,1,Distance_Matrix!$E$40:$DQ$40)/COUNTIF(Distance_Matrix!$E$11:$DQ$11,1))),IF(2=$E303,1E+099,IF(COUNTIF(Distance_Matrix!$E$11:$DQ$11,2)=0,1E+099,SUMIF(Distance_Matrix!$E$11:$DQ$11,2,Distance_Matrix!$E$40:$DQ$40)/COUNTIF(Distance_Matrix!$E$11:$DQ$11,2))),IF(3=$E303,1E+099,IF(COUNTIF(Distance_Matrix!$E$11:$DQ$11,3)=0,1E+099,SUMIF(Distance_Matrix!$E$11:$DQ$11,3,Distance_Matrix!$E$40:$DQ$40)/COUNTIF(Distance_Matrix!$E$11:$DQ$11,3))),IF(4=$E303,1E+099,IF(COUNTIF(Distance_Matrix!$E$11:$DQ$11,4)=0,1E+099,SUMIF(Distance_Matrix!$E$11:$DQ$11,4,Distance_Matrix!$E$40:$DQ$40)/COUNTIF(Distance_Matrix!$E$11:$DQ$11,4))),IF(5=$E303,1E+099,IF(COUNTIF(Distance_Matrix!$E$11:$DQ$11,5)=0,1E+099,SUMIF(Distance_Matrix!$E$11:$DQ$11,5,Distance_Matrix!$E$40:$DQ$40)/COUNTIF(Distance_Matrix!$E$11:$DQ$11,5))))</f>
        <v>2.00391573949704</v>
      </c>
      <c r="I303" s="17" t="n">
        <f aca="false">IF(COUNTIF(Distance_Matrix!$E$11:$DQ$11,$E303)&lt;=1,0,(H303-G303)/MAX(G303,H303))</f>
        <v>0.331623852790332</v>
      </c>
      <c r="X303" s="17" t="n">
        <f aca="false">SQRT(($B303-X$270)^2+($C303-X$271)^2+($D303-X$272)^2)</f>
        <v>6.61637996962902</v>
      </c>
      <c r="Y303" s="17" t="n">
        <f aca="false">SQRT(($B303-Y$270)^2+($C303-Y$271)^2+($D303-Y$272)^2)</f>
        <v>2.77564255027266</v>
      </c>
      <c r="Z303" s="17" t="n">
        <f aca="false">SQRT(($B303-Z$270)^2+($C303-Z$271)^2+($D303-Z$272)^2)</f>
        <v>2.6969311940684</v>
      </c>
      <c r="AA303" s="17" t="n">
        <f aca="false">SQRT(($B303-AA$270)^2+($C303-AA$271)^2+($D303-AA$272)^2)</f>
        <v>0</v>
      </c>
      <c r="AB303" s="17" t="n">
        <f aca="false">SQRT(($B303-AB$270)^2+($C303-AB$271)^2+($D303-AB$272)^2)</f>
        <v>4.61409614564319</v>
      </c>
      <c r="AC303" s="63" t="n">
        <f aca="false">MATCH(MIN(X303:AB303),X303:AB303,0)</f>
        <v>4</v>
      </c>
      <c r="AE303" s="17" t="n">
        <f aca="false">SQRT(($B303-AE$270)^2+($C303-AE$271)^2+($D303-AE$272)^2)</f>
        <v>6.46340515499828</v>
      </c>
      <c r="AF303" s="17" t="n">
        <f aca="false">SQRT(($B303-AF$270)^2+($C303-AF$271)^2+($D303-AF$272)^2)</f>
        <v>1.96489088637609</v>
      </c>
      <c r="AG303" s="17" t="n">
        <f aca="false">SQRT(($B303-AG$270)^2+($C303-AG$271)^2+($D303-AG$272)^2)</f>
        <v>2.0964422591627</v>
      </c>
      <c r="AH303" s="17" t="n">
        <f aca="false">SQRT(($B303-AH$270)^2+($C303-AH$271)^2+($D303-AH$272)^2)</f>
        <v>1.00858760506732</v>
      </c>
      <c r="AI303" s="17" t="n">
        <f aca="false">SQRT(($B303-AI$270)^2+($C303-AI$271)^2+($D303-AI$272)^2)</f>
        <v>4.23239811916055</v>
      </c>
      <c r="AJ303" s="63" t="n">
        <f aca="false">MATCH(MIN(AE303:AI303),AE303:AI303,0)</f>
        <v>4</v>
      </c>
      <c r="AL303" s="17" t="n">
        <f aca="false">SQRT(($B303-AL$270)^2+($C303-AL$271)^2+($D303-AL$272)^2)</f>
        <v>6.46340515499828</v>
      </c>
      <c r="AM303" s="17" t="n">
        <f aca="false">SQRT(($B303-AM$270)^2+($C303-AM$271)^2+($D303-AM$272)^2)</f>
        <v>1.95172747221741</v>
      </c>
      <c r="AN303" s="17" t="n">
        <f aca="false">SQRT(($B303-AN$270)^2+($C303-AN$271)^2+($D303-AN$272)^2)</f>
        <v>2.11698703275084</v>
      </c>
      <c r="AO303" s="17" t="n">
        <f aca="false">SQRT(($B303-AO$270)^2+($C303-AO$271)^2+($D303-AO$272)^2)</f>
        <v>1.10499581931289</v>
      </c>
      <c r="AP303" s="17" t="n">
        <f aca="false">SQRT(($B303-AP$270)^2+($C303-AP$271)^2+($D303-AP$272)^2)</f>
        <v>3.98424363428043</v>
      </c>
      <c r="AQ303" s="63" t="n">
        <f aca="false">MATCH(MIN(AL303:AP303),AL303:AP303,0)</f>
        <v>4</v>
      </c>
      <c r="AS303" s="17" t="n">
        <f aca="false">SQRT(($B303-AS$270)^2+($C303-AS$271)^2+($D303-AS$272)^2)</f>
        <v>6.46340515499828</v>
      </c>
      <c r="AT303" s="17" t="n">
        <f aca="false">SQRT(($B303-AT$270)^2+($C303-AT$271)^2+($D303-AT$272)^2)</f>
        <v>1.99003463306123</v>
      </c>
      <c r="AU303" s="17" t="n">
        <f aca="false">SQRT(($B303-AU$270)^2+($C303-AU$271)^2+($D303-AU$272)^2)</f>
        <v>2.13568074920286</v>
      </c>
      <c r="AV303" s="17" t="n">
        <f aca="false">SQRT(($B303-AV$270)^2+($C303-AV$271)^2+($D303-AV$272)^2)</f>
        <v>1.150563551169</v>
      </c>
      <c r="AW303" s="17" t="n">
        <f aca="false">SQRT(($B303-AW$270)^2+($C303-AW$271)^2+($D303-AW$272)^2)</f>
        <v>3.98424363428043</v>
      </c>
      <c r="AX303" s="63" t="n">
        <f aca="false">MATCH(MIN(AS303:AW303),AS303:AW303,0)</f>
        <v>4</v>
      </c>
      <c r="AZ303" s="17" t="n">
        <f aca="false">SQRT(($B303-AZ$270)^2+($C303-AZ$271)^2+($D303-AZ$272)^2)</f>
        <v>6.46340515499828</v>
      </c>
      <c r="BA303" s="17" t="n">
        <f aca="false">SQRT(($B303-BA$270)^2+($C303-BA$271)^2+($D303-BA$272)^2)</f>
        <v>1.99003463306123</v>
      </c>
      <c r="BB303" s="17" t="n">
        <f aca="false">SQRT(($B303-BB$270)^2+($C303-BB$271)^2+($D303-BB$272)^2)</f>
        <v>2.13568074920286</v>
      </c>
      <c r="BC303" s="17" t="n">
        <f aca="false">SQRT(($B303-BC$270)^2+($C303-BC$271)^2+($D303-BC$272)^2)</f>
        <v>1.150563551169</v>
      </c>
      <c r="BD303" s="17" t="n">
        <f aca="false">SQRT(($B303-BD$270)^2+($C303-BD$271)^2+($D303-BD$272)^2)</f>
        <v>3.98424363428043</v>
      </c>
      <c r="BE303" s="63" t="n">
        <f aca="false">MATCH(MIN(AZ303:BD303),AZ303:BD303,0)</f>
        <v>4</v>
      </c>
      <c r="BG303" s="17" t="n">
        <f aca="false">SQRT(($B303-BG$270)^2+($C303-BG$271)^2+($D303-BG$272)^2)</f>
        <v>6.46340515499828</v>
      </c>
      <c r="BH303" s="17" t="n">
        <f aca="false">SQRT(($B303-BH$270)^2+($C303-BH$271)^2+($D303-BH$272)^2)</f>
        <v>1.99003463306123</v>
      </c>
      <c r="BI303" s="17" t="n">
        <f aca="false">SQRT(($B303-BI$270)^2+($C303-BI$271)^2+($D303-BI$272)^2)</f>
        <v>2.13568074920286</v>
      </c>
      <c r="BJ303" s="17" t="n">
        <f aca="false">SQRT(($B303-BJ$270)^2+($C303-BJ$271)^2+($D303-BJ$272)^2)</f>
        <v>1.150563551169</v>
      </c>
      <c r="BK303" s="17" t="n">
        <f aca="false">SQRT(($B303-BK$270)^2+($C303-BK$271)^2+($D303-BK$272)^2)</f>
        <v>3.98424363428043</v>
      </c>
      <c r="BL303" s="63" t="n">
        <f aca="false">MATCH(MIN(BG303:BK303),BG303:BK303,0)</f>
        <v>4</v>
      </c>
      <c r="BN303" s="17" t="n">
        <f aca="false">SQRT(($B303-BN$270)^2+($C303-BN$271)^2+($D303-BN$272)^2)</f>
        <v>6.46340515499828</v>
      </c>
      <c r="BO303" s="17" t="n">
        <f aca="false">SQRT(($B303-BO$270)^2+($C303-BO$271)^2+($D303-BO$272)^2)</f>
        <v>1.99003463306123</v>
      </c>
      <c r="BP303" s="17" t="n">
        <f aca="false">SQRT(($B303-BP$270)^2+($C303-BP$271)^2+($D303-BP$272)^2)</f>
        <v>2.13568074920286</v>
      </c>
      <c r="BQ303" s="17" t="n">
        <f aca="false">SQRT(($B303-BQ$270)^2+($C303-BQ$271)^2+($D303-BQ$272)^2)</f>
        <v>1.150563551169</v>
      </c>
      <c r="BR303" s="17" t="n">
        <f aca="false">SQRT(($B303-BR$270)^2+($C303-BR$271)^2+($D303-BR$272)^2)</f>
        <v>3.98424363428043</v>
      </c>
      <c r="BS303" s="63" t="n">
        <f aca="false">MATCH(MIN(BN303:BR303),BN303:BR303,0)</f>
        <v>4</v>
      </c>
      <c r="BU303" s="17" t="n">
        <f aca="false">SQRT(($B303-BU$270)^2+($C303-BU$271)^2+($D303-BU$272)^2)</f>
        <v>6.46340515499828</v>
      </c>
      <c r="BV303" s="17" t="n">
        <f aca="false">SQRT(($B303-BV$270)^2+($C303-BV$271)^2+($D303-BV$272)^2)</f>
        <v>1.99003463306123</v>
      </c>
      <c r="BW303" s="17" t="n">
        <f aca="false">SQRT(($B303-BW$270)^2+($C303-BW$271)^2+($D303-BW$272)^2)</f>
        <v>2.13568074920286</v>
      </c>
      <c r="BX303" s="17" t="n">
        <f aca="false">SQRT(($B303-BX$270)^2+($C303-BX$271)^2+($D303-BX$272)^2)</f>
        <v>1.150563551169</v>
      </c>
      <c r="BY303" s="17" t="n">
        <f aca="false">SQRT(($B303-BY$270)^2+($C303-BY$271)^2+($D303-BY$272)^2)</f>
        <v>3.98424363428043</v>
      </c>
      <c r="BZ303" s="63" t="n">
        <f aca="false">MATCH(MIN(BU303:BY303),BU303:BY303,0)</f>
        <v>4</v>
      </c>
      <c r="CB303" s="17" t="n">
        <f aca="false">SQRT(($B303-CB$270)^2+($C303-CB$271)^2+($D303-CB$272)^2)</f>
        <v>6.46340515499828</v>
      </c>
      <c r="CC303" s="17" t="n">
        <f aca="false">SQRT(($B303-CC$270)^2+($C303-CC$271)^2+($D303-CC$272)^2)</f>
        <v>1.99003463306123</v>
      </c>
      <c r="CD303" s="17" t="n">
        <f aca="false">SQRT(($B303-CD$270)^2+($C303-CD$271)^2+($D303-CD$272)^2)</f>
        <v>2.13568074920286</v>
      </c>
      <c r="CE303" s="17" t="n">
        <f aca="false">SQRT(($B303-CE$270)^2+($C303-CE$271)^2+($D303-CE$272)^2)</f>
        <v>1.150563551169</v>
      </c>
      <c r="CF303" s="17" t="n">
        <f aca="false">SQRT(($B303-CF$270)^2+($C303-CF$271)^2+($D303-CF$272)^2)</f>
        <v>3.98424363428043</v>
      </c>
      <c r="CG303" s="63" t="n">
        <f aca="false">MATCH(MIN(CB303:CF303),CB303:CF303,0)</f>
        <v>4</v>
      </c>
      <c r="CI303" s="17" t="n">
        <f aca="false">SQRT(($B303-CI$270)^2+($C303-CI$271)^2+($D303-CI$272)^2)</f>
        <v>6.46340515499828</v>
      </c>
      <c r="CJ303" s="17" t="n">
        <f aca="false">SQRT(($B303-CJ$270)^2+($C303-CJ$271)^2+($D303-CJ$272)^2)</f>
        <v>1.99003463306123</v>
      </c>
      <c r="CK303" s="17" t="n">
        <f aca="false">SQRT(($B303-CK$270)^2+($C303-CK$271)^2+($D303-CK$272)^2)</f>
        <v>2.13568074920286</v>
      </c>
      <c r="CL303" s="17" t="n">
        <f aca="false">SQRT(($B303-CL$270)^2+($C303-CL$271)^2+($D303-CL$272)^2)</f>
        <v>1.150563551169</v>
      </c>
      <c r="CM303" s="17" t="n">
        <f aca="false">SQRT(($B303-CM$270)^2+($C303-CM$271)^2+($D303-CM$272)^2)</f>
        <v>3.98424363428043</v>
      </c>
      <c r="CN303" s="63" t="n">
        <f aca="false">MATCH(MIN(CI303:CM303),CI303:CM303,0)</f>
        <v>4</v>
      </c>
      <c r="CP303" s="17" t="n">
        <f aca="false">SQRT(($B303-CP$270)^2+($C303-CP$271)^2+($D303-CP$272)^2)</f>
        <v>6.46340515499828</v>
      </c>
      <c r="CQ303" s="17" t="n">
        <f aca="false">SQRT(($B303-CQ$270)^2+($C303-CQ$271)^2+($D303-CQ$272)^2)</f>
        <v>1.99003463306123</v>
      </c>
      <c r="CR303" s="17" t="n">
        <f aca="false">SQRT(($B303-CR$270)^2+($C303-CR$271)^2+($D303-CR$272)^2)</f>
        <v>2.13568074920286</v>
      </c>
      <c r="CS303" s="17" t="n">
        <f aca="false">SQRT(($B303-CS$270)^2+($C303-CS$271)^2+($D303-CS$272)^2)</f>
        <v>1.150563551169</v>
      </c>
      <c r="CT303" s="17" t="n">
        <f aca="false">SQRT(($B303-CT$270)^2+($C303-CT$271)^2+($D303-CT$272)^2)</f>
        <v>3.98424363428043</v>
      </c>
      <c r="CU303" s="63" t="n">
        <f aca="false">MATCH(MIN(CP303:CT303),CP303:CT303,0)</f>
        <v>4</v>
      </c>
      <c r="CW303" s="17" t="n">
        <f aca="false">SQRT(($B303-CW$270)^2+($C303-CW$271)^2+($D303-CW$272)^2)</f>
        <v>6.46340515499828</v>
      </c>
      <c r="CX303" s="17" t="n">
        <f aca="false">SQRT(($B303-CX$270)^2+($C303-CX$271)^2+($D303-CX$272)^2)</f>
        <v>1.99003463306123</v>
      </c>
      <c r="CY303" s="17" t="n">
        <f aca="false">SQRT(($B303-CY$270)^2+($C303-CY$271)^2+($D303-CY$272)^2)</f>
        <v>2.13568074920286</v>
      </c>
      <c r="CZ303" s="17" t="n">
        <f aca="false">SQRT(($B303-CZ$270)^2+($C303-CZ$271)^2+($D303-CZ$272)^2)</f>
        <v>1.150563551169</v>
      </c>
      <c r="DA303" s="17" t="n">
        <f aca="false">SQRT(($B303-DA$270)^2+($C303-DA$271)^2+($D303-DA$272)^2)</f>
        <v>3.98424363428043</v>
      </c>
      <c r="DB303" s="63" t="n">
        <f aca="false">MATCH(MIN(CW303:DA303),CW303:DA303,0)</f>
        <v>4</v>
      </c>
    </row>
    <row r="304" customFormat="false" ht="15" hidden="false" customHeight="false" outlineLevel="0" collapsed="false">
      <c r="A304" s="36" t="str">
        <f aca="false">KMeans_Data!A32</f>
        <v>Buner</v>
      </c>
      <c r="B304" s="17" t="n">
        <f aca="false">KMeans_Data!H32</f>
        <v>0.602395784980437</v>
      </c>
      <c r="C304" s="17" t="n">
        <f aca="false">KMeans_Data!I32</f>
        <v>0.686180001083741</v>
      </c>
      <c r="D304" s="17" t="n">
        <f aca="false">KMeans_Data!J32</f>
        <v>0.8732151368336</v>
      </c>
      <c r="E304" s="63" t="n">
        <f aca="false">DB304</f>
        <v>3</v>
      </c>
      <c r="F304" s="38" t="n">
        <f aca="false">($B304-INDEX($L$270:$P$270,E304))^2+($C304-INDEX($L$271:$P$271,E304))^2+($D304-INDEX($L$272:$P$272,E304))^2</f>
        <v>0.0105727817963341</v>
      </c>
      <c r="G304" s="17" t="n">
        <f aca="false">IF(COUNTIF(Distance_Matrix!$E$11:$DQ$11,$E304)&lt;=1,0,SUMIF(Distance_Matrix!$E$11:$DQ$11,$E304,Distance_Matrix!$E$41:$DQ$41)/(COUNTIF(Distance_Matrix!$E$11:$DQ$11,$E304)-1))</f>
        <v>0.747592077253127</v>
      </c>
      <c r="H304" s="17" t="n">
        <f aca="false">MIN(IF(1=$E304,1E+099,IF(COUNTIF(Distance_Matrix!$E$11:$DQ$11,1)=0,1E+099,SUMIF(Distance_Matrix!$E$11:$DQ$11,1,Distance_Matrix!$E$41:$DQ$41)/COUNTIF(Distance_Matrix!$E$11:$DQ$11,1))),IF(2=$E304,1E+099,IF(COUNTIF(Distance_Matrix!$E$11:$DQ$11,2)=0,1E+099,SUMIF(Distance_Matrix!$E$11:$DQ$11,2,Distance_Matrix!$E$41:$DQ$41)/COUNTIF(Distance_Matrix!$E$11:$DQ$11,2))),IF(3=$E304,1E+099,IF(COUNTIF(Distance_Matrix!$E$11:$DQ$11,3)=0,1E+099,SUMIF(Distance_Matrix!$E$11:$DQ$11,3,Distance_Matrix!$E$41:$DQ$41)/COUNTIF(Distance_Matrix!$E$11:$DQ$11,3))),IF(4=$E304,1E+099,IF(COUNTIF(Distance_Matrix!$E$11:$DQ$11,4)=0,1E+099,SUMIF(Distance_Matrix!$E$11:$DQ$11,4,Distance_Matrix!$E$41:$DQ$41)/COUNTIF(Distance_Matrix!$E$11:$DQ$11,4))),IF(5=$E304,1E+099,IF(COUNTIF(Distance_Matrix!$E$11:$DQ$11,5)=0,1E+099,SUMIF(Distance_Matrix!$E$11:$DQ$11,5,Distance_Matrix!$E$41:$DQ$41)/COUNTIF(Distance_Matrix!$E$11:$DQ$11,5))))</f>
        <v>1.98896062899302</v>
      </c>
      <c r="I304" s="17" t="n">
        <f aca="false">IF(COUNTIF(Distance_Matrix!$E$11:$DQ$11,$E304)&lt;=1,0,(H304-G304)/MAX(G304,H304))</f>
        <v>0.624129273171375</v>
      </c>
      <c r="X304" s="17" t="n">
        <f aca="false">SQRT(($B304-X$270)^2+($C304-X$271)^2+($D304-X$272)^2)</f>
        <v>4.90321696714872</v>
      </c>
      <c r="Y304" s="17" t="n">
        <f aca="false">SQRT(($B304-Y$270)^2+($C304-Y$271)^2+($D304-Y$272)^2)</f>
        <v>3.62160940481517</v>
      </c>
      <c r="Z304" s="17" t="n">
        <f aca="false">SQRT(($B304-Z$270)^2+($C304-Z$271)^2+($D304-Z$272)^2)</f>
        <v>0.800226637856308</v>
      </c>
      <c r="AA304" s="17" t="n">
        <f aca="false">SQRT(($B304-AA$270)^2+($C304-AA$271)^2+($D304-AA$272)^2)</f>
        <v>2.18445105600008</v>
      </c>
      <c r="AB304" s="17" t="n">
        <f aca="false">SQRT(($B304-AB$270)^2+($C304-AB$271)^2+($D304-AB$272)^2)</f>
        <v>2.81746046306955</v>
      </c>
      <c r="AC304" s="63" t="n">
        <f aca="false">MATCH(MIN(X304:AB304),X304:AB304,0)</f>
        <v>3</v>
      </c>
      <c r="AE304" s="17" t="n">
        <f aca="false">SQRT(($B304-AE$270)^2+($C304-AE$271)^2+($D304-AE$272)^2)</f>
        <v>4.80588185005512</v>
      </c>
      <c r="AF304" s="17" t="n">
        <f aca="false">SQRT(($B304-AF$270)^2+($C304-AF$271)^2+($D304-AF$272)^2)</f>
        <v>2.90935222326547</v>
      </c>
      <c r="AG304" s="17" t="n">
        <f aca="false">SQRT(($B304-AG$270)^2+($C304-AG$271)^2+($D304-AG$272)^2)</f>
        <v>0.195784896695465</v>
      </c>
      <c r="AH304" s="17" t="n">
        <f aca="false">SQRT(($B304-AH$270)^2+($C304-AH$271)^2+($D304-AH$272)^2)</f>
        <v>1.9358297483835</v>
      </c>
      <c r="AI304" s="17" t="n">
        <f aca="false">SQRT(($B304-AI$270)^2+($C304-AI$271)^2+($D304-AI$272)^2)</f>
        <v>2.54766292240716</v>
      </c>
      <c r="AJ304" s="63" t="n">
        <f aca="false">MATCH(MIN(AE304:AI304),AE304:AI304,0)</f>
        <v>3</v>
      </c>
      <c r="AL304" s="17" t="n">
        <f aca="false">SQRT(($B304-AL$270)^2+($C304-AL$271)^2+($D304-AL$272)^2)</f>
        <v>4.80588185005512</v>
      </c>
      <c r="AM304" s="17" t="n">
        <f aca="false">SQRT(($B304-AM$270)^2+($C304-AM$271)^2+($D304-AM$272)^2)</f>
        <v>2.93546834174824</v>
      </c>
      <c r="AN304" s="17" t="n">
        <f aca="false">SQRT(($B304-AN$270)^2+($C304-AN$271)^2+($D304-AN$272)^2)</f>
        <v>0.116121885839824</v>
      </c>
      <c r="AO304" s="17" t="n">
        <f aca="false">SQRT(($B304-AO$270)^2+($C304-AO$271)^2+($D304-AO$272)^2)</f>
        <v>1.87561463973514</v>
      </c>
      <c r="AP304" s="17" t="n">
        <f aca="false">SQRT(($B304-AP$270)^2+($C304-AP$271)^2+($D304-AP$272)^2)</f>
        <v>2.27881365806526</v>
      </c>
      <c r="AQ304" s="63" t="n">
        <f aca="false">MATCH(MIN(AL304:AP304),AL304:AP304,0)</f>
        <v>3</v>
      </c>
      <c r="AS304" s="17" t="n">
        <f aca="false">SQRT(($B304-AS$270)^2+($C304-AS$271)^2+($D304-AS$272)^2)</f>
        <v>4.80588185005512</v>
      </c>
      <c r="AT304" s="17" t="n">
        <f aca="false">SQRT(($B304-AT$270)^2+($C304-AT$271)^2+($D304-AT$272)^2)</f>
        <v>3.01939274456177</v>
      </c>
      <c r="AU304" s="17" t="n">
        <f aca="false">SQRT(($B304-AU$270)^2+($C304-AU$271)^2+($D304-AU$272)^2)</f>
        <v>0.102824033165083</v>
      </c>
      <c r="AV304" s="17" t="n">
        <f aca="false">SQRT(($B304-AV$270)^2+($C304-AV$271)^2+($D304-AV$272)^2)</f>
        <v>1.87589418778184</v>
      </c>
      <c r="AW304" s="17" t="n">
        <f aca="false">SQRT(($B304-AW$270)^2+($C304-AW$271)^2+($D304-AW$272)^2)</f>
        <v>2.27881365806526</v>
      </c>
      <c r="AX304" s="63" t="n">
        <f aca="false">MATCH(MIN(AS304:AW304),AS304:AW304,0)</f>
        <v>3</v>
      </c>
      <c r="AZ304" s="17" t="n">
        <f aca="false">SQRT(($B304-AZ$270)^2+($C304-AZ$271)^2+($D304-AZ$272)^2)</f>
        <v>4.80588185005512</v>
      </c>
      <c r="BA304" s="17" t="n">
        <f aca="false">SQRT(($B304-BA$270)^2+($C304-BA$271)^2+($D304-BA$272)^2)</f>
        <v>3.01939274456177</v>
      </c>
      <c r="BB304" s="17" t="n">
        <f aca="false">SQRT(($B304-BB$270)^2+($C304-BB$271)^2+($D304-BB$272)^2)</f>
        <v>0.102824033165083</v>
      </c>
      <c r="BC304" s="17" t="n">
        <f aca="false">SQRT(($B304-BC$270)^2+($C304-BC$271)^2+($D304-BC$272)^2)</f>
        <v>1.87589418778184</v>
      </c>
      <c r="BD304" s="17" t="n">
        <f aca="false">SQRT(($B304-BD$270)^2+($C304-BD$271)^2+($D304-BD$272)^2)</f>
        <v>2.27881365806526</v>
      </c>
      <c r="BE304" s="63" t="n">
        <f aca="false">MATCH(MIN(AZ304:BD304),AZ304:BD304,0)</f>
        <v>3</v>
      </c>
      <c r="BG304" s="17" t="n">
        <f aca="false">SQRT(($B304-BG$270)^2+($C304-BG$271)^2+($D304-BG$272)^2)</f>
        <v>4.80588185005512</v>
      </c>
      <c r="BH304" s="17" t="n">
        <f aca="false">SQRT(($B304-BH$270)^2+($C304-BH$271)^2+($D304-BH$272)^2)</f>
        <v>3.01939274456177</v>
      </c>
      <c r="BI304" s="17" t="n">
        <f aca="false">SQRT(($B304-BI$270)^2+($C304-BI$271)^2+($D304-BI$272)^2)</f>
        <v>0.102824033165083</v>
      </c>
      <c r="BJ304" s="17" t="n">
        <f aca="false">SQRT(($B304-BJ$270)^2+($C304-BJ$271)^2+($D304-BJ$272)^2)</f>
        <v>1.87589418778184</v>
      </c>
      <c r="BK304" s="17" t="n">
        <f aca="false">SQRT(($B304-BK$270)^2+($C304-BK$271)^2+($D304-BK$272)^2)</f>
        <v>2.27881365806526</v>
      </c>
      <c r="BL304" s="63" t="n">
        <f aca="false">MATCH(MIN(BG304:BK304),BG304:BK304,0)</f>
        <v>3</v>
      </c>
      <c r="BN304" s="17" t="n">
        <f aca="false">SQRT(($B304-BN$270)^2+($C304-BN$271)^2+($D304-BN$272)^2)</f>
        <v>4.80588185005512</v>
      </c>
      <c r="BO304" s="17" t="n">
        <f aca="false">SQRT(($B304-BO$270)^2+($C304-BO$271)^2+($D304-BO$272)^2)</f>
        <v>3.01939274456177</v>
      </c>
      <c r="BP304" s="17" t="n">
        <f aca="false">SQRT(($B304-BP$270)^2+($C304-BP$271)^2+($D304-BP$272)^2)</f>
        <v>0.102824033165083</v>
      </c>
      <c r="BQ304" s="17" t="n">
        <f aca="false">SQRT(($B304-BQ$270)^2+($C304-BQ$271)^2+($D304-BQ$272)^2)</f>
        <v>1.87589418778184</v>
      </c>
      <c r="BR304" s="17" t="n">
        <f aca="false">SQRT(($B304-BR$270)^2+($C304-BR$271)^2+($D304-BR$272)^2)</f>
        <v>2.27881365806526</v>
      </c>
      <c r="BS304" s="63" t="n">
        <f aca="false">MATCH(MIN(BN304:BR304),BN304:BR304,0)</f>
        <v>3</v>
      </c>
      <c r="BU304" s="17" t="n">
        <f aca="false">SQRT(($B304-BU$270)^2+($C304-BU$271)^2+($D304-BU$272)^2)</f>
        <v>4.80588185005512</v>
      </c>
      <c r="BV304" s="17" t="n">
        <f aca="false">SQRT(($B304-BV$270)^2+($C304-BV$271)^2+($D304-BV$272)^2)</f>
        <v>3.01939274456177</v>
      </c>
      <c r="BW304" s="17" t="n">
        <f aca="false">SQRT(($B304-BW$270)^2+($C304-BW$271)^2+($D304-BW$272)^2)</f>
        <v>0.102824033165083</v>
      </c>
      <c r="BX304" s="17" t="n">
        <f aca="false">SQRT(($B304-BX$270)^2+($C304-BX$271)^2+($D304-BX$272)^2)</f>
        <v>1.87589418778184</v>
      </c>
      <c r="BY304" s="17" t="n">
        <f aca="false">SQRT(($B304-BY$270)^2+($C304-BY$271)^2+($D304-BY$272)^2)</f>
        <v>2.27881365806526</v>
      </c>
      <c r="BZ304" s="63" t="n">
        <f aca="false">MATCH(MIN(BU304:BY304),BU304:BY304,0)</f>
        <v>3</v>
      </c>
      <c r="CB304" s="17" t="n">
        <f aca="false">SQRT(($B304-CB$270)^2+($C304-CB$271)^2+($D304-CB$272)^2)</f>
        <v>4.80588185005512</v>
      </c>
      <c r="CC304" s="17" t="n">
        <f aca="false">SQRT(($B304-CC$270)^2+($C304-CC$271)^2+($D304-CC$272)^2)</f>
        <v>3.01939274456177</v>
      </c>
      <c r="CD304" s="17" t="n">
        <f aca="false">SQRT(($B304-CD$270)^2+($C304-CD$271)^2+($D304-CD$272)^2)</f>
        <v>0.102824033165083</v>
      </c>
      <c r="CE304" s="17" t="n">
        <f aca="false">SQRT(($B304-CE$270)^2+($C304-CE$271)^2+($D304-CE$272)^2)</f>
        <v>1.87589418778184</v>
      </c>
      <c r="CF304" s="17" t="n">
        <f aca="false">SQRT(($B304-CF$270)^2+($C304-CF$271)^2+($D304-CF$272)^2)</f>
        <v>2.27881365806526</v>
      </c>
      <c r="CG304" s="63" t="n">
        <f aca="false">MATCH(MIN(CB304:CF304),CB304:CF304,0)</f>
        <v>3</v>
      </c>
      <c r="CI304" s="17" t="n">
        <f aca="false">SQRT(($B304-CI$270)^2+($C304-CI$271)^2+($D304-CI$272)^2)</f>
        <v>4.80588185005512</v>
      </c>
      <c r="CJ304" s="17" t="n">
        <f aca="false">SQRT(($B304-CJ$270)^2+($C304-CJ$271)^2+($D304-CJ$272)^2)</f>
        <v>3.01939274456177</v>
      </c>
      <c r="CK304" s="17" t="n">
        <f aca="false">SQRT(($B304-CK$270)^2+($C304-CK$271)^2+($D304-CK$272)^2)</f>
        <v>0.102824033165083</v>
      </c>
      <c r="CL304" s="17" t="n">
        <f aca="false">SQRT(($B304-CL$270)^2+($C304-CL$271)^2+($D304-CL$272)^2)</f>
        <v>1.87589418778184</v>
      </c>
      <c r="CM304" s="17" t="n">
        <f aca="false">SQRT(($B304-CM$270)^2+($C304-CM$271)^2+($D304-CM$272)^2)</f>
        <v>2.27881365806526</v>
      </c>
      <c r="CN304" s="63" t="n">
        <f aca="false">MATCH(MIN(CI304:CM304),CI304:CM304,0)</f>
        <v>3</v>
      </c>
      <c r="CP304" s="17" t="n">
        <f aca="false">SQRT(($B304-CP$270)^2+($C304-CP$271)^2+($D304-CP$272)^2)</f>
        <v>4.80588185005512</v>
      </c>
      <c r="CQ304" s="17" t="n">
        <f aca="false">SQRT(($B304-CQ$270)^2+($C304-CQ$271)^2+($D304-CQ$272)^2)</f>
        <v>3.01939274456177</v>
      </c>
      <c r="CR304" s="17" t="n">
        <f aca="false">SQRT(($B304-CR$270)^2+($C304-CR$271)^2+($D304-CR$272)^2)</f>
        <v>0.102824033165083</v>
      </c>
      <c r="CS304" s="17" t="n">
        <f aca="false">SQRT(($B304-CS$270)^2+($C304-CS$271)^2+($D304-CS$272)^2)</f>
        <v>1.87589418778184</v>
      </c>
      <c r="CT304" s="17" t="n">
        <f aca="false">SQRT(($B304-CT$270)^2+($C304-CT$271)^2+($D304-CT$272)^2)</f>
        <v>2.27881365806526</v>
      </c>
      <c r="CU304" s="63" t="n">
        <f aca="false">MATCH(MIN(CP304:CT304),CP304:CT304,0)</f>
        <v>3</v>
      </c>
      <c r="CW304" s="17" t="n">
        <f aca="false">SQRT(($B304-CW$270)^2+($C304-CW$271)^2+($D304-CW$272)^2)</f>
        <v>4.80588185005512</v>
      </c>
      <c r="CX304" s="17" t="n">
        <f aca="false">SQRT(($B304-CX$270)^2+($C304-CX$271)^2+($D304-CX$272)^2)</f>
        <v>3.01939274456177</v>
      </c>
      <c r="CY304" s="17" t="n">
        <f aca="false">SQRT(($B304-CY$270)^2+($C304-CY$271)^2+($D304-CY$272)^2)</f>
        <v>0.102824033165083</v>
      </c>
      <c r="CZ304" s="17" t="n">
        <f aca="false">SQRT(($B304-CZ$270)^2+($C304-CZ$271)^2+($D304-CZ$272)^2)</f>
        <v>1.87589418778184</v>
      </c>
      <c r="DA304" s="17" t="n">
        <f aca="false">SQRT(($B304-DA$270)^2+($C304-DA$271)^2+($D304-DA$272)^2)</f>
        <v>2.27881365806526</v>
      </c>
      <c r="DB304" s="63" t="n">
        <f aca="false">MATCH(MIN(CW304:DA304),CW304:DA304,0)</f>
        <v>3</v>
      </c>
    </row>
    <row r="305" customFormat="false" ht="15" hidden="false" customHeight="false" outlineLevel="0" collapsed="false">
      <c r="A305" s="36" t="str">
        <f aca="false">KMeans_Data!A33</f>
        <v>Sargodha</v>
      </c>
      <c r="B305" s="17" t="n">
        <f aca="false">KMeans_Data!H33</f>
        <v>0.577753548760862</v>
      </c>
      <c r="C305" s="17" t="n">
        <f aca="false">KMeans_Data!I33</f>
        <v>-0.672650545388274</v>
      </c>
      <c r="D305" s="17" t="n">
        <f aca="false">KMeans_Data!J33</f>
        <v>-0.399845222909568</v>
      </c>
      <c r="E305" s="63" t="n">
        <f aca="false">DB305</f>
        <v>4</v>
      </c>
      <c r="F305" s="38" t="n">
        <f aca="false">($B305-INDEX($L$270:$P$270,E305))^2+($C305-INDEX($L$271:$P$271,E305))^2+($D305-INDEX($L$272:$P$272,E305))^2</f>
        <v>0.526746976362675</v>
      </c>
      <c r="G305" s="17" t="n">
        <f aca="false">IF(COUNTIF(Distance_Matrix!$E$11:$DQ$11,$E305)&lt;=1,0,SUMIF(Distance_Matrix!$E$11:$DQ$11,$E305,Distance_Matrix!$E$42:$DQ$42)/(COUNTIF(Distance_Matrix!$E$11:$DQ$11,$E305)-1))</f>
        <v>1.03469601991588</v>
      </c>
      <c r="H305" s="17" t="n">
        <f aca="false">MIN(IF(1=$E305,1E+099,IF(COUNTIF(Distance_Matrix!$E$11:$DQ$11,1)=0,1E+099,SUMIF(Distance_Matrix!$E$11:$DQ$11,1,Distance_Matrix!$E$42:$DQ$42)/COUNTIF(Distance_Matrix!$E$11:$DQ$11,1))),IF(2=$E305,1E+099,IF(COUNTIF(Distance_Matrix!$E$11:$DQ$11,2)=0,1E+099,SUMIF(Distance_Matrix!$E$11:$DQ$11,2,Distance_Matrix!$E$42:$DQ$42)/COUNTIF(Distance_Matrix!$E$11:$DQ$11,2))),IF(3=$E305,1E+099,IF(COUNTIF(Distance_Matrix!$E$11:$DQ$11,3)=0,1E+099,SUMIF(Distance_Matrix!$E$11:$DQ$11,3,Distance_Matrix!$E$42:$DQ$42)/COUNTIF(Distance_Matrix!$E$11:$DQ$11,3))),IF(4=$E305,1E+099,IF(COUNTIF(Distance_Matrix!$E$11:$DQ$11,4)=0,1E+099,SUMIF(Distance_Matrix!$E$11:$DQ$11,4,Distance_Matrix!$E$42:$DQ$42)/COUNTIF(Distance_Matrix!$E$11:$DQ$11,4))),IF(5=$E305,1E+099,IF(COUNTIF(Distance_Matrix!$E$11:$DQ$11,5)=0,1E+099,SUMIF(Distance_Matrix!$E$11:$DQ$11,5,Distance_Matrix!$E$42:$DQ$42)/COUNTIF(Distance_Matrix!$E$11:$DQ$11,5))))</f>
        <v>1.88616999640601</v>
      </c>
      <c r="I305" s="17" t="n">
        <f aca="false">IF(COUNTIF(Distance_Matrix!$E$11:$DQ$11,$E305)&lt;=1,0,(H305-G305)/MAX(G305,H305))</f>
        <v>0.451430135201261</v>
      </c>
      <c r="X305" s="17" t="n">
        <f aca="false">SQRT(($B305-X$270)^2+($C305-X$271)^2+($D305-X$272)^2)</f>
        <v>6.54299969229988</v>
      </c>
      <c r="Y305" s="17" t="n">
        <f aca="false">SQRT(($B305-Y$270)^2+($C305-Y$271)^2+($D305-Y$272)^2)</f>
        <v>2.76015891289846</v>
      </c>
      <c r="Z305" s="17" t="n">
        <f aca="false">SQRT(($B305-Z$270)^2+($C305-Z$271)^2+($D305-Z$272)^2)</f>
        <v>2.19416414393801</v>
      </c>
      <c r="AA305" s="17" t="n">
        <f aca="false">SQRT(($B305-AA$270)^2+($C305-AA$271)^2+($D305-AA$272)^2)</f>
        <v>0.914961899056731</v>
      </c>
      <c r="AB305" s="17" t="n">
        <f aca="false">SQRT(($B305-AB$270)^2+($C305-AB$271)^2+($D305-AB$272)^2)</f>
        <v>4.43616102073839</v>
      </c>
      <c r="AC305" s="63" t="n">
        <f aca="false">MATCH(MIN(X305:AB305),X305:AB305,0)</f>
        <v>4</v>
      </c>
      <c r="AE305" s="17" t="n">
        <f aca="false">SQRT(($B305-AE$270)^2+($C305-AE$271)^2+($D305-AE$272)^2)</f>
        <v>6.42628163925826</v>
      </c>
      <c r="AF305" s="17" t="n">
        <f aca="false">SQRT(($B305-AF$270)^2+($C305-AF$271)^2+($D305-AF$272)^2)</f>
        <v>1.8960169430752</v>
      </c>
      <c r="AG305" s="17" t="n">
        <f aca="false">SQRT(($B305-AG$270)^2+($C305-AG$271)^2+($D305-AG$272)^2)</f>
        <v>1.71127675127888</v>
      </c>
      <c r="AH305" s="17" t="n">
        <f aca="false">SQRT(($B305-AH$270)^2+($C305-AH$271)^2+($D305-AH$272)^2)</f>
        <v>0.675507753857511</v>
      </c>
      <c r="AI305" s="17" t="n">
        <f aca="false">SQRT(($B305-AI$270)^2+($C305-AI$271)^2+($D305-AI$272)^2)</f>
        <v>4.1706245528765</v>
      </c>
      <c r="AJ305" s="63" t="n">
        <f aca="false">MATCH(MIN(AE305:AI305),AE305:AI305,0)</f>
        <v>4</v>
      </c>
      <c r="AL305" s="17" t="n">
        <f aca="false">SQRT(($B305-AL$270)^2+($C305-AL$271)^2+($D305-AL$272)^2)</f>
        <v>6.42628163925826</v>
      </c>
      <c r="AM305" s="17" t="n">
        <f aca="false">SQRT(($B305-AM$270)^2+($C305-AM$271)^2+($D305-AM$272)^2)</f>
        <v>1.9025420820617</v>
      </c>
      <c r="AN305" s="17" t="n">
        <f aca="false">SQRT(($B305-AN$270)^2+($C305-AN$271)^2+($D305-AN$272)^2)</f>
        <v>1.76122937030567</v>
      </c>
      <c r="AO305" s="17" t="n">
        <f aca="false">SQRT(($B305-AO$270)^2+($C305-AO$271)^2+($D305-AO$272)^2)</f>
        <v>0.678235625575427</v>
      </c>
      <c r="AP305" s="17" t="n">
        <f aca="false">SQRT(($B305-AP$270)^2+($C305-AP$271)^2+($D305-AP$272)^2)</f>
        <v>3.91820415576179</v>
      </c>
      <c r="AQ305" s="63" t="n">
        <f aca="false">MATCH(MIN(AL305:AP305),AL305:AP305,0)</f>
        <v>4</v>
      </c>
      <c r="AS305" s="17" t="n">
        <f aca="false">SQRT(($B305-AS$270)^2+($C305-AS$271)^2+($D305-AS$272)^2)</f>
        <v>6.42628163925826</v>
      </c>
      <c r="AT305" s="17" t="n">
        <f aca="false">SQRT(($B305-AT$270)^2+($C305-AT$271)^2+($D305-AT$272)^2)</f>
        <v>1.97446455057502</v>
      </c>
      <c r="AU305" s="17" t="n">
        <f aca="false">SQRT(($B305-AU$270)^2+($C305-AU$271)^2+($D305-AU$272)^2)</f>
        <v>1.78104737042514</v>
      </c>
      <c r="AV305" s="17" t="n">
        <f aca="false">SQRT(($B305-AV$270)^2+($C305-AV$271)^2+($D305-AV$272)^2)</f>
        <v>0.725773364324342</v>
      </c>
      <c r="AW305" s="17" t="n">
        <f aca="false">SQRT(($B305-AW$270)^2+($C305-AW$271)^2+($D305-AW$272)^2)</f>
        <v>3.91820415576179</v>
      </c>
      <c r="AX305" s="63" t="n">
        <f aca="false">MATCH(MIN(AS305:AW305),AS305:AW305,0)</f>
        <v>4</v>
      </c>
      <c r="AZ305" s="17" t="n">
        <f aca="false">SQRT(($B305-AZ$270)^2+($C305-AZ$271)^2+($D305-AZ$272)^2)</f>
        <v>6.42628163925826</v>
      </c>
      <c r="BA305" s="17" t="n">
        <f aca="false">SQRT(($B305-BA$270)^2+($C305-BA$271)^2+($D305-BA$272)^2)</f>
        <v>1.97446455057502</v>
      </c>
      <c r="BB305" s="17" t="n">
        <f aca="false">SQRT(($B305-BB$270)^2+($C305-BB$271)^2+($D305-BB$272)^2)</f>
        <v>1.78104737042514</v>
      </c>
      <c r="BC305" s="17" t="n">
        <f aca="false">SQRT(($B305-BC$270)^2+($C305-BC$271)^2+($D305-BC$272)^2)</f>
        <v>0.725773364324342</v>
      </c>
      <c r="BD305" s="17" t="n">
        <f aca="false">SQRT(($B305-BD$270)^2+($C305-BD$271)^2+($D305-BD$272)^2)</f>
        <v>3.91820415576179</v>
      </c>
      <c r="BE305" s="63" t="n">
        <f aca="false">MATCH(MIN(AZ305:BD305),AZ305:BD305,0)</f>
        <v>4</v>
      </c>
      <c r="BG305" s="17" t="n">
        <f aca="false">SQRT(($B305-BG$270)^2+($C305-BG$271)^2+($D305-BG$272)^2)</f>
        <v>6.42628163925826</v>
      </c>
      <c r="BH305" s="17" t="n">
        <f aca="false">SQRT(($B305-BH$270)^2+($C305-BH$271)^2+($D305-BH$272)^2)</f>
        <v>1.97446455057502</v>
      </c>
      <c r="BI305" s="17" t="n">
        <f aca="false">SQRT(($B305-BI$270)^2+($C305-BI$271)^2+($D305-BI$272)^2)</f>
        <v>1.78104737042514</v>
      </c>
      <c r="BJ305" s="17" t="n">
        <f aca="false">SQRT(($B305-BJ$270)^2+($C305-BJ$271)^2+($D305-BJ$272)^2)</f>
        <v>0.725773364324342</v>
      </c>
      <c r="BK305" s="17" t="n">
        <f aca="false">SQRT(($B305-BK$270)^2+($C305-BK$271)^2+($D305-BK$272)^2)</f>
        <v>3.91820415576179</v>
      </c>
      <c r="BL305" s="63" t="n">
        <f aca="false">MATCH(MIN(BG305:BK305),BG305:BK305,0)</f>
        <v>4</v>
      </c>
      <c r="BN305" s="17" t="n">
        <f aca="false">SQRT(($B305-BN$270)^2+($C305-BN$271)^2+($D305-BN$272)^2)</f>
        <v>6.42628163925826</v>
      </c>
      <c r="BO305" s="17" t="n">
        <f aca="false">SQRT(($B305-BO$270)^2+($C305-BO$271)^2+($D305-BO$272)^2)</f>
        <v>1.97446455057502</v>
      </c>
      <c r="BP305" s="17" t="n">
        <f aca="false">SQRT(($B305-BP$270)^2+($C305-BP$271)^2+($D305-BP$272)^2)</f>
        <v>1.78104737042514</v>
      </c>
      <c r="BQ305" s="17" t="n">
        <f aca="false">SQRT(($B305-BQ$270)^2+($C305-BQ$271)^2+($D305-BQ$272)^2)</f>
        <v>0.725773364324342</v>
      </c>
      <c r="BR305" s="17" t="n">
        <f aca="false">SQRT(($B305-BR$270)^2+($C305-BR$271)^2+($D305-BR$272)^2)</f>
        <v>3.91820415576179</v>
      </c>
      <c r="BS305" s="63" t="n">
        <f aca="false">MATCH(MIN(BN305:BR305),BN305:BR305,0)</f>
        <v>4</v>
      </c>
      <c r="BU305" s="17" t="n">
        <f aca="false">SQRT(($B305-BU$270)^2+($C305-BU$271)^2+($D305-BU$272)^2)</f>
        <v>6.42628163925826</v>
      </c>
      <c r="BV305" s="17" t="n">
        <f aca="false">SQRT(($B305-BV$270)^2+($C305-BV$271)^2+($D305-BV$272)^2)</f>
        <v>1.97446455057502</v>
      </c>
      <c r="BW305" s="17" t="n">
        <f aca="false">SQRT(($B305-BW$270)^2+($C305-BW$271)^2+($D305-BW$272)^2)</f>
        <v>1.78104737042514</v>
      </c>
      <c r="BX305" s="17" t="n">
        <f aca="false">SQRT(($B305-BX$270)^2+($C305-BX$271)^2+($D305-BX$272)^2)</f>
        <v>0.725773364324342</v>
      </c>
      <c r="BY305" s="17" t="n">
        <f aca="false">SQRT(($B305-BY$270)^2+($C305-BY$271)^2+($D305-BY$272)^2)</f>
        <v>3.91820415576179</v>
      </c>
      <c r="BZ305" s="63" t="n">
        <f aca="false">MATCH(MIN(BU305:BY305),BU305:BY305,0)</f>
        <v>4</v>
      </c>
      <c r="CB305" s="17" t="n">
        <f aca="false">SQRT(($B305-CB$270)^2+($C305-CB$271)^2+($D305-CB$272)^2)</f>
        <v>6.42628163925826</v>
      </c>
      <c r="CC305" s="17" t="n">
        <f aca="false">SQRT(($B305-CC$270)^2+($C305-CC$271)^2+($D305-CC$272)^2)</f>
        <v>1.97446455057502</v>
      </c>
      <c r="CD305" s="17" t="n">
        <f aca="false">SQRT(($B305-CD$270)^2+($C305-CD$271)^2+($D305-CD$272)^2)</f>
        <v>1.78104737042514</v>
      </c>
      <c r="CE305" s="17" t="n">
        <f aca="false">SQRT(($B305-CE$270)^2+($C305-CE$271)^2+($D305-CE$272)^2)</f>
        <v>0.725773364324342</v>
      </c>
      <c r="CF305" s="17" t="n">
        <f aca="false">SQRT(($B305-CF$270)^2+($C305-CF$271)^2+($D305-CF$272)^2)</f>
        <v>3.91820415576179</v>
      </c>
      <c r="CG305" s="63" t="n">
        <f aca="false">MATCH(MIN(CB305:CF305),CB305:CF305,0)</f>
        <v>4</v>
      </c>
      <c r="CI305" s="17" t="n">
        <f aca="false">SQRT(($B305-CI$270)^2+($C305-CI$271)^2+($D305-CI$272)^2)</f>
        <v>6.42628163925826</v>
      </c>
      <c r="CJ305" s="17" t="n">
        <f aca="false">SQRT(($B305-CJ$270)^2+($C305-CJ$271)^2+($D305-CJ$272)^2)</f>
        <v>1.97446455057502</v>
      </c>
      <c r="CK305" s="17" t="n">
        <f aca="false">SQRT(($B305-CK$270)^2+($C305-CK$271)^2+($D305-CK$272)^2)</f>
        <v>1.78104737042514</v>
      </c>
      <c r="CL305" s="17" t="n">
        <f aca="false">SQRT(($B305-CL$270)^2+($C305-CL$271)^2+($D305-CL$272)^2)</f>
        <v>0.725773364324342</v>
      </c>
      <c r="CM305" s="17" t="n">
        <f aca="false">SQRT(($B305-CM$270)^2+($C305-CM$271)^2+($D305-CM$272)^2)</f>
        <v>3.91820415576179</v>
      </c>
      <c r="CN305" s="63" t="n">
        <f aca="false">MATCH(MIN(CI305:CM305),CI305:CM305,0)</f>
        <v>4</v>
      </c>
      <c r="CP305" s="17" t="n">
        <f aca="false">SQRT(($B305-CP$270)^2+($C305-CP$271)^2+($D305-CP$272)^2)</f>
        <v>6.42628163925826</v>
      </c>
      <c r="CQ305" s="17" t="n">
        <f aca="false">SQRT(($B305-CQ$270)^2+($C305-CQ$271)^2+($D305-CQ$272)^2)</f>
        <v>1.97446455057502</v>
      </c>
      <c r="CR305" s="17" t="n">
        <f aca="false">SQRT(($B305-CR$270)^2+($C305-CR$271)^2+($D305-CR$272)^2)</f>
        <v>1.78104737042514</v>
      </c>
      <c r="CS305" s="17" t="n">
        <f aca="false">SQRT(($B305-CS$270)^2+($C305-CS$271)^2+($D305-CS$272)^2)</f>
        <v>0.725773364324342</v>
      </c>
      <c r="CT305" s="17" t="n">
        <f aca="false">SQRT(($B305-CT$270)^2+($C305-CT$271)^2+($D305-CT$272)^2)</f>
        <v>3.91820415576179</v>
      </c>
      <c r="CU305" s="63" t="n">
        <f aca="false">MATCH(MIN(CP305:CT305),CP305:CT305,0)</f>
        <v>4</v>
      </c>
      <c r="CW305" s="17" t="n">
        <f aca="false">SQRT(($B305-CW$270)^2+($C305-CW$271)^2+($D305-CW$272)^2)</f>
        <v>6.42628163925826</v>
      </c>
      <c r="CX305" s="17" t="n">
        <f aca="false">SQRT(($B305-CX$270)^2+($C305-CX$271)^2+($D305-CX$272)^2)</f>
        <v>1.97446455057502</v>
      </c>
      <c r="CY305" s="17" t="n">
        <f aca="false">SQRT(($B305-CY$270)^2+($C305-CY$271)^2+($D305-CY$272)^2)</f>
        <v>1.78104737042514</v>
      </c>
      <c r="CZ305" s="17" t="n">
        <f aca="false">SQRT(($B305-CZ$270)^2+($C305-CZ$271)^2+($D305-CZ$272)^2)</f>
        <v>0.725773364324342</v>
      </c>
      <c r="DA305" s="17" t="n">
        <f aca="false">SQRT(($B305-DA$270)^2+($C305-DA$271)^2+($D305-DA$272)^2)</f>
        <v>3.91820415576179</v>
      </c>
      <c r="DB305" s="63" t="n">
        <f aca="false">MATCH(MIN(CW305:DA305),CW305:DA305,0)</f>
        <v>4</v>
      </c>
    </row>
    <row r="306" customFormat="false" ht="15" hidden="false" customHeight="false" outlineLevel="0" collapsed="false">
      <c r="A306" s="36" t="str">
        <f aca="false">KMeans_Data!A34</f>
        <v>Shaheed Benazirabad</v>
      </c>
      <c r="B306" s="17" t="n">
        <f aca="false">KMeans_Data!H34</f>
        <v>0.577753548760862</v>
      </c>
      <c r="C306" s="17" t="n">
        <f aca="false">KMeans_Data!I34</f>
        <v>0.160512589624996</v>
      </c>
      <c r="D306" s="17" t="n">
        <f aca="false">KMeans_Data!J34</f>
        <v>0.781544486275172</v>
      </c>
      <c r="E306" s="63" t="n">
        <f aca="false">DB306</f>
        <v>3</v>
      </c>
      <c r="F306" s="38" t="n">
        <f aca="false">($B306-INDEX($L$270:$P$270,E306))^2+($C306-INDEX($L$271:$P$271,E306))^2+($D306-INDEX($L$272:$P$272,E306))^2</f>
        <v>0.188218851576756</v>
      </c>
      <c r="G306" s="17" t="n">
        <f aca="false">IF(COUNTIF(Distance_Matrix!$E$11:$DQ$11,$E306)&lt;=1,0,SUMIF(Distance_Matrix!$E$11:$DQ$11,$E306,Distance_Matrix!$E$43:$DQ$43)/(COUNTIF(Distance_Matrix!$E$11:$DQ$11,$E306)-1))</f>
        <v>0.840385365449449</v>
      </c>
      <c r="H306" s="17" t="n">
        <f aca="false">MIN(IF(1=$E306,1E+099,IF(COUNTIF(Distance_Matrix!$E$11:$DQ$11,1)=0,1E+099,SUMIF(Distance_Matrix!$E$11:$DQ$11,1,Distance_Matrix!$E$43:$DQ$43)/COUNTIF(Distance_Matrix!$E$11:$DQ$11,1))),IF(2=$E306,1E+099,IF(COUNTIF(Distance_Matrix!$E$11:$DQ$11,2)=0,1E+099,SUMIF(Distance_Matrix!$E$11:$DQ$11,2,Distance_Matrix!$E$43:$DQ$43)/COUNTIF(Distance_Matrix!$E$11:$DQ$11,2))),IF(3=$E306,1E+099,IF(COUNTIF(Distance_Matrix!$E$11:$DQ$11,3)=0,1E+099,SUMIF(Distance_Matrix!$E$11:$DQ$11,3,Distance_Matrix!$E$43:$DQ$43)/COUNTIF(Distance_Matrix!$E$11:$DQ$11,3))),IF(4=$E306,1E+099,IF(COUNTIF(Distance_Matrix!$E$11:$DQ$11,4)=0,1E+099,SUMIF(Distance_Matrix!$E$11:$DQ$11,4,Distance_Matrix!$E$43:$DQ$43)/COUNTIF(Distance_Matrix!$E$11:$DQ$11,4))),IF(5=$E306,1E+099,IF(COUNTIF(Distance_Matrix!$E$11:$DQ$11,5)=0,1E+099,SUMIF(Distance_Matrix!$E$11:$DQ$11,5,Distance_Matrix!$E$43:$DQ$43)/COUNTIF(Distance_Matrix!$E$11:$DQ$11,5))))</f>
        <v>1.64808908617512</v>
      </c>
      <c r="I306" s="17" t="n">
        <f aca="false">IF(COUNTIF(Distance_Matrix!$E$11:$DQ$11,$E306)&lt;=1,0,(H306-G306)/MAX(G306,H306))</f>
        <v>0.490084988427531</v>
      </c>
      <c r="X306" s="17" t="n">
        <f aca="false">SQRT(($B306-X$270)^2+($C306-X$271)^2+($D306-X$272)^2)</f>
        <v>5.33100349295761</v>
      </c>
      <c r="Y306" s="17" t="n">
        <f aca="false">SQRT(($B306-Y$270)^2+($C306-Y$271)^2+($D306-Y$272)^2)</f>
        <v>3.38680940629828</v>
      </c>
      <c r="Z306" s="17" t="n">
        <f aca="false">SQRT(($B306-Z$270)^2+($C306-Z$271)^2+($D306-Z$272)^2)</f>
        <v>0.85635508280799</v>
      </c>
      <c r="AA306" s="17" t="n">
        <f aca="false">SQRT(($B306-AA$270)^2+($C306-AA$271)^2+($D306-AA$272)^2)</f>
        <v>1.95274744651033</v>
      </c>
      <c r="AB306" s="17" t="n">
        <f aca="false">SQRT(($B306-AB$270)^2+($C306-AB$271)^2+($D306-AB$272)^2)</f>
        <v>3.2055617057629</v>
      </c>
      <c r="AC306" s="63" t="n">
        <f aca="false">MATCH(MIN(X306:AB306),X306:AB306,0)</f>
        <v>3</v>
      </c>
      <c r="AE306" s="17" t="n">
        <f aca="false">SQRT(($B306-AE$270)^2+($C306-AE$271)^2+($D306-AE$272)^2)</f>
        <v>5.2424742093381</v>
      </c>
      <c r="AF306" s="17" t="n">
        <f aca="false">SQRT(($B306-AF$270)^2+($C306-AF$271)^2+($D306-AF$272)^2)</f>
        <v>2.63028653152711</v>
      </c>
      <c r="AG306" s="17" t="n">
        <f aca="false">SQRT(($B306-AG$270)^2+($C306-AG$271)^2+($D306-AG$272)^2)</f>
        <v>0.346950062854376</v>
      </c>
      <c r="AH306" s="17" t="n">
        <f aca="false">SQRT(($B306-AH$270)^2+($C306-AH$271)^2+($D306-AH$272)^2)</f>
        <v>1.58430673069481</v>
      </c>
      <c r="AI306" s="17" t="n">
        <f aca="false">SQRT(($B306-AI$270)^2+($C306-AI$271)^2+($D306-AI$272)^2)</f>
        <v>2.99402480926564</v>
      </c>
      <c r="AJ306" s="63" t="n">
        <f aca="false">MATCH(MIN(AE306:AI306),AE306:AI306,0)</f>
        <v>3</v>
      </c>
      <c r="AL306" s="17" t="n">
        <f aca="false">SQRT(($B306-AL$270)^2+($C306-AL$271)^2+($D306-AL$272)^2)</f>
        <v>5.2424742093381</v>
      </c>
      <c r="AM306" s="17" t="n">
        <f aca="false">SQRT(($B306-AM$270)^2+($C306-AM$271)^2+($D306-AM$272)^2)</f>
        <v>2.65748829363863</v>
      </c>
      <c r="AN306" s="17" t="n">
        <f aca="false">SQRT(($B306-AN$270)^2+($C306-AN$271)^2+($D306-AN$272)^2)</f>
        <v>0.418518549000069</v>
      </c>
      <c r="AO306" s="17" t="n">
        <f aca="false">SQRT(($B306-AO$270)^2+($C306-AO$271)^2+($D306-AO$272)^2)</f>
        <v>1.50894541190261</v>
      </c>
      <c r="AP306" s="17" t="n">
        <f aca="false">SQRT(($B306-AP$270)^2+($C306-AP$271)^2+($D306-AP$272)^2)</f>
        <v>2.73357770389301</v>
      </c>
      <c r="AQ306" s="63" t="n">
        <f aca="false">MATCH(MIN(AL306:AP306),AL306:AP306,0)</f>
        <v>3</v>
      </c>
      <c r="AS306" s="17" t="n">
        <f aca="false">SQRT(($B306-AS$270)^2+($C306-AS$271)^2+($D306-AS$272)^2)</f>
        <v>5.2424742093381</v>
      </c>
      <c r="AT306" s="17" t="n">
        <f aca="false">SQRT(($B306-AT$270)^2+($C306-AT$271)^2+($D306-AT$272)^2)</f>
        <v>2.74698598594935</v>
      </c>
      <c r="AU306" s="17" t="n">
        <f aca="false">SQRT(($B306-AU$270)^2+($C306-AU$271)^2+($D306-AU$272)^2)</f>
        <v>0.433841966131396</v>
      </c>
      <c r="AV306" s="17" t="n">
        <f aca="false">SQRT(($B306-AV$270)^2+($C306-AV$271)^2+($D306-AV$272)^2)</f>
        <v>1.51124063221507</v>
      </c>
      <c r="AW306" s="17" t="n">
        <f aca="false">SQRT(($B306-AW$270)^2+($C306-AW$271)^2+($D306-AW$272)^2)</f>
        <v>2.73357770389301</v>
      </c>
      <c r="AX306" s="63" t="n">
        <f aca="false">MATCH(MIN(AS306:AW306),AS306:AW306,0)</f>
        <v>3</v>
      </c>
      <c r="AZ306" s="17" t="n">
        <f aca="false">SQRT(($B306-AZ$270)^2+($C306-AZ$271)^2+($D306-AZ$272)^2)</f>
        <v>5.2424742093381</v>
      </c>
      <c r="BA306" s="17" t="n">
        <f aca="false">SQRT(($B306-BA$270)^2+($C306-BA$271)^2+($D306-BA$272)^2)</f>
        <v>2.74698598594935</v>
      </c>
      <c r="BB306" s="17" t="n">
        <f aca="false">SQRT(($B306-BB$270)^2+($C306-BB$271)^2+($D306-BB$272)^2)</f>
        <v>0.433841966131396</v>
      </c>
      <c r="BC306" s="17" t="n">
        <f aca="false">SQRT(($B306-BC$270)^2+($C306-BC$271)^2+($D306-BC$272)^2)</f>
        <v>1.51124063221507</v>
      </c>
      <c r="BD306" s="17" t="n">
        <f aca="false">SQRT(($B306-BD$270)^2+($C306-BD$271)^2+($D306-BD$272)^2)</f>
        <v>2.73357770389301</v>
      </c>
      <c r="BE306" s="63" t="n">
        <f aca="false">MATCH(MIN(AZ306:BD306),AZ306:BD306,0)</f>
        <v>3</v>
      </c>
      <c r="BG306" s="17" t="n">
        <f aca="false">SQRT(($B306-BG$270)^2+($C306-BG$271)^2+($D306-BG$272)^2)</f>
        <v>5.2424742093381</v>
      </c>
      <c r="BH306" s="17" t="n">
        <f aca="false">SQRT(($B306-BH$270)^2+($C306-BH$271)^2+($D306-BH$272)^2)</f>
        <v>2.74698598594935</v>
      </c>
      <c r="BI306" s="17" t="n">
        <f aca="false">SQRT(($B306-BI$270)^2+($C306-BI$271)^2+($D306-BI$272)^2)</f>
        <v>0.433841966131396</v>
      </c>
      <c r="BJ306" s="17" t="n">
        <f aca="false">SQRT(($B306-BJ$270)^2+($C306-BJ$271)^2+($D306-BJ$272)^2)</f>
        <v>1.51124063221507</v>
      </c>
      <c r="BK306" s="17" t="n">
        <f aca="false">SQRT(($B306-BK$270)^2+($C306-BK$271)^2+($D306-BK$272)^2)</f>
        <v>2.73357770389301</v>
      </c>
      <c r="BL306" s="63" t="n">
        <f aca="false">MATCH(MIN(BG306:BK306),BG306:BK306,0)</f>
        <v>3</v>
      </c>
      <c r="BN306" s="17" t="n">
        <f aca="false">SQRT(($B306-BN$270)^2+($C306-BN$271)^2+($D306-BN$272)^2)</f>
        <v>5.2424742093381</v>
      </c>
      <c r="BO306" s="17" t="n">
        <f aca="false">SQRT(($B306-BO$270)^2+($C306-BO$271)^2+($D306-BO$272)^2)</f>
        <v>2.74698598594935</v>
      </c>
      <c r="BP306" s="17" t="n">
        <f aca="false">SQRT(($B306-BP$270)^2+($C306-BP$271)^2+($D306-BP$272)^2)</f>
        <v>0.433841966131396</v>
      </c>
      <c r="BQ306" s="17" t="n">
        <f aca="false">SQRT(($B306-BQ$270)^2+($C306-BQ$271)^2+($D306-BQ$272)^2)</f>
        <v>1.51124063221507</v>
      </c>
      <c r="BR306" s="17" t="n">
        <f aca="false">SQRT(($B306-BR$270)^2+($C306-BR$271)^2+($D306-BR$272)^2)</f>
        <v>2.73357770389301</v>
      </c>
      <c r="BS306" s="63" t="n">
        <f aca="false">MATCH(MIN(BN306:BR306),BN306:BR306,0)</f>
        <v>3</v>
      </c>
      <c r="BU306" s="17" t="n">
        <f aca="false">SQRT(($B306-BU$270)^2+($C306-BU$271)^2+($D306-BU$272)^2)</f>
        <v>5.2424742093381</v>
      </c>
      <c r="BV306" s="17" t="n">
        <f aca="false">SQRT(($B306-BV$270)^2+($C306-BV$271)^2+($D306-BV$272)^2)</f>
        <v>2.74698598594935</v>
      </c>
      <c r="BW306" s="17" t="n">
        <f aca="false">SQRT(($B306-BW$270)^2+($C306-BW$271)^2+($D306-BW$272)^2)</f>
        <v>0.433841966131396</v>
      </c>
      <c r="BX306" s="17" t="n">
        <f aca="false">SQRT(($B306-BX$270)^2+($C306-BX$271)^2+($D306-BX$272)^2)</f>
        <v>1.51124063221507</v>
      </c>
      <c r="BY306" s="17" t="n">
        <f aca="false">SQRT(($B306-BY$270)^2+($C306-BY$271)^2+($D306-BY$272)^2)</f>
        <v>2.73357770389301</v>
      </c>
      <c r="BZ306" s="63" t="n">
        <f aca="false">MATCH(MIN(BU306:BY306),BU306:BY306,0)</f>
        <v>3</v>
      </c>
      <c r="CB306" s="17" t="n">
        <f aca="false">SQRT(($B306-CB$270)^2+($C306-CB$271)^2+($D306-CB$272)^2)</f>
        <v>5.2424742093381</v>
      </c>
      <c r="CC306" s="17" t="n">
        <f aca="false">SQRT(($B306-CC$270)^2+($C306-CC$271)^2+($D306-CC$272)^2)</f>
        <v>2.74698598594935</v>
      </c>
      <c r="CD306" s="17" t="n">
        <f aca="false">SQRT(($B306-CD$270)^2+($C306-CD$271)^2+($D306-CD$272)^2)</f>
        <v>0.433841966131396</v>
      </c>
      <c r="CE306" s="17" t="n">
        <f aca="false">SQRT(($B306-CE$270)^2+($C306-CE$271)^2+($D306-CE$272)^2)</f>
        <v>1.51124063221507</v>
      </c>
      <c r="CF306" s="17" t="n">
        <f aca="false">SQRT(($B306-CF$270)^2+($C306-CF$271)^2+($D306-CF$272)^2)</f>
        <v>2.73357770389301</v>
      </c>
      <c r="CG306" s="63" t="n">
        <f aca="false">MATCH(MIN(CB306:CF306),CB306:CF306,0)</f>
        <v>3</v>
      </c>
      <c r="CI306" s="17" t="n">
        <f aca="false">SQRT(($B306-CI$270)^2+($C306-CI$271)^2+($D306-CI$272)^2)</f>
        <v>5.2424742093381</v>
      </c>
      <c r="CJ306" s="17" t="n">
        <f aca="false">SQRT(($B306-CJ$270)^2+($C306-CJ$271)^2+($D306-CJ$272)^2)</f>
        <v>2.74698598594935</v>
      </c>
      <c r="CK306" s="17" t="n">
        <f aca="false">SQRT(($B306-CK$270)^2+($C306-CK$271)^2+($D306-CK$272)^2)</f>
        <v>0.433841966131396</v>
      </c>
      <c r="CL306" s="17" t="n">
        <f aca="false">SQRT(($B306-CL$270)^2+($C306-CL$271)^2+($D306-CL$272)^2)</f>
        <v>1.51124063221507</v>
      </c>
      <c r="CM306" s="17" t="n">
        <f aca="false">SQRT(($B306-CM$270)^2+($C306-CM$271)^2+($D306-CM$272)^2)</f>
        <v>2.73357770389301</v>
      </c>
      <c r="CN306" s="63" t="n">
        <f aca="false">MATCH(MIN(CI306:CM306),CI306:CM306,0)</f>
        <v>3</v>
      </c>
      <c r="CP306" s="17" t="n">
        <f aca="false">SQRT(($B306-CP$270)^2+($C306-CP$271)^2+($D306-CP$272)^2)</f>
        <v>5.2424742093381</v>
      </c>
      <c r="CQ306" s="17" t="n">
        <f aca="false">SQRT(($B306-CQ$270)^2+($C306-CQ$271)^2+($D306-CQ$272)^2)</f>
        <v>2.74698598594935</v>
      </c>
      <c r="CR306" s="17" t="n">
        <f aca="false">SQRT(($B306-CR$270)^2+($C306-CR$271)^2+($D306-CR$272)^2)</f>
        <v>0.433841966131396</v>
      </c>
      <c r="CS306" s="17" t="n">
        <f aca="false">SQRT(($B306-CS$270)^2+($C306-CS$271)^2+($D306-CS$272)^2)</f>
        <v>1.51124063221507</v>
      </c>
      <c r="CT306" s="17" t="n">
        <f aca="false">SQRT(($B306-CT$270)^2+($C306-CT$271)^2+($D306-CT$272)^2)</f>
        <v>2.73357770389301</v>
      </c>
      <c r="CU306" s="63" t="n">
        <f aca="false">MATCH(MIN(CP306:CT306),CP306:CT306,0)</f>
        <v>3</v>
      </c>
      <c r="CW306" s="17" t="n">
        <f aca="false">SQRT(($B306-CW$270)^2+($C306-CW$271)^2+($D306-CW$272)^2)</f>
        <v>5.2424742093381</v>
      </c>
      <c r="CX306" s="17" t="n">
        <f aca="false">SQRT(($B306-CX$270)^2+($C306-CX$271)^2+($D306-CX$272)^2)</f>
        <v>2.74698598594935</v>
      </c>
      <c r="CY306" s="17" t="n">
        <f aca="false">SQRT(($B306-CY$270)^2+($C306-CY$271)^2+($D306-CY$272)^2)</f>
        <v>0.433841966131396</v>
      </c>
      <c r="CZ306" s="17" t="n">
        <f aca="false">SQRT(($B306-CZ$270)^2+($C306-CZ$271)^2+($D306-CZ$272)^2)</f>
        <v>1.51124063221507</v>
      </c>
      <c r="DA306" s="17" t="n">
        <f aca="false">SQRT(($B306-DA$270)^2+($C306-DA$271)^2+($D306-DA$272)^2)</f>
        <v>2.73357770389301</v>
      </c>
      <c r="DB306" s="63" t="n">
        <f aca="false">MATCH(MIN(CW306:DA306),CW306:DA306,0)</f>
        <v>3</v>
      </c>
    </row>
    <row r="307" customFormat="false" ht="15" hidden="false" customHeight="false" outlineLevel="0" collapsed="false">
      <c r="A307" s="36" t="str">
        <f aca="false">KMeans_Data!A35</f>
        <v>Gujrat</v>
      </c>
      <c r="B307" s="17" t="n">
        <f aca="false">KMeans_Data!H35</f>
        <v>0.574589587542617</v>
      </c>
      <c r="C307" s="17" t="n">
        <f aca="false">KMeans_Data!I35</f>
        <v>-0.672650545388274</v>
      </c>
      <c r="D307" s="17" t="n">
        <f aca="false">KMeans_Data!J35</f>
        <v>-0.399845222909568</v>
      </c>
      <c r="E307" s="63" t="n">
        <f aca="false">DB307</f>
        <v>4</v>
      </c>
      <c r="F307" s="38" t="n">
        <f aca="false">($B307-INDEX($L$270:$P$270,E307))^2+($C307-INDEX($L$271:$P$271,E307))^2+($D307-INDEX($L$272:$P$272,E307))^2</f>
        <v>0.522286713914684</v>
      </c>
      <c r="G307" s="17" t="n">
        <f aca="false">IF(COUNTIF(Distance_Matrix!$E$11:$DQ$11,$E307)&lt;=1,0,SUMIF(Distance_Matrix!$E$11:$DQ$11,$E307,Distance_Matrix!$E$44:$DQ$44)/(COUNTIF(Distance_Matrix!$E$11:$DQ$11,$E307)-1))</f>
        <v>1.03257650501075</v>
      </c>
      <c r="H307" s="17" t="n">
        <f aca="false">MIN(IF(1=$E307,1E+099,IF(COUNTIF(Distance_Matrix!$E$11:$DQ$11,1)=0,1E+099,SUMIF(Distance_Matrix!$E$11:$DQ$11,1,Distance_Matrix!$E$44:$DQ$44)/COUNTIF(Distance_Matrix!$E$11:$DQ$11,1))),IF(2=$E307,1E+099,IF(COUNTIF(Distance_Matrix!$E$11:$DQ$11,2)=0,1E+099,SUMIF(Distance_Matrix!$E$11:$DQ$11,2,Distance_Matrix!$E$44:$DQ$44)/COUNTIF(Distance_Matrix!$E$11:$DQ$11,2))),IF(3=$E307,1E+099,IF(COUNTIF(Distance_Matrix!$E$11:$DQ$11,3)=0,1E+099,SUMIF(Distance_Matrix!$E$11:$DQ$11,3,Distance_Matrix!$E$44:$DQ$44)/COUNTIF(Distance_Matrix!$E$11:$DQ$11,3))),IF(4=$E307,1E+099,IF(COUNTIF(Distance_Matrix!$E$11:$DQ$11,4)=0,1E+099,SUMIF(Distance_Matrix!$E$11:$DQ$11,4,Distance_Matrix!$E$44:$DQ$44)/COUNTIF(Distance_Matrix!$E$11:$DQ$11,4))),IF(5=$E307,1E+099,IF(COUNTIF(Distance_Matrix!$E$11:$DQ$11,5)=0,1E+099,SUMIF(Distance_Matrix!$E$11:$DQ$11,5,Distance_Matrix!$E$44:$DQ$44)/COUNTIF(Distance_Matrix!$E$11:$DQ$11,5))))</f>
        <v>1.88613653116622</v>
      </c>
      <c r="I307" s="17" t="n">
        <f aca="false">IF(COUNTIF(Distance_Matrix!$E$11:$DQ$11,$E307)&lt;=1,0,(H307-G307)/MAX(G307,H307))</f>
        <v>0.452544135618703</v>
      </c>
      <c r="X307" s="17" t="n">
        <f aca="false">SQRT(($B307-X$270)^2+($C307-X$271)^2+($D307-X$272)^2)</f>
        <v>6.54430428513413</v>
      </c>
      <c r="Y307" s="17" t="n">
        <f aca="false">SQRT(($B307-Y$270)^2+($C307-Y$271)^2+($D307-Y$272)^2)</f>
        <v>2.75711277150979</v>
      </c>
      <c r="Z307" s="17" t="n">
        <f aca="false">SQRT(($B307-Z$270)^2+($C307-Z$271)^2+($D307-Z$272)^2)</f>
        <v>2.19482903863084</v>
      </c>
      <c r="AA307" s="17" t="n">
        <f aca="false">SQRT(($B307-AA$270)^2+($C307-AA$271)^2+($D307-AA$272)^2)</f>
        <v>0.915202205398665</v>
      </c>
      <c r="AB307" s="17" t="n">
        <f aca="false">SQRT(($B307-AB$270)^2+($C307-AB$271)^2+($D307-AB$272)^2)</f>
        <v>4.43743633277874</v>
      </c>
      <c r="AC307" s="63" t="n">
        <f aca="false">MATCH(MIN(X307:AB307),X307:AB307,0)</f>
        <v>4</v>
      </c>
      <c r="AE307" s="17" t="n">
        <f aca="false">SQRT(($B307-AE$270)^2+($C307-AE$271)^2+($D307-AE$272)^2)</f>
        <v>6.42760397636914</v>
      </c>
      <c r="AF307" s="17" t="n">
        <f aca="false">SQRT(($B307-AF$270)^2+($C307-AF$271)^2+($D307-AF$272)^2)</f>
        <v>1.89298210751699</v>
      </c>
      <c r="AG307" s="17" t="n">
        <f aca="false">SQRT(($B307-AG$270)^2+($C307-AG$271)^2+($D307-AG$272)^2)</f>
        <v>1.71122448128359</v>
      </c>
      <c r="AH307" s="17" t="n">
        <f aca="false">SQRT(($B307-AH$270)^2+($C307-AH$271)^2+($D307-AH$272)^2)</f>
        <v>0.672510823117012</v>
      </c>
      <c r="AI307" s="17" t="n">
        <f aca="false">SQRT(($B307-AI$270)^2+($C307-AI$271)^2+($D307-AI$272)^2)</f>
        <v>4.17177560678882</v>
      </c>
      <c r="AJ307" s="63" t="n">
        <f aca="false">MATCH(MIN(AE307:AI307),AE307:AI307,0)</f>
        <v>4</v>
      </c>
      <c r="AL307" s="17" t="n">
        <f aca="false">SQRT(($B307-AL$270)^2+($C307-AL$271)^2+($D307-AL$272)^2)</f>
        <v>6.42760397636914</v>
      </c>
      <c r="AM307" s="17" t="n">
        <f aca="false">SQRT(($B307-AM$270)^2+($C307-AM$271)^2+($D307-AM$272)^2)</f>
        <v>1.8995322237439</v>
      </c>
      <c r="AN307" s="17" t="n">
        <f aca="false">SQRT(($B307-AN$270)^2+($C307-AN$271)^2+($D307-AN$272)^2)</f>
        <v>1.76126879145194</v>
      </c>
      <c r="AO307" s="17" t="n">
        <f aca="false">SQRT(($B307-AO$270)^2+($C307-AO$271)^2+($D307-AO$272)^2)</f>
        <v>0.675162166952147</v>
      </c>
      <c r="AP307" s="17" t="n">
        <f aca="false">SQRT(($B307-AP$270)^2+($C307-AP$271)^2+($D307-AP$272)^2)</f>
        <v>3.91927326808487</v>
      </c>
      <c r="AQ307" s="63" t="n">
        <f aca="false">MATCH(MIN(AL307:AP307),AL307:AP307,0)</f>
        <v>4</v>
      </c>
      <c r="AS307" s="17" t="n">
        <f aca="false">SQRT(($B307-AS$270)^2+($C307-AS$271)^2+($D307-AS$272)^2)</f>
        <v>6.42760397636914</v>
      </c>
      <c r="AT307" s="17" t="n">
        <f aca="false">SQRT(($B307-AT$270)^2+($C307-AT$271)^2+($D307-AT$272)^2)</f>
        <v>1.97149115080384</v>
      </c>
      <c r="AU307" s="17" t="n">
        <f aca="false">SQRT(($B307-AU$270)^2+($C307-AU$271)^2+($D307-AU$272)^2)</f>
        <v>1.78112072637286</v>
      </c>
      <c r="AV307" s="17" t="n">
        <f aca="false">SQRT(($B307-AV$270)^2+($C307-AV$271)^2+($D307-AV$272)^2)</f>
        <v>0.722694066610958</v>
      </c>
      <c r="AW307" s="17" t="n">
        <f aca="false">SQRT(($B307-AW$270)^2+($C307-AW$271)^2+($D307-AW$272)^2)</f>
        <v>3.91927326808487</v>
      </c>
      <c r="AX307" s="63" t="n">
        <f aca="false">MATCH(MIN(AS307:AW307),AS307:AW307,0)</f>
        <v>4</v>
      </c>
      <c r="AZ307" s="17" t="n">
        <f aca="false">SQRT(($B307-AZ$270)^2+($C307-AZ$271)^2+($D307-AZ$272)^2)</f>
        <v>6.42760397636914</v>
      </c>
      <c r="BA307" s="17" t="n">
        <f aca="false">SQRT(($B307-BA$270)^2+($C307-BA$271)^2+($D307-BA$272)^2)</f>
        <v>1.97149115080384</v>
      </c>
      <c r="BB307" s="17" t="n">
        <f aca="false">SQRT(($B307-BB$270)^2+($C307-BB$271)^2+($D307-BB$272)^2)</f>
        <v>1.78112072637286</v>
      </c>
      <c r="BC307" s="17" t="n">
        <f aca="false">SQRT(($B307-BC$270)^2+($C307-BC$271)^2+($D307-BC$272)^2)</f>
        <v>0.722694066610958</v>
      </c>
      <c r="BD307" s="17" t="n">
        <f aca="false">SQRT(($B307-BD$270)^2+($C307-BD$271)^2+($D307-BD$272)^2)</f>
        <v>3.91927326808487</v>
      </c>
      <c r="BE307" s="63" t="n">
        <f aca="false">MATCH(MIN(AZ307:BD307),AZ307:BD307,0)</f>
        <v>4</v>
      </c>
      <c r="BG307" s="17" t="n">
        <f aca="false">SQRT(($B307-BG$270)^2+($C307-BG$271)^2+($D307-BG$272)^2)</f>
        <v>6.42760397636914</v>
      </c>
      <c r="BH307" s="17" t="n">
        <f aca="false">SQRT(($B307-BH$270)^2+($C307-BH$271)^2+($D307-BH$272)^2)</f>
        <v>1.97149115080384</v>
      </c>
      <c r="BI307" s="17" t="n">
        <f aca="false">SQRT(($B307-BI$270)^2+($C307-BI$271)^2+($D307-BI$272)^2)</f>
        <v>1.78112072637286</v>
      </c>
      <c r="BJ307" s="17" t="n">
        <f aca="false">SQRT(($B307-BJ$270)^2+($C307-BJ$271)^2+($D307-BJ$272)^2)</f>
        <v>0.722694066610958</v>
      </c>
      <c r="BK307" s="17" t="n">
        <f aca="false">SQRT(($B307-BK$270)^2+($C307-BK$271)^2+($D307-BK$272)^2)</f>
        <v>3.91927326808487</v>
      </c>
      <c r="BL307" s="63" t="n">
        <f aca="false">MATCH(MIN(BG307:BK307),BG307:BK307,0)</f>
        <v>4</v>
      </c>
      <c r="BN307" s="17" t="n">
        <f aca="false">SQRT(($B307-BN$270)^2+($C307-BN$271)^2+($D307-BN$272)^2)</f>
        <v>6.42760397636914</v>
      </c>
      <c r="BO307" s="17" t="n">
        <f aca="false">SQRT(($B307-BO$270)^2+($C307-BO$271)^2+($D307-BO$272)^2)</f>
        <v>1.97149115080384</v>
      </c>
      <c r="BP307" s="17" t="n">
        <f aca="false">SQRT(($B307-BP$270)^2+($C307-BP$271)^2+($D307-BP$272)^2)</f>
        <v>1.78112072637286</v>
      </c>
      <c r="BQ307" s="17" t="n">
        <f aca="false">SQRT(($B307-BQ$270)^2+($C307-BQ$271)^2+($D307-BQ$272)^2)</f>
        <v>0.722694066610958</v>
      </c>
      <c r="BR307" s="17" t="n">
        <f aca="false">SQRT(($B307-BR$270)^2+($C307-BR$271)^2+($D307-BR$272)^2)</f>
        <v>3.91927326808487</v>
      </c>
      <c r="BS307" s="63" t="n">
        <f aca="false">MATCH(MIN(BN307:BR307),BN307:BR307,0)</f>
        <v>4</v>
      </c>
      <c r="BU307" s="17" t="n">
        <f aca="false">SQRT(($B307-BU$270)^2+($C307-BU$271)^2+($D307-BU$272)^2)</f>
        <v>6.42760397636914</v>
      </c>
      <c r="BV307" s="17" t="n">
        <f aca="false">SQRT(($B307-BV$270)^2+($C307-BV$271)^2+($D307-BV$272)^2)</f>
        <v>1.97149115080384</v>
      </c>
      <c r="BW307" s="17" t="n">
        <f aca="false">SQRT(($B307-BW$270)^2+($C307-BW$271)^2+($D307-BW$272)^2)</f>
        <v>1.78112072637286</v>
      </c>
      <c r="BX307" s="17" t="n">
        <f aca="false">SQRT(($B307-BX$270)^2+($C307-BX$271)^2+($D307-BX$272)^2)</f>
        <v>0.722694066610958</v>
      </c>
      <c r="BY307" s="17" t="n">
        <f aca="false">SQRT(($B307-BY$270)^2+($C307-BY$271)^2+($D307-BY$272)^2)</f>
        <v>3.91927326808487</v>
      </c>
      <c r="BZ307" s="63" t="n">
        <f aca="false">MATCH(MIN(BU307:BY307),BU307:BY307,0)</f>
        <v>4</v>
      </c>
      <c r="CB307" s="17" t="n">
        <f aca="false">SQRT(($B307-CB$270)^2+($C307-CB$271)^2+($D307-CB$272)^2)</f>
        <v>6.42760397636914</v>
      </c>
      <c r="CC307" s="17" t="n">
        <f aca="false">SQRT(($B307-CC$270)^2+($C307-CC$271)^2+($D307-CC$272)^2)</f>
        <v>1.97149115080384</v>
      </c>
      <c r="CD307" s="17" t="n">
        <f aca="false">SQRT(($B307-CD$270)^2+($C307-CD$271)^2+($D307-CD$272)^2)</f>
        <v>1.78112072637286</v>
      </c>
      <c r="CE307" s="17" t="n">
        <f aca="false">SQRT(($B307-CE$270)^2+($C307-CE$271)^2+($D307-CE$272)^2)</f>
        <v>0.722694066610958</v>
      </c>
      <c r="CF307" s="17" t="n">
        <f aca="false">SQRT(($B307-CF$270)^2+($C307-CF$271)^2+($D307-CF$272)^2)</f>
        <v>3.91927326808487</v>
      </c>
      <c r="CG307" s="63" t="n">
        <f aca="false">MATCH(MIN(CB307:CF307),CB307:CF307,0)</f>
        <v>4</v>
      </c>
      <c r="CI307" s="17" t="n">
        <f aca="false">SQRT(($B307-CI$270)^2+($C307-CI$271)^2+($D307-CI$272)^2)</f>
        <v>6.42760397636914</v>
      </c>
      <c r="CJ307" s="17" t="n">
        <f aca="false">SQRT(($B307-CJ$270)^2+($C307-CJ$271)^2+($D307-CJ$272)^2)</f>
        <v>1.97149115080384</v>
      </c>
      <c r="CK307" s="17" t="n">
        <f aca="false">SQRT(($B307-CK$270)^2+($C307-CK$271)^2+($D307-CK$272)^2)</f>
        <v>1.78112072637286</v>
      </c>
      <c r="CL307" s="17" t="n">
        <f aca="false">SQRT(($B307-CL$270)^2+($C307-CL$271)^2+($D307-CL$272)^2)</f>
        <v>0.722694066610958</v>
      </c>
      <c r="CM307" s="17" t="n">
        <f aca="false">SQRT(($B307-CM$270)^2+($C307-CM$271)^2+($D307-CM$272)^2)</f>
        <v>3.91927326808487</v>
      </c>
      <c r="CN307" s="63" t="n">
        <f aca="false">MATCH(MIN(CI307:CM307),CI307:CM307,0)</f>
        <v>4</v>
      </c>
      <c r="CP307" s="17" t="n">
        <f aca="false">SQRT(($B307-CP$270)^2+($C307-CP$271)^2+($D307-CP$272)^2)</f>
        <v>6.42760397636914</v>
      </c>
      <c r="CQ307" s="17" t="n">
        <f aca="false">SQRT(($B307-CQ$270)^2+($C307-CQ$271)^2+($D307-CQ$272)^2)</f>
        <v>1.97149115080384</v>
      </c>
      <c r="CR307" s="17" t="n">
        <f aca="false">SQRT(($B307-CR$270)^2+($C307-CR$271)^2+($D307-CR$272)^2)</f>
        <v>1.78112072637286</v>
      </c>
      <c r="CS307" s="17" t="n">
        <f aca="false">SQRT(($B307-CS$270)^2+($C307-CS$271)^2+($D307-CS$272)^2)</f>
        <v>0.722694066610958</v>
      </c>
      <c r="CT307" s="17" t="n">
        <f aca="false">SQRT(($B307-CT$270)^2+($C307-CT$271)^2+($D307-CT$272)^2)</f>
        <v>3.91927326808487</v>
      </c>
      <c r="CU307" s="63" t="n">
        <f aca="false">MATCH(MIN(CP307:CT307),CP307:CT307,0)</f>
        <v>4</v>
      </c>
      <c r="CW307" s="17" t="n">
        <f aca="false">SQRT(($B307-CW$270)^2+($C307-CW$271)^2+($D307-CW$272)^2)</f>
        <v>6.42760397636914</v>
      </c>
      <c r="CX307" s="17" t="n">
        <f aca="false">SQRT(($B307-CX$270)^2+($C307-CX$271)^2+($D307-CX$272)^2)</f>
        <v>1.97149115080384</v>
      </c>
      <c r="CY307" s="17" t="n">
        <f aca="false">SQRT(($B307-CY$270)^2+($C307-CY$271)^2+($D307-CY$272)^2)</f>
        <v>1.78112072637286</v>
      </c>
      <c r="CZ307" s="17" t="n">
        <f aca="false">SQRT(($B307-CZ$270)^2+($C307-CZ$271)^2+($D307-CZ$272)^2)</f>
        <v>0.722694066610958</v>
      </c>
      <c r="DA307" s="17" t="n">
        <f aca="false">SQRT(($B307-DA$270)^2+($C307-DA$271)^2+($D307-DA$272)^2)</f>
        <v>3.91927326808487</v>
      </c>
      <c r="DB307" s="63" t="n">
        <f aca="false">MATCH(MIN(CW307:DA307),CW307:DA307,0)</f>
        <v>4</v>
      </c>
    </row>
    <row r="308" customFormat="false" ht="15" hidden="false" customHeight="false" outlineLevel="0" collapsed="false">
      <c r="A308" s="36" t="str">
        <f aca="false">KMeans_Data!A36</f>
        <v>Dera Ismail Khan</v>
      </c>
      <c r="B308" s="17" t="n">
        <f aca="false">KMeans_Data!H36</f>
        <v>0.568203372235645</v>
      </c>
      <c r="C308" s="17" t="n">
        <f aca="false">KMeans_Data!I36</f>
        <v>0.547911385844501</v>
      </c>
      <c r="D308" s="17" t="n">
        <f aca="false">KMeans_Data!J36</f>
        <v>1.11347799131462</v>
      </c>
      <c r="E308" s="63" t="n">
        <f aca="false">DB308</f>
        <v>3</v>
      </c>
      <c r="F308" s="38" t="n">
        <f aca="false">($B308-INDEX($L$270:$P$270,E308))^2+($C308-INDEX($L$271:$P$271,E308))^2+($D308-INDEX($L$272:$P$272,E308))^2</f>
        <v>0.0678823473585209</v>
      </c>
      <c r="G308" s="17" t="n">
        <f aca="false">IF(COUNTIF(Distance_Matrix!$E$11:$DQ$11,$E308)&lt;=1,0,SUMIF(Distance_Matrix!$E$11:$DQ$11,$E308,Distance_Matrix!$E$45:$DQ$45)/(COUNTIF(Distance_Matrix!$E$11:$DQ$11,$E308)-1))</f>
        <v>0.792914203344797</v>
      </c>
      <c r="H308" s="17" t="n">
        <f aca="false">MIN(IF(1=$E308,1E+099,IF(COUNTIF(Distance_Matrix!$E$11:$DQ$11,1)=0,1E+099,SUMIF(Distance_Matrix!$E$11:$DQ$11,1,Distance_Matrix!$E$45:$DQ$45)/COUNTIF(Distance_Matrix!$E$11:$DQ$11,1))),IF(2=$E308,1E+099,IF(COUNTIF(Distance_Matrix!$E$11:$DQ$11,2)=0,1E+099,SUMIF(Distance_Matrix!$E$11:$DQ$11,2,Distance_Matrix!$E$45:$DQ$45)/COUNTIF(Distance_Matrix!$E$11:$DQ$11,2))),IF(3=$E308,1E+099,IF(COUNTIF(Distance_Matrix!$E$11:$DQ$11,3)=0,1E+099,SUMIF(Distance_Matrix!$E$11:$DQ$11,3,Distance_Matrix!$E$45:$DQ$45)/COUNTIF(Distance_Matrix!$E$11:$DQ$11,3))),IF(4=$E308,1E+099,IF(COUNTIF(Distance_Matrix!$E$11:$DQ$11,4)=0,1E+099,SUMIF(Distance_Matrix!$E$11:$DQ$11,4,Distance_Matrix!$E$45:$DQ$45)/COUNTIF(Distance_Matrix!$E$11:$DQ$11,4))),IF(5=$E308,1E+099,IF(COUNTIF(Distance_Matrix!$E$11:$DQ$11,5)=0,1E+099,SUMIF(Distance_Matrix!$E$11:$DQ$11,5,Distance_Matrix!$E$45:$DQ$45)/COUNTIF(Distance_Matrix!$E$11:$DQ$11,5))))</f>
        <v>2.05654906040797</v>
      </c>
      <c r="I308" s="17" t="n">
        <f aca="false">IF(COUNTIF(Distance_Matrix!$E$11:$DQ$11,$E308)&lt;=1,0,(H308-G308)/MAX(G308,H308))</f>
        <v>0.614444304485737</v>
      </c>
      <c r="X308" s="17" t="n">
        <f aca="false">SQRT(($B308-X$270)^2+($C308-X$271)^2+($D308-X$272)^2)</f>
        <v>4.90774869404622</v>
      </c>
      <c r="Y308" s="17" t="n">
        <f aca="false">SQRT(($B308-Y$270)^2+($C308-Y$271)^2+($D308-Y$272)^2)</f>
        <v>3.68849529478745</v>
      </c>
      <c r="Z308" s="17" t="n">
        <f aca="false">SQRT(($B308-Z$270)^2+($C308-Z$271)^2+($D308-Z$272)^2)</f>
        <v>0.613286790517401</v>
      </c>
      <c r="AA308" s="17" t="n">
        <f aca="false">SQRT(($B308-AA$270)^2+($C308-AA$271)^2+($D308-AA$272)^2)</f>
        <v>2.3648493912276</v>
      </c>
      <c r="AB308" s="17" t="n">
        <f aca="false">SQRT(($B308-AB$270)^2+($C308-AB$271)^2+($D308-AB$272)^2)</f>
        <v>2.80372714277684</v>
      </c>
      <c r="AC308" s="63" t="n">
        <f aca="false">MATCH(MIN(X308:AB308),X308:AB308,0)</f>
        <v>3</v>
      </c>
      <c r="AE308" s="17" t="n">
        <f aca="false">SQRT(($B308-AE$270)^2+($C308-AE$271)^2+($D308-AE$272)^2)</f>
        <v>4.82637830875814</v>
      </c>
      <c r="AF308" s="17" t="n">
        <f aca="false">SQRT(($B308-AF$270)^2+($C308-AF$271)^2+($D308-AF$272)^2)</f>
        <v>2.98575048432386</v>
      </c>
      <c r="AG308" s="17" t="n">
        <f aca="false">SQRT(($B308-AG$270)^2+($C308-AG$271)^2+($D308-AG$272)^2)</f>
        <v>0.272439448728738</v>
      </c>
      <c r="AH308" s="17" t="n">
        <f aca="false">SQRT(($B308-AH$270)^2+($C308-AH$271)^2+($D308-AH$272)^2)</f>
        <v>2.0301615032797</v>
      </c>
      <c r="AI308" s="17" t="n">
        <f aca="false">SQRT(($B308-AI$270)^2+($C308-AI$271)^2+($D308-AI$272)^2)</f>
        <v>2.59675028620029</v>
      </c>
      <c r="AJ308" s="63" t="n">
        <f aca="false">MATCH(MIN(AE308:AI308),AE308:AI308,0)</f>
        <v>3</v>
      </c>
      <c r="AL308" s="17" t="n">
        <f aca="false">SQRT(($B308-AL$270)^2+($C308-AL$271)^2+($D308-AL$272)^2)</f>
        <v>4.82637830875814</v>
      </c>
      <c r="AM308" s="17" t="n">
        <f aca="false">SQRT(($B308-AM$270)^2+($C308-AM$271)^2+($D308-AM$272)^2)</f>
        <v>3.01532073367739</v>
      </c>
      <c r="AN308" s="17" t="n">
        <f aca="false">SQRT(($B308-AN$270)^2+($C308-AN$271)^2+($D308-AN$272)^2)</f>
        <v>0.272077430955919</v>
      </c>
      <c r="AO308" s="17" t="n">
        <f aca="false">SQRT(($B308-AO$270)^2+($C308-AO$271)^2+($D308-AO$272)^2)</f>
        <v>1.95666743656263</v>
      </c>
      <c r="AP308" s="17" t="n">
        <f aca="false">SQRT(($B308-AP$270)^2+($C308-AP$271)^2+($D308-AP$272)^2)</f>
        <v>2.33440061129115</v>
      </c>
      <c r="AQ308" s="63" t="n">
        <f aca="false">MATCH(MIN(AL308:AP308),AL308:AP308,0)</f>
        <v>3</v>
      </c>
      <c r="AS308" s="17" t="n">
        <f aca="false">SQRT(($B308-AS$270)^2+($C308-AS$271)^2+($D308-AS$272)^2)</f>
        <v>4.82637830875814</v>
      </c>
      <c r="AT308" s="17" t="n">
        <f aca="false">SQRT(($B308-AT$270)^2+($C308-AT$271)^2+($D308-AT$272)^2)</f>
        <v>3.10352029107294</v>
      </c>
      <c r="AU308" s="17" t="n">
        <f aca="false">SQRT(($B308-AU$270)^2+($C308-AU$271)^2+($D308-AU$272)^2)</f>
        <v>0.260542409903879</v>
      </c>
      <c r="AV308" s="17" t="n">
        <f aca="false">SQRT(($B308-AV$270)^2+($C308-AV$271)^2+($D308-AV$272)^2)</f>
        <v>1.95360566365742</v>
      </c>
      <c r="AW308" s="17" t="n">
        <f aca="false">SQRT(($B308-AW$270)^2+($C308-AW$271)^2+($D308-AW$272)^2)</f>
        <v>2.33440061129115</v>
      </c>
      <c r="AX308" s="63" t="n">
        <f aca="false">MATCH(MIN(AS308:AW308),AS308:AW308,0)</f>
        <v>3</v>
      </c>
      <c r="AZ308" s="17" t="n">
        <f aca="false">SQRT(($B308-AZ$270)^2+($C308-AZ$271)^2+($D308-AZ$272)^2)</f>
        <v>4.82637830875814</v>
      </c>
      <c r="BA308" s="17" t="n">
        <f aca="false">SQRT(($B308-BA$270)^2+($C308-BA$271)^2+($D308-BA$272)^2)</f>
        <v>3.10352029107294</v>
      </c>
      <c r="BB308" s="17" t="n">
        <f aca="false">SQRT(($B308-BB$270)^2+($C308-BB$271)^2+($D308-BB$272)^2)</f>
        <v>0.260542409903879</v>
      </c>
      <c r="BC308" s="17" t="n">
        <f aca="false">SQRT(($B308-BC$270)^2+($C308-BC$271)^2+($D308-BC$272)^2)</f>
        <v>1.95360566365742</v>
      </c>
      <c r="BD308" s="17" t="n">
        <f aca="false">SQRT(($B308-BD$270)^2+($C308-BD$271)^2+($D308-BD$272)^2)</f>
        <v>2.33440061129115</v>
      </c>
      <c r="BE308" s="63" t="n">
        <f aca="false">MATCH(MIN(AZ308:BD308),AZ308:BD308,0)</f>
        <v>3</v>
      </c>
      <c r="BG308" s="17" t="n">
        <f aca="false">SQRT(($B308-BG$270)^2+($C308-BG$271)^2+($D308-BG$272)^2)</f>
        <v>4.82637830875814</v>
      </c>
      <c r="BH308" s="17" t="n">
        <f aca="false">SQRT(($B308-BH$270)^2+($C308-BH$271)^2+($D308-BH$272)^2)</f>
        <v>3.10352029107294</v>
      </c>
      <c r="BI308" s="17" t="n">
        <f aca="false">SQRT(($B308-BI$270)^2+($C308-BI$271)^2+($D308-BI$272)^2)</f>
        <v>0.260542409903879</v>
      </c>
      <c r="BJ308" s="17" t="n">
        <f aca="false">SQRT(($B308-BJ$270)^2+($C308-BJ$271)^2+($D308-BJ$272)^2)</f>
        <v>1.95360566365742</v>
      </c>
      <c r="BK308" s="17" t="n">
        <f aca="false">SQRT(($B308-BK$270)^2+($C308-BK$271)^2+($D308-BK$272)^2)</f>
        <v>2.33440061129115</v>
      </c>
      <c r="BL308" s="63" t="n">
        <f aca="false">MATCH(MIN(BG308:BK308),BG308:BK308,0)</f>
        <v>3</v>
      </c>
      <c r="BN308" s="17" t="n">
        <f aca="false">SQRT(($B308-BN$270)^2+($C308-BN$271)^2+($D308-BN$272)^2)</f>
        <v>4.82637830875814</v>
      </c>
      <c r="BO308" s="17" t="n">
        <f aca="false">SQRT(($B308-BO$270)^2+($C308-BO$271)^2+($D308-BO$272)^2)</f>
        <v>3.10352029107294</v>
      </c>
      <c r="BP308" s="17" t="n">
        <f aca="false">SQRT(($B308-BP$270)^2+($C308-BP$271)^2+($D308-BP$272)^2)</f>
        <v>0.260542409903879</v>
      </c>
      <c r="BQ308" s="17" t="n">
        <f aca="false">SQRT(($B308-BQ$270)^2+($C308-BQ$271)^2+($D308-BQ$272)^2)</f>
        <v>1.95360566365742</v>
      </c>
      <c r="BR308" s="17" t="n">
        <f aca="false">SQRT(($B308-BR$270)^2+($C308-BR$271)^2+($D308-BR$272)^2)</f>
        <v>2.33440061129115</v>
      </c>
      <c r="BS308" s="63" t="n">
        <f aca="false">MATCH(MIN(BN308:BR308),BN308:BR308,0)</f>
        <v>3</v>
      </c>
      <c r="BU308" s="17" t="n">
        <f aca="false">SQRT(($B308-BU$270)^2+($C308-BU$271)^2+($D308-BU$272)^2)</f>
        <v>4.82637830875814</v>
      </c>
      <c r="BV308" s="17" t="n">
        <f aca="false">SQRT(($B308-BV$270)^2+($C308-BV$271)^2+($D308-BV$272)^2)</f>
        <v>3.10352029107294</v>
      </c>
      <c r="BW308" s="17" t="n">
        <f aca="false">SQRT(($B308-BW$270)^2+($C308-BW$271)^2+($D308-BW$272)^2)</f>
        <v>0.260542409903879</v>
      </c>
      <c r="BX308" s="17" t="n">
        <f aca="false">SQRT(($B308-BX$270)^2+($C308-BX$271)^2+($D308-BX$272)^2)</f>
        <v>1.95360566365742</v>
      </c>
      <c r="BY308" s="17" t="n">
        <f aca="false">SQRT(($B308-BY$270)^2+($C308-BY$271)^2+($D308-BY$272)^2)</f>
        <v>2.33440061129115</v>
      </c>
      <c r="BZ308" s="63" t="n">
        <f aca="false">MATCH(MIN(BU308:BY308),BU308:BY308,0)</f>
        <v>3</v>
      </c>
      <c r="CB308" s="17" t="n">
        <f aca="false">SQRT(($B308-CB$270)^2+($C308-CB$271)^2+($D308-CB$272)^2)</f>
        <v>4.82637830875814</v>
      </c>
      <c r="CC308" s="17" t="n">
        <f aca="false">SQRT(($B308-CC$270)^2+($C308-CC$271)^2+($D308-CC$272)^2)</f>
        <v>3.10352029107294</v>
      </c>
      <c r="CD308" s="17" t="n">
        <f aca="false">SQRT(($B308-CD$270)^2+($C308-CD$271)^2+($D308-CD$272)^2)</f>
        <v>0.260542409903879</v>
      </c>
      <c r="CE308" s="17" t="n">
        <f aca="false">SQRT(($B308-CE$270)^2+($C308-CE$271)^2+($D308-CE$272)^2)</f>
        <v>1.95360566365742</v>
      </c>
      <c r="CF308" s="17" t="n">
        <f aca="false">SQRT(($B308-CF$270)^2+($C308-CF$271)^2+($D308-CF$272)^2)</f>
        <v>2.33440061129115</v>
      </c>
      <c r="CG308" s="63" t="n">
        <f aca="false">MATCH(MIN(CB308:CF308),CB308:CF308,0)</f>
        <v>3</v>
      </c>
      <c r="CI308" s="17" t="n">
        <f aca="false">SQRT(($B308-CI$270)^2+($C308-CI$271)^2+($D308-CI$272)^2)</f>
        <v>4.82637830875814</v>
      </c>
      <c r="CJ308" s="17" t="n">
        <f aca="false">SQRT(($B308-CJ$270)^2+($C308-CJ$271)^2+($D308-CJ$272)^2)</f>
        <v>3.10352029107294</v>
      </c>
      <c r="CK308" s="17" t="n">
        <f aca="false">SQRT(($B308-CK$270)^2+($C308-CK$271)^2+($D308-CK$272)^2)</f>
        <v>0.260542409903879</v>
      </c>
      <c r="CL308" s="17" t="n">
        <f aca="false">SQRT(($B308-CL$270)^2+($C308-CL$271)^2+($D308-CL$272)^2)</f>
        <v>1.95360566365742</v>
      </c>
      <c r="CM308" s="17" t="n">
        <f aca="false">SQRT(($B308-CM$270)^2+($C308-CM$271)^2+($D308-CM$272)^2)</f>
        <v>2.33440061129115</v>
      </c>
      <c r="CN308" s="63" t="n">
        <f aca="false">MATCH(MIN(CI308:CM308),CI308:CM308,0)</f>
        <v>3</v>
      </c>
      <c r="CP308" s="17" t="n">
        <f aca="false">SQRT(($B308-CP$270)^2+($C308-CP$271)^2+($D308-CP$272)^2)</f>
        <v>4.82637830875814</v>
      </c>
      <c r="CQ308" s="17" t="n">
        <f aca="false">SQRT(($B308-CQ$270)^2+($C308-CQ$271)^2+($D308-CQ$272)^2)</f>
        <v>3.10352029107294</v>
      </c>
      <c r="CR308" s="17" t="n">
        <f aca="false">SQRT(($B308-CR$270)^2+($C308-CR$271)^2+($D308-CR$272)^2)</f>
        <v>0.260542409903879</v>
      </c>
      <c r="CS308" s="17" t="n">
        <f aca="false">SQRT(($B308-CS$270)^2+($C308-CS$271)^2+($D308-CS$272)^2)</f>
        <v>1.95360566365742</v>
      </c>
      <c r="CT308" s="17" t="n">
        <f aca="false">SQRT(($B308-CT$270)^2+($C308-CT$271)^2+($D308-CT$272)^2)</f>
        <v>2.33440061129115</v>
      </c>
      <c r="CU308" s="63" t="n">
        <f aca="false">MATCH(MIN(CP308:CT308),CP308:CT308,0)</f>
        <v>3</v>
      </c>
      <c r="CW308" s="17" t="n">
        <f aca="false">SQRT(($B308-CW$270)^2+($C308-CW$271)^2+($D308-CW$272)^2)</f>
        <v>4.82637830875814</v>
      </c>
      <c r="CX308" s="17" t="n">
        <f aca="false">SQRT(($B308-CX$270)^2+($C308-CX$271)^2+($D308-CX$272)^2)</f>
        <v>3.10352029107294</v>
      </c>
      <c r="CY308" s="17" t="n">
        <f aca="false">SQRT(($B308-CY$270)^2+($C308-CY$271)^2+($D308-CY$272)^2)</f>
        <v>0.260542409903879</v>
      </c>
      <c r="CZ308" s="17" t="n">
        <f aca="false">SQRT(($B308-CZ$270)^2+($C308-CZ$271)^2+($D308-CZ$272)^2)</f>
        <v>1.95360566365742</v>
      </c>
      <c r="DA308" s="17" t="n">
        <f aca="false">SQRT(($B308-DA$270)^2+($C308-DA$271)^2+($D308-DA$272)^2)</f>
        <v>2.33440061129115</v>
      </c>
      <c r="DB308" s="63" t="n">
        <f aca="false">MATCH(MIN(CW308:DA308),CW308:DA308,0)</f>
        <v>3</v>
      </c>
    </row>
    <row r="309" customFormat="false" ht="15" hidden="false" customHeight="false" outlineLevel="0" collapsed="false">
      <c r="A309" s="36" t="str">
        <f aca="false">KMeans_Data!A37</f>
        <v>Karak</v>
      </c>
      <c r="B309" s="17" t="n">
        <f aca="false">KMeans_Data!H37</f>
        <v>0.531605743068138</v>
      </c>
      <c r="C309" s="17" t="n">
        <f aca="false">KMeans_Data!I37</f>
        <v>0.378684277529216</v>
      </c>
      <c r="D309" s="17" t="n">
        <f aca="false">KMeans_Data!J37</f>
        <v>0.286716848591577</v>
      </c>
      <c r="E309" s="63" t="n">
        <f aca="false">DB309</f>
        <v>3</v>
      </c>
      <c r="F309" s="38" t="n">
        <f aca="false">($B309-INDEX($L$270:$P$270,E309))^2+($C309-INDEX($L$271:$P$271,E309))^2+($D309-INDEX($L$272:$P$272,E309))^2</f>
        <v>0.379141586133831</v>
      </c>
      <c r="G309" s="17" t="n">
        <f aca="false">IF(COUNTIF(Distance_Matrix!$E$11:$DQ$11,$E309)&lt;=1,0,SUMIF(Distance_Matrix!$E$11:$DQ$11,$E309,Distance_Matrix!$E$46:$DQ$46)/(COUNTIF(Distance_Matrix!$E$11:$DQ$11,$E309)-1))</f>
        <v>0.941068804335681</v>
      </c>
      <c r="H309" s="17" t="n">
        <f aca="false">MIN(IF(1=$E309,1E+099,IF(COUNTIF(Distance_Matrix!$E$11:$DQ$11,1)=0,1E+099,SUMIF(Distance_Matrix!$E$11:$DQ$11,1,Distance_Matrix!$E$46:$DQ$46)/COUNTIF(Distance_Matrix!$E$11:$DQ$11,1))),IF(2=$E309,1E+099,IF(COUNTIF(Distance_Matrix!$E$11:$DQ$11,2)=0,1E+099,SUMIF(Distance_Matrix!$E$11:$DQ$11,2,Distance_Matrix!$E$46:$DQ$46)/COUNTIF(Distance_Matrix!$E$11:$DQ$11,2))),IF(3=$E309,1E+099,IF(COUNTIF(Distance_Matrix!$E$11:$DQ$11,3)=0,1E+099,SUMIF(Distance_Matrix!$E$11:$DQ$11,3,Distance_Matrix!$E$46:$DQ$46)/COUNTIF(Distance_Matrix!$E$11:$DQ$11,3))),IF(4=$E309,1E+099,IF(COUNTIF(Distance_Matrix!$E$11:$DQ$11,4)=0,1E+099,SUMIF(Distance_Matrix!$E$11:$DQ$11,4,Distance_Matrix!$E$46:$DQ$46)/COUNTIF(Distance_Matrix!$E$11:$DQ$11,4))),IF(5=$E309,1E+099,IF(COUNTIF(Distance_Matrix!$E$11:$DQ$11,5)=0,1E+099,SUMIF(Distance_Matrix!$E$11:$DQ$11,5,Distance_Matrix!$E$46:$DQ$46)/COUNTIF(Distance_Matrix!$E$11:$DQ$11,5))))</f>
        <v>1.46376404485437</v>
      </c>
      <c r="I309" s="17" t="n">
        <f aca="false">IF(COUNTIF(Distance_Matrix!$E$11:$DQ$11,$E309)&lt;=1,0,(H309-G309)/MAX(G309,H309))</f>
        <v>0.3570898208329</v>
      </c>
      <c r="X309" s="17" t="n">
        <f aca="false">SQRT(($B309-X$270)^2+($C309-X$271)^2+($D309-X$272)^2)</f>
        <v>5.45127311245764</v>
      </c>
      <c r="Y309" s="17" t="n">
        <f aca="false">SQRT(($B309-Y$270)^2+($C309-Y$271)^2+($D309-Y$272)^2)</f>
        <v>3.1584931364728</v>
      </c>
      <c r="Z309" s="17" t="n">
        <f aca="false">SQRT(($B309-Z$270)^2+($C309-Z$271)^2+($D309-Z$272)^2)</f>
        <v>1.2871988045077</v>
      </c>
      <c r="AA309" s="17" t="n">
        <f aca="false">SQRT(($B309-AA$270)^2+($C309-AA$271)^2+($D309-AA$272)^2)</f>
        <v>1.53003121333998</v>
      </c>
      <c r="AB309" s="17" t="n">
        <f aca="false">SQRT(($B309-AB$270)^2+($C309-AB$271)^2+($D309-AB$272)^2)</f>
        <v>3.37320035284465</v>
      </c>
      <c r="AC309" s="63" t="n">
        <f aca="false">MATCH(MIN(X309:AB309),X309:AB309,0)</f>
        <v>3</v>
      </c>
      <c r="AE309" s="17" t="n">
        <f aca="false">SQRT(($B309-AE$270)^2+($C309-AE$271)^2+($D309-AE$272)^2)</f>
        <v>5.33575852747446</v>
      </c>
      <c r="AF309" s="17" t="n">
        <f aca="false">SQRT(($B309-AF$270)^2+($C309-AF$271)^2+($D309-AF$272)^2)</f>
        <v>2.38777646636044</v>
      </c>
      <c r="AG309" s="17" t="n">
        <f aca="false">SQRT(($B309-AG$270)^2+($C309-AG$271)^2+($D309-AG$272)^2)</f>
        <v>0.572578101471484</v>
      </c>
      <c r="AH309" s="17" t="n">
        <f aca="false">SQRT(($B309-AH$270)^2+($C309-AH$271)^2+($D309-AH$272)^2)</f>
        <v>1.32170374791861</v>
      </c>
      <c r="AI309" s="17" t="n">
        <f aca="false">SQRT(($B309-AI$270)^2+($C309-AI$271)^2+($D309-AI$272)^2)</f>
        <v>3.05897294063093</v>
      </c>
      <c r="AJ309" s="63" t="n">
        <f aca="false">MATCH(MIN(AE309:AI309),AE309:AI309,0)</f>
        <v>3</v>
      </c>
      <c r="AL309" s="17" t="n">
        <f aca="false">SQRT(($B309-AL$270)^2+($C309-AL$271)^2+($D309-AL$272)^2)</f>
        <v>5.33575852747446</v>
      </c>
      <c r="AM309" s="17" t="n">
        <f aca="false">SQRT(($B309-AM$270)^2+($C309-AM$271)^2+($D309-AM$272)^2)</f>
        <v>2.40754126852698</v>
      </c>
      <c r="AN309" s="17" t="n">
        <f aca="false">SQRT(($B309-AN$270)^2+($C309-AN$271)^2+($D309-AN$272)^2)</f>
        <v>0.594460521476363</v>
      </c>
      <c r="AO309" s="17" t="n">
        <f aca="false">SQRT(($B309-AO$270)^2+($C309-AO$271)^2+($D309-AO$272)^2)</f>
        <v>1.27950086414699</v>
      </c>
      <c r="AP309" s="17" t="n">
        <f aca="false">SQRT(($B309-AP$270)^2+($C309-AP$271)^2+($D309-AP$272)^2)</f>
        <v>2.7914066994903</v>
      </c>
      <c r="AQ309" s="63" t="n">
        <f aca="false">MATCH(MIN(AL309:AP309),AL309:AP309,0)</f>
        <v>3</v>
      </c>
      <c r="AS309" s="17" t="n">
        <f aca="false">SQRT(($B309-AS$270)^2+($C309-AS$271)^2+($D309-AS$272)^2)</f>
        <v>5.33575852747446</v>
      </c>
      <c r="AT309" s="17" t="n">
        <f aca="false">SQRT(($B309-AT$270)^2+($C309-AT$271)^2+($D309-AT$272)^2)</f>
        <v>2.48744247340016</v>
      </c>
      <c r="AU309" s="17" t="n">
        <f aca="false">SQRT(($B309-AU$270)^2+($C309-AU$271)^2+($D309-AU$272)^2)</f>
        <v>0.615744741052517</v>
      </c>
      <c r="AV309" s="17" t="n">
        <f aca="false">SQRT(($B309-AV$270)^2+($C309-AV$271)^2+($D309-AV$272)^2)</f>
        <v>1.28853123559001</v>
      </c>
      <c r="AW309" s="17" t="n">
        <f aca="false">SQRT(($B309-AW$270)^2+($C309-AW$271)^2+($D309-AW$272)^2)</f>
        <v>2.7914066994903</v>
      </c>
      <c r="AX309" s="63" t="n">
        <f aca="false">MATCH(MIN(AS309:AW309),AS309:AW309,0)</f>
        <v>3</v>
      </c>
      <c r="AZ309" s="17" t="n">
        <f aca="false">SQRT(($B309-AZ$270)^2+($C309-AZ$271)^2+($D309-AZ$272)^2)</f>
        <v>5.33575852747446</v>
      </c>
      <c r="BA309" s="17" t="n">
        <f aca="false">SQRT(($B309-BA$270)^2+($C309-BA$271)^2+($D309-BA$272)^2)</f>
        <v>2.48744247340016</v>
      </c>
      <c r="BB309" s="17" t="n">
        <f aca="false">SQRT(($B309-BB$270)^2+($C309-BB$271)^2+($D309-BB$272)^2)</f>
        <v>0.615744741052517</v>
      </c>
      <c r="BC309" s="17" t="n">
        <f aca="false">SQRT(($B309-BC$270)^2+($C309-BC$271)^2+($D309-BC$272)^2)</f>
        <v>1.28853123559001</v>
      </c>
      <c r="BD309" s="17" t="n">
        <f aca="false">SQRT(($B309-BD$270)^2+($C309-BD$271)^2+($D309-BD$272)^2)</f>
        <v>2.7914066994903</v>
      </c>
      <c r="BE309" s="63" t="n">
        <f aca="false">MATCH(MIN(AZ309:BD309),AZ309:BD309,0)</f>
        <v>3</v>
      </c>
      <c r="BG309" s="17" t="n">
        <f aca="false">SQRT(($B309-BG$270)^2+($C309-BG$271)^2+($D309-BG$272)^2)</f>
        <v>5.33575852747446</v>
      </c>
      <c r="BH309" s="17" t="n">
        <f aca="false">SQRT(($B309-BH$270)^2+($C309-BH$271)^2+($D309-BH$272)^2)</f>
        <v>2.48744247340016</v>
      </c>
      <c r="BI309" s="17" t="n">
        <f aca="false">SQRT(($B309-BI$270)^2+($C309-BI$271)^2+($D309-BI$272)^2)</f>
        <v>0.615744741052517</v>
      </c>
      <c r="BJ309" s="17" t="n">
        <f aca="false">SQRT(($B309-BJ$270)^2+($C309-BJ$271)^2+($D309-BJ$272)^2)</f>
        <v>1.28853123559001</v>
      </c>
      <c r="BK309" s="17" t="n">
        <f aca="false">SQRT(($B309-BK$270)^2+($C309-BK$271)^2+($D309-BK$272)^2)</f>
        <v>2.7914066994903</v>
      </c>
      <c r="BL309" s="63" t="n">
        <f aca="false">MATCH(MIN(BG309:BK309),BG309:BK309,0)</f>
        <v>3</v>
      </c>
      <c r="BN309" s="17" t="n">
        <f aca="false">SQRT(($B309-BN$270)^2+($C309-BN$271)^2+($D309-BN$272)^2)</f>
        <v>5.33575852747446</v>
      </c>
      <c r="BO309" s="17" t="n">
        <f aca="false">SQRT(($B309-BO$270)^2+($C309-BO$271)^2+($D309-BO$272)^2)</f>
        <v>2.48744247340016</v>
      </c>
      <c r="BP309" s="17" t="n">
        <f aca="false">SQRT(($B309-BP$270)^2+($C309-BP$271)^2+($D309-BP$272)^2)</f>
        <v>0.615744741052517</v>
      </c>
      <c r="BQ309" s="17" t="n">
        <f aca="false">SQRT(($B309-BQ$270)^2+($C309-BQ$271)^2+($D309-BQ$272)^2)</f>
        <v>1.28853123559001</v>
      </c>
      <c r="BR309" s="17" t="n">
        <f aca="false">SQRT(($B309-BR$270)^2+($C309-BR$271)^2+($D309-BR$272)^2)</f>
        <v>2.7914066994903</v>
      </c>
      <c r="BS309" s="63" t="n">
        <f aca="false">MATCH(MIN(BN309:BR309),BN309:BR309,0)</f>
        <v>3</v>
      </c>
      <c r="BU309" s="17" t="n">
        <f aca="false">SQRT(($B309-BU$270)^2+($C309-BU$271)^2+($D309-BU$272)^2)</f>
        <v>5.33575852747446</v>
      </c>
      <c r="BV309" s="17" t="n">
        <f aca="false">SQRT(($B309-BV$270)^2+($C309-BV$271)^2+($D309-BV$272)^2)</f>
        <v>2.48744247340016</v>
      </c>
      <c r="BW309" s="17" t="n">
        <f aca="false">SQRT(($B309-BW$270)^2+($C309-BW$271)^2+($D309-BW$272)^2)</f>
        <v>0.615744741052517</v>
      </c>
      <c r="BX309" s="17" t="n">
        <f aca="false">SQRT(($B309-BX$270)^2+($C309-BX$271)^2+($D309-BX$272)^2)</f>
        <v>1.28853123559001</v>
      </c>
      <c r="BY309" s="17" t="n">
        <f aca="false">SQRT(($B309-BY$270)^2+($C309-BY$271)^2+($D309-BY$272)^2)</f>
        <v>2.7914066994903</v>
      </c>
      <c r="BZ309" s="63" t="n">
        <f aca="false">MATCH(MIN(BU309:BY309),BU309:BY309,0)</f>
        <v>3</v>
      </c>
      <c r="CB309" s="17" t="n">
        <f aca="false">SQRT(($B309-CB$270)^2+($C309-CB$271)^2+($D309-CB$272)^2)</f>
        <v>5.33575852747446</v>
      </c>
      <c r="CC309" s="17" t="n">
        <f aca="false">SQRT(($B309-CC$270)^2+($C309-CC$271)^2+($D309-CC$272)^2)</f>
        <v>2.48744247340016</v>
      </c>
      <c r="CD309" s="17" t="n">
        <f aca="false">SQRT(($B309-CD$270)^2+($C309-CD$271)^2+($D309-CD$272)^2)</f>
        <v>0.615744741052517</v>
      </c>
      <c r="CE309" s="17" t="n">
        <f aca="false">SQRT(($B309-CE$270)^2+($C309-CE$271)^2+($D309-CE$272)^2)</f>
        <v>1.28853123559001</v>
      </c>
      <c r="CF309" s="17" t="n">
        <f aca="false">SQRT(($B309-CF$270)^2+($C309-CF$271)^2+($D309-CF$272)^2)</f>
        <v>2.7914066994903</v>
      </c>
      <c r="CG309" s="63" t="n">
        <f aca="false">MATCH(MIN(CB309:CF309),CB309:CF309,0)</f>
        <v>3</v>
      </c>
      <c r="CI309" s="17" t="n">
        <f aca="false">SQRT(($B309-CI$270)^2+($C309-CI$271)^2+($D309-CI$272)^2)</f>
        <v>5.33575852747446</v>
      </c>
      <c r="CJ309" s="17" t="n">
        <f aca="false">SQRT(($B309-CJ$270)^2+($C309-CJ$271)^2+($D309-CJ$272)^2)</f>
        <v>2.48744247340016</v>
      </c>
      <c r="CK309" s="17" t="n">
        <f aca="false">SQRT(($B309-CK$270)^2+($C309-CK$271)^2+($D309-CK$272)^2)</f>
        <v>0.615744741052517</v>
      </c>
      <c r="CL309" s="17" t="n">
        <f aca="false">SQRT(($B309-CL$270)^2+($C309-CL$271)^2+($D309-CL$272)^2)</f>
        <v>1.28853123559001</v>
      </c>
      <c r="CM309" s="17" t="n">
        <f aca="false">SQRT(($B309-CM$270)^2+($C309-CM$271)^2+($D309-CM$272)^2)</f>
        <v>2.7914066994903</v>
      </c>
      <c r="CN309" s="63" t="n">
        <f aca="false">MATCH(MIN(CI309:CM309),CI309:CM309,0)</f>
        <v>3</v>
      </c>
      <c r="CP309" s="17" t="n">
        <f aca="false">SQRT(($B309-CP$270)^2+($C309-CP$271)^2+($D309-CP$272)^2)</f>
        <v>5.33575852747446</v>
      </c>
      <c r="CQ309" s="17" t="n">
        <f aca="false">SQRT(($B309-CQ$270)^2+($C309-CQ$271)^2+($D309-CQ$272)^2)</f>
        <v>2.48744247340016</v>
      </c>
      <c r="CR309" s="17" t="n">
        <f aca="false">SQRT(($B309-CR$270)^2+($C309-CR$271)^2+($D309-CR$272)^2)</f>
        <v>0.615744741052517</v>
      </c>
      <c r="CS309" s="17" t="n">
        <f aca="false">SQRT(($B309-CS$270)^2+($C309-CS$271)^2+($D309-CS$272)^2)</f>
        <v>1.28853123559001</v>
      </c>
      <c r="CT309" s="17" t="n">
        <f aca="false">SQRT(($B309-CT$270)^2+($C309-CT$271)^2+($D309-CT$272)^2)</f>
        <v>2.7914066994903</v>
      </c>
      <c r="CU309" s="63" t="n">
        <f aca="false">MATCH(MIN(CP309:CT309),CP309:CT309,0)</f>
        <v>3</v>
      </c>
      <c r="CW309" s="17" t="n">
        <f aca="false">SQRT(($B309-CW$270)^2+($C309-CW$271)^2+($D309-CW$272)^2)</f>
        <v>5.33575852747446</v>
      </c>
      <c r="CX309" s="17" t="n">
        <f aca="false">SQRT(($B309-CX$270)^2+($C309-CX$271)^2+($D309-CX$272)^2)</f>
        <v>2.48744247340016</v>
      </c>
      <c r="CY309" s="17" t="n">
        <f aca="false">SQRT(($B309-CY$270)^2+($C309-CY$271)^2+($D309-CY$272)^2)</f>
        <v>0.615744741052517</v>
      </c>
      <c r="CZ309" s="17" t="n">
        <f aca="false">SQRT(($B309-CZ$270)^2+($C309-CZ$271)^2+($D309-CZ$272)^2)</f>
        <v>1.28853123559001</v>
      </c>
      <c r="DA309" s="17" t="n">
        <f aca="false">SQRT(($B309-DA$270)^2+($C309-DA$271)^2+($D309-DA$272)^2)</f>
        <v>2.7914066994903</v>
      </c>
      <c r="DB309" s="63" t="n">
        <f aca="false">MATCH(MIN(CW309:DA309),CW309:DA309,0)</f>
        <v>3</v>
      </c>
    </row>
    <row r="310" customFormat="false" ht="15" hidden="false" customHeight="false" outlineLevel="0" collapsed="false">
      <c r="A310" s="36" t="str">
        <f aca="false">KMeans_Data!A38</f>
        <v>Shangla</v>
      </c>
      <c r="B310" s="17" t="n">
        <f aca="false">KMeans_Data!H38</f>
        <v>0.484749830332174</v>
      </c>
      <c r="C310" s="17" t="n">
        <f aca="false">KMeans_Data!I38</f>
        <v>-0.146983133929529</v>
      </c>
      <c r="D310" s="17" t="n">
        <f aca="false">KMeans_Data!J38</f>
        <v>0.552017036398812</v>
      </c>
      <c r="E310" s="63" t="n">
        <f aca="false">DB310</f>
        <v>3</v>
      </c>
      <c r="F310" s="38" t="n">
        <f aca="false">($B310-INDEX($L$270:$P$270,E310))^2+($C310-INDEX($L$271:$P$271,E310))^2+($D310-INDEX($L$272:$P$272,E310))^2</f>
        <v>0.648909087708423</v>
      </c>
      <c r="G310" s="17" t="n">
        <f aca="false">IF(COUNTIF(Distance_Matrix!$E$11:$DQ$11,$E310)&lt;=1,0,SUMIF(Distance_Matrix!$E$11:$DQ$11,$E310,Distance_Matrix!$E$47:$DQ$47)/(COUNTIF(Distance_Matrix!$E$11:$DQ$11,$E310)-1))</f>
        <v>1.0446407692328</v>
      </c>
      <c r="H310" s="17" t="n">
        <f aca="false">MIN(IF(1=$E310,1E+099,IF(COUNTIF(Distance_Matrix!$E$11:$DQ$11,1)=0,1E+099,SUMIF(Distance_Matrix!$E$11:$DQ$11,1,Distance_Matrix!$E$47:$DQ$47)/COUNTIF(Distance_Matrix!$E$11:$DQ$11,1))),IF(2=$E310,1E+099,IF(COUNTIF(Distance_Matrix!$E$11:$DQ$11,2)=0,1E+099,SUMIF(Distance_Matrix!$E$11:$DQ$11,2,Distance_Matrix!$E$47:$DQ$47)/COUNTIF(Distance_Matrix!$E$11:$DQ$11,2))),IF(3=$E310,1E+099,IF(COUNTIF(Distance_Matrix!$E$11:$DQ$11,3)=0,1E+099,SUMIF(Distance_Matrix!$E$11:$DQ$11,3,Distance_Matrix!$E$47:$DQ$47)/COUNTIF(Distance_Matrix!$E$11:$DQ$11,3))),IF(4=$E310,1E+099,IF(COUNTIF(Distance_Matrix!$E$11:$DQ$11,4)=0,1E+099,SUMIF(Distance_Matrix!$E$11:$DQ$11,4,Distance_Matrix!$E$47:$DQ$47)/COUNTIF(Distance_Matrix!$E$11:$DQ$11,4))),IF(5=$E310,1E+099,IF(COUNTIF(Distance_Matrix!$E$11:$DQ$11,5)=0,1E+099,SUMIF(Distance_Matrix!$E$11:$DQ$11,5,Distance_Matrix!$E$47:$DQ$47)/COUNTIF(Distance_Matrix!$E$11:$DQ$11,5))))</f>
        <v>1.34764794009955</v>
      </c>
      <c r="I310" s="17" t="n">
        <f aca="false">IF(COUNTIF(Distance_Matrix!$E$11:$DQ$11,$E310)&lt;=1,0,(H310-G310)/MAX(G310,H310))</f>
        <v>0.224841490014344</v>
      </c>
      <c r="X310" s="17" t="n">
        <f aca="false">SQRT(($B310-X$270)^2+($C310-X$271)^2+($D310-X$272)^2)</f>
        <v>5.70934419366739</v>
      </c>
      <c r="Y310" s="17" t="n">
        <f aca="false">SQRT(($B310-Y$270)^2+($C310-Y$271)^2+($D310-Y$272)^2)</f>
        <v>3.12009252355725</v>
      </c>
      <c r="Z310" s="17" t="n">
        <f aca="false">SQRT(($B310-Z$270)^2+($C310-Z$271)^2+($D310-Z$272)^2)</f>
        <v>1.19378157826286</v>
      </c>
      <c r="AA310" s="17" t="n">
        <f aca="false">SQRT(($B310-AA$270)^2+($C310-AA$271)^2+($D310-AA$272)^2)</f>
        <v>1.70527114410237</v>
      </c>
      <c r="AB310" s="17" t="n">
        <f aca="false">SQRT(($B310-AB$270)^2+($C310-AB$271)^2+($D310-AB$272)^2)</f>
        <v>3.5785889331999</v>
      </c>
      <c r="AC310" s="63" t="n">
        <f aca="false">MATCH(MIN(X310:AB310),X310:AB310,0)</f>
        <v>3</v>
      </c>
      <c r="AE310" s="17" t="n">
        <f aca="false">SQRT(($B310-AE$270)^2+($C310-AE$271)^2+($D310-AE$272)^2)</f>
        <v>5.61811779673699</v>
      </c>
      <c r="AF310" s="17" t="n">
        <f aca="false">SQRT(($B310-AF$270)^2+($C310-AF$271)^2+($D310-AF$272)^2)</f>
        <v>2.33389352874342</v>
      </c>
      <c r="AG310" s="17" t="n">
        <f aca="false">SQRT(($B310-AG$270)^2+($C310-AG$271)^2+($D310-AG$272)^2)</f>
        <v>0.713554369068078</v>
      </c>
      <c r="AH310" s="17" t="n">
        <f aca="false">SQRT(($B310-AH$270)^2+($C310-AH$271)^2+($D310-AH$272)^2)</f>
        <v>1.24604200123169</v>
      </c>
      <c r="AI310" s="17" t="n">
        <f aca="false">SQRT(($B310-AI$270)^2+($C310-AI$271)^2+($D310-AI$272)^2)</f>
        <v>3.36545834553495</v>
      </c>
      <c r="AJ310" s="63" t="n">
        <f aca="false">MATCH(MIN(AE310:AI310),AE310:AI310,0)</f>
        <v>3</v>
      </c>
      <c r="AL310" s="17" t="n">
        <f aca="false">SQRT(($B310-AL$270)^2+($C310-AL$271)^2+($D310-AL$272)^2)</f>
        <v>5.61811779673699</v>
      </c>
      <c r="AM310" s="17" t="n">
        <f aca="false">SQRT(($B310-AM$270)^2+($C310-AM$271)^2+($D310-AM$272)^2)</f>
        <v>2.35995571586921</v>
      </c>
      <c r="AN310" s="17" t="n">
        <f aca="false">SQRT(($B310-AN$270)^2+($C310-AN$271)^2+($D310-AN$272)^2)</f>
        <v>0.786004921006479</v>
      </c>
      <c r="AO310" s="17" t="n">
        <f aca="false">SQRT(($B310-AO$270)^2+($C310-AO$271)^2+($D310-AO$272)^2)</f>
        <v>1.16419502459515</v>
      </c>
      <c r="AP310" s="17" t="n">
        <f aca="false">SQRT(($B310-AP$270)^2+($C310-AP$271)^2+($D310-AP$272)^2)</f>
        <v>3.10594767721287</v>
      </c>
      <c r="AQ310" s="63" t="n">
        <f aca="false">MATCH(MIN(AL310:AP310),AL310:AP310,0)</f>
        <v>3</v>
      </c>
      <c r="AS310" s="17" t="n">
        <f aca="false">SQRT(($B310-AS$270)^2+($C310-AS$271)^2+($D310-AS$272)^2)</f>
        <v>5.61811779673699</v>
      </c>
      <c r="AT310" s="17" t="n">
        <f aca="false">SQRT(($B310-AT$270)^2+($C310-AT$271)^2+($D310-AT$272)^2)</f>
        <v>2.45059907969448</v>
      </c>
      <c r="AU310" s="17" t="n">
        <f aca="false">SQRT(($B310-AU$270)^2+($C310-AU$271)^2+($D310-AU$272)^2)</f>
        <v>0.805548935638564</v>
      </c>
      <c r="AV310" s="17" t="n">
        <f aca="false">SQRT(($B310-AV$270)^2+($C310-AV$271)^2+($D310-AV$272)^2)</f>
        <v>1.16884432456191</v>
      </c>
      <c r="AW310" s="17" t="n">
        <f aca="false">SQRT(($B310-AW$270)^2+($C310-AW$271)^2+($D310-AW$272)^2)</f>
        <v>3.10594767721287</v>
      </c>
      <c r="AX310" s="63" t="n">
        <f aca="false">MATCH(MIN(AS310:AW310),AS310:AW310,0)</f>
        <v>3</v>
      </c>
      <c r="AZ310" s="17" t="n">
        <f aca="false">SQRT(($B310-AZ$270)^2+($C310-AZ$271)^2+($D310-AZ$272)^2)</f>
        <v>5.61811779673699</v>
      </c>
      <c r="BA310" s="17" t="n">
        <f aca="false">SQRT(($B310-BA$270)^2+($C310-BA$271)^2+($D310-BA$272)^2)</f>
        <v>2.45059907969448</v>
      </c>
      <c r="BB310" s="17" t="n">
        <f aca="false">SQRT(($B310-BB$270)^2+($C310-BB$271)^2+($D310-BB$272)^2)</f>
        <v>0.805548935638564</v>
      </c>
      <c r="BC310" s="17" t="n">
        <f aca="false">SQRT(($B310-BC$270)^2+($C310-BC$271)^2+($D310-BC$272)^2)</f>
        <v>1.16884432456191</v>
      </c>
      <c r="BD310" s="17" t="n">
        <f aca="false">SQRT(($B310-BD$270)^2+($C310-BD$271)^2+($D310-BD$272)^2)</f>
        <v>3.10594767721287</v>
      </c>
      <c r="BE310" s="63" t="n">
        <f aca="false">MATCH(MIN(AZ310:BD310),AZ310:BD310,0)</f>
        <v>3</v>
      </c>
      <c r="BG310" s="17" t="n">
        <f aca="false">SQRT(($B310-BG$270)^2+($C310-BG$271)^2+($D310-BG$272)^2)</f>
        <v>5.61811779673699</v>
      </c>
      <c r="BH310" s="17" t="n">
        <f aca="false">SQRT(($B310-BH$270)^2+($C310-BH$271)^2+($D310-BH$272)^2)</f>
        <v>2.45059907969448</v>
      </c>
      <c r="BI310" s="17" t="n">
        <f aca="false">SQRT(($B310-BI$270)^2+($C310-BI$271)^2+($D310-BI$272)^2)</f>
        <v>0.805548935638564</v>
      </c>
      <c r="BJ310" s="17" t="n">
        <f aca="false">SQRT(($B310-BJ$270)^2+($C310-BJ$271)^2+($D310-BJ$272)^2)</f>
        <v>1.16884432456191</v>
      </c>
      <c r="BK310" s="17" t="n">
        <f aca="false">SQRT(($B310-BK$270)^2+($C310-BK$271)^2+($D310-BK$272)^2)</f>
        <v>3.10594767721287</v>
      </c>
      <c r="BL310" s="63" t="n">
        <f aca="false">MATCH(MIN(BG310:BK310),BG310:BK310,0)</f>
        <v>3</v>
      </c>
      <c r="BN310" s="17" t="n">
        <f aca="false">SQRT(($B310-BN$270)^2+($C310-BN$271)^2+($D310-BN$272)^2)</f>
        <v>5.61811779673699</v>
      </c>
      <c r="BO310" s="17" t="n">
        <f aca="false">SQRT(($B310-BO$270)^2+($C310-BO$271)^2+($D310-BO$272)^2)</f>
        <v>2.45059907969448</v>
      </c>
      <c r="BP310" s="17" t="n">
        <f aca="false">SQRT(($B310-BP$270)^2+($C310-BP$271)^2+($D310-BP$272)^2)</f>
        <v>0.805548935638564</v>
      </c>
      <c r="BQ310" s="17" t="n">
        <f aca="false">SQRT(($B310-BQ$270)^2+($C310-BQ$271)^2+($D310-BQ$272)^2)</f>
        <v>1.16884432456191</v>
      </c>
      <c r="BR310" s="17" t="n">
        <f aca="false">SQRT(($B310-BR$270)^2+($C310-BR$271)^2+($D310-BR$272)^2)</f>
        <v>3.10594767721287</v>
      </c>
      <c r="BS310" s="63" t="n">
        <f aca="false">MATCH(MIN(BN310:BR310),BN310:BR310,0)</f>
        <v>3</v>
      </c>
      <c r="BU310" s="17" t="n">
        <f aca="false">SQRT(($B310-BU$270)^2+($C310-BU$271)^2+($D310-BU$272)^2)</f>
        <v>5.61811779673699</v>
      </c>
      <c r="BV310" s="17" t="n">
        <f aca="false">SQRT(($B310-BV$270)^2+($C310-BV$271)^2+($D310-BV$272)^2)</f>
        <v>2.45059907969448</v>
      </c>
      <c r="BW310" s="17" t="n">
        <f aca="false">SQRT(($B310-BW$270)^2+($C310-BW$271)^2+($D310-BW$272)^2)</f>
        <v>0.805548935638564</v>
      </c>
      <c r="BX310" s="17" t="n">
        <f aca="false">SQRT(($B310-BX$270)^2+($C310-BX$271)^2+($D310-BX$272)^2)</f>
        <v>1.16884432456191</v>
      </c>
      <c r="BY310" s="17" t="n">
        <f aca="false">SQRT(($B310-BY$270)^2+($C310-BY$271)^2+($D310-BY$272)^2)</f>
        <v>3.10594767721287</v>
      </c>
      <c r="BZ310" s="63" t="n">
        <f aca="false">MATCH(MIN(BU310:BY310),BU310:BY310,0)</f>
        <v>3</v>
      </c>
      <c r="CB310" s="17" t="n">
        <f aca="false">SQRT(($B310-CB$270)^2+($C310-CB$271)^2+($D310-CB$272)^2)</f>
        <v>5.61811779673699</v>
      </c>
      <c r="CC310" s="17" t="n">
        <f aca="false">SQRT(($B310-CC$270)^2+($C310-CC$271)^2+($D310-CC$272)^2)</f>
        <v>2.45059907969448</v>
      </c>
      <c r="CD310" s="17" t="n">
        <f aca="false">SQRT(($B310-CD$270)^2+($C310-CD$271)^2+($D310-CD$272)^2)</f>
        <v>0.805548935638564</v>
      </c>
      <c r="CE310" s="17" t="n">
        <f aca="false">SQRT(($B310-CE$270)^2+($C310-CE$271)^2+($D310-CE$272)^2)</f>
        <v>1.16884432456191</v>
      </c>
      <c r="CF310" s="17" t="n">
        <f aca="false">SQRT(($B310-CF$270)^2+($C310-CF$271)^2+($D310-CF$272)^2)</f>
        <v>3.10594767721287</v>
      </c>
      <c r="CG310" s="63" t="n">
        <f aca="false">MATCH(MIN(CB310:CF310),CB310:CF310,0)</f>
        <v>3</v>
      </c>
      <c r="CI310" s="17" t="n">
        <f aca="false">SQRT(($B310-CI$270)^2+($C310-CI$271)^2+($D310-CI$272)^2)</f>
        <v>5.61811779673699</v>
      </c>
      <c r="CJ310" s="17" t="n">
        <f aca="false">SQRT(($B310-CJ$270)^2+($C310-CJ$271)^2+($D310-CJ$272)^2)</f>
        <v>2.45059907969448</v>
      </c>
      <c r="CK310" s="17" t="n">
        <f aca="false">SQRT(($B310-CK$270)^2+($C310-CK$271)^2+($D310-CK$272)^2)</f>
        <v>0.805548935638564</v>
      </c>
      <c r="CL310" s="17" t="n">
        <f aca="false">SQRT(($B310-CL$270)^2+($C310-CL$271)^2+($D310-CL$272)^2)</f>
        <v>1.16884432456191</v>
      </c>
      <c r="CM310" s="17" t="n">
        <f aca="false">SQRT(($B310-CM$270)^2+($C310-CM$271)^2+($D310-CM$272)^2)</f>
        <v>3.10594767721287</v>
      </c>
      <c r="CN310" s="63" t="n">
        <f aca="false">MATCH(MIN(CI310:CM310),CI310:CM310,0)</f>
        <v>3</v>
      </c>
      <c r="CP310" s="17" t="n">
        <f aca="false">SQRT(($B310-CP$270)^2+($C310-CP$271)^2+($D310-CP$272)^2)</f>
        <v>5.61811779673699</v>
      </c>
      <c r="CQ310" s="17" t="n">
        <f aca="false">SQRT(($B310-CQ$270)^2+($C310-CQ$271)^2+($D310-CQ$272)^2)</f>
        <v>2.45059907969448</v>
      </c>
      <c r="CR310" s="17" t="n">
        <f aca="false">SQRT(($B310-CR$270)^2+($C310-CR$271)^2+($D310-CR$272)^2)</f>
        <v>0.805548935638564</v>
      </c>
      <c r="CS310" s="17" t="n">
        <f aca="false">SQRT(($B310-CS$270)^2+($C310-CS$271)^2+($D310-CS$272)^2)</f>
        <v>1.16884432456191</v>
      </c>
      <c r="CT310" s="17" t="n">
        <f aca="false">SQRT(($B310-CT$270)^2+($C310-CT$271)^2+($D310-CT$272)^2)</f>
        <v>3.10594767721287</v>
      </c>
      <c r="CU310" s="63" t="n">
        <f aca="false">MATCH(MIN(CP310:CT310),CP310:CT310,0)</f>
        <v>3</v>
      </c>
      <c r="CW310" s="17" t="n">
        <f aca="false">SQRT(($B310-CW$270)^2+($C310-CW$271)^2+($D310-CW$272)^2)</f>
        <v>5.61811779673699</v>
      </c>
      <c r="CX310" s="17" t="n">
        <f aca="false">SQRT(($B310-CX$270)^2+($C310-CX$271)^2+($D310-CX$272)^2)</f>
        <v>2.45059907969448</v>
      </c>
      <c r="CY310" s="17" t="n">
        <f aca="false">SQRT(($B310-CY$270)^2+($C310-CY$271)^2+($D310-CY$272)^2)</f>
        <v>0.805548935638564</v>
      </c>
      <c r="CZ310" s="17" t="n">
        <f aca="false">SQRT(($B310-CZ$270)^2+($C310-CZ$271)^2+($D310-CZ$272)^2)</f>
        <v>1.16884432456191</v>
      </c>
      <c r="DA310" s="17" t="n">
        <f aca="false">SQRT(($B310-DA$270)^2+($C310-DA$271)^2+($D310-DA$272)^2)</f>
        <v>3.10594767721287</v>
      </c>
      <c r="DB310" s="63" t="n">
        <f aca="false">MATCH(MIN(CW310:DA310),CW310:DA310,0)</f>
        <v>3</v>
      </c>
    </row>
    <row r="311" customFormat="false" ht="15" hidden="false" customHeight="false" outlineLevel="0" collapsed="false">
      <c r="A311" s="36" t="str">
        <f aca="false">KMeans_Data!A39</f>
        <v>Mansehra</v>
      </c>
      <c r="B311" s="17" t="n">
        <f aca="false">KMeans_Data!H39</f>
        <v>0.484749830332174</v>
      </c>
      <c r="C311" s="17" t="n">
        <f aca="false">KMeans_Data!I39</f>
        <v>1.38107452085777</v>
      </c>
      <c r="D311" s="17" t="n">
        <f aca="false">KMeans_Data!J39</f>
        <v>0.307315391151031</v>
      </c>
      <c r="E311" s="63" t="n">
        <f aca="false">DB311</f>
        <v>3</v>
      </c>
      <c r="F311" s="38" t="n">
        <f aca="false">($B311-INDEX($L$270:$P$270,E311))^2+($C311-INDEX($L$271:$P$271,E311))^2+($D311-INDEX($L$272:$P$272,E311))^2</f>
        <v>0.956782352316748</v>
      </c>
      <c r="G311" s="17" t="n">
        <f aca="false">IF(COUNTIF(Distance_Matrix!$E$11:$DQ$11,$E311)&lt;=1,0,SUMIF(Distance_Matrix!$E$11:$DQ$11,$E311,Distance_Matrix!$E$48:$DQ$48)/(COUNTIF(Distance_Matrix!$E$11:$DQ$11,$E311)-1))</f>
        <v>1.18262766623127</v>
      </c>
      <c r="H311" s="17" t="n">
        <f aca="false">MIN(IF(1=$E311,1E+099,IF(COUNTIF(Distance_Matrix!$E$11:$DQ$11,1)=0,1E+099,SUMIF(Distance_Matrix!$E$11:$DQ$11,1,Distance_Matrix!$E$48:$DQ$48)/COUNTIF(Distance_Matrix!$E$11:$DQ$11,1))),IF(2=$E311,1E+099,IF(COUNTIF(Distance_Matrix!$E$11:$DQ$11,2)=0,1E+099,SUMIF(Distance_Matrix!$E$11:$DQ$11,2,Distance_Matrix!$E$48:$DQ$48)/COUNTIF(Distance_Matrix!$E$11:$DQ$11,2))),IF(3=$E311,1E+099,IF(COUNTIF(Distance_Matrix!$E$11:$DQ$11,3)=0,1E+099,SUMIF(Distance_Matrix!$E$11:$DQ$11,3,Distance_Matrix!$E$48:$DQ$48)/COUNTIF(Distance_Matrix!$E$11:$DQ$11,3))),IF(4=$E311,1E+099,IF(COUNTIF(Distance_Matrix!$E$11:$DQ$11,4)=0,1E+099,SUMIF(Distance_Matrix!$E$11:$DQ$11,4,Distance_Matrix!$E$48:$DQ$48)/COUNTIF(Distance_Matrix!$E$11:$DQ$11,4))),IF(5=$E311,1E+099,IF(COUNTIF(Distance_Matrix!$E$11:$DQ$11,5)=0,1E+099,SUMIF(Distance_Matrix!$E$11:$DQ$11,5,Distance_Matrix!$E$48:$DQ$48)/COUNTIF(Distance_Matrix!$E$11:$DQ$11,5))))</f>
        <v>2.21556244481444</v>
      </c>
      <c r="I311" s="17" t="n">
        <f aca="false">IF(COUNTIF(Distance_Matrix!$E$11:$DQ$11,$E311)&lt;=1,0,(H311-G311)/MAX(G311,H311))</f>
        <v>0.466217858585197</v>
      </c>
      <c r="X311" s="17" t="n">
        <f aca="false">SQRT(($B311-X$270)^2+($C311-X$271)^2+($D311-X$272)^2)</f>
        <v>4.84982323598635</v>
      </c>
      <c r="Y311" s="17" t="n">
        <f aca="false">SQRT(($B311-Y$270)^2+($C311-Y$271)^2+($D311-Y$272)^2)</f>
        <v>3.59241920113851</v>
      </c>
      <c r="Z311" s="17" t="n">
        <f aca="false">SQRT(($B311-Z$270)^2+($C311-Z$271)^2+($D311-Z$272)^2)</f>
        <v>1.63184412226407</v>
      </c>
      <c r="AA311" s="17" t="n">
        <f aca="false">SQRT(($B311-AA$270)^2+($C311-AA$271)^2+($D311-AA$272)^2)</f>
        <v>2.11469804278425</v>
      </c>
      <c r="AB311" s="17" t="n">
        <f aca="false">SQRT(($B311-AB$270)^2+($C311-AB$271)^2+($D311-AB$272)^2)</f>
        <v>2.93796894168663</v>
      </c>
      <c r="AC311" s="63" t="n">
        <f aca="false">MATCH(MIN(X311:AB311),X311:AB311,0)</f>
        <v>3</v>
      </c>
      <c r="AE311" s="17" t="n">
        <f aca="false">SQRT(($B311-AE$270)^2+($C311-AE$271)^2+($D311-AE$272)^2)</f>
        <v>4.70819596481593</v>
      </c>
      <c r="AF311" s="17" t="n">
        <f aca="false">SQRT(($B311-AF$270)^2+($C311-AF$271)^2+($D311-AF$272)^2)</f>
        <v>2.94332559722086</v>
      </c>
      <c r="AG311" s="17" t="n">
        <f aca="false">SQRT(($B311-AG$270)^2+($C311-AG$271)^2+($D311-AG$272)^2)</f>
        <v>1.03455844076913</v>
      </c>
      <c r="AH311" s="17" t="n">
        <f aca="false">SQRT(($B311-AH$270)^2+($C311-AH$271)^2+($D311-AH$272)^2)</f>
        <v>2.11458005495357</v>
      </c>
      <c r="AI311" s="17" t="n">
        <f aca="false">SQRT(($B311-AI$270)^2+($C311-AI$271)^2+($D311-AI$272)^2)</f>
        <v>2.47386466289979</v>
      </c>
      <c r="AJ311" s="63" t="n">
        <f aca="false">MATCH(MIN(AE311:AI311),AE311:AI311,0)</f>
        <v>3</v>
      </c>
      <c r="AL311" s="17" t="n">
        <f aca="false">SQRT(($B311-AL$270)^2+($C311-AL$271)^2+($D311-AL$272)^2)</f>
        <v>4.70819596481593</v>
      </c>
      <c r="AM311" s="17" t="n">
        <f aca="false">SQRT(($B311-AM$270)^2+($C311-AM$271)^2+($D311-AM$272)^2)</f>
        <v>2.95987137289895</v>
      </c>
      <c r="AN311" s="17" t="n">
        <f aca="false">SQRT(($B311-AN$270)^2+($C311-AN$271)^2+($D311-AN$272)^2)</f>
        <v>0.976160205437354</v>
      </c>
      <c r="AO311" s="17" t="n">
        <f aca="false">SQRT(($B311-AO$270)^2+($C311-AO$271)^2+($D311-AO$272)^2)</f>
        <v>2.09782505272706</v>
      </c>
      <c r="AP311" s="17" t="n">
        <f aca="false">SQRT(($B311-AP$270)^2+($C311-AP$271)^2+($D311-AP$272)^2)</f>
        <v>2.20232779694647</v>
      </c>
      <c r="AQ311" s="63" t="n">
        <f aca="false">MATCH(MIN(AL311:AP311),AL311:AP311,0)</f>
        <v>3</v>
      </c>
      <c r="AS311" s="17" t="n">
        <f aca="false">SQRT(($B311-AS$270)^2+($C311-AS$271)^2+($D311-AS$272)^2)</f>
        <v>4.70819596481593</v>
      </c>
      <c r="AT311" s="17" t="n">
        <f aca="false">SQRT(($B311-AT$270)^2+($C311-AT$271)^2+($D311-AT$272)^2)</f>
        <v>3.02436628399836</v>
      </c>
      <c r="AU311" s="17" t="n">
        <f aca="false">SQRT(($B311-AU$270)^2+($C311-AU$271)^2+($D311-AU$272)^2)</f>
        <v>0.978152519966466</v>
      </c>
      <c r="AV311" s="17" t="n">
        <f aca="false">SQRT(($B311-AV$270)^2+($C311-AV$271)^2+($D311-AV$272)^2)</f>
        <v>2.10021088070962</v>
      </c>
      <c r="AW311" s="17" t="n">
        <f aca="false">SQRT(($B311-AW$270)^2+($C311-AW$271)^2+($D311-AW$272)^2)</f>
        <v>2.20232779694647</v>
      </c>
      <c r="AX311" s="63" t="n">
        <f aca="false">MATCH(MIN(AS311:AW311),AS311:AW311,0)</f>
        <v>3</v>
      </c>
      <c r="AZ311" s="17" t="n">
        <f aca="false">SQRT(($B311-AZ$270)^2+($C311-AZ$271)^2+($D311-AZ$272)^2)</f>
        <v>4.70819596481593</v>
      </c>
      <c r="BA311" s="17" t="n">
        <f aca="false">SQRT(($B311-BA$270)^2+($C311-BA$271)^2+($D311-BA$272)^2)</f>
        <v>3.02436628399836</v>
      </c>
      <c r="BB311" s="17" t="n">
        <f aca="false">SQRT(($B311-BB$270)^2+($C311-BB$271)^2+($D311-BB$272)^2)</f>
        <v>0.978152519966466</v>
      </c>
      <c r="BC311" s="17" t="n">
        <f aca="false">SQRT(($B311-BC$270)^2+($C311-BC$271)^2+($D311-BC$272)^2)</f>
        <v>2.10021088070962</v>
      </c>
      <c r="BD311" s="17" t="n">
        <f aca="false">SQRT(($B311-BD$270)^2+($C311-BD$271)^2+($D311-BD$272)^2)</f>
        <v>2.20232779694647</v>
      </c>
      <c r="BE311" s="63" t="n">
        <f aca="false">MATCH(MIN(AZ311:BD311),AZ311:BD311,0)</f>
        <v>3</v>
      </c>
      <c r="BG311" s="17" t="n">
        <f aca="false">SQRT(($B311-BG$270)^2+($C311-BG$271)^2+($D311-BG$272)^2)</f>
        <v>4.70819596481593</v>
      </c>
      <c r="BH311" s="17" t="n">
        <f aca="false">SQRT(($B311-BH$270)^2+($C311-BH$271)^2+($D311-BH$272)^2)</f>
        <v>3.02436628399836</v>
      </c>
      <c r="BI311" s="17" t="n">
        <f aca="false">SQRT(($B311-BI$270)^2+($C311-BI$271)^2+($D311-BI$272)^2)</f>
        <v>0.978152519966466</v>
      </c>
      <c r="BJ311" s="17" t="n">
        <f aca="false">SQRT(($B311-BJ$270)^2+($C311-BJ$271)^2+($D311-BJ$272)^2)</f>
        <v>2.10021088070962</v>
      </c>
      <c r="BK311" s="17" t="n">
        <f aca="false">SQRT(($B311-BK$270)^2+($C311-BK$271)^2+($D311-BK$272)^2)</f>
        <v>2.20232779694647</v>
      </c>
      <c r="BL311" s="63" t="n">
        <f aca="false">MATCH(MIN(BG311:BK311),BG311:BK311,0)</f>
        <v>3</v>
      </c>
      <c r="BN311" s="17" t="n">
        <f aca="false">SQRT(($B311-BN$270)^2+($C311-BN$271)^2+($D311-BN$272)^2)</f>
        <v>4.70819596481593</v>
      </c>
      <c r="BO311" s="17" t="n">
        <f aca="false">SQRT(($B311-BO$270)^2+($C311-BO$271)^2+($D311-BO$272)^2)</f>
        <v>3.02436628399836</v>
      </c>
      <c r="BP311" s="17" t="n">
        <f aca="false">SQRT(($B311-BP$270)^2+($C311-BP$271)^2+($D311-BP$272)^2)</f>
        <v>0.978152519966466</v>
      </c>
      <c r="BQ311" s="17" t="n">
        <f aca="false">SQRT(($B311-BQ$270)^2+($C311-BQ$271)^2+($D311-BQ$272)^2)</f>
        <v>2.10021088070962</v>
      </c>
      <c r="BR311" s="17" t="n">
        <f aca="false">SQRT(($B311-BR$270)^2+($C311-BR$271)^2+($D311-BR$272)^2)</f>
        <v>2.20232779694647</v>
      </c>
      <c r="BS311" s="63" t="n">
        <f aca="false">MATCH(MIN(BN311:BR311),BN311:BR311,0)</f>
        <v>3</v>
      </c>
      <c r="BU311" s="17" t="n">
        <f aca="false">SQRT(($B311-BU$270)^2+($C311-BU$271)^2+($D311-BU$272)^2)</f>
        <v>4.70819596481593</v>
      </c>
      <c r="BV311" s="17" t="n">
        <f aca="false">SQRT(($B311-BV$270)^2+($C311-BV$271)^2+($D311-BV$272)^2)</f>
        <v>3.02436628399836</v>
      </c>
      <c r="BW311" s="17" t="n">
        <f aca="false">SQRT(($B311-BW$270)^2+($C311-BW$271)^2+($D311-BW$272)^2)</f>
        <v>0.978152519966466</v>
      </c>
      <c r="BX311" s="17" t="n">
        <f aca="false">SQRT(($B311-BX$270)^2+($C311-BX$271)^2+($D311-BX$272)^2)</f>
        <v>2.10021088070962</v>
      </c>
      <c r="BY311" s="17" t="n">
        <f aca="false">SQRT(($B311-BY$270)^2+($C311-BY$271)^2+($D311-BY$272)^2)</f>
        <v>2.20232779694647</v>
      </c>
      <c r="BZ311" s="63" t="n">
        <f aca="false">MATCH(MIN(BU311:BY311),BU311:BY311,0)</f>
        <v>3</v>
      </c>
      <c r="CB311" s="17" t="n">
        <f aca="false">SQRT(($B311-CB$270)^2+($C311-CB$271)^2+($D311-CB$272)^2)</f>
        <v>4.70819596481593</v>
      </c>
      <c r="CC311" s="17" t="n">
        <f aca="false">SQRT(($B311-CC$270)^2+($C311-CC$271)^2+($D311-CC$272)^2)</f>
        <v>3.02436628399836</v>
      </c>
      <c r="CD311" s="17" t="n">
        <f aca="false">SQRT(($B311-CD$270)^2+($C311-CD$271)^2+($D311-CD$272)^2)</f>
        <v>0.978152519966466</v>
      </c>
      <c r="CE311" s="17" t="n">
        <f aca="false">SQRT(($B311-CE$270)^2+($C311-CE$271)^2+($D311-CE$272)^2)</f>
        <v>2.10021088070962</v>
      </c>
      <c r="CF311" s="17" t="n">
        <f aca="false">SQRT(($B311-CF$270)^2+($C311-CF$271)^2+($D311-CF$272)^2)</f>
        <v>2.20232779694647</v>
      </c>
      <c r="CG311" s="63" t="n">
        <f aca="false">MATCH(MIN(CB311:CF311),CB311:CF311,0)</f>
        <v>3</v>
      </c>
      <c r="CI311" s="17" t="n">
        <f aca="false">SQRT(($B311-CI$270)^2+($C311-CI$271)^2+($D311-CI$272)^2)</f>
        <v>4.70819596481593</v>
      </c>
      <c r="CJ311" s="17" t="n">
        <f aca="false">SQRT(($B311-CJ$270)^2+($C311-CJ$271)^2+($D311-CJ$272)^2)</f>
        <v>3.02436628399836</v>
      </c>
      <c r="CK311" s="17" t="n">
        <f aca="false">SQRT(($B311-CK$270)^2+($C311-CK$271)^2+($D311-CK$272)^2)</f>
        <v>0.978152519966466</v>
      </c>
      <c r="CL311" s="17" t="n">
        <f aca="false">SQRT(($B311-CL$270)^2+($C311-CL$271)^2+($D311-CL$272)^2)</f>
        <v>2.10021088070962</v>
      </c>
      <c r="CM311" s="17" t="n">
        <f aca="false">SQRT(($B311-CM$270)^2+($C311-CM$271)^2+($D311-CM$272)^2)</f>
        <v>2.20232779694647</v>
      </c>
      <c r="CN311" s="63" t="n">
        <f aca="false">MATCH(MIN(CI311:CM311),CI311:CM311,0)</f>
        <v>3</v>
      </c>
      <c r="CP311" s="17" t="n">
        <f aca="false">SQRT(($B311-CP$270)^2+($C311-CP$271)^2+($D311-CP$272)^2)</f>
        <v>4.70819596481593</v>
      </c>
      <c r="CQ311" s="17" t="n">
        <f aca="false">SQRT(($B311-CQ$270)^2+($C311-CQ$271)^2+($D311-CQ$272)^2)</f>
        <v>3.02436628399836</v>
      </c>
      <c r="CR311" s="17" t="n">
        <f aca="false">SQRT(($B311-CR$270)^2+($C311-CR$271)^2+($D311-CR$272)^2)</f>
        <v>0.978152519966466</v>
      </c>
      <c r="CS311" s="17" t="n">
        <f aca="false">SQRT(($B311-CS$270)^2+($C311-CS$271)^2+($D311-CS$272)^2)</f>
        <v>2.10021088070962</v>
      </c>
      <c r="CT311" s="17" t="n">
        <f aca="false">SQRT(($B311-CT$270)^2+($C311-CT$271)^2+($D311-CT$272)^2)</f>
        <v>2.20232779694647</v>
      </c>
      <c r="CU311" s="63" t="n">
        <f aca="false">MATCH(MIN(CP311:CT311),CP311:CT311,0)</f>
        <v>3</v>
      </c>
      <c r="CW311" s="17" t="n">
        <f aca="false">SQRT(($B311-CW$270)^2+($C311-CW$271)^2+($D311-CW$272)^2)</f>
        <v>4.70819596481593</v>
      </c>
      <c r="CX311" s="17" t="n">
        <f aca="false">SQRT(($B311-CX$270)^2+($C311-CX$271)^2+($D311-CX$272)^2)</f>
        <v>3.02436628399836</v>
      </c>
      <c r="CY311" s="17" t="n">
        <f aca="false">SQRT(($B311-CY$270)^2+($C311-CY$271)^2+($D311-CY$272)^2)</f>
        <v>0.978152519966466</v>
      </c>
      <c r="CZ311" s="17" t="n">
        <f aca="false">SQRT(($B311-CZ$270)^2+($C311-CZ$271)^2+($D311-CZ$272)^2)</f>
        <v>2.10021088070962</v>
      </c>
      <c r="DA311" s="17" t="n">
        <f aca="false">SQRT(($B311-DA$270)^2+($C311-DA$271)^2+($D311-DA$272)^2)</f>
        <v>2.20232779694647</v>
      </c>
      <c r="DB311" s="63" t="n">
        <f aca="false">MATCH(MIN(CW311:DA311),CW311:DA311,0)</f>
        <v>3</v>
      </c>
    </row>
    <row r="312" customFormat="false" ht="15" hidden="false" customHeight="false" outlineLevel="0" collapsed="false">
      <c r="A312" s="36" t="str">
        <f aca="false">KMeans_Data!A40</f>
        <v>Swabi</v>
      </c>
      <c r="B312" s="17" t="n">
        <f aca="false">KMeans_Data!H40</f>
        <v>0.453667759197148</v>
      </c>
      <c r="C312" s="17" t="n">
        <f aca="false">KMeans_Data!I40</f>
        <v>1.14585991869933</v>
      </c>
      <c r="D312" s="17" t="n">
        <f aca="false">KMeans_Data!J40</f>
        <v>0.719667253181963</v>
      </c>
      <c r="E312" s="63" t="n">
        <f aca="false">DB312</f>
        <v>3</v>
      </c>
      <c r="F312" s="38" t="n">
        <f aca="false">($B312-INDEX($L$270:$P$270,E312))^2+($C312-INDEX($L$271:$P$271,E312))^2+($D312-INDEX($L$272:$P$272,E312))^2</f>
        <v>0.360879904962777</v>
      </c>
      <c r="G312" s="17" t="n">
        <f aca="false">IF(COUNTIF(Distance_Matrix!$E$11:$DQ$11,$E312)&lt;=1,0,SUMIF(Distance_Matrix!$E$11:$DQ$11,$E312,Distance_Matrix!$E$49:$DQ$49)/(COUNTIF(Distance_Matrix!$E$11:$DQ$11,$E312)-1))</f>
        <v>0.91418583494404</v>
      </c>
      <c r="H312" s="17" t="n">
        <f aca="false">MIN(IF(1=$E312,1E+099,IF(COUNTIF(Distance_Matrix!$E$11:$DQ$11,1)=0,1E+099,SUMIF(Distance_Matrix!$E$11:$DQ$11,1,Distance_Matrix!$E$49:$DQ$49)/COUNTIF(Distance_Matrix!$E$11:$DQ$11,1))),IF(2=$E312,1E+099,IF(COUNTIF(Distance_Matrix!$E$11:$DQ$11,2)=0,1E+099,SUMIF(Distance_Matrix!$E$11:$DQ$11,2,Distance_Matrix!$E$49:$DQ$49)/COUNTIF(Distance_Matrix!$E$11:$DQ$11,2))),IF(3=$E312,1E+099,IF(COUNTIF(Distance_Matrix!$E$11:$DQ$11,3)=0,1E+099,SUMIF(Distance_Matrix!$E$11:$DQ$11,3,Distance_Matrix!$E$49:$DQ$49)/COUNTIF(Distance_Matrix!$E$11:$DQ$11,3))),IF(4=$E312,1E+099,IF(COUNTIF(Distance_Matrix!$E$11:$DQ$11,4)=0,1E+099,SUMIF(Distance_Matrix!$E$11:$DQ$11,4,Distance_Matrix!$E$49:$DQ$49)/COUNTIF(Distance_Matrix!$E$11:$DQ$11,4))),IF(5=$E312,1E+099,IF(COUNTIF(Distance_Matrix!$E$11:$DQ$11,5)=0,1E+099,SUMIF(Distance_Matrix!$E$11:$DQ$11,5,Distance_Matrix!$E$49:$DQ$49)/COUNTIF(Distance_Matrix!$E$11:$DQ$11,5))))</f>
        <v>2.16929338245773</v>
      </c>
      <c r="I312" s="17" t="n">
        <f aca="false">IF(COUNTIF(Distance_Matrix!$E$11:$DQ$11,$E312)&lt;=1,0,(H312-G312)/MAX(G312,H312))</f>
        <v>0.578578977681524</v>
      </c>
      <c r="X312" s="17" t="n">
        <f aca="false">SQRT(($B312-X$270)^2+($C312-X$271)^2+($D312-X$272)^2)</f>
        <v>4.76882981559524</v>
      </c>
      <c r="Y312" s="17" t="n">
        <f aca="false">SQRT(($B312-Y$270)^2+($C312-Y$271)^2+($D312-Y$272)^2)</f>
        <v>3.6338012413689</v>
      </c>
      <c r="Z312" s="17" t="n">
        <f aca="false">SQRT(($B312-Z$270)^2+($C312-Z$271)^2+($D312-Z$272)^2)</f>
        <v>1.22181615707812</v>
      </c>
      <c r="AA312" s="17" t="n">
        <f aca="false">SQRT(($B312-AA$270)^2+($C312-AA$271)^2+($D312-AA$272)^2)</f>
        <v>2.27765135589093</v>
      </c>
      <c r="AB312" s="17" t="n">
        <f aca="false">SQRT(($B312-AB$270)^2+($C312-AB$271)^2+($D312-AB$272)^2)</f>
        <v>2.77512689651968</v>
      </c>
      <c r="AC312" s="63" t="n">
        <f aca="false">MATCH(MIN(X312:AB312),X312:AB312,0)</f>
        <v>3</v>
      </c>
      <c r="AE312" s="17" t="n">
        <f aca="false">SQRT(($B312-AE$270)^2+($C312-AE$271)^2+($D312-AE$272)^2)</f>
        <v>4.65306471939811</v>
      </c>
      <c r="AF312" s="17" t="n">
        <f aca="false">SQRT(($B312-AF$270)^2+($C312-AF$271)^2+($D312-AF$272)^2)</f>
        <v>2.97483321612279</v>
      </c>
      <c r="AG312" s="17" t="n">
        <f aca="false">SQRT(($B312-AG$270)^2+($C312-AG$271)^2+($D312-AG$272)^2)</f>
        <v>0.664714927954851</v>
      </c>
      <c r="AH312" s="17" t="n">
        <f aca="false">SQRT(($B312-AH$270)^2+($C312-AH$271)^2+($D312-AH$272)^2)</f>
        <v>2.11217487514297</v>
      </c>
      <c r="AI312" s="17" t="n">
        <f aca="false">SQRT(($B312-AI$270)^2+($C312-AI$271)^2+($D312-AI$272)^2)</f>
        <v>2.40197743560858</v>
      </c>
      <c r="AJ312" s="63" t="n">
        <f aca="false">MATCH(MIN(AE312:AI312),AE312:AI312,0)</f>
        <v>3</v>
      </c>
      <c r="AL312" s="17" t="n">
        <f aca="false">SQRT(($B312-AL$270)^2+($C312-AL$271)^2+($D312-AL$272)^2)</f>
        <v>4.65306471939811</v>
      </c>
      <c r="AM312" s="17" t="n">
        <f aca="false">SQRT(($B312-AM$270)^2+($C312-AM$271)^2+($D312-AM$272)^2)</f>
        <v>2.99823316968467</v>
      </c>
      <c r="AN312" s="17" t="n">
        <f aca="false">SQRT(($B312-AN$270)^2+($C312-AN$271)^2+($D312-AN$272)^2)</f>
        <v>0.603033842252781</v>
      </c>
      <c r="AO312" s="17" t="n">
        <f aca="false">SQRT(($B312-AO$270)^2+($C312-AO$271)^2+($D312-AO$272)^2)</f>
        <v>2.06950678554288</v>
      </c>
      <c r="AP312" s="17" t="n">
        <f aca="false">SQRT(($B312-AP$270)^2+($C312-AP$271)^2+($D312-AP$272)^2)</f>
        <v>2.12550256318382</v>
      </c>
      <c r="AQ312" s="63" t="n">
        <f aca="false">MATCH(MIN(AL312:AP312),AL312:AP312,0)</f>
        <v>3</v>
      </c>
      <c r="AS312" s="17" t="n">
        <f aca="false">SQRT(($B312-AS$270)^2+($C312-AS$271)^2+($D312-AS$272)^2)</f>
        <v>4.65306471939811</v>
      </c>
      <c r="AT312" s="17" t="n">
        <f aca="false">SQRT(($B312-AT$270)^2+($C312-AT$271)^2+($D312-AT$272)^2)</f>
        <v>3.07349683686746</v>
      </c>
      <c r="AU312" s="17" t="n">
        <f aca="false">SQRT(($B312-AU$270)^2+($C312-AU$271)^2+($D312-AU$272)^2)</f>
        <v>0.600732806631016</v>
      </c>
      <c r="AV312" s="17" t="n">
        <f aca="false">SQRT(($B312-AV$270)^2+($C312-AV$271)^2+($D312-AV$272)^2)</f>
        <v>2.06715580179756</v>
      </c>
      <c r="AW312" s="17" t="n">
        <f aca="false">SQRT(($B312-AW$270)^2+($C312-AW$271)^2+($D312-AW$272)^2)</f>
        <v>2.12550256318382</v>
      </c>
      <c r="AX312" s="63" t="n">
        <f aca="false">MATCH(MIN(AS312:AW312),AS312:AW312,0)</f>
        <v>3</v>
      </c>
      <c r="AZ312" s="17" t="n">
        <f aca="false">SQRT(($B312-AZ$270)^2+($C312-AZ$271)^2+($D312-AZ$272)^2)</f>
        <v>4.65306471939811</v>
      </c>
      <c r="BA312" s="17" t="n">
        <f aca="false">SQRT(($B312-BA$270)^2+($C312-BA$271)^2+($D312-BA$272)^2)</f>
        <v>3.07349683686746</v>
      </c>
      <c r="BB312" s="17" t="n">
        <f aca="false">SQRT(($B312-BB$270)^2+($C312-BB$271)^2+($D312-BB$272)^2)</f>
        <v>0.600732806631016</v>
      </c>
      <c r="BC312" s="17" t="n">
        <f aca="false">SQRT(($B312-BC$270)^2+($C312-BC$271)^2+($D312-BC$272)^2)</f>
        <v>2.06715580179756</v>
      </c>
      <c r="BD312" s="17" t="n">
        <f aca="false">SQRT(($B312-BD$270)^2+($C312-BD$271)^2+($D312-BD$272)^2)</f>
        <v>2.12550256318382</v>
      </c>
      <c r="BE312" s="63" t="n">
        <f aca="false">MATCH(MIN(AZ312:BD312),AZ312:BD312,0)</f>
        <v>3</v>
      </c>
      <c r="BG312" s="17" t="n">
        <f aca="false">SQRT(($B312-BG$270)^2+($C312-BG$271)^2+($D312-BG$272)^2)</f>
        <v>4.65306471939811</v>
      </c>
      <c r="BH312" s="17" t="n">
        <f aca="false">SQRT(($B312-BH$270)^2+($C312-BH$271)^2+($D312-BH$272)^2)</f>
        <v>3.07349683686746</v>
      </c>
      <c r="BI312" s="17" t="n">
        <f aca="false">SQRT(($B312-BI$270)^2+($C312-BI$271)^2+($D312-BI$272)^2)</f>
        <v>0.600732806631016</v>
      </c>
      <c r="BJ312" s="17" t="n">
        <f aca="false">SQRT(($B312-BJ$270)^2+($C312-BJ$271)^2+($D312-BJ$272)^2)</f>
        <v>2.06715580179756</v>
      </c>
      <c r="BK312" s="17" t="n">
        <f aca="false">SQRT(($B312-BK$270)^2+($C312-BK$271)^2+($D312-BK$272)^2)</f>
        <v>2.12550256318382</v>
      </c>
      <c r="BL312" s="63" t="n">
        <f aca="false">MATCH(MIN(BG312:BK312),BG312:BK312,0)</f>
        <v>3</v>
      </c>
      <c r="BN312" s="17" t="n">
        <f aca="false">SQRT(($B312-BN$270)^2+($C312-BN$271)^2+($D312-BN$272)^2)</f>
        <v>4.65306471939811</v>
      </c>
      <c r="BO312" s="17" t="n">
        <f aca="false">SQRT(($B312-BO$270)^2+($C312-BO$271)^2+($D312-BO$272)^2)</f>
        <v>3.07349683686746</v>
      </c>
      <c r="BP312" s="17" t="n">
        <f aca="false">SQRT(($B312-BP$270)^2+($C312-BP$271)^2+($D312-BP$272)^2)</f>
        <v>0.600732806631016</v>
      </c>
      <c r="BQ312" s="17" t="n">
        <f aca="false">SQRT(($B312-BQ$270)^2+($C312-BQ$271)^2+($D312-BQ$272)^2)</f>
        <v>2.06715580179756</v>
      </c>
      <c r="BR312" s="17" t="n">
        <f aca="false">SQRT(($B312-BR$270)^2+($C312-BR$271)^2+($D312-BR$272)^2)</f>
        <v>2.12550256318382</v>
      </c>
      <c r="BS312" s="63" t="n">
        <f aca="false">MATCH(MIN(BN312:BR312),BN312:BR312,0)</f>
        <v>3</v>
      </c>
      <c r="BU312" s="17" t="n">
        <f aca="false">SQRT(($B312-BU$270)^2+($C312-BU$271)^2+($D312-BU$272)^2)</f>
        <v>4.65306471939811</v>
      </c>
      <c r="BV312" s="17" t="n">
        <f aca="false">SQRT(($B312-BV$270)^2+($C312-BV$271)^2+($D312-BV$272)^2)</f>
        <v>3.07349683686746</v>
      </c>
      <c r="BW312" s="17" t="n">
        <f aca="false">SQRT(($B312-BW$270)^2+($C312-BW$271)^2+($D312-BW$272)^2)</f>
        <v>0.600732806631016</v>
      </c>
      <c r="BX312" s="17" t="n">
        <f aca="false">SQRT(($B312-BX$270)^2+($C312-BX$271)^2+($D312-BX$272)^2)</f>
        <v>2.06715580179756</v>
      </c>
      <c r="BY312" s="17" t="n">
        <f aca="false">SQRT(($B312-BY$270)^2+($C312-BY$271)^2+($D312-BY$272)^2)</f>
        <v>2.12550256318382</v>
      </c>
      <c r="BZ312" s="63" t="n">
        <f aca="false">MATCH(MIN(BU312:BY312),BU312:BY312,0)</f>
        <v>3</v>
      </c>
      <c r="CB312" s="17" t="n">
        <f aca="false">SQRT(($B312-CB$270)^2+($C312-CB$271)^2+($D312-CB$272)^2)</f>
        <v>4.65306471939811</v>
      </c>
      <c r="CC312" s="17" t="n">
        <f aca="false">SQRT(($B312-CC$270)^2+($C312-CC$271)^2+($D312-CC$272)^2)</f>
        <v>3.07349683686746</v>
      </c>
      <c r="CD312" s="17" t="n">
        <f aca="false">SQRT(($B312-CD$270)^2+($C312-CD$271)^2+($D312-CD$272)^2)</f>
        <v>0.600732806631016</v>
      </c>
      <c r="CE312" s="17" t="n">
        <f aca="false">SQRT(($B312-CE$270)^2+($C312-CE$271)^2+($D312-CE$272)^2)</f>
        <v>2.06715580179756</v>
      </c>
      <c r="CF312" s="17" t="n">
        <f aca="false">SQRT(($B312-CF$270)^2+($C312-CF$271)^2+($D312-CF$272)^2)</f>
        <v>2.12550256318382</v>
      </c>
      <c r="CG312" s="63" t="n">
        <f aca="false">MATCH(MIN(CB312:CF312),CB312:CF312,0)</f>
        <v>3</v>
      </c>
      <c r="CI312" s="17" t="n">
        <f aca="false">SQRT(($B312-CI$270)^2+($C312-CI$271)^2+($D312-CI$272)^2)</f>
        <v>4.65306471939811</v>
      </c>
      <c r="CJ312" s="17" t="n">
        <f aca="false">SQRT(($B312-CJ$270)^2+($C312-CJ$271)^2+($D312-CJ$272)^2)</f>
        <v>3.07349683686746</v>
      </c>
      <c r="CK312" s="17" t="n">
        <f aca="false">SQRT(($B312-CK$270)^2+($C312-CK$271)^2+($D312-CK$272)^2)</f>
        <v>0.600732806631016</v>
      </c>
      <c r="CL312" s="17" t="n">
        <f aca="false">SQRT(($B312-CL$270)^2+($C312-CL$271)^2+($D312-CL$272)^2)</f>
        <v>2.06715580179756</v>
      </c>
      <c r="CM312" s="17" t="n">
        <f aca="false">SQRT(($B312-CM$270)^2+($C312-CM$271)^2+($D312-CM$272)^2)</f>
        <v>2.12550256318382</v>
      </c>
      <c r="CN312" s="63" t="n">
        <f aca="false">MATCH(MIN(CI312:CM312),CI312:CM312,0)</f>
        <v>3</v>
      </c>
      <c r="CP312" s="17" t="n">
        <f aca="false">SQRT(($B312-CP$270)^2+($C312-CP$271)^2+($D312-CP$272)^2)</f>
        <v>4.65306471939811</v>
      </c>
      <c r="CQ312" s="17" t="n">
        <f aca="false">SQRT(($B312-CQ$270)^2+($C312-CQ$271)^2+($D312-CQ$272)^2)</f>
        <v>3.07349683686746</v>
      </c>
      <c r="CR312" s="17" t="n">
        <f aca="false">SQRT(($B312-CR$270)^2+($C312-CR$271)^2+($D312-CR$272)^2)</f>
        <v>0.600732806631016</v>
      </c>
      <c r="CS312" s="17" t="n">
        <f aca="false">SQRT(($B312-CS$270)^2+($C312-CS$271)^2+($D312-CS$272)^2)</f>
        <v>2.06715580179756</v>
      </c>
      <c r="CT312" s="17" t="n">
        <f aca="false">SQRT(($B312-CT$270)^2+($C312-CT$271)^2+($D312-CT$272)^2)</f>
        <v>2.12550256318382</v>
      </c>
      <c r="CU312" s="63" t="n">
        <f aca="false">MATCH(MIN(CP312:CT312),CP312:CT312,0)</f>
        <v>3</v>
      </c>
      <c r="CW312" s="17" t="n">
        <f aca="false">SQRT(($B312-CW$270)^2+($C312-CW$271)^2+($D312-CW$272)^2)</f>
        <v>4.65306471939811</v>
      </c>
      <c r="CX312" s="17" t="n">
        <f aca="false">SQRT(($B312-CX$270)^2+($C312-CX$271)^2+($D312-CX$272)^2)</f>
        <v>3.07349683686746</v>
      </c>
      <c r="CY312" s="17" t="n">
        <f aca="false">SQRT(($B312-CY$270)^2+($C312-CY$271)^2+($D312-CY$272)^2)</f>
        <v>0.600732806631016</v>
      </c>
      <c r="CZ312" s="17" t="n">
        <f aca="false">SQRT(($B312-CZ$270)^2+($C312-CZ$271)^2+($D312-CZ$272)^2)</f>
        <v>2.06715580179756</v>
      </c>
      <c r="DA312" s="17" t="n">
        <f aca="false">SQRT(($B312-DA$270)^2+($C312-DA$271)^2+($D312-DA$272)^2)</f>
        <v>2.12550256318382</v>
      </c>
      <c r="DB312" s="63" t="n">
        <f aca="false">MATCH(MIN(CW312:DA312),CW312:DA312,0)</f>
        <v>3</v>
      </c>
    </row>
    <row r="313" customFormat="false" ht="15" hidden="false" customHeight="false" outlineLevel="0" collapsed="false">
      <c r="A313" s="36" t="str">
        <f aca="false">KMeans_Data!A41</f>
        <v>Haripur</v>
      </c>
      <c r="B313" s="17" t="n">
        <f aca="false">KMeans_Data!H41</f>
        <v>0.433254553932755</v>
      </c>
      <c r="C313" s="17" t="n">
        <f aca="false">KMeans_Data!I41</f>
        <v>0.378684277529216</v>
      </c>
      <c r="D313" s="17" t="n">
        <f aca="false">KMeans_Data!J41</f>
        <v>0.539980232203984</v>
      </c>
      <c r="E313" s="63" t="n">
        <f aca="false">DB313</f>
        <v>3</v>
      </c>
      <c r="F313" s="38" t="n">
        <f aca="false">($B313-INDEX($L$270:$P$270,E313))^2+($C313-INDEX($L$271:$P$271,E313))^2+($D313-INDEX($L$272:$P$272,E313))^2</f>
        <v>0.179270602937937</v>
      </c>
      <c r="G313" s="17" t="n">
        <f aca="false">IF(COUNTIF(Distance_Matrix!$E$11:$DQ$11,$E313)&lt;=1,0,SUMIF(Distance_Matrix!$E$11:$DQ$11,$E313,Distance_Matrix!$E$50:$DQ$50)/(COUNTIF(Distance_Matrix!$E$11:$DQ$11,$E313)-1))</f>
        <v>0.829609704499383</v>
      </c>
      <c r="H313" s="17" t="n">
        <f aca="false">MIN(IF(1=$E313,1E+099,IF(COUNTIF(Distance_Matrix!$E$11:$DQ$11,1)=0,1E+099,SUMIF(Distance_Matrix!$E$11:$DQ$11,1,Distance_Matrix!$E$50:$DQ$50)/COUNTIF(Distance_Matrix!$E$11:$DQ$11,1))),IF(2=$E313,1E+099,IF(COUNTIF(Distance_Matrix!$E$11:$DQ$11,2)=0,1E+099,SUMIF(Distance_Matrix!$E$11:$DQ$11,2,Distance_Matrix!$E$50:$DQ$50)/COUNTIF(Distance_Matrix!$E$11:$DQ$11,2))),IF(3=$E313,1E+099,IF(COUNTIF(Distance_Matrix!$E$11:$DQ$11,3)=0,1E+099,SUMIF(Distance_Matrix!$E$11:$DQ$11,3,Distance_Matrix!$E$50:$DQ$50)/COUNTIF(Distance_Matrix!$E$11:$DQ$11,3))),IF(4=$E313,1E+099,IF(COUNTIF(Distance_Matrix!$E$11:$DQ$11,4)=0,1E+099,SUMIF(Distance_Matrix!$E$11:$DQ$11,4,Distance_Matrix!$E$50:$DQ$50)/COUNTIF(Distance_Matrix!$E$11:$DQ$11,4))),IF(5=$E313,1E+099,IF(COUNTIF(Distance_Matrix!$E$11:$DQ$11,5)=0,1E+099,SUMIF(Distance_Matrix!$E$11:$DQ$11,5,Distance_Matrix!$E$50:$DQ$50)/COUNTIF(Distance_Matrix!$E$11:$DQ$11,5))))</f>
        <v>1.54586015062084</v>
      </c>
      <c r="I313" s="17" t="n">
        <f aca="false">IF(COUNTIF(Distance_Matrix!$E$11:$DQ$11,$E313)&lt;=1,0,(H313-G313)/MAX(G313,H313))</f>
        <v>0.463334568676086</v>
      </c>
      <c r="X313" s="17" t="n">
        <f aca="false">SQRT(($B313-X$270)^2+($C313-X$271)^2+($D313-X$272)^2)</f>
        <v>5.36910920761941</v>
      </c>
      <c r="Y313" s="17" t="n">
        <f aca="false">SQRT(($B313-Y$270)^2+($C313-Y$271)^2+($D313-Y$272)^2)</f>
        <v>3.20339910703097</v>
      </c>
      <c r="Z313" s="17" t="n">
        <f aca="false">SQRT(($B313-Z$270)^2+($C313-Z$271)^2+($D313-Z$272)^2)</f>
        <v>1.10932638375685</v>
      </c>
      <c r="AA313" s="17" t="n">
        <f aca="false">SQRT(($B313-AA$270)^2+($C313-AA$271)^2+($D313-AA$272)^2)</f>
        <v>1.77841988658411</v>
      </c>
      <c r="AB313" s="17" t="n">
        <f aca="false">SQRT(($B313-AB$270)^2+($C313-AB$271)^2+($D313-AB$272)^2)</f>
        <v>3.27969587270695</v>
      </c>
      <c r="AC313" s="63" t="n">
        <f aca="false">MATCH(MIN(X313:AB313),X313:AB313,0)</f>
        <v>3</v>
      </c>
      <c r="AE313" s="17" t="n">
        <f aca="false">SQRT(($B313-AE$270)^2+($C313-AE$271)^2+($D313-AE$272)^2)</f>
        <v>5.2653409757746</v>
      </c>
      <c r="AF313" s="17" t="n">
        <f aca="false">SQRT(($B313-AF$270)^2+($C313-AF$271)^2+($D313-AF$272)^2)</f>
        <v>2.45877135796883</v>
      </c>
      <c r="AG313" s="17" t="n">
        <f aca="false">SQRT(($B313-AG$270)^2+($C313-AG$271)^2+($D313-AG$272)^2)</f>
        <v>0.348649820652222</v>
      </c>
      <c r="AH313" s="17" t="n">
        <f aca="false">SQRT(($B313-AH$270)^2+($C313-AH$271)^2+($D313-AH$272)^2)</f>
        <v>1.45240214664285</v>
      </c>
      <c r="AI313" s="17" t="n">
        <f aca="false">SQRT(($B313-AI$270)^2+($C313-AI$271)^2+($D313-AI$272)^2)</f>
        <v>2.99631795733178</v>
      </c>
      <c r="AJ313" s="63" t="n">
        <f aca="false">MATCH(MIN(AE313:AI313),AE313:AI313,0)</f>
        <v>3</v>
      </c>
      <c r="AL313" s="17" t="n">
        <f aca="false">SQRT(($B313-AL$270)^2+($C313-AL$271)^2+($D313-AL$272)^2)</f>
        <v>5.2653409757746</v>
      </c>
      <c r="AM313" s="17" t="n">
        <f aca="false">SQRT(($B313-AM$270)^2+($C313-AM$271)^2+($D313-AM$272)^2)</f>
        <v>2.4834603638097</v>
      </c>
      <c r="AN313" s="17" t="n">
        <f aca="false">SQRT(($B313-AN$270)^2+($C313-AN$271)^2+($D313-AN$272)^2)</f>
        <v>0.397309240214997</v>
      </c>
      <c r="AO313" s="17" t="n">
        <f aca="false">SQRT(($B313-AO$270)^2+($C313-AO$271)^2+($D313-AO$272)^2)</f>
        <v>1.39178049568661</v>
      </c>
      <c r="AP313" s="17" t="n">
        <f aca="false">SQRT(($B313-AP$270)^2+($C313-AP$271)^2+($D313-AP$272)^2)</f>
        <v>2.72717009014473</v>
      </c>
      <c r="AQ313" s="63" t="n">
        <f aca="false">MATCH(MIN(AL313:AP313),AL313:AP313,0)</f>
        <v>3</v>
      </c>
      <c r="AS313" s="17" t="n">
        <f aca="false">SQRT(($B313-AS$270)^2+($C313-AS$271)^2+($D313-AS$272)^2)</f>
        <v>5.2653409757746</v>
      </c>
      <c r="AT313" s="17" t="n">
        <f aca="false">SQRT(($B313-AT$270)^2+($C313-AT$271)^2+($D313-AT$272)^2)</f>
        <v>2.5679601868475</v>
      </c>
      <c r="AU313" s="17" t="n">
        <f aca="false">SQRT(($B313-AU$270)^2+($C313-AU$271)^2+($D313-AU$272)^2)</f>
        <v>0.423403593440039</v>
      </c>
      <c r="AV313" s="17" t="n">
        <f aca="false">SQRT(($B313-AV$270)^2+($C313-AV$271)^2+($D313-AV$272)^2)</f>
        <v>1.39264632720739</v>
      </c>
      <c r="AW313" s="17" t="n">
        <f aca="false">SQRT(($B313-AW$270)^2+($C313-AW$271)^2+($D313-AW$272)^2)</f>
        <v>2.72717009014473</v>
      </c>
      <c r="AX313" s="63" t="n">
        <f aca="false">MATCH(MIN(AS313:AW313),AS313:AW313,0)</f>
        <v>3</v>
      </c>
      <c r="AZ313" s="17" t="n">
        <f aca="false">SQRT(($B313-AZ$270)^2+($C313-AZ$271)^2+($D313-AZ$272)^2)</f>
        <v>5.2653409757746</v>
      </c>
      <c r="BA313" s="17" t="n">
        <f aca="false">SQRT(($B313-BA$270)^2+($C313-BA$271)^2+($D313-BA$272)^2)</f>
        <v>2.5679601868475</v>
      </c>
      <c r="BB313" s="17" t="n">
        <f aca="false">SQRT(($B313-BB$270)^2+($C313-BB$271)^2+($D313-BB$272)^2)</f>
        <v>0.423403593440039</v>
      </c>
      <c r="BC313" s="17" t="n">
        <f aca="false">SQRT(($B313-BC$270)^2+($C313-BC$271)^2+($D313-BC$272)^2)</f>
        <v>1.39264632720739</v>
      </c>
      <c r="BD313" s="17" t="n">
        <f aca="false">SQRT(($B313-BD$270)^2+($C313-BD$271)^2+($D313-BD$272)^2)</f>
        <v>2.72717009014473</v>
      </c>
      <c r="BE313" s="63" t="n">
        <f aca="false">MATCH(MIN(AZ313:BD313),AZ313:BD313,0)</f>
        <v>3</v>
      </c>
      <c r="BG313" s="17" t="n">
        <f aca="false">SQRT(($B313-BG$270)^2+($C313-BG$271)^2+($D313-BG$272)^2)</f>
        <v>5.2653409757746</v>
      </c>
      <c r="BH313" s="17" t="n">
        <f aca="false">SQRT(($B313-BH$270)^2+($C313-BH$271)^2+($D313-BH$272)^2)</f>
        <v>2.5679601868475</v>
      </c>
      <c r="BI313" s="17" t="n">
        <f aca="false">SQRT(($B313-BI$270)^2+($C313-BI$271)^2+($D313-BI$272)^2)</f>
        <v>0.423403593440039</v>
      </c>
      <c r="BJ313" s="17" t="n">
        <f aca="false">SQRT(($B313-BJ$270)^2+($C313-BJ$271)^2+($D313-BJ$272)^2)</f>
        <v>1.39264632720739</v>
      </c>
      <c r="BK313" s="17" t="n">
        <f aca="false">SQRT(($B313-BK$270)^2+($C313-BK$271)^2+($D313-BK$272)^2)</f>
        <v>2.72717009014473</v>
      </c>
      <c r="BL313" s="63" t="n">
        <f aca="false">MATCH(MIN(BG313:BK313),BG313:BK313,0)</f>
        <v>3</v>
      </c>
      <c r="BN313" s="17" t="n">
        <f aca="false">SQRT(($B313-BN$270)^2+($C313-BN$271)^2+($D313-BN$272)^2)</f>
        <v>5.2653409757746</v>
      </c>
      <c r="BO313" s="17" t="n">
        <f aca="false">SQRT(($B313-BO$270)^2+($C313-BO$271)^2+($D313-BO$272)^2)</f>
        <v>2.5679601868475</v>
      </c>
      <c r="BP313" s="17" t="n">
        <f aca="false">SQRT(($B313-BP$270)^2+($C313-BP$271)^2+($D313-BP$272)^2)</f>
        <v>0.423403593440039</v>
      </c>
      <c r="BQ313" s="17" t="n">
        <f aca="false">SQRT(($B313-BQ$270)^2+($C313-BQ$271)^2+($D313-BQ$272)^2)</f>
        <v>1.39264632720739</v>
      </c>
      <c r="BR313" s="17" t="n">
        <f aca="false">SQRT(($B313-BR$270)^2+($C313-BR$271)^2+($D313-BR$272)^2)</f>
        <v>2.72717009014473</v>
      </c>
      <c r="BS313" s="63" t="n">
        <f aca="false">MATCH(MIN(BN313:BR313),BN313:BR313,0)</f>
        <v>3</v>
      </c>
      <c r="BU313" s="17" t="n">
        <f aca="false">SQRT(($B313-BU$270)^2+($C313-BU$271)^2+($D313-BU$272)^2)</f>
        <v>5.2653409757746</v>
      </c>
      <c r="BV313" s="17" t="n">
        <f aca="false">SQRT(($B313-BV$270)^2+($C313-BV$271)^2+($D313-BV$272)^2)</f>
        <v>2.5679601868475</v>
      </c>
      <c r="BW313" s="17" t="n">
        <f aca="false">SQRT(($B313-BW$270)^2+($C313-BW$271)^2+($D313-BW$272)^2)</f>
        <v>0.423403593440039</v>
      </c>
      <c r="BX313" s="17" t="n">
        <f aca="false">SQRT(($B313-BX$270)^2+($C313-BX$271)^2+($D313-BX$272)^2)</f>
        <v>1.39264632720739</v>
      </c>
      <c r="BY313" s="17" t="n">
        <f aca="false">SQRT(($B313-BY$270)^2+($C313-BY$271)^2+($D313-BY$272)^2)</f>
        <v>2.72717009014473</v>
      </c>
      <c r="BZ313" s="63" t="n">
        <f aca="false">MATCH(MIN(BU313:BY313),BU313:BY313,0)</f>
        <v>3</v>
      </c>
      <c r="CB313" s="17" t="n">
        <f aca="false">SQRT(($B313-CB$270)^2+($C313-CB$271)^2+($D313-CB$272)^2)</f>
        <v>5.2653409757746</v>
      </c>
      <c r="CC313" s="17" t="n">
        <f aca="false">SQRT(($B313-CC$270)^2+($C313-CC$271)^2+($D313-CC$272)^2)</f>
        <v>2.5679601868475</v>
      </c>
      <c r="CD313" s="17" t="n">
        <f aca="false">SQRT(($B313-CD$270)^2+($C313-CD$271)^2+($D313-CD$272)^2)</f>
        <v>0.423403593440039</v>
      </c>
      <c r="CE313" s="17" t="n">
        <f aca="false">SQRT(($B313-CE$270)^2+($C313-CE$271)^2+($D313-CE$272)^2)</f>
        <v>1.39264632720739</v>
      </c>
      <c r="CF313" s="17" t="n">
        <f aca="false">SQRT(($B313-CF$270)^2+($C313-CF$271)^2+($D313-CF$272)^2)</f>
        <v>2.72717009014473</v>
      </c>
      <c r="CG313" s="63" t="n">
        <f aca="false">MATCH(MIN(CB313:CF313),CB313:CF313,0)</f>
        <v>3</v>
      </c>
      <c r="CI313" s="17" t="n">
        <f aca="false">SQRT(($B313-CI$270)^2+($C313-CI$271)^2+($D313-CI$272)^2)</f>
        <v>5.2653409757746</v>
      </c>
      <c r="CJ313" s="17" t="n">
        <f aca="false">SQRT(($B313-CJ$270)^2+($C313-CJ$271)^2+($D313-CJ$272)^2)</f>
        <v>2.5679601868475</v>
      </c>
      <c r="CK313" s="17" t="n">
        <f aca="false">SQRT(($B313-CK$270)^2+($C313-CK$271)^2+($D313-CK$272)^2)</f>
        <v>0.423403593440039</v>
      </c>
      <c r="CL313" s="17" t="n">
        <f aca="false">SQRT(($B313-CL$270)^2+($C313-CL$271)^2+($D313-CL$272)^2)</f>
        <v>1.39264632720739</v>
      </c>
      <c r="CM313" s="17" t="n">
        <f aca="false">SQRT(($B313-CM$270)^2+($C313-CM$271)^2+($D313-CM$272)^2)</f>
        <v>2.72717009014473</v>
      </c>
      <c r="CN313" s="63" t="n">
        <f aca="false">MATCH(MIN(CI313:CM313),CI313:CM313,0)</f>
        <v>3</v>
      </c>
      <c r="CP313" s="17" t="n">
        <f aca="false">SQRT(($B313-CP$270)^2+($C313-CP$271)^2+($D313-CP$272)^2)</f>
        <v>5.2653409757746</v>
      </c>
      <c r="CQ313" s="17" t="n">
        <f aca="false">SQRT(($B313-CQ$270)^2+($C313-CQ$271)^2+($D313-CQ$272)^2)</f>
        <v>2.5679601868475</v>
      </c>
      <c r="CR313" s="17" t="n">
        <f aca="false">SQRT(($B313-CR$270)^2+($C313-CR$271)^2+($D313-CR$272)^2)</f>
        <v>0.423403593440039</v>
      </c>
      <c r="CS313" s="17" t="n">
        <f aca="false">SQRT(($B313-CS$270)^2+($C313-CS$271)^2+($D313-CS$272)^2)</f>
        <v>1.39264632720739</v>
      </c>
      <c r="CT313" s="17" t="n">
        <f aca="false">SQRT(($B313-CT$270)^2+($C313-CT$271)^2+($D313-CT$272)^2)</f>
        <v>2.72717009014473</v>
      </c>
      <c r="CU313" s="63" t="n">
        <f aca="false">MATCH(MIN(CP313:CT313),CP313:CT313,0)</f>
        <v>3</v>
      </c>
      <c r="CW313" s="17" t="n">
        <f aca="false">SQRT(($B313-CW$270)^2+($C313-CW$271)^2+($D313-CW$272)^2)</f>
        <v>5.2653409757746</v>
      </c>
      <c r="CX313" s="17" t="n">
        <f aca="false">SQRT(($B313-CX$270)^2+($C313-CX$271)^2+($D313-CX$272)^2)</f>
        <v>2.5679601868475</v>
      </c>
      <c r="CY313" s="17" t="n">
        <f aca="false">SQRT(($B313-CY$270)^2+($C313-CY$271)^2+($D313-CY$272)^2)</f>
        <v>0.423403593440039</v>
      </c>
      <c r="CZ313" s="17" t="n">
        <f aca="false">SQRT(($B313-CZ$270)^2+($C313-CZ$271)^2+($D313-CZ$272)^2)</f>
        <v>1.39264632720739</v>
      </c>
      <c r="DA313" s="17" t="n">
        <f aca="false">SQRT(($B313-DA$270)^2+($C313-DA$271)^2+($D313-DA$272)^2)</f>
        <v>2.72717009014473</v>
      </c>
      <c r="DB313" s="63" t="n">
        <f aca="false">MATCH(MIN(CW313:DA313),CW313:DA313,0)</f>
        <v>3</v>
      </c>
    </row>
    <row r="314" customFormat="false" ht="15" hidden="false" customHeight="false" outlineLevel="0" collapsed="false">
      <c r="A314" s="36" t="str">
        <f aca="false">KMeans_Data!A42</f>
        <v>Battagram</v>
      </c>
      <c r="B314" s="17" t="n">
        <f aca="false">KMeans_Data!H42</f>
        <v>0.429074049388274</v>
      </c>
      <c r="C314" s="17" t="n">
        <f aca="false">KMeans_Data!I42</f>
        <v>0.378684277529216</v>
      </c>
      <c r="D314" s="17" t="n">
        <f aca="false">KMeans_Data!J42</f>
        <v>0.460346385840384</v>
      </c>
      <c r="E314" s="63" t="n">
        <f aca="false">DB314</f>
        <v>3</v>
      </c>
      <c r="F314" s="38" t="n">
        <f aca="false">($B314-INDEX($L$270:$P$270,E314))^2+($C314-INDEX($L$271:$P$271,E314))^2+($D314-INDEX($L$272:$P$272,E314))^2</f>
        <v>0.23819896405273</v>
      </c>
      <c r="G314" s="17" t="n">
        <f aca="false">IF(COUNTIF(Distance_Matrix!$E$11:$DQ$11,$E314)&lt;=1,0,SUMIF(Distance_Matrix!$E$11:$DQ$11,$E314,Distance_Matrix!$E$51:$DQ$51)/(COUNTIF(Distance_Matrix!$E$11:$DQ$11,$E314)-1))</f>
        <v>0.859077268754258</v>
      </c>
      <c r="H314" s="17" t="n">
        <f aca="false">MIN(IF(1=$E314,1E+099,IF(COUNTIF(Distance_Matrix!$E$11:$DQ$11,1)=0,1E+099,SUMIF(Distance_Matrix!$E$11:$DQ$11,1,Distance_Matrix!$E$51:$DQ$51)/COUNTIF(Distance_Matrix!$E$11:$DQ$11,1))),IF(2=$E314,1E+099,IF(COUNTIF(Distance_Matrix!$E$11:$DQ$11,2)=0,1E+099,SUMIF(Distance_Matrix!$E$11:$DQ$11,2,Distance_Matrix!$E$51:$DQ$51)/COUNTIF(Distance_Matrix!$E$11:$DQ$11,2))),IF(3=$E314,1E+099,IF(COUNTIF(Distance_Matrix!$E$11:$DQ$11,3)=0,1E+099,SUMIF(Distance_Matrix!$E$11:$DQ$11,3,Distance_Matrix!$E$51:$DQ$51)/COUNTIF(Distance_Matrix!$E$11:$DQ$11,3))),IF(4=$E314,1E+099,IF(COUNTIF(Distance_Matrix!$E$11:$DQ$11,4)=0,1E+099,SUMIF(Distance_Matrix!$E$11:$DQ$11,4,Distance_Matrix!$E$51:$DQ$51)/COUNTIF(Distance_Matrix!$E$11:$DQ$11,4))),IF(5=$E314,1E+099,IF(COUNTIF(Distance_Matrix!$E$11:$DQ$11,5)=0,1E+099,SUMIF(Distance_Matrix!$E$11:$DQ$11,5,Distance_Matrix!$E$51:$DQ$51)/COUNTIF(Distance_Matrix!$E$11:$DQ$11,5))))</f>
        <v>1.50141662315048</v>
      </c>
      <c r="I314" s="17" t="n">
        <f aca="false">IF(COUNTIF(Distance_Matrix!$E$11:$DQ$11,$E314)&lt;=1,0,(H314-G314)/MAX(G314,H314))</f>
        <v>0.427822194380914</v>
      </c>
      <c r="X314" s="17" t="n">
        <f aca="false">SQRT(($B314-X$270)^2+($C314-X$271)^2+($D314-X$272)^2)</f>
        <v>5.41197722243839</v>
      </c>
      <c r="Y314" s="17" t="n">
        <f aca="false">SQRT(($B314-Y$270)^2+($C314-Y$271)^2+($D314-Y$272)^2)</f>
        <v>3.15889984184424</v>
      </c>
      <c r="Z314" s="17" t="n">
        <f aca="false">SQRT(($B314-Z$270)^2+($C314-Z$271)^2+($D314-Z$272)^2)</f>
        <v>1.179067995595</v>
      </c>
      <c r="AA314" s="17" t="n">
        <f aca="false">SQRT(($B314-AA$270)^2+($C314-AA$271)^2+($D314-AA$272)^2)</f>
        <v>1.70365690541111</v>
      </c>
      <c r="AB314" s="17" t="n">
        <f aca="false">SQRT(($B314-AB$270)^2+($C314-AB$271)^2+($D314-AB$272)^2)</f>
        <v>3.32727360805455</v>
      </c>
      <c r="AC314" s="63" t="n">
        <f aca="false">MATCH(MIN(X314:AB314),X314:AB314,0)</f>
        <v>3</v>
      </c>
      <c r="AE314" s="17" t="n">
        <f aca="false">SQRT(($B314-AE$270)^2+($C314-AE$271)^2+($D314-AE$272)^2)</f>
        <v>5.30474428132097</v>
      </c>
      <c r="AF314" s="17" t="n">
        <f aca="false">SQRT(($B314-AF$270)^2+($C314-AF$271)^2+($D314-AF$272)^2)</f>
        <v>2.40893454541226</v>
      </c>
      <c r="AG314" s="17" t="n">
        <f aca="false">SQRT(($B314-AG$270)^2+($C314-AG$271)^2+($D314-AG$272)^2)</f>
        <v>0.421448589090182</v>
      </c>
      <c r="AH314" s="17" t="n">
        <f aca="false">SQRT(($B314-AH$270)^2+($C314-AH$271)^2+($D314-AH$272)^2)</f>
        <v>1.39421220202858</v>
      </c>
      <c r="AI314" s="17" t="n">
        <f aca="false">SQRT(($B314-AI$270)^2+($C314-AI$271)^2+($D314-AI$272)^2)</f>
        <v>3.03264594341083</v>
      </c>
      <c r="AJ314" s="63" t="n">
        <f aca="false">MATCH(MIN(AE314:AI314),AE314:AI314,0)</f>
        <v>3</v>
      </c>
      <c r="AL314" s="17" t="n">
        <f aca="false">SQRT(($B314-AL$270)^2+($C314-AL$271)^2+($D314-AL$272)^2)</f>
        <v>5.30474428132097</v>
      </c>
      <c r="AM314" s="17" t="n">
        <f aca="false">SQRT(($B314-AM$270)^2+($C314-AM$271)^2+($D314-AM$272)^2)</f>
        <v>2.43249514672383</v>
      </c>
      <c r="AN314" s="17" t="n">
        <f aca="false">SQRT(($B314-AN$270)^2+($C314-AN$271)^2+($D314-AN$272)^2)</f>
        <v>0.462665180129724</v>
      </c>
      <c r="AO314" s="17" t="n">
        <f aca="false">SQRT(($B314-AO$270)^2+($C314-AO$271)^2+($D314-AO$272)^2)</f>
        <v>1.33782538257271</v>
      </c>
      <c r="AP314" s="17" t="n">
        <f aca="false">SQRT(($B314-AP$270)^2+($C314-AP$271)^2+($D314-AP$272)^2)</f>
        <v>2.76316368260028</v>
      </c>
      <c r="AQ314" s="63" t="n">
        <f aca="false">MATCH(MIN(AL314:AP314),AL314:AP314,0)</f>
        <v>3</v>
      </c>
      <c r="AS314" s="17" t="n">
        <f aca="false">SQRT(($B314-AS$270)^2+($C314-AS$271)^2+($D314-AS$272)^2)</f>
        <v>5.30474428132097</v>
      </c>
      <c r="AT314" s="17" t="n">
        <f aca="false">SQRT(($B314-AT$270)^2+($C314-AT$271)^2+($D314-AT$272)^2)</f>
        <v>2.51583658272009</v>
      </c>
      <c r="AU314" s="17" t="n">
        <f aca="false">SQRT(($B314-AU$270)^2+($C314-AU$271)^2+($D314-AU$272)^2)</f>
        <v>0.488056312378736</v>
      </c>
      <c r="AV314" s="17" t="n">
        <f aca="false">SQRT(($B314-AV$270)^2+($C314-AV$271)^2+($D314-AV$272)^2)</f>
        <v>1.33991995504492</v>
      </c>
      <c r="AW314" s="17" t="n">
        <f aca="false">SQRT(($B314-AW$270)^2+($C314-AW$271)^2+($D314-AW$272)^2)</f>
        <v>2.76316368260028</v>
      </c>
      <c r="AX314" s="63" t="n">
        <f aca="false">MATCH(MIN(AS314:AW314),AS314:AW314,0)</f>
        <v>3</v>
      </c>
      <c r="AZ314" s="17" t="n">
        <f aca="false">SQRT(($B314-AZ$270)^2+($C314-AZ$271)^2+($D314-AZ$272)^2)</f>
        <v>5.30474428132097</v>
      </c>
      <c r="BA314" s="17" t="n">
        <f aca="false">SQRT(($B314-BA$270)^2+($C314-BA$271)^2+($D314-BA$272)^2)</f>
        <v>2.51583658272009</v>
      </c>
      <c r="BB314" s="17" t="n">
        <f aca="false">SQRT(($B314-BB$270)^2+($C314-BB$271)^2+($D314-BB$272)^2)</f>
        <v>0.488056312378736</v>
      </c>
      <c r="BC314" s="17" t="n">
        <f aca="false">SQRT(($B314-BC$270)^2+($C314-BC$271)^2+($D314-BC$272)^2)</f>
        <v>1.33991995504492</v>
      </c>
      <c r="BD314" s="17" t="n">
        <f aca="false">SQRT(($B314-BD$270)^2+($C314-BD$271)^2+($D314-BD$272)^2)</f>
        <v>2.76316368260028</v>
      </c>
      <c r="BE314" s="63" t="n">
        <f aca="false">MATCH(MIN(AZ314:BD314),AZ314:BD314,0)</f>
        <v>3</v>
      </c>
      <c r="BG314" s="17" t="n">
        <f aca="false">SQRT(($B314-BG$270)^2+($C314-BG$271)^2+($D314-BG$272)^2)</f>
        <v>5.30474428132097</v>
      </c>
      <c r="BH314" s="17" t="n">
        <f aca="false">SQRT(($B314-BH$270)^2+($C314-BH$271)^2+($D314-BH$272)^2)</f>
        <v>2.51583658272009</v>
      </c>
      <c r="BI314" s="17" t="n">
        <f aca="false">SQRT(($B314-BI$270)^2+($C314-BI$271)^2+($D314-BI$272)^2)</f>
        <v>0.488056312378736</v>
      </c>
      <c r="BJ314" s="17" t="n">
        <f aca="false">SQRT(($B314-BJ$270)^2+($C314-BJ$271)^2+($D314-BJ$272)^2)</f>
        <v>1.33991995504492</v>
      </c>
      <c r="BK314" s="17" t="n">
        <f aca="false">SQRT(($B314-BK$270)^2+($C314-BK$271)^2+($D314-BK$272)^2)</f>
        <v>2.76316368260028</v>
      </c>
      <c r="BL314" s="63" t="n">
        <f aca="false">MATCH(MIN(BG314:BK314),BG314:BK314,0)</f>
        <v>3</v>
      </c>
      <c r="BN314" s="17" t="n">
        <f aca="false">SQRT(($B314-BN$270)^2+($C314-BN$271)^2+($D314-BN$272)^2)</f>
        <v>5.30474428132097</v>
      </c>
      <c r="BO314" s="17" t="n">
        <f aca="false">SQRT(($B314-BO$270)^2+($C314-BO$271)^2+($D314-BO$272)^2)</f>
        <v>2.51583658272009</v>
      </c>
      <c r="BP314" s="17" t="n">
        <f aca="false">SQRT(($B314-BP$270)^2+($C314-BP$271)^2+($D314-BP$272)^2)</f>
        <v>0.488056312378736</v>
      </c>
      <c r="BQ314" s="17" t="n">
        <f aca="false">SQRT(($B314-BQ$270)^2+($C314-BQ$271)^2+($D314-BQ$272)^2)</f>
        <v>1.33991995504492</v>
      </c>
      <c r="BR314" s="17" t="n">
        <f aca="false">SQRT(($B314-BR$270)^2+($C314-BR$271)^2+($D314-BR$272)^2)</f>
        <v>2.76316368260028</v>
      </c>
      <c r="BS314" s="63" t="n">
        <f aca="false">MATCH(MIN(BN314:BR314),BN314:BR314,0)</f>
        <v>3</v>
      </c>
      <c r="BU314" s="17" t="n">
        <f aca="false">SQRT(($B314-BU$270)^2+($C314-BU$271)^2+($D314-BU$272)^2)</f>
        <v>5.30474428132097</v>
      </c>
      <c r="BV314" s="17" t="n">
        <f aca="false">SQRT(($B314-BV$270)^2+($C314-BV$271)^2+($D314-BV$272)^2)</f>
        <v>2.51583658272009</v>
      </c>
      <c r="BW314" s="17" t="n">
        <f aca="false">SQRT(($B314-BW$270)^2+($C314-BW$271)^2+($D314-BW$272)^2)</f>
        <v>0.488056312378736</v>
      </c>
      <c r="BX314" s="17" t="n">
        <f aca="false">SQRT(($B314-BX$270)^2+($C314-BX$271)^2+($D314-BX$272)^2)</f>
        <v>1.33991995504492</v>
      </c>
      <c r="BY314" s="17" t="n">
        <f aca="false">SQRT(($B314-BY$270)^2+($C314-BY$271)^2+($D314-BY$272)^2)</f>
        <v>2.76316368260028</v>
      </c>
      <c r="BZ314" s="63" t="n">
        <f aca="false">MATCH(MIN(BU314:BY314),BU314:BY314,0)</f>
        <v>3</v>
      </c>
      <c r="CB314" s="17" t="n">
        <f aca="false">SQRT(($B314-CB$270)^2+($C314-CB$271)^2+($D314-CB$272)^2)</f>
        <v>5.30474428132097</v>
      </c>
      <c r="CC314" s="17" t="n">
        <f aca="false">SQRT(($B314-CC$270)^2+($C314-CC$271)^2+($D314-CC$272)^2)</f>
        <v>2.51583658272009</v>
      </c>
      <c r="CD314" s="17" t="n">
        <f aca="false">SQRT(($B314-CD$270)^2+($C314-CD$271)^2+($D314-CD$272)^2)</f>
        <v>0.488056312378736</v>
      </c>
      <c r="CE314" s="17" t="n">
        <f aca="false">SQRT(($B314-CE$270)^2+($C314-CE$271)^2+($D314-CE$272)^2)</f>
        <v>1.33991995504492</v>
      </c>
      <c r="CF314" s="17" t="n">
        <f aca="false">SQRT(($B314-CF$270)^2+($C314-CF$271)^2+($D314-CF$272)^2)</f>
        <v>2.76316368260028</v>
      </c>
      <c r="CG314" s="63" t="n">
        <f aca="false">MATCH(MIN(CB314:CF314),CB314:CF314,0)</f>
        <v>3</v>
      </c>
      <c r="CI314" s="17" t="n">
        <f aca="false">SQRT(($B314-CI$270)^2+($C314-CI$271)^2+($D314-CI$272)^2)</f>
        <v>5.30474428132097</v>
      </c>
      <c r="CJ314" s="17" t="n">
        <f aca="false">SQRT(($B314-CJ$270)^2+($C314-CJ$271)^2+($D314-CJ$272)^2)</f>
        <v>2.51583658272009</v>
      </c>
      <c r="CK314" s="17" t="n">
        <f aca="false">SQRT(($B314-CK$270)^2+($C314-CK$271)^2+($D314-CK$272)^2)</f>
        <v>0.488056312378736</v>
      </c>
      <c r="CL314" s="17" t="n">
        <f aca="false">SQRT(($B314-CL$270)^2+($C314-CL$271)^2+($D314-CL$272)^2)</f>
        <v>1.33991995504492</v>
      </c>
      <c r="CM314" s="17" t="n">
        <f aca="false">SQRT(($B314-CM$270)^2+($C314-CM$271)^2+($D314-CM$272)^2)</f>
        <v>2.76316368260028</v>
      </c>
      <c r="CN314" s="63" t="n">
        <f aca="false">MATCH(MIN(CI314:CM314),CI314:CM314,0)</f>
        <v>3</v>
      </c>
      <c r="CP314" s="17" t="n">
        <f aca="false">SQRT(($B314-CP$270)^2+($C314-CP$271)^2+($D314-CP$272)^2)</f>
        <v>5.30474428132097</v>
      </c>
      <c r="CQ314" s="17" t="n">
        <f aca="false">SQRT(($B314-CQ$270)^2+($C314-CQ$271)^2+($D314-CQ$272)^2)</f>
        <v>2.51583658272009</v>
      </c>
      <c r="CR314" s="17" t="n">
        <f aca="false">SQRT(($B314-CR$270)^2+($C314-CR$271)^2+($D314-CR$272)^2)</f>
        <v>0.488056312378736</v>
      </c>
      <c r="CS314" s="17" t="n">
        <f aca="false">SQRT(($B314-CS$270)^2+($C314-CS$271)^2+($D314-CS$272)^2)</f>
        <v>1.33991995504492</v>
      </c>
      <c r="CT314" s="17" t="n">
        <f aca="false">SQRT(($B314-CT$270)^2+($C314-CT$271)^2+($D314-CT$272)^2)</f>
        <v>2.76316368260028</v>
      </c>
      <c r="CU314" s="63" t="n">
        <f aca="false">MATCH(MIN(CP314:CT314),CP314:CT314,0)</f>
        <v>3</v>
      </c>
      <c r="CW314" s="17" t="n">
        <f aca="false">SQRT(($B314-CW$270)^2+($C314-CW$271)^2+($D314-CW$272)^2)</f>
        <v>5.30474428132097</v>
      </c>
      <c r="CX314" s="17" t="n">
        <f aca="false">SQRT(($B314-CX$270)^2+($C314-CX$271)^2+($D314-CX$272)^2)</f>
        <v>2.51583658272009</v>
      </c>
      <c r="CY314" s="17" t="n">
        <f aca="false">SQRT(($B314-CY$270)^2+($C314-CY$271)^2+($D314-CY$272)^2)</f>
        <v>0.488056312378736</v>
      </c>
      <c r="CZ314" s="17" t="n">
        <f aca="false">SQRT(($B314-CZ$270)^2+($C314-CZ$271)^2+($D314-CZ$272)^2)</f>
        <v>1.33991995504492</v>
      </c>
      <c r="DA314" s="17" t="n">
        <f aca="false">SQRT(($B314-DA$270)^2+($C314-DA$271)^2+($D314-DA$272)^2)</f>
        <v>2.76316368260028</v>
      </c>
      <c r="DB314" s="63" t="n">
        <f aca="false">MATCH(MIN(CW314:DA314),CW314:DA314,0)</f>
        <v>3</v>
      </c>
    </row>
    <row r="315" customFormat="false" ht="15" hidden="false" customHeight="false" outlineLevel="0" collapsed="false">
      <c r="A315" s="36" t="str">
        <f aca="false">KMeans_Data!A43</f>
        <v>Kohat</v>
      </c>
      <c r="B315" s="17" t="n">
        <f aca="false">KMeans_Data!H43</f>
        <v>0.407652506674014</v>
      </c>
      <c r="C315" s="17" t="n">
        <f aca="false">KMeans_Data!I43</f>
        <v>1.27255002250608</v>
      </c>
      <c r="D315" s="17" t="n">
        <f aca="false">KMeans_Data!J43</f>
        <v>0.628513491585819</v>
      </c>
      <c r="E315" s="63" t="n">
        <f aca="false">DB315</f>
        <v>3</v>
      </c>
      <c r="F315" s="38" t="n">
        <f aca="false">($B315-INDEX($L$270:$P$270,E315))^2+($C315-INDEX($L$271:$P$271,E315))^2+($D315-INDEX($L$272:$P$272,E315))^2</f>
        <v>0.570123864217481</v>
      </c>
      <c r="G315" s="17" t="n">
        <f aca="false">IF(COUNTIF(Distance_Matrix!$E$11:$DQ$11,$E315)&lt;=1,0,SUMIF(Distance_Matrix!$E$11:$DQ$11,$E315,Distance_Matrix!$E$52:$DQ$52)/(COUNTIF(Distance_Matrix!$E$11:$DQ$11,$E315)-1))</f>
        <v>1.00887554722354</v>
      </c>
      <c r="H315" s="17" t="n">
        <f aca="false">MIN(IF(1=$E315,1E+099,IF(COUNTIF(Distance_Matrix!$E$11:$DQ$11,1)=0,1E+099,SUMIF(Distance_Matrix!$E$11:$DQ$11,1,Distance_Matrix!$E$52:$DQ$52)/COUNTIF(Distance_Matrix!$E$11:$DQ$11,1))),IF(2=$E315,1E+099,IF(COUNTIF(Distance_Matrix!$E$11:$DQ$11,2)=0,1E+099,SUMIF(Distance_Matrix!$E$11:$DQ$11,2,Distance_Matrix!$E$52:$DQ$52)/COUNTIF(Distance_Matrix!$E$11:$DQ$11,2))),IF(3=$E315,1E+099,IF(COUNTIF(Distance_Matrix!$E$11:$DQ$11,3)=0,1E+099,SUMIF(Distance_Matrix!$E$11:$DQ$11,3,Distance_Matrix!$E$52:$DQ$52)/COUNTIF(Distance_Matrix!$E$11:$DQ$11,3))),IF(4=$E315,1E+099,IF(COUNTIF(Distance_Matrix!$E$11:$DQ$11,4)=0,1E+099,SUMIF(Distance_Matrix!$E$11:$DQ$11,4,Distance_Matrix!$E$52:$DQ$52)/COUNTIF(Distance_Matrix!$E$11:$DQ$11,4))),IF(5=$E315,1E+099,IF(COUNTIF(Distance_Matrix!$E$11:$DQ$11,5)=0,1E+099,SUMIF(Distance_Matrix!$E$11:$DQ$11,5,Distance_Matrix!$E$52:$DQ$52)/COUNTIF(Distance_Matrix!$E$11:$DQ$11,5))))</f>
        <v>2.17509671561723</v>
      </c>
      <c r="I315" s="17" t="n">
        <f aca="false">IF(COUNTIF(Distance_Matrix!$E$11:$DQ$11,$E315)&lt;=1,0,(H315-G315)/MAX(G315,H315))</f>
        <v>0.536169798804902</v>
      </c>
      <c r="X315" s="17" t="n">
        <f aca="false">SQRT(($B315-X$270)^2+($C315-X$271)^2+($D315-X$272)^2)</f>
        <v>4.77038426226699</v>
      </c>
      <c r="Y315" s="17" t="n">
        <f aca="false">SQRT(($B315-Y$270)^2+($C315-Y$271)^2+($D315-Y$272)^2)</f>
        <v>3.62195415614862</v>
      </c>
      <c r="Z315" s="17" t="n">
        <f aca="false">SQRT(($B315-Z$270)^2+($C315-Z$271)^2+($D315-Z$272)^2)</f>
        <v>1.37995618620555</v>
      </c>
      <c r="AA315" s="17" t="n">
        <f aca="false">SQRT(($B315-AA$270)^2+($C315-AA$271)^2+($D315-AA$272)^2)</f>
        <v>2.28459260769186</v>
      </c>
      <c r="AB315" s="17" t="n">
        <f aca="false">SQRT(($B315-AB$270)^2+($C315-AB$271)^2+($D315-AB$272)^2)</f>
        <v>2.81318498539692</v>
      </c>
      <c r="AC315" s="63" t="n">
        <f aca="false">MATCH(MIN(X315:AB315),X315:AB315,0)</f>
        <v>3</v>
      </c>
      <c r="AE315" s="17" t="n">
        <f aca="false">SQRT(($B315-AE$270)^2+($C315-AE$271)^2+($D315-AE$272)^2)</f>
        <v>4.6473241361613</v>
      </c>
      <c r="AF315" s="17" t="n">
        <f aca="false">SQRT(($B315-AF$270)^2+($C315-AF$271)^2+($D315-AF$272)^2)</f>
        <v>2.97900435317626</v>
      </c>
      <c r="AG315" s="17" t="n">
        <f aca="false">SQRT(($B315-AG$270)^2+($C315-AG$271)^2+($D315-AG$272)^2)</f>
        <v>0.81464957605865</v>
      </c>
      <c r="AH315" s="17" t="n">
        <f aca="false">SQRT(($B315-AH$270)^2+($C315-AH$271)^2+($D315-AH$272)^2)</f>
        <v>2.15166336194387</v>
      </c>
      <c r="AI315" s="17" t="n">
        <f aca="false">SQRT(($B315-AI$270)^2+($C315-AI$271)^2+($D315-AI$272)^2)</f>
        <v>2.40601321275501</v>
      </c>
      <c r="AJ315" s="63" t="n">
        <f aca="false">MATCH(MIN(AE315:AI315),AE315:AI315,0)</f>
        <v>3</v>
      </c>
      <c r="AL315" s="17" t="n">
        <f aca="false">SQRT(($B315-AL$270)^2+($C315-AL$271)^2+($D315-AL$272)^2)</f>
        <v>4.6473241361613</v>
      </c>
      <c r="AM315" s="17" t="n">
        <f aca="false">SQRT(($B315-AM$270)^2+($C315-AM$271)^2+($D315-AM$272)^2)</f>
        <v>3.00097562777809</v>
      </c>
      <c r="AN315" s="17" t="n">
        <f aca="false">SQRT(($B315-AN$270)^2+($C315-AN$271)^2+($D315-AN$272)^2)</f>
        <v>0.755704343859604</v>
      </c>
      <c r="AO315" s="17" t="n">
        <f aca="false">SQRT(($B315-AO$270)^2+($C315-AO$271)^2+($D315-AO$272)^2)</f>
        <v>2.11576946834612</v>
      </c>
      <c r="AP315" s="17" t="n">
        <f aca="false">SQRT(($B315-AP$270)^2+($C315-AP$271)^2+($D315-AP$272)^2)</f>
        <v>2.12972467763757</v>
      </c>
      <c r="AQ315" s="63" t="n">
        <f aca="false">MATCH(MIN(AL315:AP315),AL315:AP315,0)</f>
        <v>3</v>
      </c>
      <c r="AS315" s="17" t="n">
        <f aca="false">SQRT(($B315-AS$270)^2+($C315-AS$271)^2+($D315-AS$272)^2)</f>
        <v>4.6473241361613</v>
      </c>
      <c r="AT315" s="17" t="n">
        <f aca="false">SQRT(($B315-AT$270)^2+($C315-AT$271)^2+($D315-AT$272)^2)</f>
        <v>3.07277782262198</v>
      </c>
      <c r="AU315" s="17" t="n">
        <f aca="false">SQRT(($B315-AU$270)^2+($C315-AU$271)^2+($D315-AU$272)^2)</f>
        <v>0.755065470153073</v>
      </c>
      <c r="AV315" s="17" t="n">
        <f aca="false">SQRT(($B315-AV$270)^2+($C315-AV$271)^2+($D315-AV$272)^2)</f>
        <v>2.11317606126394</v>
      </c>
      <c r="AW315" s="17" t="n">
        <f aca="false">SQRT(($B315-AW$270)^2+($C315-AW$271)^2+($D315-AW$272)^2)</f>
        <v>2.12972467763757</v>
      </c>
      <c r="AX315" s="63" t="n">
        <f aca="false">MATCH(MIN(AS315:AW315),AS315:AW315,0)</f>
        <v>3</v>
      </c>
      <c r="AZ315" s="17" t="n">
        <f aca="false">SQRT(($B315-AZ$270)^2+($C315-AZ$271)^2+($D315-AZ$272)^2)</f>
        <v>4.6473241361613</v>
      </c>
      <c r="BA315" s="17" t="n">
        <f aca="false">SQRT(($B315-BA$270)^2+($C315-BA$271)^2+($D315-BA$272)^2)</f>
        <v>3.07277782262198</v>
      </c>
      <c r="BB315" s="17" t="n">
        <f aca="false">SQRT(($B315-BB$270)^2+($C315-BB$271)^2+($D315-BB$272)^2)</f>
        <v>0.755065470153073</v>
      </c>
      <c r="BC315" s="17" t="n">
        <f aca="false">SQRT(($B315-BC$270)^2+($C315-BC$271)^2+($D315-BC$272)^2)</f>
        <v>2.11317606126394</v>
      </c>
      <c r="BD315" s="17" t="n">
        <f aca="false">SQRT(($B315-BD$270)^2+($C315-BD$271)^2+($D315-BD$272)^2)</f>
        <v>2.12972467763757</v>
      </c>
      <c r="BE315" s="63" t="n">
        <f aca="false">MATCH(MIN(AZ315:BD315),AZ315:BD315,0)</f>
        <v>3</v>
      </c>
      <c r="BG315" s="17" t="n">
        <f aca="false">SQRT(($B315-BG$270)^2+($C315-BG$271)^2+($D315-BG$272)^2)</f>
        <v>4.6473241361613</v>
      </c>
      <c r="BH315" s="17" t="n">
        <f aca="false">SQRT(($B315-BH$270)^2+($C315-BH$271)^2+($D315-BH$272)^2)</f>
        <v>3.07277782262198</v>
      </c>
      <c r="BI315" s="17" t="n">
        <f aca="false">SQRT(($B315-BI$270)^2+($C315-BI$271)^2+($D315-BI$272)^2)</f>
        <v>0.755065470153073</v>
      </c>
      <c r="BJ315" s="17" t="n">
        <f aca="false">SQRT(($B315-BJ$270)^2+($C315-BJ$271)^2+($D315-BJ$272)^2)</f>
        <v>2.11317606126394</v>
      </c>
      <c r="BK315" s="17" t="n">
        <f aca="false">SQRT(($B315-BK$270)^2+($C315-BK$271)^2+($D315-BK$272)^2)</f>
        <v>2.12972467763757</v>
      </c>
      <c r="BL315" s="63" t="n">
        <f aca="false">MATCH(MIN(BG315:BK315),BG315:BK315,0)</f>
        <v>3</v>
      </c>
      <c r="BN315" s="17" t="n">
        <f aca="false">SQRT(($B315-BN$270)^2+($C315-BN$271)^2+($D315-BN$272)^2)</f>
        <v>4.6473241361613</v>
      </c>
      <c r="BO315" s="17" t="n">
        <f aca="false">SQRT(($B315-BO$270)^2+($C315-BO$271)^2+($D315-BO$272)^2)</f>
        <v>3.07277782262198</v>
      </c>
      <c r="BP315" s="17" t="n">
        <f aca="false">SQRT(($B315-BP$270)^2+($C315-BP$271)^2+($D315-BP$272)^2)</f>
        <v>0.755065470153073</v>
      </c>
      <c r="BQ315" s="17" t="n">
        <f aca="false">SQRT(($B315-BQ$270)^2+($C315-BQ$271)^2+($D315-BQ$272)^2)</f>
        <v>2.11317606126394</v>
      </c>
      <c r="BR315" s="17" t="n">
        <f aca="false">SQRT(($B315-BR$270)^2+($C315-BR$271)^2+($D315-BR$272)^2)</f>
        <v>2.12972467763757</v>
      </c>
      <c r="BS315" s="63" t="n">
        <f aca="false">MATCH(MIN(BN315:BR315),BN315:BR315,0)</f>
        <v>3</v>
      </c>
      <c r="BU315" s="17" t="n">
        <f aca="false">SQRT(($B315-BU$270)^2+($C315-BU$271)^2+($D315-BU$272)^2)</f>
        <v>4.6473241361613</v>
      </c>
      <c r="BV315" s="17" t="n">
        <f aca="false">SQRT(($B315-BV$270)^2+($C315-BV$271)^2+($D315-BV$272)^2)</f>
        <v>3.07277782262198</v>
      </c>
      <c r="BW315" s="17" t="n">
        <f aca="false">SQRT(($B315-BW$270)^2+($C315-BW$271)^2+($D315-BW$272)^2)</f>
        <v>0.755065470153073</v>
      </c>
      <c r="BX315" s="17" t="n">
        <f aca="false">SQRT(($B315-BX$270)^2+($C315-BX$271)^2+($D315-BX$272)^2)</f>
        <v>2.11317606126394</v>
      </c>
      <c r="BY315" s="17" t="n">
        <f aca="false">SQRT(($B315-BY$270)^2+($C315-BY$271)^2+($D315-BY$272)^2)</f>
        <v>2.12972467763757</v>
      </c>
      <c r="BZ315" s="63" t="n">
        <f aca="false">MATCH(MIN(BU315:BY315),BU315:BY315,0)</f>
        <v>3</v>
      </c>
      <c r="CB315" s="17" t="n">
        <f aca="false">SQRT(($B315-CB$270)^2+($C315-CB$271)^2+($D315-CB$272)^2)</f>
        <v>4.6473241361613</v>
      </c>
      <c r="CC315" s="17" t="n">
        <f aca="false">SQRT(($B315-CC$270)^2+($C315-CC$271)^2+($D315-CC$272)^2)</f>
        <v>3.07277782262198</v>
      </c>
      <c r="CD315" s="17" t="n">
        <f aca="false">SQRT(($B315-CD$270)^2+($C315-CD$271)^2+($D315-CD$272)^2)</f>
        <v>0.755065470153073</v>
      </c>
      <c r="CE315" s="17" t="n">
        <f aca="false">SQRT(($B315-CE$270)^2+($C315-CE$271)^2+($D315-CE$272)^2)</f>
        <v>2.11317606126394</v>
      </c>
      <c r="CF315" s="17" t="n">
        <f aca="false">SQRT(($B315-CF$270)^2+($C315-CF$271)^2+($D315-CF$272)^2)</f>
        <v>2.12972467763757</v>
      </c>
      <c r="CG315" s="63" t="n">
        <f aca="false">MATCH(MIN(CB315:CF315),CB315:CF315,0)</f>
        <v>3</v>
      </c>
      <c r="CI315" s="17" t="n">
        <f aca="false">SQRT(($B315-CI$270)^2+($C315-CI$271)^2+($D315-CI$272)^2)</f>
        <v>4.6473241361613</v>
      </c>
      <c r="CJ315" s="17" t="n">
        <f aca="false">SQRT(($B315-CJ$270)^2+($C315-CJ$271)^2+($D315-CJ$272)^2)</f>
        <v>3.07277782262198</v>
      </c>
      <c r="CK315" s="17" t="n">
        <f aca="false">SQRT(($B315-CK$270)^2+($C315-CK$271)^2+($D315-CK$272)^2)</f>
        <v>0.755065470153073</v>
      </c>
      <c r="CL315" s="17" t="n">
        <f aca="false">SQRT(($B315-CL$270)^2+($C315-CL$271)^2+($D315-CL$272)^2)</f>
        <v>2.11317606126394</v>
      </c>
      <c r="CM315" s="17" t="n">
        <f aca="false">SQRT(($B315-CM$270)^2+($C315-CM$271)^2+($D315-CM$272)^2)</f>
        <v>2.12972467763757</v>
      </c>
      <c r="CN315" s="63" t="n">
        <f aca="false">MATCH(MIN(CI315:CM315),CI315:CM315,0)</f>
        <v>3</v>
      </c>
      <c r="CP315" s="17" t="n">
        <f aca="false">SQRT(($B315-CP$270)^2+($C315-CP$271)^2+($D315-CP$272)^2)</f>
        <v>4.6473241361613</v>
      </c>
      <c r="CQ315" s="17" t="n">
        <f aca="false">SQRT(($B315-CQ$270)^2+($C315-CQ$271)^2+($D315-CQ$272)^2)</f>
        <v>3.07277782262198</v>
      </c>
      <c r="CR315" s="17" t="n">
        <f aca="false">SQRT(($B315-CR$270)^2+($C315-CR$271)^2+($D315-CR$272)^2)</f>
        <v>0.755065470153073</v>
      </c>
      <c r="CS315" s="17" t="n">
        <f aca="false">SQRT(($B315-CS$270)^2+($C315-CS$271)^2+($D315-CS$272)^2)</f>
        <v>2.11317606126394</v>
      </c>
      <c r="CT315" s="17" t="n">
        <f aca="false">SQRT(($B315-CT$270)^2+($C315-CT$271)^2+($D315-CT$272)^2)</f>
        <v>2.12972467763757</v>
      </c>
      <c r="CU315" s="63" t="n">
        <f aca="false">MATCH(MIN(CP315:CT315),CP315:CT315,0)</f>
        <v>3</v>
      </c>
      <c r="CW315" s="17" t="n">
        <f aca="false">SQRT(($B315-CW$270)^2+($C315-CW$271)^2+($D315-CW$272)^2)</f>
        <v>4.6473241361613</v>
      </c>
      <c r="CX315" s="17" t="n">
        <f aca="false">SQRT(($B315-CX$270)^2+($C315-CX$271)^2+($D315-CX$272)^2)</f>
        <v>3.07277782262198</v>
      </c>
      <c r="CY315" s="17" t="n">
        <f aca="false">SQRT(($B315-CY$270)^2+($C315-CY$271)^2+($D315-CY$272)^2)</f>
        <v>0.755065470153073</v>
      </c>
      <c r="CZ315" s="17" t="n">
        <f aca="false">SQRT(($B315-CZ$270)^2+($C315-CZ$271)^2+($D315-CZ$272)^2)</f>
        <v>2.11317606126394</v>
      </c>
      <c r="DA315" s="17" t="n">
        <f aca="false">SQRT(($B315-DA$270)^2+($C315-DA$271)^2+($D315-DA$272)^2)</f>
        <v>2.12972467763757</v>
      </c>
      <c r="DB315" s="63" t="n">
        <f aca="false">MATCH(MIN(CW315:DA315),CW315:DA315,0)</f>
        <v>3</v>
      </c>
    </row>
    <row r="316" customFormat="false" ht="15" hidden="false" customHeight="false" outlineLevel="0" collapsed="false">
      <c r="A316" s="36" t="str">
        <f aca="false">KMeans_Data!A44</f>
        <v>Kurram</v>
      </c>
      <c r="B316" s="17" t="n">
        <f aca="false">KMeans_Data!H44</f>
        <v>0.389856926462388</v>
      </c>
      <c r="C316" s="17" t="n">
        <f aca="false">KMeans_Data!I44</f>
        <v>0.160512589624996</v>
      </c>
      <c r="D316" s="17" t="n">
        <f aca="false">KMeans_Data!J44</f>
        <v>-0.0786471224747799</v>
      </c>
      <c r="E316" s="63" t="n">
        <f aca="false">DB316</f>
        <v>4</v>
      </c>
      <c r="F316" s="38" t="n">
        <f aca="false">($B316-INDEX($L$270:$P$270,E316))^2+($C316-INDEX($L$271:$P$271,E316))^2+($D316-INDEX($L$272:$P$272,E316))^2</f>
        <v>0.803777764254892</v>
      </c>
      <c r="G316" s="17" t="n">
        <f aca="false">IF(COUNTIF(Distance_Matrix!$E$11:$DQ$11,$E316)&lt;=1,0,SUMIF(Distance_Matrix!$E$11:$DQ$11,$E316,Distance_Matrix!$E$53:$DQ$53)/(COUNTIF(Distance_Matrix!$E$11:$DQ$11,$E316)-1))</f>
        <v>1.17352080353004</v>
      </c>
      <c r="H316" s="17" t="n">
        <f aca="false">MIN(IF(1=$E316,1E+099,IF(COUNTIF(Distance_Matrix!$E$11:$DQ$11,1)=0,1E+099,SUMIF(Distance_Matrix!$E$11:$DQ$11,1,Distance_Matrix!$E$53:$DQ$53)/COUNTIF(Distance_Matrix!$E$11:$DQ$11,1))),IF(2=$E316,1E+099,IF(COUNTIF(Distance_Matrix!$E$11:$DQ$11,2)=0,1E+099,SUMIF(Distance_Matrix!$E$11:$DQ$11,2,Distance_Matrix!$E$53:$DQ$53)/COUNTIF(Distance_Matrix!$E$11:$DQ$11,2))),IF(3=$E316,1E+099,IF(COUNTIF(Distance_Matrix!$E$11:$DQ$11,3)=0,1E+099,SUMIF(Distance_Matrix!$E$11:$DQ$11,3,Distance_Matrix!$E$53:$DQ$53)/COUNTIF(Distance_Matrix!$E$11:$DQ$11,3))),IF(4=$E316,1E+099,IF(COUNTIF(Distance_Matrix!$E$11:$DQ$11,4)=0,1E+099,SUMIF(Distance_Matrix!$E$11:$DQ$11,4,Distance_Matrix!$E$53:$DQ$53)/COUNTIF(Distance_Matrix!$E$11:$DQ$11,4))),IF(5=$E316,1E+099,IF(COUNTIF(Distance_Matrix!$E$11:$DQ$11,5)=0,1E+099,SUMIF(Distance_Matrix!$E$11:$DQ$11,5,Distance_Matrix!$E$53:$DQ$53)/COUNTIF(Distance_Matrix!$E$11:$DQ$11,5))))</f>
        <v>1.23821082591524</v>
      </c>
      <c r="I316" s="17" t="n">
        <f aca="false">IF(COUNTIF(Distance_Matrix!$E$11:$DQ$11,$E316)&lt;=1,0,(H316-G316)/MAX(G316,H316))</f>
        <v>0.0522447559262713</v>
      </c>
      <c r="X316" s="17" t="n">
        <f aca="false">SQRT(($B316-X$270)^2+($C316-X$271)^2+($D316-X$272)^2)</f>
        <v>5.87022459726912</v>
      </c>
      <c r="Y316" s="17" t="n">
        <f aca="false">SQRT(($B316-Y$270)^2+($C316-Y$271)^2+($D316-Y$272)^2)</f>
        <v>2.81629941685552</v>
      </c>
      <c r="Z316" s="17" t="n">
        <f aca="false">SQRT(($B316-Z$270)^2+($C316-Z$271)^2+($D316-Z$272)^2)</f>
        <v>1.69304179751501</v>
      </c>
      <c r="AA316" s="17" t="n">
        <f aca="false">SQRT(($B316-AA$270)^2+($C316-AA$271)^2+($D316-AA$272)^2)</f>
        <v>1.1395078316512</v>
      </c>
      <c r="AB316" s="17" t="n">
        <f aca="false">SQRT(($B316-AB$270)^2+($C316-AB$271)^2+($D316-AB$272)^2)</f>
        <v>3.80251555127206</v>
      </c>
      <c r="AC316" s="63" t="n">
        <f aca="false">MATCH(MIN(X316:AB316),X316:AB316,0)</f>
        <v>4</v>
      </c>
      <c r="AE316" s="17" t="n">
        <f aca="false">SQRT(($B316-AE$270)^2+($C316-AE$271)^2+($D316-AE$272)^2)</f>
        <v>5.74688904719245</v>
      </c>
      <c r="AF316" s="17" t="n">
        <f aca="false">SQRT(($B316-AF$270)^2+($C316-AF$271)^2+($D316-AF$272)^2)</f>
        <v>2.01411846504315</v>
      </c>
      <c r="AG316" s="17" t="n">
        <f aca="false">SQRT(($B316-AG$270)^2+($C316-AG$271)^2+($D316-AG$272)^2)</f>
        <v>0.997666787613613</v>
      </c>
      <c r="AH316" s="17" t="n">
        <f aca="false">SQRT(($B316-AH$270)^2+($C316-AH$271)^2+($D316-AH$272)^2)</f>
        <v>0.903309575940372</v>
      </c>
      <c r="AI316" s="17" t="n">
        <f aca="false">SQRT(($B316-AI$270)^2+($C316-AI$271)^2+($D316-AI$272)^2)</f>
        <v>3.46996763222544</v>
      </c>
      <c r="AJ316" s="63" t="n">
        <f aca="false">MATCH(MIN(AE316:AI316),AE316:AI316,0)</f>
        <v>4</v>
      </c>
      <c r="AL316" s="17" t="n">
        <f aca="false">SQRT(($B316-AL$270)^2+($C316-AL$271)^2+($D316-AL$272)^2)</f>
        <v>5.74688904719245</v>
      </c>
      <c r="AM316" s="17" t="n">
        <f aca="false">SQRT(($B316-AM$270)^2+($C316-AM$271)^2+($D316-AM$272)^2)</f>
        <v>2.02906631944184</v>
      </c>
      <c r="AN316" s="17" t="n">
        <f aca="false">SQRT(($B316-AN$270)^2+($C316-AN$271)^2+($D316-AN$272)^2)</f>
        <v>1.03246983037026</v>
      </c>
      <c r="AO316" s="17" t="n">
        <f aca="false">SQRT(($B316-AO$270)^2+($C316-AO$271)^2+($D316-AO$272)^2)</f>
        <v>0.880832740656104</v>
      </c>
      <c r="AP316" s="17" t="n">
        <f aca="false">SQRT(($B316-AP$270)^2+($C316-AP$271)^2+($D316-AP$272)^2)</f>
        <v>3.20352151741691</v>
      </c>
      <c r="AQ316" s="63" t="n">
        <f aca="false">MATCH(MIN(AL316:AP316),AL316:AP316,0)</f>
        <v>4</v>
      </c>
      <c r="AS316" s="17" t="n">
        <f aca="false">SQRT(($B316-AS$270)^2+($C316-AS$271)^2+($D316-AS$272)^2)</f>
        <v>5.74688904719245</v>
      </c>
      <c r="AT316" s="17" t="n">
        <f aca="false">SQRT(($B316-AT$270)^2+($C316-AT$271)^2+($D316-AT$272)^2)</f>
        <v>2.10516970463941</v>
      </c>
      <c r="AU316" s="17" t="n">
        <f aca="false">SQRT(($B316-AU$270)^2+($C316-AU$271)^2+($D316-AU$272)^2)</f>
        <v>1.05546313389074</v>
      </c>
      <c r="AV316" s="17" t="n">
        <f aca="false">SQRT(($B316-AV$270)^2+($C316-AV$271)^2+($D316-AV$272)^2)</f>
        <v>0.896536538159428</v>
      </c>
      <c r="AW316" s="17" t="n">
        <f aca="false">SQRT(($B316-AW$270)^2+($C316-AW$271)^2+($D316-AW$272)^2)</f>
        <v>3.20352151741691</v>
      </c>
      <c r="AX316" s="63" t="n">
        <f aca="false">MATCH(MIN(AS316:AW316),AS316:AW316,0)</f>
        <v>4</v>
      </c>
      <c r="AZ316" s="17" t="n">
        <f aca="false">SQRT(($B316-AZ$270)^2+($C316-AZ$271)^2+($D316-AZ$272)^2)</f>
        <v>5.74688904719245</v>
      </c>
      <c r="BA316" s="17" t="n">
        <f aca="false">SQRT(($B316-BA$270)^2+($C316-BA$271)^2+($D316-BA$272)^2)</f>
        <v>2.10516970463941</v>
      </c>
      <c r="BB316" s="17" t="n">
        <f aca="false">SQRT(($B316-BB$270)^2+($C316-BB$271)^2+($D316-BB$272)^2)</f>
        <v>1.05546313389074</v>
      </c>
      <c r="BC316" s="17" t="n">
        <f aca="false">SQRT(($B316-BC$270)^2+($C316-BC$271)^2+($D316-BC$272)^2)</f>
        <v>0.896536538159428</v>
      </c>
      <c r="BD316" s="17" t="n">
        <f aca="false">SQRT(($B316-BD$270)^2+($C316-BD$271)^2+($D316-BD$272)^2)</f>
        <v>3.20352151741691</v>
      </c>
      <c r="BE316" s="63" t="n">
        <f aca="false">MATCH(MIN(AZ316:BD316),AZ316:BD316,0)</f>
        <v>4</v>
      </c>
      <c r="BG316" s="17" t="n">
        <f aca="false">SQRT(($B316-BG$270)^2+($C316-BG$271)^2+($D316-BG$272)^2)</f>
        <v>5.74688904719245</v>
      </c>
      <c r="BH316" s="17" t="n">
        <f aca="false">SQRT(($B316-BH$270)^2+($C316-BH$271)^2+($D316-BH$272)^2)</f>
        <v>2.10516970463941</v>
      </c>
      <c r="BI316" s="17" t="n">
        <f aca="false">SQRT(($B316-BI$270)^2+($C316-BI$271)^2+($D316-BI$272)^2)</f>
        <v>1.05546313389074</v>
      </c>
      <c r="BJ316" s="17" t="n">
        <f aca="false">SQRT(($B316-BJ$270)^2+($C316-BJ$271)^2+($D316-BJ$272)^2)</f>
        <v>0.896536538159428</v>
      </c>
      <c r="BK316" s="17" t="n">
        <f aca="false">SQRT(($B316-BK$270)^2+($C316-BK$271)^2+($D316-BK$272)^2)</f>
        <v>3.20352151741691</v>
      </c>
      <c r="BL316" s="63" t="n">
        <f aca="false">MATCH(MIN(BG316:BK316),BG316:BK316,0)</f>
        <v>4</v>
      </c>
      <c r="BN316" s="17" t="n">
        <f aca="false">SQRT(($B316-BN$270)^2+($C316-BN$271)^2+($D316-BN$272)^2)</f>
        <v>5.74688904719245</v>
      </c>
      <c r="BO316" s="17" t="n">
        <f aca="false">SQRT(($B316-BO$270)^2+($C316-BO$271)^2+($D316-BO$272)^2)</f>
        <v>2.10516970463941</v>
      </c>
      <c r="BP316" s="17" t="n">
        <f aca="false">SQRT(($B316-BP$270)^2+($C316-BP$271)^2+($D316-BP$272)^2)</f>
        <v>1.05546313389074</v>
      </c>
      <c r="BQ316" s="17" t="n">
        <f aca="false">SQRT(($B316-BQ$270)^2+($C316-BQ$271)^2+($D316-BQ$272)^2)</f>
        <v>0.896536538159428</v>
      </c>
      <c r="BR316" s="17" t="n">
        <f aca="false">SQRT(($B316-BR$270)^2+($C316-BR$271)^2+($D316-BR$272)^2)</f>
        <v>3.20352151741691</v>
      </c>
      <c r="BS316" s="63" t="n">
        <f aca="false">MATCH(MIN(BN316:BR316),BN316:BR316,0)</f>
        <v>4</v>
      </c>
      <c r="BU316" s="17" t="n">
        <f aca="false">SQRT(($B316-BU$270)^2+($C316-BU$271)^2+($D316-BU$272)^2)</f>
        <v>5.74688904719245</v>
      </c>
      <c r="BV316" s="17" t="n">
        <f aca="false">SQRT(($B316-BV$270)^2+($C316-BV$271)^2+($D316-BV$272)^2)</f>
        <v>2.10516970463941</v>
      </c>
      <c r="BW316" s="17" t="n">
        <f aca="false">SQRT(($B316-BW$270)^2+($C316-BW$271)^2+($D316-BW$272)^2)</f>
        <v>1.05546313389074</v>
      </c>
      <c r="BX316" s="17" t="n">
        <f aca="false">SQRT(($B316-BX$270)^2+($C316-BX$271)^2+($D316-BX$272)^2)</f>
        <v>0.896536538159428</v>
      </c>
      <c r="BY316" s="17" t="n">
        <f aca="false">SQRT(($B316-BY$270)^2+($C316-BY$271)^2+($D316-BY$272)^2)</f>
        <v>3.20352151741691</v>
      </c>
      <c r="BZ316" s="63" t="n">
        <f aca="false">MATCH(MIN(BU316:BY316),BU316:BY316,0)</f>
        <v>4</v>
      </c>
      <c r="CB316" s="17" t="n">
        <f aca="false">SQRT(($B316-CB$270)^2+($C316-CB$271)^2+($D316-CB$272)^2)</f>
        <v>5.74688904719245</v>
      </c>
      <c r="CC316" s="17" t="n">
        <f aca="false">SQRT(($B316-CC$270)^2+($C316-CC$271)^2+($D316-CC$272)^2)</f>
        <v>2.10516970463941</v>
      </c>
      <c r="CD316" s="17" t="n">
        <f aca="false">SQRT(($B316-CD$270)^2+($C316-CD$271)^2+($D316-CD$272)^2)</f>
        <v>1.05546313389074</v>
      </c>
      <c r="CE316" s="17" t="n">
        <f aca="false">SQRT(($B316-CE$270)^2+($C316-CE$271)^2+($D316-CE$272)^2)</f>
        <v>0.896536538159428</v>
      </c>
      <c r="CF316" s="17" t="n">
        <f aca="false">SQRT(($B316-CF$270)^2+($C316-CF$271)^2+($D316-CF$272)^2)</f>
        <v>3.20352151741691</v>
      </c>
      <c r="CG316" s="63" t="n">
        <f aca="false">MATCH(MIN(CB316:CF316),CB316:CF316,0)</f>
        <v>4</v>
      </c>
      <c r="CI316" s="17" t="n">
        <f aca="false">SQRT(($B316-CI$270)^2+($C316-CI$271)^2+($D316-CI$272)^2)</f>
        <v>5.74688904719245</v>
      </c>
      <c r="CJ316" s="17" t="n">
        <f aca="false">SQRT(($B316-CJ$270)^2+($C316-CJ$271)^2+($D316-CJ$272)^2)</f>
        <v>2.10516970463941</v>
      </c>
      <c r="CK316" s="17" t="n">
        <f aca="false">SQRT(($B316-CK$270)^2+($C316-CK$271)^2+($D316-CK$272)^2)</f>
        <v>1.05546313389074</v>
      </c>
      <c r="CL316" s="17" t="n">
        <f aca="false">SQRT(($B316-CL$270)^2+($C316-CL$271)^2+($D316-CL$272)^2)</f>
        <v>0.896536538159428</v>
      </c>
      <c r="CM316" s="17" t="n">
        <f aca="false">SQRT(($B316-CM$270)^2+($C316-CM$271)^2+($D316-CM$272)^2)</f>
        <v>3.20352151741691</v>
      </c>
      <c r="CN316" s="63" t="n">
        <f aca="false">MATCH(MIN(CI316:CM316),CI316:CM316,0)</f>
        <v>4</v>
      </c>
      <c r="CP316" s="17" t="n">
        <f aca="false">SQRT(($B316-CP$270)^2+($C316-CP$271)^2+($D316-CP$272)^2)</f>
        <v>5.74688904719245</v>
      </c>
      <c r="CQ316" s="17" t="n">
        <f aca="false">SQRT(($B316-CQ$270)^2+($C316-CQ$271)^2+($D316-CQ$272)^2)</f>
        <v>2.10516970463941</v>
      </c>
      <c r="CR316" s="17" t="n">
        <f aca="false">SQRT(($B316-CR$270)^2+($C316-CR$271)^2+($D316-CR$272)^2)</f>
        <v>1.05546313389074</v>
      </c>
      <c r="CS316" s="17" t="n">
        <f aca="false">SQRT(($B316-CS$270)^2+($C316-CS$271)^2+($D316-CS$272)^2)</f>
        <v>0.896536538159428</v>
      </c>
      <c r="CT316" s="17" t="n">
        <f aca="false">SQRT(($B316-CT$270)^2+($C316-CT$271)^2+($D316-CT$272)^2)</f>
        <v>3.20352151741691</v>
      </c>
      <c r="CU316" s="63" t="n">
        <f aca="false">MATCH(MIN(CP316:CT316),CP316:CT316,0)</f>
        <v>4</v>
      </c>
      <c r="CW316" s="17" t="n">
        <f aca="false">SQRT(($B316-CW$270)^2+($C316-CW$271)^2+($D316-CW$272)^2)</f>
        <v>5.74688904719245</v>
      </c>
      <c r="CX316" s="17" t="n">
        <f aca="false">SQRT(($B316-CX$270)^2+($C316-CX$271)^2+($D316-CX$272)^2)</f>
        <v>2.10516970463941</v>
      </c>
      <c r="CY316" s="17" t="n">
        <f aca="false">SQRT(($B316-CY$270)^2+($C316-CY$271)^2+($D316-CY$272)^2)</f>
        <v>1.05546313389074</v>
      </c>
      <c r="CZ316" s="17" t="n">
        <f aca="false">SQRT(($B316-CZ$270)^2+($C316-CZ$271)^2+($D316-CZ$272)^2)</f>
        <v>0.896536538159428</v>
      </c>
      <c r="DA316" s="17" t="n">
        <f aca="false">SQRT(($B316-DA$270)^2+($C316-DA$271)^2+($D316-DA$272)^2)</f>
        <v>3.20352151741691</v>
      </c>
      <c r="DB316" s="63" t="n">
        <f aca="false">MATCH(MIN(CW316:DA316),CW316:DA316,0)</f>
        <v>4</v>
      </c>
    </row>
    <row r="317" customFormat="false" ht="15" hidden="false" customHeight="false" outlineLevel="0" collapsed="false">
      <c r="A317" s="36" t="str">
        <f aca="false">KMeans_Data!A45</f>
        <v>Kambar Shahdadkot</v>
      </c>
      <c r="B317" s="17" t="n">
        <f aca="false">KMeans_Data!H45</f>
        <v>0.317115025857358</v>
      </c>
      <c r="C317" s="17" t="n">
        <f aca="false">KMeans_Data!I45</f>
        <v>-0.672650545388274</v>
      </c>
      <c r="D317" s="17" t="n">
        <f aca="false">KMeans_Data!J45</f>
        <v>1.01095878979359</v>
      </c>
      <c r="E317" s="63" t="n">
        <f aca="false">DB317</f>
        <v>3</v>
      </c>
      <c r="F317" s="38" t="n">
        <f aca="false">($B317-INDEX($L$270:$P$270,E317))^2+($C317-INDEX($L$271:$P$271,E317))^2+($D317-INDEX($L$272:$P$272,E317))^2</f>
        <v>1.69527291140335</v>
      </c>
      <c r="G317" s="17" t="n">
        <f aca="false">IF(COUNTIF(Distance_Matrix!$E$11:$DQ$11,$E317)&lt;=1,0,SUMIF(Distance_Matrix!$E$11:$DQ$11,$E317,Distance_Matrix!$E$54:$DQ$54)/(COUNTIF(Distance_Matrix!$E$11:$DQ$11,$E317)-1))</f>
        <v>1.4427490159131</v>
      </c>
      <c r="H317" s="17" t="n">
        <f aca="false">MIN(IF(1=$E317,1E+099,IF(COUNTIF(Distance_Matrix!$E$11:$DQ$11,1)=0,1E+099,SUMIF(Distance_Matrix!$E$11:$DQ$11,1,Distance_Matrix!$E$54:$DQ$54)/COUNTIF(Distance_Matrix!$E$11:$DQ$11,1))),IF(2=$E317,1E+099,IF(COUNTIF(Distance_Matrix!$E$11:$DQ$11,2)=0,1E+099,SUMIF(Distance_Matrix!$E$11:$DQ$11,2,Distance_Matrix!$E$54:$DQ$54)/COUNTIF(Distance_Matrix!$E$11:$DQ$11,2))),IF(3=$E317,1E+099,IF(COUNTIF(Distance_Matrix!$E$11:$DQ$11,3)=0,1E+099,SUMIF(Distance_Matrix!$E$11:$DQ$11,3,Distance_Matrix!$E$54:$DQ$54)/COUNTIF(Distance_Matrix!$E$11:$DQ$11,3))),IF(4=$E317,1E+099,IF(COUNTIF(Distance_Matrix!$E$11:$DQ$11,4)=0,1E+099,SUMIF(Distance_Matrix!$E$11:$DQ$11,4,Distance_Matrix!$E$54:$DQ$54)/COUNTIF(Distance_Matrix!$E$11:$DQ$11,4))),IF(5=$E317,1E+099,IF(COUNTIF(Distance_Matrix!$E$11:$DQ$11,5)=0,1E+099,SUMIF(Distance_Matrix!$E$11:$DQ$11,5,Distance_Matrix!$E$54:$DQ$54)/COUNTIF(Distance_Matrix!$E$11:$DQ$11,5))))</f>
        <v>1.59134307417319</v>
      </c>
      <c r="I317" s="17" t="n">
        <f aca="false">IF(COUNTIF(Distance_Matrix!$E$11:$DQ$11,$E317)&lt;=1,0,(H317-G317)/MAX(G317,H317))</f>
        <v>0.0933765073488618</v>
      </c>
      <c r="X317" s="17" t="n">
        <f aca="false">SQRT(($B317-X$270)^2+($C317-X$271)^2+($D317-X$272)^2)</f>
        <v>5.99739197654582</v>
      </c>
      <c r="Y317" s="17" t="n">
        <f aca="false">SQRT(($B317-Y$270)^2+($C317-Y$271)^2+($D317-Y$272)^2)</f>
        <v>3.22425812165343</v>
      </c>
      <c r="Z317" s="17" t="n">
        <f aca="false">SQRT(($B317-Z$270)^2+($C317-Z$271)^2+($D317-Z$272)^2)</f>
        <v>1.35466413068347</v>
      </c>
      <c r="AA317" s="17" t="n">
        <f aca="false">SQRT(($B317-AA$270)^2+($C317-AA$271)^2+($D317-AA$272)^2)</f>
        <v>2.24392796299193</v>
      </c>
      <c r="AB317" s="17" t="n">
        <f aca="false">SQRT(($B317-AB$270)^2+($C317-AB$271)^2+($D317-AB$272)^2)</f>
        <v>3.85320224674437</v>
      </c>
      <c r="AC317" s="63" t="n">
        <f aca="false">MATCH(MIN(X317:AB317),X317:AB317,0)</f>
        <v>3</v>
      </c>
      <c r="AE317" s="17" t="n">
        <f aca="false">SQRT(($B317-AE$270)^2+($C317-AE$271)^2+($D317-AE$272)^2)</f>
        <v>5.93767015843079</v>
      </c>
      <c r="AF317" s="17" t="n">
        <f aca="false">SQRT(($B317-AF$270)^2+($C317-AF$271)^2+($D317-AF$272)^2)</f>
        <v>2.49313312537689</v>
      </c>
      <c r="AG317" s="17" t="n">
        <f aca="false">SQRT(($B317-AG$270)^2+($C317-AG$271)^2+($D317-AG$272)^2)</f>
        <v>1.20657430112165</v>
      </c>
      <c r="AH317" s="17" t="n">
        <f aca="false">SQRT(($B317-AH$270)^2+($C317-AH$271)^2+($D317-AH$272)^2)</f>
        <v>1.58208956320257</v>
      </c>
      <c r="AI317" s="17" t="n">
        <f aca="false">SQRT(($B317-AI$270)^2+($C317-AI$271)^2+($D317-AI$272)^2)</f>
        <v>3.75089490321323</v>
      </c>
      <c r="AJ317" s="63" t="n">
        <f aca="false">MATCH(MIN(AE317:AI317),AE317:AI317,0)</f>
        <v>3</v>
      </c>
      <c r="AL317" s="17" t="n">
        <f aca="false">SQRT(($B317-AL$270)^2+($C317-AL$271)^2+($D317-AL$272)^2)</f>
        <v>5.93767015843079</v>
      </c>
      <c r="AM317" s="17" t="n">
        <f aca="false">SQRT(($B317-AM$270)^2+($C317-AM$271)^2+($D317-AM$272)^2)</f>
        <v>2.52729543155369</v>
      </c>
      <c r="AN317" s="17" t="n">
        <f aca="false">SQRT(($B317-AN$270)^2+($C317-AN$271)^2+($D317-AN$272)^2)</f>
        <v>1.28855599876358</v>
      </c>
      <c r="AO317" s="17" t="n">
        <f aca="false">SQRT(($B317-AO$270)^2+($C317-AO$271)^2+($D317-AO$272)^2)</f>
        <v>1.47262553169363</v>
      </c>
      <c r="AP317" s="17" t="n">
        <f aca="false">SQRT(($B317-AP$270)^2+($C317-AP$271)^2+($D317-AP$272)^2)</f>
        <v>3.50388239827488</v>
      </c>
      <c r="AQ317" s="63" t="n">
        <f aca="false">MATCH(MIN(AL317:AP317),AL317:AP317,0)</f>
        <v>3</v>
      </c>
      <c r="AS317" s="17" t="n">
        <f aca="false">SQRT(($B317-AS$270)^2+($C317-AS$271)^2+($D317-AS$272)^2)</f>
        <v>5.93767015843079</v>
      </c>
      <c r="AT317" s="17" t="n">
        <f aca="false">SQRT(($B317-AT$270)^2+($C317-AT$271)^2+($D317-AT$272)^2)</f>
        <v>2.62513779984078</v>
      </c>
      <c r="AU317" s="17" t="n">
        <f aca="false">SQRT(($B317-AU$270)^2+($C317-AU$271)^2+($D317-AU$272)^2)</f>
        <v>1.30202646340363</v>
      </c>
      <c r="AV317" s="17" t="n">
        <f aca="false">SQRT(($B317-AV$270)^2+($C317-AV$271)^2+($D317-AV$272)^2)</f>
        <v>1.46523402595696</v>
      </c>
      <c r="AW317" s="17" t="n">
        <f aca="false">SQRT(($B317-AW$270)^2+($C317-AW$271)^2+($D317-AW$272)^2)</f>
        <v>3.50388239827488</v>
      </c>
      <c r="AX317" s="63" t="n">
        <f aca="false">MATCH(MIN(AS317:AW317),AS317:AW317,0)</f>
        <v>3</v>
      </c>
      <c r="AZ317" s="17" t="n">
        <f aca="false">SQRT(($B317-AZ$270)^2+($C317-AZ$271)^2+($D317-AZ$272)^2)</f>
        <v>5.93767015843079</v>
      </c>
      <c r="BA317" s="17" t="n">
        <f aca="false">SQRT(($B317-BA$270)^2+($C317-BA$271)^2+($D317-BA$272)^2)</f>
        <v>2.62513779984078</v>
      </c>
      <c r="BB317" s="17" t="n">
        <f aca="false">SQRT(($B317-BB$270)^2+($C317-BB$271)^2+($D317-BB$272)^2)</f>
        <v>1.30202646340363</v>
      </c>
      <c r="BC317" s="17" t="n">
        <f aca="false">SQRT(($B317-BC$270)^2+($C317-BC$271)^2+($D317-BC$272)^2)</f>
        <v>1.46523402595696</v>
      </c>
      <c r="BD317" s="17" t="n">
        <f aca="false">SQRT(($B317-BD$270)^2+($C317-BD$271)^2+($D317-BD$272)^2)</f>
        <v>3.50388239827488</v>
      </c>
      <c r="BE317" s="63" t="n">
        <f aca="false">MATCH(MIN(AZ317:BD317),AZ317:BD317,0)</f>
        <v>3</v>
      </c>
      <c r="BG317" s="17" t="n">
        <f aca="false">SQRT(($B317-BG$270)^2+($C317-BG$271)^2+($D317-BG$272)^2)</f>
        <v>5.93767015843079</v>
      </c>
      <c r="BH317" s="17" t="n">
        <f aca="false">SQRT(($B317-BH$270)^2+($C317-BH$271)^2+($D317-BH$272)^2)</f>
        <v>2.62513779984078</v>
      </c>
      <c r="BI317" s="17" t="n">
        <f aca="false">SQRT(($B317-BI$270)^2+($C317-BI$271)^2+($D317-BI$272)^2)</f>
        <v>1.30202646340363</v>
      </c>
      <c r="BJ317" s="17" t="n">
        <f aca="false">SQRT(($B317-BJ$270)^2+($C317-BJ$271)^2+($D317-BJ$272)^2)</f>
        <v>1.46523402595696</v>
      </c>
      <c r="BK317" s="17" t="n">
        <f aca="false">SQRT(($B317-BK$270)^2+($C317-BK$271)^2+($D317-BK$272)^2)</f>
        <v>3.50388239827488</v>
      </c>
      <c r="BL317" s="63" t="n">
        <f aca="false">MATCH(MIN(BG317:BK317),BG317:BK317,0)</f>
        <v>3</v>
      </c>
      <c r="BN317" s="17" t="n">
        <f aca="false">SQRT(($B317-BN$270)^2+($C317-BN$271)^2+($D317-BN$272)^2)</f>
        <v>5.93767015843079</v>
      </c>
      <c r="BO317" s="17" t="n">
        <f aca="false">SQRT(($B317-BO$270)^2+($C317-BO$271)^2+($D317-BO$272)^2)</f>
        <v>2.62513779984078</v>
      </c>
      <c r="BP317" s="17" t="n">
        <f aca="false">SQRT(($B317-BP$270)^2+($C317-BP$271)^2+($D317-BP$272)^2)</f>
        <v>1.30202646340363</v>
      </c>
      <c r="BQ317" s="17" t="n">
        <f aca="false">SQRT(($B317-BQ$270)^2+($C317-BQ$271)^2+($D317-BQ$272)^2)</f>
        <v>1.46523402595696</v>
      </c>
      <c r="BR317" s="17" t="n">
        <f aca="false">SQRT(($B317-BR$270)^2+($C317-BR$271)^2+($D317-BR$272)^2)</f>
        <v>3.50388239827488</v>
      </c>
      <c r="BS317" s="63" t="n">
        <f aca="false">MATCH(MIN(BN317:BR317),BN317:BR317,0)</f>
        <v>3</v>
      </c>
      <c r="BU317" s="17" t="n">
        <f aca="false">SQRT(($B317-BU$270)^2+($C317-BU$271)^2+($D317-BU$272)^2)</f>
        <v>5.93767015843079</v>
      </c>
      <c r="BV317" s="17" t="n">
        <f aca="false">SQRT(($B317-BV$270)^2+($C317-BV$271)^2+($D317-BV$272)^2)</f>
        <v>2.62513779984078</v>
      </c>
      <c r="BW317" s="17" t="n">
        <f aca="false">SQRT(($B317-BW$270)^2+($C317-BW$271)^2+($D317-BW$272)^2)</f>
        <v>1.30202646340363</v>
      </c>
      <c r="BX317" s="17" t="n">
        <f aca="false">SQRT(($B317-BX$270)^2+($C317-BX$271)^2+($D317-BX$272)^2)</f>
        <v>1.46523402595696</v>
      </c>
      <c r="BY317" s="17" t="n">
        <f aca="false">SQRT(($B317-BY$270)^2+($C317-BY$271)^2+($D317-BY$272)^2)</f>
        <v>3.50388239827488</v>
      </c>
      <c r="BZ317" s="63" t="n">
        <f aca="false">MATCH(MIN(BU317:BY317),BU317:BY317,0)</f>
        <v>3</v>
      </c>
      <c r="CB317" s="17" t="n">
        <f aca="false">SQRT(($B317-CB$270)^2+($C317-CB$271)^2+($D317-CB$272)^2)</f>
        <v>5.93767015843079</v>
      </c>
      <c r="CC317" s="17" t="n">
        <f aca="false">SQRT(($B317-CC$270)^2+($C317-CC$271)^2+($D317-CC$272)^2)</f>
        <v>2.62513779984078</v>
      </c>
      <c r="CD317" s="17" t="n">
        <f aca="false">SQRT(($B317-CD$270)^2+($C317-CD$271)^2+($D317-CD$272)^2)</f>
        <v>1.30202646340363</v>
      </c>
      <c r="CE317" s="17" t="n">
        <f aca="false">SQRT(($B317-CE$270)^2+($C317-CE$271)^2+($D317-CE$272)^2)</f>
        <v>1.46523402595696</v>
      </c>
      <c r="CF317" s="17" t="n">
        <f aca="false">SQRT(($B317-CF$270)^2+($C317-CF$271)^2+($D317-CF$272)^2)</f>
        <v>3.50388239827488</v>
      </c>
      <c r="CG317" s="63" t="n">
        <f aca="false">MATCH(MIN(CB317:CF317),CB317:CF317,0)</f>
        <v>3</v>
      </c>
      <c r="CI317" s="17" t="n">
        <f aca="false">SQRT(($B317-CI$270)^2+($C317-CI$271)^2+($D317-CI$272)^2)</f>
        <v>5.93767015843079</v>
      </c>
      <c r="CJ317" s="17" t="n">
        <f aca="false">SQRT(($B317-CJ$270)^2+($C317-CJ$271)^2+($D317-CJ$272)^2)</f>
        <v>2.62513779984078</v>
      </c>
      <c r="CK317" s="17" t="n">
        <f aca="false">SQRT(($B317-CK$270)^2+($C317-CK$271)^2+($D317-CK$272)^2)</f>
        <v>1.30202646340363</v>
      </c>
      <c r="CL317" s="17" t="n">
        <f aca="false">SQRT(($B317-CL$270)^2+($C317-CL$271)^2+($D317-CL$272)^2)</f>
        <v>1.46523402595696</v>
      </c>
      <c r="CM317" s="17" t="n">
        <f aca="false">SQRT(($B317-CM$270)^2+($C317-CM$271)^2+($D317-CM$272)^2)</f>
        <v>3.50388239827488</v>
      </c>
      <c r="CN317" s="63" t="n">
        <f aca="false">MATCH(MIN(CI317:CM317),CI317:CM317,0)</f>
        <v>3</v>
      </c>
      <c r="CP317" s="17" t="n">
        <f aca="false">SQRT(($B317-CP$270)^2+($C317-CP$271)^2+($D317-CP$272)^2)</f>
        <v>5.93767015843079</v>
      </c>
      <c r="CQ317" s="17" t="n">
        <f aca="false">SQRT(($B317-CQ$270)^2+($C317-CQ$271)^2+($D317-CQ$272)^2)</f>
        <v>2.62513779984078</v>
      </c>
      <c r="CR317" s="17" t="n">
        <f aca="false">SQRT(($B317-CR$270)^2+($C317-CR$271)^2+($D317-CR$272)^2)</f>
        <v>1.30202646340363</v>
      </c>
      <c r="CS317" s="17" t="n">
        <f aca="false">SQRT(($B317-CS$270)^2+($C317-CS$271)^2+($D317-CS$272)^2)</f>
        <v>1.46523402595696</v>
      </c>
      <c r="CT317" s="17" t="n">
        <f aca="false">SQRT(($B317-CT$270)^2+($C317-CT$271)^2+($D317-CT$272)^2)</f>
        <v>3.50388239827488</v>
      </c>
      <c r="CU317" s="63" t="n">
        <f aca="false">MATCH(MIN(CP317:CT317),CP317:CT317,0)</f>
        <v>3</v>
      </c>
      <c r="CW317" s="17" t="n">
        <f aca="false">SQRT(($B317-CW$270)^2+($C317-CW$271)^2+($D317-CW$272)^2)</f>
        <v>5.93767015843079</v>
      </c>
      <c r="CX317" s="17" t="n">
        <f aca="false">SQRT(($B317-CX$270)^2+($C317-CX$271)^2+($D317-CX$272)^2)</f>
        <v>2.62513779984078</v>
      </c>
      <c r="CY317" s="17" t="n">
        <f aca="false">SQRT(($B317-CY$270)^2+($C317-CY$271)^2+($D317-CY$272)^2)</f>
        <v>1.30202646340363</v>
      </c>
      <c r="CZ317" s="17" t="n">
        <f aca="false">SQRT(($B317-CZ$270)^2+($C317-CZ$271)^2+($D317-CZ$272)^2)</f>
        <v>1.46523402595696</v>
      </c>
      <c r="DA317" s="17" t="n">
        <f aca="false">SQRT(($B317-DA$270)^2+($C317-DA$271)^2+($D317-DA$272)^2)</f>
        <v>3.50388239827488</v>
      </c>
      <c r="DB317" s="63" t="n">
        <f aca="false">MATCH(MIN(CW317:DA317),CW317:DA317,0)</f>
        <v>3</v>
      </c>
    </row>
    <row r="318" customFormat="false" ht="15" hidden="false" customHeight="false" outlineLevel="0" collapsed="false">
      <c r="A318" s="36" t="str">
        <f aca="false">KMeans_Data!A46</f>
        <v>Nagar</v>
      </c>
      <c r="B318" s="17" t="n">
        <f aca="false">KMeans_Data!H46</f>
        <v>0.273717398386991</v>
      </c>
      <c r="C318" s="17" t="n">
        <f aca="false">KMeans_Data!I46</f>
        <v>-0.146983133929529</v>
      </c>
      <c r="D318" s="17" t="n">
        <f aca="false">KMeans_Data!J46</f>
        <v>0.774246840861612</v>
      </c>
      <c r="E318" s="63" t="n">
        <f aca="false">DB318</f>
        <v>3</v>
      </c>
      <c r="F318" s="38" t="n">
        <f aca="false">($B318-INDEX($L$270:$P$270,E318))^2+($C318-INDEX($L$271:$P$271,E318))^2+($D318-INDEX($L$272:$P$272,E318))^2</f>
        <v>0.661790219227331</v>
      </c>
      <c r="G318" s="17" t="n">
        <f aca="false">IF(COUNTIF(Distance_Matrix!$E$11:$DQ$11,$E318)&lt;=1,0,SUMIF(Distance_Matrix!$E$11:$DQ$11,$E318,Distance_Matrix!$E$55:$DQ$55)/(COUNTIF(Distance_Matrix!$E$11:$DQ$11,$E318)-1))</f>
        <v>1.04166717902143</v>
      </c>
      <c r="H318" s="17" t="n">
        <f aca="false">MIN(IF(1=$E318,1E+099,IF(COUNTIF(Distance_Matrix!$E$11:$DQ$11,1)=0,1E+099,SUMIF(Distance_Matrix!$E$11:$DQ$11,1,Distance_Matrix!$E$55:$DQ$55)/COUNTIF(Distance_Matrix!$E$11:$DQ$11,1))),IF(2=$E318,1E+099,IF(COUNTIF(Distance_Matrix!$E$11:$DQ$11,2)=0,1E+099,SUMIF(Distance_Matrix!$E$11:$DQ$11,2,Distance_Matrix!$E$55:$DQ$55)/COUNTIF(Distance_Matrix!$E$11:$DQ$11,2))),IF(3=$E318,1E+099,IF(COUNTIF(Distance_Matrix!$E$11:$DQ$11,3)=0,1E+099,SUMIF(Distance_Matrix!$E$11:$DQ$11,3,Distance_Matrix!$E$55:$DQ$55)/COUNTIF(Distance_Matrix!$E$11:$DQ$11,3))),IF(4=$E318,1E+099,IF(COUNTIF(Distance_Matrix!$E$11:$DQ$11,4)=0,1E+099,SUMIF(Distance_Matrix!$E$11:$DQ$11,4,Distance_Matrix!$E$55:$DQ$55)/COUNTIF(Distance_Matrix!$E$11:$DQ$11,4))),IF(5=$E318,1E+099,IF(COUNTIF(Distance_Matrix!$E$11:$DQ$11,5)=0,1E+099,SUMIF(Distance_Matrix!$E$11:$DQ$11,5,Distance_Matrix!$E$55:$DQ$55)/COUNTIF(Distance_Matrix!$E$11:$DQ$11,5))))</f>
        <v>1.41747622023387</v>
      </c>
      <c r="I318" s="17" t="n">
        <f aca="false">IF(COUNTIF(Distance_Matrix!$E$11:$DQ$11,$E318)&lt;=1,0,(H318-G318)/MAX(G318,H318))</f>
        <v>0.265125464433138</v>
      </c>
      <c r="X318" s="17" t="n">
        <f aca="false">SQRT(($B318-X$270)^2+($C318-X$271)^2+($D318-X$272)^2)</f>
        <v>5.71555391045852</v>
      </c>
      <c r="Y318" s="17" t="n">
        <f aca="false">SQRT(($B318-Y$270)^2+($C318-Y$271)^2+($D318-Y$272)^2)</f>
        <v>3.0823789094685</v>
      </c>
      <c r="Z318" s="17" t="n">
        <f aca="false">SQRT(($B318-Z$270)^2+($C318-Z$271)^2+($D318-Z$272)^2)</f>
        <v>1.15934318016295</v>
      </c>
      <c r="AA318" s="17" t="n">
        <f aca="false">SQRT(($B318-AA$270)^2+($C318-AA$271)^2+($D318-AA$272)^2)</f>
        <v>1.95559001345375</v>
      </c>
      <c r="AB318" s="17" t="n">
        <f aca="false">SQRT(($B318-AB$270)^2+($C318-AB$271)^2+($D318-AB$272)^2)</f>
        <v>3.58950449830653</v>
      </c>
      <c r="AC318" s="63" t="n">
        <f aca="false">MATCH(MIN(X318:AB318),X318:AB318,0)</f>
        <v>3</v>
      </c>
      <c r="AE318" s="17" t="n">
        <f aca="false">SQRT(($B318-AE$270)^2+($C318-AE$271)^2+($D318-AE$272)^2)</f>
        <v>5.63526883599276</v>
      </c>
      <c r="AF318" s="17" t="n">
        <f aca="false">SQRT(($B318-AF$270)^2+($C318-AF$271)^2+($D318-AF$272)^2)</f>
        <v>2.3395753403826</v>
      </c>
      <c r="AG318" s="17" t="n">
        <f aca="false">SQRT(($B318-AG$270)^2+($C318-AG$271)^2+($D318-AG$272)^2)</f>
        <v>0.706438532248272</v>
      </c>
      <c r="AH318" s="17" t="n">
        <f aca="false">SQRT(($B318-AH$270)^2+($C318-AH$271)^2+($D318-AH$272)^2)</f>
        <v>1.37457567179133</v>
      </c>
      <c r="AI318" s="17" t="n">
        <f aca="false">SQRT(($B318-AI$270)^2+($C318-AI$271)^2+($D318-AI$272)^2)</f>
        <v>3.39851808292772</v>
      </c>
      <c r="AJ318" s="63" t="n">
        <f aca="false">MATCH(MIN(AE318:AI318),AE318:AI318,0)</f>
        <v>3</v>
      </c>
      <c r="AL318" s="17" t="n">
        <f aca="false">SQRT(($B318-AL$270)^2+($C318-AL$271)^2+($D318-AL$272)^2)</f>
        <v>5.63526883599276</v>
      </c>
      <c r="AM318" s="17" t="n">
        <f aca="false">SQRT(($B318-AM$270)^2+($C318-AM$271)^2+($D318-AM$272)^2)</f>
        <v>2.37108131681355</v>
      </c>
      <c r="AN318" s="17" t="n">
        <f aca="false">SQRT(($B318-AN$270)^2+($C318-AN$271)^2+($D318-AN$272)^2)</f>
        <v>0.793516183139798</v>
      </c>
      <c r="AO318" s="17" t="n">
        <f aca="false">SQRT(($B318-AO$270)^2+($C318-AO$271)^2+($D318-AO$272)^2)</f>
        <v>1.27769477452917</v>
      </c>
      <c r="AP318" s="17" t="n">
        <f aca="false">SQRT(($B318-AP$270)^2+($C318-AP$271)^2+($D318-AP$272)^2)</f>
        <v>3.13753793829753</v>
      </c>
      <c r="AQ318" s="63" t="n">
        <f aca="false">MATCH(MIN(AL318:AP318),AL318:AP318,0)</f>
        <v>3</v>
      </c>
      <c r="AS318" s="17" t="n">
        <f aca="false">SQRT(($B318-AS$270)^2+($C318-AS$271)^2+($D318-AS$272)^2)</f>
        <v>5.63526883599276</v>
      </c>
      <c r="AT318" s="17" t="n">
        <f aca="false">SQRT(($B318-AT$270)^2+($C318-AT$271)^2+($D318-AT$272)^2)</f>
        <v>2.46536435475618</v>
      </c>
      <c r="AU318" s="17" t="n">
        <f aca="false">SQRT(($B318-AU$270)^2+($C318-AU$271)^2+($D318-AU$272)^2)</f>
        <v>0.813504898096706</v>
      </c>
      <c r="AV318" s="17" t="n">
        <f aca="false">SQRT(($B318-AV$270)^2+($C318-AV$271)^2+($D318-AV$272)^2)</f>
        <v>1.27014376303122</v>
      </c>
      <c r="AW318" s="17" t="n">
        <f aca="false">SQRT(($B318-AW$270)^2+($C318-AW$271)^2+($D318-AW$272)^2)</f>
        <v>3.13753793829753</v>
      </c>
      <c r="AX318" s="63" t="n">
        <f aca="false">MATCH(MIN(AS318:AW318),AS318:AW318,0)</f>
        <v>3</v>
      </c>
      <c r="AZ318" s="17" t="n">
        <f aca="false">SQRT(($B318-AZ$270)^2+($C318-AZ$271)^2+($D318-AZ$272)^2)</f>
        <v>5.63526883599276</v>
      </c>
      <c r="BA318" s="17" t="n">
        <f aca="false">SQRT(($B318-BA$270)^2+($C318-BA$271)^2+($D318-BA$272)^2)</f>
        <v>2.46536435475618</v>
      </c>
      <c r="BB318" s="17" t="n">
        <f aca="false">SQRT(($B318-BB$270)^2+($C318-BB$271)^2+($D318-BB$272)^2)</f>
        <v>0.813504898096706</v>
      </c>
      <c r="BC318" s="17" t="n">
        <f aca="false">SQRT(($B318-BC$270)^2+($C318-BC$271)^2+($D318-BC$272)^2)</f>
        <v>1.27014376303122</v>
      </c>
      <c r="BD318" s="17" t="n">
        <f aca="false">SQRT(($B318-BD$270)^2+($C318-BD$271)^2+($D318-BD$272)^2)</f>
        <v>3.13753793829753</v>
      </c>
      <c r="BE318" s="63" t="n">
        <f aca="false">MATCH(MIN(AZ318:BD318),AZ318:BD318,0)</f>
        <v>3</v>
      </c>
      <c r="BG318" s="17" t="n">
        <f aca="false">SQRT(($B318-BG$270)^2+($C318-BG$271)^2+($D318-BG$272)^2)</f>
        <v>5.63526883599276</v>
      </c>
      <c r="BH318" s="17" t="n">
        <f aca="false">SQRT(($B318-BH$270)^2+($C318-BH$271)^2+($D318-BH$272)^2)</f>
        <v>2.46536435475618</v>
      </c>
      <c r="BI318" s="17" t="n">
        <f aca="false">SQRT(($B318-BI$270)^2+($C318-BI$271)^2+($D318-BI$272)^2)</f>
        <v>0.813504898096706</v>
      </c>
      <c r="BJ318" s="17" t="n">
        <f aca="false">SQRT(($B318-BJ$270)^2+($C318-BJ$271)^2+($D318-BJ$272)^2)</f>
        <v>1.27014376303122</v>
      </c>
      <c r="BK318" s="17" t="n">
        <f aca="false">SQRT(($B318-BK$270)^2+($C318-BK$271)^2+($D318-BK$272)^2)</f>
        <v>3.13753793829753</v>
      </c>
      <c r="BL318" s="63" t="n">
        <f aca="false">MATCH(MIN(BG318:BK318),BG318:BK318,0)</f>
        <v>3</v>
      </c>
      <c r="BN318" s="17" t="n">
        <f aca="false">SQRT(($B318-BN$270)^2+($C318-BN$271)^2+($D318-BN$272)^2)</f>
        <v>5.63526883599276</v>
      </c>
      <c r="BO318" s="17" t="n">
        <f aca="false">SQRT(($B318-BO$270)^2+($C318-BO$271)^2+($D318-BO$272)^2)</f>
        <v>2.46536435475618</v>
      </c>
      <c r="BP318" s="17" t="n">
        <f aca="false">SQRT(($B318-BP$270)^2+($C318-BP$271)^2+($D318-BP$272)^2)</f>
        <v>0.813504898096706</v>
      </c>
      <c r="BQ318" s="17" t="n">
        <f aca="false">SQRT(($B318-BQ$270)^2+($C318-BQ$271)^2+($D318-BQ$272)^2)</f>
        <v>1.27014376303122</v>
      </c>
      <c r="BR318" s="17" t="n">
        <f aca="false">SQRT(($B318-BR$270)^2+($C318-BR$271)^2+($D318-BR$272)^2)</f>
        <v>3.13753793829753</v>
      </c>
      <c r="BS318" s="63" t="n">
        <f aca="false">MATCH(MIN(BN318:BR318),BN318:BR318,0)</f>
        <v>3</v>
      </c>
      <c r="BU318" s="17" t="n">
        <f aca="false">SQRT(($B318-BU$270)^2+($C318-BU$271)^2+($D318-BU$272)^2)</f>
        <v>5.63526883599276</v>
      </c>
      <c r="BV318" s="17" t="n">
        <f aca="false">SQRT(($B318-BV$270)^2+($C318-BV$271)^2+($D318-BV$272)^2)</f>
        <v>2.46536435475618</v>
      </c>
      <c r="BW318" s="17" t="n">
        <f aca="false">SQRT(($B318-BW$270)^2+($C318-BW$271)^2+($D318-BW$272)^2)</f>
        <v>0.813504898096706</v>
      </c>
      <c r="BX318" s="17" t="n">
        <f aca="false">SQRT(($B318-BX$270)^2+($C318-BX$271)^2+($D318-BX$272)^2)</f>
        <v>1.27014376303122</v>
      </c>
      <c r="BY318" s="17" t="n">
        <f aca="false">SQRT(($B318-BY$270)^2+($C318-BY$271)^2+($D318-BY$272)^2)</f>
        <v>3.13753793829753</v>
      </c>
      <c r="BZ318" s="63" t="n">
        <f aca="false">MATCH(MIN(BU318:BY318),BU318:BY318,0)</f>
        <v>3</v>
      </c>
      <c r="CB318" s="17" t="n">
        <f aca="false">SQRT(($B318-CB$270)^2+($C318-CB$271)^2+($D318-CB$272)^2)</f>
        <v>5.63526883599276</v>
      </c>
      <c r="CC318" s="17" t="n">
        <f aca="false">SQRT(($B318-CC$270)^2+($C318-CC$271)^2+($D318-CC$272)^2)</f>
        <v>2.46536435475618</v>
      </c>
      <c r="CD318" s="17" t="n">
        <f aca="false">SQRT(($B318-CD$270)^2+($C318-CD$271)^2+($D318-CD$272)^2)</f>
        <v>0.813504898096706</v>
      </c>
      <c r="CE318" s="17" t="n">
        <f aca="false">SQRT(($B318-CE$270)^2+($C318-CE$271)^2+($D318-CE$272)^2)</f>
        <v>1.27014376303122</v>
      </c>
      <c r="CF318" s="17" t="n">
        <f aca="false">SQRT(($B318-CF$270)^2+($C318-CF$271)^2+($D318-CF$272)^2)</f>
        <v>3.13753793829753</v>
      </c>
      <c r="CG318" s="63" t="n">
        <f aca="false">MATCH(MIN(CB318:CF318),CB318:CF318,0)</f>
        <v>3</v>
      </c>
      <c r="CI318" s="17" t="n">
        <f aca="false">SQRT(($B318-CI$270)^2+($C318-CI$271)^2+($D318-CI$272)^2)</f>
        <v>5.63526883599276</v>
      </c>
      <c r="CJ318" s="17" t="n">
        <f aca="false">SQRT(($B318-CJ$270)^2+($C318-CJ$271)^2+($D318-CJ$272)^2)</f>
        <v>2.46536435475618</v>
      </c>
      <c r="CK318" s="17" t="n">
        <f aca="false">SQRT(($B318-CK$270)^2+($C318-CK$271)^2+($D318-CK$272)^2)</f>
        <v>0.813504898096706</v>
      </c>
      <c r="CL318" s="17" t="n">
        <f aca="false">SQRT(($B318-CL$270)^2+($C318-CL$271)^2+($D318-CL$272)^2)</f>
        <v>1.27014376303122</v>
      </c>
      <c r="CM318" s="17" t="n">
        <f aca="false">SQRT(($B318-CM$270)^2+($C318-CM$271)^2+($D318-CM$272)^2)</f>
        <v>3.13753793829753</v>
      </c>
      <c r="CN318" s="63" t="n">
        <f aca="false">MATCH(MIN(CI318:CM318),CI318:CM318,0)</f>
        <v>3</v>
      </c>
      <c r="CP318" s="17" t="n">
        <f aca="false">SQRT(($B318-CP$270)^2+($C318-CP$271)^2+($D318-CP$272)^2)</f>
        <v>5.63526883599276</v>
      </c>
      <c r="CQ318" s="17" t="n">
        <f aca="false">SQRT(($B318-CQ$270)^2+($C318-CQ$271)^2+($D318-CQ$272)^2)</f>
        <v>2.46536435475618</v>
      </c>
      <c r="CR318" s="17" t="n">
        <f aca="false">SQRT(($B318-CR$270)^2+($C318-CR$271)^2+($D318-CR$272)^2)</f>
        <v>0.813504898096706</v>
      </c>
      <c r="CS318" s="17" t="n">
        <f aca="false">SQRT(($B318-CS$270)^2+($C318-CS$271)^2+($D318-CS$272)^2)</f>
        <v>1.27014376303122</v>
      </c>
      <c r="CT318" s="17" t="n">
        <f aca="false">SQRT(($B318-CT$270)^2+($C318-CT$271)^2+($D318-CT$272)^2)</f>
        <v>3.13753793829753</v>
      </c>
      <c r="CU318" s="63" t="n">
        <f aca="false">MATCH(MIN(CP318:CT318),CP318:CT318,0)</f>
        <v>3</v>
      </c>
      <c r="CW318" s="17" t="n">
        <f aca="false">SQRT(($B318-CW$270)^2+($C318-CW$271)^2+($D318-CW$272)^2)</f>
        <v>5.63526883599276</v>
      </c>
      <c r="CX318" s="17" t="n">
        <f aca="false">SQRT(($B318-CX$270)^2+($C318-CX$271)^2+($D318-CX$272)^2)</f>
        <v>2.46536435475618</v>
      </c>
      <c r="CY318" s="17" t="n">
        <f aca="false">SQRT(($B318-CY$270)^2+($C318-CY$271)^2+($D318-CY$272)^2)</f>
        <v>0.813504898096706</v>
      </c>
      <c r="CZ318" s="17" t="n">
        <f aca="false">SQRT(($B318-CZ$270)^2+($C318-CZ$271)^2+($D318-CZ$272)^2)</f>
        <v>1.27014376303122</v>
      </c>
      <c r="DA318" s="17" t="n">
        <f aca="false">SQRT(($B318-DA$270)^2+($C318-DA$271)^2+($D318-DA$272)^2)</f>
        <v>3.13753793829753</v>
      </c>
      <c r="DB318" s="63" t="n">
        <f aca="false">MATCH(MIN(CW318:DA318),CW318:DA318,0)</f>
        <v>3</v>
      </c>
    </row>
    <row r="319" customFormat="false" ht="15" hidden="false" customHeight="false" outlineLevel="0" collapsed="false">
      <c r="A319" s="36" t="str">
        <f aca="false">KMeans_Data!A47</f>
        <v>Rahim Yar Khan</v>
      </c>
      <c r="B319" s="17" t="n">
        <f aca="false">KMeans_Data!H47</f>
        <v>0.262278036420678</v>
      </c>
      <c r="C319" s="17" t="n">
        <f aca="false">KMeans_Data!I47</f>
        <v>-0.146983133929529</v>
      </c>
      <c r="D319" s="17" t="n">
        <f aca="false">KMeans_Data!J47</f>
        <v>-0.636557171841548</v>
      </c>
      <c r="E319" s="63" t="n">
        <f aca="false">DB319</f>
        <v>4</v>
      </c>
      <c r="F319" s="38" t="n">
        <f aca="false">($B319-INDEX($L$270:$P$270,E319))^2+($C319-INDEX($L$271:$P$271,E319))^2+($D319-INDEX($L$272:$P$272,E319))^2</f>
        <v>0.351617695507448</v>
      </c>
      <c r="G319" s="17" t="n">
        <f aca="false">IF(COUNTIF(Distance_Matrix!$E$11:$DQ$11,$E319)&lt;=1,0,SUMIF(Distance_Matrix!$E$11:$DQ$11,$E319,Distance_Matrix!$E$56:$DQ$56)/(COUNTIF(Distance_Matrix!$E$11:$DQ$11,$E319)-1))</f>
        <v>0.961796407862597</v>
      </c>
      <c r="H319" s="17" t="n">
        <f aca="false">MIN(IF(1=$E319,1E+099,IF(COUNTIF(Distance_Matrix!$E$11:$DQ$11,1)=0,1E+099,SUMIF(Distance_Matrix!$E$11:$DQ$11,1,Distance_Matrix!$E$56:$DQ$56)/COUNTIF(Distance_Matrix!$E$11:$DQ$11,1))),IF(2=$E319,1E+099,IF(COUNTIF(Distance_Matrix!$E$11:$DQ$11,2)=0,1E+099,SUMIF(Distance_Matrix!$E$11:$DQ$11,2,Distance_Matrix!$E$56:$DQ$56)/COUNTIF(Distance_Matrix!$E$11:$DQ$11,2))),IF(3=$E319,1E+099,IF(COUNTIF(Distance_Matrix!$E$11:$DQ$11,3)=0,1E+099,SUMIF(Distance_Matrix!$E$11:$DQ$11,3,Distance_Matrix!$E$56:$DQ$56)/COUNTIF(Distance_Matrix!$E$11:$DQ$11,3))),IF(4=$E319,1E+099,IF(COUNTIF(Distance_Matrix!$E$11:$DQ$11,4)=0,1E+099,SUMIF(Distance_Matrix!$E$11:$DQ$11,4,Distance_Matrix!$E$56:$DQ$56)/COUNTIF(Distance_Matrix!$E$11:$DQ$11,4))),IF(5=$E319,1E+099,IF(COUNTIF(Distance_Matrix!$E$11:$DQ$11,5)=0,1E+099,SUMIF(Distance_Matrix!$E$11:$DQ$11,5,Distance_Matrix!$E$56:$DQ$56)/COUNTIF(Distance_Matrix!$E$11:$DQ$11,5))))</f>
        <v>1.69682940207443</v>
      </c>
      <c r="I319" s="17" t="n">
        <f aca="false">IF(COUNTIF(Distance_Matrix!$E$11:$DQ$11,$E319)&lt;=1,0,(H319-G319)/MAX(G319,H319))</f>
        <v>0.433180255665791</v>
      </c>
      <c r="X319" s="17" t="n">
        <f aca="false">SQRT(($B319-X$270)^2+($C319-X$271)^2+($D319-X$272)^2)</f>
        <v>6.45909936721902</v>
      </c>
      <c r="Y319" s="17" t="n">
        <f aca="false">SQRT(($B319-Y$270)^2+($C319-Y$271)^2+($D319-Y$272)^2)</f>
        <v>2.45367780569083</v>
      </c>
      <c r="Z319" s="17" t="n">
        <f aca="false">SQRT(($B319-Z$270)^2+($C319-Z$271)^2+($D319-Z$272)^2)</f>
        <v>2.30571691728434</v>
      </c>
      <c r="AA319" s="17" t="n">
        <f aca="false">SQRT(($B319-AA$270)^2+($C319-AA$271)^2+($D319-AA$272)^2)</f>
        <v>0.637307822108715</v>
      </c>
      <c r="AB319" s="17" t="n">
        <f aca="false">SQRT(($B319-AB$270)^2+($C319-AB$271)^2+($D319-AB$272)^2)</f>
        <v>4.40818703542716</v>
      </c>
      <c r="AC319" s="63" t="n">
        <f aca="false">MATCH(MIN(X319:AB319),X319:AB319,0)</f>
        <v>4</v>
      </c>
      <c r="AE319" s="17" t="n">
        <f aca="false">SQRT(($B319-AE$270)^2+($C319-AE$271)^2+($D319-AE$272)^2)</f>
        <v>6.32464423034095</v>
      </c>
      <c r="AF319" s="17" t="n">
        <f aca="false">SQRT(($B319-AF$270)^2+($C319-AF$271)^2+($D319-AF$272)^2)</f>
        <v>1.61431617779327</v>
      </c>
      <c r="AG319" s="17" t="n">
        <f aca="false">SQRT(($B319-AG$270)^2+($C319-AG$271)^2+($D319-AG$272)^2)</f>
        <v>1.64267620585928</v>
      </c>
      <c r="AH319" s="17" t="n">
        <f aca="false">SQRT(($B319-AH$270)^2+($C319-AH$271)^2+($D319-AH$272)^2)</f>
        <v>0.487262226628422</v>
      </c>
      <c r="AI319" s="17" t="n">
        <f aca="false">SQRT(($B319-AI$270)^2+($C319-AI$271)^2+($D319-AI$272)^2)</f>
        <v>4.05495238686186</v>
      </c>
      <c r="AJ319" s="63" t="n">
        <f aca="false">MATCH(MIN(AE319:AI319),AE319:AI319,0)</f>
        <v>4</v>
      </c>
      <c r="AL319" s="17" t="n">
        <f aca="false">SQRT(($B319-AL$270)^2+($C319-AL$271)^2+($D319-AL$272)^2)</f>
        <v>6.32464423034095</v>
      </c>
      <c r="AM319" s="17" t="n">
        <f aca="false">SQRT(($B319-AM$270)^2+($C319-AM$271)^2+($D319-AM$272)^2)</f>
        <v>1.61631101585141</v>
      </c>
      <c r="AN319" s="17" t="n">
        <f aca="false">SQRT(($B319-AN$270)^2+($C319-AN$271)^2+($D319-AN$272)^2)</f>
        <v>1.68084147183475</v>
      </c>
      <c r="AO319" s="17" t="n">
        <f aca="false">SQRT(($B319-AO$270)^2+($C319-AO$271)^2+($D319-AO$272)^2)</f>
        <v>0.555204105870712</v>
      </c>
      <c r="AP319" s="17" t="n">
        <f aca="false">SQRT(($B319-AP$270)^2+($C319-AP$271)^2+($D319-AP$272)^2)</f>
        <v>3.79234611261965</v>
      </c>
      <c r="AQ319" s="63" t="n">
        <f aca="false">MATCH(MIN(AL319:AP319),AL319:AP319,0)</f>
        <v>4</v>
      </c>
      <c r="AS319" s="17" t="n">
        <f aca="false">SQRT(($B319-AS$270)^2+($C319-AS$271)^2+($D319-AS$272)^2)</f>
        <v>6.32464423034095</v>
      </c>
      <c r="AT319" s="17" t="n">
        <f aca="false">SQRT(($B319-AT$270)^2+($C319-AT$271)^2+($D319-AT$272)^2)</f>
        <v>1.67878071626405</v>
      </c>
      <c r="AU319" s="17" t="n">
        <f aca="false">SQRT(($B319-AU$270)^2+($C319-AU$271)^2+($D319-AU$272)^2)</f>
        <v>1.7038733067678</v>
      </c>
      <c r="AV319" s="17" t="n">
        <f aca="false">SQRT(($B319-AV$270)^2+($C319-AV$271)^2+($D319-AV$272)^2)</f>
        <v>0.592973604393525</v>
      </c>
      <c r="AW319" s="17" t="n">
        <f aca="false">SQRT(($B319-AW$270)^2+($C319-AW$271)^2+($D319-AW$272)^2)</f>
        <v>3.79234611261965</v>
      </c>
      <c r="AX319" s="63" t="n">
        <f aca="false">MATCH(MIN(AS319:AW319),AS319:AW319,0)</f>
        <v>4</v>
      </c>
      <c r="AZ319" s="17" t="n">
        <f aca="false">SQRT(($B319-AZ$270)^2+($C319-AZ$271)^2+($D319-AZ$272)^2)</f>
        <v>6.32464423034095</v>
      </c>
      <c r="BA319" s="17" t="n">
        <f aca="false">SQRT(($B319-BA$270)^2+($C319-BA$271)^2+($D319-BA$272)^2)</f>
        <v>1.67878071626405</v>
      </c>
      <c r="BB319" s="17" t="n">
        <f aca="false">SQRT(($B319-BB$270)^2+($C319-BB$271)^2+($D319-BB$272)^2)</f>
        <v>1.7038733067678</v>
      </c>
      <c r="BC319" s="17" t="n">
        <f aca="false">SQRT(($B319-BC$270)^2+($C319-BC$271)^2+($D319-BC$272)^2)</f>
        <v>0.592973604393525</v>
      </c>
      <c r="BD319" s="17" t="n">
        <f aca="false">SQRT(($B319-BD$270)^2+($C319-BD$271)^2+($D319-BD$272)^2)</f>
        <v>3.79234611261965</v>
      </c>
      <c r="BE319" s="63" t="n">
        <f aca="false">MATCH(MIN(AZ319:BD319),AZ319:BD319,0)</f>
        <v>4</v>
      </c>
      <c r="BG319" s="17" t="n">
        <f aca="false">SQRT(($B319-BG$270)^2+($C319-BG$271)^2+($D319-BG$272)^2)</f>
        <v>6.32464423034095</v>
      </c>
      <c r="BH319" s="17" t="n">
        <f aca="false">SQRT(($B319-BH$270)^2+($C319-BH$271)^2+($D319-BH$272)^2)</f>
        <v>1.67878071626405</v>
      </c>
      <c r="BI319" s="17" t="n">
        <f aca="false">SQRT(($B319-BI$270)^2+($C319-BI$271)^2+($D319-BI$272)^2)</f>
        <v>1.7038733067678</v>
      </c>
      <c r="BJ319" s="17" t="n">
        <f aca="false">SQRT(($B319-BJ$270)^2+($C319-BJ$271)^2+($D319-BJ$272)^2)</f>
        <v>0.592973604393525</v>
      </c>
      <c r="BK319" s="17" t="n">
        <f aca="false">SQRT(($B319-BK$270)^2+($C319-BK$271)^2+($D319-BK$272)^2)</f>
        <v>3.79234611261965</v>
      </c>
      <c r="BL319" s="63" t="n">
        <f aca="false">MATCH(MIN(BG319:BK319),BG319:BK319,0)</f>
        <v>4</v>
      </c>
      <c r="BN319" s="17" t="n">
        <f aca="false">SQRT(($B319-BN$270)^2+($C319-BN$271)^2+($D319-BN$272)^2)</f>
        <v>6.32464423034095</v>
      </c>
      <c r="BO319" s="17" t="n">
        <f aca="false">SQRT(($B319-BO$270)^2+($C319-BO$271)^2+($D319-BO$272)^2)</f>
        <v>1.67878071626405</v>
      </c>
      <c r="BP319" s="17" t="n">
        <f aca="false">SQRT(($B319-BP$270)^2+($C319-BP$271)^2+($D319-BP$272)^2)</f>
        <v>1.7038733067678</v>
      </c>
      <c r="BQ319" s="17" t="n">
        <f aca="false">SQRT(($B319-BQ$270)^2+($C319-BQ$271)^2+($D319-BQ$272)^2)</f>
        <v>0.592973604393525</v>
      </c>
      <c r="BR319" s="17" t="n">
        <f aca="false">SQRT(($B319-BR$270)^2+($C319-BR$271)^2+($D319-BR$272)^2)</f>
        <v>3.79234611261965</v>
      </c>
      <c r="BS319" s="63" t="n">
        <f aca="false">MATCH(MIN(BN319:BR319),BN319:BR319,0)</f>
        <v>4</v>
      </c>
      <c r="BU319" s="17" t="n">
        <f aca="false">SQRT(($B319-BU$270)^2+($C319-BU$271)^2+($D319-BU$272)^2)</f>
        <v>6.32464423034095</v>
      </c>
      <c r="BV319" s="17" t="n">
        <f aca="false">SQRT(($B319-BV$270)^2+($C319-BV$271)^2+($D319-BV$272)^2)</f>
        <v>1.67878071626405</v>
      </c>
      <c r="BW319" s="17" t="n">
        <f aca="false">SQRT(($B319-BW$270)^2+($C319-BW$271)^2+($D319-BW$272)^2)</f>
        <v>1.7038733067678</v>
      </c>
      <c r="BX319" s="17" t="n">
        <f aca="false">SQRT(($B319-BX$270)^2+($C319-BX$271)^2+($D319-BX$272)^2)</f>
        <v>0.592973604393525</v>
      </c>
      <c r="BY319" s="17" t="n">
        <f aca="false">SQRT(($B319-BY$270)^2+($C319-BY$271)^2+($D319-BY$272)^2)</f>
        <v>3.79234611261965</v>
      </c>
      <c r="BZ319" s="63" t="n">
        <f aca="false">MATCH(MIN(BU319:BY319),BU319:BY319,0)</f>
        <v>4</v>
      </c>
      <c r="CB319" s="17" t="n">
        <f aca="false">SQRT(($B319-CB$270)^2+($C319-CB$271)^2+($D319-CB$272)^2)</f>
        <v>6.32464423034095</v>
      </c>
      <c r="CC319" s="17" t="n">
        <f aca="false">SQRT(($B319-CC$270)^2+($C319-CC$271)^2+($D319-CC$272)^2)</f>
        <v>1.67878071626405</v>
      </c>
      <c r="CD319" s="17" t="n">
        <f aca="false">SQRT(($B319-CD$270)^2+($C319-CD$271)^2+($D319-CD$272)^2)</f>
        <v>1.7038733067678</v>
      </c>
      <c r="CE319" s="17" t="n">
        <f aca="false">SQRT(($B319-CE$270)^2+($C319-CE$271)^2+($D319-CE$272)^2)</f>
        <v>0.592973604393525</v>
      </c>
      <c r="CF319" s="17" t="n">
        <f aca="false">SQRT(($B319-CF$270)^2+($C319-CF$271)^2+($D319-CF$272)^2)</f>
        <v>3.79234611261965</v>
      </c>
      <c r="CG319" s="63" t="n">
        <f aca="false">MATCH(MIN(CB319:CF319),CB319:CF319,0)</f>
        <v>4</v>
      </c>
      <c r="CI319" s="17" t="n">
        <f aca="false">SQRT(($B319-CI$270)^2+($C319-CI$271)^2+($D319-CI$272)^2)</f>
        <v>6.32464423034095</v>
      </c>
      <c r="CJ319" s="17" t="n">
        <f aca="false">SQRT(($B319-CJ$270)^2+($C319-CJ$271)^2+($D319-CJ$272)^2)</f>
        <v>1.67878071626405</v>
      </c>
      <c r="CK319" s="17" t="n">
        <f aca="false">SQRT(($B319-CK$270)^2+($C319-CK$271)^2+($D319-CK$272)^2)</f>
        <v>1.7038733067678</v>
      </c>
      <c r="CL319" s="17" t="n">
        <f aca="false">SQRT(($B319-CL$270)^2+($C319-CL$271)^2+($D319-CL$272)^2)</f>
        <v>0.592973604393525</v>
      </c>
      <c r="CM319" s="17" t="n">
        <f aca="false">SQRT(($B319-CM$270)^2+($C319-CM$271)^2+($D319-CM$272)^2)</f>
        <v>3.79234611261965</v>
      </c>
      <c r="CN319" s="63" t="n">
        <f aca="false">MATCH(MIN(CI319:CM319),CI319:CM319,0)</f>
        <v>4</v>
      </c>
      <c r="CP319" s="17" t="n">
        <f aca="false">SQRT(($B319-CP$270)^2+($C319-CP$271)^2+($D319-CP$272)^2)</f>
        <v>6.32464423034095</v>
      </c>
      <c r="CQ319" s="17" t="n">
        <f aca="false">SQRT(($B319-CQ$270)^2+($C319-CQ$271)^2+($D319-CQ$272)^2)</f>
        <v>1.67878071626405</v>
      </c>
      <c r="CR319" s="17" t="n">
        <f aca="false">SQRT(($B319-CR$270)^2+($C319-CR$271)^2+($D319-CR$272)^2)</f>
        <v>1.7038733067678</v>
      </c>
      <c r="CS319" s="17" t="n">
        <f aca="false">SQRT(($B319-CS$270)^2+($C319-CS$271)^2+($D319-CS$272)^2)</f>
        <v>0.592973604393525</v>
      </c>
      <c r="CT319" s="17" t="n">
        <f aca="false">SQRT(($B319-CT$270)^2+($C319-CT$271)^2+($D319-CT$272)^2)</f>
        <v>3.79234611261965</v>
      </c>
      <c r="CU319" s="63" t="n">
        <f aca="false">MATCH(MIN(CP319:CT319),CP319:CT319,0)</f>
        <v>4</v>
      </c>
      <c r="CW319" s="17" t="n">
        <f aca="false">SQRT(($B319-CW$270)^2+($C319-CW$271)^2+($D319-CW$272)^2)</f>
        <v>6.32464423034095</v>
      </c>
      <c r="CX319" s="17" t="n">
        <f aca="false">SQRT(($B319-CX$270)^2+($C319-CX$271)^2+($D319-CX$272)^2)</f>
        <v>1.67878071626405</v>
      </c>
      <c r="CY319" s="17" t="n">
        <f aca="false">SQRT(($B319-CY$270)^2+($C319-CY$271)^2+($D319-CY$272)^2)</f>
        <v>1.7038733067678</v>
      </c>
      <c r="CZ319" s="17" t="n">
        <f aca="false">SQRT(($B319-CZ$270)^2+($C319-CZ$271)^2+($D319-CZ$272)^2)</f>
        <v>0.592973604393525</v>
      </c>
      <c r="DA319" s="17" t="n">
        <f aca="false">SQRT(($B319-DA$270)^2+($C319-DA$271)^2+($D319-DA$272)^2)</f>
        <v>3.79234611261965</v>
      </c>
      <c r="DB319" s="63" t="n">
        <f aca="false">MATCH(MIN(CW319:DA319),CW319:DA319,0)</f>
        <v>4</v>
      </c>
    </row>
    <row r="320" customFormat="false" ht="15" hidden="false" customHeight="false" outlineLevel="0" collapsed="false">
      <c r="A320" s="36" t="str">
        <f aca="false">KMeans_Data!A48</f>
        <v>Jamshoro</v>
      </c>
      <c r="B320" s="17" t="n">
        <f aca="false">KMeans_Data!H48</f>
        <v>0.256462668461943</v>
      </c>
      <c r="C320" s="17" t="n">
        <f aca="false">KMeans_Data!I48</f>
        <v>-0.672650545388274</v>
      </c>
      <c r="D320" s="17" t="n">
        <f aca="false">KMeans_Data!J48</f>
        <v>0.514925973520034</v>
      </c>
      <c r="E320" s="63" t="n">
        <f aca="false">DB320</f>
        <v>4</v>
      </c>
      <c r="F320" s="38" t="n">
        <f aca="false">($B320-INDEX($L$270:$P$270,E320))^2+($C320-INDEX($L$271:$P$271,E320))^2+($D320-INDEX($L$272:$P$272,E320))^2</f>
        <v>0.96752270456125</v>
      </c>
      <c r="G320" s="17" t="n">
        <f aca="false">IF(COUNTIF(Distance_Matrix!$E$11:$DQ$11,$E320)&lt;=1,0,SUMIF(Distance_Matrix!$E$11:$DQ$11,$E320,Distance_Matrix!$E$57:$DQ$57)/(COUNTIF(Distance_Matrix!$E$11:$DQ$11,$E320)-1))</f>
        <v>1.20311734213651</v>
      </c>
      <c r="H320" s="17" t="n">
        <f aca="false">MIN(IF(1=$E320,1E+099,IF(COUNTIF(Distance_Matrix!$E$11:$DQ$11,1)=0,1E+099,SUMIF(Distance_Matrix!$E$11:$DQ$11,1,Distance_Matrix!$E$57:$DQ$57)/COUNTIF(Distance_Matrix!$E$11:$DQ$11,1))),IF(2=$E320,1E+099,IF(COUNTIF(Distance_Matrix!$E$11:$DQ$11,2)=0,1E+099,SUMIF(Distance_Matrix!$E$11:$DQ$11,2,Distance_Matrix!$E$57:$DQ$57)/COUNTIF(Distance_Matrix!$E$11:$DQ$11,2))),IF(3=$E320,1E+099,IF(COUNTIF(Distance_Matrix!$E$11:$DQ$11,3)=0,1E+099,SUMIF(Distance_Matrix!$E$11:$DQ$11,3,Distance_Matrix!$E$57:$DQ$57)/COUNTIF(Distance_Matrix!$E$11:$DQ$11,3))),IF(4=$E320,1E+099,IF(COUNTIF(Distance_Matrix!$E$11:$DQ$11,4)=0,1E+099,SUMIF(Distance_Matrix!$E$11:$DQ$11,4,Distance_Matrix!$E$57:$DQ$57)/COUNTIF(Distance_Matrix!$E$11:$DQ$11,4))),IF(5=$E320,1E+099,IF(COUNTIF(Distance_Matrix!$E$11:$DQ$11,5)=0,1E+099,SUMIF(Distance_Matrix!$E$11:$DQ$11,5,Distance_Matrix!$E$57:$DQ$57)/COUNTIF(Distance_Matrix!$E$11:$DQ$11,5))))</f>
        <v>1.45559284837571</v>
      </c>
      <c r="I320" s="17" t="n">
        <f aca="false">IF(COUNTIF(Distance_Matrix!$E$11:$DQ$11,$E320)&lt;=1,0,(H320-G320)/MAX(G320,H320))</f>
        <v>0.173452010650462</v>
      </c>
      <c r="X320" s="17" t="n">
        <f aca="false">SQRT(($B320-X$270)^2+($C320-X$271)^2+($D320-X$272)^2)</f>
        <v>6.22905502444889</v>
      </c>
      <c r="Y320" s="17" t="n">
        <f aca="false">SQRT(($B320-Y$270)^2+($C320-Y$271)^2+($D320-Y$272)^2)</f>
        <v>2.86623908661092</v>
      </c>
      <c r="Z320" s="17" t="n">
        <f aca="false">SQRT(($B320-Z$270)^2+($C320-Z$271)^2+($D320-Z$272)^2)</f>
        <v>1.62111347963302</v>
      </c>
      <c r="AA320" s="17" t="n">
        <f aca="false">SQRT(($B320-AA$270)^2+($C320-AA$271)^2+($D320-AA$272)^2)</f>
        <v>1.78474199217</v>
      </c>
      <c r="AB320" s="17" t="n">
        <f aca="false">SQRT(($B320-AB$270)^2+($C320-AB$271)^2+($D320-AB$272)^2)</f>
        <v>4.08605568902378</v>
      </c>
      <c r="AC320" s="63" t="n">
        <f aca="false">MATCH(MIN(X320:AB320),X320:AB320,0)</f>
        <v>3</v>
      </c>
      <c r="AE320" s="17" t="n">
        <f aca="false">SQRT(($B320-AE$270)^2+($C320-AE$271)^2+($D320-AE$272)^2)</f>
        <v>6.14841831102961</v>
      </c>
      <c r="AF320" s="17" t="n">
        <f aca="false">SQRT(($B320-AF$270)^2+($C320-AF$271)^2+($D320-AF$272)^2)</f>
        <v>2.08463351430318</v>
      </c>
      <c r="AG320" s="17" t="n">
        <f aca="false">SQRT(($B320-AG$270)^2+($C320-AG$271)^2+($D320-AG$272)^2)</f>
        <v>1.25296806225025</v>
      </c>
      <c r="AH320" s="17" t="n">
        <f aca="false">SQRT(($B320-AH$270)^2+($C320-AH$271)^2+($D320-AH$272)^2)</f>
        <v>1.09265030446496</v>
      </c>
      <c r="AI320" s="17" t="n">
        <f aca="false">SQRT(($B320-AI$270)^2+($C320-AI$271)^2+($D320-AI$272)^2)</f>
        <v>3.91220862428703</v>
      </c>
      <c r="AJ320" s="63" t="n">
        <f aca="false">MATCH(MIN(AE320:AI320),AE320:AI320,0)</f>
        <v>4</v>
      </c>
      <c r="AL320" s="17" t="n">
        <f aca="false">SQRT(($B320-AL$270)^2+($C320-AL$271)^2+($D320-AL$272)^2)</f>
        <v>6.14841831102961</v>
      </c>
      <c r="AM320" s="17" t="n">
        <f aca="false">SQRT(($B320-AM$270)^2+($C320-AM$271)^2+($D320-AM$272)^2)</f>
        <v>2.11383064857691</v>
      </c>
      <c r="AN320" s="17" t="n">
        <f aca="false">SQRT(($B320-AN$270)^2+($C320-AN$271)^2+($D320-AN$272)^2)</f>
        <v>1.33373384280436</v>
      </c>
      <c r="AO320" s="17" t="n">
        <f aca="false">SQRT(($B320-AO$270)^2+($C320-AO$271)^2+($D320-AO$272)^2)</f>
        <v>0.986208654340817</v>
      </c>
      <c r="AP320" s="17" t="n">
        <f aca="false">SQRT(($B320-AP$270)^2+($C320-AP$271)^2+($D320-AP$272)^2)</f>
        <v>3.65604331872449</v>
      </c>
      <c r="AQ320" s="63" t="n">
        <f aca="false">MATCH(MIN(AL320:AP320),AL320:AP320,0)</f>
        <v>4</v>
      </c>
      <c r="AS320" s="17" t="n">
        <f aca="false">SQRT(($B320-AS$270)^2+($C320-AS$271)^2+($D320-AS$272)^2)</f>
        <v>6.14841831102961</v>
      </c>
      <c r="AT320" s="17" t="n">
        <f aca="false">SQRT(($B320-AT$270)^2+($C320-AT$271)^2+($D320-AT$272)^2)</f>
        <v>2.20890874664778</v>
      </c>
      <c r="AU320" s="17" t="n">
        <f aca="false">SQRT(($B320-AU$270)^2+($C320-AU$271)^2+($D320-AU$272)^2)</f>
        <v>1.35353201548294</v>
      </c>
      <c r="AV320" s="17" t="n">
        <f aca="false">SQRT(($B320-AV$270)^2+($C320-AV$271)^2+($D320-AV$272)^2)</f>
        <v>0.983627319954692</v>
      </c>
      <c r="AW320" s="17" t="n">
        <f aca="false">SQRT(($B320-AW$270)^2+($C320-AW$271)^2+($D320-AW$272)^2)</f>
        <v>3.65604331872449</v>
      </c>
      <c r="AX320" s="63" t="n">
        <f aca="false">MATCH(MIN(AS320:AW320),AS320:AW320,0)</f>
        <v>4</v>
      </c>
      <c r="AZ320" s="17" t="n">
        <f aca="false">SQRT(($B320-AZ$270)^2+($C320-AZ$271)^2+($D320-AZ$272)^2)</f>
        <v>6.14841831102961</v>
      </c>
      <c r="BA320" s="17" t="n">
        <f aca="false">SQRT(($B320-BA$270)^2+($C320-BA$271)^2+($D320-BA$272)^2)</f>
        <v>2.20890874664778</v>
      </c>
      <c r="BB320" s="17" t="n">
        <f aca="false">SQRT(($B320-BB$270)^2+($C320-BB$271)^2+($D320-BB$272)^2)</f>
        <v>1.35353201548294</v>
      </c>
      <c r="BC320" s="17" t="n">
        <f aca="false">SQRT(($B320-BC$270)^2+($C320-BC$271)^2+($D320-BC$272)^2)</f>
        <v>0.983627319954692</v>
      </c>
      <c r="BD320" s="17" t="n">
        <f aca="false">SQRT(($B320-BD$270)^2+($C320-BD$271)^2+($D320-BD$272)^2)</f>
        <v>3.65604331872449</v>
      </c>
      <c r="BE320" s="63" t="n">
        <f aca="false">MATCH(MIN(AZ320:BD320),AZ320:BD320,0)</f>
        <v>4</v>
      </c>
      <c r="BG320" s="17" t="n">
        <f aca="false">SQRT(($B320-BG$270)^2+($C320-BG$271)^2+($D320-BG$272)^2)</f>
        <v>6.14841831102961</v>
      </c>
      <c r="BH320" s="17" t="n">
        <f aca="false">SQRT(($B320-BH$270)^2+($C320-BH$271)^2+($D320-BH$272)^2)</f>
        <v>2.20890874664778</v>
      </c>
      <c r="BI320" s="17" t="n">
        <f aca="false">SQRT(($B320-BI$270)^2+($C320-BI$271)^2+($D320-BI$272)^2)</f>
        <v>1.35353201548294</v>
      </c>
      <c r="BJ320" s="17" t="n">
        <f aca="false">SQRT(($B320-BJ$270)^2+($C320-BJ$271)^2+($D320-BJ$272)^2)</f>
        <v>0.983627319954692</v>
      </c>
      <c r="BK320" s="17" t="n">
        <f aca="false">SQRT(($B320-BK$270)^2+($C320-BK$271)^2+($D320-BK$272)^2)</f>
        <v>3.65604331872449</v>
      </c>
      <c r="BL320" s="63" t="n">
        <f aca="false">MATCH(MIN(BG320:BK320),BG320:BK320,0)</f>
        <v>4</v>
      </c>
      <c r="BN320" s="17" t="n">
        <f aca="false">SQRT(($B320-BN$270)^2+($C320-BN$271)^2+($D320-BN$272)^2)</f>
        <v>6.14841831102961</v>
      </c>
      <c r="BO320" s="17" t="n">
        <f aca="false">SQRT(($B320-BO$270)^2+($C320-BO$271)^2+($D320-BO$272)^2)</f>
        <v>2.20890874664778</v>
      </c>
      <c r="BP320" s="17" t="n">
        <f aca="false">SQRT(($B320-BP$270)^2+($C320-BP$271)^2+($D320-BP$272)^2)</f>
        <v>1.35353201548294</v>
      </c>
      <c r="BQ320" s="17" t="n">
        <f aca="false">SQRT(($B320-BQ$270)^2+($C320-BQ$271)^2+($D320-BQ$272)^2)</f>
        <v>0.983627319954692</v>
      </c>
      <c r="BR320" s="17" t="n">
        <f aca="false">SQRT(($B320-BR$270)^2+($C320-BR$271)^2+($D320-BR$272)^2)</f>
        <v>3.65604331872449</v>
      </c>
      <c r="BS320" s="63" t="n">
        <f aca="false">MATCH(MIN(BN320:BR320),BN320:BR320,0)</f>
        <v>4</v>
      </c>
      <c r="BU320" s="17" t="n">
        <f aca="false">SQRT(($B320-BU$270)^2+($C320-BU$271)^2+($D320-BU$272)^2)</f>
        <v>6.14841831102961</v>
      </c>
      <c r="BV320" s="17" t="n">
        <f aca="false">SQRT(($B320-BV$270)^2+($C320-BV$271)^2+($D320-BV$272)^2)</f>
        <v>2.20890874664778</v>
      </c>
      <c r="BW320" s="17" t="n">
        <f aca="false">SQRT(($B320-BW$270)^2+($C320-BW$271)^2+($D320-BW$272)^2)</f>
        <v>1.35353201548294</v>
      </c>
      <c r="BX320" s="17" t="n">
        <f aca="false">SQRT(($B320-BX$270)^2+($C320-BX$271)^2+($D320-BX$272)^2)</f>
        <v>0.983627319954692</v>
      </c>
      <c r="BY320" s="17" t="n">
        <f aca="false">SQRT(($B320-BY$270)^2+($C320-BY$271)^2+($D320-BY$272)^2)</f>
        <v>3.65604331872449</v>
      </c>
      <c r="BZ320" s="63" t="n">
        <f aca="false">MATCH(MIN(BU320:BY320),BU320:BY320,0)</f>
        <v>4</v>
      </c>
      <c r="CB320" s="17" t="n">
        <f aca="false">SQRT(($B320-CB$270)^2+($C320-CB$271)^2+($D320-CB$272)^2)</f>
        <v>6.14841831102961</v>
      </c>
      <c r="CC320" s="17" t="n">
        <f aca="false">SQRT(($B320-CC$270)^2+($C320-CC$271)^2+($D320-CC$272)^2)</f>
        <v>2.20890874664778</v>
      </c>
      <c r="CD320" s="17" t="n">
        <f aca="false">SQRT(($B320-CD$270)^2+($C320-CD$271)^2+($D320-CD$272)^2)</f>
        <v>1.35353201548294</v>
      </c>
      <c r="CE320" s="17" t="n">
        <f aca="false">SQRT(($B320-CE$270)^2+($C320-CE$271)^2+($D320-CE$272)^2)</f>
        <v>0.983627319954692</v>
      </c>
      <c r="CF320" s="17" t="n">
        <f aca="false">SQRT(($B320-CF$270)^2+($C320-CF$271)^2+($D320-CF$272)^2)</f>
        <v>3.65604331872449</v>
      </c>
      <c r="CG320" s="63" t="n">
        <f aca="false">MATCH(MIN(CB320:CF320),CB320:CF320,0)</f>
        <v>4</v>
      </c>
      <c r="CI320" s="17" t="n">
        <f aca="false">SQRT(($B320-CI$270)^2+($C320-CI$271)^2+($D320-CI$272)^2)</f>
        <v>6.14841831102961</v>
      </c>
      <c r="CJ320" s="17" t="n">
        <f aca="false">SQRT(($B320-CJ$270)^2+($C320-CJ$271)^2+($D320-CJ$272)^2)</f>
        <v>2.20890874664778</v>
      </c>
      <c r="CK320" s="17" t="n">
        <f aca="false">SQRT(($B320-CK$270)^2+($C320-CK$271)^2+($D320-CK$272)^2)</f>
        <v>1.35353201548294</v>
      </c>
      <c r="CL320" s="17" t="n">
        <f aca="false">SQRT(($B320-CL$270)^2+($C320-CL$271)^2+($D320-CL$272)^2)</f>
        <v>0.983627319954692</v>
      </c>
      <c r="CM320" s="17" t="n">
        <f aca="false">SQRT(($B320-CM$270)^2+($C320-CM$271)^2+($D320-CM$272)^2)</f>
        <v>3.65604331872449</v>
      </c>
      <c r="CN320" s="63" t="n">
        <f aca="false">MATCH(MIN(CI320:CM320),CI320:CM320,0)</f>
        <v>4</v>
      </c>
      <c r="CP320" s="17" t="n">
        <f aca="false">SQRT(($B320-CP$270)^2+($C320-CP$271)^2+($D320-CP$272)^2)</f>
        <v>6.14841831102961</v>
      </c>
      <c r="CQ320" s="17" t="n">
        <f aca="false">SQRT(($B320-CQ$270)^2+($C320-CQ$271)^2+($D320-CQ$272)^2)</f>
        <v>2.20890874664778</v>
      </c>
      <c r="CR320" s="17" t="n">
        <f aca="false">SQRT(($B320-CR$270)^2+($C320-CR$271)^2+($D320-CR$272)^2)</f>
        <v>1.35353201548294</v>
      </c>
      <c r="CS320" s="17" t="n">
        <f aca="false">SQRT(($B320-CS$270)^2+($C320-CS$271)^2+($D320-CS$272)^2)</f>
        <v>0.983627319954692</v>
      </c>
      <c r="CT320" s="17" t="n">
        <f aca="false">SQRT(($B320-CT$270)^2+($C320-CT$271)^2+($D320-CT$272)^2)</f>
        <v>3.65604331872449</v>
      </c>
      <c r="CU320" s="63" t="n">
        <f aca="false">MATCH(MIN(CP320:CT320),CP320:CT320,0)</f>
        <v>4</v>
      </c>
      <c r="CW320" s="17" t="n">
        <f aca="false">SQRT(($B320-CW$270)^2+($C320-CW$271)^2+($D320-CW$272)^2)</f>
        <v>6.14841831102961</v>
      </c>
      <c r="CX320" s="17" t="n">
        <f aca="false">SQRT(($B320-CX$270)^2+($C320-CX$271)^2+($D320-CX$272)^2)</f>
        <v>2.20890874664778</v>
      </c>
      <c r="CY320" s="17" t="n">
        <f aca="false">SQRT(($B320-CY$270)^2+($C320-CY$271)^2+($D320-CY$272)^2)</f>
        <v>1.35353201548294</v>
      </c>
      <c r="CZ320" s="17" t="n">
        <f aca="false">SQRT(($B320-CZ$270)^2+($C320-CZ$271)^2+($D320-CZ$272)^2)</f>
        <v>0.983627319954692</v>
      </c>
      <c r="DA320" s="17" t="n">
        <f aca="false">SQRT(($B320-DA$270)^2+($C320-DA$271)^2+($D320-DA$272)^2)</f>
        <v>3.65604331872449</v>
      </c>
      <c r="DB320" s="63" t="n">
        <f aca="false">MATCH(MIN(CW320:DA320),CW320:DA320,0)</f>
        <v>4</v>
      </c>
    </row>
    <row r="321" customFormat="false" ht="15" hidden="false" customHeight="false" outlineLevel="0" collapsed="false">
      <c r="A321" s="36" t="str">
        <f aca="false">KMeans_Data!A49</f>
        <v>Gujranwala</v>
      </c>
      <c r="B321" s="17" t="n">
        <f aca="false">KMeans_Data!H49</f>
        <v>0.238616233785713</v>
      </c>
      <c r="C321" s="17" t="n">
        <f aca="false">KMeans_Data!I49</f>
        <v>-0.672650545388274</v>
      </c>
      <c r="D321" s="17" t="n">
        <f aca="false">KMeans_Data!J49</f>
        <v>-0.824446015898766</v>
      </c>
      <c r="E321" s="63" t="n">
        <f aca="false">DB321</f>
        <v>4</v>
      </c>
      <c r="F321" s="38" t="n">
        <f aca="false">($B321-INDEX($L$270:$P$270,E321))^2+($C321-INDEX($L$271:$P$271,E321))^2+($D321-INDEX($L$272:$P$272,E321))^2</f>
        <v>0.363922872579389</v>
      </c>
      <c r="G321" s="17" t="n">
        <f aca="false">IF(COUNTIF(Distance_Matrix!$E$11:$DQ$11,$E321)&lt;=1,0,SUMIF(Distance_Matrix!$E$11:$DQ$11,$E321,Distance_Matrix!$E$58:$DQ$58)/(COUNTIF(Distance_Matrix!$E$11:$DQ$11,$E321)-1))</f>
        <v>0.921188368738696</v>
      </c>
      <c r="H321" s="17" t="n">
        <f aca="false">MIN(IF(1=$E321,1E+099,IF(COUNTIF(Distance_Matrix!$E$11:$DQ$11,1)=0,1E+099,SUMIF(Distance_Matrix!$E$11:$DQ$11,1,Distance_Matrix!$E$58:$DQ$58)/COUNTIF(Distance_Matrix!$E$11:$DQ$11,1))),IF(2=$E321,1E+099,IF(COUNTIF(Distance_Matrix!$E$11:$DQ$11,2)=0,1E+099,SUMIF(Distance_Matrix!$E$11:$DQ$11,2,Distance_Matrix!$E$58:$DQ$58)/COUNTIF(Distance_Matrix!$E$11:$DQ$11,2))),IF(3=$E321,1E+099,IF(COUNTIF(Distance_Matrix!$E$11:$DQ$11,3)=0,1E+099,SUMIF(Distance_Matrix!$E$11:$DQ$11,3,Distance_Matrix!$E$58:$DQ$58)/COUNTIF(Distance_Matrix!$E$11:$DQ$11,3))),IF(4=$E321,1E+099,IF(COUNTIF(Distance_Matrix!$E$11:$DQ$11,4)=0,1E+099,SUMIF(Distance_Matrix!$E$11:$DQ$11,4,Distance_Matrix!$E$58:$DQ$58)/COUNTIF(Distance_Matrix!$E$11:$DQ$11,4))),IF(5=$E321,1E+099,IF(COUNTIF(Distance_Matrix!$E$11:$DQ$11,5)=0,1E+099,SUMIF(Distance_Matrix!$E$11:$DQ$11,5,Distance_Matrix!$E$58:$DQ$58)/COUNTIF(Distance_Matrix!$E$11:$DQ$11,5))))</f>
        <v>1.55310661729771</v>
      </c>
      <c r="I321" s="17" t="n">
        <f aca="false">IF(COUNTIF(Distance_Matrix!$E$11:$DQ$11,$E321)&lt;=1,0,(H321-G321)/MAX(G321,H321))</f>
        <v>0.40687370816725</v>
      </c>
      <c r="X321" s="17" t="n">
        <f aca="false">SQRT(($B321-X$270)^2+($C321-X$271)^2+($D321-X$272)^2)</f>
        <v>6.93086632696364</v>
      </c>
      <c r="Y321" s="17" t="n">
        <f aca="false">SQRT(($B321-Y$270)^2+($C321-Y$271)^2+($D321-Y$272)^2)</f>
        <v>2.34049876920762</v>
      </c>
      <c r="Z321" s="17" t="n">
        <f aca="false">SQRT(($B321-Z$270)^2+($C321-Z$271)^2+($D321-Z$272)^2)</f>
        <v>2.64756474909866</v>
      </c>
      <c r="AA321" s="17" t="n">
        <f aca="false">SQRT(($B321-AA$270)^2+($C321-AA$271)^2+($D321-AA$272)^2)</f>
        <v>0.738369626853435</v>
      </c>
      <c r="AB321" s="17" t="n">
        <f aca="false">SQRT(($B321-AB$270)^2+($C321-AB$271)^2+($D321-AB$272)^2)</f>
        <v>4.85189739115915</v>
      </c>
      <c r="AC321" s="63" t="n">
        <f aca="false">MATCH(MIN(X321:AB321),X321:AB321,0)</f>
        <v>4</v>
      </c>
      <c r="AE321" s="17" t="n">
        <f aca="false">SQRT(($B321-AE$270)^2+($C321-AE$271)^2+($D321-AE$272)^2)</f>
        <v>6.80235323612876</v>
      </c>
      <c r="AF321" s="17" t="n">
        <f aca="false">SQRT(($B321-AF$270)^2+($C321-AF$271)^2+($D321-AF$272)^2)</f>
        <v>1.48388646573778</v>
      </c>
      <c r="AG321" s="17" t="n">
        <f aca="false">SQRT(($B321-AG$270)^2+($C321-AG$271)^2+($D321-AG$272)^2)</f>
        <v>2.0643457202384</v>
      </c>
      <c r="AH321" s="17" t="n">
        <f aca="false">SQRT(($B321-AH$270)^2+($C321-AH$271)^2+($D321-AH$272)^2)</f>
        <v>0.46967306229872</v>
      </c>
      <c r="AI321" s="17" t="n">
        <f aca="false">SQRT(($B321-AI$270)^2+($C321-AI$271)^2+($D321-AI$272)^2)</f>
        <v>4.53603141458384</v>
      </c>
      <c r="AJ321" s="63" t="n">
        <f aca="false">MATCH(MIN(AE321:AI321),AE321:AI321,0)</f>
        <v>4</v>
      </c>
      <c r="AL321" s="17" t="n">
        <f aca="false">SQRT(($B321-AL$270)^2+($C321-AL$271)^2+($D321-AL$272)^2)</f>
        <v>6.80235323612876</v>
      </c>
      <c r="AM321" s="17" t="n">
        <f aca="false">SQRT(($B321-AM$270)^2+($C321-AM$271)^2+($D321-AM$272)^2)</f>
        <v>1.4798118746046</v>
      </c>
      <c r="AN321" s="17" t="n">
        <f aca="false">SQRT(($B321-AN$270)^2+($C321-AN$271)^2+($D321-AN$272)^2)</f>
        <v>2.11366107612447</v>
      </c>
      <c r="AO321" s="17" t="n">
        <f aca="false">SQRT(($B321-AO$270)^2+($C321-AO$271)^2+($D321-AO$272)^2)</f>
        <v>0.55698877941214</v>
      </c>
      <c r="AP321" s="17" t="n">
        <f aca="false">SQRT(($B321-AP$270)^2+($C321-AP$271)^2+($D321-AP$272)^2)</f>
        <v>4.27751796060475</v>
      </c>
      <c r="AQ321" s="63" t="n">
        <f aca="false">MATCH(MIN(AL321:AP321),AL321:AP321,0)</f>
        <v>4</v>
      </c>
      <c r="AS321" s="17" t="n">
        <f aca="false">SQRT(($B321-AS$270)^2+($C321-AS$271)^2+($D321-AS$272)^2)</f>
        <v>6.80235323612876</v>
      </c>
      <c r="AT321" s="17" t="n">
        <f aca="false">SQRT(($B321-AT$270)^2+($C321-AT$271)^2+($D321-AT$272)^2)</f>
        <v>1.53711312322041</v>
      </c>
      <c r="AU321" s="17" t="n">
        <f aca="false">SQRT(($B321-AU$270)^2+($C321-AU$271)^2+($D321-AU$272)^2)</f>
        <v>2.13648068188581</v>
      </c>
      <c r="AV321" s="17" t="n">
        <f aca="false">SQRT(($B321-AV$270)^2+($C321-AV$271)^2+($D321-AV$272)^2)</f>
        <v>0.603260203046238</v>
      </c>
      <c r="AW321" s="17" t="n">
        <f aca="false">SQRT(($B321-AW$270)^2+($C321-AW$271)^2+($D321-AW$272)^2)</f>
        <v>4.27751796060475</v>
      </c>
      <c r="AX321" s="63" t="n">
        <f aca="false">MATCH(MIN(AS321:AW321),AS321:AW321,0)</f>
        <v>4</v>
      </c>
      <c r="AZ321" s="17" t="n">
        <f aca="false">SQRT(($B321-AZ$270)^2+($C321-AZ$271)^2+($D321-AZ$272)^2)</f>
        <v>6.80235323612876</v>
      </c>
      <c r="BA321" s="17" t="n">
        <f aca="false">SQRT(($B321-BA$270)^2+($C321-BA$271)^2+($D321-BA$272)^2)</f>
        <v>1.53711312322041</v>
      </c>
      <c r="BB321" s="17" t="n">
        <f aca="false">SQRT(($B321-BB$270)^2+($C321-BB$271)^2+($D321-BB$272)^2)</f>
        <v>2.13648068188581</v>
      </c>
      <c r="BC321" s="17" t="n">
        <f aca="false">SQRT(($B321-BC$270)^2+($C321-BC$271)^2+($D321-BC$272)^2)</f>
        <v>0.603260203046238</v>
      </c>
      <c r="BD321" s="17" t="n">
        <f aca="false">SQRT(($B321-BD$270)^2+($C321-BD$271)^2+($D321-BD$272)^2)</f>
        <v>4.27751796060475</v>
      </c>
      <c r="BE321" s="63" t="n">
        <f aca="false">MATCH(MIN(AZ321:BD321),AZ321:BD321,0)</f>
        <v>4</v>
      </c>
      <c r="BG321" s="17" t="n">
        <f aca="false">SQRT(($B321-BG$270)^2+($C321-BG$271)^2+($D321-BG$272)^2)</f>
        <v>6.80235323612876</v>
      </c>
      <c r="BH321" s="17" t="n">
        <f aca="false">SQRT(($B321-BH$270)^2+($C321-BH$271)^2+($D321-BH$272)^2)</f>
        <v>1.53711312322041</v>
      </c>
      <c r="BI321" s="17" t="n">
        <f aca="false">SQRT(($B321-BI$270)^2+($C321-BI$271)^2+($D321-BI$272)^2)</f>
        <v>2.13648068188581</v>
      </c>
      <c r="BJ321" s="17" t="n">
        <f aca="false">SQRT(($B321-BJ$270)^2+($C321-BJ$271)^2+($D321-BJ$272)^2)</f>
        <v>0.603260203046238</v>
      </c>
      <c r="BK321" s="17" t="n">
        <f aca="false">SQRT(($B321-BK$270)^2+($C321-BK$271)^2+($D321-BK$272)^2)</f>
        <v>4.27751796060475</v>
      </c>
      <c r="BL321" s="63" t="n">
        <f aca="false">MATCH(MIN(BG321:BK321),BG321:BK321,0)</f>
        <v>4</v>
      </c>
      <c r="BN321" s="17" t="n">
        <f aca="false">SQRT(($B321-BN$270)^2+($C321-BN$271)^2+($D321-BN$272)^2)</f>
        <v>6.80235323612876</v>
      </c>
      <c r="BO321" s="17" t="n">
        <f aca="false">SQRT(($B321-BO$270)^2+($C321-BO$271)^2+($D321-BO$272)^2)</f>
        <v>1.53711312322041</v>
      </c>
      <c r="BP321" s="17" t="n">
        <f aca="false">SQRT(($B321-BP$270)^2+($C321-BP$271)^2+($D321-BP$272)^2)</f>
        <v>2.13648068188581</v>
      </c>
      <c r="BQ321" s="17" t="n">
        <f aca="false">SQRT(($B321-BQ$270)^2+($C321-BQ$271)^2+($D321-BQ$272)^2)</f>
        <v>0.603260203046238</v>
      </c>
      <c r="BR321" s="17" t="n">
        <f aca="false">SQRT(($B321-BR$270)^2+($C321-BR$271)^2+($D321-BR$272)^2)</f>
        <v>4.27751796060475</v>
      </c>
      <c r="BS321" s="63" t="n">
        <f aca="false">MATCH(MIN(BN321:BR321),BN321:BR321,0)</f>
        <v>4</v>
      </c>
      <c r="BU321" s="17" t="n">
        <f aca="false">SQRT(($B321-BU$270)^2+($C321-BU$271)^2+($D321-BU$272)^2)</f>
        <v>6.80235323612876</v>
      </c>
      <c r="BV321" s="17" t="n">
        <f aca="false">SQRT(($B321-BV$270)^2+($C321-BV$271)^2+($D321-BV$272)^2)</f>
        <v>1.53711312322041</v>
      </c>
      <c r="BW321" s="17" t="n">
        <f aca="false">SQRT(($B321-BW$270)^2+($C321-BW$271)^2+($D321-BW$272)^2)</f>
        <v>2.13648068188581</v>
      </c>
      <c r="BX321" s="17" t="n">
        <f aca="false">SQRT(($B321-BX$270)^2+($C321-BX$271)^2+($D321-BX$272)^2)</f>
        <v>0.603260203046238</v>
      </c>
      <c r="BY321" s="17" t="n">
        <f aca="false">SQRT(($B321-BY$270)^2+($C321-BY$271)^2+($D321-BY$272)^2)</f>
        <v>4.27751796060475</v>
      </c>
      <c r="BZ321" s="63" t="n">
        <f aca="false">MATCH(MIN(BU321:BY321),BU321:BY321,0)</f>
        <v>4</v>
      </c>
      <c r="CB321" s="17" t="n">
        <f aca="false">SQRT(($B321-CB$270)^2+($C321-CB$271)^2+($D321-CB$272)^2)</f>
        <v>6.80235323612876</v>
      </c>
      <c r="CC321" s="17" t="n">
        <f aca="false">SQRT(($B321-CC$270)^2+($C321-CC$271)^2+($D321-CC$272)^2)</f>
        <v>1.53711312322041</v>
      </c>
      <c r="CD321" s="17" t="n">
        <f aca="false">SQRT(($B321-CD$270)^2+($C321-CD$271)^2+($D321-CD$272)^2)</f>
        <v>2.13648068188581</v>
      </c>
      <c r="CE321" s="17" t="n">
        <f aca="false">SQRT(($B321-CE$270)^2+($C321-CE$271)^2+($D321-CE$272)^2)</f>
        <v>0.603260203046238</v>
      </c>
      <c r="CF321" s="17" t="n">
        <f aca="false">SQRT(($B321-CF$270)^2+($C321-CF$271)^2+($D321-CF$272)^2)</f>
        <v>4.27751796060475</v>
      </c>
      <c r="CG321" s="63" t="n">
        <f aca="false">MATCH(MIN(CB321:CF321),CB321:CF321,0)</f>
        <v>4</v>
      </c>
      <c r="CI321" s="17" t="n">
        <f aca="false">SQRT(($B321-CI$270)^2+($C321-CI$271)^2+($D321-CI$272)^2)</f>
        <v>6.80235323612876</v>
      </c>
      <c r="CJ321" s="17" t="n">
        <f aca="false">SQRT(($B321-CJ$270)^2+($C321-CJ$271)^2+($D321-CJ$272)^2)</f>
        <v>1.53711312322041</v>
      </c>
      <c r="CK321" s="17" t="n">
        <f aca="false">SQRT(($B321-CK$270)^2+($C321-CK$271)^2+($D321-CK$272)^2)</f>
        <v>2.13648068188581</v>
      </c>
      <c r="CL321" s="17" t="n">
        <f aca="false">SQRT(($B321-CL$270)^2+($C321-CL$271)^2+($D321-CL$272)^2)</f>
        <v>0.603260203046238</v>
      </c>
      <c r="CM321" s="17" t="n">
        <f aca="false">SQRT(($B321-CM$270)^2+($C321-CM$271)^2+($D321-CM$272)^2)</f>
        <v>4.27751796060475</v>
      </c>
      <c r="CN321" s="63" t="n">
        <f aca="false">MATCH(MIN(CI321:CM321),CI321:CM321,0)</f>
        <v>4</v>
      </c>
      <c r="CP321" s="17" t="n">
        <f aca="false">SQRT(($B321-CP$270)^2+($C321-CP$271)^2+($D321-CP$272)^2)</f>
        <v>6.80235323612876</v>
      </c>
      <c r="CQ321" s="17" t="n">
        <f aca="false">SQRT(($B321-CQ$270)^2+($C321-CQ$271)^2+($D321-CQ$272)^2)</f>
        <v>1.53711312322041</v>
      </c>
      <c r="CR321" s="17" t="n">
        <f aca="false">SQRT(($B321-CR$270)^2+($C321-CR$271)^2+($D321-CR$272)^2)</f>
        <v>2.13648068188581</v>
      </c>
      <c r="CS321" s="17" t="n">
        <f aca="false">SQRT(($B321-CS$270)^2+($C321-CS$271)^2+($D321-CS$272)^2)</f>
        <v>0.603260203046238</v>
      </c>
      <c r="CT321" s="17" t="n">
        <f aca="false">SQRT(($B321-CT$270)^2+($C321-CT$271)^2+($D321-CT$272)^2)</f>
        <v>4.27751796060475</v>
      </c>
      <c r="CU321" s="63" t="n">
        <f aca="false">MATCH(MIN(CP321:CT321),CP321:CT321,0)</f>
        <v>4</v>
      </c>
      <c r="CW321" s="17" t="n">
        <f aca="false">SQRT(($B321-CW$270)^2+($C321-CW$271)^2+($D321-CW$272)^2)</f>
        <v>6.80235323612876</v>
      </c>
      <c r="CX321" s="17" t="n">
        <f aca="false">SQRT(($B321-CX$270)^2+($C321-CX$271)^2+($D321-CX$272)^2)</f>
        <v>1.53711312322041</v>
      </c>
      <c r="CY321" s="17" t="n">
        <f aca="false">SQRT(($B321-CY$270)^2+($C321-CY$271)^2+($D321-CY$272)^2)</f>
        <v>2.13648068188581</v>
      </c>
      <c r="CZ321" s="17" t="n">
        <f aca="false">SQRT(($B321-CZ$270)^2+($C321-CZ$271)^2+($D321-CZ$272)^2)</f>
        <v>0.603260203046238</v>
      </c>
      <c r="DA321" s="17" t="n">
        <f aca="false">SQRT(($B321-DA$270)^2+($C321-DA$271)^2+($D321-DA$272)^2)</f>
        <v>4.27751796060475</v>
      </c>
      <c r="DB321" s="63" t="n">
        <f aca="false">MATCH(MIN(CW321:DA321),CW321:DA321,0)</f>
        <v>4</v>
      </c>
    </row>
    <row r="322" customFormat="false" ht="15" hidden="false" customHeight="false" outlineLevel="0" collapsed="false">
      <c r="A322" s="36" t="str">
        <f aca="false">KMeans_Data!A50</f>
        <v>Bannu</v>
      </c>
      <c r="B322" s="17" t="n">
        <f aca="false">KMeans_Data!H50</f>
        <v>0.232528795764548</v>
      </c>
      <c r="C322" s="17" t="n">
        <f aca="false">KMeans_Data!I50</f>
        <v>0.160512589624996</v>
      </c>
      <c r="D322" s="17" t="n">
        <f aca="false">KMeans_Data!J50</f>
        <v>0.381616717142464</v>
      </c>
      <c r="E322" s="63" t="n">
        <f aca="false">DB322</f>
        <v>3</v>
      </c>
      <c r="F322" s="38" t="n">
        <f aca="false">($B322-INDEX($L$270:$P$270,E322))^2+($C322-INDEX($L$271:$P$271,E322))^2+($D322-INDEX($L$272:$P$272,E322))^2</f>
        <v>0.557816532088866</v>
      </c>
      <c r="G322" s="17" t="n">
        <f aca="false">IF(COUNTIF(Distance_Matrix!$E$11:$DQ$11,$E322)&lt;=1,0,SUMIF(Distance_Matrix!$E$11:$DQ$11,$E322,Distance_Matrix!$E$59:$DQ$59)/(COUNTIF(Distance_Matrix!$E$11:$DQ$11,$E322)-1))</f>
        <v>1.00652429085433</v>
      </c>
      <c r="H322" s="17" t="n">
        <f aca="false">MIN(IF(1=$E322,1E+099,IF(COUNTIF(Distance_Matrix!$E$11:$DQ$11,1)=0,1E+099,SUMIF(Distance_Matrix!$E$11:$DQ$11,1,Distance_Matrix!$E$59:$DQ$59)/COUNTIF(Distance_Matrix!$E$11:$DQ$11,1))),IF(2=$E322,1E+099,IF(COUNTIF(Distance_Matrix!$E$11:$DQ$11,2)=0,1E+099,SUMIF(Distance_Matrix!$E$11:$DQ$11,2,Distance_Matrix!$E$59:$DQ$59)/COUNTIF(Distance_Matrix!$E$11:$DQ$11,2))),IF(3=$E322,1E+099,IF(COUNTIF(Distance_Matrix!$E$11:$DQ$11,3)=0,1E+099,SUMIF(Distance_Matrix!$E$11:$DQ$11,3,Distance_Matrix!$E$59:$DQ$59)/COUNTIF(Distance_Matrix!$E$11:$DQ$11,3))),IF(4=$E322,1E+099,IF(COUNTIF(Distance_Matrix!$E$11:$DQ$11,4)=0,1E+099,SUMIF(Distance_Matrix!$E$11:$DQ$11,4,Distance_Matrix!$E$59:$DQ$59)/COUNTIF(Distance_Matrix!$E$11:$DQ$11,4))),IF(5=$E322,1E+099,IF(COUNTIF(Distance_Matrix!$E$11:$DQ$11,5)=0,1E+099,SUMIF(Distance_Matrix!$E$11:$DQ$11,5,Distance_Matrix!$E$59:$DQ$59)/COUNTIF(Distance_Matrix!$E$11:$DQ$11,5))))</f>
        <v>1.2648599211129</v>
      </c>
      <c r="I322" s="17" t="n">
        <f aca="false">IF(COUNTIF(Distance_Matrix!$E$11:$DQ$11,$E322)&lt;=1,0,(H322-G322)/MAX(G322,H322))</f>
        <v>0.20424050596154</v>
      </c>
      <c r="X322" s="17" t="n">
        <f aca="false">SQRT(($B322-X$270)^2+($C322-X$271)^2+($D322-X$272)^2)</f>
        <v>5.70413302159258</v>
      </c>
      <c r="Y322" s="17" t="n">
        <f aca="false">SQRT(($B322-Y$270)^2+($C322-Y$271)^2+($D322-Y$272)^2)</f>
        <v>2.89365929467502</v>
      </c>
      <c r="Z322" s="17" t="n">
        <f aca="false">SQRT(($B322-Z$270)^2+($C322-Z$271)^2+($D322-Z$272)^2)</f>
        <v>1.37141316387543</v>
      </c>
      <c r="AA322" s="17" t="n">
        <f aca="false">SQRT(($B322-AA$270)^2+($C322-AA$271)^2+($D322-AA$272)^2)</f>
        <v>1.61175911830142</v>
      </c>
      <c r="AB322" s="17" t="n">
        <f aca="false">SQRT(($B322-AB$270)^2+($C322-AB$271)^2+($D322-AB$272)^2)</f>
        <v>3.61397945367306</v>
      </c>
      <c r="AC322" s="63" t="n">
        <f aca="false">MATCH(MIN(X322:AB322),X322:AB322,0)</f>
        <v>3</v>
      </c>
      <c r="AE322" s="17" t="n">
        <f aca="false">SQRT(($B322-AE$270)^2+($C322-AE$271)^2+($D322-AE$272)^2)</f>
        <v>5.60034755542815</v>
      </c>
      <c r="AF322" s="17" t="n">
        <f aca="false">SQRT(($B322-AF$270)^2+($C322-AF$271)^2+($D322-AF$272)^2)</f>
        <v>2.13742897702985</v>
      </c>
      <c r="AG322" s="17" t="n">
        <f aca="false">SQRT(($B322-AG$270)^2+($C322-AG$271)^2+($D322-AG$272)^2)</f>
        <v>0.656100649403577</v>
      </c>
      <c r="AH322" s="17" t="n">
        <f aca="false">SQRT(($B322-AH$270)^2+($C322-AH$271)^2+($D322-AH$272)^2)</f>
        <v>1.14500253265743</v>
      </c>
      <c r="AI322" s="17" t="n">
        <f aca="false">SQRT(($B322-AI$270)^2+($C322-AI$271)^2+($D322-AI$272)^2)</f>
        <v>3.33092018894696</v>
      </c>
      <c r="AJ322" s="63" t="n">
        <f aca="false">MATCH(MIN(AE322:AI322),AE322:AI322,0)</f>
        <v>3</v>
      </c>
      <c r="AL322" s="17" t="n">
        <f aca="false">SQRT(($B322-AL$270)^2+($C322-AL$271)^2+($D322-AL$272)^2)</f>
        <v>5.60034755542815</v>
      </c>
      <c r="AM322" s="17" t="n">
        <f aca="false">SQRT(($B322-AM$270)^2+($C322-AM$271)^2+($D322-AM$272)^2)</f>
        <v>2.16290779952777</v>
      </c>
      <c r="AN322" s="17" t="n">
        <f aca="false">SQRT(($B322-AN$270)^2+($C322-AN$271)^2+($D322-AN$272)^2)</f>
        <v>0.720088872156701</v>
      </c>
      <c r="AO322" s="17" t="n">
        <f aca="false">SQRT(($B322-AO$270)^2+($C322-AO$271)^2+($D322-AO$272)^2)</f>
        <v>1.07605753094889</v>
      </c>
      <c r="AP322" s="17" t="n">
        <f aca="false">SQRT(($B322-AP$270)^2+($C322-AP$271)^2+($D322-AP$272)^2)</f>
        <v>3.0611162682411</v>
      </c>
      <c r="AQ322" s="63" t="n">
        <f aca="false">MATCH(MIN(AL322:AP322),AL322:AP322,0)</f>
        <v>3</v>
      </c>
      <c r="AS322" s="17" t="n">
        <f aca="false">SQRT(($B322-AS$270)^2+($C322-AS$271)^2+($D322-AS$272)^2)</f>
        <v>5.60034755542815</v>
      </c>
      <c r="AT322" s="17" t="n">
        <f aca="false">SQRT(($B322-AT$270)^2+($C322-AT$271)^2+($D322-AT$272)^2)</f>
        <v>2.24937500409384</v>
      </c>
      <c r="AU322" s="17" t="n">
        <f aca="false">SQRT(($B322-AU$270)^2+($C322-AU$271)^2+($D322-AU$272)^2)</f>
        <v>0.746871161639587</v>
      </c>
      <c r="AV322" s="17" t="n">
        <f aca="false">SQRT(($B322-AV$270)^2+($C322-AV$271)^2+($D322-AV$272)^2)</f>
        <v>1.07241896184547</v>
      </c>
      <c r="AW322" s="17" t="n">
        <f aca="false">SQRT(($B322-AW$270)^2+($C322-AW$271)^2+($D322-AW$272)^2)</f>
        <v>3.0611162682411</v>
      </c>
      <c r="AX322" s="63" t="n">
        <f aca="false">MATCH(MIN(AS322:AW322),AS322:AW322,0)</f>
        <v>3</v>
      </c>
      <c r="AZ322" s="17" t="n">
        <f aca="false">SQRT(($B322-AZ$270)^2+($C322-AZ$271)^2+($D322-AZ$272)^2)</f>
        <v>5.60034755542815</v>
      </c>
      <c r="BA322" s="17" t="n">
        <f aca="false">SQRT(($B322-BA$270)^2+($C322-BA$271)^2+($D322-BA$272)^2)</f>
        <v>2.24937500409384</v>
      </c>
      <c r="BB322" s="17" t="n">
        <f aca="false">SQRT(($B322-BB$270)^2+($C322-BB$271)^2+($D322-BB$272)^2)</f>
        <v>0.746871161639587</v>
      </c>
      <c r="BC322" s="17" t="n">
        <f aca="false">SQRT(($B322-BC$270)^2+($C322-BC$271)^2+($D322-BC$272)^2)</f>
        <v>1.07241896184547</v>
      </c>
      <c r="BD322" s="17" t="n">
        <f aca="false">SQRT(($B322-BD$270)^2+($C322-BD$271)^2+($D322-BD$272)^2)</f>
        <v>3.0611162682411</v>
      </c>
      <c r="BE322" s="63" t="n">
        <f aca="false">MATCH(MIN(AZ322:BD322),AZ322:BD322,0)</f>
        <v>3</v>
      </c>
      <c r="BG322" s="17" t="n">
        <f aca="false">SQRT(($B322-BG$270)^2+($C322-BG$271)^2+($D322-BG$272)^2)</f>
        <v>5.60034755542815</v>
      </c>
      <c r="BH322" s="17" t="n">
        <f aca="false">SQRT(($B322-BH$270)^2+($C322-BH$271)^2+($D322-BH$272)^2)</f>
        <v>2.24937500409384</v>
      </c>
      <c r="BI322" s="17" t="n">
        <f aca="false">SQRT(($B322-BI$270)^2+($C322-BI$271)^2+($D322-BI$272)^2)</f>
        <v>0.746871161639587</v>
      </c>
      <c r="BJ322" s="17" t="n">
        <f aca="false">SQRT(($B322-BJ$270)^2+($C322-BJ$271)^2+($D322-BJ$272)^2)</f>
        <v>1.07241896184547</v>
      </c>
      <c r="BK322" s="17" t="n">
        <f aca="false">SQRT(($B322-BK$270)^2+($C322-BK$271)^2+($D322-BK$272)^2)</f>
        <v>3.0611162682411</v>
      </c>
      <c r="BL322" s="63" t="n">
        <f aca="false">MATCH(MIN(BG322:BK322),BG322:BK322,0)</f>
        <v>3</v>
      </c>
      <c r="BN322" s="17" t="n">
        <f aca="false">SQRT(($B322-BN$270)^2+($C322-BN$271)^2+($D322-BN$272)^2)</f>
        <v>5.60034755542815</v>
      </c>
      <c r="BO322" s="17" t="n">
        <f aca="false">SQRT(($B322-BO$270)^2+($C322-BO$271)^2+($D322-BO$272)^2)</f>
        <v>2.24937500409384</v>
      </c>
      <c r="BP322" s="17" t="n">
        <f aca="false">SQRT(($B322-BP$270)^2+($C322-BP$271)^2+($D322-BP$272)^2)</f>
        <v>0.746871161639587</v>
      </c>
      <c r="BQ322" s="17" t="n">
        <f aca="false">SQRT(($B322-BQ$270)^2+($C322-BQ$271)^2+($D322-BQ$272)^2)</f>
        <v>1.07241896184547</v>
      </c>
      <c r="BR322" s="17" t="n">
        <f aca="false">SQRT(($B322-BR$270)^2+($C322-BR$271)^2+($D322-BR$272)^2)</f>
        <v>3.0611162682411</v>
      </c>
      <c r="BS322" s="63" t="n">
        <f aca="false">MATCH(MIN(BN322:BR322),BN322:BR322,0)</f>
        <v>3</v>
      </c>
      <c r="BU322" s="17" t="n">
        <f aca="false">SQRT(($B322-BU$270)^2+($C322-BU$271)^2+($D322-BU$272)^2)</f>
        <v>5.60034755542815</v>
      </c>
      <c r="BV322" s="17" t="n">
        <f aca="false">SQRT(($B322-BV$270)^2+($C322-BV$271)^2+($D322-BV$272)^2)</f>
        <v>2.24937500409384</v>
      </c>
      <c r="BW322" s="17" t="n">
        <f aca="false">SQRT(($B322-BW$270)^2+($C322-BW$271)^2+($D322-BW$272)^2)</f>
        <v>0.746871161639587</v>
      </c>
      <c r="BX322" s="17" t="n">
        <f aca="false">SQRT(($B322-BX$270)^2+($C322-BX$271)^2+($D322-BX$272)^2)</f>
        <v>1.07241896184547</v>
      </c>
      <c r="BY322" s="17" t="n">
        <f aca="false">SQRT(($B322-BY$270)^2+($C322-BY$271)^2+($D322-BY$272)^2)</f>
        <v>3.0611162682411</v>
      </c>
      <c r="BZ322" s="63" t="n">
        <f aca="false">MATCH(MIN(BU322:BY322),BU322:BY322,0)</f>
        <v>3</v>
      </c>
      <c r="CB322" s="17" t="n">
        <f aca="false">SQRT(($B322-CB$270)^2+($C322-CB$271)^2+($D322-CB$272)^2)</f>
        <v>5.60034755542815</v>
      </c>
      <c r="CC322" s="17" t="n">
        <f aca="false">SQRT(($B322-CC$270)^2+($C322-CC$271)^2+($D322-CC$272)^2)</f>
        <v>2.24937500409384</v>
      </c>
      <c r="CD322" s="17" t="n">
        <f aca="false">SQRT(($B322-CD$270)^2+($C322-CD$271)^2+($D322-CD$272)^2)</f>
        <v>0.746871161639587</v>
      </c>
      <c r="CE322" s="17" t="n">
        <f aca="false">SQRT(($B322-CE$270)^2+($C322-CE$271)^2+($D322-CE$272)^2)</f>
        <v>1.07241896184547</v>
      </c>
      <c r="CF322" s="17" t="n">
        <f aca="false">SQRT(($B322-CF$270)^2+($C322-CF$271)^2+($D322-CF$272)^2)</f>
        <v>3.0611162682411</v>
      </c>
      <c r="CG322" s="63" t="n">
        <f aca="false">MATCH(MIN(CB322:CF322),CB322:CF322,0)</f>
        <v>3</v>
      </c>
      <c r="CI322" s="17" t="n">
        <f aca="false">SQRT(($B322-CI$270)^2+($C322-CI$271)^2+($D322-CI$272)^2)</f>
        <v>5.60034755542815</v>
      </c>
      <c r="CJ322" s="17" t="n">
        <f aca="false">SQRT(($B322-CJ$270)^2+($C322-CJ$271)^2+($D322-CJ$272)^2)</f>
        <v>2.24937500409384</v>
      </c>
      <c r="CK322" s="17" t="n">
        <f aca="false">SQRT(($B322-CK$270)^2+($C322-CK$271)^2+($D322-CK$272)^2)</f>
        <v>0.746871161639587</v>
      </c>
      <c r="CL322" s="17" t="n">
        <f aca="false">SQRT(($B322-CL$270)^2+($C322-CL$271)^2+($D322-CL$272)^2)</f>
        <v>1.07241896184547</v>
      </c>
      <c r="CM322" s="17" t="n">
        <f aca="false">SQRT(($B322-CM$270)^2+($C322-CM$271)^2+($D322-CM$272)^2)</f>
        <v>3.0611162682411</v>
      </c>
      <c r="CN322" s="63" t="n">
        <f aca="false">MATCH(MIN(CI322:CM322),CI322:CM322,0)</f>
        <v>3</v>
      </c>
      <c r="CP322" s="17" t="n">
        <f aca="false">SQRT(($B322-CP$270)^2+($C322-CP$271)^2+($D322-CP$272)^2)</f>
        <v>5.60034755542815</v>
      </c>
      <c r="CQ322" s="17" t="n">
        <f aca="false">SQRT(($B322-CQ$270)^2+($C322-CQ$271)^2+($D322-CQ$272)^2)</f>
        <v>2.24937500409384</v>
      </c>
      <c r="CR322" s="17" t="n">
        <f aca="false">SQRT(($B322-CR$270)^2+($C322-CR$271)^2+($D322-CR$272)^2)</f>
        <v>0.746871161639587</v>
      </c>
      <c r="CS322" s="17" t="n">
        <f aca="false">SQRT(($B322-CS$270)^2+($C322-CS$271)^2+($D322-CS$272)^2)</f>
        <v>1.07241896184547</v>
      </c>
      <c r="CT322" s="17" t="n">
        <f aca="false">SQRT(($B322-CT$270)^2+($C322-CT$271)^2+($D322-CT$272)^2)</f>
        <v>3.0611162682411</v>
      </c>
      <c r="CU322" s="63" t="n">
        <f aca="false">MATCH(MIN(CP322:CT322),CP322:CT322,0)</f>
        <v>3</v>
      </c>
      <c r="CW322" s="17" t="n">
        <f aca="false">SQRT(($B322-CW$270)^2+($C322-CW$271)^2+($D322-CW$272)^2)</f>
        <v>5.60034755542815</v>
      </c>
      <c r="CX322" s="17" t="n">
        <f aca="false">SQRT(($B322-CX$270)^2+($C322-CX$271)^2+($D322-CX$272)^2)</f>
        <v>2.24937500409384</v>
      </c>
      <c r="CY322" s="17" t="n">
        <f aca="false">SQRT(($B322-CY$270)^2+($C322-CY$271)^2+($D322-CY$272)^2)</f>
        <v>0.746871161639587</v>
      </c>
      <c r="CZ322" s="17" t="n">
        <f aca="false">SQRT(($B322-CZ$270)^2+($C322-CZ$271)^2+($D322-CZ$272)^2)</f>
        <v>1.07241896184547</v>
      </c>
      <c r="DA322" s="17" t="n">
        <f aca="false">SQRT(($B322-DA$270)^2+($C322-DA$271)^2+($D322-DA$272)^2)</f>
        <v>3.0611162682411</v>
      </c>
      <c r="DB322" s="63" t="n">
        <f aca="false">MATCH(MIN(CW322:DA322),CW322:DA322,0)</f>
        <v>3</v>
      </c>
    </row>
    <row r="323" customFormat="false" ht="15" hidden="false" customHeight="false" outlineLevel="0" collapsed="false">
      <c r="A323" s="36" t="str">
        <f aca="false">KMeans_Data!A51</f>
        <v>Lodhran</v>
      </c>
      <c r="B323" s="17" t="n">
        <f aca="false">KMeans_Data!H51</f>
        <v>0.200975497781959</v>
      </c>
      <c r="C323" s="17" t="n">
        <f aca="false">KMeans_Data!I51</f>
        <v>-0.672650545388274</v>
      </c>
      <c r="D323" s="17" t="n">
        <f aca="false">KMeans_Data!J51</f>
        <v>-1.14564411633355</v>
      </c>
      <c r="E323" s="63" t="n">
        <f aca="false">DB323</f>
        <v>4</v>
      </c>
      <c r="F323" s="38" t="n">
        <f aca="false">($B323-INDEX($L$270:$P$270,E323))^2+($C323-INDEX($L$271:$P$271,E323))^2+($D323-INDEX($L$272:$P$272,E323))^2</f>
        <v>0.729530403688654</v>
      </c>
      <c r="G323" s="17" t="n">
        <f aca="false">IF(COUNTIF(Distance_Matrix!$E$11:$DQ$11,$E323)&lt;=1,0,SUMIF(Distance_Matrix!$E$11:$DQ$11,$E323,Distance_Matrix!$E$60:$DQ$60)/(COUNTIF(Distance_Matrix!$E$11:$DQ$11,$E323)-1))</f>
        <v>1.05482114111966</v>
      </c>
      <c r="H323" s="17" t="n">
        <f aca="false">MIN(IF(1=$E323,1E+099,IF(COUNTIF(Distance_Matrix!$E$11:$DQ$11,1)=0,1E+099,SUMIF(Distance_Matrix!$E$11:$DQ$11,1,Distance_Matrix!$E$60:$DQ$60)/COUNTIF(Distance_Matrix!$E$11:$DQ$11,1))),IF(2=$E323,1E+099,IF(COUNTIF(Distance_Matrix!$E$11:$DQ$11,2)=0,1E+099,SUMIF(Distance_Matrix!$E$11:$DQ$11,2,Distance_Matrix!$E$60:$DQ$60)/COUNTIF(Distance_Matrix!$E$11:$DQ$11,2))),IF(3=$E323,1E+099,IF(COUNTIF(Distance_Matrix!$E$11:$DQ$11,3)=0,1E+099,SUMIF(Distance_Matrix!$E$11:$DQ$11,3,Distance_Matrix!$E$60:$DQ$60)/COUNTIF(Distance_Matrix!$E$11:$DQ$11,3))),IF(4=$E323,1E+099,IF(COUNTIF(Distance_Matrix!$E$11:$DQ$11,4)=0,1E+099,SUMIF(Distance_Matrix!$E$11:$DQ$11,4,Distance_Matrix!$E$60:$DQ$60)/COUNTIF(Distance_Matrix!$E$11:$DQ$11,4))),IF(5=$E323,1E+099,IF(COUNTIF(Distance_Matrix!$E$11:$DQ$11,5)=0,1E+099,SUMIF(Distance_Matrix!$E$11:$DQ$11,5,Distance_Matrix!$E$60:$DQ$60)/COUNTIF(Distance_Matrix!$E$11:$DQ$11,5))))</f>
        <v>1.49788503704912</v>
      </c>
      <c r="I323" s="17" t="n">
        <f aca="false">IF(COUNTIF(Distance_Matrix!$E$11:$DQ$11,$E323)&lt;=1,0,(H323-G323)/MAX(G323,H323))</f>
        <v>0.295792991431643</v>
      </c>
      <c r="X323" s="17" t="n">
        <f aca="false">SQRT(($B323-X$270)^2+($C323-X$271)^2+($D323-X$272)^2)</f>
        <v>7.14067054710151</v>
      </c>
      <c r="Y323" s="17" t="n">
        <f aca="false">SQRT(($B323-Y$270)^2+($C323-Y$271)^2+($D323-Y$272)^2)</f>
        <v>2.28071347958528</v>
      </c>
      <c r="Z323" s="17" t="n">
        <f aca="false">SQRT(($B323-Z$270)^2+($C323-Z$271)^2+($D323-Z$272)^2)</f>
        <v>2.94083599570945</v>
      </c>
      <c r="AA323" s="17" t="n">
        <f aca="false">SQRT(($B323-AA$270)^2+($C323-AA$271)^2+($D323-AA$272)^2)</f>
        <v>0.688536235872892</v>
      </c>
      <c r="AB323" s="17" t="n">
        <f aca="false">SQRT(($B323-AB$270)^2+($C323-AB$271)^2+($D323-AB$272)^2)</f>
        <v>5.08518914027567</v>
      </c>
      <c r="AC323" s="63" t="n">
        <f aca="false">MATCH(MIN(X323:AB323),X323:AB323,0)</f>
        <v>4</v>
      </c>
      <c r="AE323" s="17" t="n">
        <f aca="false">SQRT(($B323-AE$270)^2+($C323-AE$271)^2+($D323-AE$272)^2)</f>
        <v>7.00282646700329</v>
      </c>
      <c r="AF323" s="17" t="n">
        <f aca="false">SQRT(($B323-AF$270)^2+($C323-AF$271)^2+($D323-AF$272)^2)</f>
        <v>1.4573798613521</v>
      </c>
      <c r="AG323" s="17" t="n">
        <f aca="false">SQRT(($B323-AG$270)^2+($C323-AG$271)^2+($D323-AG$272)^2)</f>
        <v>2.33719967885624</v>
      </c>
      <c r="AH323" s="17" t="n">
        <f aca="false">SQRT(($B323-AH$270)^2+($C323-AH$271)^2+($D323-AH$272)^2)</f>
        <v>0.708502417290742</v>
      </c>
      <c r="AI323" s="17" t="n">
        <f aca="false">SQRT(($B323-AI$270)^2+($C323-AI$271)^2+($D323-AI$272)^2)</f>
        <v>4.74321399212895</v>
      </c>
      <c r="AJ323" s="63" t="n">
        <f aca="false">MATCH(MIN(AE323:AI323),AE323:AI323,0)</f>
        <v>4</v>
      </c>
      <c r="AL323" s="17" t="n">
        <f aca="false">SQRT(($B323-AL$270)^2+($C323-AL$271)^2+($D323-AL$272)^2)</f>
        <v>7.00282646700329</v>
      </c>
      <c r="AM323" s="17" t="n">
        <f aca="false">SQRT(($B323-AM$270)^2+($C323-AM$271)^2+($D323-AM$272)^2)</f>
        <v>1.44227952093955</v>
      </c>
      <c r="AN323" s="17" t="n">
        <f aca="false">SQRT(($B323-AN$270)^2+($C323-AN$271)^2+($D323-AN$272)^2)</f>
        <v>2.38142870715295</v>
      </c>
      <c r="AO323" s="17" t="n">
        <f aca="false">SQRT(($B323-AO$270)^2+($C323-AO$271)^2+($D323-AO$272)^2)</f>
        <v>0.815426293444052</v>
      </c>
      <c r="AP323" s="17" t="n">
        <f aca="false">SQRT(($B323-AP$270)^2+($C323-AP$271)^2+($D323-AP$272)^2)</f>
        <v>4.48612243622299</v>
      </c>
      <c r="AQ323" s="63" t="n">
        <f aca="false">MATCH(MIN(AL323:AP323),AL323:AP323,0)</f>
        <v>4</v>
      </c>
      <c r="AS323" s="17" t="n">
        <f aca="false">SQRT(($B323-AS$270)^2+($C323-AS$271)^2+($D323-AS$272)^2)</f>
        <v>7.00282646700329</v>
      </c>
      <c r="AT323" s="17" t="n">
        <f aca="false">SQRT(($B323-AT$270)^2+($C323-AT$271)^2+($D323-AT$272)^2)</f>
        <v>1.48084073854466</v>
      </c>
      <c r="AU323" s="17" t="n">
        <f aca="false">SQRT(($B323-AU$270)^2+($C323-AU$271)^2+($D323-AU$272)^2)</f>
        <v>2.40415893182152</v>
      </c>
      <c r="AV323" s="17" t="n">
        <f aca="false">SQRT(($B323-AV$270)^2+($C323-AV$271)^2+($D323-AV$272)^2)</f>
        <v>0.85412551986734</v>
      </c>
      <c r="AW323" s="17" t="n">
        <f aca="false">SQRT(($B323-AW$270)^2+($C323-AW$271)^2+($D323-AW$272)^2)</f>
        <v>4.48612243622299</v>
      </c>
      <c r="AX323" s="63" t="n">
        <f aca="false">MATCH(MIN(AS323:AW323),AS323:AW323,0)</f>
        <v>4</v>
      </c>
      <c r="AZ323" s="17" t="n">
        <f aca="false">SQRT(($B323-AZ$270)^2+($C323-AZ$271)^2+($D323-AZ$272)^2)</f>
        <v>7.00282646700329</v>
      </c>
      <c r="BA323" s="17" t="n">
        <f aca="false">SQRT(($B323-BA$270)^2+($C323-BA$271)^2+($D323-BA$272)^2)</f>
        <v>1.48084073854466</v>
      </c>
      <c r="BB323" s="17" t="n">
        <f aca="false">SQRT(($B323-BB$270)^2+($C323-BB$271)^2+($D323-BB$272)^2)</f>
        <v>2.40415893182152</v>
      </c>
      <c r="BC323" s="17" t="n">
        <f aca="false">SQRT(($B323-BC$270)^2+($C323-BC$271)^2+($D323-BC$272)^2)</f>
        <v>0.85412551986734</v>
      </c>
      <c r="BD323" s="17" t="n">
        <f aca="false">SQRT(($B323-BD$270)^2+($C323-BD$271)^2+($D323-BD$272)^2)</f>
        <v>4.48612243622299</v>
      </c>
      <c r="BE323" s="63" t="n">
        <f aca="false">MATCH(MIN(AZ323:BD323),AZ323:BD323,0)</f>
        <v>4</v>
      </c>
      <c r="BG323" s="17" t="n">
        <f aca="false">SQRT(($B323-BG$270)^2+($C323-BG$271)^2+($D323-BG$272)^2)</f>
        <v>7.00282646700329</v>
      </c>
      <c r="BH323" s="17" t="n">
        <f aca="false">SQRT(($B323-BH$270)^2+($C323-BH$271)^2+($D323-BH$272)^2)</f>
        <v>1.48084073854466</v>
      </c>
      <c r="BI323" s="17" t="n">
        <f aca="false">SQRT(($B323-BI$270)^2+($C323-BI$271)^2+($D323-BI$272)^2)</f>
        <v>2.40415893182152</v>
      </c>
      <c r="BJ323" s="17" t="n">
        <f aca="false">SQRT(($B323-BJ$270)^2+($C323-BJ$271)^2+($D323-BJ$272)^2)</f>
        <v>0.85412551986734</v>
      </c>
      <c r="BK323" s="17" t="n">
        <f aca="false">SQRT(($B323-BK$270)^2+($C323-BK$271)^2+($D323-BK$272)^2)</f>
        <v>4.48612243622299</v>
      </c>
      <c r="BL323" s="63" t="n">
        <f aca="false">MATCH(MIN(BG323:BK323),BG323:BK323,0)</f>
        <v>4</v>
      </c>
      <c r="BN323" s="17" t="n">
        <f aca="false">SQRT(($B323-BN$270)^2+($C323-BN$271)^2+($D323-BN$272)^2)</f>
        <v>7.00282646700329</v>
      </c>
      <c r="BO323" s="17" t="n">
        <f aca="false">SQRT(($B323-BO$270)^2+($C323-BO$271)^2+($D323-BO$272)^2)</f>
        <v>1.48084073854466</v>
      </c>
      <c r="BP323" s="17" t="n">
        <f aca="false">SQRT(($B323-BP$270)^2+($C323-BP$271)^2+($D323-BP$272)^2)</f>
        <v>2.40415893182152</v>
      </c>
      <c r="BQ323" s="17" t="n">
        <f aca="false">SQRT(($B323-BQ$270)^2+($C323-BQ$271)^2+($D323-BQ$272)^2)</f>
        <v>0.85412551986734</v>
      </c>
      <c r="BR323" s="17" t="n">
        <f aca="false">SQRT(($B323-BR$270)^2+($C323-BR$271)^2+($D323-BR$272)^2)</f>
        <v>4.48612243622299</v>
      </c>
      <c r="BS323" s="63" t="n">
        <f aca="false">MATCH(MIN(BN323:BR323),BN323:BR323,0)</f>
        <v>4</v>
      </c>
      <c r="BU323" s="17" t="n">
        <f aca="false">SQRT(($B323-BU$270)^2+($C323-BU$271)^2+($D323-BU$272)^2)</f>
        <v>7.00282646700329</v>
      </c>
      <c r="BV323" s="17" t="n">
        <f aca="false">SQRT(($B323-BV$270)^2+($C323-BV$271)^2+($D323-BV$272)^2)</f>
        <v>1.48084073854466</v>
      </c>
      <c r="BW323" s="17" t="n">
        <f aca="false">SQRT(($B323-BW$270)^2+($C323-BW$271)^2+($D323-BW$272)^2)</f>
        <v>2.40415893182152</v>
      </c>
      <c r="BX323" s="17" t="n">
        <f aca="false">SQRT(($B323-BX$270)^2+($C323-BX$271)^2+($D323-BX$272)^2)</f>
        <v>0.85412551986734</v>
      </c>
      <c r="BY323" s="17" t="n">
        <f aca="false">SQRT(($B323-BY$270)^2+($C323-BY$271)^2+($D323-BY$272)^2)</f>
        <v>4.48612243622299</v>
      </c>
      <c r="BZ323" s="63" t="n">
        <f aca="false">MATCH(MIN(BU323:BY323),BU323:BY323,0)</f>
        <v>4</v>
      </c>
      <c r="CB323" s="17" t="n">
        <f aca="false">SQRT(($B323-CB$270)^2+($C323-CB$271)^2+($D323-CB$272)^2)</f>
        <v>7.00282646700329</v>
      </c>
      <c r="CC323" s="17" t="n">
        <f aca="false">SQRT(($B323-CC$270)^2+($C323-CC$271)^2+($D323-CC$272)^2)</f>
        <v>1.48084073854466</v>
      </c>
      <c r="CD323" s="17" t="n">
        <f aca="false">SQRT(($B323-CD$270)^2+($C323-CD$271)^2+($D323-CD$272)^2)</f>
        <v>2.40415893182152</v>
      </c>
      <c r="CE323" s="17" t="n">
        <f aca="false">SQRT(($B323-CE$270)^2+($C323-CE$271)^2+($D323-CE$272)^2)</f>
        <v>0.85412551986734</v>
      </c>
      <c r="CF323" s="17" t="n">
        <f aca="false">SQRT(($B323-CF$270)^2+($C323-CF$271)^2+($D323-CF$272)^2)</f>
        <v>4.48612243622299</v>
      </c>
      <c r="CG323" s="63" t="n">
        <f aca="false">MATCH(MIN(CB323:CF323),CB323:CF323,0)</f>
        <v>4</v>
      </c>
      <c r="CI323" s="17" t="n">
        <f aca="false">SQRT(($B323-CI$270)^2+($C323-CI$271)^2+($D323-CI$272)^2)</f>
        <v>7.00282646700329</v>
      </c>
      <c r="CJ323" s="17" t="n">
        <f aca="false">SQRT(($B323-CJ$270)^2+($C323-CJ$271)^2+($D323-CJ$272)^2)</f>
        <v>1.48084073854466</v>
      </c>
      <c r="CK323" s="17" t="n">
        <f aca="false">SQRT(($B323-CK$270)^2+($C323-CK$271)^2+($D323-CK$272)^2)</f>
        <v>2.40415893182152</v>
      </c>
      <c r="CL323" s="17" t="n">
        <f aca="false">SQRT(($B323-CL$270)^2+($C323-CL$271)^2+($D323-CL$272)^2)</f>
        <v>0.85412551986734</v>
      </c>
      <c r="CM323" s="17" t="n">
        <f aca="false">SQRT(($B323-CM$270)^2+($C323-CM$271)^2+($D323-CM$272)^2)</f>
        <v>4.48612243622299</v>
      </c>
      <c r="CN323" s="63" t="n">
        <f aca="false">MATCH(MIN(CI323:CM323),CI323:CM323,0)</f>
        <v>4</v>
      </c>
      <c r="CP323" s="17" t="n">
        <f aca="false">SQRT(($B323-CP$270)^2+($C323-CP$271)^2+($D323-CP$272)^2)</f>
        <v>7.00282646700329</v>
      </c>
      <c r="CQ323" s="17" t="n">
        <f aca="false">SQRT(($B323-CQ$270)^2+($C323-CQ$271)^2+($D323-CQ$272)^2)</f>
        <v>1.48084073854466</v>
      </c>
      <c r="CR323" s="17" t="n">
        <f aca="false">SQRT(($B323-CR$270)^2+($C323-CR$271)^2+($D323-CR$272)^2)</f>
        <v>2.40415893182152</v>
      </c>
      <c r="CS323" s="17" t="n">
        <f aca="false">SQRT(($B323-CS$270)^2+($C323-CS$271)^2+($D323-CS$272)^2)</f>
        <v>0.85412551986734</v>
      </c>
      <c r="CT323" s="17" t="n">
        <f aca="false">SQRT(($B323-CT$270)^2+($C323-CT$271)^2+($D323-CT$272)^2)</f>
        <v>4.48612243622299</v>
      </c>
      <c r="CU323" s="63" t="n">
        <f aca="false">MATCH(MIN(CP323:CT323),CP323:CT323,0)</f>
        <v>4</v>
      </c>
      <c r="CW323" s="17" t="n">
        <f aca="false">SQRT(($B323-CW$270)^2+($C323-CW$271)^2+($D323-CW$272)^2)</f>
        <v>7.00282646700329</v>
      </c>
      <c r="CX323" s="17" t="n">
        <f aca="false">SQRT(($B323-CX$270)^2+($C323-CX$271)^2+($D323-CX$272)^2)</f>
        <v>1.48084073854466</v>
      </c>
      <c r="CY323" s="17" t="n">
        <f aca="false">SQRT(($B323-CY$270)^2+($C323-CY$271)^2+($D323-CY$272)^2)</f>
        <v>2.40415893182152</v>
      </c>
      <c r="CZ323" s="17" t="n">
        <f aca="false">SQRT(($B323-CZ$270)^2+($C323-CZ$271)^2+($D323-CZ$272)^2)</f>
        <v>0.85412551986734</v>
      </c>
      <c r="DA323" s="17" t="n">
        <f aca="false">SQRT(($B323-DA$270)^2+($C323-DA$271)^2+($D323-DA$272)^2)</f>
        <v>4.48612243622299</v>
      </c>
      <c r="DB323" s="63" t="n">
        <f aca="false">MATCH(MIN(CW323:DA323),CW323:DA323,0)</f>
        <v>4</v>
      </c>
    </row>
    <row r="324" customFormat="false" ht="15" hidden="false" customHeight="false" outlineLevel="0" collapsed="false">
      <c r="A324" s="36" t="str">
        <f aca="false">KMeans_Data!A52</f>
        <v>Jacobabad</v>
      </c>
      <c r="B324" s="17" t="n">
        <f aca="false">KMeans_Data!H52</f>
        <v>0.200975497781959</v>
      </c>
      <c r="C324" s="17" t="n">
        <f aca="false">KMeans_Data!I52</f>
        <v>-0.672650545388274</v>
      </c>
      <c r="D324" s="17" t="n">
        <f aca="false">KMeans_Data!J52</f>
        <v>1.03251574201556</v>
      </c>
      <c r="E324" s="63" t="n">
        <f aca="false">DB324</f>
        <v>3</v>
      </c>
      <c r="F324" s="38" t="n">
        <f aca="false">($B324-INDEX($L$270:$P$270,E324))^2+($C324-INDEX($L$271:$P$271,E324))^2+($D324-INDEX($L$272:$P$272,E324))^2</f>
        <v>1.78548327075687</v>
      </c>
      <c r="G324" s="17" t="n">
        <f aca="false">IF(COUNTIF(Distance_Matrix!$E$11:$DQ$11,$E324)&lt;=1,0,SUMIF(Distance_Matrix!$E$11:$DQ$11,$E324,Distance_Matrix!$E$61:$DQ$61)/(COUNTIF(Distance_Matrix!$E$11:$DQ$11,$E324)-1))</f>
        <v>1.47319422514552</v>
      </c>
      <c r="H324" s="17" t="n">
        <f aca="false">MIN(IF(1=$E324,1E+099,IF(COUNTIF(Distance_Matrix!$E$11:$DQ$11,1)=0,1E+099,SUMIF(Distance_Matrix!$E$11:$DQ$11,1,Distance_Matrix!$E$61:$DQ$61)/COUNTIF(Distance_Matrix!$E$11:$DQ$11,1))),IF(2=$E324,1E+099,IF(COUNTIF(Distance_Matrix!$E$11:$DQ$11,2)=0,1E+099,SUMIF(Distance_Matrix!$E$11:$DQ$11,2,Distance_Matrix!$E$61:$DQ$61)/COUNTIF(Distance_Matrix!$E$11:$DQ$11,2))),IF(3=$E324,1E+099,IF(COUNTIF(Distance_Matrix!$E$11:$DQ$11,3)=0,1E+099,SUMIF(Distance_Matrix!$E$11:$DQ$11,3,Distance_Matrix!$E$61:$DQ$61)/COUNTIF(Distance_Matrix!$E$11:$DQ$11,3))),IF(4=$E324,1E+099,IF(COUNTIF(Distance_Matrix!$E$11:$DQ$11,4)=0,1E+099,SUMIF(Distance_Matrix!$E$11:$DQ$11,4,Distance_Matrix!$E$61:$DQ$61)/COUNTIF(Distance_Matrix!$E$11:$DQ$11,4))),IF(5=$E324,1E+099,IF(COUNTIF(Distance_Matrix!$E$11:$DQ$11,5)=0,1E+099,SUMIF(Distance_Matrix!$E$11:$DQ$11,5,Distance_Matrix!$E$61:$DQ$61)/COUNTIF(Distance_Matrix!$E$11:$DQ$11,5))))</f>
        <v>1.57677476503643</v>
      </c>
      <c r="I324" s="17" t="n">
        <f aca="false">IF(COUNTIF(Distance_Matrix!$E$11:$DQ$11,$E324)&lt;=1,0,(H324-G324)/MAX(G324,H324))</f>
        <v>0.0656913987892964</v>
      </c>
      <c r="X324" s="17" t="n">
        <f aca="false">SQRT(($B324-X$270)^2+($C324-X$271)^2+($D324-X$272)^2)</f>
        <v>6.04755380426011</v>
      </c>
      <c r="Y324" s="17" t="n">
        <f aca="false">SQRT(($B324-Y$270)^2+($C324-Y$271)^2+($D324-Y$272)^2)</f>
        <v>3.15373339781369</v>
      </c>
      <c r="Z324" s="17" t="n">
        <f aca="false">SQRT(($B324-Z$270)^2+($C324-Z$271)^2+($D324-Z$272)^2)</f>
        <v>1.41299396506918</v>
      </c>
      <c r="AA324" s="17" t="n">
        <f aca="false">SQRT(($B324-AA$270)^2+($C324-AA$271)^2+($D324-AA$272)^2)</f>
        <v>2.2843954378858</v>
      </c>
      <c r="AB324" s="17" t="n">
        <f aca="false">SQRT(($B324-AB$270)^2+($C324-AB$271)^2+($D324-AB$272)^2)</f>
        <v>3.90870791667225</v>
      </c>
      <c r="AC324" s="63" t="n">
        <f aca="false">MATCH(MIN(X324:AB324),X324:AB324,0)</f>
        <v>3</v>
      </c>
      <c r="AE324" s="17" t="n">
        <f aca="false">SQRT(($B324-AE$270)^2+($C324-AE$271)^2+($D324-AE$272)^2)</f>
        <v>5.98912787187447</v>
      </c>
      <c r="AF324" s="17" t="n">
        <f aca="false">SQRT(($B324-AF$270)^2+($C324-AF$271)^2+($D324-AF$272)^2)</f>
        <v>2.43960102470813</v>
      </c>
      <c r="AG324" s="17" t="n">
        <f aca="false">SQRT(($B324-AG$270)^2+($C324-AG$271)^2+($D324-AG$272)^2)</f>
        <v>1.23713050604633</v>
      </c>
      <c r="AH324" s="17" t="n">
        <f aca="false">SQRT(($B324-AH$270)^2+($C324-AH$271)^2+($D324-AH$272)^2)</f>
        <v>1.57942593408806</v>
      </c>
      <c r="AI324" s="17" t="n">
        <f aca="false">SQRT(($B324-AI$270)^2+($C324-AI$271)^2+($D324-AI$272)^2)</f>
        <v>3.80293520944642</v>
      </c>
      <c r="AJ324" s="63" t="n">
        <f aca="false">MATCH(MIN(AE324:AI324),AE324:AI324,0)</f>
        <v>3</v>
      </c>
      <c r="AL324" s="17" t="n">
        <f aca="false">SQRT(($B324-AL$270)^2+($C324-AL$271)^2+($D324-AL$272)^2)</f>
        <v>5.98912787187447</v>
      </c>
      <c r="AM324" s="17" t="n">
        <f aca="false">SQRT(($B324-AM$270)^2+($C324-AM$271)^2+($D324-AM$272)^2)</f>
        <v>2.47535133282015</v>
      </c>
      <c r="AN324" s="17" t="n">
        <f aca="false">SQRT(($B324-AN$270)^2+($C324-AN$271)^2+($D324-AN$272)^2)</f>
        <v>1.32166027963914</v>
      </c>
      <c r="AO324" s="17" t="n">
        <f aca="false">SQRT(($B324-AO$270)^2+($C324-AO$271)^2+($D324-AO$272)^2)</f>
        <v>1.46655929610328</v>
      </c>
      <c r="AP324" s="17" t="n">
        <f aca="false">SQRT(($B324-AP$270)^2+($C324-AP$271)^2+($D324-AP$272)^2)</f>
        <v>3.55397582098839</v>
      </c>
      <c r="AQ324" s="63" t="n">
        <f aca="false">MATCH(MIN(AL324:AP324),AL324:AP324,0)</f>
        <v>3</v>
      </c>
      <c r="AS324" s="17" t="n">
        <f aca="false">SQRT(($B324-AS$270)^2+($C324-AS$271)^2+($D324-AS$272)^2)</f>
        <v>5.98912787187447</v>
      </c>
      <c r="AT324" s="17" t="n">
        <f aca="false">SQRT(($B324-AT$270)^2+($C324-AT$271)^2+($D324-AT$272)^2)</f>
        <v>2.57384560198205</v>
      </c>
      <c r="AU324" s="17" t="n">
        <f aca="false">SQRT(($B324-AU$270)^2+($C324-AU$271)^2+($D324-AU$272)^2)</f>
        <v>1.33621976888417</v>
      </c>
      <c r="AV324" s="17" t="n">
        <f aca="false">SQRT(($B324-AV$270)^2+($C324-AV$271)^2+($D324-AV$272)^2)</f>
        <v>1.45501607740376</v>
      </c>
      <c r="AW324" s="17" t="n">
        <f aca="false">SQRT(($B324-AW$270)^2+($C324-AW$271)^2+($D324-AW$272)^2)</f>
        <v>3.55397582098839</v>
      </c>
      <c r="AX324" s="63" t="n">
        <f aca="false">MATCH(MIN(AS324:AW324),AS324:AW324,0)</f>
        <v>3</v>
      </c>
      <c r="AZ324" s="17" t="n">
        <f aca="false">SQRT(($B324-AZ$270)^2+($C324-AZ$271)^2+($D324-AZ$272)^2)</f>
        <v>5.98912787187447</v>
      </c>
      <c r="BA324" s="17" t="n">
        <f aca="false">SQRT(($B324-BA$270)^2+($C324-BA$271)^2+($D324-BA$272)^2)</f>
        <v>2.57384560198205</v>
      </c>
      <c r="BB324" s="17" t="n">
        <f aca="false">SQRT(($B324-BB$270)^2+($C324-BB$271)^2+($D324-BB$272)^2)</f>
        <v>1.33621976888417</v>
      </c>
      <c r="BC324" s="17" t="n">
        <f aca="false">SQRT(($B324-BC$270)^2+($C324-BC$271)^2+($D324-BC$272)^2)</f>
        <v>1.45501607740376</v>
      </c>
      <c r="BD324" s="17" t="n">
        <f aca="false">SQRT(($B324-BD$270)^2+($C324-BD$271)^2+($D324-BD$272)^2)</f>
        <v>3.55397582098839</v>
      </c>
      <c r="BE324" s="63" t="n">
        <f aca="false">MATCH(MIN(AZ324:BD324),AZ324:BD324,0)</f>
        <v>3</v>
      </c>
      <c r="BG324" s="17" t="n">
        <f aca="false">SQRT(($B324-BG$270)^2+($C324-BG$271)^2+($D324-BG$272)^2)</f>
        <v>5.98912787187447</v>
      </c>
      <c r="BH324" s="17" t="n">
        <f aca="false">SQRT(($B324-BH$270)^2+($C324-BH$271)^2+($D324-BH$272)^2)</f>
        <v>2.57384560198205</v>
      </c>
      <c r="BI324" s="17" t="n">
        <f aca="false">SQRT(($B324-BI$270)^2+($C324-BI$271)^2+($D324-BI$272)^2)</f>
        <v>1.33621976888417</v>
      </c>
      <c r="BJ324" s="17" t="n">
        <f aca="false">SQRT(($B324-BJ$270)^2+($C324-BJ$271)^2+($D324-BJ$272)^2)</f>
        <v>1.45501607740376</v>
      </c>
      <c r="BK324" s="17" t="n">
        <f aca="false">SQRT(($B324-BK$270)^2+($C324-BK$271)^2+($D324-BK$272)^2)</f>
        <v>3.55397582098839</v>
      </c>
      <c r="BL324" s="63" t="n">
        <f aca="false">MATCH(MIN(BG324:BK324),BG324:BK324,0)</f>
        <v>3</v>
      </c>
      <c r="BN324" s="17" t="n">
        <f aca="false">SQRT(($B324-BN$270)^2+($C324-BN$271)^2+($D324-BN$272)^2)</f>
        <v>5.98912787187447</v>
      </c>
      <c r="BO324" s="17" t="n">
        <f aca="false">SQRT(($B324-BO$270)^2+($C324-BO$271)^2+($D324-BO$272)^2)</f>
        <v>2.57384560198205</v>
      </c>
      <c r="BP324" s="17" t="n">
        <f aca="false">SQRT(($B324-BP$270)^2+($C324-BP$271)^2+($D324-BP$272)^2)</f>
        <v>1.33621976888417</v>
      </c>
      <c r="BQ324" s="17" t="n">
        <f aca="false">SQRT(($B324-BQ$270)^2+($C324-BQ$271)^2+($D324-BQ$272)^2)</f>
        <v>1.45501607740376</v>
      </c>
      <c r="BR324" s="17" t="n">
        <f aca="false">SQRT(($B324-BR$270)^2+($C324-BR$271)^2+($D324-BR$272)^2)</f>
        <v>3.55397582098839</v>
      </c>
      <c r="BS324" s="63" t="n">
        <f aca="false">MATCH(MIN(BN324:BR324),BN324:BR324,0)</f>
        <v>3</v>
      </c>
      <c r="BU324" s="17" t="n">
        <f aca="false">SQRT(($B324-BU$270)^2+($C324-BU$271)^2+($D324-BU$272)^2)</f>
        <v>5.98912787187447</v>
      </c>
      <c r="BV324" s="17" t="n">
        <f aca="false">SQRT(($B324-BV$270)^2+($C324-BV$271)^2+($D324-BV$272)^2)</f>
        <v>2.57384560198205</v>
      </c>
      <c r="BW324" s="17" t="n">
        <f aca="false">SQRT(($B324-BW$270)^2+($C324-BW$271)^2+($D324-BW$272)^2)</f>
        <v>1.33621976888417</v>
      </c>
      <c r="BX324" s="17" t="n">
        <f aca="false">SQRT(($B324-BX$270)^2+($C324-BX$271)^2+($D324-BX$272)^2)</f>
        <v>1.45501607740376</v>
      </c>
      <c r="BY324" s="17" t="n">
        <f aca="false">SQRT(($B324-BY$270)^2+($C324-BY$271)^2+($D324-BY$272)^2)</f>
        <v>3.55397582098839</v>
      </c>
      <c r="BZ324" s="63" t="n">
        <f aca="false">MATCH(MIN(BU324:BY324),BU324:BY324,0)</f>
        <v>3</v>
      </c>
      <c r="CB324" s="17" t="n">
        <f aca="false">SQRT(($B324-CB$270)^2+($C324-CB$271)^2+($D324-CB$272)^2)</f>
        <v>5.98912787187447</v>
      </c>
      <c r="CC324" s="17" t="n">
        <f aca="false">SQRT(($B324-CC$270)^2+($C324-CC$271)^2+($D324-CC$272)^2)</f>
        <v>2.57384560198205</v>
      </c>
      <c r="CD324" s="17" t="n">
        <f aca="false">SQRT(($B324-CD$270)^2+($C324-CD$271)^2+($D324-CD$272)^2)</f>
        <v>1.33621976888417</v>
      </c>
      <c r="CE324" s="17" t="n">
        <f aca="false">SQRT(($B324-CE$270)^2+($C324-CE$271)^2+($D324-CE$272)^2)</f>
        <v>1.45501607740376</v>
      </c>
      <c r="CF324" s="17" t="n">
        <f aca="false">SQRT(($B324-CF$270)^2+($C324-CF$271)^2+($D324-CF$272)^2)</f>
        <v>3.55397582098839</v>
      </c>
      <c r="CG324" s="63" t="n">
        <f aca="false">MATCH(MIN(CB324:CF324),CB324:CF324,0)</f>
        <v>3</v>
      </c>
      <c r="CI324" s="17" t="n">
        <f aca="false">SQRT(($B324-CI$270)^2+($C324-CI$271)^2+($D324-CI$272)^2)</f>
        <v>5.98912787187447</v>
      </c>
      <c r="CJ324" s="17" t="n">
        <f aca="false">SQRT(($B324-CJ$270)^2+($C324-CJ$271)^2+($D324-CJ$272)^2)</f>
        <v>2.57384560198205</v>
      </c>
      <c r="CK324" s="17" t="n">
        <f aca="false">SQRT(($B324-CK$270)^2+($C324-CK$271)^2+($D324-CK$272)^2)</f>
        <v>1.33621976888417</v>
      </c>
      <c r="CL324" s="17" t="n">
        <f aca="false">SQRT(($B324-CL$270)^2+($C324-CL$271)^2+($D324-CL$272)^2)</f>
        <v>1.45501607740376</v>
      </c>
      <c r="CM324" s="17" t="n">
        <f aca="false">SQRT(($B324-CM$270)^2+($C324-CM$271)^2+($D324-CM$272)^2)</f>
        <v>3.55397582098839</v>
      </c>
      <c r="CN324" s="63" t="n">
        <f aca="false">MATCH(MIN(CI324:CM324),CI324:CM324,0)</f>
        <v>3</v>
      </c>
      <c r="CP324" s="17" t="n">
        <f aca="false">SQRT(($B324-CP$270)^2+($C324-CP$271)^2+($D324-CP$272)^2)</f>
        <v>5.98912787187447</v>
      </c>
      <c r="CQ324" s="17" t="n">
        <f aca="false">SQRT(($B324-CQ$270)^2+($C324-CQ$271)^2+($D324-CQ$272)^2)</f>
        <v>2.57384560198205</v>
      </c>
      <c r="CR324" s="17" t="n">
        <f aca="false">SQRT(($B324-CR$270)^2+($C324-CR$271)^2+($D324-CR$272)^2)</f>
        <v>1.33621976888417</v>
      </c>
      <c r="CS324" s="17" t="n">
        <f aca="false">SQRT(($B324-CS$270)^2+($C324-CS$271)^2+($D324-CS$272)^2)</f>
        <v>1.45501607740376</v>
      </c>
      <c r="CT324" s="17" t="n">
        <f aca="false">SQRT(($B324-CT$270)^2+($C324-CT$271)^2+($D324-CT$272)^2)</f>
        <v>3.55397582098839</v>
      </c>
      <c r="CU324" s="63" t="n">
        <f aca="false">MATCH(MIN(CP324:CT324),CP324:CT324,0)</f>
        <v>3</v>
      </c>
      <c r="CW324" s="17" t="n">
        <f aca="false">SQRT(($B324-CW$270)^2+($C324-CW$271)^2+($D324-CW$272)^2)</f>
        <v>5.98912787187447</v>
      </c>
      <c r="CX324" s="17" t="n">
        <f aca="false">SQRT(($B324-CX$270)^2+($C324-CX$271)^2+($D324-CX$272)^2)</f>
        <v>2.57384560198205</v>
      </c>
      <c r="CY324" s="17" t="n">
        <f aca="false">SQRT(($B324-CY$270)^2+($C324-CY$271)^2+($D324-CY$272)^2)</f>
        <v>1.33621976888417</v>
      </c>
      <c r="CZ324" s="17" t="n">
        <f aca="false">SQRT(($B324-CZ$270)^2+($C324-CZ$271)^2+($D324-CZ$272)^2)</f>
        <v>1.45501607740376</v>
      </c>
      <c r="DA324" s="17" t="n">
        <f aca="false">SQRT(($B324-DA$270)^2+($C324-DA$271)^2+($D324-DA$272)^2)</f>
        <v>3.55397582098839</v>
      </c>
      <c r="DB324" s="63" t="n">
        <f aca="false">MATCH(MIN(CW324:DA324),CW324:DA324,0)</f>
        <v>3</v>
      </c>
    </row>
    <row r="325" customFormat="false" ht="15" hidden="false" customHeight="false" outlineLevel="0" collapsed="false">
      <c r="A325" s="36" t="str">
        <f aca="false">KMeans_Data!A53</f>
        <v>Skardu</v>
      </c>
      <c r="B325" s="17" t="n">
        <f aca="false">KMeans_Data!H53</f>
        <v>0.194428618785618</v>
      </c>
      <c r="C325" s="17" t="n">
        <f aca="false">KMeans_Data!I53</f>
        <v>-0.146983133929529</v>
      </c>
      <c r="D325" s="17" t="n">
        <f aca="false">KMeans_Data!J53</f>
        <v>0.795803793083582</v>
      </c>
      <c r="E325" s="63" t="n">
        <f aca="false">DB325</f>
        <v>3</v>
      </c>
      <c r="F325" s="38" t="n">
        <f aca="false">($B325-INDEX($L$270:$P$270,E325))^2+($C325-INDEX($L$271:$P$271,E325))^2+($D325-INDEX($L$272:$P$272,E325))^2</f>
        <v>0.719338916583809</v>
      </c>
      <c r="G325" s="17" t="n">
        <f aca="false">IF(COUNTIF(Distance_Matrix!$E$11:$DQ$11,$E325)&lt;=1,0,SUMIF(Distance_Matrix!$E$11:$DQ$11,$E325,Distance_Matrix!$E$62:$DQ$62)/(COUNTIF(Distance_Matrix!$E$11:$DQ$11,$E325)-1))</f>
        <v>1.06855035939289</v>
      </c>
      <c r="H325" s="17" t="n">
        <f aca="false">MIN(IF(1=$E325,1E+099,IF(COUNTIF(Distance_Matrix!$E$11:$DQ$11,1)=0,1E+099,SUMIF(Distance_Matrix!$E$11:$DQ$11,1,Distance_Matrix!$E$62:$DQ$62)/COUNTIF(Distance_Matrix!$E$11:$DQ$11,1))),IF(2=$E325,1E+099,IF(COUNTIF(Distance_Matrix!$E$11:$DQ$11,2)=0,1E+099,SUMIF(Distance_Matrix!$E$11:$DQ$11,2,Distance_Matrix!$E$62:$DQ$62)/COUNTIF(Distance_Matrix!$E$11:$DQ$11,2))),IF(3=$E325,1E+099,IF(COUNTIF(Distance_Matrix!$E$11:$DQ$11,3)=0,1E+099,SUMIF(Distance_Matrix!$E$11:$DQ$11,3,Distance_Matrix!$E$62:$DQ$62)/COUNTIF(Distance_Matrix!$E$11:$DQ$11,3))),IF(4=$E325,1E+099,IF(COUNTIF(Distance_Matrix!$E$11:$DQ$11,4)=0,1E+099,SUMIF(Distance_Matrix!$E$11:$DQ$11,4,Distance_Matrix!$E$62:$DQ$62)/COUNTIF(Distance_Matrix!$E$11:$DQ$11,4))),IF(5=$E325,1E+099,IF(COUNTIF(Distance_Matrix!$E$11:$DQ$11,5)=0,1E+099,SUMIF(Distance_Matrix!$E$11:$DQ$11,5,Distance_Matrix!$E$62:$DQ$62)/COUNTIF(Distance_Matrix!$E$11:$DQ$11,5))))</f>
        <v>1.41022309816789</v>
      </c>
      <c r="I325" s="17" t="n">
        <f aca="false">IF(COUNTIF(Distance_Matrix!$E$11:$DQ$11,$E325)&lt;=1,0,(H325-G325)/MAX(G325,H325))</f>
        <v>0.242282755983003</v>
      </c>
      <c r="X325" s="17" t="n">
        <f aca="false">SQRT(($B325-X$270)^2+($C325-X$271)^2+($D325-X$272)^2)</f>
        <v>5.7483282810053</v>
      </c>
      <c r="Y325" s="17" t="n">
        <f aca="false">SQRT(($B325-Y$270)^2+($C325-Y$271)^2+($D325-Y$272)^2)</f>
        <v>3.03601382402719</v>
      </c>
      <c r="Z325" s="17" t="n">
        <f aca="false">SQRT(($B325-Z$270)^2+($C325-Z$271)^2+($D325-Z$272)^2)</f>
        <v>1.20079425949173</v>
      </c>
      <c r="AA325" s="17" t="n">
        <f aca="false">SQRT(($B325-AA$270)^2+($C325-AA$271)^2+($D325-AA$272)^2)</f>
        <v>1.99319881835379</v>
      </c>
      <c r="AB325" s="17" t="n">
        <f aca="false">SQRT(($B325-AB$270)^2+($C325-AB$271)^2+($D325-AB$272)^2)</f>
        <v>3.62683739800656</v>
      </c>
      <c r="AC325" s="63" t="n">
        <f aca="false">MATCH(MIN(X325:AB325),X325:AB325,0)</f>
        <v>3</v>
      </c>
      <c r="AE325" s="17" t="n">
        <f aca="false">SQRT(($B325-AE$270)^2+($C325-AE$271)^2+($D325-AE$272)^2)</f>
        <v>5.66942641319471</v>
      </c>
      <c r="AF325" s="17" t="n">
        <f aca="false">SQRT(($B325-AF$270)^2+($C325-AF$271)^2+($D325-AF$272)^2)</f>
        <v>2.30518198669101</v>
      </c>
      <c r="AG325" s="17" t="n">
        <f aca="false">SQRT(($B325-AG$270)^2+($C325-AG$271)^2+($D325-AG$272)^2)</f>
        <v>0.739047433453356</v>
      </c>
      <c r="AH325" s="17" t="n">
        <f aca="false">SQRT(($B325-AH$270)^2+($C325-AH$271)^2+($D325-AH$272)^2)</f>
        <v>1.37785049919749</v>
      </c>
      <c r="AI325" s="17" t="n">
        <f aca="false">SQRT(($B325-AI$270)^2+($C325-AI$271)^2+($D325-AI$272)^2)</f>
        <v>3.43534122971186</v>
      </c>
      <c r="AJ325" s="63" t="n">
        <f aca="false">MATCH(MIN(AE325:AI325),AE325:AI325,0)</f>
        <v>3</v>
      </c>
      <c r="AL325" s="17" t="n">
        <f aca="false">SQRT(($B325-AL$270)^2+($C325-AL$271)^2+($D325-AL$272)^2)</f>
        <v>5.66942641319471</v>
      </c>
      <c r="AM325" s="17" t="n">
        <f aca="false">SQRT(($B325-AM$270)^2+($C325-AM$271)^2+($D325-AM$272)^2)</f>
        <v>2.33791265401236</v>
      </c>
      <c r="AN325" s="17" t="n">
        <f aca="false">SQRT(($B325-AN$270)^2+($C325-AN$271)^2+($D325-AN$272)^2)</f>
        <v>0.827551646561028</v>
      </c>
      <c r="AO325" s="17" t="n">
        <f aca="false">SQRT(($B325-AO$270)^2+($C325-AO$271)^2+($D325-AO$272)^2)</f>
        <v>1.27808569816564</v>
      </c>
      <c r="AP325" s="17" t="n">
        <f aca="false">SQRT(($B325-AP$270)^2+($C325-AP$271)^2+($D325-AP$272)^2)</f>
        <v>3.1734029428833</v>
      </c>
      <c r="AQ325" s="63" t="n">
        <f aca="false">MATCH(MIN(AL325:AP325),AL325:AP325,0)</f>
        <v>3</v>
      </c>
      <c r="AS325" s="17" t="n">
        <f aca="false">SQRT(($B325-AS$270)^2+($C325-AS$271)^2+($D325-AS$272)^2)</f>
        <v>5.66942641319471</v>
      </c>
      <c r="AT325" s="17" t="n">
        <f aca="false">SQRT(($B325-AT$270)^2+($C325-AT$271)^2+($D325-AT$272)^2)</f>
        <v>2.43277400668624</v>
      </c>
      <c r="AU325" s="17" t="n">
        <f aca="false">SQRT(($B325-AU$270)^2+($C325-AU$271)^2+($D325-AU$272)^2)</f>
        <v>0.848138500826256</v>
      </c>
      <c r="AV325" s="17" t="n">
        <f aca="false">SQRT(($B325-AV$270)^2+($C325-AV$271)^2+($D325-AV$272)^2)</f>
        <v>1.26718459556074</v>
      </c>
      <c r="AW325" s="17" t="n">
        <f aca="false">SQRT(($B325-AW$270)^2+($C325-AW$271)^2+($D325-AW$272)^2)</f>
        <v>3.1734029428833</v>
      </c>
      <c r="AX325" s="63" t="n">
        <f aca="false">MATCH(MIN(AS325:AW325),AS325:AW325,0)</f>
        <v>3</v>
      </c>
      <c r="AZ325" s="17" t="n">
        <f aca="false">SQRT(($B325-AZ$270)^2+($C325-AZ$271)^2+($D325-AZ$272)^2)</f>
        <v>5.66942641319471</v>
      </c>
      <c r="BA325" s="17" t="n">
        <f aca="false">SQRT(($B325-BA$270)^2+($C325-BA$271)^2+($D325-BA$272)^2)</f>
        <v>2.43277400668624</v>
      </c>
      <c r="BB325" s="17" t="n">
        <f aca="false">SQRT(($B325-BB$270)^2+($C325-BB$271)^2+($D325-BB$272)^2)</f>
        <v>0.848138500826256</v>
      </c>
      <c r="BC325" s="17" t="n">
        <f aca="false">SQRT(($B325-BC$270)^2+($C325-BC$271)^2+($D325-BC$272)^2)</f>
        <v>1.26718459556074</v>
      </c>
      <c r="BD325" s="17" t="n">
        <f aca="false">SQRT(($B325-BD$270)^2+($C325-BD$271)^2+($D325-BD$272)^2)</f>
        <v>3.1734029428833</v>
      </c>
      <c r="BE325" s="63" t="n">
        <f aca="false">MATCH(MIN(AZ325:BD325),AZ325:BD325,0)</f>
        <v>3</v>
      </c>
      <c r="BG325" s="17" t="n">
        <f aca="false">SQRT(($B325-BG$270)^2+($C325-BG$271)^2+($D325-BG$272)^2)</f>
        <v>5.66942641319471</v>
      </c>
      <c r="BH325" s="17" t="n">
        <f aca="false">SQRT(($B325-BH$270)^2+($C325-BH$271)^2+($D325-BH$272)^2)</f>
        <v>2.43277400668624</v>
      </c>
      <c r="BI325" s="17" t="n">
        <f aca="false">SQRT(($B325-BI$270)^2+($C325-BI$271)^2+($D325-BI$272)^2)</f>
        <v>0.848138500826256</v>
      </c>
      <c r="BJ325" s="17" t="n">
        <f aca="false">SQRT(($B325-BJ$270)^2+($C325-BJ$271)^2+($D325-BJ$272)^2)</f>
        <v>1.26718459556074</v>
      </c>
      <c r="BK325" s="17" t="n">
        <f aca="false">SQRT(($B325-BK$270)^2+($C325-BK$271)^2+($D325-BK$272)^2)</f>
        <v>3.1734029428833</v>
      </c>
      <c r="BL325" s="63" t="n">
        <f aca="false">MATCH(MIN(BG325:BK325),BG325:BK325,0)</f>
        <v>3</v>
      </c>
      <c r="BN325" s="17" t="n">
        <f aca="false">SQRT(($B325-BN$270)^2+($C325-BN$271)^2+($D325-BN$272)^2)</f>
        <v>5.66942641319471</v>
      </c>
      <c r="BO325" s="17" t="n">
        <f aca="false">SQRT(($B325-BO$270)^2+($C325-BO$271)^2+($D325-BO$272)^2)</f>
        <v>2.43277400668624</v>
      </c>
      <c r="BP325" s="17" t="n">
        <f aca="false">SQRT(($B325-BP$270)^2+($C325-BP$271)^2+($D325-BP$272)^2)</f>
        <v>0.848138500826256</v>
      </c>
      <c r="BQ325" s="17" t="n">
        <f aca="false">SQRT(($B325-BQ$270)^2+($C325-BQ$271)^2+($D325-BQ$272)^2)</f>
        <v>1.26718459556074</v>
      </c>
      <c r="BR325" s="17" t="n">
        <f aca="false">SQRT(($B325-BR$270)^2+($C325-BR$271)^2+($D325-BR$272)^2)</f>
        <v>3.1734029428833</v>
      </c>
      <c r="BS325" s="63" t="n">
        <f aca="false">MATCH(MIN(BN325:BR325),BN325:BR325,0)</f>
        <v>3</v>
      </c>
      <c r="BU325" s="17" t="n">
        <f aca="false">SQRT(($B325-BU$270)^2+($C325-BU$271)^2+($D325-BU$272)^2)</f>
        <v>5.66942641319471</v>
      </c>
      <c r="BV325" s="17" t="n">
        <f aca="false">SQRT(($B325-BV$270)^2+($C325-BV$271)^2+($D325-BV$272)^2)</f>
        <v>2.43277400668624</v>
      </c>
      <c r="BW325" s="17" t="n">
        <f aca="false">SQRT(($B325-BW$270)^2+($C325-BW$271)^2+($D325-BW$272)^2)</f>
        <v>0.848138500826256</v>
      </c>
      <c r="BX325" s="17" t="n">
        <f aca="false">SQRT(($B325-BX$270)^2+($C325-BX$271)^2+($D325-BX$272)^2)</f>
        <v>1.26718459556074</v>
      </c>
      <c r="BY325" s="17" t="n">
        <f aca="false">SQRT(($B325-BY$270)^2+($C325-BY$271)^2+($D325-BY$272)^2)</f>
        <v>3.1734029428833</v>
      </c>
      <c r="BZ325" s="63" t="n">
        <f aca="false">MATCH(MIN(BU325:BY325),BU325:BY325,0)</f>
        <v>3</v>
      </c>
      <c r="CB325" s="17" t="n">
        <f aca="false">SQRT(($B325-CB$270)^2+($C325-CB$271)^2+($D325-CB$272)^2)</f>
        <v>5.66942641319471</v>
      </c>
      <c r="CC325" s="17" t="n">
        <f aca="false">SQRT(($B325-CC$270)^2+($C325-CC$271)^2+($D325-CC$272)^2)</f>
        <v>2.43277400668624</v>
      </c>
      <c r="CD325" s="17" t="n">
        <f aca="false">SQRT(($B325-CD$270)^2+($C325-CD$271)^2+($D325-CD$272)^2)</f>
        <v>0.848138500826256</v>
      </c>
      <c r="CE325" s="17" t="n">
        <f aca="false">SQRT(($B325-CE$270)^2+($C325-CE$271)^2+($D325-CE$272)^2)</f>
        <v>1.26718459556074</v>
      </c>
      <c r="CF325" s="17" t="n">
        <f aca="false">SQRT(($B325-CF$270)^2+($C325-CF$271)^2+($D325-CF$272)^2)</f>
        <v>3.1734029428833</v>
      </c>
      <c r="CG325" s="63" t="n">
        <f aca="false">MATCH(MIN(CB325:CF325),CB325:CF325,0)</f>
        <v>3</v>
      </c>
      <c r="CI325" s="17" t="n">
        <f aca="false">SQRT(($B325-CI$270)^2+($C325-CI$271)^2+($D325-CI$272)^2)</f>
        <v>5.66942641319471</v>
      </c>
      <c r="CJ325" s="17" t="n">
        <f aca="false">SQRT(($B325-CJ$270)^2+($C325-CJ$271)^2+($D325-CJ$272)^2)</f>
        <v>2.43277400668624</v>
      </c>
      <c r="CK325" s="17" t="n">
        <f aca="false">SQRT(($B325-CK$270)^2+($C325-CK$271)^2+($D325-CK$272)^2)</f>
        <v>0.848138500826256</v>
      </c>
      <c r="CL325" s="17" t="n">
        <f aca="false">SQRT(($B325-CL$270)^2+($C325-CL$271)^2+($D325-CL$272)^2)</f>
        <v>1.26718459556074</v>
      </c>
      <c r="CM325" s="17" t="n">
        <f aca="false">SQRT(($B325-CM$270)^2+($C325-CM$271)^2+($D325-CM$272)^2)</f>
        <v>3.1734029428833</v>
      </c>
      <c r="CN325" s="63" t="n">
        <f aca="false">MATCH(MIN(CI325:CM325),CI325:CM325,0)</f>
        <v>3</v>
      </c>
      <c r="CP325" s="17" t="n">
        <f aca="false">SQRT(($B325-CP$270)^2+($C325-CP$271)^2+($D325-CP$272)^2)</f>
        <v>5.66942641319471</v>
      </c>
      <c r="CQ325" s="17" t="n">
        <f aca="false">SQRT(($B325-CQ$270)^2+($C325-CQ$271)^2+($D325-CQ$272)^2)</f>
        <v>2.43277400668624</v>
      </c>
      <c r="CR325" s="17" t="n">
        <f aca="false">SQRT(($B325-CR$270)^2+($C325-CR$271)^2+($D325-CR$272)^2)</f>
        <v>0.848138500826256</v>
      </c>
      <c r="CS325" s="17" t="n">
        <f aca="false">SQRT(($B325-CS$270)^2+($C325-CS$271)^2+($D325-CS$272)^2)</f>
        <v>1.26718459556074</v>
      </c>
      <c r="CT325" s="17" t="n">
        <f aca="false">SQRT(($B325-CT$270)^2+($C325-CT$271)^2+($D325-CT$272)^2)</f>
        <v>3.1734029428833</v>
      </c>
      <c r="CU325" s="63" t="n">
        <f aca="false">MATCH(MIN(CP325:CT325),CP325:CT325,0)</f>
        <v>3</v>
      </c>
      <c r="CW325" s="17" t="n">
        <f aca="false">SQRT(($B325-CW$270)^2+($C325-CW$271)^2+($D325-CW$272)^2)</f>
        <v>5.66942641319471</v>
      </c>
      <c r="CX325" s="17" t="n">
        <f aca="false">SQRT(($B325-CX$270)^2+($C325-CX$271)^2+($D325-CX$272)^2)</f>
        <v>2.43277400668624</v>
      </c>
      <c r="CY325" s="17" t="n">
        <f aca="false">SQRT(($B325-CY$270)^2+($C325-CY$271)^2+($D325-CY$272)^2)</f>
        <v>0.848138500826256</v>
      </c>
      <c r="CZ325" s="17" t="n">
        <f aca="false">SQRT(($B325-CZ$270)^2+($C325-CZ$271)^2+($D325-CZ$272)^2)</f>
        <v>1.26718459556074</v>
      </c>
      <c r="DA325" s="17" t="n">
        <f aca="false">SQRT(($B325-DA$270)^2+($C325-DA$271)^2+($D325-DA$272)^2)</f>
        <v>3.1734029428833</v>
      </c>
      <c r="DB325" s="63" t="n">
        <f aca="false">MATCH(MIN(CW325:DA325),CW325:DA325,0)</f>
        <v>3</v>
      </c>
    </row>
    <row r="326" customFormat="false" ht="15" hidden="false" customHeight="false" outlineLevel="0" collapsed="false">
      <c r="A326" s="36" t="str">
        <f aca="false">KMeans_Data!A54</f>
        <v>Sialkot</v>
      </c>
      <c r="B326" s="17" t="n">
        <f aca="false">KMeans_Data!H54</f>
        <v>0.194428618785618</v>
      </c>
      <c r="C326" s="17" t="n">
        <f aca="false">KMeans_Data!I54</f>
        <v>-0.672650545388274</v>
      </c>
      <c r="D326" s="17" t="n">
        <f aca="false">KMeans_Data!J54</f>
        <v>-1.14564411633355</v>
      </c>
      <c r="E326" s="63" t="n">
        <f aca="false">DB326</f>
        <v>4</v>
      </c>
      <c r="F326" s="38" t="n">
        <f aca="false">($B326-INDEX($L$270:$P$270,E326))^2+($C326-INDEX($L$271:$P$271,E326))^2+($D326-INDEX($L$272:$P$272,E326))^2</f>
        <v>0.725256802078735</v>
      </c>
      <c r="G326" s="17" t="n">
        <f aca="false">IF(COUNTIF(Distance_Matrix!$E$11:$DQ$11,$E326)&lt;=1,0,SUMIF(Distance_Matrix!$E$11:$DQ$11,$E326,Distance_Matrix!$E$63:$DQ$63)/(COUNTIF(Distance_Matrix!$E$11:$DQ$11,$E326)-1))</f>
        <v>1.05237712436194</v>
      </c>
      <c r="H326" s="17" t="n">
        <f aca="false">MIN(IF(1=$E326,1E+099,IF(COUNTIF(Distance_Matrix!$E$11:$DQ$11,1)=0,1E+099,SUMIF(Distance_Matrix!$E$11:$DQ$11,1,Distance_Matrix!$E$63:$DQ$63)/COUNTIF(Distance_Matrix!$E$11:$DQ$11,1))),IF(2=$E326,1E+099,IF(COUNTIF(Distance_Matrix!$E$11:$DQ$11,2)=0,1E+099,SUMIF(Distance_Matrix!$E$11:$DQ$11,2,Distance_Matrix!$E$63:$DQ$63)/COUNTIF(Distance_Matrix!$E$11:$DQ$11,2))),IF(3=$E326,1E+099,IF(COUNTIF(Distance_Matrix!$E$11:$DQ$11,3)=0,1E+099,SUMIF(Distance_Matrix!$E$11:$DQ$11,3,Distance_Matrix!$E$63:$DQ$63)/COUNTIF(Distance_Matrix!$E$11:$DQ$11,3))),IF(4=$E326,1E+099,IF(COUNTIF(Distance_Matrix!$E$11:$DQ$11,4)=0,1E+099,SUMIF(Distance_Matrix!$E$11:$DQ$11,4,Distance_Matrix!$E$63:$DQ$63)/COUNTIF(Distance_Matrix!$E$11:$DQ$11,4))),IF(5=$E326,1E+099,IF(COUNTIF(Distance_Matrix!$E$11:$DQ$11,5)=0,1E+099,SUMIF(Distance_Matrix!$E$11:$DQ$11,5,Distance_Matrix!$E$63:$DQ$63)/COUNTIF(Distance_Matrix!$E$11:$DQ$11,5))))</f>
        <v>1.49143475064354</v>
      </c>
      <c r="I326" s="17" t="n">
        <f aca="false">IF(COUNTIF(Distance_Matrix!$E$11:$DQ$11,$E326)&lt;=1,0,(H326-G326)/MAX(G326,H326))</f>
        <v>0.294386077629043</v>
      </c>
      <c r="X326" s="17" t="n">
        <f aca="false">SQRT(($B326-X$270)^2+($C326-X$271)^2+($D326-X$272)^2)</f>
        <v>7.14349075775095</v>
      </c>
      <c r="Y326" s="17" t="n">
        <f aca="false">SQRT(($B326-Y$270)^2+($C326-Y$271)^2+($D326-Y$272)^2)</f>
        <v>2.27416660058894</v>
      </c>
      <c r="Z326" s="17" t="n">
        <f aca="false">SQRT(($B326-Z$270)^2+($C326-Z$271)^2+($D326-Z$272)^2)</f>
        <v>2.94270459419819</v>
      </c>
      <c r="AA326" s="17" t="n">
        <f aca="false">SQRT(($B326-AA$270)^2+($C326-AA$271)^2+($D326-AA$272)^2)</f>
        <v>0.692782629672915</v>
      </c>
      <c r="AB326" s="17" t="n">
        <f aca="false">SQRT(($B326-AB$270)^2+($C326-AB$271)^2+($D326-AB$272)^2)</f>
        <v>5.08797804025303</v>
      </c>
      <c r="AC326" s="63" t="n">
        <f aca="false">MATCH(MIN(X326:AB326),X326:AB326,0)</f>
        <v>4</v>
      </c>
      <c r="AE326" s="17" t="n">
        <f aca="false">SQRT(($B326-AE$270)^2+($C326-AE$271)^2+($D326-AE$272)^2)</f>
        <v>7.00569088065799</v>
      </c>
      <c r="AF326" s="17" t="n">
        <f aca="false">SQRT(($B326-AF$270)^2+($C326-AF$271)^2+($D326-AF$272)^2)</f>
        <v>1.45090244411852</v>
      </c>
      <c r="AG326" s="17" t="n">
        <f aca="false">SQRT(($B326-AG$270)^2+($C326-AG$271)^2+($D326-AG$272)^2)</f>
        <v>2.33818043758498</v>
      </c>
      <c r="AH326" s="17" t="n">
        <f aca="false">SQRT(($B326-AH$270)^2+($C326-AH$271)^2+($D326-AH$272)^2)</f>
        <v>0.706096205322162</v>
      </c>
      <c r="AI326" s="17" t="n">
        <f aca="false">SQRT(($B326-AI$270)^2+($C326-AI$271)^2+($D326-AI$272)^2)</f>
        <v>4.74583019041973</v>
      </c>
      <c r="AJ326" s="63" t="n">
        <f aca="false">MATCH(MIN(AE326:AI326),AE326:AI326,0)</f>
        <v>4</v>
      </c>
      <c r="AL326" s="17" t="n">
        <f aca="false">SQRT(($B326-AL$270)^2+($C326-AL$271)^2+($D326-AL$272)^2)</f>
        <v>7.00569088065799</v>
      </c>
      <c r="AM326" s="17" t="n">
        <f aca="false">SQRT(($B326-AM$270)^2+($C326-AM$271)^2+($D326-AM$272)^2)</f>
        <v>1.43577381665273</v>
      </c>
      <c r="AN326" s="17" t="n">
        <f aca="false">SQRT(($B326-AN$270)^2+($C326-AN$271)^2+($D326-AN$272)^2)</f>
        <v>2.38252924575676</v>
      </c>
      <c r="AO326" s="17" t="n">
        <f aca="false">SQRT(($B326-AO$270)^2+($C326-AO$271)^2+($D326-AO$272)^2)</f>
        <v>0.813184201204726</v>
      </c>
      <c r="AP326" s="17" t="n">
        <f aca="false">SQRT(($B326-AP$270)^2+($C326-AP$271)^2+($D326-AP$272)^2)</f>
        <v>4.48860649341709</v>
      </c>
      <c r="AQ326" s="63" t="n">
        <f aca="false">MATCH(MIN(AL326:AP326),AL326:AP326,0)</f>
        <v>4</v>
      </c>
      <c r="AS326" s="17" t="n">
        <f aca="false">SQRT(($B326-AS$270)^2+($C326-AS$271)^2+($D326-AS$272)^2)</f>
        <v>7.00569088065799</v>
      </c>
      <c r="AT326" s="17" t="n">
        <f aca="false">SQRT(($B326-AT$270)^2+($C326-AT$271)^2+($D326-AT$272)^2)</f>
        <v>1.47430224780229</v>
      </c>
      <c r="AU326" s="17" t="n">
        <f aca="false">SQRT(($B326-AU$270)^2+($C326-AU$271)^2+($D326-AU$272)^2)</f>
        <v>2.40530173851704</v>
      </c>
      <c r="AV326" s="17" t="n">
        <f aca="false">SQRT(($B326-AV$270)^2+($C326-AV$271)^2+($D326-AV$272)^2)</f>
        <v>0.851620104318078</v>
      </c>
      <c r="AW326" s="17" t="n">
        <f aca="false">SQRT(($B326-AW$270)^2+($C326-AW$271)^2+($D326-AW$272)^2)</f>
        <v>4.48860649341709</v>
      </c>
      <c r="AX326" s="63" t="n">
        <f aca="false">MATCH(MIN(AS326:AW326),AS326:AW326,0)</f>
        <v>4</v>
      </c>
      <c r="AZ326" s="17" t="n">
        <f aca="false">SQRT(($B326-AZ$270)^2+($C326-AZ$271)^2+($D326-AZ$272)^2)</f>
        <v>7.00569088065799</v>
      </c>
      <c r="BA326" s="17" t="n">
        <f aca="false">SQRT(($B326-BA$270)^2+($C326-BA$271)^2+($D326-BA$272)^2)</f>
        <v>1.47430224780229</v>
      </c>
      <c r="BB326" s="17" t="n">
        <f aca="false">SQRT(($B326-BB$270)^2+($C326-BB$271)^2+($D326-BB$272)^2)</f>
        <v>2.40530173851704</v>
      </c>
      <c r="BC326" s="17" t="n">
        <f aca="false">SQRT(($B326-BC$270)^2+($C326-BC$271)^2+($D326-BC$272)^2)</f>
        <v>0.851620104318078</v>
      </c>
      <c r="BD326" s="17" t="n">
        <f aca="false">SQRT(($B326-BD$270)^2+($C326-BD$271)^2+($D326-BD$272)^2)</f>
        <v>4.48860649341709</v>
      </c>
      <c r="BE326" s="63" t="n">
        <f aca="false">MATCH(MIN(AZ326:BD326),AZ326:BD326,0)</f>
        <v>4</v>
      </c>
      <c r="BG326" s="17" t="n">
        <f aca="false">SQRT(($B326-BG$270)^2+($C326-BG$271)^2+($D326-BG$272)^2)</f>
        <v>7.00569088065799</v>
      </c>
      <c r="BH326" s="17" t="n">
        <f aca="false">SQRT(($B326-BH$270)^2+($C326-BH$271)^2+($D326-BH$272)^2)</f>
        <v>1.47430224780229</v>
      </c>
      <c r="BI326" s="17" t="n">
        <f aca="false">SQRT(($B326-BI$270)^2+($C326-BI$271)^2+($D326-BI$272)^2)</f>
        <v>2.40530173851704</v>
      </c>
      <c r="BJ326" s="17" t="n">
        <f aca="false">SQRT(($B326-BJ$270)^2+($C326-BJ$271)^2+($D326-BJ$272)^2)</f>
        <v>0.851620104318078</v>
      </c>
      <c r="BK326" s="17" t="n">
        <f aca="false">SQRT(($B326-BK$270)^2+($C326-BK$271)^2+($D326-BK$272)^2)</f>
        <v>4.48860649341709</v>
      </c>
      <c r="BL326" s="63" t="n">
        <f aca="false">MATCH(MIN(BG326:BK326),BG326:BK326,0)</f>
        <v>4</v>
      </c>
      <c r="BN326" s="17" t="n">
        <f aca="false">SQRT(($B326-BN$270)^2+($C326-BN$271)^2+($D326-BN$272)^2)</f>
        <v>7.00569088065799</v>
      </c>
      <c r="BO326" s="17" t="n">
        <f aca="false">SQRT(($B326-BO$270)^2+($C326-BO$271)^2+($D326-BO$272)^2)</f>
        <v>1.47430224780229</v>
      </c>
      <c r="BP326" s="17" t="n">
        <f aca="false">SQRT(($B326-BP$270)^2+($C326-BP$271)^2+($D326-BP$272)^2)</f>
        <v>2.40530173851704</v>
      </c>
      <c r="BQ326" s="17" t="n">
        <f aca="false">SQRT(($B326-BQ$270)^2+($C326-BQ$271)^2+($D326-BQ$272)^2)</f>
        <v>0.851620104318078</v>
      </c>
      <c r="BR326" s="17" t="n">
        <f aca="false">SQRT(($B326-BR$270)^2+($C326-BR$271)^2+($D326-BR$272)^2)</f>
        <v>4.48860649341709</v>
      </c>
      <c r="BS326" s="63" t="n">
        <f aca="false">MATCH(MIN(BN326:BR326),BN326:BR326,0)</f>
        <v>4</v>
      </c>
      <c r="BU326" s="17" t="n">
        <f aca="false">SQRT(($B326-BU$270)^2+($C326-BU$271)^2+($D326-BU$272)^2)</f>
        <v>7.00569088065799</v>
      </c>
      <c r="BV326" s="17" t="n">
        <f aca="false">SQRT(($B326-BV$270)^2+($C326-BV$271)^2+($D326-BV$272)^2)</f>
        <v>1.47430224780229</v>
      </c>
      <c r="BW326" s="17" t="n">
        <f aca="false">SQRT(($B326-BW$270)^2+($C326-BW$271)^2+($D326-BW$272)^2)</f>
        <v>2.40530173851704</v>
      </c>
      <c r="BX326" s="17" t="n">
        <f aca="false">SQRT(($B326-BX$270)^2+($C326-BX$271)^2+($D326-BX$272)^2)</f>
        <v>0.851620104318078</v>
      </c>
      <c r="BY326" s="17" t="n">
        <f aca="false">SQRT(($B326-BY$270)^2+($C326-BY$271)^2+($D326-BY$272)^2)</f>
        <v>4.48860649341709</v>
      </c>
      <c r="BZ326" s="63" t="n">
        <f aca="false">MATCH(MIN(BU326:BY326),BU326:BY326,0)</f>
        <v>4</v>
      </c>
      <c r="CB326" s="17" t="n">
        <f aca="false">SQRT(($B326-CB$270)^2+($C326-CB$271)^2+($D326-CB$272)^2)</f>
        <v>7.00569088065799</v>
      </c>
      <c r="CC326" s="17" t="n">
        <f aca="false">SQRT(($B326-CC$270)^2+($C326-CC$271)^2+($D326-CC$272)^2)</f>
        <v>1.47430224780229</v>
      </c>
      <c r="CD326" s="17" t="n">
        <f aca="false">SQRT(($B326-CD$270)^2+($C326-CD$271)^2+($D326-CD$272)^2)</f>
        <v>2.40530173851704</v>
      </c>
      <c r="CE326" s="17" t="n">
        <f aca="false">SQRT(($B326-CE$270)^2+($C326-CE$271)^2+($D326-CE$272)^2)</f>
        <v>0.851620104318078</v>
      </c>
      <c r="CF326" s="17" t="n">
        <f aca="false">SQRT(($B326-CF$270)^2+($C326-CF$271)^2+($D326-CF$272)^2)</f>
        <v>4.48860649341709</v>
      </c>
      <c r="CG326" s="63" t="n">
        <f aca="false">MATCH(MIN(CB326:CF326),CB326:CF326,0)</f>
        <v>4</v>
      </c>
      <c r="CI326" s="17" t="n">
        <f aca="false">SQRT(($B326-CI$270)^2+($C326-CI$271)^2+($D326-CI$272)^2)</f>
        <v>7.00569088065799</v>
      </c>
      <c r="CJ326" s="17" t="n">
        <f aca="false">SQRT(($B326-CJ$270)^2+($C326-CJ$271)^2+($D326-CJ$272)^2)</f>
        <v>1.47430224780229</v>
      </c>
      <c r="CK326" s="17" t="n">
        <f aca="false">SQRT(($B326-CK$270)^2+($C326-CK$271)^2+($D326-CK$272)^2)</f>
        <v>2.40530173851704</v>
      </c>
      <c r="CL326" s="17" t="n">
        <f aca="false">SQRT(($B326-CL$270)^2+($C326-CL$271)^2+($D326-CL$272)^2)</f>
        <v>0.851620104318078</v>
      </c>
      <c r="CM326" s="17" t="n">
        <f aca="false">SQRT(($B326-CM$270)^2+($C326-CM$271)^2+($D326-CM$272)^2)</f>
        <v>4.48860649341709</v>
      </c>
      <c r="CN326" s="63" t="n">
        <f aca="false">MATCH(MIN(CI326:CM326),CI326:CM326,0)</f>
        <v>4</v>
      </c>
      <c r="CP326" s="17" t="n">
        <f aca="false">SQRT(($B326-CP$270)^2+($C326-CP$271)^2+($D326-CP$272)^2)</f>
        <v>7.00569088065799</v>
      </c>
      <c r="CQ326" s="17" t="n">
        <f aca="false">SQRT(($B326-CQ$270)^2+($C326-CQ$271)^2+($D326-CQ$272)^2)</f>
        <v>1.47430224780229</v>
      </c>
      <c r="CR326" s="17" t="n">
        <f aca="false">SQRT(($B326-CR$270)^2+($C326-CR$271)^2+($D326-CR$272)^2)</f>
        <v>2.40530173851704</v>
      </c>
      <c r="CS326" s="17" t="n">
        <f aca="false">SQRT(($B326-CS$270)^2+($C326-CS$271)^2+($D326-CS$272)^2)</f>
        <v>0.851620104318078</v>
      </c>
      <c r="CT326" s="17" t="n">
        <f aca="false">SQRT(($B326-CT$270)^2+($C326-CT$271)^2+($D326-CT$272)^2)</f>
        <v>4.48860649341709</v>
      </c>
      <c r="CU326" s="63" t="n">
        <f aca="false">MATCH(MIN(CP326:CT326),CP326:CT326,0)</f>
        <v>4</v>
      </c>
      <c r="CW326" s="17" t="n">
        <f aca="false">SQRT(($B326-CW$270)^2+($C326-CW$271)^2+($D326-CW$272)^2)</f>
        <v>7.00569088065799</v>
      </c>
      <c r="CX326" s="17" t="n">
        <f aca="false">SQRT(($B326-CX$270)^2+($C326-CX$271)^2+($D326-CX$272)^2)</f>
        <v>1.47430224780229</v>
      </c>
      <c r="CY326" s="17" t="n">
        <f aca="false">SQRT(($B326-CY$270)^2+($C326-CY$271)^2+($D326-CY$272)^2)</f>
        <v>2.40530173851704</v>
      </c>
      <c r="CZ326" s="17" t="n">
        <f aca="false">SQRT(($B326-CZ$270)^2+($C326-CZ$271)^2+($D326-CZ$272)^2)</f>
        <v>0.851620104318078</v>
      </c>
      <c r="DA326" s="17" t="n">
        <f aca="false">SQRT(($B326-DA$270)^2+($C326-DA$271)^2+($D326-DA$272)^2)</f>
        <v>4.48860649341709</v>
      </c>
      <c r="DB326" s="63" t="n">
        <f aca="false">MATCH(MIN(CW326:DA326),CW326:DA326,0)</f>
        <v>4</v>
      </c>
    </row>
    <row r="327" customFormat="false" ht="15" hidden="false" customHeight="false" outlineLevel="0" collapsed="false">
      <c r="A327" s="36" t="str">
        <f aca="false">KMeans_Data!A55</f>
        <v>Faisalabad</v>
      </c>
      <c r="B327" s="17" t="n">
        <f aca="false">KMeans_Data!H55</f>
        <v>0.187798337815286</v>
      </c>
      <c r="C327" s="17" t="n">
        <f aca="false">KMeans_Data!I55</f>
        <v>-0.672650545388274</v>
      </c>
      <c r="D327" s="17" t="n">
        <f aca="false">KMeans_Data!J55</f>
        <v>-1.14564411633355</v>
      </c>
      <c r="E327" s="63" t="n">
        <f aca="false">DB327</f>
        <v>4</v>
      </c>
      <c r="F327" s="38" t="n">
        <f aca="false">($B327-INDEX($L$270:$P$270,E327))^2+($C327-INDEX($L$271:$P$271,E327))^2+($D327-INDEX($L$272:$P$272,E327))^2</f>
        <v>0.721016126493728</v>
      </c>
      <c r="G327" s="17" t="n">
        <f aca="false">IF(COUNTIF(Distance_Matrix!$E$11:$DQ$11,$E327)&lt;=1,0,SUMIF(Distance_Matrix!$E$11:$DQ$11,$E327,Distance_Matrix!$E$64:$DQ$64)/(COUNTIF(Distance_Matrix!$E$11:$DQ$11,$E327)-1))</f>
        <v>1.05020356208983</v>
      </c>
      <c r="H327" s="17" t="n">
        <f aca="false">MIN(IF(1=$E327,1E+099,IF(COUNTIF(Distance_Matrix!$E$11:$DQ$11,1)=0,1E+099,SUMIF(Distance_Matrix!$E$11:$DQ$11,1,Distance_Matrix!$E$64:$DQ$64)/COUNTIF(Distance_Matrix!$E$11:$DQ$11,1))),IF(2=$E327,1E+099,IF(COUNTIF(Distance_Matrix!$E$11:$DQ$11,2)=0,1E+099,SUMIF(Distance_Matrix!$E$11:$DQ$11,2,Distance_Matrix!$E$64:$DQ$64)/COUNTIF(Distance_Matrix!$E$11:$DQ$11,2))),IF(3=$E327,1E+099,IF(COUNTIF(Distance_Matrix!$E$11:$DQ$11,3)=0,1E+099,SUMIF(Distance_Matrix!$E$11:$DQ$11,3,Distance_Matrix!$E$64:$DQ$64)/COUNTIF(Distance_Matrix!$E$11:$DQ$11,3))),IF(4=$E327,1E+099,IF(COUNTIF(Distance_Matrix!$E$11:$DQ$11,4)=0,1E+099,SUMIF(Distance_Matrix!$E$11:$DQ$11,4,Distance_Matrix!$E$64:$DQ$64)/COUNTIF(Distance_Matrix!$E$11:$DQ$11,4))),IF(5=$E327,1E+099,IF(COUNTIF(Distance_Matrix!$E$11:$DQ$11,5)=0,1E+099,SUMIF(Distance_Matrix!$E$11:$DQ$11,5,Distance_Matrix!$E$64:$DQ$64)/COUNTIF(Distance_Matrix!$E$11:$DQ$11,5))))</f>
        <v>1.48490324559185</v>
      </c>
      <c r="I327" s="17" t="n">
        <f aca="false">IF(COUNTIF(Distance_Matrix!$E$11:$DQ$11,$E327)&lt;=1,0,(H327-G327)/MAX(G327,H327))</f>
        <v>0.292746133320463</v>
      </c>
      <c r="X327" s="17" t="n">
        <f aca="false">SQRT(($B327-X$270)^2+($C327-X$271)^2+($D327-X$272)^2)</f>
        <v>7.14635187409098</v>
      </c>
      <c r="Y327" s="17" t="n">
        <f aca="false">SQRT(($B327-Y$270)^2+($C327-Y$271)^2+($D327-Y$272)^2)</f>
        <v>2.26753631961861</v>
      </c>
      <c r="Z327" s="17" t="n">
        <f aca="false">SQRT(($B327-Z$270)^2+($C327-Z$271)^2+($D327-Z$272)^2)</f>
        <v>2.94461062391018</v>
      </c>
      <c r="AA327" s="17" t="n">
        <f aca="false">SQRT(($B327-AA$270)^2+($C327-AA$271)^2+($D327-AA$272)^2)</f>
        <v>0.697119421223826</v>
      </c>
      <c r="AB327" s="17" t="n">
        <f aca="false">SQRT(($B327-AB$270)^2+($C327-AB$271)^2+($D327-AB$272)^2)</f>
        <v>5.09080949239547</v>
      </c>
      <c r="AC327" s="63" t="n">
        <f aca="false">MATCH(MIN(X327:AB327),X327:AB327,0)</f>
        <v>4</v>
      </c>
      <c r="AE327" s="17" t="n">
        <f aca="false">SQRT(($B327-AE$270)^2+($C327-AE$271)^2+($D327-AE$272)^2)</f>
        <v>7.008596824426</v>
      </c>
      <c r="AF327" s="17" t="n">
        <f aca="false">SQRT(($B327-AF$270)^2+($C327-AF$271)^2+($D327-AF$272)^2)</f>
        <v>1.44434314818624</v>
      </c>
      <c r="AG327" s="17" t="n">
        <f aca="false">SQRT(($B327-AG$270)^2+($C327-AG$271)^2+($D327-AG$272)^2)</f>
        <v>2.33919194624965</v>
      </c>
      <c r="AH327" s="17" t="n">
        <f aca="false">SQRT(($B327-AH$270)^2+($C327-AH$271)^2+($D327-AH$272)^2)</f>
        <v>0.703713033362617</v>
      </c>
      <c r="AI327" s="17" t="n">
        <f aca="false">SQRT(($B327-AI$270)^2+($C327-AI$271)^2+($D327-AI$272)^2)</f>
        <v>4.74848744750362</v>
      </c>
      <c r="AJ327" s="63" t="n">
        <f aca="false">MATCH(MIN(AE327:AI327),AE327:AI327,0)</f>
        <v>4</v>
      </c>
      <c r="AL327" s="17" t="n">
        <f aca="false">SQRT(($B327-AL$270)^2+($C327-AL$271)^2+($D327-AL$272)^2)</f>
        <v>7.008596824426</v>
      </c>
      <c r="AM327" s="17" t="n">
        <f aca="false">SQRT(($B327-AM$270)^2+($C327-AM$271)^2+($D327-AM$272)^2)</f>
        <v>1.42918561818468</v>
      </c>
      <c r="AN327" s="17" t="n">
        <f aca="false">SQRT(($B327-AN$270)^2+($C327-AN$271)^2+($D327-AN$272)^2)</f>
        <v>2.38366161301758</v>
      </c>
      <c r="AO327" s="17" t="n">
        <f aca="false">SQRT(($B327-AO$270)^2+($C327-AO$271)^2+($D327-AO$272)^2)</f>
        <v>0.810961097279971</v>
      </c>
      <c r="AP327" s="17" t="n">
        <f aca="false">SQRT(($B327-AP$270)^2+($C327-AP$271)^2+($D327-AP$272)^2)</f>
        <v>4.49113052196239</v>
      </c>
      <c r="AQ327" s="63" t="n">
        <f aca="false">MATCH(MIN(AL327:AP327),AL327:AP327,0)</f>
        <v>4</v>
      </c>
      <c r="AS327" s="17" t="n">
        <f aca="false">SQRT(($B327-AS$270)^2+($C327-AS$271)^2+($D327-AS$272)^2)</f>
        <v>7.008596824426</v>
      </c>
      <c r="AT327" s="17" t="n">
        <f aca="false">SQRT(($B327-AT$270)^2+($C327-AT$271)^2+($D327-AT$272)^2)</f>
        <v>1.46768053816768</v>
      </c>
      <c r="AU327" s="17" t="n">
        <f aca="false">SQRT(($B327-AU$270)^2+($C327-AU$271)^2+($D327-AU$272)^2)</f>
        <v>2.40647670333179</v>
      </c>
      <c r="AV327" s="17" t="n">
        <f aca="false">SQRT(($B327-AV$270)^2+($C327-AV$271)^2+($D327-AV$272)^2)</f>
        <v>0.849126684596432</v>
      </c>
      <c r="AW327" s="17" t="n">
        <f aca="false">SQRT(($B327-AW$270)^2+($C327-AW$271)^2+($D327-AW$272)^2)</f>
        <v>4.49113052196239</v>
      </c>
      <c r="AX327" s="63" t="n">
        <f aca="false">MATCH(MIN(AS327:AW327),AS327:AW327,0)</f>
        <v>4</v>
      </c>
      <c r="AZ327" s="17" t="n">
        <f aca="false">SQRT(($B327-AZ$270)^2+($C327-AZ$271)^2+($D327-AZ$272)^2)</f>
        <v>7.008596824426</v>
      </c>
      <c r="BA327" s="17" t="n">
        <f aca="false">SQRT(($B327-BA$270)^2+($C327-BA$271)^2+($D327-BA$272)^2)</f>
        <v>1.46768053816768</v>
      </c>
      <c r="BB327" s="17" t="n">
        <f aca="false">SQRT(($B327-BB$270)^2+($C327-BB$271)^2+($D327-BB$272)^2)</f>
        <v>2.40647670333179</v>
      </c>
      <c r="BC327" s="17" t="n">
        <f aca="false">SQRT(($B327-BC$270)^2+($C327-BC$271)^2+($D327-BC$272)^2)</f>
        <v>0.849126684596432</v>
      </c>
      <c r="BD327" s="17" t="n">
        <f aca="false">SQRT(($B327-BD$270)^2+($C327-BD$271)^2+($D327-BD$272)^2)</f>
        <v>4.49113052196239</v>
      </c>
      <c r="BE327" s="63" t="n">
        <f aca="false">MATCH(MIN(AZ327:BD327),AZ327:BD327,0)</f>
        <v>4</v>
      </c>
      <c r="BG327" s="17" t="n">
        <f aca="false">SQRT(($B327-BG$270)^2+($C327-BG$271)^2+($D327-BG$272)^2)</f>
        <v>7.008596824426</v>
      </c>
      <c r="BH327" s="17" t="n">
        <f aca="false">SQRT(($B327-BH$270)^2+($C327-BH$271)^2+($D327-BH$272)^2)</f>
        <v>1.46768053816768</v>
      </c>
      <c r="BI327" s="17" t="n">
        <f aca="false">SQRT(($B327-BI$270)^2+($C327-BI$271)^2+($D327-BI$272)^2)</f>
        <v>2.40647670333179</v>
      </c>
      <c r="BJ327" s="17" t="n">
        <f aca="false">SQRT(($B327-BJ$270)^2+($C327-BJ$271)^2+($D327-BJ$272)^2)</f>
        <v>0.849126684596432</v>
      </c>
      <c r="BK327" s="17" t="n">
        <f aca="false">SQRT(($B327-BK$270)^2+($C327-BK$271)^2+($D327-BK$272)^2)</f>
        <v>4.49113052196239</v>
      </c>
      <c r="BL327" s="63" t="n">
        <f aca="false">MATCH(MIN(BG327:BK327),BG327:BK327,0)</f>
        <v>4</v>
      </c>
      <c r="BN327" s="17" t="n">
        <f aca="false">SQRT(($B327-BN$270)^2+($C327-BN$271)^2+($D327-BN$272)^2)</f>
        <v>7.008596824426</v>
      </c>
      <c r="BO327" s="17" t="n">
        <f aca="false">SQRT(($B327-BO$270)^2+($C327-BO$271)^2+($D327-BO$272)^2)</f>
        <v>1.46768053816768</v>
      </c>
      <c r="BP327" s="17" t="n">
        <f aca="false">SQRT(($B327-BP$270)^2+($C327-BP$271)^2+($D327-BP$272)^2)</f>
        <v>2.40647670333179</v>
      </c>
      <c r="BQ327" s="17" t="n">
        <f aca="false">SQRT(($B327-BQ$270)^2+($C327-BQ$271)^2+($D327-BQ$272)^2)</f>
        <v>0.849126684596432</v>
      </c>
      <c r="BR327" s="17" t="n">
        <f aca="false">SQRT(($B327-BR$270)^2+($C327-BR$271)^2+($D327-BR$272)^2)</f>
        <v>4.49113052196239</v>
      </c>
      <c r="BS327" s="63" t="n">
        <f aca="false">MATCH(MIN(BN327:BR327),BN327:BR327,0)</f>
        <v>4</v>
      </c>
      <c r="BU327" s="17" t="n">
        <f aca="false">SQRT(($B327-BU$270)^2+($C327-BU$271)^2+($D327-BU$272)^2)</f>
        <v>7.008596824426</v>
      </c>
      <c r="BV327" s="17" t="n">
        <f aca="false">SQRT(($B327-BV$270)^2+($C327-BV$271)^2+($D327-BV$272)^2)</f>
        <v>1.46768053816768</v>
      </c>
      <c r="BW327" s="17" t="n">
        <f aca="false">SQRT(($B327-BW$270)^2+($C327-BW$271)^2+($D327-BW$272)^2)</f>
        <v>2.40647670333179</v>
      </c>
      <c r="BX327" s="17" t="n">
        <f aca="false">SQRT(($B327-BX$270)^2+($C327-BX$271)^2+($D327-BX$272)^2)</f>
        <v>0.849126684596432</v>
      </c>
      <c r="BY327" s="17" t="n">
        <f aca="false">SQRT(($B327-BY$270)^2+($C327-BY$271)^2+($D327-BY$272)^2)</f>
        <v>4.49113052196239</v>
      </c>
      <c r="BZ327" s="63" t="n">
        <f aca="false">MATCH(MIN(BU327:BY327),BU327:BY327,0)</f>
        <v>4</v>
      </c>
      <c r="CB327" s="17" t="n">
        <f aca="false">SQRT(($B327-CB$270)^2+($C327-CB$271)^2+($D327-CB$272)^2)</f>
        <v>7.008596824426</v>
      </c>
      <c r="CC327" s="17" t="n">
        <f aca="false">SQRT(($B327-CC$270)^2+($C327-CC$271)^2+($D327-CC$272)^2)</f>
        <v>1.46768053816768</v>
      </c>
      <c r="CD327" s="17" t="n">
        <f aca="false">SQRT(($B327-CD$270)^2+($C327-CD$271)^2+($D327-CD$272)^2)</f>
        <v>2.40647670333179</v>
      </c>
      <c r="CE327" s="17" t="n">
        <f aca="false">SQRT(($B327-CE$270)^2+($C327-CE$271)^2+($D327-CE$272)^2)</f>
        <v>0.849126684596432</v>
      </c>
      <c r="CF327" s="17" t="n">
        <f aca="false">SQRT(($B327-CF$270)^2+($C327-CF$271)^2+($D327-CF$272)^2)</f>
        <v>4.49113052196239</v>
      </c>
      <c r="CG327" s="63" t="n">
        <f aca="false">MATCH(MIN(CB327:CF327),CB327:CF327,0)</f>
        <v>4</v>
      </c>
      <c r="CI327" s="17" t="n">
        <f aca="false">SQRT(($B327-CI$270)^2+($C327-CI$271)^2+($D327-CI$272)^2)</f>
        <v>7.008596824426</v>
      </c>
      <c r="CJ327" s="17" t="n">
        <f aca="false">SQRT(($B327-CJ$270)^2+($C327-CJ$271)^2+($D327-CJ$272)^2)</f>
        <v>1.46768053816768</v>
      </c>
      <c r="CK327" s="17" t="n">
        <f aca="false">SQRT(($B327-CK$270)^2+($C327-CK$271)^2+($D327-CK$272)^2)</f>
        <v>2.40647670333179</v>
      </c>
      <c r="CL327" s="17" t="n">
        <f aca="false">SQRT(($B327-CL$270)^2+($C327-CL$271)^2+($D327-CL$272)^2)</f>
        <v>0.849126684596432</v>
      </c>
      <c r="CM327" s="17" t="n">
        <f aca="false">SQRT(($B327-CM$270)^2+($C327-CM$271)^2+($D327-CM$272)^2)</f>
        <v>4.49113052196239</v>
      </c>
      <c r="CN327" s="63" t="n">
        <f aca="false">MATCH(MIN(CI327:CM327),CI327:CM327,0)</f>
        <v>4</v>
      </c>
      <c r="CP327" s="17" t="n">
        <f aca="false">SQRT(($B327-CP$270)^2+($C327-CP$271)^2+($D327-CP$272)^2)</f>
        <v>7.008596824426</v>
      </c>
      <c r="CQ327" s="17" t="n">
        <f aca="false">SQRT(($B327-CQ$270)^2+($C327-CQ$271)^2+($D327-CQ$272)^2)</f>
        <v>1.46768053816768</v>
      </c>
      <c r="CR327" s="17" t="n">
        <f aca="false">SQRT(($B327-CR$270)^2+($C327-CR$271)^2+($D327-CR$272)^2)</f>
        <v>2.40647670333179</v>
      </c>
      <c r="CS327" s="17" t="n">
        <f aca="false">SQRT(($B327-CS$270)^2+($C327-CS$271)^2+($D327-CS$272)^2)</f>
        <v>0.849126684596432</v>
      </c>
      <c r="CT327" s="17" t="n">
        <f aca="false">SQRT(($B327-CT$270)^2+($C327-CT$271)^2+($D327-CT$272)^2)</f>
        <v>4.49113052196239</v>
      </c>
      <c r="CU327" s="63" t="n">
        <f aca="false">MATCH(MIN(CP327:CT327),CP327:CT327,0)</f>
        <v>4</v>
      </c>
      <c r="CW327" s="17" t="n">
        <f aca="false">SQRT(($B327-CW$270)^2+($C327-CW$271)^2+($D327-CW$272)^2)</f>
        <v>7.008596824426</v>
      </c>
      <c r="CX327" s="17" t="n">
        <f aca="false">SQRT(($B327-CX$270)^2+($C327-CX$271)^2+($D327-CX$272)^2)</f>
        <v>1.46768053816768</v>
      </c>
      <c r="CY327" s="17" t="n">
        <f aca="false">SQRT(($B327-CY$270)^2+($C327-CY$271)^2+($D327-CY$272)^2)</f>
        <v>2.40647670333179</v>
      </c>
      <c r="CZ327" s="17" t="n">
        <f aca="false">SQRT(($B327-CZ$270)^2+($C327-CZ$271)^2+($D327-CZ$272)^2)</f>
        <v>0.849126684596432</v>
      </c>
      <c r="DA327" s="17" t="n">
        <f aca="false">SQRT(($B327-DA$270)^2+($C327-DA$271)^2+($D327-DA$272)^2)</f>
        <v>4.49113052196239</v>
      </c>
      <c r="DB327" s="63" t="n">
        <f aca="false">MATCH(MIN(CW327:DA327),CW327:DA327,0)</f>
        <v>4</v>
      </c>
    </row>
    <row r="328" customFormat="false" ht="15" hidden="false" customHeight="false" outlineLevel="0" collapsed="false">
      <c r="A328" s="36" t="str">
        <f aca="false">KMeans_Data!A56</f>
        <v>Jhelum</v>
      </c>
      <c r="B328" s="17" t="n">
        <f aca="false">KMeans_Data!H56</f>
        <v>0.167385132550892</v>
      </c>
      <c r="C328" s="17" t="n">
        <f aca="false">KMeans_Data!I56</f>
        <v>-0.672650545388274</v>
      </c>
      <c r="D328" s="17" t="n">
        <f aca="false">KMeans_Data!J56</f>
        <v>-0.503247915463979</v>
      </c>
      <c r="E328" s="63" t="n">
        <f aca="false">DB328</f>
        <v>4</v>
      </c>
      <c r="F328" s="38" t="n">
        <f aca="false">($B328-INDEX($L$270:$P$270,E328))^2+($C328-INDEX($L$271:$P$271,E328))^2+($D328-INDEX($L$272:$P$272,E328))^2</f>
        <v>0.131165479971473</v>
      </c>
      <c r="G328" s="17" t="n">
        <f aca="false">IF(COUNTIF(Distance_Matrix!$E$11:$DQ$11,$E328)&lt;=1,0,SUMIF(Distance_Matrix!$E$11:$DQ$11,$E328,Distance_Matrix!$E$65:$DQ$65)/(COUNTIF(Distance_Matrix!$E$11:$DQ$11,$E328)-1))</f>
        <v>0.824037226376075</v>
      </c>
      <c r="H328" s="17" t="n">
        <f aca="false">MIN(IF(1=$E328,1E+099,IF(COUNTIF(Distance_Matrix!$E$11:$DQ$11,1)=0,1E+099,SUMIF(Distance_Matrix!$E$11:$DQ$11,1,Distance_Matrix!$E$65:$DQ$65)/COUNTIF(Distance_Matrix!$E$11:$DQ$11,1))),IF(2=$E328,1E+099,IF(COUNTIF(Distance_Matrix!$E$11:$DQ$11,2)=0,1E+099,SUMIF(Distance_Matrix!$E$11:$DQ$11,2,Distance_Matrix!$E$65:$DQ$65)/COUNTIF(Distance_Matrix!$E$11:$DQ$11,2))),IF(3=$E328,1E+099,IF(COUNTIF(Distance_Matrix!$E$11:$DQ$11,3)=0,1E+099,SUMIF(Distance_Matrix!$E$11:$DQ$11,3,Distance_Matrix!$E$65:$DQ$65)/COUNTIF(Distance_Matrix!$E$11:$DQ$11,3))),IF(4=$E328,1E+099,IF(COUNTIF(Distance_Matrix!$E$11:$DQ$11,4)=0,1E+099,SUMIF(Distance_Matrix!$E$11:$DQ$11,4,Distance_Matrix!$E$65:$DQ$65)/COUNTIF(Distance_Matrix!$E$11:$DQ$11,4))),IF(5=$E328,1E+099,IF(COUNTIF(Distance_Matrix!$E$11:$DQ$11,5)=0,1E+099,SUMIF(Distance_Matrix!$E$11:$DQ$11,5,Distance_Matrix!$E$65:$DQ$65)/COUNTIF(Distance_Matrix!$E$11:$DQ$11,5))))</f>
        <v>1.57289478552724</v>
      </c>
      <c r="I328" s="17" t="n">
        <f aca="false">IF(COUNTIF(Distance_Matrix!$E$11:$DQ$11,$E328)&lt;=1,0,(H328-G328)/MAX(G328,H328))</f>
        <v>0.476101495180522</v>
      </c>
      <c r="X328" s="17" t="n">
        <f aca="false">SQRT(($B328-X$270)^2+($C328-X$271)^2+($D328-X$272)^2)</f>
        <v>6.77926767473373</v>
      </c>
      <c r="Y328" s="17" t="n">
        <f aca="false">SQRT(($B328-Y$270)^2+($C328-Y$271)^2+($D328-Y$272)^2)</f>
        <v>2.33714252238854</v>
      </c>
      <c r="Z328" s="17" t="n">
        <f aca="false">SQRT(($B328-Z$270)^2+($C328-Z$271)^2+($D328-Z$272)^2)</f>
        <v>2.39946355433655</v>
      </c>
      <c r="AA328" s="17" t="n">
        <f aca="false">SQRT(($B328-AA$270)^2+($C328-AA$271)^2+($D328-AA$272)^2)</f>
        <v>0.957997101567507</v>
      </c>
      <c r="AB328" s="17" t="n">
        <f aca="false">SQRT(($B328-AB$270)^2+($C328-AB$271)^2+($D328-AB$272)^2)</f>
        <v>4.67957261103997</v>
      </c>
      <c r="AC328" s="63" t="n">
        <f aca="false">MATCH(MIN(X328:AB328),X328:AB328,0)</f>
        <v>4</v>
      </c>
      <c r="AE328" s="17" t="n">
        <f aca="false">SQRT(($B328-AE$270)^2+($C328-AE$271)^2+($D328-AE$272)^2)</f>
        <v>6.6615043718416</v>
      </c>
      <c r="AF328" s="17" t="n">
        <f aca="false">SQRT(($B328-AF$270)^2+($C328-AF$271)^2+($D328-AF$272)^2)</f>
        <v>1.47327177879571</v>
      </c>
      <c r="AG328" s="17" t="n">
        <f aca="false">SQRT(($B328-AG$270)^2+($C328-AG$271)^2+($D328-AG$272)^2)</f>
        <v>1.82776259307519</v>
      </c>
      <c r="AH328" s="17" t="n">
        <f aca="false">SQRT(($B328-AH$270)^2+($C328-AH$271)^2+($D328-AH$272)^2)</f>
        <v>0.294149735232337</v>
      </c>
      <c r="AI328" s="17" t="n">
        <f aca="false">SQRT(($B328-AI$270)^2+($C328-AI$271)^2+($D328-AI$272)^2)</f>
        <v>4.38974194059142</v>
      </c>
      <c r="AJ328" s="63" t="n">
        <f aca="false">MATCH(MIN(AE328:AI328),AE328:AI328,0)</f>
        <v>4</v>
      </c>
      <c r="AL328" s="17" t="n">
        <f aca="false">SQRT(($B328-AL$270)^2+($C328-AL$271)^2+($D328-AL$272)^2)</f>
        <v>6.6615043718416</v>
      </c>
      <c r="AM328" s="17" t="n">
        <f aca="false">SQRT(($B328-AM$270)^2+($C328-AM$271)^2+($D328-AM$272)^2)</f>
        <v>1.48056279292786</v>
      </c>
      <c r="AN328" s="17" t="n">
        <f aca="false">SQRT(($B328-AN$270)^2+($C328-AN$271)^2+($D328-AN$272)^2)</f>
        <v>1.88547858019487</v>
      </c>
      <c r="AO328" s="17" t="n">
        <f aca="false">SQRT(($B328-AO$270)^2+($C328-AO$271)^2+($D328-AO$272)^2)</f>
        <v>0.314242693905643</v>
      </c>
      <c r="AP328" s="17" t="n">
        <f aca="false">SQRT(($B328-AP$270)^2+($C328-AP$271)^2+($D328-AP$272)^2)</f>
        <v>4.12839909900062</v>
      </c>
      <c r="AQ328" s="63" t="n">
        <f aca="false">MATCH(MIN(AL328:AP328),AL328:AP328,0)</f>
        <v>4</v>
      </c>
      <c r="AS328" s="17" t="n">
        <f aca="false">SQRT(($B328-AS$270)^2+($C328-AS$271)^2+($D328-AS$272)^2)</f>
        <v>6.6615043718416</v>
      </c>
      <c r="AT328" s="17" t="n">
        <f aca="false">SQRT(($B328-AT$270)^2+($C328-AT$271)^2+($D328-AT$272)^2)</f>
        <v>1.55407301033494</v>
      </c>
      <c r="AU328" s="17" t="n">
        <f aca="false">SQRT(($B328-AU$270)^2+($C328-AU$271)^2+($D328-AU$272)^2)</f>
        <v>1.90904123921975</v>
      </c>
      <c r="AV328" s="17" t="n">
        <f aca="false">SQRT(($B328-AV$270)^2+($C328-AV$271)^2+($D328-AV$272)^2)</f>
        <v>0.362167751147825</v>
      </c>
      <c r="AW328" s="17" t="n">
        <f aca="false">SQRT(($B328-AW$270)^2+($C328-AW$271)^2+($D328-AW$272)^2)</f>
        <v>4.12839909900062</v>
      </c>
      <c r="AX328" s="63" t="n">
        <f aca="false">MATCH(MIN(AS328:AW328),AS328:AW328,0)</f>
        <v>4</v>
      </c>
      <c r="AZ328" s="17" t="n">
        <f aca="false">SQRT(($B328-AZ$270)^2+($C328-AZ$271)^2+($D328-AZ$272)^2)</f>
        <v>6.6615043718416</v>
      </c>
      <c r="BA328" s="17" t="n">
        <f aca="false">SQRT(($B328-BA$270)^2+($C328-BA$271)^2+($D328-BA$272)^2)</f>
        <v>1.55407301033494</v>
      </c>
      <c r="BB328" s="17" t="n">
        <f aca="false">SQRT(($B328-BB$270)^2+($C328-BB$271)^2+($D328-BB$272)^2)</f>
        <v>1.90904123921975</v>
      </c>
      <c r="BC328" s="17" t="n">
        <f aca="false">SQRT(($B328-BC$270)^2+($C328-BC$271)^2+($D328-BC$272)^2)</f>
        <v>0.362167751147825</v>
      </c>
      <c r="BD328" s="17" t="n">
        <f aca="false">SQRT(($B328-BD$270)^2+($C328-BD$271)^2+($D328-BD$272)^2)</f>
        <v>4.12839909900062</v>
      </c>
      <c r="BE328" s="63" t="n">
        <f aca="false">MATCH(MIN(AZ328:BD328),AZ328:BD328,0)</f>
        <v>4</v>
      </c>
      <c r="BG328" s="17" t="n">
        <f aca="false">SQRT(($B328-BG$270)^2+($C328-BG$271)^2+($D328-BG$272)^2)</f>
        <v>6.6615043718416</v>
      </c>
      <c r="BH328" s="17" t="n">
        <f aca="false">SQRT(($B328-BH$270)^2+($C328-BH$271)^2+($D328-BH$272)^2)</f>
        <v>1.55407301033494</v>
      </c>
      <c r="BI328" s="17" t="n">
        <f aca="false">SQRT(($B328-BI$270)^2+($C328-BI$271)^2+($D328-BI$272)^2)</f>
        <v>1.90904123921975</v>
      </c>
      <c r="BJ328" s="17" t="n">
        <f aca="false">SQRT(($B328-BJ$270)^2+($C328-BJ$271)^2+($D328-BJ$272)^2)</f>
        <v>0.362167751147825</v>
      </c>
      <c r="BK328" s="17" t="n">
        <f aca="false">SQRT(($B328-BK$270)^2+($C328-BK$271)^2+($D328-BK$272)^2)</f>
        <v>4.12839909900062</v>
      </c>
      <c r="BL328" s="63" t="n">
        <f aca="false">MATCH(MIN(BG328:BK328),BG328:BK328,0)</f>
        <v>4</v>
      </c>
      <c r="BN328" s="17" t="n">
        <f aca="false">SQRT(($B328-BN$270)^2+($C328-BN$271)^2+($D328-BN$272)^2)</f>
        <v>6.6615043718416</v>
      </c>
      <c r="BO328" s="17" t="n">
        <f aca="false">SQRT(($B328-BO$270)^2+($C328-BO$271)^2+($D328-BO$272)^2)</f>
        <v>1.55407301033494</v>
      </c>
      <c r="BP328" s="17" t="n">
        <f aca="false">SQRT(($B328-BP$270)^2+($C328-BP$271)^2+($D328-BP$272)^2)</f>
        <v>1.90904123921975</v>
      </c>
      <c r="BQ328" s="17" t="n">
        <f aca="false">SQRT(($B328-BQ$270)^2+($C328-BQ$271)^2+($D328-BQ$272)^2)</f>
        <v>0.362167751147825</v>
      </c>
      <c r="BR328" s="17" t="n">
        <f aca="false">SQRT(($B328-BR$270)^2+($C328-BR$271)^2+($D328-BR$272)^2)</f>
        <v>4.12839909900062</v>
      </c>
      <c r="BS328" s="63" t="n">
        <f aca="false">MATCH(MIN(BN328:BR328),BN328:BR328,0)</f>
        <v>4</v>
      </c>
      <c r="BU328" s="17" t="n">
        <f aca="false">SQRT(($B328-BU$270)^2+($C328-BU$271)^2+($D328-BU$272)^2)</f>
        <v>6.6615043718416</v>
      </c>
      <c r="BV328" s="17" t="n">
        <f aca="false">SQRT(($B328-BV$270)^2+($C328-BV$271)^2+($D328-BV$272)^2)</f>
        <v>1.55407301033494</v>
      </c>
      <c r="BW328" s="17" t="n">
        <f aca="false">SQRT(($B328-BW$270)^2+($C328-BW$271)^2+($D328-BW$272)^2)</f>
        <v>1.90904123921975</v>
      </c>
      <c r="BX328" s="17" t="n">
        <f aca="false">SQRT(($B328-BX$270)^2+($C328-BX$271)^2+($D328-BX$272)^2)</f>
        <v>0.362167751147825</v>
      </c>
      <c r="BY328" s="17" t="n">
        <f aca="false">SQRT(($B328-BY$270)^2+($C328-BY$271)^2+($D328-BY$272)^2)</f>
        <v>4.12839909900062</v>
      </c>
      <c r="BZ328" s="63" t="n">
        <f aca="false">MATCH(MIN(BU328:BY328),BU328:BY328,0)</f>
        <v>4</v>
      </c>
      <c r="CB328" s="17" t="n">
        <f aca="false">SQRT(($B328-CB$270)^2+($C328-CB$271)^2+($D328-CB$272)^2)</f>
        <v>6.6615043718416</v>
      </c>
      <c r="CC328" s="17" t="n">
        <f aca="false">SQRT(($B328-CC$270)^2+($C328-CC$271)^2+($D328-CC$272)^2)</f>
        <v>1.55407301033494</v>
      </c>
      <c r="CD328" s="17" t="n">
        <f aca="false">SQRT(($B328-CD$270)^2+($C328-CD$271)^2+($D328-CD$272)^2)</f>
        <v>1.90904123921975</v>
      </c>
      <c r="CE328" s="17" t="n">
        <f aca="false">SQRT(($B328-CE$270)^2+($C328-CE$271)^2+($D328-CE$272)^2)</f>
        <v>0.362167751147825</v>
      </c>
      <c r="CF328" s="17" t="n">
        <f aca="false">SQRT(($B328-CF$270)^2+($C328-CF$271)^2+($D328-CF$272)^2)</f>
        <v>4.12839909900062</v>
      </c>
      <c r="CG328" s="63" t="n">
        <f aca="false">MATCH(MIN(CB328:CF328),CB328:CF328,0)</f>
        <v>4</v>
      </c>
      <c r="CI328" s="17" t="n">
        <f aca="false">SQRT(($B328-CI$270)^2+($C328-CI$271)^2+($D328-CI$272)^2)</f>
        <v>6.6615043718416</v>
      </c>
      <c r="CJ328" s="17" t="n">
        <f aca="false">SQRT(($B328-CJ$270)^2+($C328-CJ$271)^2+($D328-CJ$272)^2)</f>
        <v>1.55407301033494</v>
      </c>
      <c r="CK328" s="17" t="n">
        <f aca="false">SQRT(($B328-CK$270)^2+($C328-CK$271)^2+($D328-CK$272)^2)</f>
        <v>1.90904123921975</v>
      </c>
      <c r="CL328" s="17" t="n">
        <f aca="false">SQRT(($B328-CL$270)^2+($C328-CL$271)^2+($D328-CL$272)^2)</f>
        <v>0.362167751147825</v>
      </c>
      <c r="CM328" s="17" t="n">
        <f aca="false">SQRT(($B328-CM$270)^2+($C328-CM$271)^2+($D328-CM$272)^2)</f>
        <v>4.12839909900062</v>
      </c>
      <c r="CN328" s="63" t="n">
        <f aca="false">MATCH(MIN(CI328:CM328),CI328:CM328,0)</f>
        <v>4</v>
      </c>
      <c r="CP328" s="17" t="n">
        <f aca="false">SQRT(($B328-CP$270)^2+($C328-CP$271)^2+($D328-CP$272)^2)</f>
        <v>6.6615043718416</v>
      </c>
      <c r="CQ328" s="17" t="n">
        <f aca="false">SQRT(($B328-CQ$270)^2+($C328-CQ$271)^2+($D328-CQ$272)^2)</f>
        <v>1.55407301033494</v>
      </c>
      <c r="CR328" s="17" t="n">
        <f aca="false">SQRT(($B328-CR$270)^2+($C328-CR$271)^2+($D328-CR$272)^2)</f>
        <v>1.90904123921975</v>
      </c>
      <c r="CS328" s="17" t="n">
        <f aca="false">SQRT(($B328-CS$270)^2+($C328-CS$271)^2+($D328-CS$272)^2)</f>
        <v>0.362167751147825</v>
      </c>
      <c r="CT328" s="17" t="n">
        <f aca="false">SQRT(($B328-CT$270)^2+($C328-CT$271)^2+($D328-CT$272)^2)</f>
        <v>4.12839909900062</v>
      </c>
      <c r="CU328" s="63" t="n">
        <f aca="false">MATCH(MIN(CP328:CT328),CP328:CT328,0)</f>
        <v>4</v>
      </c>
      <c r="CW328" s="17" t="n">
        <f aca="false">SQRT(($B328-CW$270)^2+($C328-CW$271)^2+($D328-CW$272)^2)</f>
        <v>6.6615043718416</v>
      </c>
      <c r="CX328" s="17" t="n">
        <f aca="false">SQRT(($B328-CX$270)^2+($C328-CX$271)^2+($D328-CX$272)^2)</f>
        <v>1.55407301033494</v>
      </c>
      <c r="CY328" s="17" t="n">
        <f aca="false">SQRT(($B328-CY$270)^2+($C328-CY$271)^2+($D328-CY$272)^2)</f>
        <v>1.90904123921975</v>
      </c>
      <c r="CZ328" s="17" t="n">
        <f aca="false">SQRT(($B328-CZ$270)^2+($C328-CZ$271)^2+($D328-CZ$272)^2)</f>
        <v>0.362167751147825</v>
      </c>
      <c r="DA328" s="17" t="n">
        <f aca="false">SQRT(($B328-DA$270)^2+($C328-DA$271)^2+($D328-DA$272)^2)</f>
        <v>4.12839909900062</v>
      </c>
      <c r="DB328" s="63" t="n">
        <f aca="false">MATCH(MIN(CW328:DA328),CW328:DA328,0)</f>
        <v>4</v>
      </c>
    </row>
    <row r="329" customFormat="false" ht="15" hidden="false" customHeight="false" outlineLevel="0" collapsed="false">
      <c r="A329" s="36" t="str">
        <f aca="false">KMeans_Data!A57</f>
        <v>Vehari</v>
      </c>
      <c r="B329" s="17" t="n">
        <f aca="false">KMeans_Data!H57</f>
        <v>0.153317518957985</v>
      </c>
      <c r="C329" s="17" t="n">
        <f aca="false">KMeans_Data!I57</f>
        <v>-0.672650545388274</v>
      </c>
      <c r="D329" s="17" t="n">
        <f aca="false">KMeans_Data!J57</f>
        <v>-0.2439270481224</v>
      </c>
      <c r="E329" s="63" t="n">
        <f aca="false">DB329</f>
        <v>4</v>
      </c>
      <c r="F329" s="38" t="n">
        <f aca="false">($B329-INDEX($L$270:$P$270,E329))^2+($C329-INDEX($L$271:$P$271,E329))^2+($D329-INDEX($L$272:$P$272,E329))^2</f>
        <v>0.123805701732423</v>
      </c>
      <c r="G329" s="17" t="n">
        <f aca="false">IF(COUNTIF(Distance_Matrix!$E$11:$DQ$11,$E329)&lt;=1,0,SUMIF(Distance_Matrix!$E$11:$DQ$11,$E329,Distance_Matrix!$E$66:$DQ$66)/(COUNTIF(Distance_Matrix!$E$11:$DQ$11,$E329)-1))</f>
        <v>0.82688273260201</v>
      </c>
      <c r="H329" s="17" t="n">
        <f aca="false">MIN(IF(1=$E329,1E+099,IF(COUNTIF(Distance_Matrix!$E$11:$DQ$11,1)=0,1E+099,SUMIF(Distance_Matrix!$E$11:$DQ$11,1,Distance_Matrix!$E$66:$DQ$66)/COUNTIF(Distance_Matrix!$E$11:$DQ$11,1))),IF(2=$E329,1E+099,IF(COUNTIF(Distance_Matrix!$E$11:$DQ$11,2)=0,1E+099,SUMIF(Distance_Matrix!$E$11:$DQ$11,2,Distance_Matrix!$E$66:$DQ$66)/COUNTIF(Distance_Matrix!$E$11:$DQ$11,2))),IF(3=$E329,1E+099,IF(COUNTIF(Distance_Matrix!$E$11:$DQ$11,3)=0,1E+099,SUMIF(Distance_Matrix!$E$11:$DQ$11,3,Distance_Matrix!$E$66:$DQ$66)/COUNTIF(Distance_Matrix!$E$11:$DQ$11,3))),IF(4=$E329,1E+099,IF(COUNTIF(Distance_Matrix!$E$11:$DQ$11,4)=0,1E+099,SUMIF(Distance_Matrix!$E$11:$DQ$11,4,Distance_Matrix!$E$66:$DQ$66)/COUNTIF(Distance_Matrix!$E$11:$DQ$11,4))),IF(5=$E329,1E+099,IF(COUNTIF(Distance_Matrix!$E$11:$DQ$11,5)=0,1E+099,SUMIF(Distance_Matrix!$E$11:$DQ$11,5,Distance_Matrix!$E$66:$DQ$66)/COUNTIF(Distance_Matrix!$E$11:$DQ$11,5))))</f>
        <v>1.67558863891446</v>
      </c>
      <c r="I329" s="17" t="n">
        <f aca="false">IF(COUNTIF(Distance_Matrix!$E$11:$DQ$11,$E329)&lt;=1,0,(H329-G329)/MAX(G329,H329))</f>
        <v>0.506512091692321</v>
      </c>
      <c r="X329" s="17" t="n">
        <f aca="false">SQRT(($B329-X$270)^2+($C329-X$271)^2+($D329-X$272)^2)</f>
        <v>6.6457002194291</v>
      </c>
      <c r="Y329" s="17" t="n">
        <f aca="false">SQRT(($B329-Y$270)^2+($C329-Y$271)^2+($D329-Y$272)^2)</f>
        <v>2.40824220970061</v>
      </c>
      <c r="Z329" s="17" t="n">
        <f aca="false">SQRT(($B329-Z$270)^2+($C329-Z$271)^2+($D329-Z$272)^2)</f>
        <v>2.19675402888218</v>
      </c>
      <c r="AA329" s="17" t="n">
        <f aca="false">SQRT(($B329-AA$270)^2+($C329-AA$271)^2+($D329-AA$272)^2)</f>
        <v>1.15405107167602</v>
      </c>
      <c r="AB329" s="17" t="n">
        <f aca="false">SQRT(($B329-AB$270)^2+($C329-AB$271)^2+($D329-AB$272)^2)</f>
        <v>4.53169441572176</v>
      </c>
      <c r="AC329" s="63" t="n">
        <f aca="false">MATCH(MIN(X329:AB329),X329:AB329,0)</f>
        <v>4</v>
      </c>
      <c r="AE329" s="17" t="n">
        <f aca="false">SQRT(($B329-AE$270)^2+($C329-AE$271)^2+($D329-AE$272)^2)</f>
        <v>6.53686050411824</v>
      </c>
      <c r="AF329" s="17" t="n">
        <f aca="false">SQRT(($B329-AF$270)^2+($C329-AF$271)^2+($D329-AF$272)^2)</f>
        <v>1.55640198504685</v>
      </c>
      <c r="AG329" s="17" t="n">
        <f aca="false">SQRT(($B329-AG$270)^2+($C329-AG$271)^2+($D329-AG$272)^2)</f>
        <v>1.64896112644371</v>
      </c>
      <c r="AH329" s="17" t="n">
        <f aca="false">SQRT(($B329-AH$270)^2+($C329-AH$271)^2+($D329-AH$272)^2)</f>
        <v>0.39124129755807</v>
      </c>
      <c r="AI329" s="17" t="n">
        <f aca="false">SQRT(($B329-AI$270)^2+($C329-AI$271)^2+($D329-AI$272)^2)</f>
        <v>4.26651016439509</v>
      </c>
      <c r="AJ329" s="63" t="n">
        <f aca="false">MATCH(MIN(AE329:AI329),AE329:AI329,0)</f>
        <v>4</v>
      </c>
      <c r="AL329" s="17" t="n">
        <f aca="false">SQRT(($B329-AL$270)^2+($C329-AL$271)^2+($D329-AL$272)^2)</f>
        <v>6.53686050411824</v>
      </c>
      <c r="AM329" s="17" t="n">
        <f aca="false">SQRT(($B329-AM$270)^2+($C329-AM$271)^2+($D329-AM$272)^2)</f>
        <v>1.57171931382958</v>
      </c>
      <c r="AN329" s="17" t="n">
        <f aca="false">SQRT(($B329-AN$270)^2+($C329-AN$271)^2+($D329-AN$272)^2)</f>
        <v>1.71338934357252</v>
      </c>
      <c r="AO329" s="17" t="n">
        <f aca="false">SQRT(($B329-AO$270)^2+($C329-AO$271)^2+($D329-AO$272)^2)</f>
        <v>0.323160471260956</v>
      </c>
      <c r="AP329" s="17" t="n">
        <f aca="false">SQRT(($B329-AP$270)^2+($C329-AP$271)^2+($D329-AP$272)^2)</f>
        <v>4.00449101983803</v>
      </c>
      <c r="AQ329" s="63" t="n">
        <f aca="false">MATCH(MIN(AL329:AP329),AL329:AP329,0)</f>
        <v>4</v>
      </c>
      <c r="AS329" s="17" t="n">
        <f aca="false">SQRT(($B329-AS$270)^2+($C329-AS$271)^2+($D329-AS$272)^2)</f>
        <v>6.53686050411824</v>
      </c>
      <c r="AT329" s="17" t="n">
        <f aca="false">SQRT(($B329-AT$270)^2+($C329-AT$271)^2+($D329-AT$272)^2)</f>
        <v>1.65465428770559</v>
      </c>
      <c r="AU329" s="17" t="n">
        <f aca="false">SQRT(($B329-AU$270)^2+($C329-AU$271)^2+($D329-AU$272)^2)</f>
        <v>1.73704146395083</v>
      </c>
      <c r="AV329" s="17" t="n">
        <f aca="false">SQRT(($B329-AV$270)^2+($C329-AV$271)^2+($D329-AV$272)^2)</f>
        <v>0.351860344074781</v>
      </c>
      <c r="AW329" s="17" t="n">
        <f aca="false">SQRT(($B329-AW$270)^2+($C329-AW$271)^2+($D329-AW$272)^2)</f>
        <v>4.00449101983803</v>
      </c>
      <c r="AX329" s="63" t="n">
        <f aca="false">MATCH(MIN(AS329:AW329),AS329:AW329,0)</f>
        <v>4</v>
      </c>
      <c r="AZ329" s="17" t="n">
        <f aca="false">SQRT(($B329-AZ$270)^2+($C329-AZ$271)^2+($D329-AZ$272)^2)</f>
        <v>6.53686050411824</v>
      </c>
      <c r="BA329" s="17" t="n">
        <f aca="false">SQRT(($B329-BA$270)^2+($C329-BA$271)^2+($D329-BA$272)^2)</f>
        <v>1.65465428770559</v>
      </c>
      <c r="BB329" s="17" t="n">
        <f aca="false">SQRT(($B329-BB$270)^2+($C329-BB$271)^2+($D329-BB$272)^2)</f>
        <v>1.73704146395083</v>
      </c>
      <c r="BC329" s="17" t="n">
        <f aca="false">SQRT(($B329-BC$270)^2+($C329-BC$271)^2+($D329-BC$272)^2)</f>
        <v>0.351860344074781</v>
      </c>
      <c r="BD329" s="17" t="n">
        <f aca="false">SQRT(($B329-BD$270)^2+($C329-BD$271)^2+($D329-BD$272)^2)</f>
        <v>4.00449101983803</v>
      </c>
      <c r="BE329" s="63" t="n">
        <f aca="false">MATCH(MIN(AZ329:BD329),AZ329:BD329,0)</f>
        <v>4</v>
      </c>
      <c r="BG329" s="17" t="n">
        <f aca="false">SQRT(($B329-BG$270)^2+($C329-BG$271)^2+($D329-BG$272)^2)</f>
        <v>6.53686050411824</v>
      </c>
      <c r="BH329" s="17" t="n">
        <f aca="false">SQRT(($B329-BH$270)^2+($C329-BH$271)^2+($D329-BH$272)^2)</f>
        <v>1.65465428770559</v>
      </c>
      <c r="BI329" s="17" t="n">
        <f aca="false">SQRT(($B329-BI$270)^2+($C329-BI$271)^2+($D329-BI$272)^2)</f>
        <v>1.73704146395083</v>
      </c>
      <c r="BJ329" s="17" t="n">
        <f aca="false">SQRT(($B329-BJ$270)^2+($C329-BJ$271)^2+($D329-BJ$272)^2)</f>
        <v>0.351860344074781</v>
      </c>
      <c r="BK329" s="17" t="n">
        <f aca="false">SQRT(($B329-BK$270)^2+($C329-BK$271)^2+($D329-BK$272)^2)</f>
        <v>4.00449101983803</v>
      </c>
      <c r="BL329" s="63" t="n">
        <f aca="false">MATCH(MIN(BG329:BK329),BG329:BK329,0)</f>
        <v>4</v>
      </c>
      <c r="BN329" s="17" t="n">
        <f aca="false">SQRT(($B329-BN$270)^2+($C329-BN$271)^2+($D329-BN$272)^2)</f>
        <v>6.53686050411824</v>
      </c>
      <c r="BO329" s="17" t="n">
        <f aca="false">SQRT(($B329-BO$270)^2+($C329-BO$271)^2+($D329-BO$272)^2)</f>
        <v>1.65465428770559</v>
      </c>
      <c r="BP329" s="17" t="n">
        <f aca="false">SQRT(($B329-BP$270)^2+($C329-BP$271)^2+($D329-BP$272)^2)</f>
        <v>1.73704146395083</v>
      </c>
      <c r="BQ329" s="17" t="n">
        <f aca="false">SQRT(($B329-BQ$270)^2+($C329-BQ$271)^2+($D329-BQ$272)^2)</f>
        <v>0.351860344074781</v>
      </c>
      <c r="BR329" s="17" t="n">
        <f aca="false">SQRT(($B329-BR$270)^2+($C329-BR$271)^2+($D329-BR$272)^2)</f>
        <v>4.00449101983803</v>
      </c>
      <c r="BS329" s="63" t="n">
        <f aca="false">MATCH(MIN(BN329:BR329),BN329:BR329,0)</f>
        <v>4</v>
      </c>
      <c r="BU329" s="17" t="n">
        <f aca="false">SQRT(($B329-BU$270)^2+($C329-BU$271)^2+($D329-BU$272)^2)</f>
        <v>6.53686050411824</v>
      </c>
      <c r="BV329" s="17" t="n">
        <f aca="false">SQRT(($B329-BV$270)^2+($C329-BV$271)^2+($D329-BV$272)^2)</f>
        <v>1.65465428770559</v>
      </c>
      <c r="BW329" s="17" t="n">
        <f aca="false">SQRT(($B329-BW$270)^2+($C329-BW$271)^2+($D329-BW$272)^2)</f>
        <v>1.73704146395083</v>
      </c>
      <c r="BX329" s="17" t="n">
        <f aca="false">SQRT(($B329-BX$270)^2+($C329-BX$271)^2+($D329-BX$272)^2)</f>
        <v>0.351860344074781</v>
      </c>
      <c r="BY329" s="17" t="n">
        <f aca="false">SQRT(($B329-BY$270)^2+($C329-BY$271)^2+($D329-BY$272)^2)</f>
        <v>4.00449101983803</v>
      </c>
      <c r="BZ329" s="63" t="n">
        <f aca="false">MATCH(MIN(BU329:BY329),BU329:BY329,0)</f>
        <v>4</v>
      </c>
      <c r="CB329" s="17" t="n">
        <f aca="false">SQRT(($B329-CB$270)^2+($C329-CB$271)^2+($D329-CB$272)^2)</f>
        <v>6.53686050411824</v>
      </c>
      <c r="CC329" s="17" t="n">
        <f aca="false">SQRT(($B329-CC$270)^2+($C329-CC$271)^2+($D329-CC$272)^2)</f>
        <v>1.65465428770559</v>
      </c>
      <c r="CD329" s="17" t="n">
        <f aca="false">SQRT(($B329-CD$270)^2+($C329-CD$271)^2+($D329-CD$272)^2)</f>
        <v>1.73704146395083</v>
      </c>
      <c r="CE329" s="17" t="n">
        <f aca="false">SQRT(($B329-CE$270)^2+($C329-CE$271)^2+($D329-CE$272)^2)</f>
        <v>0.351860344074781</v>
      </c>
      <c r="CF329" s="17" t="n">
        <f aca="false">SQRT(($B329-CF$270)^2+($C329-CF$271)^2+($D329-CF$272)^2)</f>
        <v>4.00449101983803</v>
      </c>
      <c r="CG329" s="63" t="n">
        <f aca="false">MATCH(MIN(CB329:CF329),CB329:CF329,0)</f>
        <v>4</v>
      </c>
      <c r="CI329" s="17" t="n">
        <f aca="false">SQRT(($B329-CI$270)^2+($C329-CI$271)^2+($D329-CI$272)^2)</f>
        <v>6.53686050411824</v>
      </c>
      <c r="CJ329" s="17" t="n">
        <f aca="false">SQRT(($B329-CJ$270)^2+($C329-CJ$271)^2+($D329-CJ$272)^2)</f>
        <v>1.65465428770559</v>
      </c>
      <c r="CK329" s="17" t="n">
        <f aca="false">SQRT(($B329-CK$270)^2+($C329-CK$271)^2+($D329-CK$272)^2)</f>
        <v>1.73704146395083</v>
      </c>
      <c r="CL329" s="17" t="n">
        <f aca="false">SQRT(($B329-CL$270)^2+($C329-CL$271)^2+($D329-CL$272)^2)</f>
        <v>0.351860344074781</v>
      </c>
      <c r="CM329" s="17" t="n">
        <f aca="false">SQRT(($B329-CM$270)^2+($C329-CM$271)^2+($D329-CM$272)^2)</f>
        <v>4.00449101983803</v>
      </c>
      <c r="CN329" s="63" t="n">
        <f aca="false">MATCH(MIN(CI329:CM329),CI329:CM329,0)</f>
        <v>4</v>
      </c>
      <c r="CP329" s="17" t="n">
        <f aca="false">SQRT(($B329-CP$270)^2+($C329-CP$271)^2+($D329-CP$272)^2)</f>
        <v>6.53686050411824</v>
      </c>
      <c r="CQ329" s="17" t="n">
        <f aca="false">SQRT(($B329-CQ$270)^2+($C329-CQ$271)^2+($D329-CQ$272)^2)</f>
        <v>1.65465428770559</v>
      </c>
      <c r="CR329" s="17" t="n">
        <f aca="false">SQRT(($B329-CR$270)^2+($C329-CR$271)^2+($D329-CR$272)^2)</f>
        <v>1.73704146395083</v>
      </c>
      <c r="CS329" s="17" t="n">
        <f aca="false">SQRT(($B329-CS$270)^2+($C329-CS$271)^2+($D329-CS$272)^2)</f>
        <v>0.351860344074781</v>
      </c>
      <c r="CT329" s="17" t="n">
        <f aca="false">SQRT(($B329-CT$270)^2+($C329-CT$271)^2+($D329-CT$272)^2)</f>
        <v>4.00449101983803</v>
      </c>
      <c r="CU329" s="63" t="n">
        <f aca="false">MATCH(MIN(CP329:CT329),CP329:CT329,0)</f>
        <v>4</v>
      </c>
      <c r="CW329" s="17" t="n">
        <f aca="false">SQRT(($B329-CW$270)^2+($C329-CW$271)^2+($D329-CW$272)^2)</f>
        <v>6.53686050411824</v>
      </c>
      <c r="CX329" s="17" t="n">
        <f aca="false">SQRT(($B329-CX$270)^2+($C329-CX$271)^2+($D329-CX$272)^2)</f>
        <v>1.65465428770559</v>
      </c>
      <c r="CY329" s="17" t="n">
        <f aca="false">SQRT(($B329-CY$270)^2+($C329-CY$271)^2+($D329-CY$272)^2)</f>
        <v>1.73704146395083</v>
      </c>
      <c r="CZ329" s="17" t="n">
        <f aca="false">SQRT(($B329-CZ$270)^2+($C329-CZ$271)^2+($D329-CZ$272)^2)</f>
        <v>0.351860344074781</v>
      </c>
      <c r="DA329" s="17" t="n">
        <f aca="false">SQRT(($B329-DA$270)^2+($C329-DA$271)^2+($D329-DA$272)^2)</f>
        <v>4.00449101983803</v>
      </c>
      <c r="DB329" s="63" t="n">
        <f aca="false">MATCH(MIN(CW329:DA329),CW329:DA329,0)</f>
        <v>4</v>
      </c>
    </row>
    <row r="330" customFormat="false" ht="15" hidden="false" customHeight="false" outlineLevel="0" collapsed="false">
      <c r="A330" s="36" t="str">
        <f aca="false">KMeans_Data!A58</f>
        <v>Astore</v>
      </c>
      <c r="B330" s="17" t="n">
        <f aca="false">KMeans_Data!H58</f>
        <v>0.131476411515176</v>
      </c>
      <c r="C330" s="17" t="n">
        <f aca="false">KMeans_Data!I58</f>
        <v>1.38107452085777</v>
      </c>
      <c r="D330" s="17" t="n">
        <f aca="false">KMeans_Data!J58</f>
        <v>0.774246840861612</v>
      </c>
      <c r="E330" s="63" t="n">
        <f aca="false">DB330</f>
        <v>3</v>
      </c>
      <c r="F330" s="38" t="n">
        <f aca="false">($B330-INDEX($L$270:$P$270,E330))^2+($C330-INDEX($L$271:$P$271,E330))^2+($D330-INDEX($L$272:$P$272,E330))^2</f>
        <v>0.876894017919037</v>
      </c>
      <c r="G330" s="17" t="n">
        <f aca="false">IF(COUNTIF(Distance_Matrix!$E$11:$DQ$11,$E330)&lt;=1,0,SUMIF(Distance_Matrix!$E$11:$DQ$11,$E330,Distance_Matrix!$E$67:$DQ$67)/(COUNTIF(Distance_Matrix!$E$11:$DQ$11,$E330)-1))</f>
        <v>1.1658753949785</v>
      </c>
      <c r="H330" s="17" t="n">
        <f aca="false">MIN(IF(1=$E330,1E+099,IF(COUNTIF(Distance_Matrix!$E$11:$DQ$11,1)=0,1E+099,SUMIF(Distance_Matrix!$E$11:$DQ$11,1,Distance_Matrix!$E$67:$DQ$67)/COUNTIF(Distance_Matrix!$E$11:$DQ$11,1))),IF(2=$E330,1E+099,IF(COUNTIF(Distance_Matrix!$E$11:$DQ$11,2)=0,1E+099,SUMIF(Distance_Matrix!$E$11:$DQ$11,2,Distance_Matrix!$E$67:$DQ$67)/COUNTIF(Distance_Matrix!$E$11:$DQ$11,2))),IF(3=$E330,1E+099,IF(COUNTIF(Distance_Matrix!$E$11:$DQ$11,3)=0,1E+099,SUMIF(Distance_Matrix!$E$11:$DQ$11,3,Distance_Matrix!$E$67:$DQ$67)/COUNTIF(Distance_Matrix!$E$11:$DQ$11,3))),IF(4=$E330,1E+099,IF(COUNTIF(Distance_Matrix!$E$11:$DQ$11,4)=0,1E+099,SUMIF(Distance_Matrix!$E$11:$DQ$11,4,Distance_Matrix!$E$67:$DQ$67)/COUNTIF(Distance_Matrix!$E$11:$DQ$11,4))),IF(5=$E330,1E+099,IF(COUNTIF(Distance_Matrix!$E$11:$DQ$11,5)=0,1E+099,SUMIF(Distance_Matrix!$E$11:$DQ$11,5,Distance_Matrix!$E$67:$DQ$67)/COUNTIF(Distance_Matrix!$E$11:$DQ$11,5))))</f>
        <v>2.26760142450816</v>
      </c>
      <c r="I330" s="17" t="n">
        <f aca="false">IF(COUNTIF(Distance_Matrix!$E$11:$DQ$11,$E330)&lt;=1,0,(H330-G330)/MAX(G330,H330))</f>
        <v>0.485855237883628</v>
      </c>
      <c r="X330" s="17" t="n">
        <f aca="false">SQRT(($B330-X$270)^2+($C330-X$271)^2+($D330-X$272)^2)</f>
        <v>4.80457793575169</v>
      </c>
      <c r="Y330" s="17" t="n">
        <f aca="false">SQRT(($B330-Y$270)^2+($C330-Y$271)^2+($D330-Y$272)^2)</f>
        <v>3.57676348511696</v>
      </c>
      <c r="Z330" s="17" t="n">
        <f aca="false">SQRT(($B330-Z$270)^2+($C330-Z$271)^2+($D330-Z$272)^2)</f>
        <v>1.51987007841697</v>
      </c>
      <c r="AA330" s="17" t="n">
        <f aca="false">SQRT(($B330-AA$270)^2+($C330-AA$271)^2+($D330-AA$272)^2)</f>
        <v>2.50705797216509</v>
      </c>
      <c r="AB330" s="17" t="n">
        <f aca="false">SQRT(($B330-AB$270)^2+($C330-AB$271)^2+($D330-AB$272)^2)</f>
        <v>2.89381724873175</v>
      </c>
      <c r="AC330" s="63" t="n">
        <f aca="false">MATCH(MIN(X330:AB330),X330:AB330,0)</f>
        <v>3</v>
      </c>
      <c r="AE330" s="17" t="n">
        <f aca="false">SQRT(($B330-AE$270)^2+($C330-AE$271)^2+($D330-AE$272)^2)</f>
        <v>4.68923628747325</v>
      </c>
      <c r="AF330" s="17" t="n">
        <f aca="false">SQRT(($B330-AF$270)^2+($C330-AF$271)^2+($D330-AF$272)^2)</f>
        <v>2.99115660200426</v>
      </c>
      <c r="AG330" s="17" t="n">
        <f aca="false">SQRT(($B330-AG$270)^2+($C330-AG$271)^2+($D330-AG$272)^2)</f>
        <v>0.977070764920315</v>
      </c>
      <c r="AH330" s="17" t="n">
        <f aca="false">SQRT(($B330-AH$270)^2+($C330-AH$271)^2+($D330-AH$272)^2)</f>
        <v>2.27920157336433</v>
      </c>
      <c r="AI330" s="17" t="n">
        <f aca="false">SQRT(($B330-AI$270)^2+($C330-AI$271)^2+($D330-AI$272)^2)</f>
        <v>2.49334993360462</v>
      </c>
      <c r="AJ330" s="63" t="n">
        <f aca="false">MATCH(MIN(AE330:AI330),AE330:AI330,0)</f>
        <v>3</v>
      </c>
      <c r="AL330" s="17" t="n">
        <f aca="false">SQRT(($B330-AL$270)^2+($C330-AL$271)^2+($D330-AL$272)^2)</f>
        <v>4.68923628747325</v>
      </c>
      <c r="AM330" s="17" t="n">
        <f aca="false">SQRT(($B330-AM$270)^2+($C330-AM$271)^2+($D330-AM$272)^2)</f>
        <v>3.01627535881467</v>
      </c>
      <c r="AN330" s="17" t="n">
        <f aca="false">SQRT(($B330-AN$270)^2+($C330-AN$271)^2+($D330-AN$272)^2)</f>
        <v>0.935067794999645</v>
      </c>
      <c r="AO330" s="17" t="n">
        <f aca="false">SQRT(($B330-AO$270)^2+($C330-AO$271)^2+($D330-AO$272)^2)</f>
        <v>2.23655717147</v>
      </c>
      <c r="AP330" s="17" t="n">
        <f aca="false">SQRT(($B330-AP$270)^2+($C330-AP$271)^2+($D330-AP$272)^2)</f>
        <v>2.21956179719517</v>
      </c>
      <c r="AQ330" s="63" t="n">
        <f aca="false">MATCH(MIN(AL330:AP330),AL330:AP330,0)</f>
        <v>3</v>
      </c>
      <c r="AS330" s="17" t="n">
        <f aca="false">SQRT(($B330-AS$270)^2+($C330-AS$271)^2+($D330-AS$272)^2)</f>
        <v>4.68923628747325</v>
      </c>
      <c r="AT330" s="17" t="n">
        <f aca="false">SQRT(($B330-AT$270)^2+($C330-AT$271)^2+($D330-AT$272)^2)</f>
        <v>3.08772172169012</v>
      </c>
      <c r="AU330" s="17" t="n">
        <f aca="false">SQRT(($B330-AU$270)^2+($C330-AU$271)^2+($D330-AU$272)^2)</f>
        <v>0.936426194592525</v>
      </c>
      <c r="AV330" s="17" t="n">
        <f aca="false">SQRT(($B330-AV$270)^2+($C330-AV$271)^2+($D330-AV$272)^2)</f>
        <v>2.22655665651871</v>
      </c>
      <c r="AW330" s="17" t="n">
        <f aca="false">SQRT(($B330-AW$270)^2+($C330-AW$271)^2+($D330-AW$272)^2)</f>
        <v>2.21956179719517</v>
      </c>
      <c r="AX330" s="63" t="n">
        <f aca="false">MATCH(MIN(AS330:AW330),AS330:AW330,0)</f>
        <v>3</v>
      </c>
      <c r="AZ330" s="17" t="n">
        <f aca="false">SQRT(($B330-AZ$270)^2+($C330-AZ$271)^2+($D330-AZ$272)^2)</f>
        <v>4.68923628747325</v>
      </c>
      <c r="BA330" s="17" t="n">
        <f aca="false">SQRT(($B330-BA$270)^2+($C330-BA$271)^2+($D330-BA$272)^2)</f>
        <v>3.08772172169012</v>
      </c>
      <c r="BB330" s="17" t="n">
        <f aca="false">SQRT(($B330-BB$270)^2+($C330-BB$271)^2+($D330-BB$272)^2)</f>
        <v>0.936426194592525</v>
      </c>
      <c r="BC330" s="17" t="n">
        <f aca="false">SQRT(($B330-BC$270)^2+($C330-BC$271)^2+($D330-BC$272)^2)</f>
        <v>2.22655665651871</v>
      </c>
      <c r="BD330" s="17" t="n">
        <f aca="false">SQRT(($B330-BD$270)^2+($C330-BD$271)^2+($D330-BD$272)^2)</f>
        <v>2.21956179719517</v>
      </c>
      <c r="BE330" s="63" t="n">
        <f aca="false">MATCH(MIN(AZ330:BD330),AZ330:BD330,0)</f>
        <v>3</v>
      </c>
      <c r="BG330" s="17" t="n">
        <f aca="false">SQRT(($B330-BG$270)^2+($C330-BG$271)^2+($D330-BG$272)^2)</f>
        <v>4.68923628747325</v>
      </c>
      <c r="BH330" s="17" t="n">
        <f aca="false">SQRT(($B330-BH$270)^2+($C330-BH$271)^2+($D330-BH$272)^2)</f>
        <v>3.08772172169012</v>
      </c>
      <c r="BI330" s="17" t="n">
        <f aca="false">SQRT(($B330-BI$270)^2+($C330-BI$271)^2+($D330-BI$272)^2)</f>
        <v>0.936426194592525</v>
      </c>
      <c r="BJ330" s="17" t="n">
        <f aca="false">SQRT(($B330-BJ$270)^2+($C330-BJ$271)^2+($D330-BJ$272)^2)</f>
        <v>2.22655665651871</v>
      </c>
      <c r="BK330" s="17" t="n">
        <f aca="false">SQRT(($B330-BK$270)^2+($C330-BK$271)^2+($D330-BK$272)^2)</f>
        <v>2.21956179719517</v>
      </c>
      <c r="BL330" s="63" t="n">
        <f aca="false">MATCH(MIN(BG330:BK330),BG330:BK330,0)</f>
        <v>3</v>
      </c>
      <c r="BN330" s="17" t="n">
        <f aca="false">SQRT(($B330-BN$270)^2+($C330-BN$271)^2+($D330-BN$272)^2)</f>
        <v>4.68923628747325</v>
      </c>
      <c r="BO330" s="17" t="n">
        <f aca="false">SQRT(($B330-BO$270)^2+($C330-BO$271)^2+($D330-BO$272)^2)</f>
        <v>3.08772172169012</v>
      </c>
      <c r="BP330" s="17" t="n">
        <f aca="false">SQRT(($B330-BP$270)^2+($C330-BP$271)^2+($D330-BP$272)^2)</f>
        <v>0.936426194592525</v>
      </c>
      <c r="BQ330" s="17" t="n">
        <f aca="false">SQRT(($B330-BQ$270)^2+($C330-BQ$271)^2+($D330-BQ$272)^2)</f>
        <v>2.22655665651871</v>
      </c>
      <c r="BR330" s="17" t="n">
        <f aca="false">SQRT(($B330-BR$270)^2+($C330-BR$271)^2+($D330-BR$272)^2)</f>
        <v>2.21956179719517</v>
      </c>
      <c r="BS330" s="63" t="n">
        <f aca="false">MATCH(MIN(BN330:BR330),BN330:BR330,0)</f>
        <v>3</v>
      </c>
      <c r="BU330" s="17" t="n">
        <f aca="false">SQRT(($B330-BU$270)^2+($C330-BU$271)^2+($D330-BU$272)^2)</f>
        <v>4.68923628747325</v>
      </c>
      <c r="BV330" s="17" t="n">
        <f aca="false">SQRT(($B330-BV$270)^2+($C330-BV$271)^2+($D330-BV$272)^2)</f>
        <v>3.08772172169012</v>
      </c>
      <c r="BW330" s="17" t="n">
        <f aca="false">SQRT(($B330-BW$270)^2+($C330-BW$271)^2+($D330-BW$272)^2)</f>
        <v>0.936426194592525</v>
      </c>
      <c r="BX330" s="17" t="n">
        <f aca="false">SQRT(($B330-BX$270)^2+($C330-BX$271)^2+($D330-BX$272)^2)</f>
        <v>2.22655665651871</v>
      </c>
      <c r="BY330" s="17" t="n">
        <f aca="false">SQRT(($B330-BY$270)^2+($C330-BY$271)^2+($D330-BY$272)^2)</f>
        <v>2.21956179719517</v>
      </c>
      <c r="BZ330" s="63" t="n">
        <f aca="false">MATCH(MIN(BU330:BY330),BU330:BY330,0)</f>
        <v>3</v>
      </c>
      <c r="CB330" s="17" t="n">
        <f aca="false">SQRT(($B330-CB$270)^2+($C330-CB$271)^2+($D330-CB$272)^2)</f>
        <v>4.68923628747325</v>
      </c>
      <c r="CC330" s="17" t="n">
        <f aca="false">SQRT(($B330-CC$270)^2+($C330-CC$271)^2+($D330-CC$272)^2)</f>
        <v>3.08772172169012</v>
      </c>
      <c r="CD330" s="17" t="n">
        <f aca="false">SQRT(($B330-CD$270)^2+($C330-CD$271)^2+($D330-CD$272)^2)</f>
        <v>0.936426194592525</v>
      </c>
      <c r="CE330" s="17" t="n">
        <f aca="false">SQRT(($B330-CE$270)^2+($C330-CE$271)^2+($D330-CE$272)^2)</f>
        <v>2.22655665651871</v>
      </c>
      <c r="CF330" s="17" t="n">
        <f aca="false">SQRT(($B330-CF$270)^2+($C330-CF$271)^2+($D330-CF$272)^2)</f>
        <v>2.21956179719517</v>
      </c>
      <c r="CG330" s="63" t="n">
        <f aca="false">MATCH(MIN(CB330:CF330),CB330:CF330,0)</f>
        <v>3</v>
      </c>
      <c r="CI330" s="17" t="n">
        <f aca="false">SQRT(($B330-CI$270)^2+($C330-CI$271)^2+($D330-CI$272)^2)</f>
        <v>4.68923628747325</v>
      </c>
      <c r="CJ330" s="17" t="n">
        <f aca="false">SQRT(($B330-CJ$270)^2+($C330-CJ$271)^2+($D330-CJ$272)^2)</f>
        <v>3.08772172169012</v>
      </c>
      <c r="CK330" s="17" t="n">
        <f aca="false">SQRT(($B330-CK$270)^2+($C330-CK$271)^2+($D330-CK$272)^2)</f>
        <v>0.936426194592525</v>
      </c>
      <c r="CL330" s="17" t="n">
        <f aca="false">SQRT(($B330-CL$270)^2+($C330-CL$271)^2+($D330-CL$272)^2)</f>
        <v>2.22655665651871</v>
      </c>
      <c r="CM330" s="17" t="n">
        <f aca="false">SQRT(($B330-CM$270)^2+($C330-CM$271)^2+($D330-CM$272)^2)</f>
        <v>2.21956179719517</v>
      </c>
      <c r="CN330" s="63" t="n">
        <f aca="false">MATCH(MIN(CI330:CM330),CI330:CM330,0)</f>
        <v>3</v>
      </c>
      <c r="CP330" s="17" t="n">
        <f aca="false">SQRT(($B330-CP$270)^2+($C330-CP$271)^2+($D330-CP$272)^2)</f>
        <v>4.68923628747325</v>
      </c>
      <c r="CQ330" s="17" t="n">
        <f aca="false">SQRT(($B330-CQ$270)^2+($C330-CQ$271)^2+($D330-CQ$272)^2)</f>
        <v>3.08772172169012</v>
      </c>
      <c r="CR330" s="17" t="n">
        <f aca="false">SQRT(($B330-CR$270)^2+($C330-CR$271)^2+($D330-CR$272)^2)</f>
        <v>0.936426194592525</v>
      </c>
      <c r="CS330" s="17" t="n">
        <f aca="false">SQRT(($B330-CS$270)^2+($C330-CS$271)^2+($D330-CS$272)^2)</f>
        <v>2.22655665651871</v>
      </c>
      <c r="CT330" s="17" t="n">
        <f aca="false">SQRT(($B330-CT$270)^2+($C330-CT$271)^2+($D330-CT$272)^2)</f>
        <v>2.21956179719517</v>
      </c>
      <c r="CU330" s="63" t="n">
        <f aca="false">MATCH(MIN(CP330:CT330),CP330:CT330,0)</f>
        <v>3</v>
      </c>
      <c r="CW330" s="17" t="n">
        <f aca="false">SQRT(($B330-CW$270)^2+($C330-CW$271)^2+($D330-CW$272)^2)</f>
        <v>4.68923628747325</v>
      </c>
      <c r="CX330" s="17" t="n">
        <f aca="false">SQRT(($B330-CX$270)^2+($C330-CX$271)^2+($D330-CX$272)^2)</f>
        <v>3.08772172169012</v>
      </c>
      <c r="CY330" s="17" t="n">
        <f aca="false">SQRT(($B330-CY$270)^2+($C330-CY$271)^2+($D330-CY$272)^2)</f>
        <v>0.936426194592525</v>
      </c>
      <c r="CZ330" s="17" t="n">
        <f aca="false">SQRT(($B330-CZ$270)^2+($C330-CZ$271)^2+($D330-CZ$272)^2)</f>
        <v>2.22655665651871</v>
      </c>
      <c r="DA330" s="17" t="n">
        <f aca="false">SQRT(($B330-DA$270)^2+($C330-DA$271)^2+($D330-DA$272)^2)</f>
        <v>2.21956179719517</v>
      </c>
      <c r="DB330" s="63" t="n">
        <f aca="false">MATCH(MIN(CW330:DA330),CW330:DA330,0)</f>
        <v>3</v>
      </c>
    </row>
    <row r="331" customFormat="false" ht="15" hidden="false" customHeight="false" outlineLevel="0" collapsed="false">
      <c r="A331" s="36" t="str">
        <f aca="false">KMeans_Data!A59</f>
        <v>Sanghar</v>
      </c>
      <c r="B331" s="17" t="n">
        <f aca="false">KMeans_Data!H59</f>
        <v>0.100851695433816</v>
      </c>
      <c r="C331" s="17" t="n">
        <f aca="false">KMeans_Data!I59</f>
        <v>-0.146983133929529</v>
      </c>
      <c r="D331" s="17" t="n">
        <f aca="false">KMeans_Data!J59</f>
        <v>0.618328666074444</v>
      </c>
      <c r="E331" s="63" t="n">
        <f aca="false">DB331</f>
        <v>3</v>
      </c>
      <c r="F331" s="38" t="n">
        <f aca="false">($B331-INDEX($L$270:$P$270,E331))^2+($C331-INDEX($L$271:$P$271,E331))^2+($D331-INDEX($L$272:$P$272,E331))^2</f>
        <v>0.861686921460341</v>
      </c>
      <c r="G331" s="17" t="n">
        <f aca="false">IF(COUNTIF(Distance_Matrix!$E$11:$DQ$11,$E331)&lt;=1,0,SUMIF(Distance_Matrix!$E$11:$DQ$11,$E331,Distance_Matrix!$E$68:$DQ$68)/(COUNTIF(Distance_Matrix!$E$11:$DQ$11,$E331)-1))</f>
        <v>1.12783978269992</v>
      </c>
      <c r="H331" s="17" t="n">
        <f aca="false">MIN(IF(1=$E331,1E+099,IF(COUNTIF(Distance_Matrix!$E$11:$DQ$11,1)=0,1E+099,SUMIF(Distance_Matrix!$E$11:$DQ$11,1,Distance_Matrix!$E$68:$DQ$68)/COUNTIF(Distance_Matrix!$E$11:$DQ$11,1))),IF(2=$E331,1E+099,IF(COUNTIF(Distance_Matrix!$E$11:$DQ$11,2)=0,1E+099,SUMIF(Distance_Matrix!$E$11:$DQ$11,2,Distance_Matrix!$E$68:$DQ$68)/COUNTIF(Distance_Matrix!$E$11:$DQ$11,2))),IF(3=$E331,1E+099,IF(COUNTIF(Distance_Matrix!$E$11:$DQ$11,3)=0,1E+099,SUMIF(Distance_Matrix!$E$11:$DQ$11,3,Distance_Matrix!$E$68:$DQ$68)/COUNTIF(Distance_Matrix!$E$11:$DQ$11,3))),IF(4=$E331,1E+099,IF(COUNTIF(Distance_Matrix!$E$11:$DQ$11,4)=0,1E+099,SUMIF(Distance_Matrix!$E$11:$DQ$11,4,Distance_Matrix!$E$68:$DQ$68)/COUNTIF(Distance_Matrix!$E$11:$DQ$11,4))),IF(5=$E331,1E+099,IF(COUNTIF(Distance_Matrix!$E$11:$DQ$11,5)=0,1E+099,SUMIF(Distance_Matrix!$E$11:$DQ$11,5,Distance_Matrix!$E$68:$DQ$68)/COUNTIF(Distance_Matrix!$E$11:$DQ$11,5))))</f>
        <v>1.24909137248673</v>
      </c>
      <c r="I331" s="17" t="n">
        <f aca="false">IF(COUNTIF(Distance_Matrix!$E$11:$DQ$11,$E331)&lt;=1,0,(H331-G331)/MAX(G331,H331))</f>
        <v>0.0970718335404179</v>
      </c>
      <c r="X331" s="17" t="n">
        <f aca="false">SQRT(($B331-X$270)^2+($C331-X$271)^2+($D331-X$272)^2)</f>
        <v>5.87639549417765</v>
      </c>
      <c r="Y331" s="17" t="n">
        <f aca="false">SQRT(($B331-Y$270)^2+($C331-Y$271)^2+($D331-Y$272)^2)</f>
        <v>2.85357627285817</v>
      </c>
      <c r="Z331" s="17" t="n">
        <f aca="false">SQRT(($B331-Z$270)^2+($C331-Z$271)^2+($D331-Z$272)^2)</f>
        <v>1.37089904037788</v>
      </c>
      <c r="AA331" s="17" t="n">
        <f aca="false">SQRT(($B331-AA$270)^2+($C331-AA$271)^2+($D331-AA$272)^2)</f>
        <v>1.8461934608515</v>
      </c>
      <c r="AB331" s="17" t="n">
        <f aca="false">SQRT(($B331-AB$270)^2+($C331-AB$271)^2+($D331-AB$272)^2)</f>
        <v>3.76297013070133</v>
      </c>
      <c r="AC331" s="63" t="n">
        <f aca="false">MATCH(MIN(X331:AB331),X331:AB331,0)</f>
        <v>3</v>
      </c>
      <c r="AE331" s="17" t="n">
        <f aca="false">SQRT(($B331-AE$270)^2+($C331-AE$271)^2+($D331-AE$272)^2)</f>
        <v>5.79027892231526</v>
      </c>
      <c r="AF331" s="17" t="n">
        <f aca="false">SQRT(($B331-AF$270)^2+($C331-AF$271)^2+($D331-AF$272)^2)</f>
        <v>2.11448419382801</v>
      </c>
      <c r="AG331" s="17" t="n">
        <f aca="false">SQRT(($B331-AG$270)^2+($C331-AG$271)^2+($D331-AG$272)^2)</f>
        <v>0.818796950300456</v>
      </c>
      <c r="AH331" s="17" t="n">
        <f aca="false">SQRT(($B331-AH$270)^2+($C331-AH$271)^2+($D331-AH$272)^2)</f>
        <v>1.19406100365406</v>
      </c>
      <c r="AI331" s="17" t="n">
        <f aca="false">SQRT(($B331-AI$270)^2+($C331-AI$271)^2+($D331-AI$272)^2)</f>
        <v>3.54252350207421</v>
      </c>
      <c r="AJ331" s="63" t="n">
        <f aca="false">MATCH(MIN(AE331:AI331),AE331:AI331,0)</f>
        <v>3</v>
      </c>
      <c r="AL331" s="17" t="n">
        <f aca="false">SQRT(($B331-AL$270)^2+($C331-AL$271)^2+($D331-AL$272)^2)</f>
        <v>5.79027892231526</v>
      </c>
      <c r="AM331" s="17" t="n">
        <f aca="false">SQRT(($B331-AM$270)^2+($C331-AM$271)^2+($D331-AM$272)^2)</f>
        <v>2.14633771665417</v>
      </c>
      <c r="AN331" s="17" t="n">
        <f aca="false">SQRT(($B331-AN$270)^2+($C331-AN$271)^2+($D331-AN$272)^2)</f>
        <v>0.904355141304771</v>
      </c>
      <c r="AO331" s="17" t="n">
        <f aca="false">SQRT(($B331-AO$270)^2+($C331-AO$271)^2+($D331-AO$272)^2)</f>
        <v>1.09478815254772</v>
      </c>
      <c r="AP331" s="17" t="n">
        <f aca="false">SQRT(($B331-AP$270)^2+($C331-AP$271)^2+($D331-AP$272)^2)</f>
        <v>3.27690533904432</v>
      </c>
      <c r="AQ331" s="63" t="n">
        <f aca="false">MATCH(MIN(AL331:AP331),AL331:AP331,0)</f>
        <v>3</v>
      </c>
      <c r="AS331" s="17" t="n">
        <f aca="false">SQRT(($B331-AS$270)^2+($C331-AS$271)^2+($D331-AS$272)^2)</f>
        <v>5.79027892231526</v>
      </c>
      <c r="AT331" s="17" t="n">
        <f aca="false">SQRT(($B331-AT$270)^2+($C331-AT$271)^2+($D331-AT$272)^2)</f>
        <v>2.24040828342613</v>
      </c>
      <c r="AU331" s="17" t="n">
        <f aca="false">SQRT(($B331-AU$270)^2+($C331-AU$271)^2+($D331-AU$272)^2)</f>
        <v>0.928270931065032</v>
      </c>
      <c r="AV331" s="17" t="n">
        <f aca="false">SQRT(($B331-AV$270)^2+($C331-AV$271)^2+($D331-AV$272)^2)</f>
        <v>1.08163538417565</v>
      </c>
      <c r="AW331" s="17" t="n">
        <f aca="false">SQRT(($B331-AW$270)^2+($C331-AW$271)^2+($D331-AW$272)^2)</f>
        <v>3.27690533904432</v>
      </c>
      <c r="AX331" s="63" t="n">
        <f aca="false">MATCH(MIN(AS331:AW331),AS331:AW331,0)</f>
        <v>3</v>
      </c>
      <c r="AZ331" s="17" t="n">
        <f aca="false">SQRT(($B331-AZ$270)^2+($C331-AZ$271)^2+($D331-AZ$272)^2)</f>
        <v>5.79027892231526</v>
      </c>
      <c r="BA331" s="17" t="n">
        <f aca="false">SQRT(($B331-BA$270)^2+($C331-BA$271)^2+($D331-BA$272)^2)</f>
        <v>2.24040828342613</v>
      </c>
      <c r="BB331" s="17" t="n">
        <f aca="false">SQRT(($B331-BB$270)^2+($C331-BB$271)^2+($D331-BB$272)^2)</f>
        <v>0.928270931065032</v>
      </c>
      <c r="BC331" s="17" t="n">
        <f aca="false">SQRT(($B331-BC$270)^2+($C331-BC$271)^2+($D331-BC$272)^2)</f>
        <v>1.08163538417565</v>
      </c>
      <c r="BD331" s="17" t="n">
        <f aca="false">SQRT(($B331-BD$270)^2+($C331-BD$271)^2+($D331-BD$272)^2)</f>
        <v>3.27690533904432</v>
      </c>
      <c r="BE331" s="63" t="n">
        <f aca="false">MATCH(MIN(AZ331:BD331),AZ331:BD331,0)</f>
        <v>3</v>
      </c>
      <c r="BG331" s="17" t="n">
        <f aca="false">SQRT(($B331-BG$270)^2+($C331-BG$271)^2+($D331-BG$272)^2)</f>
        <v>5.79027892231526</v>
      </c>
      <c r="BH331" s="17" t="n">
        <f aca="false">SQRT(($B331-BH$270)^2+($C331-BH$271)^2+($D331-BH$272)^2)</f>
        <v>2.24040828342613</v>
      </c>
      <c r="BI331" s="17" t="n">
        <f aca="false">SQRT(($B331-BI$270)^2+($C331-BI$271)^2+($D331-BI$272)^2)</f>
        <v>0.928270931065032</v>
      </c>
      <c r="BJ331" s="17" t="n">
        <f aca="false">SQRT(($B331-BJ$270)^2+($C331-BJ$271)^2+($D331-BJ$272)^2)</f>
        <v>1.08163538417565</v>
      </c>
      <c r="BK331" s="17" t="n">
        <f aca="false">SQRT(($B331-BK$270)^2+($C331-BK$271)^2+($D331-BK$272)^2)</f>
        <v>3.27690533904432</v>
      </c>
      <c r="BL331" s="63" t="n">
        <f aca="false">MATCH(MIN(BG331:BK331),BG331:BK331,0)</f>
        <v>3</v>
      </c>
      <c r="BN331" s="17" t="n">
        <f aca="false">SQRT(($B331-BN$270)^2+($C331-BN$271)^2+($D331-BN$272)^2)</f>
        <v>5.79027892231526</v>
      </c>
      <c r="BO331" s="17" t="n">
        <f aca="false">SQRT(($B331-BO$270)^2+($C331-BO$271)^2+($D331-BO$272)^2)</f>
        <v>2.24040828342613</v>
      </c>
      <c r="BP331" s="17" t="n">
        <f aca="false">SQRT(($B331-BP$270)^2+($C331-BP$271)^2+($D331-BP$272)^2)</f>
        <v>0.928270931065032</v>
      </c>
      <c r="BQ331" s="17" t="n">
        <f aca="false">SQRT(($B331-BQ$270)^2+($C331-BQ$271)^2+($D331-BQ$272)^2)</f>
        <v>1.08163538417565</v>
      </c>
      <c r="BR331" s="17" t="n">
        <f aca="false">SQRT(($B331-BR$270)^2+($C331-BR$271)^2+($D331-BR$272)^2)</f>
        <v>3.27690533904432</v>
      </c>
      <c r="BS331" s="63" t="n">
        <f aca="false">MATCH(MIN(BN331:BR331),BN331:BR331,0)</f>
        <v>3</v>
      </c>
      <c r="BU331" s="17" t="n">
        <f aca="false">SQRT(($B331-BU$270)^2+($C331-BU$271)^2+($D331-BU$272)^2)</f>
        <v>5.79027892231526</v>
      </c>
      <c r="BV331" s="17" t="n">
        <f aca="false">SQRT(($B331-BV$270)^2+($C331-BV$271)^2+($D331-BV$272)^2)</f>
        <v>2.24040828342613</v>
      </c>
      <c r="BW331" s="17" t="n">
        <f aca="false">SQRT(($B331-BW$270)^2+($C331-BW$271)^2+($D331-BW$272)^2)</f>
        <v>0.928270931065032</v>
      </c>
      <c r="BX331" s="17" t="n">
        <f aca="false">SQRT(($B331-BX$270)^2+($C331-BX$271)^2+($D331-BX$272)^2)</f>
        <v>1.08163538417565</v>
      </c>
      <c r="BY331" s="17" t="n">
        <f aca="false">SQRT(($B331-BY$270)^2+($C331-BY$271)^2+($D331-BY$272)^2)</f>
        <v>3.27690533904432</v>
      </c>
      <c r="BZ331" s="63" t="n">
        <f aca="false">MATCH(MIN(BU331:BY331),BU331:BY331,0)</f>
        <v>3</v>
      </c>
      <c r="CB331" s="17" t="n">
        <f aca="false">SQRT(($B331-CB$270)^2+($C331-CB$271)^2+($D331-CB$272)^2)</f>
        <v>5.79027892231526</v>
      </c>
      <c r="CC331" s="17" t="n">
        <f aca="false">SQRT(($B331-CC$270)^2+($C331-CC$271)^2+($D331-CC$272)^2)</f>
        <v>2.24040828342613</v>
      </c>
      <c r="CD331" s="17" t="n">
        <f aca="false">SQRT(($B331-CD$270)^2+($C331-CD$271)^2+($D331-CD$272)^2)</f>
        <v>0.928270931065032</v>
      </c>
      <c r="CE331" s="17" t="n">
        <f aca="false">SQRT(($B331-CE$270)^2+($C331-CE$271)^2+($D331-CE$272)^2)</f>
        <v>1.08163538417565</v>
      </c>
      <c r="CF331" s="17" t="n">
        <f aca="false">SQRT(($B331-CF$270)^2+($C331-CF$271)^2+($D331-CF$272)^2)</f>
        <v>3.27690533904432</v>
      </c>
      <c r="CG331" s="63" t="n">
        <f aca="false">MATCH(MIN(CB331:CF331),CB331:CF331,0)</f>
        <v>3</v>
      </c>
      <c r="CI331" s="17" t="n">
        <f aca="false">SQRT(($B331-CI$270)^2+($C331-CI$271)^2+($D331-CI$272)^2)</f>
        <v>5.79027892231526</v>
      </c>
      <c r="CJ331" s="17" t="n">
        <f aca="false">SQRT(($B331-CJ$270)^2+($C331-CJ$271)^2+($D331-CJ$272)^2)</f>
        <v>2.24040828342613</v>
      </c>
      <c r="CK331" s="17" t="n">
        <f aca="false">SQRT(($B331-CK$270)^2+($C331-CK$271)^2+($D331-CK$272)^2)</f>
        <v>0.928270931065032</v>
      </c>
      <c r="CL331" s="17" t="n">
        <f aca="false">SQRT(($B331-CL$270)^2+($C331-CL$271)^2+($D331-CL$272)^2)</f>
        <v>1.08163538417565</v>
      </c>
      <c r="CM331" s="17" t="n">
        <f aca="false">SQRT(($B331-CM$270)^2+($C331-CM$271)^2+($D331-CM$272)^2)</f>
        <v>3.27690533904432</v>
      </c>
      <c r="CN331" s="63" t="n">
        <f aca="false">MATCH(MIN(CI331:CM331),CI331:CM331,0)</f>
        <v>3</v>
      </c>
      <c r="CP331" s="17" t="n">
        <f aca="false">SQRT(($B331-CP$270)^2+($C331-CP$271)^2+($D331-CP$272)^2)</f>
        <v>5.79027892231526</v>
      </c>
      <c r="CQ331" s="17" t="n">
        <f aca="false">SQRT(($B331-CQ$270)^2+($C331-CQ$271)^2+($D331-CQ$272)^2)</f>
        <v>2.24040828342613</v>
      </c>
      <c r="CR331" s="17" t="n">
        <f aca="false">SQRT(($B331-CR$270)^2+($C331-CR$271)^2+($D331-CR$272)^2)</f>
        <v>0.928270931065032</v>
      </c>
      <c r="CS331" s="17" t="n">
        <f aca="false">SQRT(($B331-CS$270)^2+($C331-CS$271)^2+($D331-CS$272)^2)</f>
        <v>1.08163538417565</v>
      </c>
      <c r="CT331" s="17" t="n">
        <f aca="false">SQRT(($B331-CT$270)^2+($C331-CT$271)^2+($D331-CT$272)^2)</f>
        <v>3.27690533904432</v>
      </c>
      <c r="CU331" s="63" t="n">
        <f aca="false">MATCH(MIN(CP331:CT331),CP331:CT331,0)</f>
        <v>3</v>
      </c>
      <c r="CW331" s="17" t="n">
        <f aca="false">SQRT(($B331-CW$270)^2+($C331-CW$271)^2+($D331-CW$272)^2)</f>
        <v>5.79027892231526</v>
      </c>
      <c r="CX331" s="17" t="n">
        <f aca="false">SQRT(($B331-CX$270)^2+($C331-CX$271)^2+($D331-CX$272)^2)</f>
        <v>2.24040828342613</v>
      </c>
      <c r="CY331" s="17" t="n">
        <f aca="false">SQRT(($B331-CY$270)^2+($C331-CY$271)^2+($D331-CY$272)^2)</f>
        <v>0.928270931065032</v>
      </c>
      <c r="CZ331" s="17" t="n">
        <f aca="false">SQRT(($B331-CZ$270)^2+($C331-CZ$271)^2+($D331-CZ$272)^2)</f>
        <v>1.08163538417565</v>
      </c>
      <c r="DA331" s="17" t="n">
        <f aca="false">SQRT(($B331-DA$270)^2+($C331-DA$271)^2+($D331-DA$272)^2)</f>
        <v>3.27690533904432</v>
      </c>
      <c r="DB331" s="63" t="n">
        <f aca="false">MATCH(MIN(CW331:DA331),CW331:DA331,0)</f>
        <v>3</v>
      </c>
    </row>
    <row r="332" customFormat="false" ht="15" hidden="false" customHeight="false" outlineLevel="0" collapsed="false">
      <c r="A332" s="36" t="str">
        <f aca="false">KMeans_Data!A60</f>
        <v>Bhakkar</v>
      </c>
      <c r="B332" s="17" t="n">
        <f aca="false">KMeans_Data!H60</f>
        <v>0.0848359697065613</v>
      </c>
      <c r="C332" s="17" t="n">
        <f aca="false">KMeans_Data!I60</f>
        <v>-0.672650545388274</v>
      </c>
      <c r="D332" s="17" t="n">
        <f aca="false">KMeans_Data!J60</f>
        <v>-1.14564411633355</v>
      </c>
      <c r="E332" s="63" t="n">
        <f aca="false">DB332</f>
        <v>4</v>
      </c>
      <c r="F332" s="38" t="n">
        <f aca="false">($B332-INDEX($L$270:$P$270,E332))^2+($C332-INDEX($L$271:$P$271,E332))^2+($D332-INDEX($L$272:$P$272,E332))^2</f>
        <v>0.666446123961315</v>
      </c>
      <c r="G332" s="17" t="n">
        <f aca="false">IF(COUNTIF(Distance_Matrix!$E$11:$DQ$11,$E332)&lt;=1,0,SUMIF(Distance_Matrix!$E$11:$DQ$11,$E332,Distance_Matrix!$E$69:$DQ$69)/(COUNTIF(Distance_Matrix!$E$11:$DQ$11,$E332)-1))</f>
        <v>1.02405795746879</v>
      </c>
      <c r="H332" s="17" t="n">
        <f aca="false">MIN(IF(1=$E332,1E+099,IF(COUNTIF(Distance_Matrix!$E$11:$DQ$11,1)=0,1E+099,SUMIF(Distance_Matrix!$E$11:$DQ$11,1,Distance_Matrix!$E$69:$DQ$69)/COUNTIF(Distance_Matrix!$E$11:$DQ$11,1))),IF(2=$E332,1E+099,IF(COUNTIF(Distance_Matrix!$E$11:$DQ$11,2)=0,1E+099,SUMIF(Distance_Matrix!$E$11:$DQ$11,2,Distance_Matrix!$E$69:$DQ$69)/COUNTIF(Distance_Matrix!$E$11:$DQ$11,2))),IF(3=$E332,1E+099,IF(COUNTIF(Distance_Matrix!$E$11:$DQ$11,3)=0,1E+099,SUMIF(Distance_Matrix!$E$11:$DQ$11,3,Distance_Matrix!$E$69:$DQ$69)/COUNTIF(Distance_Matrix!$E$11:$DQ$11,3))),IF(4=$E332,1E+099,IF(COUNTIF(Distance_Matrix!$E$11:$DQ$11,4)=0,1E+099,SUMIF(Distance_Matrix!$E$11:$DQ$11,4,Distance_Matrix!$E$69:$DQ$69)/COUNTIF(Distance_Matrix!$E$11:$DQ$11,4))),IF(5=$E332,1E+099,IF(COUNTIF(Distance_Matrix!$E$11:$DQ$11,5)=0,1E+099,SUMIF(Distance_Matrix!$E$11:$DQ$11,5,Distance_Matrix!$E$69:$DQ$69)/COUNTIF(Distance_Matrix!$E$11:$DQ$11,5))))</f>
        <v>1.38360847105031</v>
      </c>
      <c r="I332" s="17" t="n">
        <f aca="false">IF(COUNTIF(Distance_Matrix!$E$11:$DQ$11,$E332)&lt;=1,0,(H332-G332)/MAX(G332,H332))</f>
        <v>0.259864348263631</v>
      </c>
      <c r="X332" s="17" t="n">
        <f aca="false">SQRT(($B332-X$270)^2+($C332-X$271)^2+($D332-X$272)^2)</f>
        <v>7.19142094483798</v>
      </c>
      <c r="Y332" s="17" t="n">
        <f aca="false">SQRT(($B332-Y$270)^2+($C332-Y$271)^2+($D332-Y$272)^2)</f>
        <v>2.16457395150989</v>
      </c>
      <c r="Z332" s="17" t="n">
        <f aca="false">SQRT(($B332-Z$270)^2+($C332-Z$271)^2+($D332-Z$272)^2)</f>
        <v>2.97594925599832</v>
      </c>
      <c r="AA332" s="17" t="n">
        <f aca="false">SQRT(($B332-AA$270)^2+($C332-AA$271)^2+($D332-AA$272)^2)</f>
        <v>0.768677089421903</v>
      </c>
      <c r="AB332" s="17" t="n">
        <f aca="false">SQRT(($B332-AB$270)^2+($C332-AB$271)^2+($D332-AB$272)^2)</f>
        <v>5.13567773757729</v>
      </c>
      <c r="AC332" s="63" t="n">
        <f aca="false">MATCH(MIN(X332:AB332),X332:AB332,0)</f>
        <v>4</v>
      </c>
      <c r="AE332" s="17" t="n">
        <f aca="false">SQRT(($B332-AE$270)^2+($C332-AE$271)^2+($D332-AE$272)^2)</f>
        <v>7.05436972688678</v>
      </c>
      <c r="AF332" s="17" t="n">
        <f aca="false">SQRT(($B332-AF$270)^2+($C332-AF$271)^2+($D332-AF$272)^2)</f>
        <v>1.34257261819278</v>
      </c>
      <c r="AG332" s="17" t="n">
        <f aca="false">SQRT(($B332-AG$270)^2+($C332-AG$271)^2+($D332-AG$272)^2)</f>
        <v>2.35723869201531</v>
      </c>
      <c r="AH332" s="17" t="n">
        <f aca="false">SQRT(($B332-AH$270)^2+($C332-AH$271)^2+($D332-AH$272)^2)</f>
        <v>0.674033358416991</v>
      </c>
      <c r="AI332" s="17" t="n">
        <f aca="false">SQRT(($B332-AI$270)^2+($C332-AI$271)^2+($D332-AI$272)^2)</f>
        <v>4.7907409086757</v>
      </c>
      <c r="AJ332" s="63" t="n">
        <f aca="false">MATCH(MIN(AE332:AI332),AE332:AI332,0)</f>
        <v>4</v>
      </c>
      <c r="AL332" s="17" t="n">
        <f aca="false">SQRT(($B332-AL$270)^2+($C332-AL$271)^2+($D332-AL$272)^2)</f>
        <v>7.05436972688678</v>
      </c>
      <c r="AM332" s="17" t="n">
        <f aca="false">SQRT(($B332-AM$270)^2+($C332-AM$271)^2+($D332-AM$272)^2)</f>
        <v>1.32693055732211</v>
      </c>
      <c r="AN332" s="17" t="n">
        <f aca="false">SQRT(($B332-AN$270)^2+($C332-AN$271)^2+($D332-AN$272)^2)</f>
        <v>2.40352624993112</v>
      </c>
      <c r="AO332" s="17" t="n">
        <f aca="false">SQRT(($B332-AO$270)^2+($C332-AO$271)^2+($D332-AO$272)^2)</f>
        <v>0.782861247213245</v>
      </c>
      <c r="AP332" s="17" t="n">
        <f aca="false">SQRT(($B332-AP$270)^2+($C332-AP$271)^2+($D332-AP$272)^2)</f>
        <v>4.53139121342809</v>
      </c>
      <c r="AQ332" s="63" t="n">
        <f aca="false">MATCH(MIN(AL332:AP332),AL332:AP332,0)</f>
        <v>4</v>
      </c>
      <c r="AS332" s="17" t="n">
        <f aca="false">SQRT(($B332-AS$270)^2+($C332-AS$271)^2+($D332-AS$272)^2)</f>
        <v>7.05436972688678</v>
      </c>
      <c r="AT332" s="17" t="n">
        <f aca="false">SQRT(($B332-AT$270)^2+($C332-AT$271)^2+($D332-AT$272)^2)</f>
        <v>1.36486195620195</v>
      </c>
      <c r="AU332" s="17" t="n">
        <f aca="false">SQRT(($B332-AU$270)^2+($C332-AU$271)^2+($D332-AU$272)^2)</f>
        <v>2.4269755903452</v>
      </c>
      <c r="AV332" s="17" t="n">
        <f aca="false">SQRT(($B332-AV$270)^2+($C332-AV$271)^2+($D332-AV$272)^2)</f>
        <v>0.816361515482764</v>
      </c>
      <c r="AW332" s="17" t="n">
        <f aca="false">SQRT(($B332-AW$270)^2+($C332-AW$271)^2+($D332-AW$272)^2)</f>
        <v>4.53139121342809</v>
      </c>
      <c r="AX332" s="63" t="n">
        <f aca="false">MATCH(MIN(AS332:AW332),AS332:AW332,0)</f>
        <v>4</v>
      </c>
      <c r="AZ332" s="17" t="n">
        <f aca="false">SQRT(($B332-AZ$270)^2+($C332-AZ$271)^2+($D332-AZ$272)^2)</f>
        <v>7.05436972688678</v>
      </c>
      <c r="BA332" s="17" t="n">
        <f aca="false">SQRT(($B332-BA$270)^2+($C332-BA$271)^2+($D332-BA$272)^2)</f>
        <v>1.36486195620195</v>
      </c>
      <c r="BB332" s="17" t="n">
        <f aca="false">SQRT(($B332-BB$270)^2+($C332-BB$271)^2+($D332-BB$272)^2)</f>
        <v>2.4269755903452</v>
      </c>
      <c r="BC332" s="17" t="n">
        <f aca="false">SQRT(($B332-BC$270)^2+($C332-BC$271)^2+($D332-BC$272)^2)</f>
        <v>0.816361515482764</v>
      </c>
      <c r="BD332" s="17" t="n">
        <f aca="false">SQRT(($B332-BD$270)^2+($C332-BD$271)^2+($D332-BD$272)^2)</f>
        <v>4.53139121342809</v>
      </c>
      <c r="BE332" s="63" t="n">
        <f aca="false">MATCH(MIN(AZ332:BD332),AZ332:BD332,0)</f>
        <v>4</v>
      </c>
      <c r="BG332" s="17" t="n">
        <f aca="false">SQRT(($B332-BG$270)^2+($C332-BG$271)^2+($D332-BG$272)^2)</f>
        <v>7.05436972688678</v>
      </c>
      <c r="BH332" s="17" t="n">
        <f aca="false">SQRT(($B332-BH$270)^2+($C332-BH$271)^2+($D332-BH$272)^2)</f>
        <v>1.36486195620195</v>
      </c>
      <c r="BI332" s="17" t="n">
        <f aca="false">SQRT(($B332-BI$270)^2+($C332-BI$271)^2+($D332-BI$272)^2)</f>
        <v>2.4269755903452</v>
      </c>
      <c r="BJ332" s="17" t="n">
        <f aca="false">SQRT(($B332-BJ$270)^2+($C332-BJ$271)^2+($D332-BJ$272)^2)</f>
        <v>0.816361515482764</v>
      </c>
      <c r="BK332" s="17" t="n">
        <f aca="false">SQRT(($B332-BK$270)^2+($C332-BK$271)^2+($D332-BK$272)^2)</f>
        <v>4.53139121342809</v>
      </c>
      <c r="BL332" s="63" t="n">
        <f aca="false">MATCH(MIN(BG332:BK332),BG332:BK332,0)</f>
        <v>4</v>
      </c>
      <c r="BN332" s="17" t="n">
        <f aca="false">SQRT(($B332-BN$270)^2+($C332-BN$271)^2+($D332-BN$272)^2)</f>
        <v>7.05436972688678</v>
      </c>
      <c r="BO332" s="17" t="n">
        <f aca="false">SQRT(($B332-BO$270)^2+($C332-BO$271)^2+($D332-BO$272)^2)</f>
        <v>1.36486195620195</v>
      </c>
      <c r="BP332" s="17" t="n">
        <f aca="false">SQRT(($B332-BP$270)^2+($C332-BP$271)^2+($D332-BP$272)^2)</f>
        <v>2.4269755903452</v>
      </c>
      <c r="BQ332" s="17" t="n">
        <f aca="false">SQRT(($B332-BQ$270)^2+($C332-BQ$271)^2+($D332-BQ$272)^2)</f>
        <v>0.816361515482764</v>
      </c>
      <c r="BR332" s="17" t="n">
        <f aca="false">SQRT(($B332-BR$270)^2+($C332-BR$271)^2+($D332-BR$272)^2)</f>
        <v>4.53139121342809</v>
      </c>
      <c r="BS332" s="63" t="n">
        <f aca="false">MATCH(MIN(BN332:BR332),BN332:BR332,0)</f>
        <v>4</v>
      </c>
      <c r="BU332" s="17" t="n">
        <f aca="false">SQRT(($B332-BU$270)^2+($C332-BU$271)^2+($D332-BU$272)^2)</f>
        <v>7.05436972688678</v>
      </c>
      <c r="BV332" s="17" t="n">
        <f aca="false">SQRT(($B332-BV$270)^2+($C332-BV$271)^2+($D332-BV$272)^2)</f>
        <v>1.36486195620195</v>
      </c>
      <c r="BW332" s="17" t="n">
        <f aca="false">SQRT(($B332-BW$270)^2+($C332-BW$271)^2+($D332-BW$272)^2)</f>
        <v>2.4269755903452</v>
      </c>
      <c r="BX332" s="17" t="n">
        <f aca="false">SQRT(($B332-BX$270)^2+($C332-BX$271)^2+($D332-BX$272)^2)</f>
        <v>0.816361515482764</v>
      </c>
      <c r="BY332" s="17" t="n">
        <f aca="false">SQRT(($B332-BY$270)^2+($C332-BY$271)^2+($D332-BY$272)^2)</f>
        <v>4.53139121342809</v>
      </c>
      <c r="BZ332" s="63" t="n">
        <f aca="false">MATCH(MIN(BU332:BY332),BU332:BY332,0)</f>
        <v>4</v>
      </c>
      <c r="CB332" s="17" t="n">
        <f aca="false">SQRT(($B332-CB$270)^2+($C332-CB$271)^2+($D332-CB$272)^2)</f>
        <v>7.05436972688678</v>
      </c>
      <c r="CC332" s="17" t="n">
        <f aca="false">SQRT(($B332-CC$270)^2+($C332-CC$271)^2+($D332-CC$272)^2)</f>
        <v>1.36486195620195</v>
      </c>
      <c r="CD332" s="17" t="n">
        <f aca="false">SQRT(($B332-CD$270)^2+($C332-CD$271)^2+($D332-CD$272)^2)</f>
        <v>2.4269755903452</v>
      </c>
      <c r="CE332" s="17" t="n">
        <f aca="false">SQRT(($B332-CE$270)^2+($C332-CE$271)^2+($D332-CE$272)^2)</f>
        <v>0.816361515482764</v>
      </c>
      <c r="CF332" s="17" t="n">
        <f aca="false">SQRT(($B332-CF$270)^2+($C332-CF$271)^2+($D332-CF$272)^2)</f>
        <v>4.53139121342809</v>
      </c>
      <c r="CG332" s="63" t="n">
        <f aca="false">MATCH(MIN(CB332:CF332),CB332:CF332,0)</f>
        <v>4</v>
      </c>
      <c r="CI332" s="17" t="n">
        <f aca="false">SQRT(($B332-CI$270)^2+($C332-CI$271)^2+($D332-CI$272)^2)</f>
        <v>7.05436972688678</v>
      </c>
      <c r="CJ332" s="17" t="n">
        <f aca="false">SQRT(($B332-CJ$270)^2+($C332-CJ$271)^2+($D332-CJ$272)^2)</f>
        <v>1.36486195620195</v>
      </c>
      <c r="CK332" s="17" t="n">
        <f aca="false">SQRT(($B332-CK$270)^2+($C332-CK$271)^2+($D332-CK$272)^2)</f>
        <v>2.4269755903452</v>
      </c>
      <c r="CL332" s="17" t="n">
        <f aca="false">SQRT(($B332-CL$270)^2+($C332-CL$271)^2+($D332-CL$272)^2)</f>
        <v>0.816361515482764</v>
      </c>
      <c r="CM332" s="17" t="n">
        <f aca="false">SQRT(($B332-CM$270)^2+($C332-CM$271)^2+($D332-CM$272)^2)</f>
        <v>4.53139121342809</v>
      </c>
      <c r="CN332" s="63" t="n">
        <f aca="false">MATCH(MIN(CI332:CM332),CI332:CM332,0)</f>
        <v>4</v>
      </c>
      <c r="CP332" s="17" t="n">
        <f aca="false">SQRT(($B332-CP$270)^2+($C332-CP$271)^2+($D332-CP$272)^2)</f>
        <v>7.05436972688678</v>
      </c>
      <c r="CQ332" s="17" t="n">
        <f aca="false">SQRT(($B332-CQ$270)^2+($C332-CQ$271)^2+($D332-CQ$272)^2)</f>
        <v>1.36486195620195</v>
      </c>
      <c r="CR332" s="17" t="n">
        <f aca="false">SQRT(($B332-CR$270)^2+($C332-CR$271)^2+($D332-CR$272)^2)</f>
        <v>2.4269755903452</v>
      </c>
      <c r="CS332" s="17" t="n">
        <f aca="false">SQRT(($B332-CS$270)^2+($C332-CS$271)^2+($D332-CS$272)^2)</f>
        <v>0.816361515482764</v>
      </c>
      <c r="CT332" s="17" t="n">
        <f aca="false">SQRT(($B332-CT$270)^2+($C332-CT$271)^2+($D332-CT$272)^2)</f>
        <v>4.53139121342809</v>
      </c>
      <c r="CU332" s="63" t="n">
        <f aca="false">MATCH(MIN(CP332:CT332),CP332:CT332,0)</f>
        <v>4</v>
      </c>
      <c r="CW332" s="17" t="n">
        <f aca="false">SQRT(($B332-CW$270)^2+($C332-CW$271)^2+($D332-CW$272)^2)</f>
        <v>7.05436972688678</v>
      </c>
      <c r="CX332" s="17" t="n">
        <f aca="false">SQRT(($B332-CX$270)^2+($C332-CX$271)^2+($D332-CX$272)^2)</f>
        <v>1.36486195620195</v>
      </c>
      <c r="CY332" s="17" t="n">
        <f aca="false">SQRT(($B332-CY$270)^2+($C332-CY$271)^2+($D332-CY$272)^2)</f>
        <v>2.4269755903452</v>
      </c>
      <c r="CZ332" s="17" t="n">
        <f aca="false">SQRT(($B332-CZ$270)^2+($C332-CZ$271)^2+($D332-CZ$272)^2)</f>
        <v>0.816361515482764</v>
      </c>
      <c r="DA332" s="17" t="n">
        <f aca="false">SQRT(($B332-DA$270)^2+($C332-DA$271)^2+($D332-DA$272)^2)</f>
        <v>4.53139121342809</v>
      </c>
      <c r="DB332" s="63" t="n">
        <f aca="false">MATCH(MIN(CW332:DA332),CW332:DA332,0)</f>
        <v>4</v>
      </c>
    </row>
    <row r="333" customFormat="false" ht="15" hidden="false" customHeight="false" outlineLevel="0" collapsed="false">
      <c r="A333" s="36" t="str">
        <f aca="false">KMeans_Data!A61</f>
        <v>Muzaffargar</v>
      </c>
      <c r="B333" s="17" t="n">
        <f aca="false">KMeans_Data!H61</f>
        <v>0.0683117241366259</v>
      </c>
      <c r="C333" s="17" t="n">
        <f aca="false">KMeans_Data!I61</f>
        <v>-0.672650545388274</v>
      </c>
      <c r="D333" s="17" t="n">
        <f aca="false">KMeans_Data!J61</f>
        <v>-1.14564411633355</v>
      </c>
      <c r="E333" s="63" t="n">
        <f aca="false">DB333</f>
        <v>4</v>
      </c>
      <c r="F333" s="38" t="n">
        <f aca="false">($B333-INDEX($L$270:$P$270,E333))^2+($C333-INDEX($L$271:$P$271,E333))^2+($D333-INDEX($L$272:$P$272,E333))^2</f>
        <v>0.659662708392092</v>
      </c>
      <c r="G333" s="17" t="n">
        <f aca="false">IF(COUNTIF(Distance_Matrix!$E$11:$DQ$11,$E333)&lt;=1,0,SUMIF(Distance_Matrix!$E$11:$DQ$11,$E333,Distance_Matrix!$E$70:$DQ$70)/(COUNTIF(Distance_Matrix!$E$11:$DQ$11,$E333)-1))</f>
        <v>1.02113869775365</v>
      </c>
      <c r="H333" s="17" t="n">
        <f aca="false">MIN(IF(1=$E333,1E+099,IF(COUNTIF(Distance_Matrix!$E$11:$DQ$11,1)=0,1E+099,SUMIF(Distance_Matrix!$E$11:$DQ$11,1,Distance_Matrix!$E$70:$DQ$70)/COUNTIF(Distance_Matrix!$E$11:$DQ$11,1))),IF(2=$E333,1E+099,IF(COUNTIF(Distance_Matrix!$E$11:$DQ$11,2)=0,1E+099,SUMIF(Distance_Matrix!$E$11:$DQ$11,2,Distance_Matrix!$E$70:$DQ$70)/COUNTIF(Distance_Matrix!$E$11:$DQ$11,2))),IF(3=$E333,1E+099,IF(COUNTIF(Distance_Matrix!$E$11:$DQ$11,3)=0,1E+099,SUMIF(Distance_Matrix!$E$11:$DQ$11,3,Distance_Matrix!$E$70:$DQ$70)/COUNTIF(Distance_Matrix!$E$11:$DQ$11,3))),IF(4=$E333,1E+099,IF(COUNTIF(Distance_Matrix!$E$11:$DQ$11,4)=0,1E+099,SUMIF(Distance_Matrix!$E$11:$DQ$11,4,Distance_Matrix!$E$70:$DQ$70)/COUNTIF(Distance_Matrix!$E$11:$DQ$11,4))),IF(5=$E333,1E+099,IF(COUNTIF(Distance_Matrix!$E$11:$DQ$11,5)=0,1E+099,SUMIF(Distance_Matrix!$E$11:$DQ$11,5,Distance_Matrix!$E$70:$DQ$70)/COUNTIF(Distance_Matrix!$E$11:$DQ$11,5))))</f>
        <v>1.3673774529882</v>
      </c>
      <c r="I333" s="17" t="n">
        <f aca="false">IF(COUNTIF(Distance_Matrix!$E$11:$DQ$11,$E333)&lt;=1,0,(H333-G333)/MAX(G333,H333))</f>
        <v>0.253213737346552</v>
      </c>
      <c r="X333" s="17" t="n">
        <f aca="false">SQRT(($B333-X$270)^2+($C333-X$271)^2+($D333-X$272)^2)</f>
        <v>7.19876486075222</v>
      </c>
      <c r="Y333" s="17" t="n">
        <f aca="false">SQRT(($B333-Y$270)^2+($C333-Y$271)^2+($D333-Y$272)^2)</f>
        <v>2.14804970593995</v>
      </c>
      <c r="Z333" s="17" t="n">
        <f aca="false">SQRT(($B333-Z$270)^2+($C333-Z$271)^2+($D333-Z$272)^2)</f>
        <v>2.98127921245279</v>
      </c>
      <c r="AA333" s="17" t="n">
        <f aca="false">SQRT(($B333-AA$270)^2+($C333-AA$271)^2+($D333-AA$272)^2)</f>
        <v>0.780815175351106</v>
      </c>
      <c r="AB333" s="17" t="n">
        <f aca="false">SQRT(($B333-AB$270)^2+($C333-AB$271)^2+($D333-AB$272)^2)</f>
        <v>5.14303406425606</v>
      </c>
      <c r="AC333" s="63" t="n">
        <f aca="false">MATCH(MIN(X333:AB333),X333:AB333,0)</f>
        <v>4</v>
      </c>
      <c r="AE333" s="17" t="n">
        <f aca="false">SQRT(($B333-AE$270)^2+($C333-AE$271)^2+($D333-AE$272)^2)</f>
        <v>7.06182790611956</v>
      </c>
      <c r="AF333" s="17" t="n">
        <f aca="false">SQRT(($B333-AF$270)^2+($C333-AF$271)^2+($D333-AF$272)^2)</f>
        <v>1.32625678160269</v>
      </c>
      <c r="AG333" s="17" t="n">
        <f aca="false">SQRT(($B333-AG$270)^2+($C333-AG$271)^2+($D333-AG$272)^2)</f>
        <v>2.3605403833734</v>
      </c>
      <c r="AH333" s="17" t="n">
        <f aca="false">SQRT(($B333-AH$270)^2+($C333-AH$271)^2+($D333-AH$272)^2)</f>
        <v>0.670621249887507</v>
      </c>
      <c r="AI333" s="17" t="n">
        <f aca="false">SQRT(($B333-AI$270)^2+($C333-AI$271)^2+($D333-AI$272)^2)</f>
        <v>4.79769320870713</v>
      </c>
      <c r="AJ333" s="63" t="n">
        <f aca="false">MATCH(MIN(AE333:AI333),AE333:AI333,0)</f>
        <v>4</v>
      </c>
      <c r="AL333" s="17" t="n">
        <f aca="false">SQRT(($B333-AL$270)^2+($C333-AL$271)^2+($D333-AL$272)^2)</f>
        <v>7.06182790611956</v>
      </c>
      <c r="AM333" s="17" t="n">
        <f aca="false">SQRT(($B333-AM$270)^2+($C333-AM$271)^2+($D333-AM$272)^2)</f>
        <v>1.31053014031156</v>
      </c>
      <c r="AN333" s="17" t="n">
        <f aca="false">SQRT(($B333-AN$270)^2+($C333-AN$271)^2+($D333-AN$272)^2)</f>
        <v>2.40710918036702</v>
      </c>
      <c r="AO333" s="17" t="n">
        <f aca="false">SQRT(($B333-AO$270)^2+($C333-AO$271)^2+($D333-AO$272)^2)</f>
        <v>0.77952453887477</v>
      </c>
      <c r="AP333" s="17" t="n">
        <f aca="false">SQRT(($B333-AP$270)^2+($C333-AP$271)^2+($D333-AP$272)^2)</f>
        <v>4.53803686313343</v>
      </c>
      <c r="AQ333" s="63" t="n">
        <f aca="false">MATCH(MIN(AL333:AP333),AL333:AP333,0)</f>
        <v>4</v>
      </c>
      <c r="AS333" s="17" t="n">
        <f aca="false">SQRT(($B333-AS$270)^2+($C333-AS$271)^2+($D333-AS$272)^2)</f>
        <v>7.06182790611956</v>
      </c>
      <c r="AT333" s="17" t="n">
        <f aca="false">SQRT(($B333-AT$270)^2+($C333-AT$271)^2+($D333-AT$272)^2)</f>
        <v>1.34836283008824</v>
      </c>
      <c r="AU333" s="17" t="n">
        <f aca="false">SQRT(($B333-AU$270)^2+($C333-AU$271)^2+($D333-AU$272)^2)</f>
        <v>2.43065550346936</v>
      </c>
      <c r="AV333" s="17" t="n">
        <f aca="false">SQRT(($B333-AV$270)^2+($C333-AV$271)^2+($D333-AV$272)^2)</f>
        <v>0.812196225300322</v>
      </c>
      <c r="AW333" s="17" t="n">
        <f aca="false">SQRT(($B333-AW$270)^2+($C333-AW$271)^2+($D333-AW$272)^2)</f>
        <v>4.53803686313343</v>
      </c>
      <c r="AX333" s="63" t="n">
        <f aca="false">MATCH(MIN(AS333:AW333),AS333:AW333,0)</f>
        <v>4</v>
      </c>
      <c r="AZ333" s="17" t="n">
        <f aca="false">SQRT(($B333-AZ$270)^2+($C333-AZ$271)^2+($D333-AZ$272)^2)</f>
        <v>7.06182790611956</v>
      </c>
      <c r="BA333" s="17" t="n">
        <f aca="false">SQRT(($B333-BA$270)^2+($C333-BA$271)^2+($D333-BA$272)^2)</f>
        <v>1.34836283008824</v>
      </c>
      <c r="BB333" s="17" t="n">
        <f aca="false">SQRT(($B333-BB$270)^2+($C333-BB$271)^2+($D333-BB$272)^2)</f>
        <v>2.43065550346936</v>
      </c>
      <c r="BC333" s="17" t="n">
        <f aca="false">SQRT(($B333-BC$270)^2+($C333-BC$271)^2+($D333-BC$272)^2)</f>
        <v>0.812196225300322</v>
      </c>
      <c r="BD333" s="17" t="n">
        <f aca="false">SQRT(($B333-BD$270)^2+($C333-BD$271)^2+($D333-BD$272)^2)</f>
        <v>4.53803686313343</v>
      </c>
      <c r="BE333" s="63" t="n">
        <f aca="false">MATCH(MIN(AZ333:BD333),AZ333:BD333,0)</f>
        <v>4</v>
      </c>
      <c r="BG333" s="17" t="n">
        <f aca="false">SQRT(($B333-BG$270)^2+($C333-BG$271)^2+($D333-BG$272)^2)</f>
        <v>7.06182790611956</v>
      </c>
      <c r="BH333" s="17" t="n">
        <f aca="false">SQRT(($B333-BH$270)^2+($C333-BH$271)^2+($D333-BH$272)^2)</f>
        <v>1.34836283008824</v>
      </c>
      <c r="BI333" s="17" t="n">
        <f aca="false">SQRT(($B333-BI$270)^2+($C333-BI$271)^2+($D333-BI$272)^2)</f>
        <v>2.43065550346936</v>
      </c>
      <c r="BJ333" s="17" t="n">
        <f aca="false">SQRT(($B333-BJ$270)^2+($C333-BJ$271)^2+($D333-BJ$272)^2)</f>
        <v>0.812196225300322</v>
      </c>
      <c r="BK333" s="17" t="n">
        <f aca="false">SQRT(($B333-BK$270)^2+($C333-BK$271)^2+($D333-BK$272)^2)</f>
        <v>4.53803686313343</v>
      </c>
      <c r="BL333" s="63" t="n">
        <f aca="false">MATCH(MIN(BG333:BK333),BG333:BK333,0)</f>
        <v>4</v>
      </c>
      <c r="BN333" s="17" t="n">
        <f aca="false">SQRT(($B333-BN$270)^2+($C333-BN$271)^2+($D333-BN$272)^2)</f>
        <v>7.06182790611956</v>
      </c>
      <c r="BO333" s="17" t="n">
        <f aca="false">SQRT(($B333-BO$270)^2+($C333-BO$271)^2+($D333-BO$272)^2)</f>
        <v>1.34836283008824</v>
      </c>
      <c r="BP333" s="17" t="n">
        <f aca="false">SQRT(($B333-BP$270)^2+($C333-BP$271)^2+($D333-BP$272)^2)</f>
        <v>2.43065550346936</v>
      </c>
      <c r="BQ333" s="17" t="n">
        <f aca="false">SQRT(($B333-BQ$270)^2+($C333-BQ$271)^2+($D333-BQ$272)^2)</f>
        <v>0.812196225300322</v>
      </c>
      <c r="BR333" s="17" t="n">
        <f aca="false">SQRT(($B333-BR$270)^2+($C333-BR$271)^2+($D333-BR$272)^2)</f>
        <v>4.53803686313343</v>
      </c>
      <c r="BS333" s="63" t="n">
        <f aca="false">MATCH(MIN(BN333:BR333),BN333:BR333,0)</f>
        <v>4</v>
      </c>
      <c r="BU333" s="17" t="n">
        <f aca="false">SQRT(($B333-BU$270)^2+($C333-BU$271)^2+($D333-BU$272)^2)</f>
        <v>7.06182790611956</v>
      </c>
      <c r="BV333" s="17" t="n">
        <f aca="false">SQRT(($B333-BV$270)^2+($C333-BV$271)^2+($D333-BV$272)^2)</f>
        <v>1.34836283008824</v>
      </c>
      <c r="BW333" s="17" t="n">
        <f aca="false">SQRT(($B333-BW$270)^2+($C333-BW$271)^2+($D333-BW$272)^2)</f>
        <v>2.43065550346936</v>
      </c>
      <c r="BX333" s="17" t="n">
        <f aca="false">SQRT(($B333-BX$270)^2+($C333-BX$271)^2+($D333-BX$272)^2)</f>
        <v>0.812196225300322</v>
      </c>
      <c r="BY333" s="17" t="n">
        <f aca="false">SQRT(($B333-BY$270)^2+($C333-BY$271)^2+($D333-BY$272)^2)</f>
        <v>4.53803686313343</v>
      </c>
      <c r="BZ333" s="63" t="n">
        <f aca="false">MATCH(MIN(BU333:BY333),BU333:BY333,0)</f>
        <v>4</v>
      </c>
      <c r="CB333" s="17" t="n">
        <f aca="false">SQRT(($B333-CB$270)^2+($C333-CB$271)^2+($D333-CB$272)^2)</f>
        <v>7.06182790611956</v>
      </c>
      <c r="CC333" s="17" t="n">
        <f aca="false">SQRT(($B333-CC$270)^2+($C333-CC$271)^2+($D333-CC$272)^2)</f>
        <v>1.34836283008824</v>
      </c>
      <c r="CD333" s="17" t="n">
        <f aca="false">SQRT(($B333-CD$270)^2+($C333-CD$271)^2+($D333-CD$272)^2)</f>
        <v>2.43065550346936</v>
      </c>
      <c r="CE333" s="17" t="n">
        <f aca="false">SQRT(($B333-CE$270)^2+($C333-CE$271)^2+($D333-CE$272)^2)</f>
        <v>0.812196225300322</v>
      </c>
      <c r="CF333" s="17" t="n">
        <f aca="false">SQRT(($B333-CF$270)^2+($C333-CF$271)^2+($D333-CF$272)^2)</f>
        <v>4.53803686313343</v>
      </c>
      <c r="CG333" s="63" t="n">
        <f aca="false">MATCH(MIN(CB333:CF333),CB333:CF333,0)</f>
        <v>4</v>
      </c>
      <c r="CI333" s="17" t="n">
        <f aca="false">SQRT(($B333-CI$270)^2+($C333-CI$271)^2+($D333-CI$272)^2)</f>
        <v>7.06182790611956</v>
      </c>
      <c r="CJ333" s="17" t="n">
        <f aca="false">SQRT(($B333-CJ$270)^2+($C333-CJ$271)^2+($D333-CJ$272)^2)</f>
        <v>1.34836283008824</v>
      </c>
      <c r="CK333" s="17" t="n">
        <f aca="false">SQRT(($B333-CK$270)^2+($C333-CK$271)^2+($D333-CK$272)^2)</f>
        <v>2.43065550346936</v>
      </c>
      <c r="CL333" s="17" t="n">
        <f aca="false">SQRT(($B333-CL$270)^2+($C333-CL$271)^2+($D333-CL$272)^2)</f>
        <v>0.812196225300322</v>
      </c>
      <c r="CM333" s="17" t="n">
        <f aca="false">SQRT(($B333-CM$270)^2+($C333-CM$271)^2+($D333-CM$272)^2)</f>
        <v>4.53803686313343</v>
      </c>
      <c r="CN333" s="63" t="n">
        <f aca="false">MATCH(MIN(CI333:CM333),CI333:CM333,0)</f>
        <v>4</v>
      </c>
      <c r="CP333" s="17" t="n">
        <f aca="false">SQRT(($B333-CP$270)^2+($C333-CP$271)^2+($D333-CP$272)^2)</f>
        <v>7.06182790611956</v>
      </c>
      <c r="CQ333" s="17" t="n">
        <f aca="false">SQRT(($B333-CQ$270)^2+($C333-CQ$271)^2+($D333-CQ$272)^2)</f>
        <v>1.34836283008824</v>
      </c>
      <c r="CR333" s="17" t="n">
        <f aca="false">SQRT(($B333-CR$270)^2+($C333-CR$271)^2+($D333-CR$272)^2)</f>
        <v>2.43065550346936</v>
      </c>
      <c r="CS333" s="17" t="n">
        <f aca="false">SQRT(($B333-CS$270)^2+($C333-CS$271)^2+($D333-CS$272)^2)</f>
        <v>0.812196225300322</v>
      </c>
      <c r="CT333" s="17" t="n">
        <f aca="false">SQRT(($B333-CT$270)^2+($C333-CT$271)^2+($D333-CT$272)^2)</f>
        <v>4.53803686313343</v>
      </c>
      <c r="CU333" s="63" t="n">
        <f aca="false">MATCH(MIN(CP333:CT333),CP333:CT333,0)</f>
        <v>4</v>
      </c>
      <c r="CW333" s="17" t="n">
        <f aca="false">SQRT(($B333-CW$270)^2+($C333-CW$271)^2+($D333-CW$272)^2)</f>
        <v>7.06182790611956</v>
      </c>
      <c r="CX333" s="17" t="n">
        <f aca="false">SQRT(($B333-CX$270)^2+($C333-CX$271)^2+($D333-CX$272)^2)</f>
        <v>1.34836283008824</v>
      </c>
      <c r="CY333" s="17" t="n">
        <f aca="false">SQRT(($B333-CY$270)^2+($C333-CY$271)^2+($D333-CY$272)^2)</f>
        <v>2.43065550346936</v>
      </c>
      <c r="CZ333" s="17" t="n">
        <f aca="false">SQRT(($B333-CZ$270)^2+($C333-CZ$271)^2+($D333-CZ$272)^2)</f>
        <v>0.812196225300322</v>
      </c>
      <c r="DA333" s="17" t="n">
        <f aca="false">SQRT(($B333-DA$270)^2+($C333-DA$271)^2+($D333-DA$272)^2)</f>
        <v>4.53803686313343</v>
      </c>
      <c r="DB333" s="63" t="n">
        <f aca="false">MATCH(MIN(CW333:DA333),CW333:DA333,0)</f>
        <v>4</v>
      </c>
    </row>
    <row r="334" customFormat="false" ht="15" hidden="false" customHeight="false" outlineLevel="0" collapsed="false">
      <c r="A334" s="36" t="str">
        <f aca="false">KMeans_Data!A62</f>
        <v>Badin</v>
      </c>
      <c r="B334" s="17" t="n">
        <f aca="false">KMeans_Data!H62</f>
        <v>0.0245489826438638</v>
      </c>
      <c r="C334" s="17" t="n">
        <f aca="false">KMeans_Data!I62</f>
        <v>0.547911385844501</v>
      </c>
      <c r="D334" s="17" t="n">
        <f aca="false">KMeans_Data!J62</f>
        <v>0.00583902902802759</v>
      </c>
      <c r="E334" s="63" t="n">
        <f aca="false">DB334</f>
        <v>3</v>
      </c>
      <c r="F334" s="38" t="n">
        <f aca="false">($B334-INDEX($L$270:$P$270,E334))^2+($C334-INDEX($L$271:$P$271,E334))^2+($D334-INDEX($L$272:$P$272,E334))^2</f>
        <v>1.08318489305054</v>
      </c>
      <c r="G334" s="17" t="n">
        <f aca="false">IF(COUNTIF(Distance_Matrix!$E$11:$DQ$11,$E334)&lt;=1,0,SUMIF(Distance_Matrix!$E$11:$DQ$11,$E334,Distance_Matrix!$E$71:$DQ$71)/(COUNTIF(Distance_Matrix!$E$11:$DQ$11,$E334)-1))</f>
        <v>1.25381686041167</v>
      </c>
      <c r="H334" s="17" t="n">
        <f aca="false">MIN(IF(1=$E334,1E+099,IF(COUNTIF(Distance_Matrix!$E$11:$DQ$11,1)=0,1E+099,SUMIF(Distance_Matrix!$E$11:$DQ$11,1,Distance_Matrix!$E$71:$DQ$71)/COUNTIF(Distance_Matrix!$E$11:$DQ$11,1))),IF(2=$E334,1E+099,IF(COUNTIF(Distance_Matrix!$E$11:$DQ$11,2)=0,1E+099,SUMIF(Distance_Matrix!$E$11:$DQ$11,2,Distance_Matrix!$E$71:$DQ$71)/COUNTIF(Distance_Matrix!$E$11:$DQ$11,2))),IF(3=$E334,1E+099,IF(COUNTIF(Distance_Matrix!$E$11:$DQ$11,3)=0,1E+099,SUMIF(Distance_Matrix!$E$11:$DQ$11,3,Distance_Matrix!$E$71:$DQ$71)/COUNTIF(Distance_Matrix!$E$11:$DQ$11,3))),IF(4=$E334,1E+099,IF(COUNTIF(Distance_Matrix!$E$11:$DQ$11,4)=0,1E+099,SUMIF(Distance_Matrix!$E$11:$DQ$11,4,Distance_Matrix!$E$71:$DQ$71)/COUNTIF(Distance_Matrix!$E$11:$DQ$11,4))),IF(5=$E334,1E+099,IF(COUNTIF(Distance_Matrix!$E$11:$DQ$11,5)=0,1E+099,SUMIF(Distance_Matrix!$E$11:$DQ$11,5,Distance_Matrix!$E$71:$DQ$71)/COUNTIF(Distance_Matrix!$E$11:$DQ$11,5))))</f>
        <v>1.33917466208471</v>
      </c>
      <c r="I334" s="17" t="n">
        <f aca="false">IF(COUNTIF(Distance_Matrix!$E$11:$DQ$11,$E334)&lt;=1,0,(H334-G334)/MAX(G334,H334))</f>
        <v>0.063739110431016</v>
      </c>
      <c r="X334" s="17" t="n">
        <f aca="false">SQRT(($B334-X$270)^2+($C334-X$271)^2+($D334-X$272)^2)</f>
        <v>5.76973078701142</v>
      </c>
      <c r="Y334" s="17" t="n">
        <f aca="false">SQRT(($B334-Y$270)^2+($C334-Y$271)^2+($D334-Y$272)^2)</f>
        <v>2.691413846061</v>
      </c>
      <c r="Z334" s="17" t="n">
        <f aca="false">SQRT(($B334-Z$270)^2+($C334-Z$271)^2+($D334-Z$272)^2)</f>
        <v>1.78866697626789</v>
      </c>
      <c r="AA334" s="17" t="n">
        <f aca="false">SQRT(($B334-AA$270)^2+($C334-AA$271)^2+($D334-AA$272)^2)</f>
        <v>1.4814138332876</v>
      </c>
      <c r="AB334" s="17" t="n">
        <f aca="false">SQRT(($B334-AB$270)^2+($C334-AB$271)^2+($D334-AB$272)^2)</f>
        <v>3.75835569789173</v>
      </c>
      <c r="AC334" s="63" t="n">
        <f aca="false">MATCH(MIN(X334:AB334),X334:AB334,0)</f>
        <v>4</v>
      </c>
      <c r="AE334" s="17" t="n">
        <f aca="false">SQRT(($B334-AE$270)^2+($C334-AE$271)^2+($D334-AE$272)^2)</f>
        <v>5.64365125183384</v>
      </c>
      <c r="AF334" s="17" t="n">
        <f aca="false">SQRT(($B334-AF$270)^2+($C334-AF$271)^2+($D334-AF$272)^2)</f>
        <v>1.98280724796294</v>
      </c>
      <c r="AG334" s="17" t="n">
        <f aca="false">SQRT(($B334-AG$270)^2+($C334-AG$271)^2+($D334-AG$272)^2)</f>
        <v>0.991015537252957</v>
      </c>
      <c r="AH334" s="17" t="n">
        <f aca="false">SQRT(($B334-AH$270)^2+($C334-AH$271)^2+($D334-AH$272)^2)</f>
        <v>1.16328166294805</v>
      </c>
      <c r="AI334" s="17" t="n">
        <f aca="false">SQRT(($B334-AI$270)^2+($C334-AI$271)^2+($D334-AI$272)^2)</f>
        <v>3.37913609220335</v>
      </c>
      <c r="AJ334" s="63" t="n">
        <f aca="false">MATCH(MIN(AE334:AI334),AE334:AI334,0)</f>
        <v>3</v>
      </c>
      <c r="AL334" s="17" t="n">
        <f aca="false">SQRT(($B334-AL$270)^2+($C334-AL$271)^2+($D334-AL$272)^2)</f>
        <v>5.64365125183384</v>
      </c>
      <c r="AM334" s="17" t="n">
        <f aca="false">SQRT(($B334-AM$270)^2+($C334-AM$271)^2+($D334-AM$272)^2)</f>
        <v>2.00171386090527</v>
      </c>
      <c r="AN334" s="17" t="n">
        <f aca="false">SQRT(($B334-AN$270)^2+($C334-AN$271)^2+($D334-AN$272)^2)</f>
        <v>1.01619490133574</v>
      </c>
      <c r="AO334" s="17" t="n">
        <f aca="false">SQRT(($B334-AO$270)^2+($C334-AO$271)^2+($D334-AO$272)^2)</f>
        <v>1.13900578867721</v>
      </c>
      <c r="AP334" s="17" t="n">
        <f aca="false">SQRT(($B334-AP$270)^2+($C334-AP$271)^2+($D334-AP$272)^2)</f>
        <v>3.10474515726249</v>
      </c>
      <c r="AQ334" s="63" t="n">
        <f aca="false">MATCH(MIN(AL334:AP334),AL334:AP334,0)</f>
        <v>3</v>
      </c>
      <c r="AS334" s="17" t="n">
        <f aca="false">SQRT(($B334-AS$270)^2+($C334-AS$271)^2+($D334-AS$272)^2)</f>
        <v>5.64365125183384</v>
      </c>
      <c r="AT334" s="17" t="n">
        <f aca="false">SQRT(($B334-AT$270)^2+($C334-AT$271)^2+($D334-AT$272)^2)</f>
        <v>2.07395017687324</v>
      </c>
      <c r="AU334" s="17" t="n">
        <f aca="false">SQRT(($B334-AU$270)^2+($C334-AU$271)^2+($D334-AU$272)^2)</f>
        <v>1.0407616888849</v>
      </c>
      <c r="AV334" s="17" t="n">
        <f aca="false">SQRT(($B334-AV$270)^2+($C334-AV$271)^2+($D334-AV$272)^2)</f>
        <v>1.13300801815382</v>
      </c>
      <c r="AW334" s="17" t="n">
        <f aca="false">SQRT(($B334-AW$270)^2+($C334-AW$271)^2+($D334-AW$272)^2)</f>
        <v>3.10474515726249</v>
      </c>
      <c r="AX334" s="63" t="n">
        <f aca="false">MATCH(MIN(AS334:AW334),AS334:AW334,0)</f>
        <v>3</v>
      </c>
      <c r="AZ334" s="17" t="n">
        <f aca="false">SQRT(($B334-AZ$270)^2+($C334-AZ$271)^2+($D334-AZ$272)^2)</f>
        <v>5.64365125183384</v>
      </c>
      <c r="BA334" s="17" t="n">
        <f aca="false">SQRT(($B334-BA$270)^2+($C334-BA$271)^2+($D334-BA$272)^2)</f>
        <v>2.07395017687324</v>
      </c>
      <c r="BB334" s="17" t="n">
        <f aca="false">SQRT(($B334-BB$270)^2+($C334-BB$271)^2+($D334-BB$272)^2)</f>
        <v>1.0407616888849</v>
      </c>
      <c r="BC334" s="17" t="n">
        <f aca="false">SQRT(($B334-BC$270)^2+($C334-BC$271)^2+($D334-BC$272)^2)</f>
        <v>1.13300801815382</v>
      </c>
      <c r="BD334" s="17" t="n">
        <f aca="false">SQRT(($B334-BD$270)^2+($C334-BD$271)^2+($D334-BD$272)^2)</f>
        <v>3.10474515726249</v>
      </c>
      <c r="BE334" s="63" t="n">
        <f aca="false">MATCH(MIN(AZ334:BD334),AZ334:BD334,0)</f>
        <v>3</v>
      </c>
      <c r="BG334" s="17" t="n">
        <f aca="false">SQRT(($B334-BG$270)^2+($C334-BG$271)^2+($D334-BG$272)^2)</f>
        <v>5.64365125183384</v>
      </c>
      <c r="BH334" s="17" t="n">
        <f aca="false">SQRT(($B334-BH$270)^2+($C334-BH$271)^2+($D334-BH$272)^2)</f>
        <v>2.07395017687324</v>
      </c>
      <c r="BI334" s="17" t="n">
        <f aca="false">SQRT(($B334-BI$270)^2+($C334-BI$271)^2+($D334-BI$272)^2)</f>
        <v>1.0407616888849</v>
      </c>
      <c r="BJ334" s="17" t="n">
        <f aca="false">SQRT(($B334-BJ$270)^2+($C334-BJ$271)^2+($D334-BJ$272)^2)</f>
        <v>1.13300801815382</v>
      </c>
      <c r="BK334" s="17" t="n">
        <f aca="false">SQRT(($B334-BK$270)^2+($C334-BK$271)^2+($D334-BK$272)^2)</f>
        <v>3.10474515726249</v>
      </c>
      <c r="BL334" s="63" t="n">
        <f aca="false">MATCH(MIN(BG334:BK334),BG334:BK334,0)</f>
        <v>3</v>
      </c>
      <c r="BN334" s="17" t="n">
        <f aca="false">SQRT(($B334-BN$270)^2+($C334-BN$271)^2+($D334-BN$272)^2)</f>
        <v>5.64365125183384</v>
      </c>
      <c r="BO334" s="17" t="n">
        <f aca="false">SQRT(($B334-BO$270)^2+($C334-BO$271)^2+($D334-BO$272)^2)</f>
        <v>2.07395017687324</v>
      </c>
      <c r="BP334" s="17" t="n">
        <f aca="false">SQRT(($B334-BP$270)^2+($C334-BP$271)^2+($D334-BP$272)^2)</f>
        <v>1.0407616888849</v>
      </c>
      <c r="BQ334" s="17" t="n">
        <f aca="false">SQRT(($B334-BQ$270)^2+($C334-BQ$271)^2+($D334-BQ$272)^2)</f>
        <v>1.13300801815382</v>
      </c>
      <c r="BR334" s="17" t="n">
        <f aca="false">SQRT(($B334-BR$270)^2+($C334-BR$271)^2+($D334-BR$272)^2)</f>
        <v>3.10474515726249</v>
      </c>
      <c r="BS334" s="63" t="n">
        <f aca="false">MATCH(MIN(BN334:BR334),BN334:BR334,0)</f>
        <v>3</v>
      </c>
      <c r="BU334" s="17" t="n">
        <f aca="false">SQRT(($B334-BU$270)^2+($C334-BU$271)^2+($D334-BU$272)^2)</f>
        <v>5.64365125183384</v>
      </c>
      <c r="BV334" s="17" t="n">
        <f aca="false">SQRT(($B334-BV$270)^2+($C334-BV$271)^2+($D334-BV$272)^2)</f>
        <v>2.07395017687324</v>
      </c>
      <c r="BW334" s="17" t="n">
        <f aca="false">SQRT(($B334-BW$270)^2+($C334-BW$271)^2+($D334-BW$272)^2)</f>
        <v>1.0407616888849</v>
      </c>
      <c r="BX334" s="17" t="n">
        <f aca="false">SQRT(($B334-BX$270)^2+($C334-BX$271)^2+($D334-BX$272)^2)</f>
        <v>1.13300801815382</v>
      </c>
      <c r="BY334" s="17" t="n">
        <f aca="false">SQRT(($B334-BY$270)^2+($C334-BY$271)^2+($D334-BY$272)^2)</f>
        <v>3.10474515726249</v>
      </c>
      <c r="BZ334" s="63" t="n">
        <f aca="false">MATCH(MIN(BU334:BY334),BU334:BY334,0)</f>
        <v>3</v>
      </c>
      <c r="CB334" s="17" t="n">
        <f aca="false">SQRT(($B334-CB$270)^2+($C334-CB$271)^2+($D334-CB$272)^2)</f>
        <v>5.64365125183384</v>
      </c>
      <c r="CC334" s="17" t="n">
        <f aca="false">SQRT(($B334-CC$270)^2+($C334-CC$271)^2+($D334-CC$272)^2)</f>
        <v>2.07395017687324</v>
      </c>
      <c r="CD334" s="17" t="n">
        <f aca="false">SQRT(($B334-CD$270)^2+($C334-CD$271)^2+($D334-CD$272)^2)</f>
        <v>1.0407616888849</v>
      </c>
      <c r="CE334" s="17" t="n">
        <f aca="false">SQRT(($B334-CE$270)^2+($C334-CE$271)^2+($D334-CE$272)^2)</f>
        <v>1.13300801815382</v>
      </c>
      <c r="CF334" s="17" t="n">
        <f aca="false">SQRT(($B334-CF$270)^2+($C334-CF$271)^2+($D334-CF$272)^2)</f>
        <v>3.10474515726249</v>
      </c>
      <c r="CG334" s="63" t="n">
        <f aca="false">MATCH(MIN(CB334:CF334),CB334:CF334,0)</f>
        <v>3</v>
      </c>
      <c r="CI334" s="17" t="n">
        <f aca="false">SQRT(($B334-CI$270)^2+($C334-CI$271)^2+($D334-CI$272)^2)</f>
        <v>5.64365125183384</v>
      </c>
      <c r="CJ334" s="17" t="n">
        <f aca="false">SQRT(($B334-CJ$270)^2+($C334-CJ$271)^2+($D334-CJ$272)^2)</f>
        <v>2.07395017687324</v>
      </c>
      <c r="CK334" s="17" t="n">
        <f aca="false">SQRT(($B334-CK$270)^2+($C334-CK$271)^2+($D334-CK$272)^2)</f>
        <v>1.0407616888849</v>
      </c>
      <c r="CL334" s="17" t="n">
        <f aca="false">SQRT(($B334-CL$270)^2+($C334-CL$271)^2+($D334-CL$272)^2)</f>
        <v>1.13300801815382</v>
      </c>
      <c r="CM334" s="17" t="n">
        <f aca="false">SQRT(($B334-CM$270)^2+($C334-CM$271)^2+($D334-CM$272)^2)</f>
        <v>3.10474515726249</v>
      </c>
      <c r="CN334" s="63" t="n">
        <f aca="false">MATCH(MIN(CI334:CM334),CI334:CM334,0)</f>
        <v>3</v>
      </c>
      <c r="CP334" s="17" t="n">
        <f aca="false">SQRT(($B334-CP$270)^2+($C334-CP$271)^2+($D334-CP$272)^2)</f>
        <v>5.64365125183384</v>
      </c>
      <c r="CQ334" s="17" t="n">
        <f aca="false">SQRT(($B334-CQ$270)^2+($C334-CQ$271)^2+($D334-CQ$272)^2)</f>
        <v>2.07395017687324</v>
      </c>
      <c r="CR334" s="17" t="n">
        <f aca="false">SQRT(($B334-CR$270)^2+($C334-CR$271)^2+($D334-CR$272)^2)</f>
        <v>1.0407616888849</v>
      </c>
      <c r="CS334" s="17" t="n">
        <f aca="false">SQRT(($B334-CS$270)^2+($C334-CS$271)^2+($D334-CS$272)^2)</f>
        <v>1.13300801815382</v>
      </c>
      <c r="CT334" s="17" t="n">
        <f aca="false">SQRT(($B334-CT$270)^2+($C334-CT$271)^2+($D334-CT$272)^2)</f>
        <v>3.10474515726249</v>
      </c>
      <c r="CU334" s="63" t="n">
        <f aca="false">MATCH(MIN(CP334:CT334),CP334:CT334,0)</f>
        <v>3</v>
      </c>
      <c r="CW334" s="17" t="n">
        <f aca="false">SQRT(($B334-CW$270)^2+($C334-CW$271)^2+($D334-CW$272)^2)</f>
        <v>5.64365125183384</v>
      </c>
      <c r="CX334" s="17" t="n">
        <f aca="false">SQRT(($B334-CX$270)^2+($C334-CX$271)^2+($D334-CX$272)^2)</f>
        <v>2.07395017687324</v>
      </c>
      <c r="CY334" s="17" t="n">
        <f aca="false">SQRT(($B334-CY$270)^2+($C334-CY$271)^2+($D334-CY$272)^2)</f>
        <v>1.0407616888849</v>
      </c>
      <c r="CZ334" s="17" t="n">
        <f aca="false">SQRT(($B334-CZ$270)^2+($C334-CZ$271)^2+($D334-CZ$272)^2)</f>
        <v>1.13300801815382</v>
      </c>
      <c r="DA334" s="17" t="n">
        <f aca="false">SQRT(($B334-DA$270)^2+($C334-DA$271)^2+($D334-DA$272)^2)</f>
        <v>3.10474515726249</v>
      </c>
      <c r="DB334" s="63" t="n">
        <f aca="false">MATCH(MIN(CW334:DA334),CW334:DA334,0)</f>
        <v>3</v>
      </c>
    </row>
    <row r="335" customFormat="false" ht="15" hidden="false" customHeight="false" outlineLevel="0" collapsed="false">
      <c r="A335" s="36" t="str">
        <f aca="false">KMeans_Data!A63</f>
        <v>Bahawalpur</v>
      </c>
      <c r="B335" s="17" t="n">
        <f aca="false">KMeans_Data!H63</f>
        <v>0.00595879156403144</v>
      </c>
      <c r="C335" s="17" t="n">
        <f aca="false">KMeans_Data!I63</f>
        <v>-0.672650545388274</v>
      </c>
      <c r="D335" s="17" t="n">
        <f aca="false">KMeans_Data!J63</f>
        <v>-0.399845222909568</v>
      </c>
      <c r="E335" s="63" t="n">
        <f aca="false">DB335</f>
        <v>4</v>
      </c>
      <c r="F335" s="38" t="n">
        <f aca="false">($B335-INDEX($L$270:$P$270,E335))^2+($C335-INDEX($L$271:$P$271,E335))^2+($D335-INDEX($L$272:$P$272,E335))^2</f>
        <v>0.0458232587299223</v>
      </c>
      <c r="G335" s="17" t="n">
        <f aca="false">IF(COUNTIF(Distance_Matrix!$E$11:$DQ$11,$E335)&lt;=1,0,SUMIF(Distance_Matrix!$E$11:$DQ$11,$E335,Distance_Matrix!$E$72:$DQ$72)/(COUNTIF(Distance_Matrix!$E$11:$DQ$11,$E335)-1))</f>
        <v>0.772954438037319</v>
      </c>
      <c r="H335" s="17" t="n">
        <f aca="false">MIN(IF(1=$E335,1E+099,IF(COUNTIF(Distance_Matrix!$E$11:$DQ$11,1)=0,1E+099,SUMIF(Distance_Matrix!$E$11:$DQ$11,1,Distance_Matrix!$E$72:$DQ$72)/COUNTIF(Distance_Matrix!$E$11:$DQ$11,1))),IF(2=$E335,1E+099,IF(COUNTIF(Distance_Matrix!$E$11:$DQ$11,2)=0,1E+099,SUMIF(Distance_Matrix!$E$11:$DQ$11,2,Distance_Matrix!$E$72:$DQ$72)/COUNTIF(Distance_Matrix!$E$11:$DQ$11,2))),IF(3=$E335,1E+099,IF(COUNTIF(Distance_Matrix!$E$11:$DQ$11,3)=0,1E+099,SUMIF(Distance_Matrix!$E$11:$DQ$11,3,Distance_Matrix!$E$72:$DQ$72)/COUNTIF(Distance_Matrix!$E$11:$DQ$11,3))),IF(4=$E335,1E+099,IF(COUNTIF(Distance_Matrix!$E$11:$DQ$11,4)=0,1E+099,SUMIF(Distance_Matrix!$E$11:$DQ$11,4,Distance_Matrix!$E$72:$DQ$72)/COUNTIF(Distance_Matrix!$E$11:$DQ$11,4))),IF(5=$E335,1E+099,IF(COUNTIF(Distance_Matrix!$E$11:$DQ$11,5)=0,1E+099,SUMIF(Distance_Matrix!$E$11:$DQ$11,5,Distance_Matrix!$E$72:$DQ$72)/COUNTIF(Distance_Matrix!$E$11:$DQ$11,5))))</f>
        <v>1.47361791005317</v>
      </c>
      <c r="I335" s="17" t="n">
        <f aca="false">IF(COUNTIF(Distance_Matrix!$E$11:$DQ$11,$E335)&lt;=1,0,(H335-G335)/MAX(G335,H335))</f>
        <v>0.475471604434129</v>
      </c>
      <c r="X335" s="17" t="n">
        <f aca="false">SQRT(($B335-X$270)^2+($C335-X$271)^2+($D335-X$272)^2)</f>
        <v>6.79864298983629</v>
      </c>
      <c r="Y335" s="17" t="n">
        <f aca="false">SQRT(($B335-Y$270)^2+($C335-Y$271)^2+($D335-Y$272)^2)</f>
        <v>2.21502754381688</v>
      </c>
      <c r="Z335" s="17" t="n">
        <f aca="false">SQRT(($B335-Z$270)^2+($C335-Z$271)^2+($D335-Z$272)^2)</f>
        <v>2.38052099434104</v>
      </c>
      <c r="AA335" s="17" t="n">
        <f aca="false">SQRT(($B335-AA$270)^2+($C335-AA$271)^2+($D335-AA$272)^2)</f>
        <v>1.11435028622649</v>
      </c>
      <c r="AB335" s="17" t="n">
        <f aca="false">SQRT(($B335-AB$270)^2+($C335-AB$271)^2+($D335-AB$272)^2)</f>
        <v>4.69572303775877</v>
      </c>
      <c r="AC335" s="63" t="n">
        <f aca="false">MATCH(MIN(X335:AB335),X335:AB335,0)</f>
        <v>4</v>
      </c>
      <c r="AE335" s="17" t="n">
        <f aca="false">SQRT(($B335-AE$270)^2+($C335-AE$271)^2+($D335-AE$272)^2)</f>
        <v>6.68535594956988</v>
      </c>
      <c r="AF335" s="17" t="n">
        <f aca="false">SQRT(($B335-AF$270)^2+($C335-AF$271)^2+($D335-AF$272)^2)</f>
        <v>1.35716972401608</v>
      </c>
      <c r="AG335" s="17" t="n">
        <f aca="false">SQRT(($B335-AG$270)^2+($C335-AG$271)^2+($D335-AG$272)^2)</f>
        <v>1.79479198600325</v>
      </c>
      <c r="AH335" s="17" t="n">
        <f aca="false">SQRT(($B335-AH$270)^2+($C335-AH$271)^2+($D335-AH$272)^2)</f>
        <v>0.22660999493473</v>
      </c>
      <c r="AI335" s="17" t="n">
        <f aca="false">SQRT(($B335-AI$270)^2+($C335-AI$271)^2+($D335-AI$272)^2)</f>
        <v>4.41074072176455</v>
      </c>
      <c r="AJ335" s="63" t="n">
        <f aca="false">MATCH(MIN(AE335:AI335),AE335:AI335,0)</f>
        <v>4</v>
      </c>
      <c r="AL335" s="17" t="n">
        <f aca="false">SQRT(($B335-AL$270)^2+($C335-AL$271)^2+($D335-AL$272)^2)</f>
        <v>6.68535594956988</v>
      </c>
      <c r="AM335" s="17" t="n">
        <f aca="false">SQRT(($B335-AM$270)^2+($C335-AM$271)^2+($D335-AM$272)^2)</f>
        <v>1.36992218309088</v>
      </c>
      <c r="AN335" s="17" t="n">
        <f aca="false">SQRT(($B335-AN$270)^2+($C335-AN$271)^2+($D335-AN$272)^2)</f>
        <v>1.85800002936627</v>
      </c>
      <c r="AO335" s="17" t="n">
        <f aca="false">SQRT(($B335-AO$270)^2+($C335-AO$271)^2+($D335-AO$272)^2)</f>
        <v>0.182794213184917</v>
      </c>
      <c r="AP335" s="17" t="n">
        <f aca="false">SQRT(($B335-AP$270)^2+($C335-AP$271)^2+($D335-AP$272)^2)</f>
        <v>4.1462938299243</v>
      </c>
      <c r="AQ335" s="63" t="n">
        <f aca="false">MATCH(MIN(AL335:AP335),AL335:AP335,0)</f>
        <v>4</v>
      </c>
      <c r="AS335" s="17" t="n">
        <f aca="false">SQRT(($B335-AS$270)^2+($C335-AS$271)^2+($D335-AS$272)^2)</f>
        <v>6.68535594956988</v>
      </c>
      <c r="AT335" s="17" t="n">
        <f aca="false">SQRT(($B335-AT$270)^2+($C335-AT$271)^2+($D335-AT$272)^2)</f>
        <v>1.45026422771408</v>
      </c>
      <c r="AU335" s="17" t="n">
        <f aca="false">SQRT(($B335-AU$270)^2+($C335-AU$271)^2+($D335-AU$272)^2)</f>
        <v>1.88268250310638</v>
      </c>
      <c r="AV335" s="17" t="n">
        <f aca="false">SQRT(($B335-AV$270)^2+($C335-AV$271)^2+($D335-AV$272)^2)</f>
        <v>0.214063679146936</v>
      </c>
      <c r="AW335" s="17" t="n">
        <f aca="false">SQRT(($B335-AW$270)^2+($C335-AW$271)^2+($D335-AW$272)^2)</f>
        <v>4.1462938299243</v>
      </c>
      <c r="AX335" s="63" t="n">
        <f aca="false">MATCH(MIN(AS335:AW335),AS335:AW335,0)</f>
        <v>4</v>
      </c>
      <c r="AZ335" s="17" t="n">
        <f aca="false">SQRT(($B335-AZ$270)^2+($C335-AZ$271)^2+($D335-AZ$272)^2)</f>
        <v>6.68535594956988</v>
      </c>
      <c r="BA335" s="17" t="n">
        <f aca="false">SQRT(($B335-BA$270)^2+($C335-BA$271)^2+($D335-BA$272)^2)</f>
        <v>1.45026422771408</v>
      </c>
      <c r="BB335" s="17" t="n">
        <f aca="false">SQRT(($B335-BB$270)^2+($C335-BB$271)^2+($D335-BB$272)^2)</f>
        <v>1.88268250310638</v>
      </c>
      <c r="BC335" s="17" t="n">
        <f aca="false">SQRT(($B335-BC$270)^2+($C335-BC$271)^2+($D335-BC$272)^2)</f>
        <v>0.214063679146936</v>
      </c>
      <c r="BD335" s="17" t="n">
        <f aca="false">SQRT(($B335-BD$270)^2+($C335-BD$271)^2+($D335-BD$272)^2)</f>
        <v>4.1462938299243</v>
      </c>
      <c r="BE335" s="63" t="n">
        <f aca="false">MATCH(MIN(AZ335:BD335),AZ335:BD335,0)</f>
        <v>4</v>
      </c>
      <c r="BG335" s="17" t="n">
        <f aca="false">SQRT(($B335-BG$270)^2+($C335-BG$271)^2+($D335-BG$272)^2)</f>
        <v>6.68535594956988</v>
      </c>
      <c r="BH335" s="17" t="n">
        <f aca="false">SQRT(($B335-BH$270)^2+($C335-BH$271)^2+($D335-BH$272)^2)</f>
        <v>1.45026422771408</v>
      </c>
      <c r="BI335" s="17" t="n">
        <f aca="false">SQRT(($B335-BI$270)^2+($C335-BI$271)^2+($D335-BI$272)^2)</f>
        <v>1.88268250310638</v>
      </c>
      <c r="BJ335" s="17" t="n">
        <f aca="false">SQRT(($B335-BJ$270)^2+($C335-BJ$271)^2+($D335-BJ$272)^2)</f>
        <v>0.214063679146936</v>
      </c>
      <c r="BK335" s="17" t="n">
        <f aca="false">SQRT(($B335-BK$270)^2+($C335-BK$271)^2+($D335-BK$272)^2)</f>
        <v>4.1462938299243</v>
      </c>
      <c r="BL335" s="63" t="n">
        <f aca="false">MATCH(MIN(BG335:BK335),BG335:BK335,0)</f>
        <v>4</v>
      </c>
      <c r="BN335" s="17" t="n">
        <f aca="false">SQRT(($B335-BN$270)^2+($C335-BN$271)^2+($D335-BN$272)^2)</f>
        <v>6.68535594956988</v>
      </c>
      <c r="BO335" s="17" t="n">
        <f aca="false">SQRT(($B335-BO$270)^2+($C335-BO$271)^2+($D335-BO$272)^2)</f>
        <v>1.45026422771408</v>
      </c>
      <c r="BP335" s="17" t="n">
        <f aca="false">SQRT(($B335-BP$270)^2+($C335-BP$271)^2+($D335-BP$272)^2)</f>
        <v>1.88268250310638</v>
      </c>
      <c r="BQ335" s="17" t="n">
        <f aca="false">SQRT(($B335-BQ$270)^2+($C335-BQ$271)^2+($D335-BQ$272)^2)</f>
        <v>0.214063679146936</v>
      </c>
      <c r="BR335" s="17" t="n">
        <f aca="false">SQRT(($B335-BR$270)^2+($C335-BR$271)^2+($D335-BR$272)^2)</f>
        <v>4.1462938299243</v>
      </c>
      <c r="BS335" s="63" t="n">
        <f aca="false">MATCH(MIN(BN335:BR335),BN335:BR335,0)</f>
        <v>4</v>
      </c>
      <c r="BU335" s="17" t="n">
        <f aca="false">SQRT(($B335-BU$270)^2+($C335-BU$271)^2+($D335-BU$272)^2)</f>
        <v>6.68535594956988</v>
      </c>
      <c r="BV335" s="17" t="n">
        <f aca="false">SQRT(($B335-BV$270)^2+($C335-BV$271)^2+($D335-BV$272)^2)</f>
        <v>1.45026422771408</v>
      </c>
      <c r="BW335" s="17" t="n">
        <f aca="false">SQRT(($B335-BW$270)^2+($C335-BW$271)^2+($D335-BW$272)^2)</f>
        <v>1.88268250310638</v>
      </c>
      <c r="BX335" s="17" t="n">
        <f aca="false">SQRT(($B335-BX$270)^2+($C335-BX$271)^2+($D335-BX$272)^2)</f>
        <v>0.214063679146936</v>
      </c>
      <c r="BY335" s="17" t="n">
        <f aca="false">SQRT(($B335-BY$270)^2+($C335-BY$271)^2+($D335-BY$272)^2)</f>
        <v>4.1462938299243</v>
      </c>
      <c r="BZ335" s="63" t="n">
        <f aca="false">MATCH(MIN(BU335:BY335),BU335:BY335,0)</f>
        <v>4</v>
      </c>
      <c r="CB335" s="17" t="n">
        <f aca="false">SQRT(($B335-CB$270)^2+($C335-CB$271)^2+($D335-CB$272)^2)</f>
        <v>6.68535594956988</v>
      </c>
      <c r="CC335" s="17" t="n">
        <f aca="false">SQRT(($B335-CC$270)^2+($C335-CC$271)^2+($D335-CC$272)^2)</f>
        <v>1.45026422771408</v>
      </c>
      <c r="CD335" s="17" t="n">
        <f aca="false">SQRT(($B335-CD$270)^2+($C335-CD$271)^2+($D335-CD$272)^2)</f>
        <v>1.88268250310638</v>
      </c>
      <c r="CE335" s="17" t="n">
        <f aca="false">SQRT(($B335-CE$270)^2+($C335-CE$271)^2+($D335-CE$272)^2)</f>
        <v>0.214063679146936</v>
      </c>
      <c r="CF335" s="17" t="n">
        <f aca="false">SQRT(($B335-CF$270)^2+($C335-CF$271)^2+($D335-CF$272)^2)</f>
        <v>4.1462938299243</v>
      </c>
      <c r="CG335" s="63" t="n">
        <f aca="false">MATCH(MIN(CB335:CF335),CB335:CF335,0)</f>
        <v>4</v>
      </c>
      <c r="CI335" s="17" t="n">
        <f aca="false">SQRT(($B335-CI$270)^2+($C335-CI$271)^2+($D335-CI$272)^2)</f>
        <v>6.68535594956988</v>
      </c>
      <c r="CJ335" s="17" t="n">
        <f aca="false">SQRT(($B335-CJ$270)^2+($C335-CJ$271)^2+($D335-CJ$272)^2)</f>
        <v>1.45026422771408</v>
      </c>
      <c r="CK335" s="17" t="n">
        <f aca="false">SQRT(($B335-CK$270)^2+($C335-CK$271)^2+($D335-CK$272)^2)</f>
        <v>1.88268250310638</v>
      </c>
      <c r="CL335" s="17" t="n">
        <f aca="false">SQRT(($B335-CL$270)^2+($C335-CL$271)^2+($D335-CL$272)^2)</f>
        <v>0.214063679146936</v>
      </c>
      <c r="CM335" s="17" t="n">
        <f aca="false">SQRT(($B335-CM$270)^2+($C335-CM$271)^2+($D335-CM$272)^2)</f>
        <v>4.1462938299243</v>
      </c>
      <c r="CN335" s="63" t="n">
        <f aca="false">MATCH(MIN(CI335:CM335),CI335:CM335,0)</f>
        <v>4</v>
      </c>
      <c r="CP335" s="17" t="n">
        <f aca="false">SQRT(($B335-CP$270)^2+($C335-CP$271)^2+($D335-CP$272)^2)</f>
        <v>6.68535594956988</v>
      </c>
      <c r="CQ335" s="17" t="n">
        <f aca="false">SQRT(($B335-CQ$270)^2+($C335-CQ$271)^2+($D335-CQ$272)^2)</f>
        <v>1.45026422771408</v>
      </c>
      <c r="CR335" s="17" t="n">
        <f aca="false">SQRT(($B335-CR$270)^2+($C335-CR$271)^2+($D335-CR$272)^2)</f>
        <v>1.88268250310638</v>
      </c>
      <c r="CS335" s="17" t="n">
        <f aca="false">SQRT(($B335-CS$270)^2+($C335-CS$271)^2+($D335-CS$272)^2)</f>
        <v>0.214063679146936</v>
      </c>
      <c r="CT335" s="17" t="n">
        <f aca="false">SQRT(($B335-CT$270)^2+($C335-CT$271)^2+($D335-CT$272)^2)</f>
        <v>4.1462938299243</v>
      </c>
      <c r="CU335" s="63" t="n">
        <f aca="false">MATCH(MIN(CP335:CT335),CP335:CT335,0)</f>
        <v>4</v>
      </c>
      <c r="CW335" s="17" t="n">
        <f aca="false">SQRT(($B335-CW$270)^2+($C335-CW$271)^2+($D335-CW$272)^2)</f>
        <v>6.68535594956988</v>
      </c>
      <c r="CX335" s="17" t="n">
        <f aca="false">SQRT(($B335-CX$270)^2+($C335-CX$271)^2+($D335-CX$272)^2)</f>
        <v>1.45026422771408</v>
      </c>
      <c r="CY335" s="17" t="n">
        <f aca="false">SQRT(($B335-CY$270)^2+($C335-CY$271)^2+($D335-CY$272)^2)</f>
        <v>1.88268250310638</v>
      </c>
      <c r="CZ335" s="17" t="n">
        <f aca="false">SQRT(($B335-CZ$270)^2+($C335-CZ$271)^2+($D335-CZ$272)^2)</f>
        <v>0.214063679146936</v>
      </c>
      <c r="DA335" s="17" t="n">
        <f aca="false">SQRT(($B335-DA$270)^2+($C335-DA$271)^2+($D335-DA$272)^2)</f>
        <v>4.1462938299243</v>
      </c>
      <c r="DB335" s="63" t="n">
        <f aca="false">MATCH(MIN(CW335:DA335),CW335:DA335,0)</f>
        <v>4</v>
      </c>
    </row>
    <row r="336" customFormat="false" ht="15" hidden="false" customHeight="false" outlineLevel="0" collapsed="false">
      <c r="A336" s="36" t="str">
        <f aca="false">KMeans_Data!A64</f>
        <v>Dadu</v>
      </c>
      <c r="B336" s="17" t="n">
        <f aca="false">KMeans_Data!H64</f>
        <v>-0.00359138496118499</v>
      </c>
      <c r="C336" s="17" t="n">
        <f aca="false">KMeans_Data!I64</f>
        <v>-0.672650545388274</v>
      </c>
      <c r="D336" s="17" t="n">
        <f aca="false">KMeans_Data!J64</f>
        <v>0.364128192341594</v>
      </c>
      <c r="E336" s="63" t="n">
        <f aca="false">DB336</f>
        <v>4</v>
      </c>
      <c r="F336" s="38" t="n">
        <f aca="false">($B336-INDEX($L$270:$P$270,E336))^2+($C336-INDEX($L$271:$P$271,E336))^2+($D336-INDEX($L$272:$P$272,E336))^2</f>
        <v>0.589152823821846</v>
      </c>
      <c r="G336" s="17" t="n">
        <f aca="false">IF(COUNTIF(Distance_Matrix!$E$11:$DQ$11,$E336)&lt;=1,0,SUMIF(Distance_Matrix!$E$11:$DQ$11,$E336,Distance_Matrix!$E$73:$DQ$73)/(COUNTIF(Distance_Matrix!$E$11:$DQ$11,$E336)-1))</f>
        <v>1.02128909765798</v>
      </c>
      <c r="H336" s="17" t="n">
        <f aca="false">MIN(IF(1=$E336,1E+099,IF(COUNTIF(Distance_Matrix!$E$11:$DQ$11,1)=0,1E+099,SUMIF(Distance_Matrix!$E$11:$DQ$11,1,Distance_Matrix!$E$73:$DQ$73)/COUNTIF(Distance_Matrix!$E$11:$DQ$11,1))),IF(2=$E336,1E+099,IF(COUNTIF(Distance_Matrix!$E$11:$DQ$11,2)=0,1E+099,SUMIF(Distance_Matrix!$E$11:$DQ$11,2,Distance_Matrix!$E$73:$DQ$73)/COUNTIF(Distance_Matrix!$E$11:$DQ$11,2))),IF(3=$E336,1E+099,IF(COUNTIF(Distance_Matrix!$E$11:$DQ$11,3)=0,1E+099,SUMIF(Distance_Matrix!$E$11:$DQ$11,3,Distance_Matrix!$E$73:$DQ$73)/COUNTIF(Distance_Matrix!$E$11:$DQ$11,3))),IF(4=$E336,1E+099,IF(COUNTIF(Distance_Matrix!$E$11:$DQ$11,4)=0,1E+099,SUMIF(Distance_Matrix!$E$11:$DQ$11,4,Distance_Matrix!$E$73:$DQ$73)/COUNTIF(Distance_Matrix!$E$11:$DQ$11,4))),IF(5=$E336,1E+099,IF(COUNTIF(Distance_Matrix!$E$11:$DQ$11,5)=0,1E+099,SUMIF(Distance_Matrix!$E$11:$DQ$11,5,Distance_Matrix!$E$73:$DQ$73)/COUNTIF(Distance_Matrix!$E$11:$DQ$11,5))))</f>
        <v>1.57999571013665</v>
      </c>
      <c r="I336" s="17" t="n">
        <f aca="false">IF(COUNTIF(Distance_Matrix!$E$11:$DQ$11,$E336)&lt;=1,0,(H336-G336)/MAX(G336,H336))</f>
        <v>0.353612740144936</v>
      </c>
      <c r="X336" s="17" t="n">
        <f aca="false">SQRT(($B336-X$270)^2+($C336-X$271)^2+($D336-X$272)^2)</f>
        <v>6.42548092998272</v>
      </c>
      <c r="Y336" s="17" t="n">
        <f aca="false">SQRT(($B336-Y$270)^2+($C336-Y$271)^2+($D336-Y$272)^2)</f>
        <v>2.56706001402801</v>
      </c>
      <c r="Z336" s="17" t="n">
        <f aca="false">SQRT(($B336-Z$270)^2+($C336-Z$271)^2+($D336-Z$272)^2)</f>
        <v>1.84734515584859</v>
      </c>
      <c r="AA336" s="17" t="n">
        <f aca="false">SQRT(($B336-AA$270)^2+($C336-AA$271)^2+($D336-AA$272)^2)</f>
        <v>1.72548050387342</v>
      </c>
      <c r="AB336" s="17" t="n">
        <f aca="false">SQRT(($B336-AB$270)^2+($C336-AB$271)^2+($D336-AB$272)^2)</f>
        <v>4.29451226585086</v>
      </c>
      <c r="AC336" s="63" t="n">
        <f aca="false">MATCH(MIN(X336:AB336),X336:AB336,0)</f>
        <v>4</v>
      </c>
      <c r="AE336" s="17" t="n">
        <f aca="false">SQRT(($B336-AE$270)^2+($C336-AE$271)^2+($D336-AE$272)^2)</f>
        <v>6.34004398263549</v>
      </c>
      <c r="AF336" s="17" t="n">
        <f aca="false">SQRT(($B336-AF$270)^2+($C336-AF$271)^2+($D336-AF$272)^2)</f>
        <v>1.79439680204606</v>
      </c>
      <c r="AG336" s="17" t="n">
        <f aca="false">SQRT(($B336-AG$270)^2+($C336-AG$271)^2+($D336-AG$272)^2)</f>
        <v>1.38265594867062</v>
      </c>
      <c r="AH336" s="17" t="n">
        <f aca="false">SQRT(($B336-AH$270)^2+($C336-AH$271)^2+($D336-AH$272)^2)</f>
        <v>0.898984968950394</v>
      </c>
      <c r="AI336" s="17" t="n">
        <f aca="false">SQRT(($B336-AI$270)^2+($C336-AI$271)^2+($D336-AI$272)^2)</f>
        <v>4.0908748182084</v>
      </c>
      <c r="AJ336" s="63" t="n">
        <f aca="false">MATCH(MIN(AE336:AI336),AE336:AI336,0)</f>
        <v>4</v>
      </c>
      <c r="AL336" s="17" t="n">
        <f aca="false">SQRT(($B336-AL$270)^2+($C336-AL$271)^2+($D336-AL$272)^2)</f>
        <v>6.34004398263549</v>
      </c>
      <c r="AM336" s="17" t="n">
        <f aca="false">SQRT(($B336-AM$270)^2+($C336-AM$271)^2+($D336-AM$272)^2)</f>
        <v>1.82531936748799</v>
      </c>
      <c r="AN336" s="17" t="n">
        <f aca="false">SQRT(($B336-AN$270)^2+($C336-AN$271)^2+($D336-AN$272)^2)</f>
        <v>1.46500711498003</v>
      </c>
      <c r="AO336" s="17" t="n">
        <f aca="false">SQRT(($B336-AO$270)^2+($C336-AO$271)^2+($D336-AO$272)^2)</f>
        <v>0.782394378092741</v>
      </c>
      <c r="AP336" s="17" t="n">
        <f aca="false">SQRT(($B336-AP$270)^2+($C336-AP$271)^2+($D336-AP$272)^2)</f>
        <v>3.82864323929515</v>
      </c>
      <c r="AQ336" s="63" t="n">
        <f aca="false">MATCH(MIN(AL336:AP336),AL336:AP336,0)</f>
        <v>4</v>
      </c>
      <c r="AS336" s="17" t="n">
        <f aca="false">SQRT(($B336-AS$270)^2+($C336-AS$271)^2+($D336-AS$272)^2)</f>
        <v>6.34004398263549</v>
      </c>
      <c r="AT336" s="17" t="n">
        <f aca="false">SQRT(($B336-AT$270)^2+($C336-AT$271)^2+($D336-AT$272)^2)</f>
        <v>1.92155985257306</v>
      </c>
      <c r="AU336" s="17" t="n">
        <f aca="false">SQRT(($B336-AU$270)^2+($C336-AU$271)^2+($D336-AU$272)^2)</f>
        <v>1.48807414454829</v>
      </c>
      <c r="AV336" s="17" t="n">
        <f aca="false">SQRT(($B336-AV$270)^2+($C336-AV$271)^2+($D336-AV$272)^2)</f>
        <v>0.767562911963473</v>
      </c>
      <c r="AW336" s="17" t="n">
        <f aca="false">SQRT(($B336-AW$270)^2+($C336-AW$271)^2+($D336-AW$272)^2)</f>
        <v>3.82864323929515</v>
      </c>
      <c r="AX336" s="63" t="n">
        <f aca="false">MATCH(MIN(AS336:AW336),AS336:AW336,0)</f>
        <v>4</v>
      </c>
      <c r="AZ336" s="17" t="n">
        <f aca="false">SQRT(($B336-AZ$270)^2+($C336-AZ$271)^2+($D336-AZ$272)^2)</f>
        <v>6.34004398263549</v>
      </c>
      <c r="BA336" s="17" t="n">
        <f aca="false">SQRT(($B336-BA$270)^2+($C336-BA$271)^2+($D336-BA$272)^2)</f>
        <v>1.92155985257306</v>
      </c>
      <c r="BB336" s="17" t="n">
        <f aca="false">SQRT(($B336-BB$270)^2+($C336-BB$271)^2+($D336-BB$272)^2)</f>
        <v>1.48807414454829</v>
      </c>
      <c r="BC336" s="17" t="n">
        <f aca="false">SQRT(($B336-BC$270)^2+($C336-BC$271)^2+($D336-BC$272)^2)</f>
        <v>0.767562911963473</v>
      </c>
      <c r="BD336" s="17" t="n">
        <f aca="false">SQRT(($B336-BD$270)^2+($C336-BD$271)^2+($D336-BD$272)^2)</f>
        <v>3.82864323929515</v>
      </c>
      <c r="BE336" s="63" t="n">
        <f aca="false">MATCH(MIN(AZ336:BD336),AZ336:BD336,0)</f>
        <v>4</v>
      </c>
      <c r="BG336" s="17" t="n">
        <f aca="false">SQRT(($B336-BG$270)^2+($C336-BG$271)^2+($D336-BG$272)^2)</f>
        <v>6.34004398263549</v>
      </c>
      <c r="BH336" s="17" t="n">
        <f aca="false">SQRT(($B336-BH$270)^2+($C336-BH$271)^2+($D336-BH$272)^2)</f>
        <v>1.92155985257306</v>
      </c>
      <c r="BI336" s="17" t="n">
        <f aca="false">SQRT(($B336-BI$270)^2+($C336-BI$271)^2+($D336-BI$272)^2)</f>
        <v>1.48807414454829</v>
      </c>
      <c r="BJ336" s="17" t="n">
        <f aca="false">SQRT(($B336-BJ$270)^2+($C336-BJ$271)^2+($D336-BJ$272)^2)</f>
        <v>0.767562911963473</v>
      </c>
      <c r="BK336" s="17" t="n">
        <f aca="false">SQRT(($B336-BK$270)^2+($C336-BK$271)^2+($D336-BK$272)^2)</f>
        <v>3.82864323929515</v>
      </c>
      <c r="BL336" s="63" t="n">
        <f aca="false">MATCH(MIN(BG336:BK336),BG336:BK336,0)</f>
        <v>4</v>
      </c>
      <c r="BN336" s="17" t="n">
        <f aca="false">SQRT(($B336-BN$270)^2+($C336-BN$271)^2+($D336-BN$272)^2)</f>
        <v>6.34004398263549</v>
      </c>
      <c r="BO336" s="17" t="n">
        <f aca="false">SQRT(($B336-BO$270)^2+($C336-BO$271)^2+($D336-BO$272)^2)</f>
        <v>1.92155985257306</v>
      </c>
      <c r="BP336" s="17" t="n">
        <f aca="false">SQRT(($B336-BP$270)^2+($C336-BP$271)^2+($D336-BP$272)^2)</f>
        <v>1.48807414454829</v>
      </c>
      <c r="BQ336" s="17" t="n">
        <f aca="false">SQRT(($B336-BQ$270)^2+($C336-BQ$271)^2+($D336-BQ$272)^2)</f>
        <v>0.767562911963473</v>
      </c>
      <c r="BR336" s="17" t="n">
        <f aca="false">SQRT(($B336-BR$270)^2+($C336-BR$271)^2+($D336-BR$272)^2)</f>
        <v>3.82864323929515</v>
      </c>
      <c r="BS336" s="63" t="n">
        <f aca="false">MATCH(MIN(BN336:BR336),BN336:BR336,0)</f>
        <v>4</v>
      </c>
      <c r="BU336" s="17" t="n">
        <f aca="false">SQRT(($B336-BU$270)^2+($C336-BU$271)^2+($D336-BU$272)^2)</f>
        <v>6.34004398263549</v>
      </c>
      <c r="BV336" s="17" t="n">
        <f aca="false">SQRT(($B336-BV$270)^2+($C336-BV$271)^2+($D336-BV$272)^2)</f>
        <v>1.92155985257306</v>
      </c>
      <c r="BW336" s="17" t="n">
        <f aca="false">SQRT(($B336-BW$270)^2+($C336-BW$271)^2+($D336-BW$272)^2)</f>
        <v>1.48807414454829</v>
      </c>
      <c r="BX336" s="17" t="n">
        <f aca="false">SQRT(($B336-BX$270)^2+($C336-BX$271)^2+($D336-BX$272)^2)</f>
        <v>0.767562911963473</v>
      </c>
      <c r="BY336" s="17" t="n">
        <f aca="false">SQRT(($B336-BY$270)^2+($C336-BY$271)^2+($D336-BY$272)^2)</f>
        <v>3.82864323929515</v>
      </c>
      <c r="BZ336" s="63" t="n">
        <f aca="false">MATCH(MIN(BU336:BY336),BU336:BY336,0)</f>
        <v>4</v>
      </c>
      <c r="CB336" s="17" t="n">
        <f aca="false">SQRT(($B336-CB$270)^2+($C336-CB$271)^2+($D336-CB$272)^2)</f>
        <v>6.34004398263549</v>
      </c>
      <c r="CC336" s="17" t="n">
        <f aca="false">SQRT(($B336-CC$270)^2+($C336-CC$271)^2+($D336-CC$272)^2)</f>
        <v>1.92155985257306</v>
      </c>
      <c r="CD336" s="17" t="n">
        <f aca="false">SQRT(($B336-CD$270)^2+($C336-CD$271)^2+($D336-CD$272)^2)</f>
        <v>1.48807414454829</v>
      </c>
      <c r="CE336" s="17" t="n">
        <f aca="false">SQRT(($B336-CE$270)^2+($C336-CE$271)^2+($D336-CE$272)^2)</f>
        <v>0.767562911963473</v>
      </c>
      <c r="CF336" s="17" t="n">
        <f aca="false">SQRT(($B336-CF$270)^2+($C336-CF$271)^2+($D336-CF$272)^2)</f>
        <v>3.82864323929515</v>
      </c>
      <c r="CG336" s="63" t="n">
        <f aca="false">MATCH(MIN(CB336:CF336),CB336:CF336,0)</f>
        <v>4</v>
      </c>
      <c r="CI336" s="17" t="n">
        <f aca="false">SQRT(($B336-CI$270)^2+($C336-CI$271)^2+($D336-CI$272)^2)</f>
        <v>6.34004398263549</v>
      </c>
      <c r="CJ336" s="17" t="n">
        <f aca="false">SQRT(($B336-CJ$270)^2+($C336-CJ$271)^2+($D336-CJ$272)^2)</f>
        <v>1.92155985257306</v>
      </c>
      <c r="CK336" s="17" t="n">
        <f aca="false">SQRT(($B336-CK$270)^2+($C336-CK$271)^2+($D336-CK$272)^2)</f>
        <v>1.48807414454829</v>
      </c>
      <c r="CL336" s="17" t="n">
        <f aca="false">SQRT(($B336-CL$270)^2+($C336-CL$271)^2+($D336-CL$272)^2)</f>
        <v>0.767562911963473</v>
      </c>
      <c r="CM336" s="17" t="n">
        <f aca="false">SQRT(($B336-CM$270)^2+($C336-CM$271)^2+($D336-CM$272)^2)</f>
        <v>3.82864323929515</v>
      </c>
      <c r="CN336" s="63" t="n">
        <f aca="false">MATCH(MIN(CI336:CM336),CI336:CM336,0)</f>
        <v>4</v>
      </c>
      <c r="CP336" s="17" t="n">
        <f aca="false">SQRT(($B336-CP$270)^2+($C336-CP$271)^2+($D336-CP$272)^2)</f>
        <v>6.34004398263549</v>
      </c>
      <c r="CQ336" s="17" t="n">
        <f aca="false">SQRT(($B336-CQ$270)^2+($C336-CQ$271)^2+($D336-CQ$272)^2)</f>
        <v>1.92155985257306</v>
      </c>
      <c r="CR336" s="17" t="n">
        <f aca="false">SQRT(($B336-CR$270)^2+($C336-CR$271)^2+($D336-CR$272)^2)</f>
        <v>1.48807414454829</v>
      </c>
      <c r="CS336" s="17" t="n">
        <f aca="false">SQRT(($B336-CS$270)^2+($C336-CS$271)^2+($D336-CS$272)^2)</f>
        <v>0.767562911963473</v>
      </c>
      <c r="CT336" s="17" t="n">
        <f aca="false">SQRT(($B336-CT$270)^2+($C336-CT$271)^2+($D336-CT$272)^2)</f>
        <v>3.82864323929515</v>
      </c>
      <c r="CU336" s="63" t="n">
        <f aca="false">MATCH(MIN(CP336:CT336),CP336:CT336,0)</f>
        <v>4</v>
      </c>
      <c r="CW336" s="17" t="n">
        <f aca="false">SQRT(($B336-CW$270)^2+($C336-CW$271)^2+($D336-CW$272)^2)</f>
        <v>6.34004398263549</v>
      </c>
      <c r="CX336" s="17" t="n">
        <f aca="false">SQRT(($B336-CX$270)^2+($C336-CX$271)^2+($D336-CX$272)^2)</f>
        <v>1.92155985257306</v>
      </c>
      <c r="CY336" s="17" t="n">
        <f aca="false">SQRT(($B336-CY$270)^2+($C336-CY$271)^2+($D336-CY$272)^2)</f>
        <v>1.48807414454829</v>
      </c>
      <c r="CZ336" s="17" t="n">
        <f aca="false">SQRT(($B336-CZ$270)^2+($C336-CZ$271)^2+($D336-CZ$272)^2)</f>
        <v>0.767562911963473</v>
      </c>
      <c r="DA336" s="17" t="n">
        <f aca="false">SQRT(($B336-DA$270)^2+($C336-DA$271)^2+($D336-DA$272)^2)</f>
        <v>3.82864323929515</v>
      </c>
      <c r="DB336" s="63" t="n">
        <f aca="false">MATCH(MIN(CW336:DA336),CW336:DA336,0)</f>
        <v>4</v>
      </c>
    </row>
    <row r="337" customFormat="false" ht="15" hidden="false" customHeight="false" outlineLevel="0" collapsed="false">
      <c r="A337" s="36" t="str">
        <f aca="false">KMeans_Data!A65</f>
        <v>Other</v>
      </c>
      <c r="B337" s="17" t="n">
        <f aca="false">KMeans_Data!H65</f>
        <v>-0.0333406256173151</v>
      </c>
      <c r="C337" s="17" t="n">
        <f aca="false">KMeans_Data!I65</f>
        <v>0.547911385844501</v>
      </c>
      <c r="D337" s="17" t="n">
        <f aca="false">KMeans_Data!J65</f>
        <v>0.501871845301586</v>
      </c>
      <c r="E337" s="63" t="n">
        <f aca="false">DB337</f>
        <v>3</v>
      </c>
      <c r="F337" s="38" t="n">
        <f aca="false">($B337-INDEX($L$270:$P$270,E337))^2+($C337-INDEX($L$271:$P$271,E337))^2+($D337-INDEX($L$272:$P$272,E337))^2</f>
        <v>0.553472532714254</v>
      </c>
      <c r="G337" s="17" t="n">
        <f aca="false">IF(COUNTIF(Distance_Matrix!$E$11:$DQ$11,$E337)&lt;=1,0,SUMIF(Distance_Matrix!$E$11:$DQ$11,$E337,Distance_Matrix!$E$74:$DQ$74)/(COUNTIF(Distance_Matrix!$E$11:$DQ$11,$E337)-1))</f>
        <v>1.03521014996002</v>
      </c>
      <c r="H337" s="17" t="n">
        <f aca="false">MIN(IF(1=$E337,1E+099,IF(COUNTIF(Distance_Matrix!$E$11:$DQ$11,1)=0,1E+099,SUMIF(Distance_Matrix!$E$11:$DQ$11,1,Distance_Matrix!$E$74:$DQ$74)/COUNTIF(Distance_Matrix!$E$11:$DQ$11,1))),IF(2=$E337,1E+099,IF(COUNTIF(Distance_Matrix!$E$11:$DQ$11,2)=0,1E+099,SUMIF(Distance_Matrix!$E$11:$DQ$11,2,Distance_Matrix!$E$74:$DQ$74)/COUNTIF(Distance_Matrix!$E$11:$DQ$11,2))),IF(3=$E337,1E+099,IF(COUNTIF(Distance_Matrix!$E$11:$DQ$11,3)=0,1E+099,SUMIF(Distance_Matrix!$E$11:$DQ$11,3,Distance_Matrix!$E$74:$DQ$74)/COUNTIF(Distance_Matrix!$E$11:$DQ$11,3))),IF(4=$E337,1E+099,IF(COUNTIF(Distance_Matrix!$E$11:$DQ$11,4)=0,1E+099,SUMIF(Distance_Matrix!$E$11:$DQ$11,4,Distance_Matrix!$E$74:$DQ$74)/COUNTIF(Distance_Matrix!$E$11:$DQ$11,4))),IF(5=$E337,1E+099,IF(COUNTIF(Distance_Matrix!$E$11:$DQ$11,5)=0,1E+099,SUMIF(Distance_Matrix!$E$11:$DQ$11,5,Distance_Matrix!$E$74:$DQ$74)/COUNTIF(Distance_Matrix!$E$11:$DQ$11,5))))</f>
        <v>1.52461190793659</v>
      </c>
      <c r="I337" s="17" t="n">
        <f aca="false">IF(COUNTIF(Distance_Matrix!$E$11:$DQ$11,$E337)&lt;=1,0,(H337-G337)/MAX(G337,H337))</f>
        <v>0.321000875979599</v>
      </c>
      <c r="X337" s="17" t="n">
        <f aca="false">SQRT(($B337-X$270)^2+($C337-X$271)^2+($D337-X$272)^2)</f>
        <v>5.54024690953817</v>
      </c>
      <c r="Y337" s="17" t="n">
        <f aca="false">SQRT(($B337-Y$270)^2+($C337-Y$271)^2+($D337-Y$272)^2)</f>
        <v>2.89686423762356</v>
      </c>
      <c r="Z337" s="17" t="n">
        <f aca="false">SQRT(($B337-Z$270)^2+($C337-Z$271)^2+($D337-Z$272)^2)</f>
        <v>1.45363127810799</v>
      </c>
      <c r="AA337" s="17" t="n">
        <f aca="false">SQRT(($B337-AA$270)^2+($C337-AA$271)^2+($D337-AA$272)^2)</f>
        <v>1.91265439138235</v>
      </c>
      <c r="AB337" s="17" t="n">
        <f aca="false">SQRT(($B337-AB$270)^2+($C337-AB$271)^2+($D337-AB$272)^2)</f>
        <v>3.50682462887929</v>
      </c>
      <c r="AC337" s="63" t="n">
        <f aca="false">MATCH(MIN(X337:AB337),X337:AB337,0)</f>
        <v>3</v>
      </c>
      <c r="AE337" s="17" t="n">
        <f aca="false">SQRT(($B337-AE$270)^2+($C337-AE$271)^2+($D337-AE$272)^2)</f>
        <v>5.43486645769861</v>
      </c>
      <c r="AF337" s="17" t="n">
        <f aca="false">SQRT(($B337-AF$270)^2+($C337-AF$271)^2+($D337-AF$272)^2)</f>
        <v>2.22889865183935</v>
      </c>
      <c r="AG337" s="17" t="n">
        <f aca="false">SQRT(($B337-AG$270)^2+($C337-AG$271)^2+($D337-AG$272)^2)</f>
        <v>0.677181906919325</v>
      </c>
      <c r="AH337" s="17" t="n">
        <f aca="false">SQRT(($B337-AH$270)^2+($C337-AH$271)^2+($D337-AH$272)^2)</f>
        <v>1.45198469011422</v>
      </c>
      <c r="AI337" s="17" t="n">
        <f aca="false">SQRT(($B337-AI$270)^2+($C337-AI$271)^2+($D337-AI$272)^2)</f>
        <v>3.18424915698614</v>
      </c>
      <c r="AJ337" s="63" t="n">
        <f aca="false">MATCH(MIN(AE337:AI337),AE337:AI337,0)</f>
        <v>3</v>
      </c>
      <c r="AL337" s="17" t="n">
        <f aca="false">SQRT(($B337-AL$270)^2+($C337-AL$271)^2+($D337-AL$272)^2)</f>
        <v>5.43486645769861</v>
      </c>
      <c r="AM337" s="17" t="n">
        <f aca="false">SQRT(($B337-AM$270)^2+($C337-AM$271)^2+($D337-AM$272)^2)</f>
        <v>2.25706016416191</v>
      </c>
      <c r="AN337" s="17" t="n">
        <f aca="false">SQRT(($B337-AN$270)^2+($C337-AN$271)^2+($D337-AN$272)^2)</f>
        <v>0.718789779456979</v>
      </c>
      <c r="AO337" s="17" t="n">
        <f aca="false">SQRT(($B337-AO$270)^2+($C337-AO$271)^2+($D337-AO$272)^2)</f>
        <v>1.39096396879133</v>
      </c>
      <c r="AP337" s="17" t="n">
        <f aca="false">SQRT(($B337-AP$270)^2+($C337-AP$271)^2+($D337-AP$272)^2)</f>
        <v>2.9088125928437</v>
      </c>
      <c r="AQ337" s="63" t="n">
        <f aca="false">MATCH(MIN(AL337:AP337),AL337:AP337,0)</f>
        <v>3</v>
      </c>
      <c r="AS337" s="17" t="n">
        <f aca="false">SQRT(($B337-AS$270)^2+($C337-AS$271)^2+($D337-AS$272)^2)</f>
        <v>5.43486645769861</v>
      </c>
      <c r="AT337" s="17" t="n">
        <f aca="false">SQRT(($B337-AT$270)^2+($C337-AT$271)^2+($D337-AT$272)^2)</f>
        <v>2.33902217949079</v>
      </c>
      <c r="AU337" s="17" t="n">
        <f aca="false">SQRT(($B337-AU$270)^2+($C337-AU$271)^2+($D337-AU$272)^2)</f>
        <v>0.743957346031514</v>
      </c>
      <c r="AV337" s="17" t="n">
        <f aca="false">SQRT(($B337-AV$270)^2+($C337-AV$271)^2+($D337-AV$272)^2)</f>
        <v>1.37595751560527</v>
      </c>
      <c r="AW337" s="17" t="n">
        <f aca="false">SQRT(($B337-AW$270)^2+($C337-AW$271)^2+($D337-AW$272)^2)</f>
        <v>2.9088125928437</v>
      </c>
      <c r="AX337" s="63" t="n">
        <f aca="false">MATCH(MIN(AS337:AW337),AS337:AW337,0)</f>
        <v>3</v>
      </c>
      <c r="AZ337" s="17" t="n">
        <f aca="false">SQRT(($B337-AZ$270)^2+($C337-AZ$271)^2+($D337-AZ$272)^2)</f>
        <v>5.43486645769861</v>
      </c>
      <c r="BA337" s="17" t="n">
        <f aca="false">SQRT(($B337-BA$270)^2+($C337-BA$271)^2+($D337-BA$272)^2)</f>
        <v>2.33902217949079</v>
      </c>
      <c r="BB337" s="17" t="n">
        <f aca="false">SQRT(($B337-BB$270)^2+($C337-BB$271)^2+($D337-BB$272)^2)</f>
        <v>0.743957346031514</v>
      </c>
      <c r="BC337" s="17" t="n">
        <f aca="false">SQRT(($B337-BC$270)^2+($C337-BC$271)^2+($D337-BC$272)^2)</f>
        <v>1.37595751560527</v>
      </c>
      <c r="BD337" s="17" t="n">
        <f aca="false">SQRT(($B337-BD$270)^2+($C337-BD$271)^2+($D337-BD$272)^2)</f>
        <v>2.9088125928437</v>
      </c>
      <c r="BE337" s="63" t="n">
        <f aca="false">MATCH(MIN(AZ337:BD337),AZ337:BD337,0)</f>
        <v>3</v>
      </c>
      <c r="BG337" s="17" t="n">
        <f aca="false">SQRT(($B337-BG$270)^2+($C337-BG$271)^2+($D337-BG$272)^2)</f>
        <v>5.43486645769861</v>
      </c>
      <c r="BH337" s="17" t="n">
        <f aca="false">SQRT(($B337-BH$270)^2+($C337-BH$271)^2+($D337-BH$272)^2)</f>
        <v>2.33902217949079</v>
      </c>
      <c r="BI337" s="17" t="n">
        <f aca="false">SQRT(($B337-BI$270)^2+($C337-BI$271)^2+($D337-BI$272)^2)</f>
        <v>0.743957346031514</v>
      </c>
      <c r="BJ337" s="17" t="n">
        <f aca="false">SQRT(($B337-BJ$270)^2+($C337-BJ$271)^2+($D337-BJ$272)^2)</f>
        <v>1.37595751560527</v>
      </c>
      <c r="BK337" s="17" t="n">
        <f aca="false">SQRT(($B337-BK$270)^2+($C337-BK$271)^2+($D337-BK$272)^2)</f>
        <v>2.9088125928437</v>
      </c>
      <c r="BL337" s="63" t="n">
        <f aca="false">MATCH(MIN(BG337:BK337),BG337:BK337,0)</f>
        <v>3</v>
      </c>
      <c r="BN337" s="17" t="n">
        <f aca="false">SQRT(($B337-BN$270)^2+($C337-BN$271)^2+($D337-BN$272)^2)</f>
        <v>5.43486645769861</v>
      </c>
      <c r="BO337" s="17" t="n">
        <f aca="false">SQRT(($B337-BO$270)^2+($C337-BO$271)^2+($D337-BO$272)^2)</f>
        <v>2.33902217949079</v>
      </c>
      <c r="BP337" s="17" t="n">
        <f aca="false">SQRT(($B337-BP$270)^2+($C337-BP$271)^2+($D337-BP$272)^2)</f>
        <v>0.743957346031514</v>
      </c>
      <c r="BQ337" s="17" t="n">
        <f aca="false">SQRT(($B337-BQ$270)^2+($C337-BQ$271)^2+($D337-BQ$272)^2)</f>
        <v>1.37595751560527</v>
      </c>
      <c r="BR337" s="17" t="n">
        <f aca="false">SQRT(($B337-BR$270)^2+($C337-BR$271)^2+($D337-BR$272)^2)</f>
        <v>2.9088125928437</v>
      </c>
      <c r="BS337" s="63" t="n">
        <f aca="false">MATCH(MIN(BN337:BR337),BN337:BR337,0)</f>
        <v>3</v>
      </c>
      <c r="BU337" s="17" t="n">
        <f aca="false">SQRT(($B337-BU$270)^2+($C337-BU$271)^2+($D337-BU$272)^2)</f>
        <v>5.43486645769861</v>
      </c>
      <c r="BV337" s="17" t="n">
        <f aca="false">SQRT(($B337-BV$270)^2+($C337-BV$271)^2+($D337-BV$272)^2)</f>
        <v>2.33902217949079</v>
      </c>
      <c r="BW337" s="17" t="n">
        <f aca="false">SQRT(($B337-BW$270)^2+($C337-BW$271)^2+($D337-BW$272)^2)</f>
        <v>0.743957346031514</v>
      </c>
      <c r="BX337" s="17" t="n">
        <f aca="false">SQRT(($B337-BX$270)^2+($C337-BX$271)^2+($D337-BX$272)^2)</f>
        <v>1.37595751560527</v>
      </c>
      <c r="BY337" s="17" t="n">
        <f aca="false">SQRT(($B337-BY$270)^2+($C337-BY$271)^2+($D337-BY$272)^2)</f>
        <v>2.9088125928437</v>
      </c>
      <c r="BZ337" s="63" t="n">
        <f aca="false">MATCH(MIN(BU337:BY337),BU337:BY337,0)</f>
        <v>3</v>
      </c>
      <c r="CB337" s="17" t="n">
        <f aca="false">SQRT(($B337-CB$270)^2+($C337-CB$271)^2+($D337-CB$272)^2)</f>
        <v>5.43486645769861</v>
      </c>
      <c r="CC337" s="17" t="n">
        <f aca="false">SQRT(($B337-CC$270)^2+($C337-CC$271)^2+($D337-CC$272)^2)</f>
        <v>2.33902217949079</v>
      </c>
      <c r="CD337" s="17" t="n">
        <f aca="false">SQRT(($B337-CD$270)^2+($C337-CD$271)^2+($D337-CD$272)^2)</f>
        <v>0.743957346031514</v>
      </c>
      <c r="CE337" s="17" t="n">
        <f aca="false">SQRT(($B337-CE$270)^2+($C337-CE$271)^2+($D337-CE$272)^2)</f>
        <v>1.37595751560527</v>
      </c>
      <c r="CF337" s="17" t="n">
        <f aca="false">SQRT(($B337-CF$270)^2+($C337-CF$271)^2+($D337-CF$272)^2)</f>
        <v>2.9088125928437</v>
      </c>
      <c r="CG337" s="63" t="n">
        <f aca="false">MATCH(MIN(CB337:CF337),CB337:CF337,0)</f>
        <v>3</v>
      </c>
      <c r="CI337" s="17" t="n">
        <f aca="false">SQRT(($B337-CI$270)^2+($C337-CI$271)^2+($D337-CI$272)^2)</f>
        <v>5.43486645769861</v>
      </c>
      <c r="CJ337" s="17" t="n">
        <f aca="false">SQRT(($B337-CJ$270)^2+($C337-CJ$271)^2+($D337-CJ$272)^2)</f>
        <v>2.33902217949079</v>
      </c>
      <c r="CK337" s="17" t="n">
        <f aca="false">SQRT(($B337-CK$270)^2+($C337-CK$271)^2+($D337-CK$272)^2)</f>
        <v>0.743957346031514</v>
      </c>
      <c r="CL337" s="17" t="n">
        <f aca="false">SQRT(($B337-CL$270)^2+($C337-CL$271)^2+($D337-CL$272)^2)</f>
        <v>1.37595751560527</v>
      </c>
      <c r="CM337" s="17" t="n">
        <f aca="false">SQRT(($B337-CM$270)^2+($C337-CM$271)^2+($D337-CM$272)^2)</f>
        <v>2.9088125928437</v>
      </c>
      <c r="CN337" s="63" t="n">
        <f aca="false">MATCH(MIN(CI337:CM337),CI337:CM337,0)</f>
        <v>3</v>
      </c>
      <c r="CP337" s="17" t="n">
        <f aca="false">SQRT(($B337-CP$270)^2+($C337-CP$271)^2+($D337-CP$272)^2)</f>
        <v>5.43486645769861</v>
      </c>
      <c r="CQ337" s="17" t="n">
        <f aca="false">SQRT(($B337-CQ$270)^2+($C337-CQ$271)^2+($D337-CQ$272)^2)</f>
        <v>2.33902217949079</v>
      </c>
      <c r="CR337" s="17" t="n">
        <f aca="false">SQRT(($B337-CR$270)^2+($C337-CR$271)^2+($D337-CR$272)^2)</f>
        <v>0.743957346031514</v>
      </c>
      <c r="CS337" s="17" t="n">
        <f aca="false">SQRT(($B337-CS$270)^2+($C337-CS$271)^2+($D337-CS$272)^2)</f>
        <v>1.37595751560527</v>
      </c>
      <c r="CT337" s="17" t="n">
        <f aca="false">SQRT(($B337-CT$270)^2+($C337-CT$271)^2+($D337-CT$272)^2)</f>
        <v>2.9088125928437</v>
      </c>
      <c r="CU337" s="63" t="n">
        <f aca="false">MATCH(MIN(CP337:CT337),CP337:CT337,0)</f>
        <v>3</v>
      </c>
      <c r="CW337" s="17" t="n">
        <f aca="false">SQRT(($B337-CW$270)^2+($C337-CW$271)^2+($D337-CW$272)^2)</f>
        <v>5.43486645769861</v>
      </c>
      <c r="CX337" s="17" t="n">
        <f aca="false">SQRT(($B337-CX$270)^2+($C337-CX$271)^2+($D337-CX$272)^2)</f>
        <v>2.33902217949079</v>
      </c>
      <c r="CY337" s="17" t="n">
        <f aca="false">SQRT(($B337-CY$270)^2+($C337-CY$271)^2+($D337-CY$272)^2)</f>
        <v>0.743957346031514</v>
      </c>
      <c r="CZ337" s="17" t="n">
        <f aca="false">SQRT(($B337-CZ$270)^2+($C337-CZ$271)^2+($D337-CZ$272)^2)</f>
        <v>1.37595751560527</v>
      </c>
      <c r="DA337" s="17" t="n">
        <f aca="false">SQRT(($B337-DA$270)^2+($C337-DA$271)^2+($D337-DA$272)^2)</f>
        <v>2.9088125928437</v>
      </c>
      <c r="DB337" s="63" t="n">
        <f aca="false">MATCH(MIN(CW337:DA337),CW337:DA337,0)</f>
        <v>3</v>
      </c>
    </row>
    <row r="338" customFormat="false" ht="15" hidden="false" customHeight="false" outlineLevel="0" collapsed="false">
      <c r="A338" s="36" t="str">
        <f aca="false">KMeans_Data!A66</f>
        <v>Thatta</v>
      </c>
      <c r="B338" s="17" t="n">
        <f aca="false">KMeans_Data!H66</f>
        <v>-0.0436472993942904</v>
      </c>
      <c r="C338" s="17" t="n">
        <f aca="false">KMeans_Data!I66</f>
        <v>0.160512589624996</v>
      </c>
      <c r="D338" s="17" t="n">
        <f aca="false">KMeans_Data!J66</f>
        <v>0.042930091906806</v>
      </c>
      <c r="E338" s="63" t="n">
        <f aca="false">DB338</f>
        <v>4</v>
      </c>
      <c r="F338" s="38" t="n">
        <f aca="false">($B338-INDEX($L$270:$P$270,E338))^2+($C338-INDEX($L$271:$P$271,E338))^2+($D338-INDEX($L$272:$P$272,E338))^2</f>
        <v>0.628984664107423</v>
      </c>
      <c r="G338" s="17" t="n">
        <f aca="false">IF(COUNTIF(Distance_Matrix!$E$11:$DQ$11,$E338)&lt;=1,0,SUMIF(Distance_Matrix!$E$11:$DQ$11,$E338,Distance_Matrix!$E$75:$DQ$75)/(COUNTIF(Distance_Matrix!$E$11:$DQ$11,$E338)-1))</f>
        <v>1.07866651589323</v>
      </c>
      <c r="H338" s="17" t="n">
        <f aca="false">MIN(IF(1=$E338,1E+099,IF(COUNTIF(Distance_Matrix!$E$11:$DQ$11,1)=0,1E+099,SUMIF(Distance_Matrix!$E$11:$DQ$11,1,Distance_Matrix!$E$75:$DQ$75)/COUNTIF(Distance_Matrix!$E$11:$DQ$11,1))),IF(2=$E338,1E+099,IF(COUNTIF(Distance_Matrix!$E$11:$DQ$11,2)=0,1E+099,SUMIF(Distance_Matrix!$E$11:$DQ$11,2,Distance_Matrix!$E$75:$DQ$75)/COUNTIF(Distance_Matrix!$E$11:$DQ$11,2))),IF(3=$E338,1E+099,IF(COUNTIF(Distance_Matrix!$E$11:$DQ$11,3)=0,1E+099,SUMIF(Distance_Matrix!$E$11:$DQ$11,3,Distance_Matrix!$E$75:$DQ$75)/COUNTIF(Distance_Matrix!$E$11:$DQ$11,3))),IF(4=$E338,1E+099,IF(COUNTIF(Distance_Matrix!$E$11:$DQ$11,4)=0,1E+099,SUMIF(Distance_Matrix!$E$11:$DQ$11,4,Distance_Matrix!$E$75:$DQ$75)/COUNTIF(Distance_Matrix!$E$11:$DQ$11,4))),IF(5=$E338,1E+099,IF(COUNTIF(Distance_Matrix!$E$11:$DQ$11,5)=0,1E+099,SUMIF(Distance_Matrix!$E$11:$DQ$11,5,Distance_Matrix!$E$75:$DQ$75)/COUNTIF(Distance_Matrix!$E$11:$DQ$11,5))))</f>
        <v>1.29055345460202</v>
      </c>
      <c r="I338" s="17" t="n">
        <f aca="false">IF(COUNTIF(Distance_Matrix!$E$11:$DQ$11,$E338)&lt;=1,0,(H338-G338)/MAX(G338,H338))</f>
        <v>0.164183000675578</v>
      </c>
      <c r="X338" s="17" t="n">
        <f aca="false">SQRT(($B338-X$270)^2+($C338-X$271)^2+($D338-X$272)^2)</f>
        <v>6.02934929788541</v>
      </c>
      <c r="Y338" s="17" t="n">
        <f aca="false">SQRT(($B338-Y$270)^2+($C338-Y$271)^2+($D338-Y$272)^2)</f>
        <v>2.50050689361822</v>
      </c>
      <c r="Z338" s="17" t="n">
        <f aca="false">SQRT(($B338-Z$270)^2+($C338-Z$271)^2+($D338-Z$272)^2)</f>
        <v>1.80383182415036</v>
      </c>
      <c r="AA338" s="17" t="n">
        <f aca="false">SQRT(($B338-AA$270)^2+($C338-AA$271)^2+($D338-AA$272)^2)</f>
        <v>1.40798608818062</v>
      </c>
      <c r="AB338" s="17" t="n">
        <f aca="false">SQRT(($B338-AB$270)^2+($C338-AB$271)^2+($D338-AB$272)^2)</f>
        <v>3.97214289695555</v>
      </c>
      <c r="AC338" s="63" t="n">
        <f aca="false">MATCH(MIN(X338:AB338),X338:AB338,0)</f>
        <v>4</v>
      </c>
      <c r="AE338" s="17" t="n">
        <f aca="false">SQRT(($B338-AE$270)^2+($C338-AE$271)^2+($D338-AE$272)^2)</f>
        <v>5.9143337751892</v>
      </c>
      <c r="AF338" s="17" t="n">
        <f aca="false">SQRT(($B338-AF$270)^2+($C338-AF$271)^2+($D338-AF$272)^2)</f>
        <v>1.74747905214206</v>
      </c>
      <c r="AG338" s="17" t="n">
        <f aca="false">SQRT(($B338-AG$270)^2+($C338-AG$271)^2+($D338-AG$272)^2)</f>
        <v>1.05367496626745</v>
      </c>
      <c r="AH338" s="17" t="n">
        <f aca="false">SQRT(($B338-AH$270)^2+($C338-AH$271)^2+($D338-AH$272)^2)</f>
        <v>0.855885850340562</v>
      </c>
      <c r="AI338" s="17" t="n">
        <f aca="false">SQRT(($B338-AI$270)^2+($C338-AI$271)^2+($D338-AI$272)^2)</f>
        <v>3.64234771301703</v>
      </c>
      <c r="AJ338" s="63" t="n">
        <f aca="false">MATCH(MIN(AE338:AI338),AE338:AI338,0)</f>
        <v>4</v>
      </c>
      <c r="AL338" s="17" t="n">
        <f aca="false">SQRT(($B338-AL$270)^2+($C338-AL$271)^2+($D338-AL$272)^2)</f>
        <v>5.9143337751892</v>
      </c>
      <c r="AM338" s="17" t="n">
        <f aca="false">SQRT(($B338-AM$270)^2+($C338-AM$271)^2+($D338-AM$272)^2)</f>
        <v>1.77029550176943</v>
      </c>
      <c r="AN338" s="17" t="n">
        <f aca="false">SQRT(($B338-AN$270)^2+($C338-AN$271)^2+($D338-AN$272)^2)</f>
        <v>1.10672775753623</v>
      </c>
      <c r="AO338" s="17" t="n">
        <f aca="false">SQRT(($B338-AO$270)^2+($C338-AO$271)^2+($D338-AO$272)^2)</f>
        <v>0.804832255107869</v>
      </c>
      <c r="AP338" s="17" t="n">
        <f aca="false">SQRT(($B338-AP$270)^2+($C338-AP$271)^2+($D338-AP$272)^2)</f>
        <v>3.36914783441749</v>
      </c>
      <c r="AQ338" s="63" t="n">
        <f aca="false">MATCH(MIN(AL338:AP338),AL338:AP338,0)</f>
        <v>4</v>
      </c>
      <c r="AS338" s="17" t="n">
        <f aca="false">SQRT(($B338-AS$270)^2+($C338-AS$271)^2+($D338-AS$272)^2)</f>
        <v>5.9143337751892</v>
      </c>
      <c r="AT338" s="17" t="n">
        <f aca="false">SQRT(($B338-AT$270)^2+($C338-AT$271)^2+($D338-AT$272)^2)</f>
        <v>1.85213886815637</v>
      </c>
      <c r="AU338" s="17" t="n">
        <f aca="false">SQRT(($B338-AU$270)^2+($C338-AU$271)^2+($D338-AU$272)^2)</f>
        <v>1.13389584827504</v>
      </c>
      <c r="AV338" s="17" t="n">
        <f aca="false">SQRT(($B338-AV$270)^2+($C338-AV$271)^2+($D338-AV$272)^2)</f>
        <v>0.793085533916376</v>
      </c>
      <c r="AW338" s="17" t="n">
        <f aca="false">SQRT(($B338-AW$270)^2+($C338-AW$271)^2+($D338-AW$272)^2)</f>
        <v>3.36914783441749</v>
      </c>
      <c r="AX338" s="63" t="n">
        <f aca="false">MATCH(MIN(AS338:AW338),AS338:AW338,0)</f>
        <v>4</v>
      </c>
      <c r="AZ338" s="17" t="n">
        <f aca="false">SQRT(($B338-AZ$270)^2+($C338-AZ$271)^2+($D338-AZ$272)^2)</f>
        <v>5.9143337751892</v>
      </c>
      <c r="BA338" s="17" t="n">
        <f aca="false">SQRT(($B338-BA$270)^2+($C338-BA$271)^2+($D338-BA$272)^2)</f>
        <v>1.85213886815637</v>
      </c>
      <c r="BB338" s="17" t="n">
        <f aca="false">SQRT(($B338-BB$270)^2+($C338-BB$271)^2+($D338-BB$272)^2)</f>
        <v>1.13389584827504</v>
      </c>
      <c r="BC338" s="17" t="n">
        <f aca="false">SQRT(($B338-BC$270)^2+($C338-BC$271)^2+($D338-BC$272)^2)</f>
        <v>0.793085533916376</v>
      </c>
      <c r="BD338" s="17" t="n">
        <f aca="false">SQRT(($B338-BD$270)^2+($C338-BD$271)^2+($D338-BD$272)^2)</f>
        <v>3.36914783441749</v>
      </c>
      <c r="BE338" s="63" t="n">
        <f aca="false">MATCH(MIN(AZ338:BD338),AZ338:BD338,0)</f>
        <v>4</v>
      </c>
      <c r="BG338" s="17" t="n">
        <f aca="false">SQRT(($B338-BG$270)^2+($C338-BG$271)^2+($D338-BG$272)^2)</f>
        <v>5.9143337751892</v>
      </c>
      <c r="BH338" s="17" t="n">
        <f aca="false">SQRT(($B338-BH$270)^2+($C338-BH$271)^2+($D338-BH$272)^2)</f>
        <v>1.85213886815637</v>
      </c>
      <c r="BI338" s="17" t="n">
        <f aca="false">SQRT(($B338-BI$270)^2+($C338-BI$271)^2+($D338-BI$272)^2)</f>
        <v>1.13389584827504</v>
      </c>
      <c r="BJ338" s="17" t="n">
        <f aca="false">SQRT(($B338-BJ$270)^2+($C338-BJ$271)^2+($D338-BJ$272)^2)</f>
        <v>0.793085533916376</v>
      </c>
      <c r="BK338" s="17" t="n">
        <f aca="false">SQRT(($B338-BK$270)^2+($C338-BK$271)^2+($D338-BK$272)^2)</f>
        <v>3.36914783441749</v>
      </c>
      <c r="BL338" s="63" t="n">
        <f aca="false">MATCH(MIN(BG338:BK338),BG338:BK338,0)</f>
        <v>4</v>
      </c>
      <c r="BN338" s="17" t="n">
        <f aca="false">SQRT(($B338-BN$270)^2+($C338-BN$271)^2+($D338-BN$272)^2)</f>
        <v>5.9143337751892</v>
      </c>
      <c r="BO338" s="17" t="n">
        <f aca="false">SQRT(($B338-BO$270)^2+($C338-BO$271)^2+($D338-BO$272)^2)</f>
        <v>1.85213886815637</v>
      </c>
      <c r="BP338" s="17" t="n">
        <f aca="false">SQRT(($B338-BP$270)^2+($C338-BP$271)^2+($D338-BP$272)^2)</f>
        <v>1.13389584827504</v>
      </c>
      <c r="BQ338" s="17" t="n">
        <f aca="false">SQRT(($B338-BQ$270)^2+($C338-BQ$271)^2+($D338-BQ$272)^2)</f>
        <v>0.793085533916376</v>
      </c>
      <c r="BR338" s="17" t="n">
        <f aca="false">SQRT(($B338-BR$270)^2+($C338-BR$271)^2+($D338-BR$272)^2)</f>
        <v>3.36914783441749</v>
      </c>
      <c r="BS338" s="63" t="n">
        <f aca="false">MATCH(MIN(BN338:BR338),BN338:BR338,0)</f>
        <v>4</v>
      </c>
      <c r="BU338" s="17" t="n">
        <f aca="false">SQRT(($B338-BU$270)^2+($C338-BU$271)^2+($D338-BU$272)^2)</f>
        <v>5.9143337751892</v>
      </c>
      <c r="BV338" s="17" t="n">
        <f aca="false">SQRT(($B338-BV$270)^2+($C338-BV$271)^2+($D338-BV$272)^2)</f>
        <v>1.85213886815637</v>
      </c>
      <c r="BW338" s="17" t="n">
        <f aca="false">SQRT(($B338-BW$270)^2+($C338-BW$271)^2+($D338-BW$272)^2)</f>
        <v>1.13389584827504</v>
      </c>
      <c r="BX338" s="17" t="n">
        <f aca="false">SQRT(($B338-BX$270)^2+($C338-BX$271)^2+($D338-BX$272)^2)</f>
        <v>0.793085533916376</v>
      </c>
      <c r="BY338" s="17" t="n">
        <f aca="false">SQRT(($B338-BY$270)^2+($C338-BY$271)^2+($D338-BY$272)^2)</f>
        <v>3.36914783441749</v>
      </c>
      <c r="BZ338" s="63" t="n">
        <f aca="false">MATCH(MIN(BU338:BY338),BU338:BY338,0)</f>
        <v>4</v>
      </c>
      <c r="CB338" s="17" t="n">
        <f aca="false">SQRT(($B338-CB$270)^2+($C338-CB$271)^2+($D338-CB$272)^2)</f>
        <v>5.9143337751892</v>
      </c>
      <c r="CC338" s="17" t="n">
        <f aca="false">SQRT(($B338-CC$270)^2+($C338-CC$271)^2+($D338-CC$272)^2)</f>
        <v>1.85213886815637</v>
      </c>
      <c r="CD338" s="17" t="n">
        <f aca="false">SQRT(($B338-CD$270)^2+($C338-CD$271)^2+($D338-CD$272)^2)</f>
        <v>1.13389584827504</v>
      </c>
      <c r="CE338" s="17" t="n">
        <f aca="false">SQRT(($B338-CE$270)^2+($C338-CE$271)^2+($D338-CE$272)^2)</f>
        <v>0.793085533916376</v>
      </c>
      <c r="CF338" s="17" t="n">
        <f aca="false">SQRT(($B338-CF$270)^2+($C338-CF$271)^2+($D338-CF$272)^2)</f>
        <v>3.36914783441749</v>
      </c>
      <c r="CG338" s="63" t="n">
        <f aca="false">MATCH(MIN(CB338:CF338),CB338:CF338,0)</f>
        <v>4</v>
      </c>
      <c r="CI338" s="17" t="n">
        <f aca="false">SQRT(($B338-CI$270)^2+($C338-CI$271)^2+($D338-CI$272)^2)</f>
        <v>5.9143337751892</v>
      </c>
      <c r="CJ338" s="17" t="n">
        <f aca="false">SQRT(($B338-CJ$270)^2+($C338-CJ$271)^2+($D338-CJ$272)^2)</f>
        <v>1.85213886815637</v>
      </c>
      <c r="CK338" s="17" t="n">
        <f aca="false">SQRT(($B338-CK$270)^2+($C338-CK$271)^2+($D338-CK$272)^2)</f>
        <v>1.13389584827504</v>
      </c>
      <c r="CL338" s="17" t="n">
        <f aca="false">SQRT(($B338-CL$270)^2+($C338-CL$271)^2+($D338-CL$272)^2)</f>
        <v>0.793085533916376</v>
      </c>
      <c r="CM338" s="17" t="n">
        <f aca="false">SQRT(($B338-CM$270)^2+($C338-CM$271)^2+($D338-CM$272)^2)</f>
        <v>3.36914783441749</v>
      </c>
      <c r="CN338" s="63" t="n">
        <f aca="false">MATCH(MIN(CI338:CM338),CI338:CM338,0)</f>
        <v>4</v>
      </c>
      <c r="CP338" s="17" t="n">
        <f aca="false">SQRT(($B338-CP$270)^2+($C338-CP$271)^2+($D338-CP$272)^2)</f>
        <v>5.9143337751892</v>
      </c>
      <c r="CQ338" s="17" t="n">
        <f aca="false">SQRT(($B338-CQ$270)^2+($C338-CQ$271)^2+($D338-CQ$272)^2)</f>
        <v>1.85213886815637</v>
      </c>
      <c r="CR338" s="17" t="n">
        <f aca="false">SQRT(($B338-CR$270)^2+($C338-CR$271)^2+($D338-CR$272)^2)</f>
        <v>1.13389584827504</v>
      </c>
      <c r="CS338" s="17" t="n">
        <f aca="false">SQRT(($B338-CS$270)^2+($C338-CS$271)^2+($D338-CS$272)^2)</f>
        <v>0.793085533916376</v>
      </c>
      <c r="CT338" s="17" t="n">
        <f aca="false">SQRT(($B338-CT$270)^2+($C338-CT$271)^2+($D338-CT$272)^2)</f>
        <v>3.36914783441749</v>
      </c>
      <c r="CU338" s="63" t="n">
        <f aca="false">MATCH(MIN(CP338:CT338),CP338:CT338,0)</f>
        <v>4</v>
      </c>
      <c r="CW338" s="17" t="n">
        <f aca="false">SQRT(($B338-CW$270)^2+($C338-CW$271)^2+($D338-CW$272)^2)</f>
        <v>5.9143337751892</v>
      </c>
      <c r="CX338" s="17" t="n">
        <f aca="false">SQRT(($B338-CX$270)^2+($C338-CX$271)^2+($D338-CX$272)^2)</f>
        <v>1.85213886815637</v>
      </c>
      <c r="CY338" s="17" t="n">
        <f aca="false">SQRT(($B338-CY$270)^2+($C338-CY$271)^2+($D338-CY$272)^2)</f>
        <v>1.13389584827504</v>
      </c>
      <c r="CZ338" s="17" t="n">
        <f aca="false">SQRT(($B338-CZ$270)^2+($C338-CZ$271)^2+($D338-CZ$272)^2)</f>
        <v>0.793085533916376</v>
      </c>
      <c r="DA338" s="17" t="n">
        <f aca="false">SQRT(($B338-DA$270)^2+($C338-DA$271)^2+($D338-DA$272)^2)</f>
        <v>3.36914783441749</v>
      </c>
      <c r="DB338" s="63" t="n">
        <f aca="false">MATCH(MIN(CW338:DA338),CW338:DA338,0)</f>
        <v>4</v>
      </c>
    </row>
    <row r="339" customFormat="false" ht="15" hidden="false" customHeight="false" outlineLevel="0" collapsed="false">
      <c r="A339" s="36" t="str">
        <f aca="false">KMeans_Data!A67</f>
        <v>Hafizabad</v>
      </c>
      <c r="B339" s="17" t="n">
        <f aca="false">KMeans_Data!H67</f>
        <v>-0.0648939235999031</v>
      </c>
      <c r="C339" s="17" t="n">
        <f aca="false">KMeans_Data!I67</f>
        <v>-0.672650545388274</v>
      </c>
      <c r="D339" s="17" t="n">
        <f aca="false">KMeans_Data!J67</f>
        <v>-0.824446015898766</v>
      </c>
      <c r="E339" s="63" t="n">
        <f aca="false">DB339</f>
        <v>4</v>
      </c>
      <c r="F339" s="38" t="n">
        <f aca="false">($B339-INDEX($L$270:$P$270,E339))^2+($C339-INDEX($L$271:$P$271,E339))^2+($D339-INDEX($L$272:$P$272,E339))^2</f>
        <v>0.233083439994348</v>
      </c>
      <c r="G339" s="17" t="n">
        <f aca="false">IF(COUNTIF(Distance_Matrix!$E$11:$DQ$11,$E339)&lt;=1,0,SUMIF(Distance_Matrix!$E$11:$DQ$11,$E339,Distance_Matrix!$E$76:$DQ$76)/(COUNTIF(Distance_Matrix!$E$11:$DQ$11,$E339)-1))</f>
        <v>0.847154507347069</v>
      </c>
      <c r="H339" s="17" t="n">
        <f aca="false">MIN(IF(1=$E339,1E+099,IF(COUNTIF(Distance_Matrix!$E$11:$DQ$11,1)=0,1E+099,SUMIF(Distance_Matrix!$E$11:$DQ$11,1,Distance_Matrix!$E$76:$DQ$76)/COUNTIF(Distance_Matrix!$E$11:$DQ$11,1))),IF(2=$E339,1E+099,IF(COUNTIF(Distance_Matrix!$E$11:$DQ$11,2)=0,1E+099,SUMIF(Distance_Matrix!$E$11:$DQ$11,2,Distance_Matrix!$E$76:$DQ$76)/COUNTIF(Distance_Matrix!$E$11:$DQ$11,2))),IF(3=$E339,1E+099,IF(COUNTIF(Distance_Matrix!$E$11:$DQ$11,3)=0,1E+099,SUMIF(Distance_Matrix!$E$11:$DQ$11,3,Distance_Matrix!$E$76:$DQ$76)/COUNTIF(Distance_Matrix!$E$11:$DQ$11,3))),IF(4=$E339,1E+099,IF(COUNTIF(Distance_Matrix!$E$11:$DQ$11,4)=0,1E+099,SUMIF(Distance_Matrix!$E$11:$DQ$11,4,Distance_Matrix!$E$76:$DQ$76)/COUNTIF(Distance_Matrix!$E$11:$DQ$11,4))),IF(5=$E339,1E+099,IF(COUNTIF(Distance_Matrix!$E$11:$DQ$11,5)=0,1E+099,SUMIF(Distance_Matrix!$E$11:$DQ$11,5,Distance_Matrix!$E$76:$DQ$76)/COUNTIF(Distance_Matrix!$E$11:$DQ$11,5))))</f>
        <v>1.26033087843238</v>
      </c>
      <c r="I339" s="17" t="n">
        <f aca="false">IF(COUNTIF(Distance_Matrix!$E$11:$DQ$11,$E339)&lt;=1,0,(H339-G339)/MAX(G339,H339))</f>
        <v>0.32783166560136</v>
      </c>
      <c r="X339" s="17" t="n">
        <f aca="false">SQRT(($B339-X$270)^2+($C339-X$271)^2+($D339-X$272)^2)</f>
        <v>7.06907020065435</v>
      </c>
      <c r="Y339" s="17" t="n">
        <f aca="false">SQRT(($B339-Y$270)^2+($C339-Y$271)^2+($D339-Y$272)^2)</f>
        <v>2.04028546987929</v>
      </c>
      <c r="Z339" s="17" t="n">
        <f aca="false">SQRT(($B339-Z$270)^2+($C339-Z$271)^2+($D339-Z$272)^2)</f>
        <v>2.75437055778799</v>
      </c>
      <c r="AA339" s="17" t="n">
        <f aca="false">SQRT(($B339-AA$270)^2+($C339-AA$271)^2+($D339-AA$272)^2)</f>
        <v>0.940425373676004</v>
      </c>
      <c r="AB339" s="17" t="n">
        <f aca="false">SQRT(($B339-AB$270)^2+($C339-AB$271)^2+($D339-AB$272)^2)</f>
        <v>4.99234421031922</v>
      </c>
      <c r="AC339" s="63" t="n">
        <f aca="false">MATCH(MIN(X339:AB339),X339:AB339,0)</f>
        <v>4</v>
      </c>
      <c r="AE339" s="17" t="n">
        <f aca="false">SQRT(($B339-AE$270)^2+($C339-AE$271)^2+($D339-AE$272)^2)</f>
        <v>6.94258762982284</v>
      </c>
      <c r="AF339" s="17" t="n">
        <f aca="false">SQRT(($B339-AF$270)^2+($C339-AF$271)^2+($D339-AF$272)^2)</f>
        <v>1.18147102965222</v>
      </c>
      <c r="AG339" s="17" t="n">
        <f aca="false">SQRT(($B339-AG$270)^2+($C339-AG$271)^2+($D339-AG$272)^2)</f>
        <v>2.13105227270882</v>
      </c>
      <c r="AH339" s="17" t="n">
        <f aca="false">SQRT(($B339-AH$270)^2+($C339-AH$271)^2+($D339-AH$272)^2)</f>
        <v>0.360660252399197</v>
      </c>
      <c r="AI339" s="17" t="n">
        <f aca="false">SQRT(($B339-AI$270)^2+($C339-AI$271)^2+($D339-AI$272)^2)</f>
        <v>4.6683775524344</v>
      </c>
      <c r="AJ339" s="63" t="n">
        <f aca="false">MATCH(MIN(AE339:AI339),AE339:AI339,0)</f>
        <v>4</v>
      </c>
      <c r="AL339" s="17" t="n">
        <f aca="false">SQRT(($B339-AL$270)^2+($C339-AL$271)^2+($D339-AL$272)^2)</f>
        <v>6.94258762982284</v>
      </c>
      <c r="AM339" s="17" t="n">
        <f aca="false">SQRT(($B339-AM$270)^2+($C339-AM$271)^2+($D339-AM$272)^2)</f>
        <v>1.17860136822877</v>
      </c>
      <c r="AN339" s="17" t="n">
        <f aca="false">SQRT(($B339-AN$270)^2+($C339-AN$271)^2+($D339-AN$272)^2)</f>
        <v>2.18584195540031</v>
      </c>
      <c r="AO339" s="17" t="n">
        <f aca="false">SQRT(($B339-AO$270)^2+($C339-AO$271)^2+($D339-AO$272)^2)</f>
        <v>0.456330617993752</v>
      </c>
      <c r="AP339" s="17" t="n">
        <f aca="false">SQRT(($B339-AP$270)^2+($C339-AP$271)^2+($D339-AP$272)^2)</f>
        <v>4.40431261737422</v>
      </c>
      <c r="AQ339" s="63" t="n">
        <f aca="false">MATCH(MIN(AL339:AP339),AL339:AP339,0)</f>
        <v>4</v>
      </c>
      <c r="AS339" s="17" t="n">
        <f aca="false">SQRT(($B339-AS$270)^2+($C339-AS$271)^2+($D339-AS$272)^2)</f>
        <v>6.94258762982284</v>
      </c>
      <c r="AT339" s="17" t="n">
        <f aca="false">SQRT(($B339-AT$270)^2+($C339-AT$271)^2+($D339-AT$272)^2)</f>
        <v>1.23864147479829</v>
      </c>
      <c r="AU339" s="17" t="n">
        <f aca="false">SQRT(($B339-AU$270)^2+($C339-AU$271)^2+($D339-AU$272)^2)</f>
        <v>2.21057401066799</v>
      </c>
      <c r="AV339" s="17" t="n">
        <f aca="false">SQRT(($B339-AV$270)^2+($C339-AV$271)^2+($D339-AV$272)^2)</f>
        <v>0.482787158066935</v>
      </c>
      <c r="AW339" s="17" t="n">
        <f aca="false">SQRT(($B339-AW$270)^2+($C339-AW$271)^2+($D339-AW$272)^2)</f>
        <v>4.40431261737422</v>
      </c>
      <c r="AX339" s="63" t="n">
        <f aca="false">MATCH(MIN(AS339:AW339),AS339:AW339,0)</f>
        <v>4</v>
      </c>
      <c r="AZ339" s="17" t="n">
        <f aca="false">SQRT(($B339-AZ$270)^2+($C339-AZ$271)^2+($D339-AZ$272)^2)</f>
        <v>6.94258762982284</v>
      </c>
      <c r="BA339" s="17" t="n">
        <f aca="false">SQRT(($B339-BA$270)^2+($C339-BA$271)^2+($D339-BA$272)^2)</f>
        <v>1.23864147479829</v>
      </c>
      <c r="BB339" s="17" t="n">
        <f aca="false">SQRT(($B339-BB$270)^2+($C339-BB$271)^2+($D339-BB$272)^2)</f>
        <v>2.21057401066799</v>
      </c>
      <c r="BC339" s="17" t="n">
        <f aca="false">SQRT(($B339-BC$270)^2+($C339-BC$271)^2+($D339-BC$272)^2)</f>
        <v>0.482787158066935</v>
      </c>
      <c r="BD339" s="17" t="n">
        <f aca="false">SQRT(($B339-BD$270)^2+($C339-BD$271)^2+($D339-BD$272)^2)</f>
        <v>4.40431261737422</v>
      </c>
      <c r="BE339" s="63" t="n">
        <f aca="false">MATCH(MIN(AZ339:BD339),AZ339:BD339,0)</f>
        <v>4</v>
      </c>
      <c r="BG339" s="17" t="n">
        <f aca="false">SQRT(($B339-BG$270)^2+($C339-BG$271)^2+($D339-BG$272)^2)</f>
        <v>6.94258762982284</v>
      </c>
      <c r="BH339" s="17" t="n">
        <f aca="false">SQRT(($B339-BH$270)^2+($C339-BH$271)^2+($D339-BH$272)^2)</f>
        <v>1.23864147479829</v>
      </c>
      <c r="BI339" s="17" t="n">
        <f aca="false">SQRT(($B339-BI$270)^2+($C339-BI$271)^2+($D339-BI$272)^2)</f>
        <v>2.21057401066799</v>
      </c>
      <c r="BJ339" s="17" t="n">
        <f aca="false">SQRT(($B339-BJ$270)^2+($C339-BJ$271)^2+($D339-BJ$272)^2)</f>
        <v>0.482787158066935</v>
      </c>
      <c r="BK339" s="17" t="n">
        <f aca="false">SQRT(($B339-BK$270)^2+($C339-BK$271)^2+($D339-BK$272)^2)</f>
        <v>4.40431261737422</v>
      </c>
      <c r="BL339" s="63" t="n">
        <f aca="false">MATCH(MIN(BG339:BK339),BG339:BK339,0)</f>
        <v>4</v>
      </c>
      <c r="BN339" s="17" t="n">
        <f aca="false">SQRT(($B339-BN$270)^2+($C339-BN$271)^2+($D339-BN$272)^2)</f>
        <v>6.94258762982284</v>
      </c>
      <c r="BO339" s="17" t="n">
        <f aca="false">SQRT(($B339-BO$270)^2+($C339-BO$271)^2+($D339-BO$272)^2)</f>
        <v>1.23864147479829</v>
      </c>
      <c r="BP339" s="17" t="n">
        <f aca="false">SQRT(($B339-BP$270)^2+($C339-BP$271)^2+($D339-BP$272)^2)</f>
        <v>2.21057401066799</v>
      </c>
      <c r="BQ339" s="17" t="n">
        <f aca="false">SQRT(($B339-BQ$270)^2+($C339-BQ$271)^2+($D339-BQ$272)^2)</f>
        <v>0.482787158066935</v>
      </c>
      <c r="BR339" s="17" t="n">
        <f aca="false">SQRT(($B339-BR$270)^2+($C339-BR$271)^2+($D339-BR$272)^2)</f>
        <v>4.40431261737422</v>
      </c>
      <c r="BS339" s="63" t="n">
        <f aca="false">MATCH(MIN(BN339:BR339),BN339:BR339,0)</f>
        <v>4</v>
      </c>
      <c r="BU339" s="17" t="n">
        <f aca="false">SQRT(($B339-BU$270)^2+($C339-BU$271)^2+($D339-BU$272)^2)</f>
        <v>6.94258762982284</v>
      </c>
      <c r="BV339" s="17" t="n">
        <f aca="false">SQRT(($B339-BV$270)^2+($C339-BV$271)^2+($D339-BV$272)^2)</f>
        <v>1.23864147479829</v>
      </c>
      <c r="BW339" s="17" t="n">
        <f aca="false">SQRT(($B339-BW$270)^2+($C339-BW$271)^2+($D339-BW$272)^2)</f>
        <v>2.21057401066799</v>
      </c>
      <c r="BX339" s="17" t="n">
        <f aca="false">SQRT(($B339-BX$270)^2+($C339-BX$271)^2+($D339-BX$272)^2)</f>
        <v>0.482787158066935</v>
      </c>
      <c r="BY339" s="17" t="n">
        <f aca="false">SQRT(($B339-BY$270)^2+($C339-BY$271)^2+($D339-BY$272)^2)</f>
        <v>4.40431261737422</v>
      </c>
      <c r="BZ339" s="63" t="n">
        <f aca="false">MATCH(MIN(BU339:BY339),BU339:BY339,0)</f>
        <v>4</v>
      </c>
      <c r="CB339" s="17" t="n">
        <f aca="false">SQRT(($B339-CB$270)^2+($C339-CB$271)^2+($D339-CB$272)^2)</f>
        <v>6.94258762982284</v>
      </c>
      <c r="CC339" s="17" t="n">
        <f aca="false">SQRT(($B339-CC$270)^2+($C339-CC$271)^2+($D339-CC$272)^2)</f>
        <v>1.23864147479829</v>
      </c>
      <c r="CD339" s="17" t="n">
        <f aca="false">SQRT(($B339-CD$270)^2+($C339-CD$271)^2+($D339-CD$272)^2)</f>
        <v>2.21057401066799</v>
      </c>
      <c r="CE339" s="17" t="n">
        <f aca="false">SQRT(($B339-CE$270)^2+($C339-CE$271)^2+($D339-CE$272)^2)</f>
        <v>0.482787158066935</v>
      </c>
      <c r="CF339" s="17" t="n">
        <f aca="false">SQRT(($B339-CF$270)^2+($C339-CF$271)^2+($D339-CF$272)^2)</f>
        <v>4.40431261737422</v>
      </c>
      <c r="CG339" s="63" t="n">
        <f aca="false">MATCH(MIN(CB339:CF339),CB339:CF339,0)</f>
        <v>4</v>
      </c>
      <c r="CI339" s="17" t="n">
        <f aca="false">SQRT(($B339-CI$270)^2+($C339-CI$271)^2+($D339-CI$272)^2)</f>
        <v>6.94258762982284</v>
      </c>
      <c r="CJ339" s="17" t="n">
        <f aca="false">SQRT(($B339-CJ$270)^2+($C339-CJ$271)^2+($D339-CJ$272)^2)</f>
        <v>1.23864147479829</v>
      </c>
      <c r="CK339" s="17" t="n">
        <f aca="false">SQRT(($B339-CK$270)^2+($C339-CK$271)^2+($D339-CK$272)^2)</f>
        <v>2.21057401066799</v>
      </c>
      <c r="CL339" s="17" t="n">
        <f aca="false">SQRT(($B339-CL$270)^2+($C339-CL$271)^2+($D339-CL$272)^2)</f>
        <v>0.482787158066935</v>
      </c>
      <c r="CM339" s="17" t="n">
        <f aca="false">SQRT(($B339-CM$270)^2+($C339-CM$271)^2+($D339-CM$272)^2)</f>
        <v>4.40431261737422</v>
      </c>
      <c r="CN339" s="63" t="n">
        <f aca="false">MATCH(MIN(CI339:CM339),CI339:CM339,0)</f>
        <v>4</v>
      </c>
      <c r="CP339" s="17" t="n">
        <f aca="false">SQRT(($B339-CP$270)^2+($C339-CP$271)^2+($D339-CP$272)^2)</f>
        <v>6.94258762982284</v>
      </c>
      <c r="CQ339" s="17" t="n">
        <f aca="false">SQRT(($B339-CQ$270)^2+($C339-CQ$271)^2+($D339-CQ$272)^2)</f>
        <v>1.23864147479829</v>
      </c>
      <c r="CR339" s="17" t="n">
        <f aca="false">SQRT(($B339-CR$270)^2+($C339-CR$271)^2+($D339-CR$272)^2)</f>
        <v>2.21057401066799</v>
      </c>
      <c r="CS339" s="17" t="n">
        <f aca="false">SQRT(($B339-CS$270)^2+($C339-CS$271)^2+($D339-CS$272)^2)</f>
        <v>0.482787158066935</v>
      </c>
      <c r="CT339" s="17" t="n">
        <f aca="false">SQRT(($B339-CT$270)^2+($C339-CT$271)^2+($D339-CT$272)^2)</f>
        <v>4.40431261737422</v>
      </c>
      <c r="CU339" s="63" t="n">
        <f aca="false">MATCH(MIN(CP339:CT339),CP339:CT339,0)</f>
        <v>4</v>
      </c>
      <c r="CW339" s="17" t="n">
        <f aca="false">SQRT(($B339-CW$270)^2+($C339-CW$271)^2+($D339-CW$272)^2)</f>
        <v>6.94258762982284</v>
      </c>
      <c r="CX339" s="17" t="n">
        <f aca="false">SQRT(($B339-CX$270)^2+($C339-CX$271)^2+($D339-CX$272)^2)</f>
        <v>1.23864147479829</v>
      </c>
      <c r="CY339" s="17" t="n">
        <f aca="false">SQRT(($B339-CY$270)^2+($C339-CY$271)^2+($D339-CY$272)^2)</f>
        <v>2.21057401066799</v>
      </c>
      <c r="CZ339" s="17" t="n">
        <f aca="false">SQRT(($B339-CZ$270)^2+($C339-CZ$271)^2+($D339-CZ$272)^2)</f>
        <v>0.482787158066935</v>
      </c>
      <c r="DA339" s="17" t="n">
        <f aca="false">SQRT(($B339-DA$270)^2+($C339-DA$271)^2+($D339-DA$272)^2)</f>
        <v>4.40431261737422</v>
      </c>
      <c r="DB339" s="63" t="n">
        <f aca="false">MATCH(MIN(CW339:DA339),CW339:DA339,0)</f>
        <v>4</v>
      </c>
    </row>
    <row r="340" customFormat="false" ht="15" hidden="false" customHeight="false" outlineLevel="0" collapsed="false">
      <c r="A340" s="36" t="str">
        <f aca="false">KMeans_Data!A68</f>
        <v>Mirpurkhas</v>
      </c>
      <c r="B340" s="17" t="n">
        <f aca="false">KMeans_Data!H68</f>
        <v>-0.0984842888309702</v>
      </c>
      <c r="C340" s="17" t="n">
        <f aca="false">KMeans_Data!I68</f>
        <v>0.160512589624996</v>
      </c>
      <c r="D340" s="17" t="n">
        <f aca="false">KMeans_Data!J68</f>
        <v>0.265159896369606</v>
      </c>
      <c r="E340" s="63" t="n">
        <f aca="false">DB340</f>
        <v>4</v>
      </c>
      <c r="F340" s="38" t="n">
        <f aca="false">($B340-INDEX($L$270:$P$270,E340))^2+($C340-INDEX($L$271:$P$271,E340))^2+($D340-INDEX($L$272:$P$272,E340))^2</f>
        <v>0.857838724266294</v>
      </c>
      <c r="G340" s="17" t="n">
        <f aca="false">IF(COUNTIF(Distance_Matrix!$E$11:$DQ$11,$E340)&lt;=1,0,SUMIF(Distance_Matrix!$E$11:$DQ$11,$E340,Distance_Matrix!$E$77:$DQ$77)/(COUNTIF(Distance_Matrix!$E$11:$DQ$11,$E340)-1))</f>
        <v>1.15916189307902</v>
      </c>
      <c r="H340" s="17" t="n">
        <f aca="false">MIN(IF(1=$E340,1E+099,IF(COUNTIF(Distance_Matrix!$E$11:$DQ$11,1)=0,1E+099,SUMIF(Distance_Matrix!$E$11:$DQ$11,1,Distance_Matrix!$E$77:$DQ$77)/COUNTIF(Distance_Matrix!$E$11:$DQ$11,1))),IF(2=$E340,1E+099,IF(COUNTIF(Distance_Matrix!$E$11:$DQ$11,2)=0,1E+099,SUMIF(Distance_Matrix!$E$11:$DQ$11,2,Distance_Matrix!$E$77:$DQ$77)/COUNTIF(Distance_Matrix!$E$11:$DQ$11,2))),IF(3=$E340,1E+099,IF(COUNTIF(Distance_Matrix!$E$11:$DQ$11,3)=0,1E+099,SUMIF(Distance_Matrix!$E$11:$DQ$11,3,Distance_Matrix!$E$77:$DQ$77)/COUNTIF(Distance_Matrix!$E$11:$DQ$11,3))),IF(4=$E340,1E+099,IF(COUNTIF(Distance_Matrix!$E$11:$DQ$11,4)=0,1E+099,SUMIF(Distance_Matrix!$E$11:$DQ$11,4,Distance_Matrix!$E$77:$DQ$77)/COUNTIF(Distance_Matrix!$E$11:$DQ$11,4))),IF(5=$E340,1E+099,IF(COUNTIF(Distance_Matrix!$E$11:$DQ$11,5)=0,1E+099,SUMIF(Distance_Matrix!$E$11:$DQ$11,5,Distance_Matrix!$E$77:$DQ$77)/COUNTIF(Distance_Matrix!$E$11:$DQ$11,5))))</f>
        <v>1.19782741198216</v>
      </c>
      <c r="I340" s="17" t="n">
        <f aca="false">IF(COUNTIF(Distance_Matrix!$E$11:$DQ$11,$E340)&lt;=1,0,(H340-G340)/MAX(G340,H340))</f>
        <v>0.0322797078413503</v>
      </c>
      <c r="X340" s="17" t="n">
        <f aca="false">SQRT(($B340-X$270)^2+($C340-X$271)^2+($D340-X$272)^2)</f>
        <v>5.94497441444557</v>
      </c>
      <c r="Y340" s="17" t="n">
        <f aca="false">SQRT(($B340-Y$270)^2+($C340-Y$271)^2+($D340-Y$272)^2)</f>
        <v>2.57097159994448</v>
      </c>
      <c r="Z340" s="17" t="n">
        <f aca="false">SQRT(($B340-Z$270)^2+($C340-Z$271)^2+($D340-Z$272)^2)</f>
        <v>1.67042015284584</v>
      </c>
      <c r="AA340" s="17" t="n">
        <f aca="false">SQRT(($B340-AA$270)^2+($C340-AA$271)^2+($D340-AA$272)^2)</f>
        <v>1.62440504187555</v>
      </c>
      <c r="AB340" s="17" t="n">
        <f aca="false">SQRT(($B340-AB$270)^2+($C340-AB$271)^2+($D340-AB$272)^2)</f>
        <v>3.88060451935273</v>
      </c>
      <c r="AC340" s="63" t="n">
        <f aca="false">MATCH(MIN(X340:AB340),X340:AB340,0)</f>
        <v>4</v>
      </c>
      <c r="AE340" s="17" t="n">
        <f aca="false">SQRT(($B340-AE$270)^2+($C340-AE$271)^2+($D340-AE$272)^2)</f>
        <v>5.83907929421549</v>
      </c>
      <c r="AF340" s="17" t="n">
        <f aca="false">SQRT(($B340-AF$270)^2+($C340-AF$271)^2+($D340-AF$272)^2)</f>
        <v>1.84648420954971</v>
      </c>
      <c r="AG340" s="17" t="n">
        <f aca="false">SQRT(($B340-AG$270)^2+($C340-AG$271)^2+($D340-AG$272)^2)</f>
        <v>0.933034776622202</v>
      </c>
      <c r="AH340" s="17" t="n">
        <f aca="false">SQRT(($B340-AH$270)^2+($C340-AH$271)^2+($D340-AH$272)^2)</f>
        <v>1.01509259799168</v>
      </c>
      <c r="AI340" s="17" t="n">
        <f aca="false">SQRT(($B340-AI$270)^2+($C340-AI$271)^2+($D340-AI$272)^2)</f>
        <v>3.57461303560739</v>
      </c>
      <c r="AJ340" s="63" t="n">
        <f aca="false">MATCH(MIN(AE340:AI340),AE340:AI340,0)</f>
        <v>3</v>
      </c>
      <c r="AL340" s="17" t="n">
        <f aca="false">SQRT(($B340-AL$270)^2+($C340-AL$271)^2+($D340-AL$272)^2)</f>
        <v>5.83907929421549</v>
      </c>
      <c r="AM340" s="17" t="n">
        <f aca="false">SQRT(($B340-AM$270)^2+($C340-AM$271)^2+($D340-AM$272)^2)</f>
        <v>1.87433180371774</v>
      </c>
      <c r="AN340" s="17" t="n">
        <f aca="false">SQRT(($B340-AN$270)^2+($C340-AN$271)^2+($D340-AN$272)^2)</f>
        <v>0.995716472701933</v>
      </c>
      <c r="AO340" s="17" t="n">
        <f aca="false">SQRT(($B340-AO$270)^2+($C340-AO$271)^2+($D340-AO$272)^2)</f>
        <v>0.944379455455817</v>
      </c>
      <c r="AP340" s="17" t="n">
        <f aca="false">SQRT(($B340-AP$270)^2+($C340-AP$271)^2+($D340-AP$272)^2)</f>
        <v>3.30095936936386</v>
      </c>
      <c r="AQ340" s="63" t="n">
        <f aca="false">MATCH(MIN(AL340:AP340),AL340:AP340,0)</f>
        <v>4</v>
      </c>
      <c r="AS340" s="17" t="n">
        <f aca="false">SQRT(($B340-AS$270)^2+($C340-AS$271)^2+($D340-AS$272)^2)</f>
        <v>5.83907929421549</v>
      </c>
      <c r="AT340" s="17" t="n">
        <f aca="false">SQRT(($B340-AT$270)^2+($C340-AT$271)^2+($D340-AT$272)^2)</f>
        <v>1.96056592566457</v>
      </c>
      <c r="AU340" s="17" t="n">
        <f aca="false">SQRT(($B340-AU$270)^2+($C340-AU$271)^2+($D340-AU$272)^2)</f>
        <v>1.02337526361032</v>
      </c>
      <c r="AV340" s="17" t="n">
        <f aca="false">SQRT(($B340-AV$270)^2+($C340-AV$271)^2+($D340-AV$272)^2)</f>
        <v>0.926195834727351</v>
      </c>
      <c r="AW340" s="17" t="n">
        <f aca="false">SQRT(($B340-AW$270)^2+($C340-AW$271)^2+($D340-AW$272)^2)</f>
        <v>3.30095936936386</v>
      </c>
      <c r="AX340" s="63" t="n">
        <f aca="false">MATCH(MIN(AS340:AW340),AS340:AW340,0)</f>
        <v>4</v>
      </c>
      <c r="AZ340" s="17" t="n">
        <f aca="false">SQRT(($B340-AZ$270)^2+($C340-AZ$271)^2+($D340-AZ$272)^2)</f>
        <v>5.83907929421549</v>
      </c>
      <c r="BA340" s="17" t="n">
        <f aca="false">SQRT(($B340-BA$270)^2+($C340-BA$271)^2+($D340-BA$272)^2)</f>
        <v>1.96056592566457</v>
      </c>
      <c r="BB340" s="17" t="n">
        <f aca="false">SQRT(($B340-BB$270)^2+($C340-BB$271)^2+($D340-BB$272)^2)</f>
        <v>1.02337526361032</v>
      </c>
      <c r="BC340" s="17" t="n">
        <f aca="false">SQRT(($B340-BC$270)^2+($C340-BC$271)^2+($D340-BC$272)^2)</f>
        <v>0.926195834727351</v>
      </c>
      <c r="BD340" s="17" t="n">
        <f aca="false">SQRT(($B340-BD$270)^2+($C340-BD$271)^2+($D340-BD$272)^2)</f>
        <v>3.30095936936386</v>
      </c>
      <c r="BE340" s="63" t="n">
        <f aca="false">MATCH(MIN(AZ340:BD340),AZ340:BD340,0)</f>
        <v>4</v>
      </c>
      <c r="BG340" s="17" t="n">
        <f aca="false">SQRT(($B340-BG$270)^2+($C340-BG$271)^2+($D340-BG$272)^2)</f>
        <v>5.83907929421549</v>
      </c>
      <c r="BH340" s="17" t="n">
        <f aca="false">SQRT(($B340-BH$270)^2+($C340-BH$271)^2+($D340-BH$272)^2)</f>
        <v>1.96056592566457</v>
      </c>
      <c r="BI340" s="17" t="n">
        <f aca="false">SQRT(($B340-BI$270)^2+($C340-BI$271)^2+($D340-BI$272)^2)</f>
        <v>1.02337526361032</v>
      </c>
      <c r="BJ340" s="17" t="n">
        <f aca="false">SQRT(($B340-BJ$270)^2+($C340-BJ$271)^2+($D340-BJ$272)^2)</f>
        <v>0.926195834727351</v>
      </c>
      <c r="BK340" s="17" t="n">
        <f aca="false">SQRT(($B340-BK$270)^2+($C340-BK$271)^2+($D340-BK$272)^2)</f>
        <v>3.30095936936386</v>
      </c>
      <c r="BL340" s="63" t="n">
        <f aca="false">MATCH(MIN(BG340:BK340),BG340:BK340,0)</f>
        <v>4</v>
      </c>
      <c r="BN340" s="17" t="n">
        <f aca="false">SQRT(($B340-BN$270)^2+($C340-BN$271)^2+($D340-BN$272)^2)</f>
        <v>5.83907929421549</v>
      </c>
      <c r="BO340" s="17" t="n">
        <f aca="false">SQRT(($B340-BO$270)^2+($C340-BO$271)^2+($D340-BO$272)^2)</f>
        <v>1.96056592566457</v>
      </c>
      <c r="BP340" s="17" t="n">
        <f aca="false">SQRT(($B340-BP$270)^2+($C340-BP$271)^2+($D340-BP$272)^2)</f>
        <v>1.02337526361032</v>
      </c>
      <c r="BQ340" s="17" t="n">
        <f aca="false">SQRT(($B340-BQ$270)^2+($C340-BQ$271)^2+($D340-BQ$272)^2)</f>
        <v>0.926195834727351</v>
      </c>
      <c r="BR340" s="17" t="n">
        <f aca="false">SQRT(($B340-BR$270)^2+($C340-BR$271)^2+($D340-BR$272)^2)</f>
        <v>3.30095936936386</v>
      </c>
      <c r="BS340" s="63" t="n">
        <f aca="false">MATCH(MIN(BN340:BR340),BN340:BR340,0)</f>
        <v>4</v>
      </c>
      <c r="BU340" s="17" t="n">
        <f aca="false">SQRT(($B340-BU$270)^2+($C340-BU$271)^2+($D340-BU$272)^2)</f>
        <v>5.83907929421549</v>
      </c>
      <c r="BV340" s="17" t="n">
        <f aca="false">SQRT(($B340-BV$270)^2+($C340-BV$271)^2+($D340-BV$272)^2)</f>
        <v>1.96056592566457</v>
      </c>
      <c r="BW340" s="17" t="n">
        <f aca="false">SQRT(($B340-BW$270)^2+($C340-BW$271)^2+($D340-BW$272)^2)</f>
        <v>1.02337526361032</v>
      </c>
      <c r="BX340" s="17" t="n">
        <f aca="false">SQRT(($B340-BX$270)^2+($C340-BX$271)^2+($D340-BX$272)^2)</f>
        <v>0.926195834727351</v>
      </c>
      <c r="BY340" s="17" t="n">
        <f aca="false">SQRT(($B340-BY$270)^2+($C340-BY$271)^2+($D340-BY$272)^2)</f>
        <v>3.30095936936386</v>
      </c>
      <c r="BZ340" s="63" t="n">
        <f aca="false">MATCH(MIN(BU340:BY340),BU340:BY340,0)</f>
        <v>4</v>
      </c>
      <c r="CB340" s="17" t="n">
        <f aca="false">SQRT(($B340-CB$270)^2+($C340-CB$271)^2+($D340-CB$272)^2)</f>
        <v>5.83907929421549</v>
      </c>
      <c r="CC340" s="17" t="n">
        <f aca="false">SQRT(($B340-CC$270)^2+($C340-CC$271)^2+($D340-CC$272)^2)</f>
        <v>1.96056592566457</v>
      </c>
      <c r="CD340" s="17" t="n">
        <f aca="false">SQRT(($B340-CD$270)^2+($C340-CD$271)^2+($D340-CD$272)^2)</f>
        <v>1.02337526361032</v>
      </c>
      <c r="CE340" s="17" t="n">
        <f aca="false">SQRT(($B340-CE$270)^2+($C340-CE$271)^2+($D340-CE$272)^2)</f>
        <v>0.926195834727351</v>
      </c>
      <c r="CF340" s="17" t="n">
        <f aca="false">SQRT(($B340-CF$270)^2+($C340-CF$271)^2+($D340-CF$272)^2)</f>
        <v>3.30095936936386</v>
      </c>
      <c r="CG340" s="63" t="n">
        <f aca="false">MATCH(MIN(CB340:CF340),CB340:CF340,0)</f>
        <v>4</v>
      </c>
      <c r="CI340" s="17" t="n">
        <f aca="false">SQRT(($B340-CI$270)^2+($C340-CI$271)^2+($D340-CI$272)^2)</f>
        <v>5.83907929421549</v>
      </c>
      <c r="CJ340" s="17" t="n">
        <f aca="false">SQRT(($B340-CJ$270)^2+($C340-CJ$271)^2+($D340-CJ$272)^2)</f>
        <v>1.96056592566457</v>
      </c>
      <c r="CK340" s="17" t="n">
        <f aca="false">SQRT(($B340-CK$270)^2+($C340-CK$271)^2+($D340-CK$272)^2)</f>
        <v>1.02337526361032</v>
      </c>
      <c r="CL340" s="17" t="n">
        <f aca="false">SQRT(($B340-CL$270)^2+($C340-CL$271)^2+($D340-CL$272)^2)</f>
        <v>0.926195834727351</v>
      </c>
      <c r="CM340" s="17" t="n">
        <f aca="false">SQRT(($B340-CM$270)^2+($C340-CM$271)^2+($D340-CM$272)^2)</f>
        <v>3.30095936936386</v>
      </c>
      <c r="CN340" s="63" t="n">
        <f aca="false">MATCH(MIN(CI340:CM340),CI340:CM340,0)</f>
        <v>4</v>
      </c>
      <c r="CP340" s="17" t="n">
        <f aca="false">SQRT(($B340-CP$270)^2+($C340-CP$271)^2+($D340-CP$272)^2)</f>
        <v>5.83907929421549</v>
      </c>
      <c r="CQ340" s="17" t="n">
        <f aca="false">SQRT(($B340-CQ$270)^2+($C340-CQ$271)^2+($D340-CQ$272)^2)</f>
        <v>1.96056592566457</v>
      </c>
      <c r="CR340" s="17" t="n">
        <f aca="false">SQRT(($B340-CR$270)^2+($C340-CR$271)^2+($D340-CR$272)^2)</f>
        <v>1.02337526361032</v>
      </c>
      <c r="CS340" s="17" t="n">
        <f aca="false">SQRT(($B340-CS$270)^2+($C340-CS$271)^2+($D340-CS$272)^2)</f>
        <v>0.926195834727351</v>
      </c>
      <c r="CT340" s="17" t="n">
        <f aca="false">SQRT(($B340-CT$270)^2+($C340-CT$271)^2+($D340-CT$272)^2)</f>
        <v>3.30095936936386</v>
      </c>
      <c r="CU340" s="63" t="n">
        <f aca="false">MATCH(MIN(CP340:CT340),CP340:CT340,0)</f>
        <v>4</v>
      </c>
      <c r="CW340" s="17" t="n">
        <f aca="false">SQRT(($B340-CW$270)^2+($C340-CW$271)^2+($D340-CW$272)^2)</f>
        <v>5.83907929421549</v>
      </c>
      <c r="CX340" s="17" t="n">
        <f aca="false">SQRT(($B340-CX$270)^2+($C340-CX$271)^2+($D340-CX$272)^2)</f>
        <v>1.96056592566457</v>
      </c>
      <c r="CY340" s="17" t="n">
        <f aca="false">SQRT(($B340-CY$270)^2+($C340-CY$271)^2+($D340-CY$272)^2)</f>
        <v>1.02337526361032</v>
      </c>
      <c r="CZ340" s="17" t="n">
        <f aca="false">SQRT(($B340-CZ$270)^2+($C340-CZ$271)^2+($D340-CZ$272)^2)</f>
        <v>0.926195834727351</v>
      </c>
      <c r="DA340" s="17" t="n">
        <f aca="false">SQRT(($B340-DA$270)^2+($C340-DA$271)^2+($D340-DA$272)^2)</f>
        <v>3.30095936936386</v>
      </c>
      <c r="DB340" s="63" t="n">
        <f aca="false">MATCH(MIN(CW340:DA340),CW340:DA340,0)</f>
        <v>4</v>
      </c>
    </row>
    <row r="341" customFormat="false" ht="15" hidden="false" customHeight="false" outlineLevel="0" collapsed="false">
      <c r="A341" s="36" t="str">
        <f aca="false">KMeans_Data!A69</f>
        <v>Kashmore</v>
      </c>
      <c r="B341" s="17" t="n">
        <f aca="false">KMeans_Data!H69</f>
        <v>-0.110180736511367</v>
      </c>
      <c r="C341" s="17" t="n">
        <f aca="false">KMeans_Data!I69</f>
        <v>-0.146983133929529</v>
      </c>
      <c r="D341" s="17" t="n">
        <f aca="false">KMeans_Data!J69</f>
        <v>0.381616717142464</v>
      </c>
      <c r="E341" s="63" t="n">
        <f aca="false">DB341</f>
        <v>4</v>
      </c>
      <c r="F341" s="38" t="n">
        <f aca="false">($B341-INDEX($L$270:$P$270,E341))^2+($C341-INDEX($L$271:$P$271,E341))^2+($D341-INDEX($L$272:$P$272,E341))^2</f>
        <v>0.703322244582324</v>
      </c>
      <c r="G341" s="17" t="n">
        <f aca="false">IF(COUNTIF(Distance_Matrix!$E$11:$DQ$11,$E341)&lt;=1,0,SUMIF(Distance_Matrix!$E$11:$DQ$11,$E341,Distance_Matrix!$E$78:$DQ$78)/(COUNTIF(Distance_Matrix!$E$11:$DQ$11,$E341)-1))</f>
        <v>1.06969269117015</v>
      </c>
      <c r="H341" s="17" t="n">
        <f aca="false">MIN(IF(1=$E341,1E+099,IF(COUNTIF(Distance_Matrix!$E$11:$DQ$11,1)=0,1E+099,SUMIF(Distance_Matrix!$E$11:$DQ$11,1,Distance_Matrix!$E$78:$DQ$78)/COUNTIF(Distance_Matrix!$E$11:$DQ$11,1))),IF(2=$E341,1E+099,IF(COUNTIF(Distance_Matrix!$E$11:$DQ$11,2)=0,1E+099,SUMIF(Distance_Matrix!$E$11:$DQ$11,2,Distance_Matrix!$E$78:$DQ$78)/COUNTIF(Distance_Matrix!$E$11:$DQ$11,2))),IF(3=$E341,1E+099,IF(COUNTIF(Distance_Matrix!$E$11:$DQ$11,3)=0,1E+099,SUMIF(Distance_Matrix!$E$11:$DQ$11,3,Distance_Matrix!$E$78:$DQ$78)/COUNTIF(Distance_Matrix!$E$11:$DQ$11,3))),IF(4=$E341,1E+099,IF(COUNTIF(Distance_Matrix!$E$11:$DQ$11,4)=0,1E+099,SUMIF(Distance_Matrix!$E$11:$DQ$11,4,Distance_Matrix!$E$78:$DQ$78)/COUNTIF(Distance_Matrix!$E$11:$DQ$11,4))),IF(5=$E341,1E+099,IF(COUNTIF(Distance_Matrix!$E$11:$DQ$11,5)=0,1E+099,SUMIF(Distance_Matrix!$E$11:$DQ$11,5,Distance_Matrix!$E$78:$DQ$78)/COUNTIF(Distance_Matrix!$E$11:$DQ$11,5))))</f>
        <v>1.2804395184527</v>
      </c>
      <c r="I341" s="17" t="n">
        <f aca="false">IF(COUNTIF(Distance_Matrix!$E$11:$DQ$11,$E341)&lt;=1,0,(H341-G341)/MAX(G341,H341))</f>
        <v>0.164589443113422</v>
      </c>
      <c r="X341" s="17" t="n">
        <f aca="false">SQRT(($B341-X$270)^2+($C341-X$271)^2+($D341-X$272)^2)</f>
        <v>6.10075211782889</v>
      </c>
      <c r="Y341" s="17" t="n">
        <f aca="false">SQRT(($B341-Y$270)^2+($C341-Y$271)^2+($D341-Y$272)^2)</f>
        <v>2.54715677244681</v>
      </c>
      <c r="Z341" s="17" t="n">
        <f aca="false">SQRT(($B341-Z$270)^2+($C341-Z$271)^2+($D341-Z$272)^2)</f>
        <v>1.66690792501503</v>
      </c>
      <c r="AA341" s="17" t="n">
        <f aca="false">SQRT(($B341-AA$270)^2+($C341-AA$271)^2+($D341-AA$272)^2)</f>
        <v>1.70406590633308</v>
      </c>
      <c r="AB341" s="17" t="n">
        <f aca="false">SQRT(($B341-AB$270)^2+($C341-AB$271)^2+($D341-AB$272)^2)</f>
        <v>4.00578701051002</v>
      </c>
      <c r="AC341" s="63" t="n">
        <f aca="false">MATCH(MIN(X341:AB341),X341:AB341,0)</f>
        <v>3</v>
      </c>
      <c r="AE341" s="17" t="n">
        <f aca="false">SQRT(($B341-AE$270)^2+($C341-AE$271)^2+($D341-AE$272)^2)</f>
        <v>6.00615832612005</v>
      </c>
      <c r="AF341" s="17" t="n">
        <f aca="false">SQRT(($B341-AF$270)^2+($C341-AF$271)^2+($D341-AF$272)^2)</f>
        <v>1.80825094880512</v>
      </c>
      <c r="AG341" s="17" t="n">
        <f aca="false">SQRT(($B341-AG$270)^2+($C341-AG$271)^2+($D341-AG$272)^2)</f>
        <v>1.03318975657978</v>
      </c>
      <c r="AH341" s="17" t="n">
        <f aca="false">SQRT(($B341-AH$270)^2+($C341-AH$271)^2+($D341-AH$272)^2)</f>
        <v>0.959921484220626</v>
      </c>
      <c r="AI341" s="17" t="n">
        <f aca="false">SQRT(($B341-AI$270)^2+($C341-AI$271)^2+($D341-AI$272)^2)</f>
        <v>3.74765423507002</v>
      </c>
      <c r="AJ341" s="63" t="n">
        <f aca="false">MATCH(MIN(AE341:AI341),AE341:AI341,0)</f>
        <v>4</v>
      </c>
      <c r="AL341" s="17" t="n">
        <f aca="false">SQRT(($B341-AL$270)^2+($C341-AL$271)^2+($D341-AL$272)^2)</f>
        <v>6.00615832612005</v>
      </c>
      <c r="AM341" s="17" t="n">
        <f aca="false">SQRT(($B341-AM$270)^2+($C341-AM$271)^2+($D341-AM$272)^2)</f>
        <v>1.83992586656028</v>
      </c>
      <c r="AN341" s="17" t="n">
        <f aca="false">SQRT(($B341-AN$270)^2+($C341-AN$271)^2+($D341-AN$272)^2)</f>
        <v>1.11143127902826</v>
      </c>
      <c r="AO341" s="17" t="n">
        <f aca="false">SQRT(($B341-AO$270)^2+($C341-AO$271)^2+($D341-AO$272)^2)</f>
        <v>0.860996346779829</v>
      </c>
      <c r="AP341" s="17" t="n">
        <f aca="false">SQRT(($B341-AP$270)^2+($C341-AP$271)^2+($D341-AP$272)^2)</f>
        <v>3.4775180584458</v>
      </c>
      <c r="AQ341" s="63" t="n">
        <f aca="false">MATCH(MIN(AL341:AP341),AL341:AP341,0)</f>
        <v>4</v>
      </c>
      <c r="AS341" s="17" t="n">
        <f aca="false">SQRT(($B341-AS$270)^2+($C341-AS$271)^2+($D341-AS$272)^2)</f>
        <v>6.00615832612005</v>
      </c>
      <c r="AT341" s="17" t="n">
        <f aca="false">SQRT(($B341-AT$270)^2+($C341-AT$271)^2+($D341-AT$272)^2)</f>
        <v>1.93310770827042</v>
      </c>
      <c r="AU341" s="17" t="n">
        <f aca="false">SQRT(($B341-AU$270)^2+($C341-AU$271)^2+($D341-AU$272)^2)</f>
        <v>1.13793282419658</v>
      </c>
      <c r="AV341" s="17" t="n">
        <f aca="false">SQRT(($B341-AV$270)^2+($C341-AV$271)^2+($D341-AV$272)^2)</f>
        <v>0.838643097260285</v>
      </c>
      <c r="AW341" s="17" t="n">
        <f aca="false">SQRT(($B341-AW$270)^2+($C341-AW$271)^2+($D341-AW$272)^2)</f>
        <v>3.4775180584458</v>
      </c>
      <c r="AX341" s="63" t="n">
        <f aca="false">MATCH(MIN(AS341:AW341),AS341:AW341,0)</f>
        <v>4</v>
      </c>
      <c r="AZ341" s="17" t="n">
        <f aca="false">SQRT(($B341-AZ$270)^2+($C341-AZ$271)^2+($D341-AZ$272)^2)</f>
        <v>6.00615832612005</v>
      </c>
      <c r="BA341" s="17" t="n">
        <f aca="false">SQRT(($B341-BA$270)^2+($C341-BA$271)^2+($D341-BA$272)^2)</f>
        <v>1.93310770827042</v>
      </c>
      <c r="BB341" s="17" t="n">
        <f aca="false">SQRT(($B341-BB$270)^2+($C341-BB$271)^2+($D341-BB$272)^2)</f>
        <v>1.13793282419658</v>
      </c>
      <c r="BC341" s="17" t="n">
        <f aca="false">SQRT(($B341-BC$270)^2+($C341-BC$271)^2+($D341-BC$272)^2)</f>
        <v>0.838643097260285</v>
      </c>
      <c r="BD341" s="17" t="n">
        <f aca="false">SQRT(($B341-BD$270)^2+($C341-BD$271)^2+($D341-BD$272)^2)</f>
        <v>3.4775180584458</v>
      </c>
      <c r="BE341" s="63" t="n">
        <f aca="false">MATCH(MIN(AZ341:BD341),AZ341:BD341,0)</f>
        <v>4</v>
      </c>
      <c r="BG341" s="17" t="n">
        <f aca="false">SQRT(($B341-BG$270)^2+($C341-BG$271)^2+($D341-BG$272)^2)</f>
        <v>6.00615832612005</v>
      </c>
      <c r="BH341" s="17" t="n">
        <f aca="false">SQRT(($B341-BH$270)^2+($C341-BH$271)^2+($D341-BH$272)^2)</f>
        <v>1.93310770827042</v>
      </c>
      <c r="BI341" s="17" t="n">
        <f aca="false">SQRT(($B341-BI$270)^2+($C341-BI$271)^2+($D341-BI$272)^2)</f>
        <v>1.13793282419658</v>
      </c>
      <c r="BJ341" s="17" t="n">
        <f aca="false">SQRT(($B341-BJ$270)^2+($C341-BJ$271)^2+($D341-BJ$272)^2)</f>
        <v>0.838643097260285</v>
      </c>
      <c r="BK341" s="17" t="n">
        <f aca="false">SQRT(($B341-BK$270)^2+($C341-BK$271)^2+($D341-BK$272)^2)</f>
        <v>3.4775180584458</v>
      </c>
      <c r="BL341" s="63" t="n">
        <f aca="false">MATCH(MIN(BG341:BK341),BG341:BK341,0)</f>
        <v>4</v>
      </c>
      <c r="BN341" s="17" t="n">
        <f aca="false">SQRT(($B341-BN$270)^2+($C341-BN$271)^2+($D341-BN$272)^2)</f>
        <v>6.00615832612005</v>
      </c>
      <c r="BO341" s="17" t="n">
        <f aca="false">SQRT(($B341-BO$270)^2+($C341-BO$271)^2+($D341-BO$272)^2)</f>
        <v>1.93310770827042</v>
      </c>
      <c r="BP341" s="17" t="n">
        <f aca="false">SQRT(($B341-BP$270)^2+($C341-BP$271)^2+($D341-BP$272)^2)</f>
        <v>1.13793282419658</v>
      </c>
      <c r="BQ341" s="17" t="n">
        <f aca="false">SQRT(($B341-BQ$270)^2+($C341-BQ$271)^2+($D341-BQ$272)^2)</f>
        <v>0.838643097260285</v>
      </c>
      <c r="BR341" s="17" t="n">
        <f aca="false">SQRT(($B341-BR$270)^2+($C341-BR$271)^2+($D341-BR$272)^2)</f>
        <v>3.4775180584458</v>
      </c>
      <c r="BS341" s="63" t="n">
        <f aca="false">MATCH(MIN(BN341:BR341),BN341:BR341,0)</f>
        <v>4</v>
      </c>
      <c r="BU341" s="17" t="n">
        <f aca="false">SQRT(($B341-BU$270)^2+($C341-BU$271)^2+($D341-BU$272)^2)</f>
        <v>6.00615832612005</v>
      </c>
      <c r="BV341" s="17" t="n">
        <f aca="false">SQRT(($B341-BV$270)^2+($C341-BV$271)^2+($D341-BV$272)^2)</f>
        <v>1.93310770827042</v>
      </c>
      <c r="BW341" s="17" t="n">
        <f aca="false">SQRT(($B341-BW$270)^2+($C341-BW$271)^2+($D341-BW$272)^2)</f>
        <v>1.13793282419658</v>
      </c>
      <c r="BX341" s="17" t="n">
        <f aca="false">SQRT(($B341-BX$270)^2+($C341-BX$271)^2+($D341-BX$272)^2)</f>
        <v>0.838643097260285</v>
      </c>
      <c r="BY341" s="17" t="n">
        <f aca="false">SQRT(($B341-BY$270)^2+($C341-BY$271)^2+($D341-BY$272)^2)</f>
        <v>3.4775180584458</v>
      </c>
      <c r="BZ341" s="63" t="n">
        <f aca="false">MATCH(MIN(BU341:BY341),BU341:BY341,0)</f>
        <v>4</v>
      </c>
      <c r="CB341" s="17" t="n">
        <f aca="false">SQRT(($B341-CB$270)^2+($C341-CB$271)^2+($D341-CB$272)^2)</f>
        <v>6.00615832612005</v>
      </c>
      <c r="CC341" s="17" t="n">
        <f aca="false">SQRT(($B341-CC$270)^2+($C341-CC$271)^2+($D341-CC$272)^2)</f>
        <v>1.93310770827042</v>
      </c>
      <c r="CD341" s="17" t="n">
        <f aca="false">SQRT(($B341-CD$270)^2+($C341-CD$271)^2+($D341-CD$272)^2)</f>
        <v>1.13793282419658</v>
      </c>
      <c r="CE341" s="17" t="n">
        <f aca="false">SQRT(($B341-CE$270)^2+($C341-CE$271)^2+($D341-CE$272)^2)</f>
        <v>0.838643097260285</v>
      </c>
      <c r="CF341" s="17" t="n">
        <f aca="false">SQRT(($B341-CF$270)^2+($C341-CF$271)^2+($D341-CF$272)^2)</f>
        <v>3.4775180584458</v>
      </c>
      <c r="CG341" s="63" t="n">
        <f aca="false">MATCH(MIN(CB341:CF341),CB341:CF341,0)</f>
        <v>4</v>
      </c>
      <c r="CI341" s="17" t="n">
        <f aca="false">SQRT(($B341-CI$270)^2+($C341-CI$271)^2+($D341-CI$272)^2)</f>
        <v>6.00615832612005</v>
      </c>
      <c r="CJ341" s="17" t="n">
        <f aca="false">SQRT(($B341-CJ$270)^2+($C341-CJ$271)^2+($D341-CJ$272)^2)</f>
        <v>1.93310770827042</v>
      </c>
      <c r="CK341" s="17" t="n">
        <f aca="false">SQRT(($B341-CK$270)^2+($C341-CK$271)^2+($D341-CK$272)^2)</f>
        <v>1.13793282419658</v>
      </c>
      <c r="CL341" s="17" t="n">
        <f aca="false">SQRT(($B341-CL$270)^2+($C341-CL$271)^2+($D341-CL$272)^2)</f>
        <v>0.838643097260285</v>
      </c>
      <c r="CM341" s="17" t="n">
        <f aca="false">SQRT(($B341-CM$270)^2+($C341-CM$271)^2+($D341-CM$272)^2)</f>
        <v>3.4775180584458</v>
      </c>
      <c r="CN341" s="63" t="n">
        <f aca="false">MATCH(MIN(CI341:CM341),CI341:CM341,0)</f>
        <v>4</v>
      </c>
      <c r="CP341" s="17" t="n">
        <f aca="false">SQRT(($B341-CP$270)^2+($C341-CP$271)^2+($D341-CP$272)^2)</f>
        <v>6.00615832612005</v>
      </c>
      <c r="CQ341" s="17" t="n">
        <f aca="false">SQRT(($B341-CQ$270)^2+($C341-CQ$271)^2+($D341-CQ$272)^2)</f>
        <v>1.93310770827042</v>
      </c>
      <c r="CR341" s="17" t="n">
        <f aca="false">SQRT(($B341-CR$270)^2+($C341-CR$271)^2+($D341-CR$272)^2)</f>
        <v>1.13793282419658</v>
      </c>
      <c r="CS341" s="17" t="n">
        <f aca="false">SQRT(($B341-CS$270)^2+($C341-CS$271)^2+($D341-CS$272)^2)</f>
        <v>0.838643097260285</v>
      </c>
      <c r="CT341" s="17" t="n">
        <f aca="false">SQRT(($B341-CT$270)^2+($C341-CT$271)^2+($D341-CT$272)^2)</f>
        <v>3.4775180584458</v>
      </c>
      <c r="CU341" s="63" t="n">
        <f aca="false">MATCH(MIN(CP341:CT341),CP341:CT341,0)</f>
        <v>4</v>
      </c>
      <c r="CW341" s="17" t="n">
        <f aca="false">SQRT(($B341-CW$270)^2+($C341-CW$271)^2+($D341-CW$272)^2)</f>
        <v>6.00615832612005</v>
      </c>
      <c r="CX341" s="17" t="n">
        <f aca="false">SQRT(($B341-CX$270)^2+($C341-CX$271)^2+($D341-CX$272)^2)</f>
        <v>1.93310770827042</v>
      </c>
      <c r="CY341" s="17" t="n">
        <f aca="false">SQRT(($B341-CY$270)^2+($C341-CY$271)^2+($D341-CY$272)^2)</f>
        <v>1.13793282419658</v>
      </c>
      <c r="CZ341" s="17" t="n">
        <f aca="false">SQRT(($B341-CZ$270)^2+($C341-CZ$271)^2+($D341-CZ$272)^2)</f>
        <v>0.838643097260285</v>
      </c>
      <c r="DA341" s="17" t="n">
        <f aca="false">SQRT(($B341-DA$270)^2+($C341-DA$271)^2+($D341-DA$272)^2)</f>
        <v>3.4775180584458</v>
      </c>
      <c r="DB341" s="63" t="n">
        <f aca="false">MATCH(MIN(CW341:DA341),CW341:DA341,0)</f>
        <v>4</v>
      </c>
    </row>
    <row r="342" customFormat="false" ht="15" hidden="false" customHeight="false" outlineLevel="0" collapsed="false">
      <c r="A342" s="36" t="str">
        <f aca="false">KMeans_Data!A70</f>
        <v>Naushero Feroz</v>
      </c>
      <c r="B342" s="17" t="n">
        <f aca="false">KMeans_Data!H70</f>
        <v>-0.134393009866687</v>
      </c>
      <c r="C342" s="17" t="n">
        <f aca="false">KMeans_Data!I70</f>
        <v>-0.146983133929529</v>
      </c>
      <c r="D342" s="17" t="n">
        <f aca="false">KMeans_Data!J70</f>
        <v>0.430439822017226</v>
      </c>
      <c r="E342" s="63" t="n">
        <f aca="false">DB342</f>
        <v>4</v>
      </c>
      <c r="F342" s="38" t="n">
        <f aca="false">($B342-INDEX($L$270:$P$270,E342))^2+($C342-INDEX($L$271:$P$271,E342))^2+($D342-INDEX($L$272:$P$272,E342))^2</f>
        <v>0.779284453072701</v>
      </c>
      <c r="G342" s="17" t="n">
        <f aca="false">IF(COUNTIF(Distance_Matrix!$E$11:$DQ$11,$E342)&lt;=1,0,SUMIF(Distance_Matrix!$E$11:$DQ$11,$E342,Distance_Matrix!$E$79:$DQ$79)/(COUNTIF(Distance_Matrix!$E$11:$DQ$11,$E342)-1))</f>
        <v>1.09947225605007</v>
      </c>
      <c r="H342" s="17" t="n">
        <f aca="false">MIN(IF(1=$E342,1E+099,IF(COUNTIF(Distance_Matrix!$E$11:$DQ$11,1)=0,1E+099,SUMIF(Distance_Matrix!$E$11:$DQ$11,1,Distance_Matrix!$E$79:$DQ$79)/COUNTIF(Distance_Matrix!$E$11:$DQ$11,1))),IF(2=$E342,1E+099,IF(COUNTIF(Distance_Matrix!$E$11:$DQ$11,2)=0,1E+099,SUMIF(Distance_Matrix!$E$11:$DQ$11,2,Distance_Matrix!$E$79:$DQ$79)/COUNTIF(Distance_Matrix!$E$11:$DQ$11,2))),IF(3=$E342,1E+099,IF(COUNTIF(Distance_Matrix!$E$11:$DQ$11,3)=0,1E+099,SUMIF(Distance_Matrix!$E$11:$DQ$11,3,Distance_Matrix!$E$79:$DQ$79)/COUNTIF(Distance_Matrix!$E$11:$DQ$11,3))),IF(4=$E342,1E+099,IF(COUNTIF(Distance_Matrix!$E$11:$DQ$11,4)=0,1E+099,SUMIF(Distance_Matrix!$E$11:$DQ$11,4,Distance_Matrix!$E$79:$DQ$79)/COUNTIF(Distance_Matrix!$E$11:$DQ$11,4))),IF(5=$E342,1E+099,IF(COUNTIF(Distance_Matrix!$E$11:$DQ$11,5)=0,1E+099,SUMIF(Distance_Matrix!$E$11:$DQ$11,5,Distance_Matrix!$E$79:$DQ$79)/COUNTIF(Distance_Matrix!$E$11:$DQ$11,5))))</f>
        <v>1.2778464428533</v>
      </c>
      <c r="I342" s="17" t="n">
        <f aca="false">IF(COUNTIF(Distance_Matrix!$E$11:$DQ$11,$E342)&lt;=1,0,(H342-G342)/MAX(G342,H342))</f>
        <v>0.139589688417442</v>
      </c>
      <c r="X342" s="17" t="n">
        <f aca="false">SQRT(($B342-X$270)^2+($C342-X$271)^2+($D342-X$272)^2)</f>
        <v>6.09144375722268</v>
      </c>
      <c r="Y342" s="17" t="n">
        <f aca="false">SQRT(($B342-Y$270)^2+($C342-Y$271)^2+($D342-Y$272)^2)</f>
        <v>2.55826774752687</v>
      </c>
      <c r="Z342" s="17" t="n">
        <f aca="false">SQRT(($B342-Z$270)^2+($C342-Z$271)^2+($D342-Z$272)^2)</f>
        <v>1.65251443757261</v>
      </c>
      <c r="AA342" s="17" t="n">
        <f aca="false">SQRT(($B342-AA$270)^2+($C342-AA$271)^2+($D342-AA$272)^2)</f>
        <v>1.75856295081393</v>
      </c>
      <c r="AB342" s="17" t="n">
        <f aca="false">SQRT(($B342-AB$270)^2+($C342-AB$271)^2+($D342-AB$272)^2)</f>
        <v>3.99684228339151</v>
      </c>
      <c r="AC342" s="63" t="n">
        <f aca="false">MATCH(MIN(X342:AB342),X342:AB342,0)</f>
        <v>3</v>
      </c>
      <c r="AE342" s="17" t="n">
        <f aca="false">SQRT(($B342-AE$270)^2+($C342-AE$271)^2+($D342-AE$272)^2)</f>
        <v>5.99898326020254</v>
      </c>
      <c r="AF342" s="17" t="n">
        <f aca="false">SQRT(($B342-AF$270)^2+($C342-AF$271)^2+($D342-AF$272)^2)</f>
        <v>1.82936202360789</v>
      </c>
      <c r="AG342" s="17" t="n">
        <f aca="false">SQRT(($B342-AG$270)^2+($C342-AG$271)^2+($D342-AG$272)^2)</f>
        <v>1.02809028324739</v>
      </c>
      <c r="AH342" s="17" t="n">
        <f aca="false">SQRT(($B342-AH$270)^2+($C342-AH$271)^2+($D342-AH$272)^2)</f>
        <v>1.0070703479593</v>
      </c>
      <c r="AI342" s="17" t="n">
        <f aca="false">SQRT(($B342-AI$270)^2+($C342-AI$271)^2+($D342-AI$272)^2)</f>
        <v>3.74396428617046</v>
      </c>
      <c r="AJ342" s="63" t="n">
        <f aca="false">MATCH(MIN(AE342:AI342),AE342:AI342,0)</f>
        <v>4</v>
      </c>
      <c r="AL342" s="17" t="n">
        <f aca="false">SQRT(($B342-AL$270)^2+($C342-AL$271)^2+($D342-AL$272)^2)</f>
        <v>5.99898326020254</v>
      </c>
      <c r="AM342" s="17" t="n">
        <f aca="false">SQRT(($B342-AM$270)^2+($C342-AM$271)^2+($D342-AM$272)^2)</f>
        <v>1.86211282269684</v>
      </c>
      <c r="AN342" s="17" t="n">
        <f aca="false">SQRT(($B342-AN$270)^2+($C342-AN$271)^2+($D342-AN$272)^2)</f>
        <v>1.10786726754448</v>
      </c>
      <c r="AO342" s="17" t="n">
        <f aca="false">SQRT(($B342-AO$270)^2+($C342-AO$271)^2+($D342-AO$272)^2)</f>
        <v>0.906521818638291</v>
      </c>
      <c r="AP342" s="17" t="n">
        <f aca="false">SQRT(($B342-AP$270)^2+($C342-AP$271)^2+($D342-AP$272)^2)</f>
        <v>3.47393972149445</v>
      </c>
      <c r="AQ342" s="63" t="n">
        <f aca="false">MATCH(MIN(AL342:AP342),AL342:AP342,0)</f>
        <v>4</v>
      </c>
      <c r="AS342" s="17" t="n">
        <f aca="false">SQRT(($B342-AS$270)^2+($C342-AS$271)^2+($D342-AS$272)^2)</f>
        <v>5.99898326020254</v>
      </c>
      <c r="AT342" s="17" t="n">
        <f aca="false">SQRT(($B342-AT$270)^2+($C342-AT$271)^2+($D342-AT$272)^2)</f>
        <v>1.95587575845984</v>
      </c>
      <c r="AU342" s="17" t="n">
        <f aca="false">SQRT(($B342-AU$270)^2+($C342-AU$271)^2+($D342-AU$272)^2)</f>
        <v>1.13417268857119</v>
      </c>
      <c r="AV342" s="17" t="n">
        <f aca="false">SQRT(($B342-AV$270)^2+($C342-AV$271)^2+($D342-AV$272)^2)</f>
        <v>0.882770895007703</v>
      </c>
      <c r="AW342" s="17" t="n">
        <f aca="false">SQRT(($B342-AW$270)^2+($C342-AW$271)^2+($D342-AW$272)^2)</f>
        <v>3.47393972149445</v>
      </c>
      <c r="AX342" s="63" t="n">
        <f aca="false">MATCH(MIN(AS342:AW342),AS342:AW342,0)</f>
        <v>4</v>
      </c>
      <c r="AZ342" s="17" t="n">
        <f aca="false">SQRT(($B342-AZ$270)^2+($C342-AZ$271)^2+($D342-AZ$272)^2)</f>
        <v>5.99898326020254</v>
      </c>
      <c r="BA342" s="17" t="n">
        <f aca="false">SQRT(($B342-BA$270)^2+($C342-BA$271)^2+($D342-BA$272)^2)</f>
        <v>1.95587575845984</v>
      </c>
      <c r="BB342" s="17" t="n">
        <f aca="false">SQRT(($B342-BB$270)^2+($C342-BB$271)^2+($D342-BB$272)^2)</f>
        <v>1.13417268857119</v>
      </c>
      <c r="BC342" s="17" t="n">
        <f aca="false">SQRT(($B342-BC$270)^2+($C342-BC$271)^2+($D342-BC$272)^2)</f>
        <v>0.882770895007703</v>
      </c>
      <c r="BD342" s="17" t="n">
        <f aca="false">SQRT(($B342-BD$270)^2+($C342-BD$271)^2+($D342-BD$272)^2)</f>
        <v>3.47393972149445</v>
      </c>
      <c r="BE342" s="63" t="n">
        <f aca="false">MATCH(MIN(AZ342:BD342),AZ342:BD342,0)</f>
        <v>4</v>
      </c>
      <c r="BG342" s="17" t="n">
        <f aca="false">SQRT(($B342-BG$270)^2+($C342-BG$271)^2+($D342-BG$272)^2)</f>
        <v>5.99898326020254</v>
      </c>
      <c r="BH342" s="17" t="n">
        <f aca="false">SQRT(($B342-BH$270)^2+($C342-BH$271)^2+($D342-BH$272)^2)</f>
        <v>1.95587575845984</v>
      </c>
      <c r="BI342" s="17" t="n">
        <f aca="false">SQRT(($B342-BI$270)^2+($C342-BI$271)^2+($D342-BI$272)^2)</f>
        <v>1.13417268857119</v>
      </c>
      <c r="BJ342" s="17" t="n">
        <f aca="false">SQRT(($B342-BJ$270)^2+($C342-BJ$271)^2+($D342-BJ$272)^2)</f>
        <v>0.882770895007703</v>
      </c>
      <c r="BK342" s="17" t="n">
        <f aca="false">SQRT(($B342-BK$270)^2+($C342-BK$271)^2+($D342-BK$272)^2)</f>
        <v>3.47393972149445</v>
      </c>
      <c r="BL342" s="63" t="n">
        <f aca="false">MATCH(MIN(BG342:BK342),BG342:BK342,0)</f>
        <v>4</v>
      </c>
      <c r="BN342" s="17" t="n">
        <f aca="false">SQRT(($B342-BN$270)^2+($C342-BN$271)^2+($D342-BN$272)^2)</f>
        <v>5.99898326020254</v>
      </c>
      <c r="BO342" s="17" t="n">
        <f aca="false">SQRT(($B342-BO$270)^2+($C342-BO$271)^2+($D342-BO$272)^2)</f>
        <v>1.95587575845984</v>
      </c>
      <c r="BP342" s="17" t="n">
        <f aca="false">SQRT(($B342-BP$270)^2+($C342-BP$271)^2+($D342-BP$272)^2)</f>
        <v>1.13417268857119</v>
      </c>
      <c r="BQ342" s="17" t="n">
        <f aca="false">SQRT(($B342-BQ$270)^2+($C342-BQ$271)^2+($D342-BQ$272)^2)</f>
        <v>0.882770895007703</v>
      </c>
      <c r="BR342" s="17" t="n">
        <f aca="false">SQRT(($B342-BR$270)^2+($C342-BR$271)^2+($D342-BR$272)^2)</f>
        <v>3.47393972149445</v>
      </c>
      <c r="BS342" s="63" t="n">
        <f aca="false">MATCH(MIN(BN342:BR342),BN342:BR342,0)</f>
        <v>4</v>
      </c>
      <c r="BU342" s="17" t="n">
        <f aca="false">SQRT(($B342-BU$270)^2+($C342-BU$271)^2+($D342-BU$272)^2)</f>
        <v>5.99898326020254</v>
      </c>
      <c r="BV342" s="17" t="n">
        <f aca="false">SQRT(($B342-BV$270)^2+($C342-BV$271)^2+($D342-BV$272)^2)</f>
        <v>1.95587575845984</v>
      </c>
      <c r="BW342" s="17" t="n">
        <f aca="false">SQRT(($B342-BW$270)^2+($C342-BW$271)^2+($D342-BW$272)^2)</f>
        <v>1.13417268857119</v>
      </c>
      <c r="BX342" s="17" t="n">
        <f aca="false">SQRT(($B342-BX$270)^2+($C342-BX$271)^2+($D342-BX$272)^2)</f>
        <v>0.882770895007703</v>
      </c>
      <c r="BY342" s="17" t="n">
        <f aca="false">SQRT(($B342-BY$270)^2+($C342-BY$271)^2+($D342-BY$272)^2)</f>
        <v>3.47393972149445</v>
      </c>
      <c r="BZ342" s="63" t="n">
        <f aca="false">MATCH(MIN(BU342:BY342),BU342:BY342,0)</f>
        <v>4</v>
      </c>
      <c r="CB342" s="17" t="n">
        <f aca="false">SQRT(($B342-CB$270)^2+($C342-CB$271)^2+($D342-CB$272)^2)</f>
        <v>5.99898326020254</v>
      </c>
      <c r="CC342" s="17" t="n">
        <f aca="false">SQRT(($B342-CC$270)^2+($C342-CC$271)^2+($D342-CC$272)^2)</f>
        <v>1.95587575845984</v>
      </c>
      <c r="CD342" s="17" t="n">
        <f aca="false">SQRT(($B342-CD$270)^2+($C342-CD$271)^2+($D342-CD$272)^2)</f>
        <v>1.13417268857119</v>
      </c>
      <c r="CE342" s="17" t="n">
        <f aca="false">SQRT(($B342-CE$270)^2+($C342-CE$271)^2+($D342-CE$272)^2)</f>
        <v>0.882770895007703</v>
      </c>
      <c r="CF342" s="17" t="n">
        <f aca="false">SQRT(($B342-CF$270)^2+($C342-CF$271)^2+($D342-CF$272)^2)</f>
        <v>3.47393972149445</v>
      </c>
      <c r="CG342" s="63" t="n">
        <f aca="false">MATCH(MIN(CB342:CF342),CB342:CF342,0)</f>
        <v>4</v>
      </c>
      <c r="CI342" s="17" t="n">
        <f aca="false">SQRT(($B342-CI$270)^2+($C342-CI$271)^2+($D342-CI$272)^2)</f>
        <v>5.99898326020254</v>
      </c>
      <c r="CJ342" s="17" t="n">
        <f aca="false">SQRT(($B342-CJ$270)^2+($C342-CJ$271)^2+($D342-CJ$272)^2)</f>
        <v>1.95587575845984</v>
      </c>
      <c r="CK342" s="17" t="n">
        <f aca="false">SQRT(($B342-CK$270)^2+($C342-CK$271)^2+($D342-CK$272)^2)</f>
        <v>1.13417268857119</v>
      </c>
      <c r="CL342" s="17" t="n">
        <f aca="false">SQRT(($B342-CL$270)^2+($C342-CL$271)^2+($D342-CL$272)^2)</f>
        <v>0.882770895007703</v>
      </c>
      <c r="CM342" s="17" t="n">
        <f aca="false">SQRT(($B342-CM$270)^2+($C342-CM$271)^2+($D342-CM$272)^2)</f>
        <v>3.47393972149445</v>
      </c>
      <c r="CN342" s="63" t="n">
        <f aca="false">MATCH(MIN(CI342:CM342),CI342:CM342,0)</f>
        <v>4</v>
      </c>
      <c r="CP342" s="17" t="n">
        <f aca="false">SQRT(($B342-CP$270)^2+($C342-CP$271)^2+($D342-CP$272)^2)</f>
        <v>5.99898326020254</v>
      </c>
      <c r="CQ342" s="17" t="n">
        <f aca="false">SQRT(($B342-CQ$270)^2+($C342-CQ$271)^2+($D342-CQ$272)^2)</f>
        <v>1.95587575845984</v>
      </c>
      <c r="CR342" s="17" t="n">
        <f aca="false">SQRT(($B342-CR$270)^2+($C342-CR$271)^2+($D342-CR$272)^2)</f>
        <v>1.13417268857119</v>
      </c>
      <c r="CS342" s="17" t="n">
        <f aca="false">SQRT(($B342-CS$270)^2+($C342-CS$271)^2+($D342-CS$272)^2)</f>
        <v>0.882770895007703</v>
      </c>
      <c r="CT342" s="17" t="n">
        <f aca="false">SQRT(($B342-CT$270)^2+($C342-CT$271)^2+($D342-CT$272)^2)</f>
        <v>3.47393972149445</v>
      </c>
      <c r="CU342" s="63" t="n">
        <f aca="false">MATCH(MIN(CP342:CT342),CP342:CT342,0)</f>
        <v>4</v>
      </c>
      <c r="CW342" s="17" t="n">
        <f aca="false">SQRT(($B342-CW$270)^2+($C342-CW$271)^2+($D342-CW$272)^2)</f>
        <v>5.99898326020254</v>
      </c>
      <c r="CX342" s="17" t="n">
        <f aca="false">SQRT(($B342-CX$270)^2+($C342-CX$271)^2+($D342-CX$272)^2)</f>
        <v>1.95587575845984</v>
      </c>
      <c r="CY342" s="17" t="n">
        <f aca="false">SQRT(($B342-CY$270)^2+($C342-CY$271)^2+($D342-CY$272)^2)</f>
        <v>1.13417268857119</v>
      </c>
      <c r="CZ342" s="17" t="n">
        <f aca="false">SQRT(($B342-CZ$270)^2+($C342-CZ$271)^2+($D342-CZ$272)^2)</f>
        <v>0.882770895007703</v>
      </c>
      <c r="DA342" s="17" t="n">
        <f aca="false">SQRT(($B342-DA$270)^2+($C342-DA$271)^2+($D342-DA$272)^2)</f>
        <v>3.47393972149445</v>
      </c>
      <c r="DB342" s="63" t="n">
        <f aca="false">MATCH(MIN(CW342:DA342),CW342:DA342,0)</f>
        <v>4</v>
      </c>
    </row>
    <row r="343" customFormat="false" ht="15" hidden="false" customHeight="false" outlineLevel="0" collapsed="false">
      <c r="A343" s="36" t="str">
        <f aca="false">KMeans_Data!A71</f>
        <v>Tando M. Khan</v>
      </c>
      <c r="B343" s="17" t="n">
        <f aca="false">KMeans_Data!H71</f>
        <v>-0.172963987436362</v>
      </c>
      <c r="C343" s="17" t="n">
        <f aca="false">KMeans_Data!I71</f>
        <v>-0.672650545388274</v>
      </c>
      <c r="D343" s="17" t="n">
        <f aca="false">KMeans_Data!J71</f>
        <v>0.597261815332999</v>
      </c>
      <c r="E343" s="63" t="n">
        <f aca="false">DB343</f>
        <v>4</v>
      </c>
      <c r="F343" s="38" t="n">
        <f aca="false">($B343-INDEX($L$270:$P$270,E343))^2+($C343-INDEX($L$271:$P$271,E343))^2+($D343-INDEX($L$272:$P$272,E343))^2</f>
        <v>0.974484069085497</v>
      </c>
      <c r="G343" s="17" t="n">
        <f aca="false">IF(COUNTIF(Distance_Matrix!$E$11:$DQ$11,$E343)&lt;=1,0,SUMIF(Distance_Matrix!$E$11:$DQ$11,$E343,Distance_Matrix!$E$80:$DQ$80)/(COUNTIF(Distance_Matrix!$E$11:$DQ$11,$E343)-1))</f>
        <v>1.17378532488261</v>
      </c>
      <c r="H343" s="17" t="n">
        <f aca="false">MIN(IF(1=$E343,1E+099,IF(COUNTIF(Distance_Matrix!$E$11:$DQ$11,1)=0,1E+099,SUMIF(Distance_Matrix!$E$11:$DQ$11,1,Distance_Matrix!$E$80:$DQ$80)/COUNTIF(Distance_Matrix!$E$11:$DQ$11,1))),IF(2=$E343,1E+099,IF(COUNTIF(Distance_Matrix!$E$11:$DQ$11,2)=0,1E+099,SUMIF(Distance_Matrix!$E$11:$DQ$11,2,Distance_Matrix!$E$80:$DQ$80)/COUNTIF(Distance_Matrix!$E$11:$DQ$11,2))),IF(3=$E343,1E+099,IF(COUNTIF(Distance_Matrix!$E$11:$DQ$11,3)=0,1E+099,SUMIF(Distance_Matrix!$E$11:$DQ$11,3,Distance_Matrix!$E$80:$DQ$80)/COUNTIF(Distance_Matrix!$E$11:$DQ$11,3))),IF(4=$E343,1E+099,IF(COUNTIF(Distance_Matrix!$E$11:$DQ$11,4)=0,1E+099,SUMIF(Distance_Matrix!$E$11:$DQ$11,4,Distance_Matrix!$E$80:$DQ$80)/COUNTIF(Distance_Matrix!$E$11:$DQ$11,4))),IF(5=$E343,1E+099,IF(COUNTIF(Distance_Matrix!$E$11:$DQ$11,5)=0,1E+099,SUMIF(Distance_Matrix!$E$11:$DQ$11,5,Distance_Matrix!$E$80:$DQ$80)/COUNTIF(Distance_Matrix!$E$11:$DQ$11,5))))</f>
        <v>1.59838140146938</v>
      </c>
      <c r="I343" s="17" t="n">
        <f aca="false">IF(COUNTIF(Distance_Matrix!$E$11:$DQ$11,$E343)&lt;=1,0,(H343-G343)/MAX(G343,H343))</f>
        <v>0.265641276979599</v>
      </c>
      <c r="X343" s="17" t="n">
        <f aca="false">SQRT(($B343-X$270)^2+($C343-X$271)^2+($D343-X$272)^2)</f>
        <v>6.41352976848323</v>
      </c>
      <c r="Y343" s="17" t="n">
        <f aca="false">SQRT(($B343-Y$270)^2+($C343-Y$271)^2+($D343-Y$272)^2)</f>
        <v>2.5833134057316</v>
      </c>
      <c r="Z343" s="17" t="n">
        <f aca="false">SQRT(($B343-Z$270)^2+($C343-Z$271)^2+($D343-Z$272)^2)</f>
        <v>1.82551676868197</v>
      </c>
      <c r="AA343" s="17" t="n">
        <f aca="false">SQRT(($B343-AA$270)^2+($C343-AA$271)^2+($D343-AA$272)^2)</f>
        <v>1.99604958037871</v>
      </c>
      <c r="AB343" s="17" t="n">
        <f aca="false">SQRT(($B343-AB$270)^2+($C343-AB$271)^2+($D343-AB$272)^2)</f>
        <v>4.2885538040986</v>
      </c>
      <c r="AC343" s="63" t="n">
        <f aca="false">MATCH(MIN(X343:AB343),X343:AB343,0)</f>
        <v>3</v>
      </c>
      <c r="AE343" s="17" t="n">
        <f aca="false">SQRT(($B343-AE$270)^2+($C343-AE$271)^2+($D343-AE$272)^2)</f>
        <v>6.33814042623376</v>
      </c>
      <c r="AF343" s="17" t="n">
        <f aca="false">SQRT(($B343-AF$270)^2+($C343-AF$271)^2+($D343-AF$272)^2)</f>
        <v>1.86803933175884</v>
      </c>
      <c r="AG343" s="17" t="n">
        <f aca="false">SQRT(($B343-AG$270)^2+($C343-AG$271)^2+($D343-AG$272)^2)</f>
        <v>1.39889023487082</v>
      </c>
      <c r="AH343" s="17" t="n">
        <f aca="false">SQRT(($B343-AH$270)^2+($C343-AH$271)^2+($D343-AH$272)^2)</f>
        <v>1.13171065314943</v>
      </c>
      <c r="AI343" s="17" t="n">
        <f aca="false">SQRT(($B343-AI$270)^2+($C343-AI$271)^2+($D343-AI$272)^2)</f>
        <v>4.10667718104597</v>
      </c>
      <c r="AJ343" s="63" t="n">
        <f aca="false">MATCH(MIN(AE343:AI343),AE343:AI343,0)</f>
        <v>4</v>
      </c>
      <c r="AL343" s="17" t="n">
        <f aca="false">SQRT(($B343-AL$270)^2+($C343-AL$271)^2+($D343-AL$272)^2)</f>
        <v>6.33814042623376</v>
      </c>
      <c r="AM343" s="17" t="n">
        <f aca="false">SQRT(($B343-AM$270)^2+($C343-AM$271)^2+($D343-AM$272)^2)</f>
        <v>1.90471903106914</v>
      </c>
      <c r="AN343" s="17" t="n">
        <f aca="false">SQRT(($B343-AN$270)^2+($C343-AN$271)^2+($D343-AN$272)^2)</f>
        <v>1.48634620344184</v>
      </c>
      <c r="AO343" s="17" t="n">
        <f aca="false">SQRT(($B343-AO$270)^2+($C343-AO$271)^2+($D343-AO$272)^2)</f>
        <v>1.0119740950866</v>
      </c>
      <c r="AP343" s="17" t="n">
        <f aca="false">SQRT(($B343-AP$270)^2+($C343-AP$271)^2+($D343-AP$272)^2)</f>
        <v>3.84453972551868</v>
      </c>
      <c r="AQ343" s="63" t="n">
        <f aca="false">MATCH(MIN(AL343:AP343),AL343:AP343,0)</f>
        <v>4</v>
      </c>
      <c r="AS343" s="17" t="n">
        <f aca="false">SQRT(($B343-AS$270)^2+($C343-AS$271)^2+($D343-AS$272)^2)</f>
        <v>6.33814042623376</v>
      </c>
      <c r="AT343" s="17" t="n">
        <f aca="false">SQRT(($B343-AT$270)^2+($C343-AT$271)^2+($D343-AT$272)^2)</f>
        <v>2.00355662454624</v>
      </c>
      <c r="AU343" s="17" t="n">
        <f aca="false">SQRT(($B343-AU$270)^2+($C343-AU$271)^2+($D343-AU$272)^2)</f>
        <v>1.50877358435111</v>
      </c>
      <c r="AV343" s="17" t="n">
        <f aca="false">SQRT(($B343-AV$270)^2+($C343-AV$271)^2+($D343-AV$272)^2)</f>
        <v>0.98715959656253</v>
      </c>
      <c r="AW343" s="17" t="n">
        <f aca="false">SQRT(($B343-AW$270)^2+($C343-AW$271)^2+($D343-AW$272)^2)</f>
        <v>3.84453972551868</v>
      </c>
      <c r="AX343" s="63" t="n">
        <f aca="false">MATCH(MIN(AS343:AW343),AS343:AW343,0)</f>
        <v>4</v>
      </c>
      <c r="AZ343" s="17" t="n">
        <f aca="false">SQRT(($B343-AZ$270)^2+($C343-AZ$271)^2+($D343-AZ$272)^2)</f>
        <v>6.33814042623376</v>
      </c>
      <c r="BA343" s="17" t="n">
        <f aca="false">SQRT(($B343-BA$270)^2+($C343-BA$271)^2+($D343-BA$272)^2)</f>
        <v>2.00355662454624</v>
      </c>
      <c r="BB343" s="17" t="n">
        <f aca="false">SQRT(($B343-BB$270)^2+($C343-BB$271)^2+($D343-BB$272)^2)</f>
        <v>1.50877358435111</v>
      </c>
      <c r="BC343" s="17" t="n">
        <f aca="false">SQRT(($B343-BC$270)^2+($C343-BC$271)^2+($D343-BC$272)^2)</f>
        <v>0.98715959656253</v>
      </c>
      <c r="BD343" s="17" t="n">
        <f aca="false">SQRT(($B343-BD$270)^2+($C343-BD$271)^2+($D343-BD$272)^2)</f>
        <v>3.84453972551868</v>
      </c>
      <c r="BE343" s="63" t="n">
        <f aca="false">MATCH(MIN(AZ343:BD343),AZ343:BD343,0)</f>
        <v>4</v>
      </c>
      <c r="BG343" s="17" t="n">
        <f aca="false">SQRT(($B343-BG$270)^2+($C343-BG$271)^2+($D343-BG$272)^2)</f>
        <v>6.33814042623376</v>
      </c>
      <c r="BH343" s="17" t="n">
        <f aca="false">SQRT(($B343-BH$270)^2+($C343-BH$271)^2+($D343-BH$272)^2)</f>
        <v>2.00355662454624</v>
      </c>
      <c r="BI343" s="17" t="n">
        <f aca="false">SQRT(($B343-BI$270)^2+($C343-BI$271)^2+($D343-BI$272)^2)</f>
        <v>1.50877358435111</v>
      </c>
      <c r="BJ343" s="17" t="n">
        <f aca="false">SQRT(($B343-BJ$270)^2+($C343-BJ$271)^2+($D343-BJ$272)^2)</f>
        <v>0.98715959656253</v>
      </c>
      <c r="BK343" s="17" t="n">
        <f aca="false">SQRT(($B343-BK$270)^2+($C343-BK$271)^2+($D343-BK$272)^2)</f>
        <v>3.84453972551868</v>
      </c>
      <c r="BL343" s="63" t="n">
        <f aca="false">MATCH(MIN(BG343:BK343),BG343:BK343,0)</f>
        <v>4</v>
      </c>
      <c r="BN343" s="17" t="n">
        <f aca="false">SQRT(($B343-BN$270)^2+($C343-BN$271)^2+($D343-BN$272)^2)</f>
        <v>6.33814042623376</v>
      </c>
      <c r="BO343" s="17" t="n">
        <f aca="false">SQRT(($B343-BO$270)^2+($C343-BO$271)^2+($D343-BO$272)^2)</f>
        <v>2.00355662454624</v>
      </c>
      <c r="BP343" s="17" t="n">
        <f aca="false">SQRT(($B343-BP$270)^2+($C343-BP$271)^2+($D343-BP$272)^2)</f>
        <v>1.50877358435111</v>
      </c>
      <c r="BQ343" s="17" t="n">
        <f aca="false">SQRT(($B343-BQ$270)^2+($C343-BQ$271)^2+($D343-BQ$272)^2)</f>
        <v>0.98715959656253</v>
      </c>
      <c r="BR343" s="17" t="n">
        <f aca="false">SQRT(($B343-BR$270)^2+($C343-BR$271)^2+($D343-BR$272)^2)</f>
        <v>3.84453972551868</v>
      </c>
      <c r="BS343" s="63" t="n">
        <f aca="false">MATCH(MIN(BN343:BR343),BN343:BR343,0)</f>
        <v>4</v>
      </c>
      <c r="BU343" s="17" t="n">
        <f aca="false">SQRT(($B343-BU$270)^2+($C343-BU$271)^2+($D343-BU$272)^2)</f>
        <v>6.33814042623376</v>
      </c>
      <c r="BV343" s="17" t="n">
        <f aca="false">SQRT(($B343-BV$270)^2+($C343-BV$271)^2+($D343-BV$272)^2)</f>
        <v>2.00355662454624</v>
      </c>
      <c r="BW343" s="17" t="n">
        <f aca="false">SQRT(($B343-BW$270)^2+($C343-BW$271)^2+($D343-BW$272)^2)</f>
        <v>1.50877358435111</v>
      </c>
      <c r="BX343" s="17" t="n">
        <f aca="false">SQRT(($B343-BX$270)^2+($C343-BX$271)^2+($D343-BX$272)^2)</f>
        <v>0.98715959656253</v>
      </c>
      <c r="BY343" s="17" t="n">
        <f aca="false">SQRT(($B343-BY$270)^2+($C343-BY$271)^2+($D343-BY$272)^2)</f>
        <v>3.84453972551868</v>
      </c>
      <c r="BZ343" s="63" t="n">
        <f aca="false">MATCH(MIN(BU343:BY343),BU343:BY343,0)</f>
        <v>4</v>
      </c>
      <c r="CB343" s="17" t="n">
        <f aca="false">SQRT(($B343-CB$270)^2+($C343-CB$271)^2+($D343-CB$272)^2)</f>
        <v>6.33814042623376</v>
      </c>
      <c r="CC343" s="17" t="n">
        <f aca="false">SQRT(($B343-CC$270)^2+($C343-CC$271)^2+($D343-CC$272)^2)</f>
        <v>2.00355662454624</v>
      </c>
      <c r="CD343" s="17" t="n">
        <f aca="false">SQRT(($B343-CD$270)^2+($C343-CD$271)^2+($D343-CD$272)^2)</f>
        <v>1.50877358435111</v>
      </c>
      <c r="CE343" s="17" t="n">
        <f aca="false">SQRT(($B343-CE$270)^2+($C343-CE$271)^2+($D343-CE$272)^2)</f>
        <v>0.98715959656253</v>
      </c>
      <c r="CF343" s="17" t="n">
        <f aca="false">SQRT(($B343-CF$270)^2+($C343-CF$271)^2+($D343-CF$272)^2)</f>
        <v>3.84453972551868</v>
      </c>
      <c r="CG343" s="63" t="n">
        <f aca="false">MATCH(MIN(CB343:CF343),CB343:CF343,0)</f>
        <v>4</v>
      </c>
      <c r="CI343" s="17" t="n">
        <f aca="false">SQRT(($B343-CI$270)^2+($C343-CI$271)^2+($D343-CI$272)^2)</f>
        <v>6.33814042623376</v>
      </c>
      <c r="CJ343" s="17" t="n">
        <f aca="false">SQRT(($B343-CJ$270)^2+($C343-CJ$271)^2+($D343-CJ$272)^2)</f>
        <v>2.00355662454624</v>
      </c>
      <c r="CK343" s="17" t="n">
        <f aca="false">SQRT(($B343-CK$270)^2+($C343-CK$271)^2+($D343-CK$272)^2)</f>
        <v>1.50877358435111</v>
      </c>
      <c r="CL343" s="17" t="n">
        <f aca="false">SQRT(($B343-CL$270)^2+($C343-CL$271)^2+($D343-CL$272)^2)</f>
        <v>0.98715959656253</v>
      </c>
      <c r="CM343" s="17" t="n">
        <f aca="false">SQRT(($B343-CM$270)^2+($C343-CM$271)^2+($D343-CM$272)^2)</f>
        <v>3.84453972551868</v>
      </c>
      <c r="CN343" s="63" t="n">
        <f aca="false">MATCH(MIN(CI343:CM343),CI343:CM343,0)</f>
        <v>4</v>
      </c>
      <c r="CP343" s="17" t="n">
        <f aca="false">SQRT(($B343-CP$270)^2+($C343-CP$271)^2+($D343-CP$272)^2)</f>
        <v>6.33814042623376</v>
      </c>
      <c r="CQ343" s="17" t="n">
        <f aca="false">SQRT(($B343-CQ$270)^2+($C343-CQ$271)^2+($D343-CQ$272)^2)</f>
        <v>2.00355662454624</v>
      </c>
      <c r="CR343" s="17" t="n">
        <f aca="false">SQRT(($B343-CR$270)^2+($C343-CR$271)^2+($D343-CR$272)^2)</f>
        <v>1.50877358435111</v>
      </c>
      <c r="CS343" s="17" t="n">
        <f aca="false">SQRT(($B343-CS$270)^2+($C343-CS$271)^2+($D343-CS$272)^2)</f>
        <v>0.98715959656253</v>
      </c>
      <c r="CT343" s="17" t="n">
        <f aca="false">SQRT(($B343-CT$270)^2+($C343-CT$271)^2+($D343-CT$272)^2)</f>
        <v>3.84453972551868</v>
      </c>
      <c r="CU343" s="63" t="n">
        <f aca="false">MATCH(MIN(CP343:CT343),CP343:CT343,0)</f>
        <v>4</v>
      </c>
      <c r="CW343" s="17" t="n">
        <f aca="false">SQRT(($B343-CW$270)^2+($C343-CW$271)^2+($D343-CW$272)^2)</f>
        <v>6.33814042623376</v>
      </c>
      <c r="CX343" s="17" t="n">
        <f aca="false">SQRT(($B343-CX$270)^2+($C343-CX$271)^2+($D343-CX$272)^2)</f>
        <v>2.00355662454624</v>
      </c>
      <c r="CY343" s="17" t="n">
        <f aca="false">SQRT(($B343-CY$270)^2+($C343-CY$271)^2+($D343-CY$272)^2)</f>
        <v>1.50877358435111</v>
      </c>
      <c r="CZ343" s="17" t="n">
        <f aca="false">SQRT(($B343-CZ$270)^2+($C343-CZ$271)^2+($D343-CZ$272)^2)</f>
        <v>0.98715959656253</v>
      </c>
      <c r="DA343" s="17" t="n">
        <f aca="false">SQRT(($B343-DA$270)^2+($C343-DA$271)^2+($D343-DA$272)^2)</f>
        <v>3.84453972551868</v>
      </c>
      <c r="DB343" s="63" t="n">
        <f aca="false">MATCH(MIN(CW343:DA343),CW343:DA343,0)</f>
        <v>4</v>
      </c>
    </row>
    <row r="344" customFormat="false" ht="15" hidden="false" customHeight="false" outlineLevel="0" collapsed="false">
      <c r="A344" s="36" t="str">
        <f aca="false">KMeans_Data!A72</f>
        <v>Chitral Lower</v>
      </c>
      <c r="B344" s="17" t="n">
        <f aca="false">KMeans_Data!H72</f>
        <v>-0.214623816906368</v>
      </c>
      <c r="C344" s="17" t="n">
        <f aca="false">KMeans_Data!I72</f>
        <v>-0.672650545388274</v>
      </c>
      <c r="D344" s="17" t="n">
        <f aca="false">KMeans_Data!J72</f>
        <v>0.193727873085246</v>
      </c>
      <c r="E344" s="63" t="n">
        <f aca="false">DB344</f>
        <v>4</v>
      </c>
      <c r="F344" s="38" t="n">
        <f aca="false">($B344-INDEX($L$270:$P$270,E344))^2+($C344-INDEX($L$271:$P$271,E344))^2+($D344-INDEX($L$272:$P$272,E344))^2</f>
        <v>0.358005752752399</v>
      </c>
      <c r="G344" s="17" t="n">
        <f aca="false">IF(COUNTIF(Distance_Matrix!$E$11:$DQ$11,$E344)&lt;=1,0,SUMIF(Distance_Matrix!$E$11:$DQ$11,$E344,Distance_Matrix!$E$81:$DQ$81)/(COUNTIF(Distance_Matrix!$E$11:$DQ$11,$E344)-1))</f>
        <v>0.896474545241898</v>
      </c>
      <c r="H344" s="17" t="n">
        <f aca="false">MIN(IF(1=$E344,1E+099,IF(COUNTIF(Distance_Matrix!$E$11:$DQ$11,1)=0,1E+099,SUMIF(Distance_Matrix!$E$11:$DQ$11,1,Distance_Matrix!$E$81:$DQ$81)/COUNTIF(Distance_Matrix!$E$11:$DQ$11,1))),IF(2=$E344,1E+099,IF(COUNTIF(Distance_Matrix!$E$11:$DQ$11,2)=0,1E+099,SUMIF(Distance_Matrix!$E$11:$DQ$11,2,Distance_Matrix!$E$81:$DQ$81)/COUNTIF(Distance_Matrix!$E$11:$DQ$11,2))),IF(3=$E344,1E+099,IF(COUNTIF(Distance_Matrix!$E$11:$DQ$11,3)=0,1E+099,SUMIF(Distance_Matrix!$E$11:$DQ$11,3,Distance_Matrix!$E$81:$DQ$81)/COUNTIF(Distance_Matrix!$E$11:$DQ$11,3))),IF(4=$E344,1E+099,IF(COUNTIF(Distance_Matrix!$E$11:$DQ$11,4)=0,1E+099,SUMIF(Distance_Matrix!$E$11:$DQ$11,4,Distance_Matrix!$E$81:$DQ$81)/COUNTIF(Distance_Matrix!$E$11:$DQ$11,4))),IF(5=$E344,1E+099,IF(COUNTIF(Distance_Matrix!$E$11:$DQ$11,5)=0,1E+099,SUMIF(Distance_Matrix!$E$11:$DQ$11,5,Distance_Matrix!$E$81:$DQ$81)/COUNTIF(Distance_Matrix!$E$11:$DQ$11,5))))</f>
        <v>1.68719810821437</v>
      </c>
      <c r="I344" s="17" t="n">
        <f aca="false">IF(COUNTIF(Distance_Matrix!$E$11:$DQ$11,$E344)&lt;=1,0,(H344-G344)/MAX(G344,H344))</f>
        <v>0.468660769071943</v>
      </c>
      <c r="X344" s="17" t="n">
        <f aca="false">SQRT(($B344-X$270)^2+($C344-X$271)^2+($D344-X$272)^2)</f>
        <v>6.61273726401933</v>
      </c>
      <c r="Y344" s="17" t="n">
        <f aca="false">SQRT(($B344-Y$270)^2+($C344-Y$271)^2+($D344-Y$272)^2)</f>
        <v>2.296207345633</v>
      </c>
      <c r="Z344" s="17" t="n">
        <f aca="false">SQRT(($B344-Z$270)^2+($C344-Z$271)^2+($D344-Z$272)^2)</f>
        <v>2.07427434150847</v>
      </c>
      <c r="AA344" s="17" t="n">
        <f aca="false">SQRT(($B344-AA$270)^2+($C344-AA$271)^2+($D344-AA$272)^2)</f>
        <v>1.67641112725911</v>
      </c>
      <c r="AB344" s="17" t="n">
        <f aca="false">SQRT(($B344-AB$270)^2+($C344-AB$271)^2+($D344-AB$272)^2)</f>
        <v>4.49447587225728</v>
      </c>
      <c r="AC344" s="63" t="n">
        <f aca="false">MATCH(MIN(X344:AB344),X344:AB344,0)</f>
        <v>4</v>
      </c>
      <c r="AE344" s="17" t="n">
        <f aca="false">SQRT(($B344-AE$270)^2+($C344-AE$271)^2+($D344-AE$272)^2)</f>
        <v>6.52188972584182</v>
      </c>
      <c r="AF344" s="17" t="n">
        <f aca="false">SQRT(($B344-AF$270)^2+($C344-AF$271)^2+($D344-AF$272)^2)</f>
        <v>1.52589041513557</v>
      </c>
      <c r="AG344" s="17" t="n">
        <f aca="false">SQRT(($B344-AG$270)^2+($C344-AG$271)^2+($D344-AG$272)^2)</f>
        <v>1.54347274334366</v>
      </c>
      <c r="AH344" s="17" t="n">
        <f aca="false">SQRT(($B344-AH$270)^2+($C344-AH$271)^2+($D344-AH$272)^2)</f>
        <v>0.746811884740067</v>
      </c>
      <c r="AI344" s="17" t="n">
        <f aca="false">SQRT(($B344-AI$270)^2+($C344-AI$271)^2+($D344-AI$272)^2)</f>
        <v>4.26371670755087</v>
      </c>
      <c r="AJ344" s="63" t="n">
        <f aca="false">MATCH(MIN(AE344:AI344),AE344:AI344,0)</f>
        <v>4</v>
      </c>
      <c r="AL344" s="17" t="n">
        <f aca="false">SQRT(($B344-AL$270)^2+($C344-AL$271)^2+($D344-AL$272)^2)</f>
        <v>6.52188972584182</v>
      </c>
      <c r="AM344" s="17" t="n">
        <f aca="false">SQRT(($B344-AM$270)^2+($C344-AM$271)^2+($D344-AM$272)^2)</f>
        <v>1.55781523885059</v>
      </c>
      <c r="AN344" s="17" t="n">
        <f aca="false">SQRT(($B344-AN$270)^2+($C344-AN$271)^2+($D344-AN$272)^2)</f>
        <v>1.62401240865884</v>
      </c>
      <c r="AO344" s="17" t="n">
        <f aca="false">SQRT(($B344-AO$270)^2+($C344-AO$271)^2+($D344-AO$272)^2)</f>
        <v>0.627179442125341</v>
      </c>
      <c r="AP344" s="17" t="n">
        <f aca="false">SQRT(($B344-AP$270)^2+($C344-AP$271)^2+($D344-AP$272)^2)</f>
        <v>3.99732320232607</v>
      </c>
      <c r="AQ344" s="63" t="n">
        <f aca="false">MATCH(MIN(AL344:AP344),AL344:AP344,0)</f>
        <v>4</v>
      </c>
      <c r="AS344" s="17" t="n">
        <f aca="false">SQRT(($B344-AS$270)^2+($C344-AS$271)^2+($D344-AS$272)^2)</f>
        <v>6.52188972584182</v>
      </c>
      <c r="AT344" s="17" t="n">
        <f aca="false">SQRT(($B344-AT$270)^2+($C344-AT$271)^2+($D344-AT$272)^2)</f>
        <v>1.65469422475405</v>
      </c>
      <c r="AU344" s="17" t="n">
        <f aca="false">SQRT(($B344-AU$270)^2+($C344-AU$271)^2+($D344-AU$272)^2)</f>
        <v>1.64899500624991</v>
      </c>
      <c r="AV344" s="17" t="n">
        <f aca="false">SQRT(($B344-AV$270)^2+($C344-AV$271)^2+($D344-AV$272)^2)</f>
        <v>0.598335819379384</v>
      </c>
      <c r="AW344" s="17" t="n">
        <f aca="false">SQRT(($B344-AW$270)^2+($C344-AW$271)^2+($D344-AW$272)^2)</f>
        <v>3.99732320232607</v>
      </c>
      <c r="AX344" s="63" t="n">
        <f aca="false">MATCH(MIN(AS344:AW344),AS344:AW344,0)</f>
        <v>4</v>
      </c>
      <c r="AZ344" s="17" t="n">
        <f aca="false">SQRT(($B344-AZ$270)^2+($C344-AZ$271)^2+($D344-AZ$272)^2)</f>
        <v>6.52188972584182</v>
      </c>
      <c r="BA344" s="17" t="n">
        <f aca="false">SQRT(($B344-BA$270)^2+($C344-BA$271)^2+($D344-BA$272)^2)</f>
        <v>1.65469422475405</v>
      </c>
      <c r="BB344" s="17" t="n">
        <f aca="false">SQRT(($B344-BB$270)^2+($C344-BB$271)^2+($D344-BB$272)^2)</f>
        <v>1.64899500624991</v>
      </c>
      <c r="BC344" s="17" t="n">
        <f aca="false">SQRT(($B344-BC$270)^2+($C344-BC$271)^2+($D344-BC$272)^2)</f>
        <v>0.598335819379384</v>
      </c>
      <c r="BD344" s="17" t="n">
        <f aca="false">SQRT(($B344-BD$270)^2+($C344-BD$271)^2+($D344-BD$272)^2)</f>
        <v>3.99732320232607</v>
      </c>
      <c r="BE344" s="63" t="n">
        <f aca="false">MATCH(MIN(AZ344:BD344),AZ344:BD344,0)</f>
        <v>4</v>
      </c>
      <c r="BG344" s="17" t="n">
        <f aca="false">SQRT(($B344-BG$270)^2+($C344-BG$271)^2+($D344-BG$272)^2)</f>
        <v>6.52188972584182</v>
      </c>
      <c r="BH344" s="17" t="n">
        <f aca="false">SQRT(($B344-BH$270)^2+($C344-BH$271)^2+($D344-BH$272)^2)</f>
        <v>1.65469422475405</v>
      </c>
      <c r="BI344" s="17" t="n">
        <f aca="false">SQRT(($B344-BI$270)^2+($C344-BI$271)^2+($D344-BI$272)^2)</f>
        <v>1.64899500624991</v>
      </c>
      <c r="BJ344" s="17" t="n">
        <f aca="false">SQRT(($B344-BJ$270)^2+($C344-BJ$271)^2+($D344-BJ$272)^2)</f>
        <v>0.598335819379384</v>
      </c>
      <c r="BK344" s="17" t="n">
        <f aca="false">SQRT(($B344-BK$270)^2+($C344-BK$271)^2+($D344-BK$272)^2)</f>
        <v>3.99732320232607</v>
      </c>
      <c r="BL344" s="63" t="n">
        <f aca="false">MATCH(MIN(BG344:BK344),BG344:BK344,0)</f>
        <v>4</v>
      </c>
      <c r="BN344" s="17" t="n">
        <f aca="false">SQRT(($B344-BN$270)^2+($C344-BN$271)^2+($D344-BN$272)^2)</f>
        <v>6.52188972584182</v>
      </c>
      <c r="BO344" s="17" t="n">
        <f aca="false">SQRT(($B344-BO$270)^2+($C344-BO$271)^2+($D344-BO$272)^2)</f>
        <v>1.65469422475405</v>
      </c>
      <c r="BP344" s="17" t="n">
        <f aca="false">SQRT(($B344-BP$270)^2+($C344-BP$271)^2+($D344-BP$272)^2)</f>
        <v>1.64899500624991</v>
      </c>
      <c r="BQ344" s="17" t="n">
        <f aca="false">SQRT(($B344-BQ$270)^2+($C344-BQ$271)^2+($D344-BQ$272)^2)</f>
        <v>0.598335819379384</v>
      </c>
      <c r="BR344" s="17" t="n">
        <f aca="false">SQRT(($B344-BR$270)^2+($C344-BR$271)^2+($D344-BR$272)^2)</f>
        <v>3.99732320232607</v>
      </c>
      <c r="BS344" s="63" t="n">
        <f aca="false">MATCH(MIN(BN344:BR344),BN344:BR344,0)</f>
        <v>4</v>
      </c>
      <c r="BU344" s="17" t="n">
        <f aca="false">SQRT(($B344-BU$270)^2+($C344-BU$271)^2+($D344-BU$272)^2)</f>
        <v>6.52188972584182</v>
      </c>
      <c r="BV344" s="17" t="n">
        <f aca="false">SQRT(($B344-BV$270)^2+($C344-BV$271)^2+($D344-BV$272)^2)</f>
        <v>1.65469422475405</v>
      </c>
      <c r="BW344" s="17" t="n">
        <f aca="false">SQRT(($B344-BW$270)^2+($C344-BW$271)^2+($D344-BW$272)^2)</f>
        <v>1.64899500624991</v>
      </c>
      <c r="BX344" s="17" t="n">
        <f aca="false">SQRT(($B344-BX$270)^2+($C344-BX$271)^2+($D344-BX$272)^2)</f>
        <v>0.598335819379384</v>
      </c>
      <c r="BY344" s="17" t="n">
        <f aca="false">SQRT(($B344-BY$270)^2+($C344-BY$271)^2+($D344-BY$272)^2)</f>
        <v>3.99732320232607</v>
      </c>
      <c r="BZ344" s="63" t="n">
        <f aca="false">MATCH(MIN(BU344:BY344),BU344:BY344,0)</f>
        <v>4</v>
      </c>
      <c r="CB344" s="17" t="n">
        <f aca="false">SQRT(($B344-CB$270)^2+($C344-CB$271)^2+($D344-CB$272)^2)</f>
        <v>6.52188972584182</v>
      </c>
      <c r="CC344" s="17" t="n">
        <f aca="false">SQRT(($B344-CC$270)^2+($C344-CC$271)^2+($D344-CC$272)^2)</f>
        <v>1.65469422475405</v>
      </c>
      <c r="CD344" s="17" t="n">
        <f aca="false">SQRT(($B344-CD$270)^2+($C344-CD$271)^2+($D344-CD$272)^2)</f>
        <v>1.64899500624991</v>
      </c>
      <c r="CE344" s="17" t="n">
        <f aca="false">SQRT(($B344-CE$270)^2+($C344-CE$271)^2+($D344-CE$272)^2)</f>
        <v>0.598335819379384</v>
      </c>
      <c r="CF344" s="17" t="n">
        <f aca="false">SQRT(($B344-CF$270)^2+($C344-CF$271)^2+($D344-CF$272)^2)</f>
        <v>3.99732320232607</v>
      </c>
      <c r="CG344" s="63" t="n">
        <f aca="false">MATCH(MIN(CB344:CF344),CB344:CF344,0)</f>
        <v>4</v>
      </c>
      <c r="CI344" s="17" t="n">
        <f aca="false">SQRT(($B344-CI$270)^2+($C344-CI$271)^2+($D344-CI$272)^2)</f>
        <v>6.52188972584182</v>
      </c>
      <c r="CJ344" s="17" t="n">
        <f aca="false">SQRT(($B344-CJ$270)^2+($C344-CJ$271)^2+($D344-CJ$272)^2)</f>
        <v>1.65469422475405</v>
      </c>
      <c r="CK344" s="17" t="n">
        <f aca="false">SQRT(($B344-CK$270)^2+($C344-CK$271)^2+($D344-CK$272)^2)</f>
        <v>1.64899500624991</v>
      </c>
      <c r="CL344" s="17" t="n">
        <f aca="false">SQRT(($B344-CL$270)^2+($C344-CL$271)^2+($D344-CL$272)^2)</f>
        <v>0.598335819379384</v>
      </c>
      <c r="CM344" s="17" t="n">
        <f aca="false">SQRT(($B344-CM$270)^2+($C344-CM$271)^2+($D344-CM$272)^2)</f>
        <v>3.99732320232607</v>
      </c>
      <c r="CN344" s="63" t="n">
        <f aca="false">MATCH(MIN(CI344:CM344),CI344:CM344,0)</f>
        <v>4</v>
      </c>
      <c r="CP344" s="17" t="n">
        <f aca="false">SQRT(($B344-CP$270)^2+($C344-CP$271)^2+($D344-CP$272)^2)</f>
        <v>6.52188972584182</v>
      </c>
      <c r="CQ344" s="17" t="n">
        <f aca="false">SQRT(($B344-CQ$270)^2+($C344-CQ$271)^2+($D344-CQ$272)^2)</f>
        <v>1.65469422475405</v>
      </c>
      <c r="CR344" s="17" t="n">
        <f aca="false">SQRT(($B344-CR$270)^2+($C344-CR$271)^2+($D344-CR$272)^2)</f>
        <v>1.64899500624991</v>
      </c>
      <c r="CS344" s="17" t="n">
        <f aca="false">SQRT(($B344-CS$270)^2+($C344-CS$271)^2+($D344-CS$272)^2)</f>
        <v>0.598335819379384</v>
      </c>
      <c r="CT344" s="17" t="n">
        <f aca="false">SQRT(($B344-CT$270)^2+($C344-CT$271)^2+($D344-CT$272)^2)</f>
        <v>3.99732320232607</v>
      </c>
      <c r="CU344" s="63" t="n">
        <f aca="false">MATCH(MIN(CP344:CT344),CP344:CT344,0)</f>
        <v>4</v>
      </c>
      <c r="CW344" s="17" t="n">
        <f aca="false">SQRT(($B344-CW$270)^2+($C344-CW$271)^2+($D344-CW$272)^2)</f>
        <v>6.52188972584182</v>
      </c>
      <c r="CX344" s="17" t="n">
        <f aca="false">SQRT(($B344-CX$270)^2+($C344-CX$271)^2+($D344-CX$272)^2)</f>
        <v>1.65469422475405</v>
      </c>
      <c r="CY344" s="17" t="n">
        <f aca="false">SQRT(($B344-CY$270)^2+($C344-CY$271)^2+($D344-CY$272)^2)</f>
        <v>1.64899500624991</v>
      </c>
      <c r="CZ344" s="17" t="n">
        <f aca="false">SQRT(($B344-CZ$270)^2+($C344-CZ$271)^2+($D344-CZ$272)^2)</f>
        <v>0.598335819379384</v>
      </c>
      <c r="DA344" s="17" t="n">
        <f aca="false">SQRT(($B344-DA$270)^2+($C344-DA$271)^2+($D344-DA$272)^2)</f>
        <v>3.99732320232607</v>
      </c>
      <c r="DB344" s="63" t="n">
        <f aca="false">MATCH(MIN(CW344:DA344),CW344:DA344,0)</f>
        <v>4</v>
      </c>
    </row>
    <row r="345" customFormat="false" ht="15" hidden="false" customHeight="false" outlineLevel="0" collapsed="false">
      <c r="A345" s="36" t="str">
        <f aca="false">KMeans_Data!A73</f>
        <v>Sujawal</v>
      </c>
      <c r="B345" s="17" t="n">
        <f aca="false">KMeans_Data!H73</f>
        <v>-0.214623816906368</v>
      </c>
      <c r="C345" s="17" t="n">
        <f aca="false">KMeans_Data!I73</f>
        <v>-0.672650545388274</v>
      </c>
      <c r="D345" s="17" t="n">
        <f aca="false">KMeans_Data!J73</f>
        <v>0.109241721582438</v>
      </c>
      <c r="E345" s="63" t="n">
        <f aca="false">DB345</f>
        <v>4</v>
      </c>
      <c r="F345" s="38" t="n">
        <f aca="false">($B345-INDEX($L$270:$P$270,E345))^2+($C345-INDEX($L$271:$P$271,E345))^2+($D345-INDEX($L$272:$P$272,E345))^2</f>
        <v>0.269031481028299</v>
      </c>
      <c r="G345" s="17" t="n">
        <f aca="false">IF(COUNTIF(Distance_Matrix!$E$11:$DQ$11,$E345)&lt;=1,0,SUMIF(Distance_Matrix!$E$11:$DQ$11,$E345,Distance_Matrix!$E$82:$DQ$82)/(COUNTIF(Distance_Matrix!$E$11:$DQ$11,$E345)-1))</f>
        <v>0.855497885495869</v>
      </c>
      <c r="H345" s="17" t="n">
        <f aca="false">MIN(IF(1=$E345,1E+099,IF(COUNTIF(Distance_Matrix!$E$11:$DQ$11,1)=0,1E+099,SUMIF(Distance_Matrix!$E$11:$DQ$11,1,Distance_Matrix!$E$82:$DQ$82)/COUNTIF(Distance_Matrix!$E$11:$DQ$11,1))),IF(2=$E345,1E+099,IF(COUNTIF(Distance_Matrix!$E$11:$DQ$11,2)=0,1E+099,SUMIF(Distance_Matrix!$E$11:$DQ$11,2,Distance_Matrix!$E$82:$DQ$82)/COUNTIF(Distance_Matrix!$E$11:$DQ$11,2))),IF(3=$E345,1E+099,IF(COUNTIF(Distance_Matrix!$E$11:$DQ$11,3)=0,1E+099,SUMIF(Distance_Matrix!$E$11:$DQ$11,3,Distance_Matrix!$E$82:$DQ$82)/COUNTIF(Distance_Matrix!$E$11:$DQ$11,3))),IF(4=$E345,1E+099,IF(COUNTIF(Distance_Matrix!$E$11:$DQ$11,4)=0,1E+099,SUMIF(Distance_Matrix!$E$11:$DQ$11,4,Distance_Matrix!$E$82:$DQ$82)/COUNTIF(Distance_Matrix!$E$11:$DQ$11,4))),IF(5=$E345,1E+099,IF(COUNTIF(Distance_Matrix!$E$11:$DQ$11,5)=0,1E+099,SUMIF(Distance_Matrix!$E$11:$DQ$11,5,Distance_Matrix!$E$82:$DQ$82)/COUNTIF(Distance_Matrix!$E$11:$DQ$11,5))))</f>
        <v>1.62344647415575</v>
      </c>
      <c r="I345" s="17" t="n">
        <f aca="false">IF(COUNTIF(Distance_Matrix!$E$11:$DQ$11,$E345)&lt;=1,0,(H345-G345)/MAX(G345,H345))</f>
        <v>0.473035976784661</v>
      </c>
      <c r="X345" s="17" t="n">
        <f aca="false">SQRT(($B345-X$270)^2+($C345-X$271)^2+($D345-X$272)^2)</f>
        <v>6.65224140953836</v>
      </c>
      <c r="Y345" s="17" t="n">
        <f aca="false">SQRT(($B345-Y$270)^2+($C345-Y$271)^2+($D345-Y$272)^2)</f>
        <v>2.24797449147035</v>
      </c>
      <c r="Z345" s="17" t="n">
        <f aca="false">SQRT(($B345-Z$270)^2+($C345-Z$271)^2+($D345-Z$272)^2)</f>
        <v>2.12731637682969</v>
      </c>
      <c r="AA345" s="17" t="n">
        <f aca="false">SQRT(($B345-AA$270)^2+($C345-AA$271)^2+($D345-AA$272)^2)</f>
        <v>1.60971283394294</v>
      </c>
      <c r="AB345" s="17" t="n">
        <f aca="false">SQRT(($B345-AB$270)^2+($C345-AB$271)^2+($D345-AB$272)^2)</f>
        <v>4.53603119642052</v>
      </c>
      <c r="AC345" s="63" t="n">
        <f aca="false">MATCH(MIN(X345:AB345),X345:AB345,0)</f>
        <v>4</v>
      </c>
      <c r="AE345" s="17" t="n">
        <f aca="false">SQRT(($B345-AE$270)^2+($C345-AE$271)^2+($D345-AE$272)^2)</f>
        <v>6.55825619134322</v>
      </c>
      <c r="AF345" s="17" t="n">
        <f aca="false">SQRT(($B345-AF$270)^2+($C345-AF$271)^2+($D345-AF$272)^2)</f>
        <v>1.46448587498925</v>
      </c>
      <c r="AG345" s="17" t="n">
        <f aca="false">SQRT(($B345-AG$270)^2+($C345-AG$271)^2+($D345-AG$272)^2)</f>
        <v>1.58103379140025</v>
      </c>
      <c r="AH345" s="17" t="n">
        <f aca="false">SQRT(($B345-AH$270)^2+($C345-AH$271)^2+($D345-AH$272)^2)</f>
        <v>0.667296322011194</v>
      </c>
      <c r="AI345" s="17" t="n">
        <f aca="false">SQRT(($B345-AI$270)^2+($C345-AI$271)^2+($D345-AI$272)^2)</f>
        <v>4.29602323753053</v>
      </c>
      <c r="AJ345" s="63" t="n">
        <f aca="false">MATCH(MIN(AE345:AI345),AE345:AI345,0)</f>
        <v>4</v>
      </c>
      <c r="AL345" s="17" t="n">
        <f aca="false">SQRT(($B345-AL$270)^2+($C345-AL$271)^2+($D345-AL$272)^2)</f>
        <v>6.55825619134322</v>
      </c>
      <c r="AM345" s="17" t="n">
        <f aca="false">SQRT(($B345-AM$270)^2+($C345-AM$271)^2+($D345-AM$272)^2)</f>
        <v>1.49487518644151</v>
      </c>
      <c r="AN345" s="17" t="n">
        <f aca="false">SQRT(($B345-AN$270)^2+($C345-AN$271)^2+($D345-AN$272)^2)</f>
        <v>1.65966306878584</v>
      </c>
      <c r="AO345" s="17" t="n">
        <f aca="false">SQRT(($B345-AO$270)^2+($C345-AO$271)^2+($D345-AO$272)^2)</f>
        <v>0.548238622192161</v>
      </c>
      <c r="AP345" s="17" t="n">
        <f aca="false">SQRT(($B345-AP$270)^2+($C345-AP$271)^2+($D345-AP$272)^2)</f>
        <v>4.02916068314087</v>
      </c>
      <c r="AQ345" s="63" t="n">
        <f aca="false">MATCH(MIN(AL345:AP345),AL345:AP345,0)</f>
        <v>4</v>
      </c>
      <c r="AS345" s="17" t="n">
        <f aca="false">SQRT(($B345-AS$270)^2+($C345-AS$271)^2+($D345-AS$272)^2)</f>
        <v>6.55825619134322</v>
      </c>
      <c r="AT345" s="17" t="n">
        <f aca="false">SQRT(($B345-AT$270)^2+($C345-AT$271)^2+($D345-AT$272)^2)</f>
        <v>1.59089872542998</v>
      </c>
      <c r="AU345" s="17" t="n">
        <f aca="false">SQRT(($B345-AU$270)^2+($C345-AU$271)^2+($D345-AU$272)^2)</f>
        <v>1.68492373303303</v>
      </c>
      <c r="AV345" s="17" t="n">
        <f aca="false">SQRT(($B345-AV$270)^2+($C345-AV$271)^2+($D345-AV$272)^2)</f>
        <v>0.518682447195101</v>
      </c>
      <c r="AW345" s="17" t="n">
        <f aca="false">SQRT(($B345-AW$270)^2+($C345-AW$271)^2+($D345-AW$272)^2)</f>
        <v>4.02916068314087</v>
      </c>
      <c r="AX345" s="63" t="n">
        <f aca="false">MATCH(MIN(AS345:AW345),AS345:AW345,0)</f>
        <v>4</v>
      </c>
      <c r="AZ345" s="17" t="n">
        <f aca="false">SQRT(($B345-AZ$270)^2+($C345-AZ$271)^2+($D345-AZ$272)^2)</f>
        <v>6.55825619134322</v>
      </c>
      <c r="BA345" s="17" t="n">
        <f aca="false">SQRT(($B345-BA$270)^2+($C345-BA$271)^2+($D345-BA$272)^2)</f>
        <v>1.59089872542998</v>
      </c>
      <c r="BB345" s="17" t="n">
        <f aca="false">SQRT(($B345-BB$270)^2+($C345-BB$271)^2+($D345-BB$272)^2)</f>
        <v>1.68492373303303</v>
      </c>
      <c r="BC345" s="17" t="n">
        <f aca="false">SQRT(($B345-BC$270)^2+($C345-BC$271)^2+($D345-BC$272)^2)</f>
        <v>0.518682447195101</v>
      </c>
      <c r="BD345" s="17" t="n">
        <f aca="false">SQRT(($B345-BD$270)^2+($C345-BD$271)^2+($D345-BD$272)^2)</f>
        <v>4.02916068314087</v>
      </c>
      <c r="BE345" s="63" t="n">
        <f aca="false">MATCH(MIN(AZ345:BD345),AZ345:BD345,0)</f>
        <v>4</v>
      </c>
      <c r="BG345" s="17" t="n">
        <f aca="false">SQRT(($B345-BG$270)^2+($C345-BG$271)^2+($D345-BG$272)^2)</f>
        <v>6.55825619134322</v>
      </c>
      <c r="BH345" s="17" t="n">
        <f aca="false">SQRT(($B345-BH$270)^2+($C345-BH$271)^2+($D345-BH$272)^2)</f>
        <v>1.59089872542998</v>
      </c>
      <c r="BI345" s="17" t="n">
        <f aca="false">SQRT(($B345-BI$270)^2+($C345-BI$271)^2+($D345-BI$272)^2)</f>
        <v>1.68492373303303</v>
      </c>
      <c r="BJ345" s="17" t="n">
        <f aca="false">SQRT(($B345-BJ$270)^2+($C345-BJ$271)^2+($D345-BJ$272)^2)</f>
        <v>0.518682447195101</v>
      </c>
      <c r="BK345" s="17" t="n">
        <f aca="false">SQRT(($B345-BK$270)^2+($C345-BK$271)^2+($D345-BK$272)^2)</f>
        <v>4.02916068314087</v>
      </c>
      <c r="BL345" s="63" t="n">
        <f aca="false">MATCH(MIN(BG345:BK345),BG345:BK345,0)</f>
        <v>4</v>
      </c>
      <c r="BN345" s="17" t="n">
        <f aca="false">SQRT(($B345-BN$270)^2+($C345-BN$271)^2+($D345-BN$272)^2)</f>
        <v>6.55825619134322</v>
      </c>
      <c r="BO345" s="17" t="n">
        <f aca="false">SQRT(($B345-BO$270)^2+($C345-BO$271)^2+($D345-BO$272)^2)</f>
        <v>1.59089872542998</v>
      </c>
      <c r="BP345" s="17" t="n">
        <f aca="false">SQRT(($B345-BP$270)^2+($C345-BP$271)^2+($D345-BP$272)^2)</f>
        <v>1.68492373303303</v>
      </c>
      <c r="BQ345" s="17" t="n">
        <f aca="false">SQRT(($B345-BQ$270)^2+($C345-BQ$271)^2+($D345-BQ$272)^2)</f>
        <v>0.518682447195101</v>
      </c>
      <c r="BR345" s="17" t="n">
        <f aca="false">SQRT(($B345-BR$270)^2+($C345-BR$271)^2+($D345-BR$272)^2)</f>
        <v>4.02916068314087</v>
      </c>
      <c r="BS345" s="63" t="n">
        <f aca="false">MATCH(MIN(BN345:BR345),BN345:BR345,0)</f>
        <v>4</v>
      </c>
      <c r="BU345" s="17" t="n">
        <f aca="false">SQRT(($B345-BU$270)^2+($C345-BU$271)^2+($D345-BU$272)^2)</f>
        <v>6.55825619134322</v>
      </c>
      <c r="BV345" s="17" t="n">
        <f aca="false">SQRT(($B345-BV$270)^2+($C345-BV$271)^2+($D345-BV$272)^2)</f>
        <v>1.59089872542998</v>
      </c>
      <c r="BW345" s="17" t="n">
        <f aca="false">SQRT(($B345-BW$270)^2+($C345-BW$271)^2+($D345-BW$272)^2)</f>
        <v>1.68492373303303</v>
      </c>
      <c r="BX345" s="17" t="n">
        <f aca="false">SQRT(($B345-BX$270)^2+($C345-BX$271)^2+($D345-BX$272)^2)</f>
        <v>0.518682447195101</v>
      </c>
      <c r="BY345" s="17" t="n">
        <f aca="false">SQRT(($B345-BY$270)^2+($C345-BY$271)^2+($D345-BY$272)^2)</f>
        <v>4.02916068314087</v>
      </c>
      <c r="BZ345" s="63" t="n">
        <f aca="false">MATCH(MIN(BU345:BY345),BU345:BY345,0)</f>
        <v>4</v>
      </c>
      <c r="CB345" s="17" t="n">
        <f aca="false">SQRT(($B345-CB$270)^2+($C345-CB$271)^2+($D345-CB$272)^2)</f>
        <v>6.55825619134322</v>
      </c>
      <c r="CC345" s="17" t="n">
        <f aca="false">SQRT(($B345-CC$270)^2+($C345-CC$271)^2+($D345-CC$272)^2)</f>
        <v>1.59089872542998</v>
      </c>
      <c r="CD345" s="17" t="n">
        <f aca="false">SQRT(($B345-CD$270)^2+($C345-CD$271)^2+($D345-CD$272)^2)</f>
        <v>1.68492373303303</v>
      </c>
      <c r="CE345" s="17" t="n">
        <f aca="false">SQRT(($B345-CE$270)^2+($C345-CE$271)^2+($D345-CE$272)^2)</f>
        <v>0.518682447195101</v>
      </c>
      <c r="CF345" s="17" t="n">
        <f aca="false">SQRT(($B345-CF$270)^2+($C345-CF$271)^2+($D345-CF$272)^2)</f>
        <v>4.02916068314087</v>
      </c>
      <c r="CG345" s="63" t="n">
        <f aca="false">MATCH(MIN(CB345:CF345),CB345:CF345,0)</f>
        <v>4</v>
      </c>
      <c r="CI345" s="17" t="n">
        <f aca="false">SQRT(($B345-CI$270)^2+($C345-CI$271)^2+($D345-CI$272)^2)</f>
        <v>6.55825619134322</v>
      </c>
      <c r="CJ345" s="17" t="n">
        <f aca="false">SQRT(($B345-CJ$270)^2+($C345-CJ$271)^2+($D345-CJ$272)^2)</f>
        <v>1.59089872542998</v>
      </c>
      <c r="CK345" s="17" t="n">
        <f aca="false">SQRT(($B345-CK$270)^2+($C345-CK$271)^2+($D345-CK$272)^2)</f>
        <v>1.68492373303303</v>
      </c>
      <c r="CL345" s="17" t="n">
        <f aca="false">SQRT(($B345-CL$270)^2+($C345-CL$271)^2+($D345-CL$272)^2)</f>
        <v>0.518682447195101</v>
      </c>
      <c r="CM345" s="17" t="n">
        <f aca="false">SQRT(($B345-CM$270)^2+($C345-CM$271)^2+($D345-CM$272)^2)</f>
        <v>4.02916068314087</v>
      </c>
      <c r="CN345" s="63" t="n">
        <f aca="false">MATCH(MIN(CI345:CM345),CI345:CM345,0)</f>
        <v>4</v>
      </c>
      <c r="CP345" s="17" t="n">
        <f aca="false">SQRT(($B345-CP$270)^2+($C345-CP$271)^2+($D345-CP$272)^2)</f>
        <v>6.55825619134322</v>
      </c>
      <c r="CQ345" s="17" t="n">
        <f aca="false">SQRT(($B345-CQ$270)^2+($C345-CQ$271)^2+($D345-CQ$272)^2)</f>
        <v>1.59089872542998</v>
      </c>
      <c r="CR345" s="17" t="n">
        <f aca="false">SQRT(($B345-CR$270)^2+($C345-CR$271)^2+($D345-CR$272)^2)</f>
        <v>1.68492373303303</v>
      </c>
      <c r="CS345" s="17" t="n">
        <f aca="false">SQRT(($B345-CS$270)^2+($C345-CS$271)^2+($D345-CS$272)^2)</f>
        <v>0.518682447195101</v>
      </c>
      <c r="CT345" s="17" t="n">
        <f aca="false">SQRT(($B345-CT$270)^2+($C345-CT$271)^2+($D345-CT$272)^2)</f>
        <v>4.02916068314087</v>
      </c>
      <c r="CU345" s="63" t="n">
        <f aca="false">MATCH(MIN(CP345:CT345),CP345:CT345,0)</f>
        <v>4</v>
      </c>
      <c r="CW345" s="17" t="n">
        <f aca="false">SQRT(($B345-CW$270)^2+($C345-CW$271)^2+($D345-CW$272)^2)</f>
        <v>6.55825619134322</v>
      </c>
      <c r="CX345" s="17" t="n">
        <f aca="false">SQRT(($B345-CX$270)^2+($C345-CX$271)^2+($D345-CX$272)^2)</f>
        <v>1.59089872542998</v>
      </c>
      <c r="CY345" s="17" t="n">
        <f aca="false">SQRT(($B345-CY$270)^2+($C345-CY$271)^2+($D345-CY$272)^2)</f>
        <v>1.68492373303303</v>
      </c>
      <c r="CZ345" s="17" t="n">
        <f aca="false">SQRT(($B345-CZ$270)^2+($C345-CZ$271)^2+($D345-CZ$272)^2)</f>
        <v>0.518682447195101</v>
      </c>
      <c r="DA345" s="17" t="n">
        <f aca="false">SQRT(($B345-DA$270)^2+($C345-DA$271)^2+($D345-DA$272)^2)</f>
        <v>4.02916068314087</v>
      </c>
      <c r="DB345" s="63" t="n">
        <f aca="false">MATCH(MIN(CW345:DA345),CW345:DA345,0)</f>
        <v>4</v>
      </c>
    </row>
    <row r="346" customFormat="false" ht="15" hidden="false" customHeight="false" outlineLevel="0" collapsed="false">
      <c r="A346" s="36" t="str">
        <f aca="false">KMeans_Data!A74</f>
        <v>Laiya</v>
      </c>
      <c r="B346" s="17" t="n">
        <f aca="false">KMeans_Data!H74</f>
        <v>-0.259910629817831</v>
      </c>
      <c r="C346" s="17" t="n">
        <f aca="false">KMeans_Data!I74</f>
        <v>-0.672650545388274</v>
      </c>
      <c r="D346" s="17" t="n">
        <f aca="false">KMeans_Data!J74</f>
        <v>-1.14564411633355</v>
      </c>
      <c r="E346" s="63" t="n">
        <f aca="false">DB346</f>
        <v>4</v>
      </c>
      <c r="F346" s="38" t="n">
        <f aca="false">($B346-INDEX($L$270:$P$270,E346))^2+($C346-INDEX($L$271:$P$271,E346))^2+($D346-INDEX($L$272:$P$272,E346))^2</f>
        <v>0.638076746384405</v>
      </c>
      <c r="G346" s="17" t="n">
        <f aca="false">IF(COUNTIF(Distance_Matrix!$E$11:$DQ$11,$E346)&lt;=1,0,SUMIF(Distance_Matrix!$E$11:$DQ$11,$E346,Distance_Matrix!$E$83:$DQ$83)/(COUNTIF(Distance_Matrix!$E$11:$DQ$11,$E346)-1))</f>
        <v>1.01147389709289</v>
      </c>
      <c r="H346" s="17" t="n">
        <f aca="false">MIN(IF(1=$E346,1E+099,IF(COUNTIF(Distance_Matrix!$E$11:$DQ$11,1)=0,1E+099,SUMIF(Distance_Matrix!$E$11:$DQ$11,1,Distance_Matrix!$E$83:$DQ$83)/COUNTIF(Distance_Matrix!$E$11:$DQ$11,1))),IF(2=$E346,1E+099,IF(COUNTIF(Distance_Matrix!$E$11:$DQ$11,2)=0,1E+099,SUMIF(Distance_Matrix!$E$11:$DQ$11,2,Distance_Matrix!$E$83:$DQ$83)/COUNTIF(Distance_Matrix!$E$11:$DQ$11,2))),IF(3=$E346,1E+099,IF(COUNTIF(Distance_Matrix!$E$11:$DQ$11,3)=0,1E+099,SUMIF(Distance_Matrix!$E$11:$DQ$11,3,Distance_Matrix!$E$83:$DQ$83)/COUNTIF(Distance_Matrix!$E$11:$DQ$11,3))),IF(4=$E346,1E+099,IF(COUNTIF(Distance_Matrix!$E$11:$DQ$11,4)=0,1E+099,SUMIF(Distance_Matrix!$E$11:$DQ$11,4,Distance_Matrix!$E$83:$DQ$83)/COUNTIF(Distance_Matrix!$E$11:$DQ$11,4))),IF(5=$E346,1E+099,IF(COUNTIF(Distance_Matrix!$E$11:$DQ$11,5)=0,1E+099,SUMIF(Distance_Matrix!$E$11:$DQ$11,5,Distance_Matrix!$E$83:$DQ$83)/COUNTIF(Distance_Matrix!$E$11:$DQ$11,5))))</f>
        <v>1.0470686411426</v>
      </c>
      <c r="I346" s="17" t="n">
        <f aca="false">IF(COUNTIF(Distance_Matrix!$E$11:$DQ$11,$E346)&lt;=1,0,(H346-G346)/MAX(G346,H346))</f>
        <v>0.0339946615256039</v>
      </c>
      <c r="X346" s="17" t="n">
        <f aca="false">SQRT(($B346-X$270)^2+($C346-X$271)^2+($D346-X$272)^2)</f>
        <v>7.35081663720413</v>
      </c>
      <c r="Y346" s="17" t="n">
        <f aca="false">SQRT(($B346-Y$270)^2+($C346-Y$271)^2+($D346-Y$272)^2)</f>
        <v>1.81982735198549</v>
      </c>
      <c r="Z346" s="17" t="n">
        <f aca="false">SQRT(($B346-Z$270)^2+($C346-Z$271)^2+($D346-Z$272)^2)</f>
        <v>3.10352494535984</v>
      </c>
      <c r="AA346" s="17" t="n">
        <f aca="false">SQRT(($B346-AA$270)^2+($C346-AA$271)^2+($D346-AA$272)^2)</f>
        <v>1.04709505026299</v>
      </c>
      <c r="AB346" s="17" t="n">
        <f aca="false">SQRT(($B346-AB$270)^2+($C346-AB$271)^2+($D346-AB$272)^2)</f>
        <v>5.29772317986054</v>
      </c>
      <c r="AC346" s="63" t="n">
        <f aca="false">MATCH(MIN(X346:AB346),X346:AB346,0)</f>
        <v>4</v>
      </c>
      <c r="AE346" s="17" t="n">
        <f aca="false">SQRT(($B346-AE$270)^2+($C346-AE$271)^2+($D346-AE$272)^2)</f>
        <v>7.21621605110511</v>
      </c>
      <c r="AF346" s="17" t="n">
        <f aca="false">SQRT(($B346-AF$270)^2+($C346-AF$271)^2+($D346-AF$272)^2)</f>
        <v>1.00358812546005</v>
      </c>
      <c r="AG346" s="17" t="n">
        <f aca="false">SQRT(($B346-AG$270)^2+($C346-AG$271)^2+($D346-AG$272)^2)</f>
        <v>2.44840859347446</v>
      </c>
      <c r="AH346" s="17" t="n">
        <f aca="false">SQRT(($B346-AH$270)^2+($C346-AH$271)^2+($D346-AH$272)^2)</f>
        <v>0.686842392223783</v>
      </c>
      <c r="AI346" s="17" t="n">
        <f aca="false">SQRT(($B346-AI$270)^2+($C346-AI$271)^2+($D346-AI$272)^2)</f>
        <v>4.94521177834647</v>
      </c>
      <c r="AJ346" s="63" t="n">
        <f aca="false">MATCH(MIN(AE346:AI346),AE346:AI346,0)</f>
        <v>4</v>
      </c>
      <c r="AL346" s="17" t="n">
        <f aca="false">SQRT(($B346-AL$270)^2+($C346-AL$271)^2+($D346-AL$272)^2)</f>
        <v>7.21621605110511</v>
      </c>
      <c r="AM346" s="17" t="n">
        <f aca="false">SQRT(($B346-AM$270)^2+($C346-AM$271)^2+($D346-AM$272)^2)</f>
        <v>0.985624863405098</v>
      </c>
      <c r="AN346" s="17" t="n">
        <f aca="false">SQRT(($B346-AN$270)^2+($C346-AN$271)^2+($D346-AN$272)^2)</f>
        <v>2.49993830957759</v>
      </c>
      <c r="AO346" s="17" t="n">
        <f aca="false">SQRT(($B346-AO$270)^2+($C346-AO$271)^2+($D346-AO$272)^2)</f>
        <v>0.785659816072644</v>
      </c>
      <c r="AP346" s="17" t="n">
        <f aca="false">SQRT(($B346-AP$270)^2+($C346-AP$271)^2+($D346-AP$272)^2)</f>
        <v>4.68018421283563</v>
      </c>
      <c r="AQ346" s="63" t="n">
        <f aca="false">MATCH(MIN(AL346:AP346),AL346:AP346,0)</f>
        <v>4</v>
      </c>
      <c r="AS346" s="17" t="n">
        <f aca="false">SQRT(($B346-AS$270)^2+($C346-AS$271)^2+($D346-AS$272)^2)</f>
        <v>7.21621605110511</v>
      </c>
      <c r="AT346" s="17" t="n">
        <f aca="false">SQRT(($B346-AT$270)^2+($C346-AT$271)^2+($D346-AT$272)^2)</f>
        <v>1.02080781661123</v>
      </c>
      <c r="AU346" s="17" t="n">
        <f aca="false">SQRT(($B346-AU$270)^2+($C346-AU$271)^2+($D346-AU$272)^2)</f>
        <v>2.52513471469581</v>
      </c>
      <c r="AV346" s="17" t="n">
        <f aca="false">SQRT(($B346-AV$270)^2+($C346-AV$271)^2+($D346-AV$272)^2)</f>
        <v>0.798797062077975</v>
      </c>
      <c r="AW346" s="17" t="n">
        <f aca="false">SQRT(($B346-AW$270)^2+($C346-AW$271)^2+($D346-AW$272)^2)</f>
        <v>4.68018421283563</v>
      </c>
      <c r="AX346" s="63" t="n">
        <f aca="false">MATCH(MIN(AS346:AW346),AS346:AW346,0)</f>
        <v>4</v>
      </c>
      <c r="AZ346" s="17" t="n">
        <f aca="false">SQRT(($B346-AZ$270)^2+($C346-AZ$271)^2+($D346-AZ$272)^2)</f>
        <v>7.21621605110511</v>
      </c>
      <c r="BA346" s="17" t="n">
        <f aca="false">SQRT(($B346-BA$270)^2+($C346-BA$271)^2+($D346-BA$272)^2)</f>
        <v>1.02080781661123</v>
      </c>
      <c r="BB346" s="17" t="n">
        <f aca="false">SQRT(($B346-BB$270)^2+($C346-BB$271)^2+($D346-BB$272)^2)</f>
        <v>2.52513471469581</v>
      </c>
      <c r="BC346" s="17" t="n">
        <f aca="false">SQRT(($B346-BC$270)^2+($C346-BC$271)^2+($D346-BC$272)^2)</f>
        <v>0.798797062077975</v>
      </c>
      <c r="BD346" s="17" t="n">
        <f aca="false">SQRT(($B346-BD$270)^2+($C346-BD$271)^2+($D346-BD$272)^2)</f>
        <v>4.68018421283563</v>
      </c>
      <c r="BE346" s="63" t="n">
        <f aca="false">MATCH(MIN(AZ346:BD346),AZ346:BD346,0)</f>
        <v>4</v>
      </c>
      <c r="BG346" s="17" t="n">
        <f aca="false">SQRT(($B346-BG$270)^2+($C346-BG$271)^2+($D346-BG$272)^2)</f>
        <v>7.21621605110511</v>
      </c>
      <c r="BH346" s="17" t="n">
        <f aca="false">SQRT(($B346-BH$270)^2+($C346-BH$271)^2+($D346-BH$272)^2)</f>
        <v>1.02080781661123</v>
      </c>
      <c r="BI346" s="17" t="n">
        <f aca="false">SQRT(($B346-BI$270)^2+($C346-BI$271)^2+($D346-BI$272)^2)</f>
        <v>2.52513471469581</v>
      </c>
      <c r="BJ346" s="17" t="n">
        <f aca="false">SQRT(($B346-BJ$270)^2+($C346-BJ$271)^2+($D346-BJ$272)^2)</f>
        <v>0.798797062077975</v>
      </c>
      <c r="BK346" s="17" t="n">
        <f aca="false">SQRT(($B346-BK$270)^2+($C346-BK$271)^2+($D346-BK$272)^2)</f>
        <v>4.68018421283563</v>
      </c>
      <c r="BL346" s="63" t="n">
        <f aca="false">MATCH(MIN(BG346:BK346),BG346:BK346,0)</f>
        <v>4</v>
      </c>
      <c r="BN346" s="17" t="n">
        <f aca="false">SQRT(($B346-BN$270)^2+($C346-BN$271)^2+($D346-BN$272)^2)</f>
        <v>7.21621605110511</v>
      </c>
      <c r="BO346" s="17" t="n">
        <f aca="false">SQRT(($B346-BO$270)^2+($C346-BO$271)^2+($D346-BO$272)^2)</f>
        <v>1.02080781661123</v>
      </c>
      <c r="BP346" s="17" t="n">
        <f aca="false">SQRT(($B346-BP$270)^2+($C346-BP$271)^2+($D346-BP$272)^2)</f>
        <v>2.52513471469581</v>
      </c>
      <c r="BQ346" s="17" t="n">
        <f aca="false">SQRT(($B346-BQ$270)^2+($C346-BQ$271)^2+($D346-BQ$272)^2)</f>
        <v>0.798797062077975</v>
      </c>
      <c r="BR346" s="17" t="n">
        <f aca="false">SQRT(($B346-BR$270)^2+($C346-BR$271)^2+($D346-BR$272)^2)</f>
        <v>4.68018421283563</v>
      </c>
      <c r="BS346" s="63" t="n">
        <f aca="false">MATCH(MIN(BN346:BR346),BN346:BR346,0)</f>
        <v>4</v>
      </c>
      <c r="BU346" s="17" t="n">
        <f aca="false">SQRT(($B346-BU$270)^2+($C346-BU$271)^2+($D346-BU$272)^2)</f>
        <v>7.21621605110511</v>
      </c>
      <c r="BV346" s="17" t="n">
        <f aca="false">SQRT(($B346-BV$270)^2+($C346-BV$271)^2+($D346-BV$272)^2)</f>
        <v>1.02080781661123</v>
      </c>
      <c r="BW346" s="17" t="n">
        <f aca="false">SQRT(($B346-BW$270)^2+($C346-BW$271)^2+($D346-BW$272)^2)</f>
        <v>2.52513471469581</v>
      </c>
      <c r="BX346" s="17" t="n">
        <f aca="false">SQRT(($B346-BX$270)^2+($C346-BX$271)^2+($D346-BX$272)^2)</f>
        <v>0.798797062077975</v>
      </c>
      <c r="BY346" s="17" t="n">
        <f aca="false">SQRT(($B346-BY$270)^2+($C346-BY$271)^2+($D346-BY$272)^2)</f>
        <v>4.68018421283563</v>
      </c>
      <c r="BZ346" s="63" t="n">
        <f aca="false">MATCH(MIN(BU346:BY346),BU346:BY346,0)</f>
        <v>4</v>
      </c>
      <c r="CB346" s="17" t="n">
        <f aca="false">SQRT(($B346-CB$270)^2+($C346-CB$271)^2+($D346-CB$272)^2)</f>
        <v>7.21621605110511</v>
      </c>
      <c r="CC346" s="17" t="n">
        <f aca="false">SQRT(($B346-CC$270)^2+($C346-CC$271)^2+($D346-CC$272)^2)</f>
        <v>1.02080781661123</v>
      </c>
      <c r="CD346" s="17" t="n">
        <f aca="false">SQRT(($B346-CD$270)^2+($C346-CD$271)^2+($D346-CD$272)^2)</f>
        <v>2.52513471469581</v>
      </c>
      <c r="CE346" s="17" t="n">
        <f aca="false">SQRT(($B346-CE$270)^2+($C346-CE$271)^2+($D346-CE$272)^2)</f>
        <v>0.798797062077975</v>
      </c>
      <c r="CF346" s="17" t="n">
        <f aca="false">SQRT(($B346-CF$270)^2+($C346-CF$271)^2+($D346-CF$272)^2)</f>
        <v>4.68018421283563</v>
      </c>
      <c r="CG346" s="63" t="n">
        <f aca="false">MATCH(MIN(CB346:CF346),CB346:CF346,0)</f>
        <v>4</v>
      </c>
      <c r="CI346" s="17" t="n">
        <f aca="false">SQRT(($B346-CI$270)^2+($C346-CI$271)^2+($D346-CI$272)^2)</f>
        <v>7.21621605110511</v>
      </c>
      <c r="CJ346" s="17" t="n">
        <f aca="false">SQRT(($B346-CJ$270)^2+($C346-CJ$271)^2+($D346-CJ$272)^2)</f>
        <v>1.02080781661123</v>
      </c>
      <c r="CK346" s="17" t="n">
        <f aca="false">SQRT(($B346-CK$270)^2+($C346-CK$271)^2+($D346-CK$272)^2)</f>
        <v>2.52513471469581</v>
      </c>
      <c r="CL346" s="17" t="n">
        <f aca="false">SQRT(($B346-CL$270)^2+($C346-CL$271)^2+($D346-CL$272)^2)</f>
        <v>0.798797062077975</v>
      </c>
      <c r="CM346" s="17" t="n">
        <f aca="false">SQRT(($B346-CM$270)^2+($C346-CM$271)^2+($D346-CM$272)^2)</f>
        <v>4.68018421283563</v>
      </c>
      <c r="CN346" s="63" t="n">
        <f aca="false">MATCH(MIN(CI346:CM346),CI346:CM346,0)</f>
        <v>4</v>
      </c>
      <c r="CP346" s="17" t="n">
        <f aca="false">SQRT(($B346-CP$270)^2+($C346-CP$271)^2+($D346-CP$272)^2)</f>
        <v>7.21621605110511</v>
      </c>
      <c r="CQ346" s="17" t="n">
        <f aca="false">SQRT(($B346-CQ$270)^2+($C346-CQ$271)^2+($D346-CQ$272)^2)</f>
        <v>1.02080781661123</v>
      </c>
      <c r="CR346" s="17" t="n">
        <f aca="false">SQRT(($B346-CR$270)^2+($C346-CR$271)^2+($D346-CR$272)^2)</f>
        <v>2.52513471469581</v>
      </c>
      <c r="CS346" s="17" t="n">
        <f aca="false">SQRT(($B346-CS$270)^2+($C346-CS$271)^2+($D346-CS$272)^2)</f>
        <v>0.798797062077975</v>
      </c>
      <c r="CT346" s="17" t="n">
        <f aca="false">SQRT(($B346-CT$270)^2+($C346-CT$271)^2+($D346-CT$272)^2)</f>
        <v>4.68018421283563</v>
      </c>
      <c r="CU346" s="63" t="n">
        <f aca="false">MATCH(MIN(CP346:CT346),CP346:CT346,0)</f>
        <v>4</v>
      </c>
      <c r="CW346" s="17" t="n">
        <f aca="false">SQRT(($B346-CW$270)^2+($C346-CW$271)^2+($D346-CW$272)^2)</f>
        <v>7.21621605110511</v>
      </c>
      <c r="CX346" s="17" t="n">
        <f aca="false">SQRT(($B346-CX$270)^2+($C346-CX$271)^2+($D346-CX$272)^2)</f>
        <v>1.02080781661123</v>
      </c>
      <c r="CY346" s="17" t="n">
        <f aca="false">SQRT(($B346-CY$270)^2+($C346-CY$271)^2+($D346-CY$272)^2)</f>
        <v>2.52513471469581</v>
      </c>
      <c r="CZ346" s="17" t="n">
        <f aca="false">SQRT(($B346-CZ$270)^2+($C346-CZ$271)^2+($D346-CZ$272)^2)</f>
        <v>0.798797062077975</v>
      </c>
      <c r="DA346" s="17" t="n">
        <f aca="false">SQRT(($B346-DA$270)^2+($C346-DA$271)^2+($D346-DA$272)^2)</f>
        <v>4.68018421283563</v>
      </c>
      <c r="DB346" s="63" t="n">
        <f aca="false">MATCH(MIN(CW346:DA346),CW346:DA346,0)</f>
        <v>4</v>
      </c>
    </row>
    <row r="347" customFormat="false" ht="15" hidden="false" customHeight="false" outlineLevel="0" collapsed="false">
      <c r="A347" s="36" t="str">
        <f aca="false">KMeans_Data!A75</f>
        <v>Shigar</v>
      </c>
      <c r="B347" s="17" t="n">
        <f aca="false">KMeans_Data!H75</f>
        <v>-0.275926355545086</v>
      </c>
      <c r="C347" s="17" t="n">
        <f aca="false">KMeans_Data!I75</f>
        <v>-0.672650545388274</v>
      </c>
      <c r="D347" s="17" t="n">
        <f aca="false">KMeans_Data!J75</f>
        <v>0.286716848591577</v>
      </c>
      <c r="E347" s="63" t="n">
        <f aca="false">DB347</f>
        <v>4</v>
      </c>
      <c r="F347" s="38" t="n">
        <f aca="false">($B347-INDEX($L$270:$P$270,E347))^2+($C347-INDEX($L$271:$P$271,E347))^2+($D347-INDEX($L$272:$P$272,E347))^2</f>
        <v>0.486732602343569</v>
      </c>
      <c r="G347" s="17" t="n">
        <f aca="false">IF(COUNTIF(Distance_Matrix!$E$11:$DQ$11,$E347)&lt;=1,0,SUMIF(Distance_Matrix!$E$11:$DQ$11,$E347,Distance_Matrix!$E$84:$DQ$84)/(COUNTIF(Distance_Matrix!$E$11:$DQ$11,$E347)-1))</f>
        <v>0.953335361177653</v>
      </c>
      <c r="H347" s="17" t="n">
        <f aca="false">MIN(IF(1=$E347,1E+099,IF(COUNTIF(Distance_Matrix!$E$11:$DQ$11,1)=0,1E+099,SUMIF(Distance_Matrix!$E$11:$DQ$11,1,Distance_Matrix!$E$84:$DQ$84)/COUNTIF(Distance_Matrix!$E$11:$DQ$11,1))),IF(2=$E347,1E+099,IF(COUNTIF(Distance_Matrix!$E$11:$DQ$11,2)=0,1E+099,SUMIF(Distance_Matrix!$E$11:$DQ$11,2,Distance_Matrix!$E$84:$DQ$84)/COUNTIF(Distance_Matrix!$E$11:$DQ$11,2))),IF(3=$E347,1E+099,IF(COUNTIF(Distance_Matrix!$E$11:$DQ$11,3)=0,1E+099,SUMIF(Distance_Matrix!$E$11:$DQ$11,3,Distance_Matrix!$E$84:$DQ$84)/COUNTIF(Distance_Matrix!$E$11:$DQ$11,3))),IF(4=$E347,1E+099,IF(COUNTIF(Distance_Matrix!$E$11:$DQ$11,4)=0,1E+099,SUMIF(Distance_Matrix!$E$11:$DQ$11,4,Distance_Matrix!$E$84:$DQ$84)/COUNTIF(Distance_Matrix!$E$11:$DQ$11,4))),IF(5=$E347,1E+099,IF(COUNTIF(Distance_Matrix!$E$11:$DQ$11,5)=0,1E+099,SUMIF(Distance_Matrix!$E$11:$DQ$11,5,Distance_Matrix!$E$84:$DQ$84)/COUNTIF(Distance_Matrix!$E$11:$DQ$11,5))))</f>
        <v>1.72406812394839</v>
      </c>
      <c r="I347" s="17" t="n">
        <f aca="false">IF(COUNTIF(Distance_Matrix!$E$11:$DQ$11,$E347)&lt;=1,0,(H347-G347)/MAX(G347,H347))</f>
        <v>0.447043102337301</v>
      </c>
      <c r="X347" s="17" t="n">
        <f aca="false">SQRT(($B347-X$270)^2+($C347-X$271)^2+($D347-X$272)^2)</f>
        <v>6.602995999108</v>
      </c>
      <c r="Y347" s="17" t="n">
        <f aca="false">SQRT(($B347-Y$270)^2+($C347-Y$271)^2+($D347-Y$272)^2)</f>
        <v>2.30334415944853</v>
      </c>
      <c r="Z347" s="17" t="n">
        <f aca="false">SQRT(($B347-Z$270)^2+($C347-Z$271)^2+($D347-Z$272)^2)</f>
        <v>2.05695940710304</v>
      </c>
      <c r="AA347" s="17" t="n">
        <f aca="false">SQRT(($B347-AA$270)^2+($C347-AA$271)^2+($D347-AA$272)^2)</f>
        <v>1.78250656143313</v>
      </c>
      <c r="AB347" s="17" t="n">
        <f aca="false">SQRT(($B347-AB$270)^2+($C347-AB$271)^2+($D347-AB$272)^2)</f>
        <v>4.48595131383517</v>
      </c>
      <c r="AC347" s="63" t="n">
        <f aca="false">MATCH(MIN(X347:AB347),X347:AB347,0)</f>
        <v>4</v>
      </c>
      <c r="AE347" s="17" t="n">
        <f aca="false">SQRT(($B347-AE$270)^2+($C347-AE$271)^2+($D347-AE$272)^2)</f>
        <v>6.51598304299633</v>
      </c>
      <c r="AF347" s="17" t="n">
        <f aca="false">SQRT(($B347-AF$270)^2+($C347-AF$271)^2+($D347-AF$272)^2)</f>
        <v>1.55719790090053</v>
      </c>
      <c r="AG347" s="17" t="n">
        <f aca="false">SQRT(($B347-AG$270)^2+($C347-AG$271)^2+($D347-AG$272)^2)</f>
        <v>1.53846928349681</v>
      </c>
      <c r="AH347" s="17" t="n">
        <f aca="false">SQRT(($B347-AH$270)^2+($C347-AH$271)^2+($D347-AH$272)^2)</f>
        <v>0.848781741032092</v>
      </c>
      <c r="AI347" s="17" t="n">
        <f aca="false">SQRT(($B347-AI$270)^2+($C347-AI$271)^2+($D347-AI$272)^2)</f>
        <v>4.26358796018539</v>
      </c>
      <c r="AJ347" s="63" t="n">
        <f aca="false">MATCH(MIN(AE347:AI347),AE347:AI347,0)</f>
        <v>4</v>
      </c>
      <c r="AL347" s="17" t="n">
        <f aca="false">SQRT(($B347-AL$270)^2+($C347-AL$271)^2+($D347-AL$272)^2)</f>
        <v>6.51598304299633</v>
      </c>
      <c r="AM347" s="17" t="n">
        <f aca="false">SQRT(($B347-AM$270)^2+($C347-AM$271)^2+($D347-AM$272)^2)</f>
        <v>1.59177695148084</v>
      </c>
      <c r="AN347" s="17" t="n">
        <f aca="false">SQRT(($B347-AN$270)^2+($C347-AN$271)^2+($D347-AN$272)^2)</f>
        <v>1.62125775198114</v>
      </c>
      <c r="AO347" s="17" t="n">
        <f aca="false">SQRT(($B347-AO$270)^2+($C347-AO$271)^2+($D347-AO$272)^2)</f>
        <v>0.729454685507794</v>
      </c>
      <c r="AP347" s="17" t="n">
        <f aca="false">SQRT(($B347-AP$270)^2+($C347-AP$271)^2+($D347-AP$272)^2)</f>
        <v>3.99711098826691</v>
      </c>
      <c r="AQ347" s="63" t="n">
        <f aca="false">MATCH(MIN(AL347:AP347),AL347:AP347,0)</f>
        <v>4</v>
      </c>
      <c r="AS347" s="17" t="n">
        <f aca="false">SQRT(($B347-AS$270)^2+($C347-AS$271)^2+($D347-AS$272)^2)</f>
        <v>6.51598304299633</v>
      </c>
      <c r="AT347" s="17" t="n">
        <f aca="false">SQRT(($B347-AT$270)^2+($C347-AT$271)^2+($D347-AT$272)^2)</f>
        <v>1.6899095523592</v>
      </c>
      <c r="AU347" s="17" t="n">
        <f aca="false">SQRT(($B347-AU$270)^2+($C347-AU$271)^2+($D347-AU$272)^2)</f>
        <v>1.64609401520556</v>
      </c>
      <c r="AV347" s="17" t="n">
        <f aca="false">SQRT(($B347-AV$270)^2+($C347-AV$271)^2+($D347-AV$272)^2)</f>
        <v>0.697662240875604</v>
      </c>
      <c r="AW347" s="17" t="n">
        <f aca="false">SQRT(($B347-AW$270)^2+($C347-AW$271)^2+($D347-AW$272)^2)</f>
        <v>3.99711098826691</v>
      </c>
      <c r="AX347" s="63" t="n">
        <f aca="false">MATCH(MIN(AS347:AW347),AS347:AW347,0)</f>
        <v>4</v>
      </c>
      <c r="AZ347" s="17" t="n">
        <f aca="false">SQRT(($B347-AZ$270)^2+($C347-AZ$271)^2+($D347-AZ$272)^2)</f>
        <v>6.51598304299633</v>
      </c>
      <c r="BA347" s="17" t="n">
        <f aca="false">SQRT(($B347-BA$270)^2+($C347-BA$271)^2+($D347-BA$272)^2)</f>
        <v>1.6899095523592</v>
      </c>
      <c r="BB347" s="17" t="n">
        <f aca="false">SQRT(($B347-BB$270)^2+($C347-BB$271)^2+($D347-BB$272)^2)</f>
        <v>1.64609401520556</v>
      </c>
      <c r="BC347" s="17" t="n">
        <f aca="false">SQRT(($B347-BC$270)^2+($C347-BC$271)^2+($D347-BC$272)^2)</f>
        <v>0.697662240875604</v>
      </c>
      <c r="BD347" s="17" t="n">
        <f aca="false">SQRT(($B347-BD$270)^2+($C347-BD$271)^2+($D347-BD$272)^2)</f>
        <v>3.99711098826691</v>
      </c>
      <c r="BE347" s="63" t="n">
        <f aca="false">MATCH(MIN(AZ347:BD347),AZ347:BD347,0)</f>
        <v>4</v>
      </c>
      <c r="BG347" s="17" t="n">
        <f aca="false">SQRT(($B347-BG$270)^2+($C347-BG$271)^2+($D347-BG$272)^2)</f>
        <v>6.51598304299633</v>
      </c>
      <c r="BH347" s="17" t="n">
        <f aca="false">SQRT(($B347-BH$270)^2+($C347-BH$271)^2+($D347-BH$272)^2)</f>
        <v>1.6899095523592</v>
      </c>
      <c r="BI347" s="17" t="n">
        <f aca="false">SQRT(($B347-BI$270)^2+($C347-BI$271)^2+($D347-BI$272)^2)</f>
        <v>1.64609401520556</v>
      </c>
      <c r="BJ347" s="17" t="n">
        <f aca="false">SQRT(($B347-BJ$270)^2+($C347-BJ$271)^2+($D347-BJ$272)^2)</f>
        <v>0.697662240875604</v>
      </c>
      <c r="BK347" s="17" t="n">
        <f aca="false">SQRT(($B347-BK$270)^2+($C347-BK$271)^2+($D347-BK$272)^2)</f>
        <v>3.99711098826691</v>
      </c>
      <c r="BL347" s="63" t="n">
        <f aca="false">MATCH(MIN(BG347:BK347),BG347:BK347,0)</f>
        <v>4</v>
      </c>
      <c r="BN347" s="17" t="n">
        <f aca="false">SQRT(($B347-BN$270)^2+($C347-BN$271)^2+($D347-BN$272)^2)</f>
        <v>6.51598304299633</v>
      </c>
      <c r="BO347" s="17" t="n">
        <f aca="false">SQRT(($B347-BO$270)^2+($C347-BO$271)^2+($D347-BO$272)^2)</f>
        <v>1.6899095523592</v>
      </c>
      <c r="BP347" s="17" t="n">
        <f aca="false">SQRT(($B347-BP$270)^2+($C347-BP$271)^2+($D347-BP$272)^2)</f>
        <v>1.64609401520556</v>
      </c>
      <c r="BQ347" s="17" t="n">
        <f aca="false">SQRT(($B347-BQ$270)^2+($C347-BQ$271)^2+($D347-BQ$272)^2)</f>
        <v>0.697662240875604</v>
      </c>
      <c r="BR347" s="17" t="n">
        <f aca="false">SQRT(($B347-BR$270)^2+($C347-BR$271)^2+($D347-BR$272)^2)</f>
        <v>3.99711098826691</v>
      </c>
      <c r="BS347" s="63" t="n">
        <f aca="false">MATCH(MIN(BN347:BR347),BN347:BR347,0)</f>
        <v>4</v>
      </c>
      <c r="BU347" s="17" t="n">
        <f aca="false">SQRT(($B347-BU$270)^2+($C347-BU$271)^2+($D347-BU$272)^2)</f>
        <v>6.51598304299633</v>
      </c>
      <c r="BV347" s="17" t="n">
        <f aca="false">SQRT(($B347-BV$270)^2+($C347-BV$271)^2+($D347-BV$272)^2)</f>
        <v>1.6899095523592</v>
      </c>
      <c r="BW347" s="17" t="n">
        <f aca="false">SQRT(($B347-BW$270)^2+($C347-BW$271)^2+($D347-BW$272)^2)</f>
        <v>1.64609401520556</v>
      </c>
      <c r="BX347" s="17" t="n">
        <f aca="false">SQRT(($B347-BX$270)^2+($C347-BX$271)^2+($D347-BX$272)^2)</f>
        <v>0.697662240875604</v>
      </c>
      <c r="BY347" s="17" t="n">
        <f aca="false">SQRT(($B347-BY$270)^2+($C347-BY$271)^2+($D347-BY$272)^2)</f>
        <v>3.99711098826691</v>
      </c>
      <c r="BZ347" s="63" t="n">
        <f aca="false">MATCH(MIN(BU347:BY347),BU347:BY347,0)</f>
        <v>4</v>
      </c>
      <c r="CB347" s="17" t="n">
        <f aca="false">SQRT(($B347-CB$270)^2+($C347-CB$271)^2+($D347-CB$272)^2)</f>
        <v>6.51598304299633</v>
      </c>
      <c r="CC347" s="17" t="n">
        <f aca="false">SQRT(($B347-CC$270)^2+($C347-CC$271)^2+($D347-CC$272)^2)</f>
        <v>1.6899095523592</v>
      </c>
      <c r="CD347" s="17" t="n">
        <f aca="false">SQRT(($B347-CD$270)^2+($C347-CD$271)^2+($D347-CD$272)^2)</f>
        <v>1.64609401520556</v>
      </c>
      <c r="CE347" s="17" t="n">
        <f aca="false">SQRT(($B347-CE$270)^2+($C347-CE$271)^2+($D347-CE$272)^2)</f>
        <v>0.697662240875604</v>
      </c>
      <c r="CF347" s="17" t="n">
        <f aca="false">SQRT(($B347-CF$270)^2+($C347-CF$271)^2+($D347-CF$272)^2)</f>
        <v>3.99711098826691</v>
      </c>
      <c r="CG347" s="63" t="n">
        <f aca="false">MATCH(MIN(CB347:CF347),CB347:CF347,0)</f>
        <v>4</v>
      </c>
      <c r="CI347" s="17" t="n">
        <f aca="false">SQRT(($B347-CI$270)^2+($C347-CI$271)^2+($D347-CI$272)^2)</f>
        <v>6.51598304299633</v>
      </c>
      <c r="CJ347" s="17" t="n">
        <f aca="false">SQRT(($B347-CJ$270)^2+($C347-CJ$271)^2+($D347-CJ$272)^2)</f>
        <v>1.6899095523592</v>
      </c>
      <c r="CK347" s="17" t="n">
        <f aca="false">SQRT(($B347-CK$270)^2+($C347-CK$271)^2+($D347-CK$272)^2)</f>
        <v>1.64609401520556</v>
      </c>
      <c r="CL347" s="17" t="n">
        <f aca="false">SQRT(($B347-CL$270)^2+($C347-CL$271)^2+($D347-CL$272)^2)</f>
        <v>0.697662240875604</v>
      </c>
      <c r="CM347" s="17" t="n">
        <f aca="false">SQRT(($B347-CM$270)^2+($C347-CM$271)^2+($D347-CM$272)^2)</f>
        <v>3.99711098826691</v>
      </c>
      <c r="CN347" s="63" t="n">
        <f aca="false">MATCH(MIN(CI347:CM347),CI347:CM347,0)</f>
        <v>4</v>
      </c>
      <c r="CP347" s="17" t="n">
        <f aca="false">SQRT(($B347-CP$270)^2+($C347-CP$271)^2+($D347-CP$272)^2)</f>
        <v>6.51598304299633</v>
      </c>
      <c r="CQ347" s="17" t="n">
        <f aca="false">SQRT(($B347-CQ$270)^2+($C347-CQ$271)^2+($D347-CQ$272)^2)</f>
        <v>1.6899095523592</v>
      </c>
      <c r="CR347" s="17" t="n">
        <f aca="false">SQRT(($B347-CR$270)^2+($C347-CR$271)^2+($D347-CR$272)^2)</f>
        <v>1.64609401520556</v>
      </c>
      <c r="CS347" s="17" t="n">
        <f aca="false">SQRT(($B347-CS$270)^2+($C347-CS$271)^2+($D347-CS$272)^2)</f>
        <v>0.697662240875604</v>
      </c>
      <c r="CT347" s="17" t="n">
        <f aca="false">SQRT(($B347-CT$270)^2+($C347-CT$271)^2+($D347-CT$272)^2)</f>
        <v>3.99711098826691</v>
      </c>
      <c r="CU347" s="63" t="n">
        <f aca="false">MATCH(MIN(CP347:CT347),CP347:CT347,0)</f>
        <v>4</v>
      </c>
      <c r="CW347" s="17" t="n">
        <f aca="false">SQRT(($B347-CW$270)^2+($C347-CW$271)^2+($D347-CW$272)^2)</f>
        <v>6.51598304299633</v>
      </c>
      <c r="CX347" s="17" t="n">
        <f aca="false">SQRT(($B347-CX$270)^2+($C347-CX$271)^2+($D347-CX$272)^2)</f>
        <v>1.6899095523592</v>
      </c>
      <c r="CY347" s="17" t="n">
        <f aca="false">SQRT(($B347-CY$270)^2+($C347-CY$271)^2+($D347-CY$272)^2)</f>
        <v>1.64609401520556</v>
      </c>
      <c r="CZ347" s="17" t="n">
        <f aca="false">SQRT(($B347-CZ$270)^2+($C347-CZ$271)^2+($D347-CZ$272)^2)</f>
        <v>0.697662240875604</v>
      </c>
      <c r="DA347" s="17" t="n">
        <f aca="false">SQRT(($B347-DA$270)^2+($C347-DA$271)^2+($D347-DA$272)^2)</f>
        <v>3.99711098826691</v>
      </c>
      <c r="DB347" s="63" t="n">
        <f aca="false">MATCH(MIN(CW347:DA347),CW347:DA347,0)</f>
        <v>4</v>
      </c>
    </row>
    <row r="348" customFormat="false" ht="15" hidden="false" customHeight="false" outlineLevel="0" collapsed="false">
      <c r="A348" s="36" t="str">
        <f aca="false">KMeans_Data!A76</f>
        <v>Narowal</v>
      </c>
      <c r="B348" s="17" t="n">
        <f aca="false">KMeans_Data!H76</f>
        <v>-0.275926355545086</v>
      </c>
      <c r="C348" s="17" t="n">
        <f aca="false">KMeans_Data!I76</f>
        <v>-0.672650545388274</v>
      </c>
      <c r="D348" s="17" t="n">
        <f aca="false">KMeans_Data!J76</f>
        <v>-1.14564411633355</v>
      </c>
      <c r="E348" s="63" t="n">
        <f aca="false">DB348</f>
        <v>4</v>
      </c>
      <c r="F348" s="38" t="n">
        <f aca="false">($B348-INDEX($L$270:$P$270,E348))^2+($C348-INDEX($L$271:$P$271,E348))^2+($D348-INDEX($L$272:$P$272,E348))^2</f>
        <v>0.642536674410644</v>
      </c>
      <c r="G348" s="17" t="n">
        <f aca="false">IF(COUNTIF(Distance_Matrix!$E$11:$DQ$11,$E348)&lt;=1,0,SUMIF(Distance_Matrix!$E$11:$DQ$11,$E348,Distance_Matrix!$E$85:$DQ$85)/(COUNTIF(Distance_Matrix!$E$11:$DQ$11,$E348)-1))</f>
        <v>1.01335929491752</v>
      </c>
      <c r="H348" s="17" t="n">
        <f aca="false">MIN(IF(1=$E348,1E+099,IF(COUNTIF(Distance_Matrix!$E$11:$DQ$11,1)=0,1E+099,SUMIF(Distance_Matrix!$E$11:$DQ$11,1,Distance_Matrix!$E$85:$DQ$85)/COUNTIF(Distance_Matrix!$E$11:$DQ$11,1))),IF(2=$E348,1E+099,IF(COUNTIF(Distance_Matrix!$E$11:$DQ$11,2)=0,1E+099,SUMIF(Distance_Matrix!$E$11:$DQ$11,2,Distance_Matrix!$E$85:$DQ$85)/COUNTIF(Distance_Matrix!$E$11:$DQ$11,2))),IF(3=$E348,1E+099,IF(COUNTIF(Distance_Matrix!$E$11:$DQ$11,3)=0,1E+099,SUMIF(Distance_Matrix!$E$11:$DQ$11,3,Distance_Matrix!$E$85:$DQ$85)/COUNTIF(Distance_Matrix!$E$11:$DQ$11,3))),IF(4=$E348,1E+099,IF(COUNTIF(Distance_Matrix!$E$11:$DQ$11,4)=0,1E+099,SUMIF(Distance_Matrix!$E$11:$DQ$11,4,Distance_Matrix!$E$85:$DQ$85)/COUNTIF(Distance_Matrix!$E$11:$DQ$11,4))),IF(5=$E348,1E+099,IF(COUNTIF(Distance_Matrix!$E$11:$DQ$11,5)=0,1E+099,SUMIF(Distance_Matrix!$E$11:$DQ$11,5,Distance_Matrix!$E$85:$DQ$85)/COUNTIF(Distance_Matrix!$E$11:$DQ$11,5))))</f>
        <v>1.03157451090826</v>
      </c>
      <c r="I348" s="17" t="n">
        <f aca="false">IF(COUNTIF(Distance_Matrix!$E$11:$DQ$11,$E348)&lt;=1,0,(H348-G348)/MAX(G348,H348))</f>
        <v>0.0176576832774825</v>
      </c>
      <c r="X348" s="17" t="n">
        <f aca="false">SQRT(($B348-X$270)^2+($C348-X$271)^2+($D348-X$272)^2)</f>
        <v>7.35853028224167</v>
      </c>
      <c r="Y348" s="17" t="n">
        <f aca="false">SQRT(($B348-Y$270)^2+($C348-Y$271)^2+($D348-Y$272)^2)</f>
        <v>1.80381162625824</v>
      </c>
      <c r="Z348" s="17" t="n">
        <f aca="false">SQRT(($B348-Z$270)^2+($C348-Z$271)^2+($D348-Z$272)^2)</f>
        <v>3.11025341577251</v>
      </c>
      <c r="AA348" s="17" t="n">
        <f aca="false">SQRT(($B348-AA$270)^2+($C348-AA$271)^2+($D348-AA$272)^2)</f>
        <v>1.06097677058026</v>
      </c>
      <c r="AB348" s="17" t="n">
        <f aca="false">SQRT(($B348-AB$270)^2+($C348-AB$271)^2+($D348-AB$272)^2)</f>
        <v>5.30567546103081</v>
      </c>
      <c r="AC348" s="63" t="n">
        <f aca="false">MATCH(MIN(X348:AB348),X348:AB348,0)</f>
        <v>4</v>
      </c>
      <c r="AE348" s="17" t="n">
        <f aca="false">SQRT(($B348-AE$270)^2+($C348-AE$271)^2+($D348-AE$272)^2)</f>
        <v>7.22404664153628</v>
      </c>
      <c r="AF348" s="17" t="n">
        <f aca="false">SQRT(($B348-AF$270)^2+($C348-AF$271)^2+($D348-AF$272)^2)</f>
        <v>0.987937025681761</v>
      </c>
      <c r="AG348" s="17" t="n">
        <f aca="false">SQRT(($B348-AG$270)^2+($C348-AG$271)^2+($D348-AG$272)^2)</f>
        <v>2.4537392938658</v>
      </c>
      <c r="AH348" s="17" t="n">
        <f aca="false">SQRT(($B348-AH$270)^2+($C348-AH$271)^2+($D348-AH$272)^2)</f>
        <v>0.691621391457181</v>
      </c>
      <c r="AI348" s="17" t="n">
        <f aca="false">SQRT(($B348-AI$270)^2+($C348-AI$271)^2+($D348-AI$272)^2)</f>
        <v>4.95285416058018</v>
      </c>
      <c r="AJ348" s="63" t="n">
        <f aca="false">MATCH(MIN(AE348:AI348),AE348:AI348,0)</f>
        <v>4</v>
      </c>
      <c r="AL348" s="17" t="n">
        <f aca="false">SQRT(($B348-AL$270)^2+($C348-AL$271)^2+($D348-AL$272)^2)</f>
        <v>7.22404664153628</v>
      </c>
      <c r="AM348" s="17" t="n">
        <f aca="false">SQRT(($B348-AM$270)^2+($C348-AM$271)^2+($D348-AM$272)^2)</f>
        <v>0.969828158076681</v>
      </c>
      <c r="AN348" s="17" t="n">
        <f aca="false">SQRT(($B348-AN$270)^2+($C348-AN$271)^2+($D348-AN$272)^2)</f>
        <v>2.50548037004063</v>
      </c>
      <c r="AO348" s="17" t="n">
        <f aca="false">SQRT(($B348-AO$270)^2+($C348-AO$271)^2+($D348-AO$272)^2)</f>
        <v>0.789457499315385</v>
      </c>
      <c r="AP348" s="17" t="n">
        <f aca="false">SQRT(($B348-AP$270)^2+($C348-AP$271)^2+($D348-AP$272)^2)</f>
        <v>4.68759813442811</v>
      </c>
      <c r="AQ348" s="63" t="n">
        <f aca="false">MATCH(MIN(AL348:AP348),AL348:AP348,0)</f>
        <v>4</v>
      </c>
      <c r="AS348" s="17" t="n">
        <f aca="false">SQRT(($B348-AS$270)^2+($C348-AS$271)^2+($D348-AS$272)^2)</f>
        <v>7.22404664153628</v>
      </c>
      <c r="AT348" s="17" t="n">
        <f aca="false">SQRT(($B348-AT$270)^2+($C348-AT$271)^2+($D348-AT$272)^2)</f>
        <v>1.0048357982376</v>
      </c>
      <c r="AU348" s="17" t="n">
        <f aca="false">SQRT(($B348-AU$270)^2+($C348-AU$271)^2+($D348-AU$272)^2)</f>
        <v>2.53074405440853</v>
      </c>
      <c r="AV348" s="17" t="n">
        <f aca="false">SQRT(($B348-AV$270)^2+($C348-AV$271)^2+($D348-AV$272)^2)</f>
        <v>0.801583853636439</v>
      </c>
      <c r="AW348" s="17" t="n">
        <f aca="false">SQRT(($B348-AW$270)^2+($C348-AW$271)^2+($D348-AW$272)^2)</f>
        <v>4.68759813442811</v>
      </c>
      <c r="AX348" s="63" t="n">
        <f aca="false">MATCH(MIN(AS348:AW348),AS348:AW348,0)</f>
        <v>4</v>
      </c>
      <c r="AZ348" s="17" t="n">
        <f aca="false">SQRT(($B348-AZ$270)^2+($C348-AZ$271)^2+($D348-AZ$272)^2)</f>
        <v>7.22404664153628</v>
      </c>
      <c r="BA348" s="17" t="n">
        <f aca="false">SQRT(($B348-BA$270)^2+($C348-BA$271)^2+($D348-BA$272)^2)</f>
        <v>1.0048357982376</v>
      </c>
      <c r="BB348" s="17" t="n">
        <f aca="false">SQRT(($B348-BB$270)^2+($C348-BB$271)^2+($D348-BB$272)^2)</f>
        <v>2.53074405440853</v>
      </c>
      <c r="BC348" s="17" t="n">
        <f aca="false">SQRT(($B348-BC$270)^2+($C348-BC$271)^2+($D348-BC$272)^2)</f>
        <v>0.801583853636439</v>
      </c>
      <c r="BD348" s="17" t="n">
        <f aca="false">SQRT(($B348-BD$270)^2+($C348-BD$271)^2+($D348-BD$272)^2)</f>
        <v>4.68759813442811</v>
      </c>
      <c r="BE348" s="63" t="n">
        <f aca="false">MATCH(MIN(AZ348:BD348),AZ348:BD348,0)</f>
        <v>4</v>
      </c>
      <c r="BG348" s="17" t="n">
        <f aca="false">SQRT(($B348-BG$270)^2+($C348-BG$271)^2+($D348-BG$272)^2)</f>
        <v>7.22404664153628</v>
      </c>
      <c r="BH348" s="17" t="n">
        <f aca="false">SQRT(($B348-BH$270)^2+($C348-BH$271)^2+($D348-BH$272)^2)</f>
        <v>1.0048357982376</v>
      </c>
      <c r="BI348" s="17" t="n">
        <f aca="false">SQRT(($B348-BI$270)^2+($C348-BI$271)^2+($D348-BI$272)^2)</f>
        <v>2.53074405440853</v>
      </c>
      <c r="BJ348" s="17" t="n">
        <f aca="false">SQRT(($B348-BJ$270)^2+($C348-BJ$271)^2+($D348-BJ$272)^2)</f>
        <v>0.801583853636439</v>
      </c>
      <c r="BK348" s="17" t="n">
        <f aca="false">SQRT(($B348-BK$270)^2+($C348-BK$271)^2+($D348-BK$272)^2)</f>
        <v>4.68759813442811</v>
      </c>
      <c r="BL348" s="63" t="n">
        <f aca="false">MATCH(MIN(BG348:BK348),BG348:BK348,0)</f>
        <v>4</v>
      </c>
      <c r="BN348" s="17" t="n">
        <f aca="false">SQRT(($B348-BN$270)^2+($C348-BN$271)^2+($D348-BN$272)^2)</f>
        <v>7.22404664153628</v>
      </c>
      <c r="BO348" s="17" t="n">
        <f aca="false">SQRT(($B348-BO$270)^2+($C348-BO$271)^2+($D348-BO$272)^2)</f>
        <v>1.0048357982376</v>
      </c>
      <c r="BP348" s="17" t="n">
        <f aca="false">SQRT(($B348-BP$270)^2+($C348-BP$271)^2+($D348-BP$272)^2)</f>
        <v>2.53074405440853</v>
      </c>
      <c r="BQ348" s="17" t="n">
        <f aca="false">SQRT(($B348-BQ$270)^2+($C348-BQ$271)^2+($D348-BQ$272)^2)</f>
        <v>0.801583853636439</v>
      </c>
      <c r="BR348" s="17" t="n">
        <f aca="false">SQRT(($B348-BR$270)^2+($C348-BR$271)^2+($D348-BR$272)^2)</f>
        <v>4.68759813442811</v>
      </c>
      <c r="BS348" s="63" t="n">
        <f aca="false">MATCH(MIN(BN348:BR348),BN348:BR348,0)</f>
        <v>4</v>
      </c>
      <c r="BU348" s="17" t="n">
        <f aca="false">SQRT(($B348-BU$270)^2+($C348-BU$271)^2+($D348-BU$272)^2)</f>
        <v>7.22404664153628</v>
      </c>
      <c r="BV348" s="17" t="n">
        <f aca="false">SQRT(($B348-BV$270)^2+($C348-BV$271)^2+($D348-BV$272)^2)</f>
        <v>1.0048357982376</v>
      </c>
      <c r="BW348" s="17" t="n">
        <f aca="false">SQRT(($B348-BW$270)^2+($C348-BW$271)^2+($D348-BW$272)^2)</f>
        <v>2.53074405440853</v>
      </c>
      <c r="BX348" s="17" t="n">
        <f aca="false">SQRT(($B348-BX$270)^2+($C348-BX$271)^2+($D348-BX$272)^2)</f>
        <v>0.801583853636439</v>
      </c>
      <c r="BY348" s="17" t="n">
        <f aca="false">SQRT(($B348-BY$270)^2+($C348-BY$271)^2+($D348-BY$272)^2)</f>
        <v>4.68759813442811</v>
      </c>
      <c r="BZ348" s="63" t="n">
        <f aca="false">MATCH(MIN(BU348:BY348),BU348:BY348,0)</f>
        <v>4</v>
      </c>
      <c r="CB348" s="17" t="n">
        <f aca="false">SQRT(($B348-CB$270)^2+($C348-CB$271)^2+($D348-CB$272)^2)</f>
        <v>7.22404664153628</v>
      </c>
      <c r="CC348" s="17" t="n">
        <f aca="false">SQRT(($B348-CC$270)^2+($C348-CC$271)^2+($D348-CC$272)^2)</f>
        <v>1.0048357982376</v>
      </c>
      <c r="CD348" s="17" t="n">
        <f aca="false">SQRT(($B348-CD$270)^2+($C348-CD$271)^2+($D348-CD$272)^2)</f>
        <v>2.53074405440853</v>
      </c>
      <c r="CE348" s="17" t="n">
        <f aca="false">SQRT(($B348-CE$270)^2+($C348-CE$271)^2+($D348-CE$272)^2)</f>
        <v>0.801583853636439</v>
      </c>
      <c r="CF348" s="17" t="n">
        <f aca="false">SQRT(($B348-CF$270)^2+($C348-CF$271)^2+($D348-CF$272)^2)</f>
        <v>4.68759813442811</v>
      </c>
      <c r="CG348" s="63" t="n">
        <f aca="false">MATCH(MIN(CB348:CF348),CB348:CF348,0)</f>
        <v>4</v>
      </c>
      <c r="CI348" s="17" t="n">
        <f aca="false">SQRT(($B348-CI$270)^2+($C348-CI$271)^2+($D348-CI$272)^2)</f>
        <v>7.22404664153628</v>
      </c>
      <c r="CJ348" s="17" t="n">
        <f aca="false">SQRT(($B348-CJ$270)^2+($C348-CJ$271)^2+($D348-CJ$272)^2)</f>
        <v>1.0048357982376</v>
      </c>
      <c r="CK348" s="17" t="n">
        <f aca="false">SQRT(($B348-CK$270)^2+($C348-CK$271)^2+($D348-CK$272)^2)</f>
        <v>2.53074405440853</v>
      </c>
      <c r="CL348" s="17" t="n">
        <f aca="false">SQRT(($B348-CL$270)^2+($C348-CL$271)^2+($D348-CL$272)^2)</f>
        <v>0.801583853636439</v>
      </c>
      <c r="CM348" s="17" t="n">
        <f aca="false">SQRT(($B348-CM$270)^2+($C348-CM$271)^2+($D348-CM$272)^2)</f>
        <v>4.68759813442811</v>
      </c>
      <c r="CN348" s="63" t="n">
        <f aca="false">MATCH(MIN(CI348:CM348),CI348:CM348,0)</f>
        <v>4</v>
      </c>
      <c r="CP348" s="17" t="n">
        <f aca="false">SQRT(($B348-CP$270)^2+($C348-CP$271)^2+($D348-CP$272)^2)</f>
        <v>7.22404664153628</v>
      </c>
      <c r="CQ348" s="17" t="n">
        <f aca="false">SQRT(($B348-CQ$270)^2+($C348-CQ$271)^2+($D348-CQ$272)^2)</f>
        <v>1.0048357982376</v>
      </c>
      <c r="CR348" s="17" t="n">
        <f aca="false">SQRT(($B348-CR$270)^2+($C348-CR$271)^2+($D348-CR$272)^2)</f>
        <v>2.53074405440853</v>
      </c>
      <c r="CS348" s="17" t="n">
        <f aca="false">SQRT(($B348-CS$270)^2+($C348-CS$271)^2+($D348-CS$272)^2)</f>
        <v>0.801583853636439</v>
      </c>
      <c r="CT348" s="17" t="n">
        <f aca="false">SQRT(($B348-CT$270)^2+($C348-CT$271)^2+($D348-CT$272)^2)</f>
        <v>4.68759813442811</v>
      </c>
      <c r="CU348" s="63" t="n">
        <f aca="false">MATCH(MIN(CP348:CT348),CP348:CT348,0)</f>
        <v>4</v>
      </c>
      <c r="CW348" s="17" t="n">
        <f aca="false">SQRT(($B348-CW$270)^2+($C348-CW$271)^2+($D348-CW$272)^2)</f>
        <v>7.22404664153628</v>
      </c>
      <c r="CX348" s="17" t="n">
        <f aca="false">SQRT(($B348-CX$270)^2+($C348-CX$271)^2+($D348-CX$272)^2)</f>
        <v>1.0048357982376</v>
      </c>
      <c r="CY348" s="17" t="n">
        <f aca="false">SQRT(($B348-CY$270)^2+($C348-CY$271)^2+($D348-CY$272)^2)</f>
        <v>2.53074405440853</v>
      </c>
      <c r="CZ348" s="17" t="n">
        <f aca="false">SQRT(($B348-CZ$270)^2+($C348-CZ$271)^2+($D348-CZ$272)^2)</f>
        <v>0.801583853636439</v>
      </c>
      <c r="DA348" s="17" t="n">
        <f aca="false">SQRT(($B348-DA$270)^2+($C348-DA$271)^2+($D348-DA$272)^2)</f>
        <v>4.68759813442811</v>
      </c>
      <c r="DB348" s="63" t="n">
        <f aca="false">MATCH(MIN(CW348:DA348),CW348:DA348,0)</f>
        <v>4</v>
      </c>
    </row>
    <row r="349" customFormat="false" ht="15" hidden="false" customHeight="false" outlineLevel="0" collapsed="false">
      <c r="A349" s="36" t="str">
        <f aca="false">KMeans_Data!A77</f>
        <v>Mandi Bahauddin</v>
      </c>
      <c r="B349" s="17" t="n">
        <f aca="false">KMeans_Data!H77</f>
        <v>-0.309516720776153</v>
      </c>
      <c r="C349" s="17" t="n">
        <f aca="false">KMeans_Data!I77</f>
        <v>-0.672650545388274</v>
      </c>
      <c r="D349" s="17" t="n">
        <f aca="false">KMeans_Data!J77</f>
        <v>-0.182049815029191</v>
      </c>
      <c r="E349" s="63" t="n">
        <f aca="false">DB349</f>
        <v>4</v>
      </c>
      <c r="F349" s="38" t="n">
        <f aca="false">($B349-INDEX($L$270:$P$270,E349))^2+($C349-INDEX($L$271:$P$271,E349))^2+($D349-INDEX($L$272:$P$272,E349))^2</f>
        <v>0.0970417421534152</v>
      </c>
      <c r="G349" s="17" t="n">
        <f aca="false">IF(COUNTIF(Distance_Matrix!$E$11:$DQ$11,$E349)&lt;=1,0,SUMIF(Distance_Matrix!$E$11:$DQ$11,$E349,Distance_Matrix!$E$86:$DQ$86)/(COUNTIF(Distance_Matrix!$E$11:$DQ$11,$E349)-1))</f>
        <v>0.767134849835434</v>
      </c>
      <c r="H349" s="17" t="n">
        <f aca="false">MIN(IF(1=$E349,1E+099,IF(COUNTIF(Distance_Matrix!$E$11:$DQ$11,1)=0,1E+099,SUMIF(Distance_Matrix!$E$11:$DQ$11,1,Distance_Matrix!$E$86:$DQ$86)/COUNTIF(Distance_Matrix!$E$11:$DQ$11,1))),IF(2=$E349,1E+099,IF(COUNTIF(Distance_Matrix!$E$11:$DQ$11,2)=0,1E+099,SUMIF(Distance_Matrix!$E$11:$DQ$11,2,Distance_Matrix!$E$86:$DQ$86)/COUNTIF(Distance_Matrix!$E$11:$DQ$11,2))),IF(3=$E349,1E+099,IF(COUNTIF(Distance_Matrix!$E$11:$DQ$11,3)=0,1E+099,SUMIF(Distance_Matrix!$E$11:$DQ$11,3,Distance_Matrix!$E$86:$DQ$86)/COUNTIF(Distance_Matrix!$E$11:$DQ$11,3))),IF(4=$E349,1E+099,IF(COUNTIF(Distance_Matrix!$E$11:$DQ$11,4)=0,1E+099,SUMIF(Distance_Matrix!$E$11:$DQ$11,4,Distance_Matrix!$E$86:$DQ$86)/COUNTIF(Distance_Matrix!$E$11:$DQ$11,4))),IF(5=$E349,1E+099,IF(COUNTIF(Distance_Matrix!$E$11:$DQ$11,5)=0,1E+099,SUMIF(Distance_Matrix!$E$11:$DQ$11,5,Distance_Matrix!$E$86:$DQ$86)/COUNTIF(Distance_Matrix!$E$11:$DQ$11,5))))</f>
        <v>1.35255892320566</v>
      </c>
      <c r="I349" s="17" t="n">
        <f aca="false">IF(COUNTIF(Distance_Matrix!$E$11:$DQ$11,$E349)&lt;=1,0,(H349-G349)/MAX(G349,H349))</f>
        <v>0.432827038679197</v>
      </c>
      <c r="X349" s="17" t="n">
        <f aca="false">SQRT(($B349-X$270)^2+($C349-X$271)^2+($D349-X$272)^2)</f>
        <v>6.84395018685736</v>
      </c>
      <c r="Y349" s="17" t="n">
        <f aca="false">SQRT(($B349-Y$270)^2+($C349-Y$271)^2+($D349-Y$272)^2)</f>
        <v>2.01548934269047</v>
      </c>
      <c r="Z349" s="17" t="n">
        <f aca="false">SQRT(($B349-Z$270)^2+($C349-Z$271)^2+($D349-Z$272)^2)</f>
        <v>2.37695713810837</v>
      </c>
      <c r="AA349" s="17" t="n">
        <f aca="false">SQRT(($B349-AA$270)^2+($C349-AA$271)^2+($D349-AA$272)^2)</f>
        <v>1.45506966145696</v>
      </c>
      <c r="AB349" s="17" t="n">
        <f aca="false">SQRT(($B349-AB$270)^2+($C349-AB$271)^2+($D349-AB$272)^2)</f>
        <v>4.74103083830576</v>
      </c>
      <c r="AC349" s="63" t="n">
        <f aca="false">MATCH(MIN(X349:AB349),X349:AB349,0)</f>
        <v>4</v>
      </c>
      <c r="AE349" s="17" t="n">
        <f aca="false">SQRT(($B349-AE$270)^2+($C349-AE$271)^2+($D349-AE$272)^2)</f>
        <v>6.74011077733423</v>
      </c>
      <c r="AF349" s="17" t="n">
        <f aca="false">SQRT(($B349-AF$270)^2+($C349-AF$271)^2+($D349-AF$272)^2)</f>
        <v>1.19803841405558</v>
      </c>
      <c r="AG349" s="17" t="n">
        <f aca="false">SQRT(($B349-AG$270)^2+($C349-AG$271)^2+($D349-AG$272)^2)</f>
        <v>1.77974237551446</v>
      </c>
      <c r="AH349" s="17" t="n">
        <f aca="false">SQRT(($B349-AH$270)^2+($C349-AH$271)^2+($D349-AH$272)^2)</f>
        <v>0.452751462139914</v>
      </c>
      <c r="AI349" s="17" t="n">
        <f aca="false">SQRT(($B349-AI$270)^2+($C349-AI$271)^2+($D349-AI$272)^2)</f>
        <v>4.46831069505574</v>
      </c>
      <c r="AJ349" s="63" t="n">
        <f aca="false">MATCH(MIN(AE349:AI349),AE349:AI349,0)</f>
        <v>4</v>
      </c>
      <c r="AL349" s="17" t="n">
        <f aca="false">SQRT(($B349-AL$270)^2+($C349-AL$271)^2+($D349-AL$272)^2)</f>
        <v>6.74011077733423</v>
      </c>
      <c r="AM349" s="17" t="n">
        <f aca="false">SQRT(($B349-AM$270)^2+($C349-AM$271)^2+($D349-AM$272)^2)</f>
        <v>1.22373735249659</v>
      </c>
      <c r="AN349" s="17" t="n">
        <f aca="false">SQRT(($B349-AN$270)^2+($C349-AN$271)^2+($D349-AN$272)^2)</f>
        <v>1.85224488143844</v>
      </c>
      <c r="AO349" s="17" t="n">
        <f aca="false">SQRT(($B349-AO$270)^2+($C349-AO$271)^2+($D349-AO$272)^2)</f>
        <v>0.352763812269962</v>
      </c>
      <c r="AP349" s="17" t="n">
        <f aca="false">SQRT(($B349-AP$270)^2+($C349-AP$271)^2+($D349-AP$272)^2)</f>
        <v>4.19941073371546</v>
      </c>
      <c r="AQ349" s="63" t="n">
        <f aca="false">MATCH(MIN(AL349:AP349),AL349:AP349,0)</f>
        <v>4</v>
      </c>
      <c r="AS349" s="17" t="n">
        <f aca="false">SQRT(($B349-AS$270)^2+($C349-AS$271)^2+($D349-AS$272)^2)</f>
        <v>6.74011077733423</v>
      </c>
      <c r="AT349" s="17" t="n">
        <f aca="false">SQRT(($B349-AT$270)^2+($C349-AT$271)^2+($D349-AT$272)^2)</f>
        <v>1.31671298024442</v>
      </c>
      <c r="AU349" s="17" t="n">
        <f aca="false">SQRT(($B349-AU$270)^2+($C349-AU$271)^2+($D349-AU$272)^2)</f>
        <v>1.87838812634542</v>
      </c>
      <c r="AV349" s="17" t="n">
        <f aca="false">SQRT(($B349-AV$270)^2+($C349-AV$271)^2+($D349-AV$272)^2)</f>
        <v>0.311515235828707</v>
      </c>
      <c r="AW349" s="17" t="n">
        <f aca="false">SQRT(($B349-AW$270)^2+($C349-AW$271)^2+($D349-AW$272)^2)</f>
        <v>4.19941073371546</v>
      </c>
      <c r="AX349" s="63" t="n">
        <f aca="false">MATCH(MIN(AS349:AW349),AS349:AW349,0)</f>
        <v>4</v>
      </c>
      <c r="AZ349" s="17" t="n">
        <f aca="false">SQRT(($B349-AZ$270)^2+($C349-AZ$271)^2+($D349-AZ$272)^2)</f>
        <v>6.74011077733423</v>
      </c>
      <c r="BA349" s="17" t="n">
        <f aca="false">SQRT(($B349-BA$270)^2+($C349-BA$271)^2+($D349-BA$272)^2)</f>
        <v>1.31671298024442</v>
      </c>
      <c r="BB349" s="17" t="n">
        <f aca="false">SQRT(($B349-BB$270)^2+($C349-BB$271)^2+($D349-BB$272)^2)</f>
        <v>1.87838812634542</v>
      </c>
      <c r="BC349" s="17" t="n">
        <f aca="false">SQRT(($B349-BC$270)^2+($C349-BC$271)^2+($D349-BC$272)^2)</f>
        <v>0.311515235828707</v>
      </c>
      <c r="BD349" s="17" t="n">
        <f aca="false">SQRT(($B349-BD$270)^2+($C349-BD$271)^2+($D349-BD$272)^2)</f>
        <v>4.19941073371546</v>
      </c>
      <c r="BE349" s="63" t="n">
        <f aca="false">MATCH(MIN(AZ349:BD349),AZ349:BD349,0)</f>
        <v>4</v>
      </c>
      <c r="BG349" s="17" t="n">
        <f aca="false">SQRT(($B349-BG$270)^2+($C349-BG$271)^2+($D349-BG$272)^2)</f>
        <v>6.74011077733423</v>
      </c>
      <c r="BH349" s="17" t="n">
        <f aca="false">SQRT(($B349-BH$270)^2+($C349-BH$271)^2+($D349-BH$272)^2)</f>
        <v>1.31671298024442</v>
      </c>
      <c r="BI349" s="17" t="n">
        <f aca="false">SQRT(($B349-BI$270)^2+($C349-BI$271)^2+($D349-BI$272)^2)</f>
        <v>1.87838812634542</v>
      </c>
      <c r="BJ349" s="17" t="n">
        <f aca="false">SQRT(($B349-BJ$270)^2+($C349-BJ$271)^2+($D349-BJ$272)^2)</f>
        <v>0.311515235828707</v>
      </c>
      <c r="BK349" s="17" t="n">
        <f aca="false">SQRT(($B349-BK$270)^2+($C349-BK$271)^2+($D349-BK$272)^2)</f>
        <v>4.19941073371546</v>
      </c>
      <c r="BL349" s="63" t="n">
        <f aca="false">MATCH(MIN(BG349:BK349),BG349:BK349,0)</f>
        <v>4</v>
      </c>
      <c r="BN349" s="17" t="n">
        <f aca="false">SQRT(($B349-BN$270)^2+($C349-BN$271)^2+($D349-BN$272)^2)</f>
        <v>6.74011077733423</v>
      </c>
      <c r="BO349" s="17" t="n">
        <f aca="false">SQRT(($B349-BO$270)^2+($C349-BO$271)^2+($D349-BO$272)^2)</f>
        <v>1.31671298024442</v>
      </c>
      <c r="BP349" s="17" t="n">
        <f aca="false">SQRT(($B349-BP$270)^2+($C349-BP$271)^2+($D349-BP$272)^2)</f>
        <v>1.87838812634542</v>
      </c>
      <c r="BQ349" s="17" t="n">
        <f aca="false">SQRT(($B349-BQ$270)^2+($C349-BQ$271)^2+($D349-BQ$272)^2)</f>
        <v>0.311515235828707</v>
      </c>
      <c r="BR349" s="17" t="n">
        <f aca="false">SQRT(($B349-BR$270)^2+($C349-BR$271)^2+($D349-BR$272)^2)</f>
        <v>4.19941073371546</v>
      </c>
      <c r="BS349" s="63" t="n">
        <f aca="false">MATCH(MIN(BN349:BR349),BN349:BR349,0)</f>
        <v>4</v>
      </c>
      <c r="BU349" s="17" t="n">
        <f aca="false">SQRT(($B349-BU$270)^2+($C349-BU$271)^2+($D349-BU$272)^2)</f>
        <v>6.74011077733423</v>
      </c>
      <c r="BV349" s="17" t="n">
        <f aca="false">SQRT(($B349-BV$270)^2+($C349-BV$271)^2+($D349-BV$272)^2)</f>
        <v>1.31671298024442</v>
      </c>
      <c r="BW349" s="17" t="n">
        <f aca="false">SQRT(($B349-BW$270)^2+($C349-BW$271)^2+($D349-BW$272)^2)</f>
        <v>1.87838812634542</v>
      </c>
      <c r="BX349" s="17" t="n">
        <f aca="false">SQRT(($B349-BX$270)^2+($C349-BX$271)^2+($D349-BX$272)^2)</f>
        <v>0.311515235828707</v>
      </c>
      <c r="BY349" s="17" t="n">
        <f aca="false">SQRT(($B349-BY$270)^2+($C349-BY$271)^2+($D349-BY$272)^2)</f>
        <v>4.19941073371546</v>
      </c>
      <c r="BZ349" s="63" t="n">
        <f aca="false">MATCH(MIN(BU349:BY349),BU349:BY349,0)</f>
        <v>4</v>
      </c>
      <c r="CB349" s="17" t="n">
        <f aca="false">SQRT(($B349-CB$270)^2+($C349-CB$271)^2+($D349-CB$272)^2)</f>
        <v>6.74011077733423</v>
      </c>
      <c r="CC349" s="17" t="n">
        <f aca="false">SQRT(($B349-CC$270)^2+($C349-CC$271)^2+($D349-CC$272)^2)</f>
        <v>1.31671298024442</v>
      </c>
      <c r="CD349" s="17" t="n">
        <f aca="false">SQRT(($B349-CD$270)^2+($C349-CD$271)^2+($D349-CD$272)^2)</f>
        <v>1.87838812634542</v>
      </c>
      <c r="CE349" s="17" t="n">
        <f aca="false">SQRT(($B349-CE$270)^2+($C349-CE$271)^2+($D349-CE$272)^2)</f>
        <v>0.311515235828707</v>
      </c>
      <c r="CF349" s="17" t="n">
        <f aca="false">SQRT(($B349-CF$270)^2+($C349-CF$271)^2+($D349-CF$272)^2)</f>
        <v>4.19941073371546</v>
      </c>
      <c r="CG349" s="63" t="n">
        <f aca="false">MATCH(MIN(CB349:CF349),CB349:CF349,0)</f>
        <v>4</v>
      </c>
      <c r="CI349" s="17" t="n">
        <f aca="false">SQRT(($B349-CI$270)^2+($C349-CI$271)^2+($D349-CI$272)^2)</f>
        <v>6.74011077733423</v>
      </c>
      <c r="CJ349" s="17" t="n">
        <f aca="false">SQRT(($B349-CJ$270)^2+($C349-CJ$271)^2+($D349-CJ$272)^2)</f>
        <v>1.31671298024442</v>
      </c>
      <c r="CK349" s="17" t="n">
        <f aca="false">SQRT(($B349-CK$270)^2+($C349-CK$271)^2+($D349-CK$272)^2)</f>
        <v>1.87838812634542</v>
      </c>
      <c r="CL349" s="17" t="n">
        <f aca="false">SQRT(($B349-CL$270)^2+($C349-CL$271)^2+($D349-CL$272)^2)</f>
        <v>0.311515235828707</v>
      </c>
      <c r="CM349" s="17" t="n">
        <f aca="false">SQRT(($B349-CM$270)^2+($C349-CM$271)^2+($D349-CM$272)^2)</f>
        <v>4.19941073371546</v>
      </c>
      <c r="CN349" s="63" t="n">
        <f aca="false">MATCH(MIN(CI349:CM349),CI349:CM349,0)</f>
        <v>4</v>
      </c>
      <c r="CP349" s="17" t="n">
        <f aca="false">SQRT(($B349-CP$270)^2+($C349-CP$271)^2+($D349-CP$272)^2)</f>
        <v>6.74011077733423</v>
      </c>
      <c r="CQ349" s="17" t="n">
        <f aca="false">SQRT(($B349-CQ$270)^2+($C349-CQ$271)^2+($D349-CQ$272)^2)</f>
        <v>1.31671298024442</v>
      </c>
      <c r="CR349" s="17" t="n">
        <f aca="false">SQRT(($B349-CR$270)^2+($C349-CR$271)^2+($D349-CR$272)^2)</f>
        <v>1.87838812634542</v>
      </c>
      <c r="CS349" s="17" t="n">
        <f aca="false">SQRT(($B349-CS$270)^2+($C349-CS$271)^2+($D349-CS$272)^2)</f>
        <v>0.311515235828707</v>
      </c>
      <c r="CT349" s="17" t="n">
        <f aca="false">SQRT(($B349-CT$270)^2+($C349-CT$271)^2+($D349-CT$272)^2)</f>
        <v>4.19941073371546</v>
      </c>
      <c r="CU349" s="63" t="n">
        <f aca="false">MATCH(MIN(CP349:CT349),CP349:CT349,0)</f>
        <v>4</v>
      </c>
      <c r="CW349" s="17" t="n">
        <f aca="false">SQRT(($B349-CW$270)^2+($C349-CW$271)^2+($D349-CW$272)^2)</f>
        <v>6.74011077733423</v>
      </c>
      <c r="CX349" s="17" t="n">
        <f aca="false">SQRT(($B349-CX$270)^2+($C349-CX$271)^2+($D349-CX$272)^2)</f>
        <v>1.31671298024442</v>
      </c>
      <c r="CY349" s="17" t="n">
        <f aca="false">SQRT(($B349-CY$270)^2+($C349-CY$271)^2+($D349-CY$272)^2)</f>
        <v>1.87838812634542</v>
      </c>
      <c r="CZ349" s="17" t="n">
        <f aca="false">SQRT(($B349-CZ$270)^2+($C349-CZ$271)^2+($D349-CZ$272)^2)</f>
        <v>0.311515235828707</v>
      </c>
      <c r="DA349" s="17" t="n">
        <f aca="false">SQRT(($B349-DA$270)^2+($C349-DA$271)^2+($D349-DA$272)^2)</f>
        <v>4.19941073371546</v>
      </c>
      <c r="DB349" s="63" t="n">
        <f aca="false">MATCH(MIN(CW349:DA349),CW349:DA349,0)</f>
        <v>4</v>
      </c>
    </row>
    <row r="350" customFormat="false" ht="15" hidden="false" customHeight="false" outlineLevel="0" collapsed="false">
      <c r="A350" s="36" t="str">
        <f aca="false">KMeans_Data!A78</f>
        <v>Ghanche</v>
      </c>
      <c r="B350" s="17" t="n">
        <f aca="false">KMeans_Data!H78</f>
        <v>-0.327161461972788</v>
      </c>
      <c r="C350" s="17" t="n">
        <f aca="false">KMeans_Data!I78</f>
        <v>-0.672650545388274</v>
      </c>
      <c r="D350" s="17" t="n">
        <f aca="false">KMeans_Data!J78</f>
        <v>-0.2439270481224</v>
      </c>
      <c r="E350" s="63" t="n">
        <f aca="false">DB350</f>
        <v>4</v>
      </c>
      <c r="F350" s="38" t="n">
        <f aca="false">($B350-INDEX($L$270:$P$270,E350))^2+($C350-INDEX($L$271:$P$271,E350))^2+($D350-INDEX($L$272:$P$272,E350))^2</f>
        <v>0.083675501962875</v>
      </c>
      <c r="G350" s="17" t="n">
        <f aca="false">IF(COUNTIF(Distance_Matrix!$E$11:$DQ$11,$E350)&lt;=1,0,SUMIF(Distance_Matrix!$E$11:$DQ$11,$E350,Distance_Matrix!$E$87:$DQ$87)/(COUNTIF(Distance_Matrix!$E$11:$DQ$11,$E350)-1))</f>
        <v>0.759918673047283</v>
      </c>
      <c r="H350" s="17" t="n">
        <f aca="false">MIN(IF(1=$E350,1E+099,IF(COUNTIF(Distance_Matrix!$E$11:$DQ$11,1)=0,1E+099,SUMIF(Distance_Matrix!$E$11:$DQ$11,1,Distance_Matrix!$E$87:$DQ$87)/COUNTIF(Distance_Matrix!$E$11:$DQ$11,1))),IF(2=$E350,1E+099,IF(COUNTIF(Distance_Matrix!$E$11:$DQ$11,2)=0,1E+099,SUMIF(Distance_Matrix!$E$11:$DQ$11,2,Distance_Matrix!$E$87:$DQ$87)/COUNTIF(Distance_Matrix!$E$11:$DQ$11,2))),IF(3=$E350,1E+099,IF(COUNTIF(Distance_Matrix!$E$11:$DQ$11,3)=0,1E+099,SUMIF(Distance_Matrix!$E$11:$DQ$11,3,Distance_Matrix!$E$87:$DQ$87)/COUNTIF(Distance_Matrix!$E$11:$DQ$11,3))),IF(4=$E350,1E+099,IF(COUNTIF(Distance_Matrix!$E$11:$DQ$11,4)=0,1E+099,SUMIF(Distance_Matrix!$E$11:$DQ$11,4,Distance_Matrix!$E$87:$DQ$87)/COUNTIF(Distance_Matrix!$E$11:$DQ$11,4))),IF(5=$E350,1E+099,IF(COUNTIF(Distance_Matrix!$E$11:$DQ$11,5)=0,1E+099,SUMIF(Distance_Matrix!$E$11:$DQ$11,5,Distance_Matrix!$E$87:$DQ$87)/COUNTIF(Distance_Matrix!$E$11:$DQ$11,5))))</f>
        <v>1.2987853227422</v>
      </c>
      <c r="I350" s="17" t="n">
        <f aca="false">IF(COUNTIF(Distance_Matrix!$E$11:$DQ$11,$E350)&lt;=1,0,(H350-G350)/MAX(G350,H350))</f>
        <v>0.414900476821818</v>
      </c>
      <c r="X350" s="17" t="n">
        <f aca="false">SQRT(($B350-X$270)^2+($C350-X$271)^2+($D350-X$272)^2)</f>
        <v>6.88442683577779</v>
      </c>
      <c r="Y350" s="17" t="n">
        <f aca="false">SQRT(($B350-Y$270)^2+($C350-Y$271)^2+($D350-Y$272)^2)</f>
        <v>1.97094346163573</v>
      </c>
      <c r="Z350" s="17" t="n">
        <f aca="false">SQRT(($B350-Z$270)^2+($C350-Z$271)^2+($D350-Z$272)^2)</f>
        <v>2.43024561524111</v>
      </c>
      <c r="AA350" s="17" t="n">
        <f aca="false">SQRT(($B350-AA$270)^2+($C350-AA$271)^2+($D350-AA$272)^2)</f>
        <v>1.42682406171352</v>
      </c>
      <c r="AB350" s="17" t="n">
        <f aca="false">SQRT(($B350-AB$270)^2+($C350-AB$271)^2+($D350-AB$272)^2)</f>
        <v>4.78455832917128</v>
      </c>
      <c r="AC350" s="63" t="n">
        <f aca="false">MATCH(MIN(X350:AB350),X350:AB350,0)</f>
        <v>4</v>
      </c>
      <c r="AE350" s="17" t="n">
        <f aca="false">SQRT(($B350-AE$270)^2+($C350-AE$271)^2+($D350-AE$272)^2)</f>
        <v>6.77856471434958</v>
      </c>
      <c r="AF350" s="17" t="n">
        <f aca="false">SQRT(($B350-AF$270)^2+($C350-AF$271)^2+($D350-AF$272)^2)</f>
        <v>1.14601758064893</v>
      </c>
      <c r="AG350" s="17" t="n">
        <f aca="false">SQRT(($B350-AG$270)^2+($C350-AG$271)^2+($D350-AG$272)^2)</f>
        <v>1.82458514762767</v>
      </c>
      <c r="AH350" s="17" t="n">
        <f aca="false">SQRT(($B350-AH$270)^2+($C350-AH$271)^2+($D350-AH$272)^2)</f>
        <v>0.420443802523396</v>
      </c>
      <c r="AI350" s="17" t="n">
        <f aca="false">SQRT(($B350-AI$270)^2+($C350-AI$271)^2+($D350-AI$272)^2)</f>
        <v>4.50539200103262</v>
      </c>
      <c r="AJ350" s="63" t="n">
        <f aca="false">MATCH(MIN(AE350:AI350),AE350:AI350,0)</f>
        <v>4</v>
      </c>
      <c r="AL350" s="17" t="n">
        <f aca="false">SQRT(($B350-AL$270)^2+($C350-AL$271)^2+($D350-AL$272)^2)</f>
        <v>6.77856471434958</v>
      </c>
      <c r="AM350" s="17" t="n">
        <f aca="false">SQRT(($B350-AM$270)^2+($C350-AM$271)^2+($D350-AM$272)^2)</f>
        <v>1.17032738759564</v>
      </c>
      <c r="AN350" s="17" t="n">
        <f aca="false">SQRT(($B350-AN$270)^2+($C350-AN$271)^2+($D350-AN$272)^2)</f>
        <v>1.89578360321314</v>
      </c>
      <c r="AO350" s="17" t="n">
        <f aca="false">SQRT(($B350-AO$270)^2+($C350-AO$271)^2+($D350-AO$272)^2)</f>
        <v>0.331601015805597</v>
      </c>
      <c r="AP350" s="17" t="n">
        <f aca="false">SQRT(($B350-AP$270)^2+($C350-AP$271)^2+($D350-AP$272)^2)</f>
        <v>4.23622587412974</v>
      </c>
      <c r="AQ350" s="63" t="n">
        <f aca="false">MATCH(MIN(AL350:AP350),AL350:AP350,0)</f>
        <v>4</v>
      </c>
      <c r="AS350" s="17" t="n">
        <f aca="false">SQRT(($B350-AS$270)^2+($C350-AS$271)^2+($D350-AS$272)^2)</f>
        <v>6.77856471434958</v>
      </c>
      <c r="AT350" s="17" t="n">
        <f aca="false">SQRT(($B350-AT$270)^2+($C350-AT$271)^2+($D350-AT$272)^2)</f>
        <v>1.26227084631056</v>
      </c>
      <c r="AU350" s="17" t="n">
        <f aca="false">SQRT(($B350-AU$270)^2+($C350-AU$271)^2+($D350-AU$272)^2)</f>
        <v>1.92203017976548</v>
      </c>
      <c r="AV350" s="17" t="n">
        <f aca="false">SQRT(($B350-AV$270)^2+($C350-AV$271)^2+($D350-AV$272)^2)</f>
        <v>0.289267180929457</v>
      </c>
      <c r="AW350" s="17" t="n">
        <f aca="false">SQRT(($B350-AW$270)^2+($C350-AW$271)^2+($D350-AW$272)^2)</f>
        <v>4.23622587412974</v>
      </c>
      <c r="AX350" s="63" t="n">
        <f aca="false">MATCH(MIN(AS350:AW350),AS350:AW350,0)</f>
        <v>4</v>
      </c>
      <c r="AZ350" s="17" t="n">
        <f aca="false">SQRT(($B350-AZ$270)^2+($C350-AZ$271)^2+($D350-AZ$272)^2)</f>
        <v>6.77856471434958</v>
      </c>
      <c r="BA350" s="17" t="n">
        <f aca="false">SQRT(($B350-BA$270)^2+($C350-BA$271)^2+($D350-BA$272)^2)</f>
        <v>1.26227084631056</v>
      </c>
      <c r="BB350" s="17" t="n">
        <f aca="false">SQRT(($B350-BB$270)^2+($C350-BB$271)^2+($D350-BB$272)^2)</f>
        <v>1.92203017976548</v>
      </c>
      <c r="BC350" s="17" t="n">
        <f aca="false">SQRT(($B350-BC$270)^2+($C350-BC$271)^2+($D350-BC$272)^2)</f>
        <v>0.289267180929457</v>
      </c>
      <c r="BD350" s="17" t="n">
        <f aca="false">SQRT(($B350-BD$270)^2+($C350-BD$271)^2+($D350-BD$272)^2)</f>
        <v>4.23622587412974</v>
      </c>
      <c r="BE350" s="63" t="n">
        <f aca="false">MATCH(MIN(AZ350:BD350),AZ350:BD350,0)</f>
        <v>4</v>
      </c>
      <c r="BG350" s="17" t="n">
        <f aca="false">SQRT(($B350-BG$270)^2+($C350-BG$271)^2+($D350-BG$272)^2)</f>
        <v>6.77856471434958</v>
      </c>
      <c r="BH350" s="17" t="n">
        <f aca="false">SQRT(($B350-BH$270)^2+($C350-BH$271)^2+($D350-BH$272)^2)</f>
        <v>1.26227084631056</v>
      </c>
      <c r="BI350" s="17" t="n">
        <f aca="false">SQRT(($B350-BI$270)^2+($C350-BI$271)^2+($D350-BI$272)^2)</f>
        <v>1.92203017976548</v>
      </c>
      <c r="BJ350" s="17" t="n">
        <f aca="false">SQRT(($B350-BJ$270)^2+($C350-BJ$271)^2+($D350-BJ$272)^2)</f>
        <v>0.289267180929457</v>
      </c>
      <c r="BK350" s="17" t="n">
        <f aca="false">SQRT(($B350-BK$270)^2+($C350-BK$271)^2+($D350-BK$272)^2)</f>
        <v>4.23622587412974</v>
      </c>
      <c r="BL350" s="63" t="n">
        <f aca="false">MATCH(MIN(BG350:BK350),BG350:BK350,0)</f>
        <v>4</v>
      </c>
      <c r="BN350" s="17" t="n">
        <f aca="false">SQRT(($B350-BN$270)^2+($C350-BN$271)^2+($D350-BN$272)^2)</f>
        <v>6.77856471434958</v>
      </c>
      <c r="BO350" s="17" t="n">
        <f aca="false">SQRT(($B350-BO$270)^2+($C350-BO$271)^2+($D350-BO$272)^2)</f>
        <v>1.26227084631056</v>
      </c>
      <c r="BP350" s="17" t="n">
        <f aca="false">SQRT(($B350-BP$270)^2+($C350-BP$271)^2+($D350-BP$272)^2)</f>
        <v>1.92203017976548</v>
      </c>
      <c r="BQ350" s="17" t="n">
        <f aca="false">SQRT(($B350-BQ$270)^2+($C350-BQ$271)^2+($D350-BQ$272)^2)</f>
        <v>0.289267180929457</v>
      </c>
      <c r="BR350" s="17" t="n">
        <f aca="false">SQRT(($B350-BR$270)^2+($C350-BR$271)^2+($D350-BR$272)^2)</f>
        <v>4.23622587412974</v>
      </c>
      <c r="BS350" s="63" t="n">
        <f aca="false">MATCH(MIN(BN350:BR350),BN350:BR350,0)</f>
        <v>4</v>
      </c>
      <c r="BU350" s="17" t="n">
        <f aca="false">SQRT(($B350-BU$270)^2+($C350-BU$271)^2+($D350-BU$272)^2)</f>
        <v>6.77856471434958</v>
      </c>
      <c r="BV350" s="17" t="n">
        <f aca="false">SQRT(($B350-BV$270)^2+($C350-BV$271)^2+($D350-BV$272)^2)</f>
        <v>1.26227084631056</v>
      </c>
      <c r="BW350" s="17" t="n">
        <f aca="false">SQRT(($B350-BW$270)^2+($C350-BW$271)^2+($D350-BW$272)^2)</f>
        <v>1.92203017976548</v>
      </c>
      <c r="BX350" s="17" t="n">
        <f aca="false">SQRT(($B350-BX$270)^2+($C350-BX$271)^2+($D350-BX$272)^2)</f>
        <v>0.289267180929457</v>
      </c>
      <c r="BY350" s="17" t="n">
        <f aca="false">SQRT(($B350-BY$270)^2+($C350-BY$271)^2+($D350-BY$272)^2)</f>
        <v>4.23622587412974</v>
      </c>
      <c r="BZ350" s="63" t="n">
        <f aca="false">MATCH(MIN(BU350:BY350),BU350:BY350,0)</f>
        <v>4</v>
      </c>
      <c r="CB350" s="17" t="n">
        <f aca="false">SQRT(($B350-CB$270)^2+($C350-CB$271)^2+($D350-CB$272)^2)</f>
        <v>6.77856471434958</v>
      </c>
      <c r="CC350" s="17" t="n">
        <f aca="false">SQRT(($B350-CC$270)^2+($C350-CC$271)^2+($D350-CC$272)^2)</f>
        <v>1.26227084631056</v>
      </c>
      <c r="CD350" s="17" t="n">
        <f aca="false">SQRT(($B350-CD$270)^2+($C350-CD$271)^2+($D350-CD$272)^2)</f>
        <v>1.92203017976548</v>
      </c>
      <c r="CE350" s="17" t="n">
        <f aca="false">SQRT(($B350-CE$270)^2+($C350-CE$271)^2+($D350-CE$272)^2)</f>
        <v>0.289267180929457</v>
      </c>
      <c r="CF350" s="17" t="n">
        <f aca="false">SQRT(($B350-CF$270)^2+($C350-CF$271)^2+($D350-CF$272)^2)</f>
        <v>4.23622587412974</v>
      </c>
      <c r="CG350" s="63" t="n">
        <f aca="false">MATCH(MIN(CB350:CF350),CB350:CF350,0)</f>
        <v>4</v>
      </c>
      <c r="CI350" s="17" t="n">
        <f aca="false">SQRT(($B350-CI$270)^2+($C350-CI$271)^2+($D350-CI$272)^2)</f>
        <v>6.77856471434958</v>
      </c>
      <c r="CJ350" s="17" t="n">
        <f aca="false">SQRT(($B350-CJ$270)^2+($C350-CJ$271)^2+($D350-CJ$272)^2)</f>
        <v>1.26227084631056</v>
      </c>
      <c r="CK350" s="17" t="n">
        <f aca="false">SQRT(($B350-CK$270)^2+($C350-CK$271)^2+($D350-CK$272)^2)</f>
        <v>1.92203017976548</v>
      </c>
      <c r="CL350" s="17" t="n">
        <f aca="false">SQRT(($B350-CL$270)^2+($C350-CL$271)^2+($D350-CL$272)^2)</f>
        <v>0.289267180929457</v>
      </c>
      <c r="CM350" s="17" t="n">
        <f aca="false">SQRT(($B350-CM$270)^2+($C350-CM$271)^2+($D350-CM$272)^2)</f>
        <v>4.23622587412974</v>
      </c>
      <c r="CN350" s="63" t="n">
        <f aca="false">MATCH(MIN(CI350:CM350),CI350:CM350,0)</f>
        <v>4</v>
      </c>
      <c r="CP350" s="17" t="n">
        <f aca="false">SQRT(($B350-CP$270)^2+($C350-CP$271)^2+($D350-CP$272)^2)</f>
        <v>6.77856471434958</v>
      </c>
      <c r="CQ350" s="17" t="n">
        <f aca="false">SQRT(($B350-CQ$270)^2+($C350-CQ$271)^2+($D350-CQ$272)^2)</f>
        <v>1.26227084631056</v>
      </c>
      <c r="CR350" s="17" t="n">
        <f aca="false">SQRT(($B350-CR$270)^2+($C350-CR$271)^2+($D350-CR$272)^2)</f>
        <v>1.92203017976548</v>
      </c>
      <c r="CS350" s="17" t="n">
        <f aca="false">SQRT(($B350-CS$270)^2+($C350-CS$271)^2+($D350-CS$272)^2)</f>
        <v>0.289267180929457</v>
      </c>
      <c r="CT350" s="17" t="n">
        <f aca="false">SQRT(($B350-CT$270)^2+($C350-CT$271)^2+($D350-CT$272)^2)</f>
        <v>4.23622587412974</v>
      </c>
      <c r="CU350" s="63" t="n">
        <f aca="false">MATCH(MIN(CP350:CT350),CP350:CT350,0)</f>
        <v>4</v>
      </c>
      <c r="CW350" s="17" t="n">
        <f aca="false">SQRT(($B350-CW$270)^2+($C350-CW$271)^2+($D350-CW$272)^2)</f>
        <v>6.77856471434958</v>
      </c>
      <c r="CX350" s="17" t="n">
        <f aca="false">SQRT(($B350-CX$270)^2+($C350-CX$271)^2+($D350-CX$272)^2)</f>
        <v>1.26227084631056</v>
      </c>
      <c r="CY350" s="17" t="n">
        <f aca="false">SQRT(($B350-CY$270)^2+($C350-CY$271)^2+($D350-CY$272)^2)</f>
        <v>1.92203017976548</v>
      </c>
      <c r="CZ350" s="17" t="n">
        <f aca="false">SQRT(($B350-CZ$270)^2+($C350-CZ$271)^2+($D350-CZ$272)^2)</f>
        <v>0.289267180929457</v>
      </c>
      <c r="DA350" s="17" t="n">
        <f aca="false">SQRT(($B350-DA$270)^2+($C350-DA$271)^2+($D350-DA$272)^2)</f>
        <v>4.23622587412974</v>
      </c>
      <c r="DB350" s="63" t="n">
        <f aca="false">MATCH(MIN(CW350:DA350),CW350:DA350,0)</f>
        <v>4</v>
      </c>
    </row>
    <row r="351" customFormat="false" ht="15" hidden="false" customHeight="false" outlineLevel="0" collapsed="false">
      <c r="A351" s="36" t="str">
        <f aca="false">KMeans_Data!A79</f>
        <v>Hunza</v>
      </c>
      <c r="B351" s="17" t="n">
        <f aca="false">KMeans_Data!H79</f>
        <v>-0.327161461972788</v>
      </c>
      <c r="C351" s="17" t="n">
        <f aca="false">KMeans_Data!I79</f>
        <v>-0.672650545388274</v>
      </c>
      <c r="D351" s="17" t="n">
        <f aca="false">KMeans_Data!J79</f>
        <v>-1.14564411633355</v>
      </c>
      <c r="E351" s="63" t="n">
        <f aca="false">DB351</f>
        <v>4</v>
      </c>
      <c r="F351" s="38" t="n">
        <f aca="false">($B351-INDEX($L$270:$P$270,E351))^2+($C351-INDEX($L$271:$P$271,E351))^2+($D351-INDEX($L$272:$P$272,E351))^2</f>
        <v>0.660249810438441</v>
      </c>
      <c r="G351" s="17" t="n">
        <f aca="false">IF(COUNTIF(Distance_Matrix!$E$11:$DQ$11,$E351)&lt;=1,0,SUMIF(Distance_Matrix!$E$11:$DQ$11,$E351,Distance_Matrix!$E$88:$DQ$88)/(COUNTIF(Distance_Matrix!$E$11:$DQ$11,$E351)-1))</f>
        <v>1.02257018499634</v>
      </c>
      <c r="H351" s="17" t="n">
        <f aca="false">MIN(IF(1=$E351,1E+099,IF(COUNTIF(Distance_Matrix!$E$11:$DQ$11,1)=0,1E+099,SUMIF(Distance_Matrix!$E$11:$DQ$11,1,Distance_Matrix!$E$88:$DQ$88)/COUNTIF(Distance_Matrix!$E$11:$DQ$11,1))),IF(2=$E351,1E+099,IF(COUNTIF(Distance_Matrix!$E$11:$DQ$11,2)=0,1E+099,SUMIF(Distance_Matrix!$E$11:$DQ$11,2,Distance_Matrix!$E$88:$DQ$88)/COUNTIF(Distance_Matrix!$E$11:$DQ$11,2))),IF(3=$E351,1E+099,IF(COUNTIF(Distance_Matrix!$E$11:$DQ$11,3)=0,1E+099,SUMIF(Distance_Matrix!$E$11:$DQ$11,3,Distance_Matrix!$E$88:$DQ$88)/COUNTIF(Distance_Matrix!$E$11:$DQ$11,3))),IF(4=$E351,1E+099,IF(COUNTIF(Distance_Matrix!$E$11:$DQ$11,4)=0,1E+099,SUMIF(Distance_Matrix!$E$11:$DQ$11,4,Distance_Matrix!$E$88:$DQ$88)/COUNTIF(Distance_Matrix!$E$11:$DQ$11,4))),IF(5=$E351,1E+099,IF(COUNTIF(Distance_Matrix!$E$11:$DQ$11,5)=0,1E+099,SUMIF(Distance_Matrix!$E$11:$DQ$11,5,Distance_Matrix!$E$88:$DQ$88)/COUNTIF(Distance_Matrix!$E$11:$DQ$11,5))))</f>
        <v>0.982123256281104</v>
      </c>
      <c r="I351" s="17" t="n">
        <f aca="false">IF(COUNTIF(Distance_Matrix!$E$11:$DQ$11,$E351)&lt;=1,0,(H351-G351)/MAX(G351,H351))</f>
        <v>-0.0395541834767903</v>
      </c>
      <c r="X351" s="17" t="n">
        <f aca="false">SQRT(($B351-X$270)^2+($C351-X$271)^2+($D351-X$272)^2)</f>
        <v>7.38338582905211</v>
      </c>
      <c r="Y351" s="17" t="n">
        <f aca="false">SQRT(($B351-Y$270)^2+($C351-Y$271)^2+($D351-Y$272)^2)</f>
        <v>1.75257651983054</v>
      </c>
      <c r="Z351" s="17" t="n">
        <f aca="false">SQRT(($B351-Z$270)^2+($C351-Z$271)^2+($D351-Z$272)^2)</f>
        <v>3.13223110720305</v>
      </c>
      <c r="AA351" s="17" t="n">
        <f aca="false">SQRT(($B351-AA$270)^2+($C351-AA$271)^2+($D351-AA$272)^2)</f>
        <v>1.10577268549253</v>
      </c>
      <c r="AB351" s="17" t="n">
        <f aca="false">SQRT(($B351-AB$270)^2+($C351-AB$271)^2+($D351-AB$272)^2)</f>
        <v>5.33135868748808</v>
      </c>
      <c r="AC351" s="63" t="n">
        <f aca="false">MATCH(MIN(X351:AB351),X351:AB351,0)</f>
        <v>4</v>
      </c>
      <c r="AE351" s="17" t="n">
        <f aca="false">SQRT(($B351-AE$270)^2+($C351-AE$271)^2+($D351-AE$272)^2)</f>
        <v>7.24927793363095</v>
      </c>
      <c r="AF351" s="17" t="n">
        <f aca="false">SQRT(($B351-AF$270)^2+($C351-AF$271)^2+($D351-AF$272)^2)</f>
        <v>0.937951062092439</v>
      </c>
      <c r="AG351" s="17" t="n">
        <f aca="false">SQRT(($B351-AG$270)^2+($C351-AG$271)^2+($D351-AG$272)^2)</f>
        <v>2.47141241403905</v>
      </c>
      <c r="AH351" s="17" t="n">
        <f aca="false">SQRT(($B351-AH$270)^2+($C351-AH$271)^2+($D351-AH$272)^2)</f>
        <v>0.709126266291914</v>
      </c>
      <c r="AI351" s="17" t="n">
        <f aca="false">SQRT(($B351-AI$270)^2+($C351-AI$271)^2+($D351-AI$272)^2)</f>
        <v>4.97756983305275</v>
      </c>
      <c r="AJ351" s="63" t="n">
        <f aca="false">MATCH(MIN(AE351:AI351),AE351:AI351,0)</f>
        <v>4</v>
      </c>
      <c r="AL351" s="17" t="n">
        <f aca="false">SQRT(($B351-AL$270)^2+($C351-AL$271)^2+($D351-AL$272)^2)</f>
        <v>7.24927793363095</v>
      </c>
      <c r="AM351" s="17" t="n">
        <f aca="false">SQRT(($B351-AM$270)^2+($C351-AM$271)^2+($D351-AM$272)^2)</f>
        <v>0.919344613459945</v>
      </c>
      <c r="AN351" s="17" t="n">
        <f aca="false">SQRT(($B351-AN$270)^2+($C351-AN$271)^2+($D351-AN$272)^2)</f>
        <v>2.52381065032846</v>
      </c>
      <c r="AO351" s="17" t="n">
        <f aca="false">SQRT(($B351-AO$270)^2+($C351-AO$271)^2+($D351-AO$272)^2)</f>
        <v>0.803632262251541</v>
      </c>
      <c r="AP351" s="17" t="n">
        <f aca="false">SQRT(($B351-AP$270)^2+($C351-AP$271)^2+($D351-AP$272)^2)</f>
        <v>4.71160294401889</v>
      </c>
      <c r="AQ351" s="63" t="n">
        <f aca="false">MATCH(MIN(AL351:AP351),AL351:AP351,0)</f>
        <v>4</v>
      </c>
      <c r="AS351" s="17" t="n">
        <f aca="false">SQRT(($B351-AS$270)^2+($C351-AS$271)^2+($D351-AS$272)^2)</f>
        <v>7.24927793363095</v>
      </c>
      <c r="AT351" s="17" t="n">
        <f aca="false">SQRT(($B351-AT$270)^2+($C351-AT$271)^2+($D351-AT$272)^2)</f>
        <v>0.953750359542216</v>
      </c>
      <c r="AU351" s="17" t="n">
        <f aca="false">SQRT(($B351-AU$270)^2+($C351-AU$271)^2+($D351-AU$272)^2)</f>
        <v>2.54928158147182</v>
      </c>
      <c r="AV351" s="17" t="n">
        <f aca="false">SQRT(($B351-AV$270)^2+($C351-AV$271)^2+($D351-AV$272)^2)</f>
        <v>0.812557573614597</v>
      </c>
      <c r="AW351" s="17" t="n">
        <f aca="false">SQRT(($B351-AW$270)^2+($C351-AW$271)^2+($D351-AW$272)^2)</f>
        <v>4.71160294401889</v>
      </c>
      <c r="AX351" s="63" t="n">
        <f aca="false">MATCH(MIN(AS351:AW351),AS351:AW351,0)</f>
        <v>4</v>
      </c>
      <c r="AZ351" s="17" t="n">
        <f aca="false">SQRT(($B351-AZ$270)^2+($C351-AZ$271)^2+($D351-AZ$272)^2)</f>
        <v>7.24927793363095</v>
      </c>
      <c r="BA351" s="17" t="n">
        <f aca="false">SQRT(($B351-BA$270)^2+($C351-BA$271)^2+($D351-BA$272)^2)</f>
        <v>0.953750359542216</v>
      </c>
      <c r="BB351" s="17" t="n">
        <f aca="false">SQRT(($B351-BB$270)^2+($C351-BB$271)^2+($D351-BB$272)^2)</f>
        <v>2.54928158147182</v>
      </c>
      <c r="BC351" s="17" t="n">
        <f aca="false">SQRT(($B351-BC$270)^2+($C351-BC$271)^2+($D351-BC$272)^2)</f>
        <v>0.812557573614597</v>
      </c>
      <c r="BD351" s="17" t="n">
        <f aca="false">SQRT(($B351-BD$270)^2+($C351-BD$271)^2+($D351-BD$272)^2)</f>
        <v>4.71160294401889</v>
      </c>
      <c r="BE351" s="63" t="n">
        <f aca="false">MATCH(MIN(AZ351:BD351),AZ351:BD351,0)</f>
        <v>4</v>
      </c>
      <c r="BG351" s="17" t="n">
        <f aca="false">SQRT(($B351-BG$270)^2+($C351-BG$271)^2+($D351-BG$272)^2)</f>
        <v>7.24927793363095</v>
      </c>
      <c r="BH351" s="17" t="n">
        <f aca="false">SQRT(($B351-BH$270)^2+($C351-BH$271)^2+($D351-BH$272)^2)</f>
        <v>0.953750359542216</v>
      </c>
      <c r="BI351" s="17" t="n">
        <f aca="false">SQRT(($B351-BI$270)^2+($C351-BI$271)^2+($D351-BI$272)^2)</f>
        <v>2.54928158147182</v>
      </c>
      <c r="BJ351" s="17" t="n">
        <f aca="false">SQRT(($B351-BJ$270)^2+($C351-BJ$271)^2+($D351-BJ$272)^2)</f>
        <v>0.812557573614597</v>
      </c>
      <c r="BK351" s="17" t="n">
        <f aca="false">SQRT(($B351-BK$270)^2+($C351-BK$271)^2+($D351-BK$272)^2)</f>
        <v>4.71160294401889</v>
      </c>
      <c r="BL351" s="63" t="n">
        <f aca="false">MATCH(MIN(BG351:BK351),BG351:BK351,0)</f>
        <v>4</v>
      </c>
      <c r="BN351" s="17" t="n">
        <f aca="false">SQRT(($B351-BN$270)^2+($C351-BN$271)^2+($D351-BN$272)^2)</f>
        <v>7.24927793363095</v>
      </c>
      <c r="BO351" s="17" t="n">
        <f aca="false">SQRT(($B351-BO$270)^2+($C351-BO$271)^2+($D351-BO$272)^2)</f>
        <v>0.953750359542216</v>
      </c>
      <c r="BP351" s="17" t="n">
        <f aca="false">SQRT(($B351-BP$270)^2+($C351-BP$271)^2+($D351-BP$272)^2)</f>
        <v>2.54928158147182</v>
      </c>
      <c r="BQ351" s="17" t="n">
        <f aca="false">SQRT(($B351-BQ$270)^2+($C351-BQ$271)^2+($D351-BQ$272)^2)</f>
        <v>0.812557573614597</v>
      </c>
      <c r="BR351" s="17" t="n">
        <f aca="false">SQRT(($B351-BR$270)^2+($C351-BR$271)^2+($D351-BR$272)^2)</f>
        <v>4.71160294401889</v>
      </c>
      <c r="BS351" s="63" t="n">
        <f aca="false">MATCH(MIN(BN351:BR351),BN351:BR351,0)</f>
        <v>4</v>
      </c>
      <c r="BU351" s="17" t="n">
        <f aca="false">SQRT(($B351-BU$270)^2+($C351-BU$271)^2+($D351-BU$272)^2)</f>
        <v>7.24927793363095</v>
      </c>
      <c r="BV351" s="17" t="n">
        <f aca="false">SQRT(($B351-BV$270)^2+($C351-BV$271)^2+($D351-BV$272)^2)</f>
        <v>0.953750359542216</v>
      </c>
      <c r="BW351" s="17" t="n">
        <f aca="false">SQRT(($B351-BW$270)^2+($C351-BW$271)^2+($D351-BW$272)^2)</f>
        <v>2.54928158147182</v>
      </c>
      <c r="BX351" s="17" t="n">
        <f aca="false">SQRT(($B351-BX$270)^2+($C351-BX$271)^2+($D351-BX$272)^2)</f>
        <v>0.812557573614597</v>
      </c>
      <c r="BY351" s="17" t="n">
        <f aca="false">SQRT(($B351-BY$270)^2+($C351-BY$271)^2+($D351-BY$272)^2)</f>
        <v>4.71160294401889</v>
      </c>
      <c r="BZ351" s="63" t="n">
        <f aca="false">MATCH(MIN(BU351:BY351),BU351:BY351,0)</f>
        <v>4</v>
      </c>
      <c r="CB351" s="17" t="n">
        <f aca="false">SQRT(($B351-CB$270)^2+($C351-CB$271)^2+($D351-CB$272)^2)</f>
        <v>7.24927793363095</v>
      </c>
      <c r="CC351" s="17" t="n">
        <f aca="false">SQRT(($B351-CC$270)^2+($C351-CC$271)^2+($D351-CC$272)^2)</f>
        <v>0.953750359542216</v>
      </c>
      <c r="CD351" s="17" t="n">
        <f aca="false">SQRT(($B351-CD$270)^2+($C351-CD$271)^2+($D351-CD$272)^2)</f>
        <v>2.54928158147182</v>
      </c>
      <c r="CE351" s="17" t="n">
        <f aca="false">SQRT(($B351-CE$270)^2+($C351-CE$271)^2+($D351-CE$272)^2)</f>
        <v>0.812557573614597</v>
      </c>
      <c r="CF351" s="17" t="n">
        <f aca="false">SQRT(($B351-CF$270)^2+($C351-CF$271)^2+($D351-CF$272)^2)</f>
        <v>4.71160294401889</v>
      </c>
      <c r="CG351" s="63" t="n">
        <f aca="false">MATCH(MIN(CB351:CF351),CB351:CF351,0)</f>
        <v>4</v>
      </c>
      <c r="CI351" s="17" t="n">
        <f aca="false">SQRT(($B351-CI$270)^2+($C351-CI$271)^2+($D351-CI$272)^2)</f>
        <v>7.24927793363095</v>
      </c>
      <c r="CJ351" s="17" t="n">
        <f aca="false">SQRT(($B351-CJ$270)^2+($C351-CJ$271)^2+($D351-CJ$272)^2)</f>
        <v>0.953750359542216</v>
      </c>
      <c r="CK351" s="17" t="n">
        <f aca="false">SQRT(($B351-CK$270)^2+($C351-CK$271)^2+($D351-CK$272)^2)</f>
        <v>2.54928158147182</v>
      </c>
      <c r="CL351" s="17" t="n">
        <f aca="false">SQRT(($B351-CL$270)^2+($C351-CL$271)^2+($D351-CL$272)^2)</f>
        <v>0.812557573614597</v>
      </c>
      <c r="CM351" s="17" t="n">
        <f aca="false">SQRT(($B351-CM$270)^2+($C351-CM$271)^2+($D351-CM$272)^2)</f>
        <v>4.71160294401889</v>
      </c>
      <c r="CN351" s="63" t="n">
        <f aca="false">MATCH(MIN(CI351:CM351),CI351:CM351,0)</f>
        <v>4</v>
      </c>
      <c r="CP351" s="17" t="n">
        <f aca="false">SQRT(($B351-CP$270)^2+($C351-CP$271)^2+($D351-CP$272)^2)</f>
        <v>7.24927793363095</v>
      </c>
      <c r="CQ351" s="17" t="n">
        <f aca="false">SQRT(($B351-CQ$270)^2+($C351-CQ$271)^2+($D351-CQ$272)^2)</f>
        <v>0.953750359542216</v>
      </c>
      <c r="CR351" s="17" t="n">
        <f aca="false">SQRT(($B351-CR$270)^2+($C351-CR$271)^2+($D351-CR$272)^2)</f>
        <v>2.54928158147182</v>
      </c>
      <c r="CS351" s="17" t="n">
        <f aca="false">SQRT(($B351-CS$270)^2+($C351-CS$271)^2+($D351-CS$272)^2)</f>
        <v>0.812557573614597</v>
      </c>
      <c r="CT351" s="17" t="n">
        <f aca="false">SQRT(($B351-CT$270)^2+($C351-CT$271)^2+($D351-CT$272)^2)</f>
        <v>4.71160294401889</v>
      </c>
      <c r="CU351" s="63" t="n">
        <f aca="false">MATCH(MIN(CP351:CT351),CP351:CT351,0)</f>
        <v>4</v>
      </c>
      <c r="CW351" s="17" t="n">
        <f aca="false">SQRT(($B351-CW$270)^2+($C351-CW$271)^2+($D351-CW$272)^2)</f>
        <v>7.24927793363095</v>
      </c>
      <c r="CX351" s="17" t="n">
        <f aca="false">SQRT(($B351-CX$270)^2+($C351-CX$271)^2+($D351-CX$272)^2)</f>
        <v>0.953750359542216</v>
      </c>
      <c r="CY351" s="17" t="n">
        <f aca="false">SQRT(($B351-CY$270)^2+($C351-CY$271)^2+($D351-CY$272)^2)</f>
        <v>2.54928158147182</v>
      </c>
      <c r="CZ351" s="17" t="n">
        <f aca="false">SQRT(($B351-CZ$270)^2+($C351-CZ$271)^2+($D351-CZ$272)^2)</f>
        <v>0.812557573614597</v>
      </c>
      <c r="DA351" s="17" t="n">
        <f aca="false">SQRT(($B351-DA$270)^2+($C351-DA$271)^2+($D351-DA$272)^2)</f>
        <v>4.71160294401889</v>
      </c>
      <c r="DB351" s="63" t="n">
        <f aca="false">MATCH(MIN(CW351:DA351),CW351:DA351,0)</f>
        <v>4</v>
      </c>
    </row>
    <row r="352" customFormat="false" ht="15" hidden="false" customHeight="false" outlineLevel="0" collapsed="false">
      <c r="A352" s="36" t="str">
        <f aca="false">KMeans_Data!A80</f>
        <v>Nankana Sahib</v>
      </c>
      <c r="B352" s="17" t="n">
        <f aca="false">KMeans_Data!H80</f>
        <v>-0.34542544181187</v>
      </c>
      <c r="C352" s="17" t="n">
        <f aca="false">KMeans_Data!I80</f>
        <v>-0.672650545388274</v>
      </c>
      <c r="D352" s="17" t="n">
        <f aca="false">KMeans_Data!J80</f>
        <v>-0.2439270481224</v>
      </c>
      <c r="E352" s="63" t="n">
        <f aca="false">DB352</f>
        <v>4</v>
      </c>
      <c r="F352" s="38" t="n">
        <f aca="false">($B352-INDEX($L$270:$P$270,E352))^2+($C352-INDEX($L$271:$P$271,E352))^2+($D352-INDEX($L$272:$P$272,E352))^2</f>
        <v>0.0912591031192161</v>
      </c>
      <c r="G352" s="17" t="n">
        <f aca="false">IF(COUNTIF(Distance_Matrix!$E$11:$DQ$11,$E352)&lt;=1,0,SUMIF(Distance_Matrix!$E$11:$DQ$11,$E352,Distance_Matrix!$E$89:$DQ$89)/(COUNTIF(Distance_Matrix!$E$11:$DQ$11,$E352)-1))</f>
        <v>0.762608653458424</v>
      </c>
      <c r="H352" s="17" t="n">
        <f aca="false">MIN(IF(1=$E352,1E+099,IF(COUNTIF(Distance_Matrix!$E$11:$DQ$11,1)=0,1E+099,SUMIF(Distance_Matrix!$E$11:$DQ$11,1,Distance_Matrix!$E$89:$DQ$89)/COUNTIF(Distance_Matrix!$E$11:$DQ$11,1))),IF(2=$E352,1E+099,IF(COUNTIF(Distance_Matrix!$E$11:$DQ$11,2)=0,1E+099,SUMIF(Distance_Matrix!$E$11:$DQ$11,2,Distance_Matrix!$E$89:$DQ$89)/COUNTIF(Distance_Matrix!$E$11:$DQ$11,2))),IF(3=$E352,1E+099,IF(COUNTIF(Distance_Matrix!$E$11:$DQ$11,3)=0,1E+099,SUMIF(Distance_Matrix!$E$11:$DQ$11,3,Distance_Matrix!$E$89:$DQ$89)/COUNTIF(Distance_Matrix!$E$11:$DQ$11,3))),IF(4=$E352,1E+099,IF(COUNTIF(Distance_Matrix!$E$11:$DQ$11,4)=0,1E+099,SUMIF(Distance_Matrix!$E$11:$DQ$11,4,Distance_Matrix!$E$89:$DQ$89)/COUNTIF(Distance_Matrix!$E$11:$DQ$11,4))),IF(5=$E352,1E+099,IF(COUNTIF(Distance_Matrix!$E$11:$DQ$11,5)=0,1E+099,SUMIF(Distance_Matrix!$E$11:$DQ$11,5,Distance_Matrix!$E$89:$DQ$89)/COUNTIF(Distance_Matrix!$E$11:$DQ$11,5))))</f>
        <v>1.28594119737986</v>
      </c>
      <c r="I352" s="17" t="n">
        <f aca="false">IF(COUNTIF(Distance_Matrix!$E$11:$DQ$11,$E352)&lt;=1,0,(H352-G352)/MAX(G352,H352))</f>
        <v>0.406964599149431</v>
      </c>
      <c r="X352" s="17" t="n">
        <f aca="false">SQRT(($B352-X$270)^2+($C352-X$271)^2+($D352-X$272)^2)</f>
        <v>6.89399889685623</v>
      </c>
      <c r="Y352" s="17" t="n">
        <f aca="false">SQRT(($B352-Y$270)^2+($C352-Y$271)^2+($D352-Y$272)^2)</f>
        <v>1.95472086433714</v>
      </c>
      <c r="Z352" s="17" t="n">
        <f aca="false">SQRT(($B352-Z$270)^2+($C352-Z$271)^2+($D352-Z$272)^2)</f>
        <v>2.4405470008765</v>
      </c>
      <c r="AA352" s="17" t="n">
        <f aca="false">SQRT(($B352-AA$270)^2+($C352-AA$271)^2+($D352-AA$272)^2)</f>
        <v>1.43933878436837</v>
      </c>
      <c r="AB352" s="17" t="n">
        <f aca="false">SQRT(($B352-AB$270)^2+($C352-AB$271)^2+($D352-AB$272)^2)</f>
        <v>4.79485704116842</v>
      </c>
      <c r="AC352" s="63" t="n">
        <f aca="false">MATCH(MIN(X352:AB352),X352:AB352,0)</f>
        <v>4</v>
      </c>
      <c r="AE352" s="17" t="n">
        <f aca="false">SQRT(($B352-AE$270)^2+($C352-AE$271)^2+($D352-AE$272)^2)</f>
        <v>6.78825355370312</v>
      </c>
      <c r="AF352" s="17" t="n">
        <f aca="false">SQRT(($B352-AF$270)^2+($C352-AF$271)^2+($D352-AF$272)^2)</f>
        <v>1.13150732057595</v>
      </c>
      <c r="AG352" s="17" t="n">
        <f aca="false">SQRT(($B352-AG$270)^2+($C352-AG$271)^2+($D352-AG$272)^2)</f>
        <v>1.83341451376974</v>
      </c>
      <c r="AH352" s="17" t="n">
        <f aca="false">SQRT(($B352-AH$270)^2+($C352-AH$271)^2+($D352-AH$272)^2)</f>
        <v>0.432184023978332</v>
      </c>
      <c r="AI352" s="17" t="n">
        <f aca="false">SQRT(($B352-AI$270)^2+($C352-AI$271)^2+($D352-AI$272)^2)</f>
        <v>4.51523181502588</v>
      </c>
      <c r="AJ352" s="63" t="n">
        <f aca="false">MATCH(MIN(AE352:AI352),AE352:AI352,0)</f>
        <v>4</v>
      </c>
      <c r="AL352" s="17" t="n">
        <f aca="false">SQRT(($B352-AL$270)^2+($C352-AL$271)^2+($D352-AL$272)^2)</f>
        <v>6.78825355370312</v>
      </c>
      <c r="AM352" s="17" t="n">
        <f aca="false">SQRT(($B352-AM$270)^2+($C352-AM$271)^2+($D352-AM$272)^2)</f>
        <v>1.15626028344689</v>
      </c>
      <c r="AN352" s="17" t="n">
        <f aca="false">SQRT(($B352-AN$270)^2+($C352-AN$271)^2+($D352-AN$272)^2)</f>
        <v>1.90476442924231</v>
      </c>
      <c r="AO352" s="17" t="n">
        <f aca="false">SQRT(($B352-AO$270)^2+($C352-AO$271)^2+($D352-AO$272)^2)</f>
        <v>0.345366964521122</v>
      </c>
      <c r="AP352" s="17" t="n">
        <f aca="false">SQRT(($B352-AP$270)^2+($C352-AP$271)^2+($D352-AP$272)^2)</f>
        <v>4.24585783857508</v>
      </c>
      <c r="AQ352" s="63" t="n">
        <f aca="false">MATCH(MIN(AL352:AP352),AL352:AP352,0)</f>
        <v>4</v>
      </c>
      <c r="AS352" s="17" t="n">
        <f aca="false">SQRT(($B352-AS$270)^2+($C352-AS$271)^2+($D352-AS$272)^2)</f>
        <v>6.78825355370312</v>
      </c>
      <c r="AT352" s="17" t="n">
        <f aca="false">SQRT(($B352-AT$270)^2+($C352-AT$271)^2+($D352-AT$272)^2)</f>
        <v>1.24857115816809</v>
      </c>
      <c r="AU352" s="17" t="n">
        <f aca="false">SQRT(($B352-AU$270)^2+($C352-AU$271)^2+($D352-AU$272)^2)</f>
        <v>1.9310719532573</v>
      </c>
      <c r="AV352" s="17" t="n">
        <f aca="false">SQRT(($B352-AV$270)^2+($C352-AV$271)^2+($D352-AV$272)^2)</f>
        <v>0.302091216554232</v>
      </c>
      <c r="AW352" s="17" t="n">
        <f aca="false">SQRT(($B352-AW$270)^2+($C352-AW$271)^2+($D352-AW$272)^2)</f>
        <v>4.24585783857508</v>
      </c>
      <c r="AX352" s="63" t="n">
        <f aca="false">MATCH(MIN(AS352:AW352),AS352:AW352,0)</f>
        <v>4</v>
      </c>
      <c r="AZ352" s="17" t="n">
        <f aca="false">SQRT(($B352-AZ$270)^2+($C352-AZ$271)^2+($D352-AZ$272)^2)</f>
        <v>6.78825355370312</v>
      </c>
      <c r="BA352" s="17" t="n">
        <f aca="false">SQRT(($B352-BA$270)^2+($C352-BA$271)^2+($D352-BA$272)^2)</f>
        <v>1.24857115816809</v>
      </c>
      <c r="BB352" s="17" t="n">
        <f aca="false">SQRT(($B352-BB$270)^2+($C352-BB$271)^2+($D352-BB$272)^2)</f>
        <v>1.9310719532573</v>
      </c>
      <c r="BC352" s="17" t="n">
        <f aca="false">SQRT(($B352-BC$270)^2+($C352-BC$271)^2+($D352-BC$272)^2)</f>
        <v>0.302091216554232</v>
      </c>
      <c r="BD352" s="17" t="n">
        <f aca="false">SQRT(($B352-BD$270)^2+($C352-BD$271)^2+($D352-BD$272)^2)</f>
        <v>4.24585783857508</v>
      </c>
      <c r="BE352" s="63" t="n">
        <f aca="false">MATCH(MIN(AZ352:BD352),AZ352:BD352,0)</f>
        <v>4</v>
      </c>
      <c r="BG352" s="17" t="n">
        <f aca="false">SQRT(($B352-BG$270)^2+($C352-BG$271)^2+($D352-BG$272)^2)</f>
        <v>6.78825355370312</v>
      </c>
      <c r="BH352" s="17" t="n">
        <f aca="false">SQRT(($B352-BH$270)^2+($C352-BH$271)^2+($D352-BH$272)^2)</f>
        <v>1.24857115816809</v>
      </c>
      <c r="BI352" s="17" t="n">
        <f aca="false">SQRT(($B352-BI$270)^2+($C352-BI$271)^2+($D352-BI$272)^2)</f>
        <v>1.9310719532573</v>
      </c>
      <c r="BJ352" s="17" t="n">
        <f aca="false">SQRT(($B352-BJ$270)^2+($C352-BJ$271)^2+($D352-BJ$272)^2)</f>
        <v>0.302091216554232</v>
      </c>
      <c r="BK352" s="17" t="n">
        <f aca="false">SQRT(($B352-BK$270)^2+($C352-BK$271)^2+($D352-BK$272)^2)</f>
        <v>4.24585783857508</v>
      </c>
      <c r="BL352" s="63" t="n">
        <f aca="false">MATCH(MIN(BG352:BK352),BG352:BK352,0)</f>
        <v>4</v>
      </c>
      <c r="BN352" s="17" t="n">
        <f aca="false">SQRT(($B352-BN$270)^2+($C352-BN$271)^2+($D352-BN$272)^2)</f>
        <v>6.78825355370312</v>
      </c>
      <c r="BO352" s="17" t="n">
        <f aca="false">SQRT(($B352-BO$270)^2+($C352-BO$271)^2+($D352-BO$272)^2)</f>
        <v>1.24857115816809</v>
      </c>
      <c r="BP352" s="17" t="n">
        <f aca="false">SQRT(($B352-BP$270)^2+($C352-BP$271)^2+($D352-BP$272)^2)</f>
        <v>1.9310719532573</v>
      </c>
      <c r="BQ352" s="17" t="n">
        <f aca="false">SQRT(($B352-BQ$270)^2+($C352-BQ$271)^2+($D352-BQ$272)^2)</f>
        <v>0.302091216554232</v>
      </c>
      <c r="BR352" s="17" t="n">
        <f aca="false">SQRT(($B352-BR$270)^2+($C352-BR$271)^2+($D352-BR$272)^2)</f>
        <v>4.24585783857508</v>
      </c>
      <c r="BS352" s="63" t="n">
        <f aca="false">MATCH(MIN(BN352:BR352),BN352:BR352,0)</f>
        <v>4</v>
      </c>
      <c r="BU352" s="17" t="n">
        <f aca="false">SQRT(($B352-BU$270)^2+($C352-BU$271)^2+($D352-BU$272)^2)</f>
        <v>6.78825355370312</v>
      </c>
      <c r="BV352" s="17" t="n">
        <f aca="false">SQRT(($B352-BV$270)^2+($C352-BV$271)^2+($D352-BV$272)^2)</f>
        <v>1.24857115816809</v>
      </c>
      <c r="BW352" s="17" t="n">
        <f aca="false">SQRT(($B352-BW$270)^2+($C352-BW$271)^2+($D352-BW$272)^2)</f>
        <v>1.9310719532573</v>
      </c>
      <c r="BX352" s="17" t="n">
        <f aca="false">SQRT(($B352-BX$270)^2+($C352-BX$271)^2+($D352-BX$272)^2)</f>
        <v>0.302091216554232</v>
      </c>
      <c r="BY352" s="17" t="n">
        <f aca="false">SQRT(($B352-BY$270)^2+($C352-BY$271)^2+($D352-BY$272)^2)</f>
        <v>4.24585783857508</v>
      </c>
      <c r="BZ352" s="63" t="n">
        <f aca="false">MATCH(MIN(BU352:BY352),BU352:BY352,0)</f>
        <v>4</v>
      </c>
      <c r="CB352" s="17" t="n">
        <f aca="false">SQRT(($B352-CB$270)^2+($C352-CB$271)^2+($D352-CB$272)^2)</f>
        <v>6.78825355370312</v>
      </c>
      <c r="CC352" s="17" t="n">
        <f aca="false">SQRT(($B352-CC$270)^2+($C352-CC$271)^2+($D352-CC$272)^2)</f>
        <v>1.24857115816809</v>
      </c>
      <c r="CD352" s="17" t="n">
        <f aca="false">SQRT(($B352-CD$270)^2+($C352-CD$271)^2+($D352-CD$272)^2)</f>
        <v>1.9310719532573</v>
      </c>
      <c r="CE352" s="17" t="n">
        <f aca="false">SQRT(($B352-CE$270)^2+($C352-CE$271)^2+($D352-CE$272)^2)</f>
        <v>0.302091216554232</v>
      </c>
      <c r="CF352" s="17" t="n">
        <f aca="false">SQRT(($B352-CF$270)^2+($C352-CF$271)^2+($D352-CF$272)^2)</f>
        <v>4.24585783857508</v>
      </c>
      <c r="CG352" s="63" t="n">
        <f aca="false">MATCH(MIN(CB352:CF352),CB352:CF352,0)</f>
        <v>4</v>
      </c>
      <c r="CI352" s="17" t="n">
        <f aca="false">SQRT(($B352-CI$270)^2+($C352-CI$271)^2+($D352-CI$272)^2)</f>
        <v>6.78825355370312</v>
      </c>
      <c r="CJ352" s="17" t="n">
        <f aca="false">SQRT(($B352-CJ$270)^2+($C352-CJ$271)^2+($D352-CJ$272)^2)</f>
        <v>1.24857115816809</v>
      </c>
      <c r="CK352" s="17" t="n">
        <f aca="false">SQRT(($B352-CK$270)^2+($C352-CK$271)^2+($D352-CK$272)^2)</f>
        <v>1.9310719532573</v>
      </c>
      <c r="CL352" s="17" t="n">
        <f aca="false">SQRT(($B352-CL$270)^2+($C352-CL$271)^2+($D352-CL$272)^2)</f>
        <v>0.302091216554232</v>
      </c>
      <c r="CM352" s="17" t="n">
        <f aca="false">SQRT(($B352-CM$270)^2+($C352-CM$271)^2+($D352-CM$272)^2)</f>
        <v>4.24585783857508</v>
      </c>
      <c r="CN352" s="63" t="n">
        <f aca="false">MATCH(MIN(CI352:CM352),CI352:CM352,0)</f>
        <v>4</v>
      </c>
      <c r="CP352" s="17" t="n">
        <f aca="false">SQRT(($B352-CP$270)^2+($C352-CP$271)^2+($D352-CP$272)^2)</f>
        <v>6.78825355370312</v>
      </c>
      <c r="CQ352" s="17" t="n">
        <f aca="false">SQRT(($B352-CQ$270)^2+($C352-CQ$271)^2+($D352-CQ$272)^2)</f>
        <v>1.24857115816809</v>
      </c>
      <c r="CR352" s="17" t="n">
        <f aca="false">SQRT(($B352-CR$270)^2+($C352-CR$271)^2+($D352-CR$272)^2)</f>
        <v>1.9310719532573</v>
      </c>
      <c r="CS352" s="17" t="n">
        <f aca="false">SQRT(($B352-CS$270)^2+($C352-CS$271)^2+($D352-CS$272)^2)</f>
        <v>0.302091216554232</v>
      </c>
      <c r="CT352" s="17" t="n">
        <f aca="false">SQRT(($B352-CT$270)^2+($C352-CT$271)^2+($D352-CT$272)^2)</f>
        <v>4.24585783857508</v>
      </c>
      <c r="CU352" s="63" t="n">
        <f aca="false">MATCH(MIN(CP352:CT352),CP352:CT352,0)</f>
        <v>4</v>
      </c>
      <c r="CW352" s="17" t="n">
        <f aca="false">SQRT(($B352-CW$270)^2+($C352-CW$271)^2+($D352-CW$272)^2)</f>
        <v>6.78825355370312</v>
      </c>
      <c r="CX352" s="17" t="n">
        <f aca="false">SQRT(($B352-CX$270)^2+($C352-CX$271)^2+($D352-CX$272)^2)</f>
        <v>1.24857115816809</v>
      </c>
      <c r="CY352" s="17" t="n">
        <f aca="false">SQRT(($B352-CY$270)^2+($C352-CY$271)^2+($D352-CY$272)^2)</f>
        <v>1.9310719532573</v>
      </c>
      <c r="CZ352" s="17" t="n">
        <f aca="false">SQRT(($B352-CZ$270)^2+($C352-CZ$271)^2+($D352-CZ$272)^2)</f>
        <v>0.302091216554232</v>
      </c>
      <c r="DA352" s="17" t="n">
        <f aca="false">SQRT(($B352-DA$270)^2+($C352-DA$271)^2+($D352-DA$272)^2)</f>
        <v>4.24585783857508</v>
      </c>
      <c r="DB352" s="63" t="n">
        <f aca="false">MATCH(MIN(CW352:DA352),CW352:DA352,0)</f>
        <v>4</v>
      </c>
    </row>
    <row r="353" customFormat="false" ht="15" hidden="false" customHeight="false" outlineLevel="0" collapsed="false">
      <c r="A353" s="36" t="str">
        <f aca="false">KMeans_Data!A81</f>
        <v>Khushab</v>
      </c>
      <c r="B353" s="17" t="n">
        <f aca="false">KMeans_Data!H81</f>
        <v>-0.34542544181187</v>
      </c>
      <c r="C353" s="17" t="n">
        <f aca="false">KMeans_Data!I81</f>
        <v>-0.672650545388274</v>
      </c>
      <c r="D353" s="17" t="n">
        <f aca="false">KMeans_Data!J81</f>
        <v>-1.14564411633355</v>
      </c>
      <c r="E353" s="63" t="n">
        <f aca="false">DB353</f>
        <v>4</v>
      </c>
      <c r="F353" s="38" t="n">
        <f aca="false">($B353-INDEX($L$270:$P$270,E353))^2+($C353-INDEX($L$271:$P$271,E353))^2+($D353-INDEX($L$272:$P$272,E353))^2</f>
        <v>0.667833411594782</v>
      </c>
      <c r="G353" s="17" t="n">
        <f aca="false">IF(COUNTIF(Distance_Matrix!$E$11:$DQ$11,$E353)&lt;=1,0,SUMIF(Distance_Matrix!$E$11:$DQ$11,$E353,Distance_Matrix!$E$90:$DQ$90)/(COUNTIF(Distance_Matrix!$E$11:$DQ$11,$E353)-1))</f>
        <v>1.02699895197781</v>
      </c>
      <c r="H353" s="17" t="n">
        <f aca="false">MIN(IF(1=$E353,1E+099,IF(COUNTIF(Distance_Matrix!$E$11:$DQ$11,1)=0,1E+099,SUMIF(Distance_Matrix!$E$11:$DQ$11,1,Distance_Matrix!$E$90:$DQ$90)/COUNTIF(Distance_Matrix!$E$11:$DQ$11,1))),IF(2=$E353,1E+099,IF(COUNTIF(Distance_Matrix!$E$11:$DQ$11,2)=0,1E+099,SUMIF(Distance_Matrix!$E$11:$DQ$11,2,Distance_Matrix!$E$90:$DQ$90)/COUNTIF(Distance_Matrix!$E$11:$DQ$11,2))),IF(3=$E353,1E+099,IF(COUNTIF(Distance_Matrix!$E$11:$DQ$11,3)=0,1E+099,SUMIF(Distance_Matrix!$E$11:$DQ$11,3,Distance_Matrix!$E$90:$DQ$90)/COUNTIF(Distance_Matrix!$E$11:$DQ$11,3))),IF(4=$E353,1E+099,IF(COUNTIF(Distance_Matrix!$E$11:$DQ$11,4)=0,1E+099,SUMIF(Distance_Matrix!$E$11:$DQ$11,4,Distance_Matrix!$E$90:$DQ$90)/COUNTIF(Distance_Matrix!$E$11:$DQ$11,4))),IF(5=$E353,1E+099,IF(COUNTIF(Distance_Matrix!$E$11:$DQ$11,5)=0,1E+099,SUMIF(Distance_Matrix!$E$11:$DQ$11,5,Distance_Matrix!$E$90:$DQ$90)/COUNTIF(Distance_Matrix!$E$11:$DQ$11,5))))</f>
        <v>0.964540818213244</v>
      </c>
      <c r="I353" s="17" t="n">
        <f aca="false">IF(COUNTIF(Distance_Matrix!$E$11:$DQ$11,$E353)&lt;=1,0,(H353-G353)/MAX(G353,H353))</f>
        <v>-0.0608161611502003</v>
      </c>
      <c r="X353" s="17" t="n">
        <f aca="false">SQRT(($B353-X$270)^2+($C353-X$271)^2+($D353-X$272)^2)</f>
        <v>7.39231183279798</v>
      </c>
      <c r="Y353" s="17" t="n">
        <f aca="false">SQRT(($B353-Y$270)^2+($C353-Y$271)^2+($D353-Y$272)^2)</f>
        <v>1.73431253999145</v>
      </c>
      <c r="Z353" s="17" t="n">
        <f aca="false">SQRT(($B353-Z$270)^2+($C353-Z$271)^2+($D353-Z$272)^2)</f>
        <v>3.1402305045998</v>
      </c>
      <c r="AA353" s="17" t="n">
        <f aca="false">SQRT(($B353-AA$270)^2+($C353-AA$271)^2+($D353-AA$272)^2)</f>
        <v>1.12187453179208</v>
      </c>
      <c r="AB353" s="17" t="n">
        <f aca="false">SQRT(($B353-AB$270)^2+($C353-AB$271)^2+($D353-AB$272)^2)</f>
        <v>5.34060306469735</v>
      </c>
      <c r="AC353" s="63" t="n">
        <f aca="false">MATCH(MIN(X353:AB353),X353:AB353,0)</f>
        <v>4</v>
      </c>
      <c r="AE353" s="17" t="n">
        <f aca="false">SQRT(($B353-AE$270)^2+($C353-AE$271)^2+($D353-AE$272)^2)</f>
        <v>7.25833846563843</v>
      </c>
      <c r="AF353" s="17" t="n">
        <f aca="false">SQRT(($B353-AF$270)^2+($C353-AF$271)^2+($D353-AF$272)^2)</f>
        <v>0.920165591750134</v>
      </c>
      <c r="AG353" s="17" t="n">
        <f aca="false">SQRT(($B353-AG$270)^2+($C353-AG$271)^2+($D353-AG$272)^2)</f>
        <v>2.47793808208042</v>
      </c>
      <c r="AH353" s="17" t="n">
        <f aca="false">SQRT(($B353-AH$270)^2+($C353-AH$271)^2+($D353-AH$272)^2)</f>
        <v>0.716149496297303</v>
      </c>
      <c r="AI353" s="17" t="n">
        <f aca="false">SQRT(($B353-AI$270)^2+($C353-AI$271)^2+($D353-AI$272)^2)</f>
        <v>4.98647798585033</v>
      </c>
      <c r="AJ353" s="63" t="n">
        <f aca="false">MATCH(MIN(AE353:AI353),AE353:AI353,0)</f>
        <v>4</v>
      </c>
      <c r="AL353" s="17" t="n">
        <f aca="false">SQRT(($B353-AL$270)^2+($C353-AL$271)^2+($D353-AL$272)^2)</f>
        <v>7.25833846563843</v>
      </c>
      <c r="AM353" s="17" t="n">
        <f aca="false">SQRT(($B353-AM$270)^2+($C353-AM$271)^2+($D353-AM$272)^2)</f>
        <v>0.901369051619843</v>
      </c>
      <c r="AN353" s="17" t="n">
        <f aca="false">SQRT(($B353-AN$270)^2+($C353-AN$271)^2+($D353-AN$272)^2)</f>
        <v>2.53056362484849</v>
      </c>
      <c r="AO353" s="17" t="n">
        <f aca="false">SQRT(($B353-AO$270)^2+($C353-AO$271)^2+($D353-AO$272)^2)</f>
        <v>0.809409611649603</v>
      </c>
      <c r="AP353" s="17" t="n">
        <f aca="false">SQRT(($B353-AP$270)^2+($C353-AP$271)^2+($D353-AP$272)^2)</f>
        <v>4.72026497464186</v>
      </c>
      <c r="AQ353" s="63" t="n">
        <f aca="false">MATCH(MIN(AL353:AP353),AL353:AP353,0)</f>
        <v>4</v>
      </c>
      <c r="AS353" s="17" t="n">
        <f aca="false">SQRT(($B353-AS$270)^2+($C353-AS$271)^2+($D353-AS$272)^2)</f>
        <v>7.25833846563843</v>
      </c>
      <c r="AT353" s="17" t="n">
        <f aca="false">SQRT(($B353-AT$270)^2+($C353-AT$271)^2+($D353-AT$272)^2)</f>
        <v>0.935543689995575</v>
      </c>
      <c r="AU353" s="17" t="n">
        <f aca="false">SQRT(($B353-AU$270)^2+($C353-AU$271)^2+($D353-AU$272)^2)</f>
        <v>2.55610552566968</v>
      </c>
      <c r="AV353" s="17" t="n">
        <f aca="false">SQRT(($B353-AV$270)^2+($C353-AV$271)^2+($D353-AV$272)^2)</f>
        <v>0.817210751027409</v>
      </c>
      <c r="AW353" s="17" t="n">
        <f aca="false">SQRT(($B353-AW$270)^2+($C353-AW$271)^2+($D353-AW$272)^2)</f>
        <v>4.72026497464186</v>
      </c>
      <c r="AX353" s="63" t="n">
        <f aca="false">MATCH(MIN(AS353:AW353),AS353:AW353,0)</f>
        <v>4</v>
      </c>
      <c r="AZ353" s="17" t="n">
        <f aca="false">SQRT(($B353-AZ$270)^2+($C353-AZ$271)^2+($D353-AZ$272)^2)</f>
        <v>7.25833846563843</v>
      </c>
      <c r="BA353" s="17" t="n">
        <f aca="false">SQRT(($B353-BA$270)^2+($C353-BA$271)^2+($D353-BA$272)^2)</f>
        <v>0.935543689995575</v>
      </c>
      <c r="BB353" s="17" t="n">
        <f aca="false">SQRT(($B353-BB$270)^2+($C353-BB$271)^2+($D353-BB$272)^2)</f>
        <v>2.55610552566968</v>
      </c>
      <c r="BC353" s="17" t="n">
        <f aca="false">SQRT(($B353-BC$270)^2+($C353-BC$271)^2+($D353-BC$272)^2)</f>
        <v>0.817210751027409</v>
      </c>
      <c r="BD353" s="17" t="n">
        <f aca="false">SQRT(($B353-BD$270)^2+($C353-BD$271)^2+($D353-BD$272)^2)</f>
        <v>4.72026497464186</v>
      </c>
      <c r="BE353" s="63" t="n">
        <f aca="false">MATCH(MIN(AZ353:BD353),AZ353:BD353,0)</f>
        <v>4</v>
      </c>
      <c r="BG353" s="17" t="n">
        <f aca="false">SQRT(($B353-BG$270)^2+($C353-BG$271)^2+($D353-BG$272)^2)</f>
        <v>7.25833846563843</v>
      </c>
      <c r="BH353" s="17" t="n">
        <f aca="false">SQRT(($B353-BH$270)^2+($C353-BH$271)^2+($D353-BH$272)^2)</f>
        <v>0.935543689995575</v>
      </c>
      <c r="BI353" s="17" t="n">
        <f aca="false">SQRT(($B353-BI$270)^2+($C353-BI$271)^2+($D353-BI$272)^2)</f>
        <v>2.55610552566968</v>
      </c>
      <c r="BJ353" s="17" t="n">
        <f aca="false">SQRT(($B353-BJ$270)^2+($C353-BJ$271)^2+($D353-BJ$272)^2)</f>
        <v>0.817210751027409</v>
      </c>
      <c r="BK353" s="17" t="n">
        <f aca="false">SQRT(($B353-BK$270)^2+($C353-BK$271)^2+($D353-BK$272)^2)</f>
        <v>4.72026497464186</v>
      </c>
      <c r="BL353" s="63" t="n">
        <f aca="false">MATCH(MIN(BG353:BK353),BG353:BK353,0)</f>
        <v>4</v>
      </c>
      <c r="BN353" s="17" t="n">
        <f aca="false">SQRT(($B353-BN$270)^2+($C353-BN$271)^2+($D353-BN$272)^2)</f>
        <v>7.25833846563843</v>
      </c>
      <c r="BO353" s="17" t="n">
        <f aca="false">SQRT(($B353-BO$270)^2+($C353-BO$271)^2+($D353-BO$272)^2)</f>
        <v>0.935543689995575</v>
      </c>
      <c r="BP353" s="17" t="n">
        <f aca="false">SQRT(($B353-BP$270)^2+($C353-BP$271)^2+($D353-BP$272)^2)</f>
        <v>2.55610552566968</v>
      </c>
      <c r="BQ353" s="17" t="n">
        <f aca="false">SQRT(($B353-BQ$270)^2+($C353-BQ$271)^2+($D353-BQ$272)^2)</f>
        <v>0.817210751027409</v>
      </c>
      <c r="BR353" s="17" t="n">
        <f aca="false">SQRT(($B353-BR$270)^2+($C353-BR$271)^2+($D353-BR$272)^2)</f>
        <v>4.72026497464186</v>
      </c>
      <c r="BS353" s="63" t="n">
        <f aca="false">MATCH(MIN(BN353:BR353),BN353:BR353,0)</f>
        <v>4</v>
      </c>
      <c r="BU353" s="17" t="n">
        <f aca="false">SQRT(($B353-BU$270)^2+($C353-BU$271)^2+($D353-BU$272)^2)</f>
        <v>7.25833846563843</v>
      </c>
      <c r="BV353" s="17" t="n">
        <f aca="false">SQRT(($B353-BV$270)^2+($C353-BV$271)^2+($D353-BV$272)^2)</f>
        <v>0.935543689995575</v>
      </c>
      <c r="BW353" s="17" t="n">
        <f aca="false">SQRT(($B353-BW$270)^2+($C353-BW$271)^2+($D353-BW$272)^2)</f>
        <v>2.55610552566968</v>
      </c>
      <c r="BX353" s="17" t="n">
        <f aca="false">SQRT(($B353-BX$270)^2+($C353-BX$271)^2+($D353-BX$272)^2)</f>
        <v>0.817210751027409</v>
      </c>
      <c r="BY353" s="17" t="n">
        <f aca="false">SQRT(($B353-BY$270)^2+($C353-BY$271)^2+($D353-BY$272)^2)</f>
        <v>4.72026497464186</v>
      </c>
      <c r="BZ353" s="63" t="n">
        <f aca="false">MATCH(MIN(BU353:BY353),BU353:BY353,0)</f>
        <v>4</v>
      </c>
      <c r="CB353" s="17" t="n">
        <f aca="false">SQRT(($B353-CB$270)^2+($C353-CB$271)^2+($D353-CB$272)^2)</f>
        <v>7.25833846563843</v>
      </c>
      <c r="CC353" s="17" t="n">
        <f aca="false">SQRT(($B353-CC$270)^2+($C353-CC$271)^2+($D353-CC$272)^2)</f>
        <v>0.935543689995575</v>
      </c>
      <c r="CD353" s="17" t="n">
        <f aca="false">SQRT(($B353-CD$270)^2+($C353-CD$271)^2+($D353-CD$272)^2)</f>
        <v>2.55610552566968</v>
      </c>
      <c r="CE353" s="17" t="n">
        <f aca="false">SQRT(($B353-CE$270)^2+($C353-CE$271)^2+($D353-CE$272)^2)</f>
        <v>0.817210751027409</v>
      </c>
      <c r="CF353" s="17" t="n">
        <f aca="false">SQRT(($B353-CF$270)^2+($C353-CF$271)^2+($D353-CF$272)^2)</f>
        <v>4.72026497464186</v>
      </c>
      <c r="CG353" s="63" t="n">
        <f aca="false">MATCH(MIN(CB353:CF353),CB353:CF353,0)</f>
        <v>4</v>
      </c>
      <c r="CI353" s="17" t="n">
        <f aca="false">SQRT(($B353-CI$270)^2+($C353-CI$271)^2+($D353-CI$272)^2)</f>
        <v>7.25833846563843</v>
      </c>
      <c r="CJ353" s="17" t="n">
        <f aca="false">SQRT(($B353-CJ$270)^2+($C353-CJ$271)^2+($D353-CJ$272)^2)</f>
        <v>0.935543689995575</v>
      </c>
      <c r="CK353" s="17" t="n">
        <f aca="false">SQRT(($B353-CK$270)^2+($C353-CK$271)^2+($D353-CK$272)^2)</f>
        <v>2.55610552566968</v>
      </c>
      <c r="CL353" s="17" t="n">
        <f aca="false">SQRT(($B353-CL$270)^2+($C353-CL$271)^2+($D353-CL$272)^2)</f>
        <v>0.817210751027409</v>
      </c>
      <c r="CM353" s="17" t="n">
        <f aca="false">SQRT(($B353-CM$270)^2+($C353-CM$271)^2+($D353-CM$272)^2)</f>
        <v>4.72026497464186</v>
      </c>
      <c r="CN353" s="63" t="n">
        <f aca="false">MATCH(MIN(CI353:CM353),CI353:CM353,0)</f>
        <v>4</v>
      </c>
      <c r="CP353" s="17" t="n">
        <f aca="false">SQRT(($B353-CP$270)^2+($C353-CP$271)^2+($D353-CP$272)^2)</f>
        <v>7.25833846563843</v>
      </c>
      <c r="CQ353" s="17" t="n">
        <f aca="false">SQRT(($B353-CQ$270)^2+($C353-CQ$271)^2+($D353-CQ$272)^2)</f>
        <v>0.935543689995575</v>
      </c>
      <c r="CR353" s="17" t="n">
        <f aca="false">SQRT(($B353-CR$270)^2+($C353-CR$271)^2+($D353-CR$272)^2)</f>
        <v>2.55610552566968</v>
      </c>
      <c r="CS353" s="17" t="n">
        <f aca="false">SQRT(($B353-CS$270)^2+($C353-CS$271)^2+($D353-CS$272)^2)</f>
        <v>0.817210751027409</v>
      </c>
      <c r="CT353" s="17" t="n">
        <f aca="false">SQRT(($B353-CT$270)^2+($C353-CT$271)^2+($D353-CT$272)^2)</f>
        <v>4.72026497464186</v>
      </c>
      <c r="CU353" s="63" t="n">
        <f aca="false">MATCH(MIN(CP353:CT353),CP353:CT353,0)</f>
        <v>4</v>
      </c>
      <c r="CW353" s="17" t="n">
        <f aca="false">SQRT(($B353-CW$270)^2+($C353-CW$271)^2+($D353-CW$272)^2)</f>
        <v>7.25833846563843</v>
      </c>
      <c r="CX353" s="17" t="n">
        <f aca="false">SQRT(($B353-CX$270)^2+($C353-CX$271)^2+($D353-CX$272)^2)</f>
        <v>0.935543689995575</v>
      </c>
      <c r="CY353" s="17" t="n">
        <f aca="false">SQRT(($B353-CY$270)^2+($C353-CY$271)^2+($D353-CY$272)^2)</f>
        <v>2.55610552566968</v>
      </c>
      <c r="CZ353" s="17" t="n">
        <f aca="false">SQRT(($B353-CZ$270)^2+($C353-CZ$271)^2+($D353-CZ$272)^2)</f>
        <v>0.817210751027409</v>
      </c>
      <c r="DA353" s="17" t="n">
        <f aca="false">SQRT(($B353-DA$270)^2+($C353-DA$271)^2+($D353-DA$272)^2)</f>
        <v>4.72026497464186</v>
      </c>
      <c r="DB353" s="63" t="n">
        <f aca="false">MATCH(MIN(CW353:DA353),CW353:DA353,0)</f>
        <v>4</v>
      </c>
    </row>
    <row r="354" customFormat="false" ht="15" hidden="false" customHeight="false" outlineLevel="0" collapsed="false">
      <c r="A354" s="36" t="str">
        <f aca="false">KMeans_Data!A82</f>
        <v>Sheikhupura</v>
      </c>
      <c r="B354" s="17" t="n">
        <f aca="false">KMeans_Data!H82</f>
        <v>-0.383996419381545</v>
      </c>
      <c r="C354" s="17" t="n">
        <f aca="false">KMeans_Data!I82</f>
        <v>-0.672650545388274</v>
      </c>
      <c r="D354" s="17" t="n">
        <f aca="false">KMeans_Data!J82</f>
        <v>-1.14564411633355</v>
      </c>
      <c r="E354" s="63" t="n">
        <f aca="false">DB354</f>
        <v>4</v>
      </c>
      <c r="F354" s="38" t="n">
        <f aca="false">($B354-INDEX($L$270:$P$270,E354))^2+($C354-INDEX($L$271:$P$271,E354))^2+($D354-INDEX($L$272:$P$272,E354))^2</f>
        <v>0.686041099181504</v>
      </c>
      <c r="G354" s="17" t="n">
        <f aca="false">IF(COUNTIF(Distance_Matrix!$E$11:$DQ$11,$E354)&lt;=1,0,SUMIF(Distance_Matrix!$E$11:$DQ$11,$E354,Distance_Matrix!$E$91:$DQ$91)/(COUNTIF(Distance_Matrix!$E$11:$DQ$11,$E354)-1))</f>
        <v>1.03862234046779</v>
      </c>
      <c r="H354" s="17" t="n">
        <f aca="false">MIN(IF(1=$E354,1E+099,IF(COUNTIF(Distance_Matrix!$E$11:$DQ$11,1)=0,1E+099,SUMIF(Distance_Matrix!$E$11:$DQ$11,1,Distance_Matrix!$E$91:$DQ$91)/COUNTIF(Distance_Matrix!$E$11:$DQ$11,1))),IF(2=$E354,1E+099,IF(COUNTIF(Distance_Matrix!$E$11:$DQ$11,2)=0,1E+099,SUMIF(Distance_Matrix!$E$11:$DQ$11,2,Distance_Matrix!$E$91:$DQ$91)/COUNTIF(Distance_Matrix!$E$11:$DQ$11,2))),IF(3=$E354,1E+099,IF(COUNTIF(Distance_Matrix!$E$11:$DQ$11,3)=0,1E+099,SUMIF(Distance_Matrix!$E$11:$DQ$11,3,Distance_Matrix!$E$91:$DQ$91)/COUNTIF(Distance_Matrix!$E$11:$DQ$11,3))),IF(4=$E354,1E+099,IF(COUNTIF(Distance_Matrix!$E$11:$DQ$11,4)=0,1E+099,SUMIF(Distance_Matrix!$E$11:$DQ$11,4,Distance_Matrix!$E$91:$DQ$91)/COUNTIF(Distance_Matrix!$E$11:$DQ$11,4))),IF(5=$E354,1E+099,IF(COUNTIF(Distance_Matrix!$E$11:$DQ$11,5)=0,1E+099,SUMIF(Distance_Matrix!$E$11:$DQ$11,5,Distance_Matrix!$E$91:$DQ$91)/COUNTIF(Distance_Matrix!$E$11:$DQ$11,5))))</f>
        <v>0.927495566086064</v>
      </c>
      <c r="I354" s="17" t="n">
        <f aca="false">IF(COUNTIF(Distance_Matrix!$E$11:$DQ$11,$E354)&lt;=1,0,(H354-G354)/MAX(G354,H354))</f>
        <v>-0.106994400227972</v>
      </c>
      <c r="X354" s="17" t="n">
        <f aca="false">SQRT(($B354-X$270)^2+($C354-X$271)^2+($D354-X$272)^2)</f>
        <v>7.41127487875453</v>
      </c>
      <c r="Y354" s="17" t="n">
        <f aca="false">SQRT(($B354-Y$270)^2+($C354-Y$271)^2+($D354-Y$272)^2)</f>
        <v>1.69574156242178</v>
      </c>
      <c r="Z354" s="17" t="n">
        <f aca="false">SQRT(($B354-Z$270)^2+($C354-Z$271)^2+($D354-Z$272)^2)</f>
        <v>3.1574046827609</v>
      </c>
      <c r="AA354" s="17" t="n">
        <f aca="false">SQRT(($B354-AA$270)^2+($C354-AA$271)^2+($D354-AA$272)^2)</f>
        <v>1.15609059396551</v>
      </c>
      <c r="AB354" s="17" t="n">
        <f aca="false">SQRT(($B354-AB$270)^2+($C354-AB$271)^2+($D354-AB$272)^2)</f>
        <v>5.36027799872395</v>
      </c>
      <c r="AC354" s="63" t="n">
        <f aca="false">MATCH(MIN(X354:AB354),X354:AB354,0)</f>
        <v>4</v>
      </c>
      <c r="AE354" s="17" t="n">
        <f aca="false">SQRT(($B354-AE$270)^2+($C354-AE$271)^2+($D354-AE$272)^2)</f>
        <v>7.27758659193117</v>
      </c>
      <c r="AF354" s="17" t="n">
        <f aca="false">SQRT(($B354-AF$270)^2+($C354-AF$271)^2+($D354-AF$272)^2)</f>
        <v>0.882669378301256</v>
      </c>
      <c r="AG354" s="17" t="n">
        <f aca="false">SQRT(($B354-AG$270)^2+($C354-AG$271)^2+($D354-AG$272)^2)</f>
        <v>2.49210308881347</v>
      </c>
      <c r="AH354" s="17" t="n">
        <f aca="false">SQRT(($B354-AH$270)^2+($C354-AH$271)^2+($D354-AH$272)^2)</f>
        <v>0.73225821123948</v>
      </c>
      <c r="AI354" s="17" t="n">
        <f aca="false">SQRT(($B354-AI$270)^2+($C354-AI$271)^2+($D354-AI$272)^2)</f>
        <v>5.00545764970554</v>
      </c>
      <c r="AJ354" s="63" t="n">
        <f aca="false">MATCH(MIN(AE354:AI354),AE354:AI354,0)</f>
        <v>4</v>
      </c>
      <c r="AL354" s="17" t="n">
        <f aca="false">SQRT(($B354-AL$270)^2+($C354-AL$271)^2+($D354-AL$272)^2)</f>
        <v>7.27758659193117</v>
      </c>
      <c r="AM354" s="17" t="n">
        <f aca="false">SQRT(($B354-AM$270)^2+($C354-AM$271)^2+($D354-AM$272)^2)</f>
        <v>0.863446949878948</v>
      </c>
      <c r="AN354" s="17" t="n">
        <f aca="false">SQRT(($B354-AN$270)^2+($C354-AN$271)^2+($D354-AN$272)^2)</f>
        <v>2.54519676842319</v>
      </c>
      <c r="AO354" s="17" t="n">
        <f aca="false">SQRT(($B354-AO$270)^2+($C354-AO$271)^2+($D354-AO$272)^2)</f>
        <v>0.82281027715766</v>
      </c>
      <c r="AP354" s="17" t="n">
        <f aca="false">SQRT(($B354-AP$270)^2+($C354-AP$271)^2+($D354-AP$272)^2)</f>
        <v>4.73873725516219</v>
      </c>
      <c r="AQ354" s="63" t="n">
        <f aca="false">MATCH(MIN(AL354:AP354),AL354:AP354,0)</f>
        <v>4</v>
      </c>
      <c r="AS354" s="17" t="n">
        <f aca="false">SQRT(($B354-AS$270)^2+($C354-AS$271)^2+($D354-AS$272)^2)</f>
        <v>7.27758659193117</v>
      </c>
      <c r="AT354" s="17" t="n">
        <f aca="false">SQRT(($B354-AT$270)^2+($C354-AT$271)^2+($D354-AT$272)^2)</f>
        <v>0.897101399590024</v>
      </c>
      <c r="AU354" s="17" t="n">
        <f aca="false">SQRT(($B354-AU$270)^2+($C354-AU$271)^2+($D354-AU$272)^2)</f>
        <v>2.57088360020514</v>
      </c>
      <c r="AV354" s="17" t="n">
        <f aca="false">SQRT(($B354-AV$270)^2+($C354-AV$271)^2+($D354-AV$272)^2)</f>
        <v>0.828275980082426</v>
      </c>
      <c r="AW354" s="17" t="n">
        <f aca="false">SQRT(($B354-AW$270)^2+($C354-AW$271)^2+($D354-AW$272)^2)</f>
        <v>4.73873725516219</v>
      </c>
      <c r="AX354" s="63" t="n">
        <f aca="false">MATCH(MIN(AS354:AW354),AS354:AW354,0)</f>
        <v>4</v>
      </c>
      <c r="AZ354" s="17" t="n">
        <f aca="false">SQRT(($B354-AZ$270)^2+($C354-AZ$271)^2+($D354-AZ$272)^2)</f>
        <v>7.27758659193117</v>
      </c>
      <c r="BA354" s="17" t="n">
        <f aca="false">SQRT(($B354-BA$270)^2+($C354-BA$271)^2+($D354-BA$272)^2)</f>
        <v>0.897101399590024</v>
      </c>
      <c r="BB354" s="17" t="n">
        <f aca="false">SQRT(($B354-BB$270)^2+($C354-BB$271)^2+($D354-BB$272)^2)</f>
        <v>2.57088360020514</v>
      </c>
      <c r="BC354" s="17" t="n">
        <f aca="false">SQRT(($B354-BC$270)^2+($C354-BC$271)^2+($D354-BC$272)^2)</f>
        <v>0.828275980082426</v>
      </c>
      <c r="BD354" s="17" t="n">
        <f aca="false">SQRT(($B354-BD$270)^2+($C354-BD$271)^2+($D354-BD$272)^2)</f>
        <v>4.73873725516219</v>
      </c>
      <c r="BE354" s="63" t="n">
        <f aca="false">MATCH(MIN(AZ354:BD354),AZ354:BD354,0)</f>
        <v>4</v>
      </c>
      <c r="BG354" s="17" t="n">
        <f aca="false">SQRT(($B354-BG$270)^2+($C354-BG$271)^2+($D354-BG$272)^2)</f>
        <v>7.27758659193117</v>
      </c>
      <c r="BH354" s="17" t="n">
        <f aca="false">SQRT(($B354-BH$270)^2+($C354-BH$271)^2+($D354-BH$272)^2)</f>
        <v>0.897101399590024</v>
      </c>
      <c r="BI354" s="17" t="n">
        <f aca="false">SQRT(($B354-BI$270)^2+($C354-BI$271)^2+($D354-BI$272)^2)</f>
        <v>2.57088360020514</v>
      </c>
      <c r="BJ354" s="17" t="n">
        <f aca="false">SQRT(($B354-BJ$270)^2+($C354-BJ$271)^2+($D354-BJ$272)^2)</f>
        <v>0.828275980082426</v>
      </c>
      <c r="BK354" s="17" t="n">
        <f aca="false">SQRT(($B354-BK$270)^2+($C354-BK$271)^2+($D354-BK$272)^2)</f>
        <v>4.73873725516219</v>
      </c>
      <c r="BL354" s="63" t="n">
        <f aca="false">MATCH(MIN(BG354:BK354),BG354:BK354,0)</f>
        <v>4</v>
      </c>
      <c r="BN354" s="17" t="n">
        <f aca="false">SQRT(($B354-BN$270)^2+($C354-BN$271)^2+($D354-BN$272)^2)</f>
        <v>7.27758659193117</v>
      </c>
      <c r="BO354" s="17" t="n">
        <f aca="false">SQRT(($B354-BO$270)^2+($C354-BO$271)^2+($D354-BO$272)^2)</f>
        <v>0.897101399590024</v>
      </c>
      <c r="BP354" s="17" t="n">
        <f aca="false">SQRT(($B354-BP$270)^2+($C354-BP$271)^2+($D354-BP$272)^2)</f>
        <v>2.57088360020514</v>
      </c>
      <c r="BQ354" s="17" t="n">
        <f aca="false">SQRT(($B354-BQ$270)^2+($C354-BQ$271)^2+($D354-BQ$272)^2)</f>
        <v>0.828275980082426</v>
      </c>
      <c r="BR354" s="17" t="n">
        <f aca="false">SQRT(($B354-BR$270)^2+($C354-BR$271)^2+($D354-BR$272)^2)</f>
        <v>4.73873725516219</v>
      </c>
      <c r="BS354" s="63" t="n">
        <f aca="false">MATCH(MIN(BN354:BR354),BN354:BR354,0)</f>
        <v>4</v>
      </c>
      <c r="BU354" s="17" t="n">
        <f aca="false">SQRT(($B354-BU$270)^2+($C354-BU$271)^2+($D354-BU$272)^2)</f>
        <v>7.27758659193117</v>
      </c>
      <c r="BV354" s="17" t="n">
        <f aca="false">SQRT(($B354-BV$270)^2+($C354-BV$271)^2+($D354-BV$272)^2)</f>
        <v>0.897101399590024</v>
      </c>
      <c r="BW354" s="17" t="n">
        <f aca="false">SQRT(($B354-BW$270)^2+($C354-BW$271)^2+($D354-BW$272)^2)</f>
        <v>2.57088360020514</v>
      </c>
      <c r="BX354" s="17" t="n">
        <f aca="false">SQRT(($B354-BX$270)^2+($C354-BX$271)^2+($D354-BX$272)^2)</f>
        <v>0.828275980082426</v>
      </c>
      <c r="BY354" s="17" t="n">
        <f aca="false">SQRT(($B354-BY$270)^2+($C354-BY$271)^2+($D354-BY$272)^2)</f>
        <v>4.73873725516219</v>
      </c>
      <c r="BZ354" s="63" t="n">
        <f aca="false">MATCH(MIN(BU354:BY354),BU354:BY354,0)</f>
        <v>4</v>
      </c>
      <c r="CB354" s="17" t="n">
        <f aca="false">SQRT(($B354-CB$270)^2+($C354-CB$271)^2+($D354-CB$272)^2)</f>
        <v>7.27758659193117</v>
      </c>
      <c r="CC354" s="17" t="n">
        <f aca="false">SQRT(($B354-CC$270)^2+($C354-CC$271)^2+($D354-CC$272)^2)</f>
        <v>0.897101399590024</v>
      </c>
      <c r="CD354" s="17" t="n">
        <f aca="false">SQRT(($B354-CD$270)^2+($C354-CD$271)^2+($D354-CD$272)^2)</f>
        <v>2.57088360020514</v>
      </c>
      <c r="CE354" s="17" t="n">
        <f aca="false">SQRT(($B354-CE$270)^2+($C354-CE$271)^2+($D354-CE$272)^2)</f>
        <v>0.828275980082426</v>
      </c>
      <c r="CF354" s="17" t="n">
        <f aca="false">SQRT(($B354-CF$270)^2+($C354-CF$271)^2+($D354-CF$272)^2)</f>
        <v>4.73873725516219</v>
      </c>
      <c r="CG354" s="63" t="n">
        <f aca="false">MATCH(MIN(CB354:CF354),CB354:CF354,0)</f>
        <v>4</v>
      </c>
      <c r="CI354" s="17" t="n">
        <f aca="false">SQRT(($B354-CI$270)^2+($C354-CI$271)^2+($D354-CI$272)^2)</f>
        <v>7.27758659193117</v>
      </c>
      <c r="CJ354" s="17" t="n">
        <f aca="false">SQRT(($B354-CJ$270)^2+($C354-CJ$271)^2+($D354-CJ$272)^2)</f>
        <v>0.897101399590024</v>
      </c>
      <c r="CK354" s="17" t="n">
        <f aca="false">SQRT(($B354-CK$270)^2+($C354-CK$271)^2+($D354-CK$272)^2)</f>
        <v>2.57088360020514</v>
      </c>
      <c r="CL354" s="17" t="n">
        <f aca="false">SQRT(($B354-CL$270)^2+($C354-CL$271)^2+($D354-CL$272)^2)</f>
        <v>0.828275980082426</v>
      </c>
      <c r="CM354" s="17" t="n">
        <f aca="false">SQRT(($B354-CM$270)^2+($C354-CM$271)^2+($D354-CM$272)^2)</f>
        <v>4.73873725516219</v>
      </c>
      <c r="CN354" s="63" t="n">
        <f aca="false">MATCH(MIN(CI354:CM354),CI354:CM354,0)</f>
        <v>4</v>
      </c>
      <c r="CP354" s="17" t="n">
        <f aca="false">SQRT(($B354-CP$270)^2+($C354-CP$271)^2+($D354-CP$272)^2)</f>
        <v>7.27758659193117</v>
      </c>
      <c r="CQ354" s="17" t="n">
        <f aca="false">SQRT(($B354-CQ$270)^2+($C354-CQ$271)^2+($D354-CQ$272)^2)</f>
        <v>0.897101399590024</v>
      </c>
      <c r="CR354" s="17" t="n">
        <f aca="false">SQRT(($B354-CR$270)^2+($C354-CR$271)^2+($D354-CR$272)^2)</f>
        <v>2.57088360020514</v>
      </c>
      <c r="CS354" s="17" t="n">
        <f aca="false">SQRT(($B354-CS$270)^2+($C354-CS$271)^2+($D354-CS$272)^2)</f>
        <v>0.828275980082426</v>
      </c>
      <c r="CT354" s="17" t="n">
        <f aca="false">SQRT(($B354-CT$270)^2+($C354-CT$271)^2+($D354-CT$272)^2)</f>
        <v>4.73873725516219</v>
      </c>
      <c r="CU354" s="63" t="n">
        <f aca="false">MATCH(MIN(CP354:CT354),CP354:CT354,0)</f>
        <v>4</v>
      </c>
      <c r="CW354" s="17" t="n">
        <f aca="false">SQRT(($B354-CW$270)^2+($C354-CW$271)^2+($D354-CW$272)^2)</f>
        <v>7.27758659193117</v>
      </c>
      <c r="CX354" s="17" t="n">
        <f aca="false">SQRT(($B354-CX$270)^2+($C354-CX$271)^2+($D354-CX$272)^2)</f>
        <v>0.897101399590024</v>
      </c>
      <c r="CY354" s="17" t="n">
        <f aca="false">SQRT(($B354-CY$270)^2+($C354-CY$271)^2+($D354-CY$272)^2)</f>
        <v>2.57088360020514</v>
      </c>
      <c r="CZ354" s="17" t="n">
        <f aca="false">SQRT(($B354-CZ$270)^2+($C354-CZ$271)^2+($D354-CZ$272)^2)</f>
        <v>0.828275980082426</v>
      </c>
      <c r="DA354" s="17" t="n">
        <f aca="false">SQRT(($B354-DA$270)^2+($C354-DA$271)^2+($D354-DA$272)^2)</f>
        <v>4.73873725516219</v>
      </c>
      <c r="DB354" s="63" t="n">
        <f aca="false">MATCH(MIN(CW354:DA354),CW354:DA354,0)</f>
        <v>4</v>
      </c>
    </row>
    <row r="355" customFormat="false" ht="15" hidden="false" customHeight="false" outlineLevel="0" collapsed="false">
      <c r="A355" s="36" t="str">
        <f aca="false">KMeans_Data!A83</f>
        <v>Diamer</v>
      </c>
      <c r="B355" s="17" t="n">
        <f aca="false">KMeans_Data!H83</f>
        <v>-0.404409624645938</v>
      </c>
      <c r="C355" s="17" t="n">
        <f aca="false">KMeans_Data!I83</f>
        <v>-0.672650545388274</v>
      </c>
      <c r="D355" s="17" t="n">
        <f aca="false">KMeans_Data!J83</f>
        <v>0.042930091906806</v>
      </c>
      <c r="E355" s="63" t="n">
        <f aca="false">DB355</f>
        <v>4</v>
      </c>
      <c r="F355" s="38" t="n">
        <f aca="false">($B355-INDEX($L$270:$P$270,E355))^2+($C355-INDEX($L$271:$P$271,E355))^2+($D355-INDEX($L$272:$P$272,E355))^2</f>
        <v>0.277836357568719</v>
      </c>
      <c r="G355" s="17" t="n">
        <f aca="false">IF(COUNTIF(Distance_Matrix!$E$11:$DQ$11,$E355)&lt;=1,0,SUMIF(Distance_Matrix!$E$11:$DQ$11,$E355,Distance_Matrix!$E$92:$DQ$92)/(COUNTIF(Distance_Matrix!$E$11:$DQ$11,$E355)-1))</f>
        <v>0.850096638439028</v>
      </c>
      <c r="H355" s="17" t="n">
        <f aca="false">MIN(IF(1=$E355,1E+099,IF(COUNTIF(Distance_Matrix!$E$11:$DQ$11,1)=0,1E+099,SUMIF(Distance_Matrix!$E$11:$DQ$11,1,Distance_Matrix!$E$92:$DQ$92)/COUNTIF(Distance_Matrix!$E$11:$DQ$11,1))),IF(2=$E355,1E+099,IF(COUNTIF(Distance_Matrix!$E$11:$DQ$11,2)=0,1E+099,SUMIF(Distance_Matrix!$E$11:$DQ$11,2,Distance_Matrix!$E$92:$DQ$92)/COUNTIF(Distance_Matrix!$E$11:$DQ$11,2))),IF(3=$E355,1E+099,IF(COUNTIF(Distance_Matrix!$E$11:$DQ$11,3)=0,1E+099,SUMIF(Distance_Matrix!$E$11:$DQ$11,3,Distance_Matrix!$E$92:$DQ$92)/COUNTIF(Distance_Matrix!$E$11:$DQ$11,3))),IF(4=$E355,1E+099,IF(COUNTIF(Distance_Matrix!$E$11:$DQ$11,4)=0,1E+099,SUMIF(Distance_Matrix!$E$11:$DQ$11,4,Distance_Matrix!$E$92:$DQ$92)/COUNTIF(Distance_Matrix!$E$11:$DQ$11,4))),IF(5=$E355,1E+099,IF(COUNTIF(Distance_Matrix!$E$11:$DQ$11,5)=0,1E+099,SUMIF(Distance_Matrix!$E$11:$DQ$11,5,Distance_Matrix!$E$92:$DQ$92)/COUNTIF(Distance_Matrix!$E$11:$DQ$11,5))))</f>
        <v>1.45761458662675</v>
      </c>
      <c r="I355" s="17" t="n">
        <f aca="false">IF(COUNTIF(Distance_Matrix!$E$11:$DQ$11,$E355)&lt;=1,0,(H355-G355)/MAX(G355,H355))</f>
        <v>0.41678915246976</v>
      </c>
      <c r="X355" s="17" t="n">
        <f aca="false">SQRT(($B355-X$270)^2+($C355-X$271)^2+($D355-X$272)^2)</f>
        <v>6.78483078825686</v>
      </c>
      <c r="Y355" s="17" t="n">
        <f aca="false">SQRT(($B355-Y$270)^2+($C355-Y$271)^2+($D355-Y$272)^2)</f>
        <v>2.05412603137925</v>
      </c>
      <c r="Z355" s="17" t="n">
        <f aca="false">SQRT(($B355-Z$270)^2+($C355-Z$271)^2+($D355-Z$272)^2)</f>
        <v>2.28508675025144</v>
      </c>
      <c r="AA355" s="17" t="n">
        <f aca="false">SQRT(($B355-AA$270)^2+($C355-AA$271)^2+($D355-AA$272)^2)</f>
        <v>1.67084066197764</v>
      </c>
      <c r="AB355" s="17" t="n">
        <f aca="false">SQRT(($B355-AB$270)^2+($C355-AB$271)^2+($D355-AB$272)^2)</f>
        <v>4.67922116821655</v>
      </c>
      <c r="AC355" s="63" t="n">
        <f aca="false">MATCH(MIN(X355:AB355),X355:AB355,0)</f>
        <v>4</v>
      </c>
      <c r="AE355" s="17" t="n">
        <f aca="false">SQRT(($B355-AE$270)^2+($C355-AE$271)^2+($D355-AE$272)^2)</f>
        <v>6.68952981050376</v>
      </c>
      <c r="AF355" s="17" t="n">
        <f aca="false">SQRT(($B355-AF$270)^2+($C355-AF$271)^2+($D355-AF$272)^2)</f>
        <v>1.2872558960352</v>
      </c>
      <c r="AG355" s="17" t="n">
        <f aca="false">SQRT(($B355-AG$270)^2+($C355-AG$271)^2+($D355-AG$272)^2)</f>
        <v>1.71091566769232</v>
      </c>
      <c r="AH355" s="17" t="n">
        <f aca="false">SQRT(($B355-AH$270)^2+($C355-AH$271)^2+($D355-AH$272)^2)</f>
        <v>0.67888317318669</v>
      </c>
      <c r="AI355" s="17" t="n">
        <f aca="false">SQRT(($B355-AI$270)^2+($C355-AI$271)^2+($D355-AI$272)^2)</f>
        <v>4.42662860466618</v>
      </c>
      <c r="AJ355" s="63" t="n">
        <f aca="false">MATCH(MIN(AE355:AI355),AE355:AI355,0)</f>
        <v>4</v>
      </c>
      <c r="AL355" s="17" t="n">
        <f aca="false">SQRT(($B355-AL$270)^2+($C355-AL$271)^2+($D355-AL$272)^2)</f>
        <v>6.68952981050376</v>
      </c>
      <c r="AM355" s="17" t="n">
        <f aca="false">SQRT(($B355-AM$270)^2+($C355-AM$271)^2+($D355-AM$272)^2)</f>
        <v>1.32045238022373</v>
      </c>
      <c r="AN355" s="17" t="n">
        <f aca="false">SQRT(($B355-AN$270)^2+($C355-AN$271)^2+($D355-AN$272)^2)</f>
        <v>1.78909893170692</v>
      </c>
      <c r="AO355" s="17" t="n">
        <f aca="false">SQRT(($B355-AO$270)^2+($C355-AO$271)^2+($D355-AO$272)^2)</f>
        <v>0.569570771718093</v>
      </c>
      <c r="AP355" s="17" t="n">
        <f aca="false">SQRT(($B355-AP$270)^2+($C355-AP$271)^2+($D355-AP$272)^2)</f>
        <v>4.15734288814745</v>
      </c>
      <c r="AQ355" s="63" t="n">
        <f aca="false">MATCH(MIN(AL355:AP355),AL355:AP355,0)</f>
        <v>4</v>
      </c>
      <c r="AS355" s="17" t="n">
        <f aca="false">SQRT(($B355-AS$270)^2+($C355-AS$271)^2+($D355-AS$272)^2)</f>
        <v>6.68952981050376</v>
      </c>
      <c r="AT355" s="17" t="n">
        <f aca="false">SQRT(($B355-AT$270)^2+($C355-AT$271)^2+($D355-AT$272)^2)</f>
        <v>1.41804287023938</v>
      </c>
      <c r="AU355" s="17" t="n">
        <f aca="false">SQRT(($B355-AU$270)^2+($C355-AU$271)^2+($D355-AU$272)^2)</f>
        <v>1.81516932892553</v>
      </c>
      <c r="AV355" s="17" t="n">
        <f aca="false">SQRT(($B355-AV$270)^2+($C355-AV$271)^2+($D355-AV$272)^2)</f>
        <v>0.527101847434363</v>
      </c>
      <c r="AW355" s="17" t="n">
        <f aca="false">SQRT(($B355-AW$270)^2+($C355-AW$271)^2+($D355-AW$272)^2)</f>
        <v>4.15734288814745</v>
      </c>
      <c r="AX355" s="63" t="n">
        <f aca="false">MATCH(MIN(AS355:AW355),AS355:AW355,0)</f>
        <v>4</v>
      </c>
      <c r="AZ355" s="17" t="n">
        <f aca="false">SQRT(($B355-AZ$270)^2+($C355-AZ$271)^2+($D355-AZ$272)^2)</f>
        <v>6.68952981050376</v>
      </c>
      <c r="BA355" s="17" t="n">
        <f aca="false">SQRT(($B355-BA$270)^2+($C355-BA$271)^2+($D355-BA$272)^2)</f>
        <v>1.41804287023938</v>
      </c>
      <c r="BB355" s="17" t="n">
        <f aca="false">SQRT(($B355-BB$270)^2+($C355-BB$271)^2+($D355-BB$272)^2)</f>
        <v>1.81516932892553</v>
      </c>
      <c r="BC355" s="17" t="n">
        <f aca="false">SQRT(($B355-BC$270)^2+($C355-BC$271)^2+($D355-BC$272)^2)</f>
        <v>0.527101847434363</v>
      </c>
      <c r="BD355" s="17" t="n">
        <f aca="false">SQRT(($B355-BD$270)^2+($C355-BD$271)^2+($D355-BD$272)^2)</f>
        <v>4.15734288814745</v>
      </c>
      <c r="BE355" s="63" t="n">
        <f aca="false">MATCH(MIN(AZ355:BD355),AZ355:BD355,0)</f>
        <v>4</v>
      </c>
      <c r="BG355" s="17" t="n">
        <f aca="false">SQRT(($B355-BG$270)^2+($C355-BG$271)^2+($D355-BG$272)^2)</f>
        <v>6.68952981050376</v>
      </c>
      <c r="BH355" s="17" t="n">
        <f aca="false">SQRT(($B355-BH$270)^2+($C355-BH$271)^2+($D355-BH$272)^2)</f>
        <v>1.41804287023938</v>
      </c>
      <c r="BI355" s="17" t="n">
        <f aca="false">SQRT(($B355-BI$270)^2+($C355-BI$271)^2+($D355-BI$272)^2)</f>
        <v>1.81516932892553</v>
      </c>
      <c r="BJ355" s="17" t="n">
        <f aca="false">SQRT(($B355-BJ$270)^2+($C355-BJ$271)^2+($D355-BJ$272)^2)</f>
        <v>0.527101847434363</v>
      </c>
      <c r="BK355" s="17" t="n">
        <f aca="false">SQRT(($B355-BK$270)^2+($C355-BK$271)^2+($D355-BK$272)^2)</f>
        <v>4.15734288814745</v>
      </c>
      <c r="BL355" s="63" t="n">
        <f aca="false">MATCH(MIN(BG355:BK355),BG355:BK355,0)</f>
        <v>4</v>
      </c>
      <c r="BN355" s="17" t="n">
        <f aca="false">SQRT(($B355-BN$270)^2+($C355-BN$271)^2+($D355-BN$272)^2)</f>
        <v>6.68952981050376</v>
      </c>
      <c r="BO355" s="17" t="n">
        <f aca="false">SQRT(($B355-BO$270)^2+($C355-BO$271)^2+($D355-BO$272)^2)</f>
        <v>1.41804287023938</v>
      </c>
      <c r="BP355" s="17" t="n">
        <f aca="false">SQRT(($B355-BP$270)^2+($C355-BP$271)^2+($D355-BP$272)^2)</f>
        <v>1.81516932892553</v>
      </c>
      <c r="BQ355" s="17" t="n">
        <f aca="false">SQRT(($B355-BQ$270)^2+($C355-BQ$271)^2+($D355-BQ$272)^2)</f>
        <v>0.527101847434363</v>
      </c>
      <c r="BR355" s="17" t="n">
        <f aca="false">SQRT(($B355-BR$270)^2+($C355-BR$271)^2+($D355-BR$272)^2)</f>
        <v>4.15734288814745</v>
      </c>
      <c r="BS355" s="63" t="n">
        <f aca="false">MATCH(MIN(BN355:BR355),BN355:BR355,0)</f>
        <v>4</v>
      </c>
      <c r="BU355" s="17" t="n">
        <f aca="false">SQRT(($B355-BU$270)^2+($C355-BU$271)^2+($D355-BU$272)^2)</f>
        <v>6.68952981050376</v>
      </c>
      <c r="BV355" s="17" t="n">
        <f aca="false">SQRT(($B355-BV$270)^2+($C355-BV$271)^2+($D355-BV$272)^2)</f>
        <v>1.41804287023938</v>
      </c>
      <c r="BW355" s="17" t="n">
        <f aca="false">SQRT(($B355-BW$270)^2+($C355-BW$271)^2+($D355-BW$272)^2)</f>
        <v>1.81516932892553</v>
      </c>
      <c r="BX355" s="17" t="n">
        <f aca="false">SQRT(($B355-BX$270)^2+($C355-BX$271)^2+($D355-BX$272)^2)</f>
        <v>0.527101847434363</v>
      </c>
      <c r="BY355" s="17" t="n">
        <f aca="false">SQRT(($B355-BY$270)^2+($C355-BY$271)^2+($D355-BY$272)^2)</f>
        <v>4.15734288814745</v>
      </c>
      <c r="BZ355" s="63" t="n">
        <f aca="false">MATCH(MIN(BU355:BY355),BU355:BY355,0)</f>
        <v>4</v>
      </c>
      <c r="CB355" s="17" t="n">
        <f aca="false">SQRT(($B355-CB$270)^2+($C355-CB$271)^2+($D355-CB$272)^2)</f>
        <v>6.68952981050376</v>
      </c>
      <c r="CC355" s="17" t="n">
        <f aca="false">SQRT(($B355-CC$270)^2+($C355-CC$271)^2+($D355-CC$272)^2)</f>
        <v>1.41804287023938</v>
      </c>
      <c r="CD355" s="17" t="n">
        <f aca="false">SQRT(($B355-CD$270)^2+($C355-CD$271)^2+($D355-CD$272)^2)</f>
        <v>1.81516932892553</v>
      </c>
      <c r="CE355" s="17" t="n">
        <f aca="false">SQRT(($B355-CE$270)^2+($C355-CE$271)^2+($D355-CE$272)^2)</f>
        <v>0.527101847434363</v>
      </c>
      <c r="CF355" s="17" t="n">
        <f aca="false">SQRT(($B355-CF$270)^2+($C355-CF$271)^2+($D355-CF$272)^2)</f>
        <v>4.15734288814745</v>
      </c>
      <c r="CG355" s="63" t="n">
        <f aca="false">MATCH(MIN(CB355:CF355),CB355:CF355,0)</f>
        <v>4</v>
      </c>
      <c r="CI355" s="17" t="n">
        <f aca="false">SQRT(($B355-CI$270)^2+($C355-CI$271)^2+($D355-CI$272)^2)</f>
        <v>6.68952981050376</v>
      </c>
      <c r="CJ355" s="17" t="n">
        <f aca="false">SQRT(($B355-CJ$270)^2+($C355-CJ$271)^2+($D355-CJ$272)^2)</f>
        <v>1.41804287023938</v>
      </c>
      <c r="CK355" s="17" t="n">
        <f aca="false">SQRT(($B355-CK$270)^2+($C355-CK$271)^2+($D355-CK$272)^2)</f>
        <v>1.81516932892553</v>
      </c>
      <c r="CL355" s="17" t="n">
        <f aca="false">SQRT(($B355-CL$270)^2+($C355-CL$271)^2+($D355-CL$272)^2)</f>
        <v>0.527101847434363</v>
      </c>
      <c r="CM355" s="17" t="n">
        <f aca="false">SQRT(($B355-CM$270)^2+($C355-CM$271)^2+($D355-CM$272)^2)</f>
        <v>4.15734288814745</v>
      </c>
      <c r="CN355" s="63" t="n">
        <f aca="false">MATCH(MIN(CI355:CM355),CI355:CM355,0)</f>
        <v>4</v>
      </c>
      <c r="CP355" s="17" t="n">
        <f aca="false">SQRT(($B355-CP$270)^2+($C355-CP$271)^2+($D355-CP$272)^2)</f>
        <v>6.68952981050376</v>
      </c>
      <c r="CQ355" s="17" t="n">
        <f aca="false">SQRT(($B355-CQ$270)^2+($C355-CQ$271)^2+($D355-CQ$272)^2)</f>
        <v>1.41804287023938</v>
      </c>
      <c r="CR355" s="17" t="n">
        <f aca="false">SQRT(($B355-CR$270)^2+($C355-CR$271)^2+($D355-CR$272)^2)</f>
        <v>1.81516932892553</v>
      </c>
      <c r="CS355" s="17" t="n">
        <f aca="false">SQRT(($B355-CS$270)^2+($C355-CS$271)^2+($D355-CS$272)^2)</f>
        <v>0.527101847434363</v>
      </c>
      <c r="CT355" s="17" t="n">
        <f aca="false">SQRT(($B355-CT$270)^2+($C355-CT$271)^2+($D355-CT$272)^2)</f>
        <v>4.15734288814745</v>
      </c>
      <c r="CU355" s="63" t="n">
        <f aca="false">MATCH(MIN(CP355:CT355),CP355:CT355,0)</f>
        <v>4</v>
      </c>
      <c r="CW355" s="17" t="n">
        <f aca="false">SQRT(($B355-CW$270)^2+($C355-CW$271)^2+($D355-CW$272)^2)</f>
        <v>6.68952981050376</v>
      </c>
      <c r="CX355" s="17" t="n">
        <f aca="false">SQRT(($B355-CX$270)^2+($C355-CX$271)^2+($D355-CX$272)^2)</f>
        <v>1.41804287023938</v>
      </c>
      <c r="CY355" s="17" t="n">
        <f aca="false">SQRT(($B355-CY$270)^2+($C355-CY$271)^2+($D355-CY$272)^2)</f>
        <v>1.81516932892553</v>
      </c>
      <c r="CZ355" s="17" t="n">
        <f aca="false">SQRT(($B355-CZ$270)^2+($C355-CZ$271)^2+($D355-CZ$272)^2)</f>
        <v>0.527101847434363</v>
      </c>
      <c r="DA355" s="17" t="n">
        <f aca="false">SQRT(($B355-DA$270)^2+($C355-DA$271)^2+($D355-DA$272)^2)</f>
        <v>4.15734288814745</v>
      </c>
      <c r="DB355" s="63" t="n">
        <f aca="false">MATCH(MIN(CW355:DA355),CW355:DA355,0)</f>
        <v>4</v>
      </c>
    </row>
    <row r="356" customFormat="false" ht="15" hidden="false" customHeight="false" outlineLevel="0" collapsed="false">
      <c r="A356" s="36" t="str">
        <f aca="false">KMeans_Data!A84</f>
        <v>Hangu</v>
      </c>
      <c r="B356" s="17" t="n">
        <f aca="false">KMeans_Data!H84</f>
        <v>-0.404409624645938</v>
      </c>
      <c r="C356" s="17" t="n">
        <f aca="false">KMeans_Data!I84</f>
        <v>-0.146983133929529</v>
      </c>
      <c r="D356" s="17" t="n">
        <f aca="false">KMeans_Data!J84</f>
        <v>0.139148285405597</v>
      </c>
      <c r="E356" s="63" t="n">
        <f aca="false">DB356</f>
        <v>4</v>
      </c>
      <c r="F356" s="38" t="n">
        <f aca="false">($B356-INDEX($L$270:$P$270,E356))^2+($C356-INDEX($L$271:$P$271,E356))^2+($D356-INDEX($L$272:$P$272,E356))^2</f>
        <v>0.470847837759788</v>
      </c>
      <c r="G356" s="17" t="n">
        <f aca="false">IF(COUNTIF(Distance_Matrix!$E$11:$DQ$11,$E356)&lt;=1,0,SUMIF(Distance_Matrix!$E$11:$DQ$11,$E356,Distance_Matrix!$E$93:$DQ$93)/(COUNTIF(Distance_Matrix!$E$11:$DQ$11,$E356)-1))</f>
        <v>0.96819955802068</v>
      </c>
      <c r="H356" s="17" t="n">
        <f aca="false">MIN(IF(1=$E356,1E+099,IF(COUNTIF(Distance_Matrix!$E$11:$DQ$11,1)=0,1E+099,SUMIF(Distance_Matrix!$E$11:$DQ$11,1,Distance_Matrix!$E$93:$DQ$93)/COUNTIF(Distance_Matrix!$E$11:$DQ$11,1))),IF(2=$E356,1E+099,IF(COUNTIF(Distance_Matrix!$E$11:$DQ$11,2)=0,1E+099,SUMIF(Distance_Matrix!$E$11:$DQ$11,2,Distance_Matrix!$E$93:$DQ$93)/COUNTIF(Distance_Matrix!$E$11:$DQ$11,2))),IF(3=$E356,1E+099,IF(COUNTIF(Distance_Matrix!$E$11:$DQ$11,3)=0,1E+099,SUMIF(Distance_Matrix!$E$11:$DQ$11,3,Distance_Matrix!$E$93:$DQ$93)/COUNTIF(Distance_Matrix!$E$11:$DQ$11,3))),IF(4=$E356,1E+099,IF(COUNTIF(Distance_Matrix!$E$11:$DQ$11,4)=0,1E+099,SUMIF(Distance_Matrix!$E$11:$DQ$11,4,Distance_Matrix!$E$93:$DQ$93)/COUNTIF(Distance_Matrix!$E$11:$DQ$11,4))),IF(5=$E356,1E+099,IF(COUNTIF(Distance_Matrix!$E$11:$DQ$11,5)=0,1E+099,SUMIF(Distance_Matrix!$E$11:$DQ$11,5,Distance_Matrix!$E$93:$DQ$93)/COUNTIF(Distance_Matrix!$E$11:$DQ$11,5))))</f>
        <v>1.5653680450259</v>
      </c>
      <c r="I356" s="17" t="n">
        <f aca="false">IF(COUNTIF(Distance_Matrix!$E$11:$DQ$11,$E356)&lt;=1,0,(H356-G356)/MAX(G356,H356))</f>
        <v>0.381487592584235</v>
      </c>
      <c r="X356" s="17" t="n">
        <f aca="false">SQRT(($B356-X$270)^2+($C356-X$271)^2+($D356-X$272)^2)</f>
        <v>6.38345263270034</v>
      </c>
      <c r="Y356" s="17" t="n">
        <f aca="false">SQRT(($B356-Y$270)^2+($C356-Y$271)^2+($D356-Y$272)^2)</f>
        <v>2.17571662845419</v>
      </c>
      <c r="Z356" s="17" t="n">
        <f aca="false">SQRT(($B356-Z$270)^2+($C356-Z$271)^2+($D356-Z$272)^2)</f>
        <v>2.03155178865032</v>
      </c>
      <c r="AA356" s="17" t="n">
        <f aca="false">SQRT(($B356-AA$270)^2+($C356-AA$271)^2+($D356-AA$272)^2)</f>
        <v>1.65932671807592</v>
      </c>
      <c r="AB356" s="17" t="n">
        <f aca="false">SQRT(($B356-AB$270)^2+($C356-AB$271)^2+($D356-AB$272)^2)</f>
        <v>4.31431775702019</v>
      </c>
      <c r="AC356" s="63" t="n">
        <f aca="false">MATCH(MIN(X356:AB356),X356:AB356,0)</f>
        <v>4</v>
      </c>
      <c r="AE356" s="17" t="n">
        <f aca="false">SQRT(($B356-AE$270)^2+($C356-AE$271)^2+($D356-AE$272)^2)</f>
        <v>6.28151102222629</v>
      </c>
      <c r="AF356" s="17" t="n">
        <f aca="false">SQRT(($B356-AF$270)^2+($C356-AF$271)^2+($D356-AF$272)^2)</f>
        <v>1.45296442307289</v>
      </c>
      <c r="AG356" s="17" t="n">
        <f aca="false">SQRT(($B356-AG$270)^2+($C356-AG$271)^2+($D356-AG$272)^2)</f>
        <v>1.35104014640753</v>
      </c>
      <c r="AH356" s="17" t="n">
        <f aca="false">SQRT(($B356-AH$270)^2+($C356-AH$271)^2+($D356-AH$272)^2)</f>
        <v>0.812840179489776</v>
      </c>
      <c r="AI356" s="17" t="n">
        <f aca="false">SQRT(($B356-AI$270)^2+($C356-AI$271)^2+($D356-AI$272)^2)</f>
        <v>4.02109145039372</v>
      </c>
      <c r="AJ356" s="63" t="n">
        <f aca="false">MATCH(MIN(AE356:AI356),AE356:AI356,0)</f>
        <v>4</v>
      </c>
      <c r="AL356" s="17" t="n">
        <f aca="false">SQRT(($B356-AL$270)^2+($C356-AL$271)^2+($D356-AL$272)^2)</f>
        <v>6.28151102222629</v>
      </c>
      <c r="AM356" s="17" t="n">
        <f aca="false">SQRT(($B356-AM$270)^2+($C356-AM$271)^2+($D356-AM$272)^2)</f>
        <v>1.48572151955482</v>
      </c>
      <c r="AN356" s="17" t="n">
        <f aca="false">SQRT(($B356-AN$270)^2+($C356-AN$271)^2+($D356-AN$272)^2)</f>
        <v>1.42190430090669</v>
      </c>
      <c r="AO356" s="17" t="n">
        <f aca="false">SQRT(($B356-AO$270)^2+($C356-AO$271)^2+($D356-AO$272)^2)</f>
        <v>0.725156880201787</v>
      </c>
      <c r="AP356" s="17" t="n">
        <f aca="false">SQRT(($B356-AP$270)^2+($C356-AP$271)^2+($D356-AP$272)^2)</f>
        <v>3.74744978385258</v>
      </c>
      <c r="AQ356" s="63" t="n">
        <f aca="false">MATCH(MIN(AL356:AP356),AL356:AP356,0)</f>
        <v>4</v>
      </c>
      <c r="AS356" s="17" t="n">
        <f aca="false">SQRT(($B356-AS$270)^2+($C356-AS$271)^2+($D356-AS$272)^2)</f>
        <v>6.28151102222629</v>
      </c>
      <c r="AT356" s="17" t="n">
        <f aca="false">SQRT(($B356-AT$270)^2+($C356-AT$271)^2+($D356-AT$272)^2)</f>
        <v>1.5777326363416</v>
      </c>
      <c r="AU356" s="17" t="n">
        <f aca="false">SQRT(($B356-AU$270)^2+($C356-AU$271)^2+($D356-AU$272)^2)</f>
        <v>1.44934857843488</v>
      </c>
      <c r="AV356" s="17" t="n">
        <f aca="false">SQRT(($B356-AV$270)^2+($C356-AV$271)^2+($D356-AV$272)^2)</f>
        <v>0.686183530667844</v>
      </c>
      <c r="AW356" s="17" t="n">
        <f aca="false">SQRT(($B356-AW$270)^2+($C356-AW$271)^2+($D356-AW$272)^2)</f>
        <v>3.74744978385258</v>
      </c>
      <c r="AX356" s="63" t="n">
        <f aca="false">MATCH(MIN(AS356:AW356),AS356:AW356,0)</f>
        <v>4</v>
      </c>
      <c r="AZ356" s="17" t="n">
        <f aca="false">SQRT(($B356-AZ$270)^2+($C356-AZ$271)^2+($D356-AZ$272)^2)</f>
        <v>6.28151102222629</v>
      </c>
      <c r="BA356" s="17" t="n">
        <f aca="false">SQRT(($B356-BA$270)^2+($C356-BA$271)^2+($D356-BA$272)^2)</f>
        <v>1.5777326363416</v>
      </c>
      <c r="BB356" s="17" t="n">
        <f aca="false">SQRT(($B356-BB$270)^2+($C356-BB$271)^2+($D356-BB$272)^2)</f>
        <v>1.44934857843488</v>
      </c>
      <c r="BC356" s="17" t="n">
        <f aca="false">SQRT(($B356-BC$270)^2+($C356-BC$271)^2+($D356-BC$272)^2)</f>
        <v>0.686183530667844</v>
      </c>
      <c r="BD356" s="17" t="n">
        <f aca="false">SQRT(($B356-BD$270)^2+($C356-BD$271)^2+($D356-BD$272)^2)</f>
        <v>3.74744978385258</v>
      </c>
      <c r="BE356" s="63" t="n">
        <f aca="false">MATCH(MIN(AZ356:BD356),AZ356:BD356,0)</f>
        <v>4</v>
      </c>
      <c r="BG356" s="17" t="n">
        <f aca="false">SQRT(($B356-BG$270)^2+($C356-BG$271)^2+($D356-BG$272)^2)</f>
        <v>6.28151102222629</v>
      </c>
      <c r="BH356" s="17" t="n">
        <f aca="false">SQRT(($B356-BH$270)^2+($C356-BH$271)^2+($D356-BH$272)^2)</f>
        <v>1.5777326363416</v>
      </c>
      <c r="BI356" s="17" t="n">
        <f aca="false">SQRT(($B356-BI$270)^2+($C356-BI$271)^2+($D356-BI$272)^2)</f>
        <v>1.44934857843488</v>
      </c>
      <c r="BJ356" s="17" t="n">
        <f aca="false">SQRT(($B356-BJ$270)^2+($C356-BJ$271)^2+($D356-BJ$272)^2)</f>
        <v>0.686183530667844</v>
      </c>
      <c r="BK356" s="17" t="n">
        <f aca="false">SQRT(($B356-BK$270)^2+($C356-BK$271)^2+($D356-BK$272)^2)</f>
        <v>3.74744978385258</v>
      </c>
      <c r="BL356" s="63" t="n">
        <f aca="false">MATCH(MIN(BG356:BK356),BG356:BK356,0)</f>
        <v>4</v>
      </c>
      <c r="BN356" s="17" t="n">
        <f aca="false">SQRT(($B356-BN$270)^2+($C356-BN$271)^2+($D356-BN$272)^2)</f>
        <v>6.28151102222629</v>
      </c>
      <c r="BO356" s="17" t="n">
        <f aca="false">SQRT(($B356-BO$270)^2+($C356-BO$271)^2+($D356-BO$272)^2)</f>
        <v>1.5777326363416</v>
      </c>
      <c r="BP356" s="17" t="n">
        <f aca="false">SQRT(($B356-BP$270)^2+($C356-BP$271)^2+($D356-BP$272)^2)</f>
        <v>1.44934857843488</v>
      </c>
      <c r="BQ356" s="17" t="n">
        <f aca="false">SQRT(($B356-BQ$270)^2+($C356-BQ$271)^2+($D356-BQ$272)^2)</f>
        <v>0.686183530667844</v>
      </c>
      <c r="BR356" s="17" t="n">
        <f aca="false">SQRT(($B356-BR$270)^2+($C356-BR$271)^2+($D356-BR$272)^2)</f>
        <v>3.74744978385258</v>
      </c>
      <c r="BS356" s="63" t="n">
        <f aca="false">MATCH(MIN(BN356:BR356),BN356:BR356,0)</f>
        <v>4</v>
      </c>
      <c r="BU356" s="17" t="n">
        <f aca="false">SQRT(($B356-BU$270)^2+($C356-BU$271)^2+($D356-BU$272)^2)</f>
        <v>6.28151102222629</v>
      </c>
      <c r="BV356" s="17" t="n">
        <f aca="false">SQRT(($B356-BV$270)^2+($C356-BV$271)^2+($D356-BV$272)^2)</f>
        <v>1.5777326363416</v>
      </c>
      <c r="BW356" s="17" t="n">
        <f aca="false">SQRT(($B356-BW$270)^2+($C356-BW$271)^2+($D356-BW$272)^2)</f>
        <v>1.44934857843488</v>
      </c>
      <c r="BX356" s="17" t="n">
        <f aca="false">SQRT(($B356-BX$270)^2+($C356-BX$271)^2+($D356-BX$272)^2)</f>
        <v>0.686183530667844</v>
      </c>
      <c r="BY356" s="17" t="n">
        <f aca="false">SQRT(($B356-BY$270)^2+($C356-BY$271)^2+($D356-BY$272)^2)</f>
        <v>3.74744978385258</v>
      </c>
      <c r="BZ356" s="63" t="n">
        <f aca="false">MATCH(MIN(BU356:BY356),BU356:BY356,0)</f>
        <v>4</v>
      </c>
      <c r="CB356" s="17" t="n">
        <f aca="false">SQRT(($B356-CB$270)^2+($C356-CB$271)^2+($D356-CB$272)^2)</f>
        <v>6.28151102222629</v>
      </c>
      <c r="CC356" s="17" t="n">
        <f aca="false">SQRT(($B356-CC$270)^2+($C356-CC$271)^2+($D356-CC$272)^2)</f>
        <v>1.5777326363416</v>
      </c>
      <c r="CD356" s="17" t="n">
        <f aca="false">SQRT(($B356-CD$270)^2+($C356-CD$271)^2+($D356-CD$272)^2)</f>
        <v>1.44934857843488</v>
      </c>
      <c r="CE356" s="17" t="n">
        <f aca="false">SQRT(($B356-CE$270)^2+($C356-CE$271)^2+($D356-CE$272)^2)</f>
        <v>0.686183530667844</v>
      </c>
      <c r="CF356" s="17" t="n">
        <f aca="false">SQRT(($B356-CF$270)^2+($C356-CF$271)^2+($D356-CF$272)^2)</f>
        <v>3.74744978385258</v>
      </c>
      <c r="CG356" s="63" t="n">
        <f aca="false">MATCH(MIN(CB356:CF356),CB356:CF356,0)</f>
        <v>4</v>
      </c>
      <c r="CI356" s="17" t="n">
        <f aca="false">SQRT(($B356-CI$270)^2+($C356-CI$271)^2+($D356-CI$272)^2)</f>
        <v>6.28151102222629</v>
      </c>
      <c r="CJ356" s="17" t="n">
        <f aca="false">SQRT(($B356-CJ$270)^2+($C356-CJ$271)^2+($D356-CJ$272)^2)</f>
        <v>1.5777326363416</v>
      </c>
      <c r="CK356" s="17" t="n">
        <f aca="false">SQRT(($B356-CK$270)^2+($C356-CK$271)^2+($D356-CK$272)^2)</f>
        <v>1.44934857843488</v>
      </c>
      <c r="CL356" s="17" t="n">
        <f aca="false">SQRT(($B356-CL$270)^2+($C356-CL$271)^2+($D356-CL$272)^2)</f>
        <v>0.686183530667844</v>
      </c>
      <c r="CM356" s="17" t="n">
        <f aca="false">SQRT(($B356-CM$270)^2+($C356-CM$271)^2+($D356-CM$272)^2)</f>
        <v>3.74744978385258</v>
      </c>
      <c r="CN356" s="63" t="n">
        <f aca="false">MATCH(MIN(CI356:CM356),CI356:CM356,0)</f>
        <v>4</v>
      </c>
      <c r="CP356" s="17" t="n">
        <f aca="false">SQRT(($B356-CP$270)^2+($C356-CP$271)^2+($D356-CP$272)^2)</f>
        <v>6.28151102222629</v>
      </c>
      <c r="CQ356" s="17" t="n">
        <f aca="false">SQRT(($B356-CQ$270)^2+($C356-CQ$271)^2+($D356-CQ$272)^2)</f>
        <v>1.5777326363416</v>
      </c>
      <c r="CR356" s="17" t="n">
        <f aca="false">SQRT(($B356-CR$270)^2+($C356-CR$271)^2+($D356-CR$272)^2)</f>
        <v>1.44934857843488</v>
      </c>
      <c r="CS356" s="17" t="n">
        <f aca="false">SQRT(($B356-CS$270)^2+($C356-CS$271)^2+($D356-CS$272)^2)</f>
        <v>0.686183530667844</v>
      </c>
      <c r="CT356" s="17" t="n">
        <f aca="false">SQRT(($B356-CT$270)^2+($C356-CT$271)^2+($D356-CT$272)^2)</f>
        <v>3.74744978385258</v>
      </c>
      <c r="CU356" s="63" t="n">
        <f aca="false">MATCH(MIN(CP356:CT356),CP356:CT356,0)</f>
        <v>4</v>
      </c>
      <c r="CW356" s="17" t="n">
        <f aca="false">SQRT(($B356-CW$270)^2+($C356-CW$271)^2+($D356-CW$272)^2)</f>
        <v>6.28151102222629</v>
      </c>
      <c r="CX356" s="17" t="n">
        <f aca="false">SQRT(($B356-CX$270)^2+($C356-CX$271)^2+($D356-CX$272)^2)</f>
        <v>1.5777326363416</v>
      </c>
      <c r="CY356" s="17" t="n">
        <f aca="false">SQRT(($B356-CY$270)^2+($C356-CY$271)^2+($D356-CY$272)^2)</f>
        <v>1.44934857843488</v>
      </c>
      <c r="CZ356" s="17" t="n">
        <f aca="false">SQRT(($B356-CZ$270)^2+($C356-CZ$271)^2+($D356-CZ$272)^2)</f>
        <v>0.686183530667844</v>
      </c>
      <c r="DA356" s="17" t="n">
        <f aca="false">SQRT(($B356-DA$270)^2+($C356-DA$271)^2+($D356-DA$272)^2)</f>
        <v>3.74744978385258</v>
      </c>
      <c r="DB356" s="63" t="n">
        <f aca="false">MATCH(MIN(CW356:DA356),CW356:DA356,0)</f>
        <v>4</v>
      </c>
    </row>
    <row r="357" customFormat="false" ht="15" hidden="false" customHeight="false" outlineLevel="0" collapsed="false">
      <c r="A357" s="36" t="str">
        <f aca="false">KMeans_Data!A85</f>
        <v>Mohmand</v>
      </c>
      <c r="B357" s="17" t="n">
        <f aca="false">KMeans_Data!H85</f>
        <v>-0.470943061763014</v>
      </c>
      <c r="C357" s="17" t="n">
        <f aca="false">KMeans_Data!I85</f>
        <v>-0.146983133929529</v>
      </c>
      <c r="D357" s="17" t="n">
        <f aca="false">KMeans_Data!J85</f>
        <v>-0.399845222909568</v>
      </c>
      <c r="E357" s="63" t="n">
        <f aca="false">DB357</f>
        <v>4</v>
      </c>
      <c r="F357" s="38" t="n">
        <f aca="false">($B357-INDEX($L$270:$P$270,E357))^2+($C357-INDEX($L$271:$P$271,E357))^2+($D357-INDEX($L$272:$P$272,E357))^2</f>
        <v>0.248151051671832</v>
      </c>
      <c r="G357" s="17" t="n">
        <f aca="false">IF(COUNTIF(Distance_Matrix!$E$11:$DQ$11,$E357)&lt;=1,0,SUMIF(Distance_Matrix!$E$11:$DQ$11,$E357,Distance_Matrix!$E$94:$DQ$94)/(COUNTIF(Distance_Matrix!$E$11:$DQ$11,$E357)-1))</f>
        <v>0.893252403815331</v>
      </c>
      <c r="H357" s="17" t="n">
        <f aca="false">MIN(IF(1=$E357,1E+099,IF(COUNTIF(Distance_Matrix!$E$11:$DQ$11,1)=0,1E+099,SUMIF(Distance_Matrix!$E$11:$DQ$11,1,Distance_Matrix!$E$94:$DQ$94)/COUNTIF(Distance_Matrix!$E$11:$DQ$11,1))),IF(2=$E357,1E+099,IF(COUNTIF(Distance_Matrix!$E$11:$DQ$11,2)=0,1E+099,SUMIF(Distance_Matrix!$E$11:$DQ$11,2,Distance_Matrix!$E$94:$DQ$94)/COUNTIF(Distance_Matrix!$E$11:$DQ$11,2))),IF(3=$E357,1E+099,IF(COUNTIF(Distance_Matrix!$E$11:$DQ$11,3)=0,1E+099,SUMIF(Distance_Matrix!$E$11:$DQ$11,3,Distance_Matrix!$E$94:$DQ$94)/COUNTIF(Distance_Matrix!$E$11:$DQ$11,3))),IF(4=$E357,1E+099,IF(COUNTIF(Distance_Matrix!$E$11:$DQ$11,4)=0,1E+099,SUMIF(Distance_Matrix!$E$11:$DQ$11,4,Distance_Matrix!$E$94:$DQ$94)/COUNTIF(Distance_Matrix!$E$11:$DQ$11,4))),IF(5=$E357,1E+099,IF(COUNTIF(Distance_Matrix!$E$11:$DQ$11,5)=0,1E+099,SUMIF(Distance_Matrix!$E$11:$DQ$11,5,Distance_Matrix!$E$94:$DQ$94)/COUNTIF(Distance_Matrix!$E$11:$DQ$11,5))))</f>
        <v>1.21124119820962</v>
      </c>
      <c r="I357" s="17" t="n">
        <f aca="false">IF(COUNTIF(Distance_Matrix!$E$11:$DQ$11,$E357)&lt;=1,0,(H357-G357)/MAX(G357,H357))</f>
        <v>0.262531356152944</v>
      </c>
      <c r="X357" s="17" t="n">
        <f aca="false">SQRT(($B357-X$270)^2+($C357-X$271)^2+($D357-X$272)^2)</f>
        <v>6.6999482057459</v>
      </c>
      <c r="Y357" s="17" t="n">
        <f aca="false">SQRT(($B357-Y$270)^2+($C357-Y$271)^2+($D357-Y$272)^2)</f>
        <v>1.84953056521099</v>
      </c>
      <c r="Z357" s="17" t="n">
        <f aca="false">SQRT(($B357-Z$270)^2+($C357-Z$271)^2+($D357-Z$272)^2)</f>
        <v>2.45948554295477</v>
      </c>
      <c r="AA357" s="17" t="n">
        <f aca="false">SQRT(($B357-AA$270)^2+($C357-AA$271)^2+($D357-AA$272)^2)</f>
        <v>1.34277606092541</v>
      </c>
      <c r="AB357" s="17" t="n">
        <f aca="false">SQRT(($B357-AB$270)^2+($C357-AB$271)^2+($D357-AB$272)^2)</f>
        <v>4.65661908028355</v>
      </c>
      <c r="AC357" s="63" t="n">
        <f aca="false">MATCH(MIN(X357:AB357),X357:AB357,0)</f>
        <v>4</v>
      </c>
      <c r="AE357" s="17" t="n">
        <f aca="false">SQRT(($B357-AE$270)^2+($C357-AE$271)^2+($D357-AE$272)^2)</f>
        <v>6.57937685728038</v>
      </c>
      <c r="AF357" s="17" t="n">
        <f aca="false">SQRT(($B357-AF$270)^2+($C357-AF$271)^2+($D357-AF$272)^2)</f>
        <v>1.06610011878229</v>
      </c>
      <c r="AG357" s="17" t="n">
        <f aca="false">SQRT(($B357-AG$270)^2+($C357-AG$271)^2+($D357-AG$272)^2)</f>
        <v>1.7346428528312</v>
      </c>
      <c r="AH357" s="17" t="n">
        <f aca="false">SQRT(($B357-AH$270)^2+($C357-AH$271)^2+($D357-AH$272)^2)</f>
        <v>0.545091760966876</v>
      </c>
      <c r="AI357" s="17" t="n">
        <f aca="false">SQRT(($B357-AI$270)^2+($C357-AI$271)^2+($D357-AI$272)^2)</f>
        <v>4.30975991160048</v>
      </c>
      <c r="AJ357" s="63" t="n">
        <f aca="false">MATCH(MIN(AE357:AI357),AE357:AI357,0)</f>
        <v>4</v>
      </c>
      <c r="AL357" s="17" t="n">
        <f aca="false">SQRT(($B357-AL$270)^2+($C357-AL$271)^2+($D357-AL$272)^2)</f>
        <v>6.57937685728038</v>
      </c>
      <c r="AM357" s="17" t="n">
        <f aca="false">SQRT(($B357-AM$270)^2+($C357-AM$271)^2+($D357-AM$272)^2)</f>
        <v>1.08613052827215</v>
      </c>
      <c r="AN357" s="17" t="n">
        <f aca="false">SQRT(($B357-AN$270)^2+($C357-AN$271)^2+($D357-AN$272)^2)</f>
        <v>1.7917285041119</v>
      </c>
      <c r="AO357" s="17" t="n">
        <f aca="false">SQRT(($B357-AO$270)^2+($C357-AO$271)^2+($D357-AO$272)^2)</f>
        <v>0.533989382064125</v>
      </c>
      <c r="AP357" s="17" t="n">
        <f aca="false">SQRT(($B357-AP$270)^2+($C357-AP$271)^2+($D357-AP$272)^2)</f>
        <v>4.035911605761</v>
      </c>
      <c r="AQ357" s="63" t="n">
        <f aca="false">MATCH(MIN(AL357:AP357),AL357:AP357,0)</f>
        <v>4</v>
      </c>
      <c r="AS357" s="17" t="n">
        <f aca="false">SQRT(($B357-AS$270)^2+($C357-AS$271)^2+($D357-AS$272)^2)</f>
        <v>6.57937685728038</v>
      </c>
      <c r="AT357" s="17" t="n">
        <f aca="false">SQRT(($B357-AT$270)^2+($C357-AT$271)^2+($D357-AT$272)^2)</f>
        <v>1.16631891230302</v>
      </c>
      <c r="AU357" s="17" t="n">
        <f aca="false">SQRT(($B357-AU$270)^2+($C357-AU$271)^2+($D357-AU$272)^2)</f>
        <v>1.81906759420305</v>
      </c>
      <c r="AV357" s="17" t="n">
        <f aca="false">SQRT(($B357-AV$270)^2+($C357-AV$271)^2+($D357-AV$272)^2)</f>
        <v>0.498147620361507</v>
      </c>
      <c r="AW357" s="17" t="n">
        <f aca="false">SQRT(($B357-AW$270)^2+($C357-AW$271)^2+($D357-AW$272)^2)</f>
        <v>4.035911605761</v>
      </c>
      <c r="AX357" s="63" t="n">
        <f aca="false">MATCH(MIN(AS357:AW357),AS357:AW357,0)</f>
        <v>4</v>
      </c>
      <c r="AZ357" s="17" t="n">
        <f aca="false">SQRT(($B357-AZ$270)^2+($C357-AZ$271)^2+($D357-AZ$272)^2)</f>
        <v>6.57937685728038</v>
      </c>
      <c r="BA357" s="17" t="n">
        <f aca="false">SQRT(($B357-BA$270)^2+($C357-BA$271)^2+($D357-BA$272)^2)</f>
        <v>1.16631891230302</v>
      </c>
      <c r="BB357" s="17" t="n">
        <f aca="false">SQRT(($B357-BB$270)^2+($C357-BB$271)^2+($D357-BB$272)^2)</f>
        <v>1.81906759420305</v>
      </c>
      <c r="BC357" s="17" t="n">
        <f aca="false">SQRT(($B357-BC$270)^2+($C357-BC$271)^2+($D357-BC$272)^2)</f>
        <v>0.498147620361507</v>
      </c>
      <c r="BD357" s="17" t="n">
        <f aca="false">SQRT(($B357-BD$270)^2+($C357-BD$271)^2+($D357-BD$272)^2)</f>
        <v>4.035911605761</v>
      </c>
      <c r="BE357" s="63" t="n">
        <f aca="false">MATCH(MIN(AZ357:BD357),AZ357:BD357,0)</f>
        <v>4</v>
      </c>
      <c r="BG357" s="17" t="n">
        <f aca="false">SQRT(($B357-BG$270)^2+($C357-BG$271)^2+($D357-BG$272)^2)</f>
        <v>6.57937685728038</v>
      </c>
      <c r="BH357" s="17" t="n">
        <f aca="false">SQRT(($B357-BH$270)^2+($C357-BH$271)^2+($D357-BH$272)^2)</f>
        <v>1.16631891230302</v>
      </c>
      <c r="BI357" s="17" t="n">
        <f aca="false">SQRT(($B357-BI$270)^2+($C357-BI$271)^2+($D357-BI$272)^2)</f>
        <v>1.81906759420305</v>
      </c>
      <c r="BJ357" s="17" t="n">
        <f aca="false">SQRT(($B357-BJ$270)^2+($C357-BJ$271)^2+($D357-BJ$272)^2)</f>
        <v>0.498147620361507</v>
      </c>
      <c r="BK357" s="17" t="n">
        <f aca="false">SQRT(($B357-BK$270)^2+($C357-BK$271)^2+($D357-BK$272)^2)</f>
        <v>4.035911605761</v>
      </c>
      <c r="BL357" s="63" t="n">
        <f aca="false">MATCH(MIN(BG357:BK357),BG357:BK357,0)</f>
        <v>4</v>
      </c>
      <c r="BN357" s="17" t="n">
        <f aca="false">SQRT(($B357-BN$270)^2+($C357-BN$271)^2+($D357-BN$272)^2)</f>
        <v>6.57937685728038</v>
      </c>
      <c r="BO357" s="17" t="n">
        <f aca="false">SQRT(($B357-BO$270)^2+($C357-BO$271)^2+($D357-BO$272)^2)</f>
        <v>1.16631891230302</v>
      </c>
      <c r="BP357" s="17" t="n">
        <f aca="false">SQRT(($B357-BP$270)^2+($C357-BP$271)^2+($D357-BP$272)^2)</f>
        <v>1.81906759420305</v>
      </c>
      <c r="BQ357" s="17" t="n">
        <f aca="false">SQRT(($B357-BQ$270)^2+($C357-BQ$271)^2+($D357-BQ$272)^2)</f>
        <v>0.498147620361507</v>
      </c>
      <c r="BR357" s="17" t="n">
        <f aca="false">SQRT(($B357-BR$270)^2+($C357-BR$271)^2+($D357-BR$272)^2)</f>
        <v>4.035911605761</v>
      </c>
      <c r="BS357" s="63" t="n">
        <f aca="false">MATCH(MIN(BN357:BR357),BN357:BR357,0)</f>
        <v>4</v>
      </c>
      <c r="BU357" s="17" t="n">
        <f aca="false">SQRT(($B357-BU$270)^2+($C357-BU$271)^2+($D357-BU$272)^2)</f>
        <v>6.57937685728038</v>
      </c>
      <c r="BV357" s="17" t="n">
        <f aca="false">SQRT(($B357-BV$270)^2+($C357-BV$271)^2+($D357-BV$272)^2)</f>
        <v>1.16631891230302</v>
      </c>
      <c r="BW357" s="17" t="n">
        <f aca="false">SQRT(($B357-BW$270)^2+($C357-BW$271)^2+($D357-BW$272)^2)</f>
        <v>1.81906759420305</v>
      </c>
      <c r="BX357" s="17" t="n">
        <f aca="false">SQRT(($B357-BX$270)^2+($C357-BX$271)^2+($D357-BX$272)^2)</f>
        <v>0.498147620361507</v>
      </c>
      <c r="BY357" s="17" t="n">
        <f aca="false">SQRT(($B357-BY$270)^2+($C357-BY$271)^2+($D357-BY$272)^2)</f>
        <v>4.035911605761</v>
      </c>
      <c r="BZ357" s="63" t="n">
        <f aca="false">MATCH(MIN(BU357:BY357),BU357:BY357,0)</f>
        <v>4</v>
      </c>
      <c r="CB357" s="17" t="n">
        <f aca="false">SQRT(($B357-CB$270)^2+($C357-CB$271)^2+($D357-CB$272)^2)</f>
        <v>6.57937685728038</v>
      </c>
      <c r="CC357" s="17" t="n">
        <f aca="false">SQRT(($B357-CC$270)^2+($C357-CC$271)^2+($D357-CC$272)^2)</f>
        <v>1.16631891230302</v>
      </c>
      <c r="CD357" s="17" t="n">
        <f aca="false">SQRT(($B357-CD$270)^2+($C357-CD$271)^2+($D357-CD$272)^2)</f>
        <v>1.81906759420305</v>
      </c>
      <c r="CE357" s="17" t="n">
        <f aca="false">SQRT(($B357-CE$270)^2+($C357-CE$271)^2+($D357-CE$272)^2)</f>
        <v>0.498147620361507</v>
      </c>
      <c r="CF357" s="17" t="n">
        <f aca="false">SQRT(($B357-CF$270)^2+($C357-CF$271)^2+($D357-CF$272)^2)</f>
        <v>4.035911605761</v>
      </c>
      <c r="CG357" s="63" t="n">
        <f aca="false">MATCH(MIN(CB357:CF357),CB357:CF357,0)</f>
        <v>4</v>
      </c>
      <c r="CI357" s="17" t="n">
        <f aca="false">SQRT(($B357-CI$270)^2+($C357-CI$271)^2+($D357-CI$272)^2)</f>
        <v>6.57937685728038</v>
      </c>
      <c r="CJ357" s="17" t="n">
        <f aca="false">SQRT(($B357-CJ$270)^2+($C357-CJ$271)^2+($D357-CJ$272)^2)</f>
        <v>1.16631891230302</v>
      </c>
      <c r="CK357" s="17" t="n">
        <f aca="false">SQRT(($B357-CK$270)^2+($C357-CK$271)^2+($D357-CK$272)^2)</f>
        <v>1.81906759420305</v>
      </c>
      <c r="CL357" s="17" t="n">
        <f aca="false">SQRT(($B357-CL$270)^2+($C357-CL$271)^2+($D357-CL$272)^2)</f>
        <v>0.498147620361507</v>
      </c>
      <c r="CM357" s="17" t="n">
        <f aca="false">SQRT(($B357-CM$270)^2+($C357-CM$271)^2+($D357-CM$272)^2)</f>
        <v>4.035911605761</v>
      </c>
      <c r="CN357" s="63" t="n">
        <f aca="false">MATCH(MIN(CI357:CM357),CI357:CM357,0)</f>
        <v>4</v>
      </c>
      <c r="CP357" s="17" t="n">
        <f aca="false">SQRT(($B357-CP$270)^2+($C357-CP$271)^2+($D357-CP$272)^2)</f>
        <v>6.57937685728038</v>
      </c>
      <c r="CQ357" s="17" t="n">
        <f aca="false">SQRT(($B357-CQ$270)^2+($C357-CQ$271)^2+($D357-CQ$272)^2)</f>
        <v>1.16631891230302</v>
      </c>
      <c r="CR357" s="17" t="n">
        <f aca="false">SQRT(($B357-CR$270)^2+($C357-CR$271)^2+($D357-CR$272)^2)</f>
        <v>1.81906759420305</v>
      </c>
      <c r="CS357" s="17" t="n">
        <f aca="false">SQRT(($B357-CS$270)^2+($C357-CS$271)^2+($D357-CS$272)^2)</f>
        <v>0.498147620361507</v>
      </c>
      <c r="CT357" s="17" t="n">
        <f aca="false">SQRT(($B357-CT$270)^2+($C357-CT$271)^2+($D357-CT$272)^2)</f>
        <v>4.035911605761</v>
      </c>
      <c r="CU357" s="63" t="n">
        <f aca="false">MATCH(MIN(CP357:CT357),CP357:CT357,0)</f>
        <v>4</v>
      </c>
      <c r="CW357" s="17" t="n">
        <f aca="false">SQRT(($B357-CW$270)^2+($C357-CW$271)^2+($D357-CW$272)^2)</f>
        <v>6.57937685728038</v>
      </c>
      <c r="CX357" s="17" t="n">
        <f aca="false">SQRT(($B357-CX$270)^2+($C357-CX$271)^2+($D357-CX$272)^2)</f>
        <v>1.16631891230302</v>
      </c>
      <c r="CY357" s="17" t="n">
        <f aca="false">SQRT(($B357-CY$270)^2+($C357-CY$271)^2+($D357-CY$272)^2)</f>
        <v>1.81906759420305</v>
      </c>
      <c r="CZ357" s="17" t="n">
        <f aca="false">SQRT(($B357-CZ$270)^2+($C357-CZ$271)^2+($D357-CZ$272)^2)</f>
        <v>0.498147620361507</v>
      </c>
      <c r="DA357" s="17" t="n">
        <f aca="false">SQRT(($B357-DA$270)^2+($C357-DA$271)^2+($D357-DA$272)^2)</f>
        <v>4.035911605761</v>
      </c>
      <c r="DB357" s="63" t="n">
        <f aca="false">MATCH(MIN(CW357:DA357),CW357:DA357,0)</f>
        <v>4</v>
      </c>
    </row>
    <row r="358" customFormat="false" ht="15" hidden="false" customHeight="false" outlineLevel="0" collapsed="false">
      <c r="A358" s="36" t="str">
        <f aca="false">KMeans_Data!A86</f>
        <v>Bahawal Nagar</v>
      </c>
      <c r="B358" s="17" t="n">
        <f aca="false">KMeans_Data!H86</f>
        <v>-0.470943061763014</v>
      </c>
      <c r="C358" s="17" t="n">
        <f aca="false">KMeans_Data!I86</f>
        <v>-0.672650545388274</v>
      </c>
      <c r="D358" s="17" t="n">
        <f aca="false">KMeans_Data!J86</f>
        <v>-0.399845222909568</v>
      </c>
      <c r="E358" s="63" t="n">
        <f aca="false">DB358</f>
        <v>4</v>
      </c>
      <c r="F358" s="38" t="n">
        <f aca="false">($B358-INDEX($L$270:$P$270,E358))^2+($C358-INDEX($L$271:$P$271,E358))^2+($D358-INDEX($L$272:$P$272,E358))^2</f>
        <v>0.144837186702043</v>
      </c>
      <c r="G358" s="17" t="n">
        <f aca="false">IF(COUNTIF(Distance_Matrix!$E$11:$DQ$11,$E358)&lt;=1,0,SUMIF(Distance_Matrix!$E$11:$DQ$11,$E358,Distance_Matrix!$E$95:$DQ$95)/(COUNTIF(Distance_Matrix!$E$11:$DQ$11,$E358)-1))</f>
        <v>0.792584232543666</v>
      </c>
      <c r="H358" s="17" t="n">
        <f aca="false">MIN(IF(1=$E358,1E+099,IF(COUNTIF(Distance_Matrix!$E$11:$DQ$11,1)=0,1E+099,SUMIF(Distance_Matrix!$E$11:$DQ$11,1,Distance_Matrix!$E$95:$DQ$95)/COUNTIF(Distance_Matrix!$E$11:$DQ$11,1))),IF(2=$E358,1E+099,IF(COUNTIF(Distance_Matrix!$E$11:$DQ$11,2)=0,1E+099,SUMIF(Distance_Matrix!$E$11:$DQ$11,2,Distance_Matrix!$E$95:$DQ$95)/COUNTIF(Distance_Matrix!$E$11:$DQ$11,2))),IF(3=$E358,1E+099,IF(COUNTIF(Distance_Matrix!$E$11:$DQ$11,3)=0,1E+099,SUMIF(Distance_Matrix!$E$11:$DQ$11,3,Distance_Matrix!$E$95:$DQ$95)/COUNTIF(Distance_Matrix!$E$11:$DQ$11,3))),IF(4=$E358,1E+099,IF(COUNTIF(Distance_Matrix!$E$11:$DQ$11,4)=0,1E+099,SUMIF(Distance_Matrix!$E$11:$DQ$11,4,Distance_Matrix!$E$95:$DQ$95)/COUNTIF(Distance_Matrix!$E$11:$DQ$11,4))),IF(5=$E358,1E+099,IF(COUNTIF(Distance_Matrix!$E$11:$DQ$11,5)=0,1E+099,SUMIF(Distance_Matrix!$E$11:$DQ$11,5,Distance_Matrix!$E$95:$DQ$95)/COUNTIF(Distance_Matrix!$E$11:$DQ$11,5))))</f>
        <v>1.09602217716494</v>
      </c>
      <c r="I358" s="17" t="n">
        <f aca="false">IF(COUNTIF(Distance_Matrix!$E$11:$DQ$11,$E358)&lt;=1,0,(H358-G358)/MAX(G358,H358))</f>
        <v>0.276853836485472</v>
      </c>
      <c r="X358" s="17" t="n">
        <f aca="false">SQRT(($B358-X$270)^2+($C358-X$271)^2+($D358-X$272)^2)</f>
        <v>7.04033708091628</v>
      </c>
      <c r="Y358" s="17" t="n">
        <f aca="false">SQRT(($B358-Y$270)^2+($C358-Y$271)^2+($D358-Y$272)^2)</f>
        <v>1.77325606841763</v>
      </c>
      <c r="Z358" s="17" t="n">
        <f aca="false">SQRT(($B358-Z$270)^2+($C358-Z$271)^2+($D358-Z$272)^2)</f>
        <v>2.62260325219289</v>
      </c>
      <c r="AA358" s="17" t="n">
        <f aca="false">SQRT(($B358-AA$270)^2+($C358-AA$271)^2+($D358-AA$272)^2)</f>
        <v>1.4420033901708</v>
      </c>
      <c r="AB358" s="17" t="n">
        <f aca="false">SQRT(($B358-AB$270)^2+($C358-AB$271)^2+($D358-AB$272)^2)</f>
        <v>4.95246060155913</v>
      </c>
      <c r="AC358" s="63" t="n">
        <f aca="false">MATCH(MIN(X358:AB358),X358:AB358,0)</f>
        <v>4</v>
      </c>
      <c r="AE358" s="17" t="n">
        <f aca="false">SQRT(($B358-AE$270)^2+($C358-AE$271)^2+($D358-AE$272)^2)</f>
        <v>6.93017050164202</v>
      </c>
      <c r="AF358" s="17" t="n">
        <f aca="false">SQRT(($B358-AF$270)^2+($C358-AF$271)^2+($D358-AF$272)^2)</f>
        <v>0.938072930786448</v>
      </c>
      <c r="AG358" s="17" t="n">
        <f aca="false">SQRT(($B358-AG$270)^2+($C358-AG$271)^2+($D358-AG$272)^2)</f>
        <v>1.99138648024107</v>
      </c>
      <c r="AH358" s="17" t="n">
        <f aca="false">SQRT(($B358-AH$270)^2+($C358-AH$271)^2+($D358-AH$272)^2)</f>
        <v>0.462303169866693</v>
      </c>
      <c r="AI358" s="17" t="n">
        <f aca="false">SQRT(($B358-AI$270)^2+($C358-AI$271)^2+($D358-AI$272)^2)</f>
        <v>4.65546203214361</v>
      </c>
      <c r="AJ358" s="63" t="n">
        <f aca="false">MATCH(MIN(AE358:AI358),AE358:AI358,0)</f>
        <v>4</v>
      </c>
      <c r="AL358" s="17" t="n">
        <f aca="false">SQRT(($B358-AL$270)^2+($C358-AL$271)^2+($D358-AL$272)^2)</f>
        <v>6.93017050164202</v>
      </c>
      <c r="AM358" s="17" t="n">
        <f aca="false">SQRT(($B358-AM$270)^2+($C358-AM$271)^2+($D358-AM$272)^2)</f>
        <v>0.960776188636782</v>
      </c>
      <c r="AN358" s="17" t="n">
        <f aca="false">SQRT(($B358-AN$270)^2+($C358-AN$271)^2+($D358-AN$272)^2)</f>
        <v>2.06019439951232</v>
      </c>
      <c r="AO358" s="17" t="n">
        <f aca="false">SQRT(($B358-AO$270)^2+($C358-AO$271)^2+($D358-AO$272)^2)</f>
        <v>0.42159753890342</v>
      </c>
      <c r="AP358" s="17" t="n">
        <f aca="false">SQRT(($B358-AP$270)^2+($C358-AP$271)^2+($D358-AP$272)^2)</f>
        <v>4.38475106915194</v>
      </c>
      <c r="AQ358" s="63" t="n">
        <f aca="false">MATCH(MIN(AL358:AP358),AL358:AP358,0)</f>
        <v>4</v>
      </c>
      <c r="AS358" s="17" t="n">
        <f aca="false">SQRT(($B358-AS$270)^2+($C358-AS$271)^2+($D358-AS$272)^2)</f>
        <v>6.93017050164202</v>
      </c>
      <c r="AT358" s="17" t="n">
        <f aca="false">SQRT(($B358-AT$270)^2+($C358-AT$271)^2+($D358-AT$272)^2)</f>
        <v>1.05170322616389</v>
      </c>
      <c r="AU358" s="17" t="n">
        <f aca="false">SQRT(($B358-AU$270)^2+($C358-AU$271)^2+($D358-AU$272)^2)</f>
        <v>2.08690832674076</v>
      </c>
      <c r="AV358" s="17" t="n">
        <f aca="false">SQRT(($B358-AV$270)^2+($C358-AV$271)^2+($D358-AV$272)^2)</f>
        <v>0.380574810913759</v>
      </c>
      <c r="AW358" s="17" t="n">
        <f aca="false">SQRT(($B358-AW$270)^2+($C358-AW$271)^2+($D358-AW$272)^2)</f>
        <v>4.38475106915194</v>
      </c>
      <c r="AX358" s="63" t="n">
        <f aca="false">MATCH(MIN(AS358:AW358),AS358:AW358,0)</f>
        <v>4</v>
      </c>
      <c r="AZ358" s="17" t="n">
        <f aca="false">SQRT(($B358-AZ$270)^2+($C358-AZ$271)^2+($D358-AZ$272)^2)</f>
        <v>6.93017050164202</v>
      </c>
      <c r="BA358" s="17" t="n">
        <f aca="false">SQRT(($B358-BA$270)^2+($C358-BA$271)^2+($D358-BA$272)^2)</f>
        <v>1.05170322616389</v>
      </c>
      <c r="BB358" s="17" t="n">
        <f aca="false">SQRT(($B358-BB$270)^2+($C358-BB$271)^2+($D358-BB$272)^2)</f>
        <v>2.08690832674076</v>
      </c>
      <c r="BC358" s="17" t="n">
        <f aca="false">SQRT(($B358-BC$270)^2+($C358-BC$271)^2+($D358-BC$272)^2)</f>
        <v>0.380574810913759</v>
      </c>
      <c r="BD358" s="17" t="n">
        <f aca="false">SQRT(($B358-BD$270)^2+($C358-BD$271)^2+($D358-BD$272)^2)</f>
        <v>4.38475106915194</v>
      </c>
      <c r="BE358" s="63" t="n">
        <f aca="false">MATCH(MIN(AZ358:BD358),AZ358:BD358,0)</f>
        <v>4</v>
      </c>
      <c r="BG358" s="17" t="n">
        <f aca="false">SQRT(($B358-BG$270)^2+($C358-BG$271)^2+($D358-BG$272)^2)</f>
        <v>6.93017050164202</v>
      </c>
      <c r="BH358" s="17" t="n">
        <f aca="false">SQRT(($B358-BH$270)^2+($C358-BH$271)^2+($D358-BH$272)^2)</f>
        <v>1.05170322616389</v>
      </c>
      <c r="BI358" s="17" t="n">
        <f aca="false">SQRT(($B358-BI$270)^2+($C358-BI$271)^2+($D358-BI$272)^2)</f>
        <v>2.08690832674076</v>
      </c>
      <c r="BJ358" s="17" t="n">
        <f aca="false">SQRT(($B358-BJ$270)^2+($C358-BJ$271)^2+($D358-BJ$272)^2)</f>
        <v>0.380574810913759</v>
      </c>
      <c r="BK358" s="17" t="n">
        <f aca="false">SQRT(($B358-BK$270)^2+($C358-BK$271)^2+($D358-BK$272)^2)</f>
        <v>4.38475106915194</v>
      </c>
      <c r="BL358" s="63" t="n">
        <f aca="false">MATCH(MIN(BG358:BK358),BG358:BK358,0)</f>
        <v>4</v>
      </c>
      <c r="BN358" s="17" t="n">
        <f aca="false">SQRT(($B358-BN$270)^2+($C358-BN$271)^2+($D358-BN$272)^2)</f>
        <v>6.93017050164202</v>
      </c>
      <c r="BO358" s="17" t="n">
        <f aca="false">SQRT(($B358-BO$270)^2+($C358-BO$271)^2+($D358-BO$272)^2)</f>
        <v>1.05170322616389</v>
      </c>
      <c r="BP358" s="17" t="n">
        <f aca="false">SQRT(($B358-BP$270)^2+($C358-BP$271)^2+($D358-BP$272)^2)</f>
        <v>2.08690832674076</v>
      </c>
      <c r="BQ358" s="17" t="n">
        <f aca="false">SQRT(($B358-BQ$270)^2+($C358-BQ$271)^2+($D358-BQ$272)^2)</f>
        <v>0.380574810913759</v>
      </c>
      <c r="BR358" s="17" t="n">
        <f aca="false">SQRT(($B358-BR$270)^2+($C358-BR$271)^2+($D358-BR$272)^2)</f>
        <v>4.38475106915194</v>
      </c>
      <c r="BS358" s="63" t="n">
        <f aca="false">MATCH(MIN(BN358:BR358),BN358:BR358,0)</f>
        <v>4</v>
      </c>
      <c r="BU358" s="17" t="n">
        <f aca="false">SQRT(($B358-BU$270)^2+($C358-BU$271)^2+($D358-BU$272)^2)</f>
        <v>6.93017050164202</v>
      </c>
      <c r="BV358" s="17" t="n">
        <f aca="false">SQRT(($B358-BV$270)^2+($C358-BV$271)^2+($D358-BV$272)^2)</f>
        <v>1.05170322616389</v>
      </c>
      <c r="BW358" s="17" t="n">
        <f aca="false">SQRT(($B358-BW$270)^2+($C358-BW$271)^2+($D358-BW$272)^2)</f>
        <v>2.08690832674076</v>
      </c>
      <c r="BX358" s="17" t="n">
        <f aca="false">SQRT(($B358-BX$270)^2+($C358-BX$271)^2+($D358-BX$272)^2)</f>
        <v>0.380574810913759</v>
      </c>
      <c r="BY358" s="17" t="n">
        <f aca="false">SQRT(($B358-BY$270)^2+($C358-BY$271)^2+($D358-BY$272)^2)</f>
        <v>4.38475106915194</v>
      </c>
      <c r="BZ358" s="63" t="n">
        <f aca="false">MATCH(MIN(BU358:BY358),BU358:BY358,0)</f>
        <v>4</v>
      </c>
      <c r="CB358" s="17" t="n">
        <f aca="false">SQRT(($B358-CB$270)^2+($C358-CB$271)^2+($D358-CB$272)^2)</f>
        <v>6.93017050164202</v>
      </c>
      <c r="CC358" s="17" t="n">
        <f aca="false">SQRT(($B358-CC$270)^2+($C358-CC$271)^2+($D358-CC$272)^2)</f>
        <v>1.05170322616389</v>
      </c>
      <c r="CD358" s="17" t="n">
        <f aca="false">SQRT(($B358-CD$270)^2+($C358-CD$271)^2+($D358-CD$272)^2)</f>
        <v>2.08690832674076</v>
      </c>
      <c r="CE358" s="17" t="n">
        <f aca="false">SQRT(($B358-CE$270)^2+($C358-CE$271)^2+($D358-CE$272)^2)</f>
        <v>0.380574810913759</v>
      </c>
      <c r="CF358" s="17" t="n">
        <f aca="false">SQRT(($B358-CF$270)^2+($C358-CF$271)^2+($D358-CF$272)^2)</f>
        <v>4.38475106915194</v>
      </c>
      <c r="CG358" s="63" t="n">
        <f aca="false">MATCH(MIN(CB358:CF358),CB358:CF358,0)</f>
        <v>4</v>
      </c>
      <c r="CI358" s="17" t="n">
        <f aca="false">SQRT(($B358-CI$270)^2+($C358-CI$271)^2+($D358-CI$272)^2)</f>
        <v>6.93017050164202</v>
      </c>
      <c r="CJ358" s="17" t="n">
        <f aca="false">SQRT(($B358-CJ$270)^2+($C358-CJ$271)^2+($D358-CJ$272)^2)</f>
        <v>1.05170322616389</v>
      </c>
      <c r="CK358" s="17" t="n">
        <f aca="false">SQRT(($B358-CK$270)^2+($C358-CK$271)^2+($D358-CK$272)^2)</f>
        <v>2.08690832674076</v>
      </c>
      <c r="CL358" s="17" t="n">
        <f aca="false">SQRT(($B358-CL$270)^2+($C358-CL$271)^2+($D358-CL$272)^2)</f>
        <v>0.380574810913759</v>
      </c>
      <c r="CM358" s="17" t="n">
        <f aca="false">SQRT(($B358-CM$270)^2+($C358-CM$271)^2+($D358-CM$272)^2)</f>
        <v>4.38475106915194</v>
      </c>
      <c r="CN358" s="63" t="n">
        <f aca="false">MATCH(MIN(CI358:CM358),CI358:CM358,0)</f>
        <v>4</v>
      </c>
      <c r="CP358" s="17" t="n">
        <f aca="false">SQRT(($B358-CP$270)^2+($C358-CP$271)^2+($D358-CP$272)^2)</f>
        <v>6.93017050164202</v>
      </c>
      <c r="CQ358" s="17" t="n">
        <f aca="false">SQRT(($B358-CQ$270)^2+($C358-CQ$271)^2+($D358-CQ$272)^2)</f>
        <v>1.05170322616389</v>
      </c>
      <c r="CR358" s="17" t="n">
        <f aca="false">SQRT(($B358-CR$270)^2+($C358-CR$271)^2+($D358-CR$272)^2)</f>
        <v>2.08690832674076</v>
      </c>
      <c r="CS358" s="17" t="n">
        <f aca="false">SQRT(($B358-CS$270)^2+($C358-CS$271)^2+($D358-CS$272)^2)</f>
        <v>0.380574810913759</v>
      </c>
      <c r="CT358" s="17" t="n">
        <f aca="false">SQRT(($B358-CT$270)^2+($C358-CT$271)^2+($D358-CT$272)^2)</f>
        <v>4.38475106915194</v>
      </c>
      <c r="CU358" s="63" t="n">
        <f aca="false">MATCH(MIN(CP358:CT358),CP358:CT358,0)</f>
        <v>4</v>
      </c>
      <c r="CW358" s="17" t="n">
        <f aca="false">SQRT(($B358-CW$270)^2+($C358-CW$271)^2+($D358-CW$272)^2)</f>
        <v>6.93017050164202</v>
      </c>
      <c r="CX358" s="17" t="n">
        <f aca="false">SQRT(($B358-CX$270)^2+($C358-CX$271)^2+($D358-CX$272)^2)</f>
        <v>1.05170322616389</v>
      </c>
      <c r="CY358" s="17" t="n">
        <f aca="false">SQRT(($B358-CY$270)^2+($C358-CY$271)^2+($D358-CY$272)^2)</f>
        <v>2.08690832674076</v>
      </c>
      <c r="CZ358" s="17" t="n">
        <f aca="false">SQRT(($B358-CZ$270)^2+($C358-CZ$271)^2+($D358-CZ$272)^2)</f>
        <v>0.380574810913759</v>
      </c>
      <c r="DA358" s="17" t="n">
        <f aca="false">SQRT(($B358-DA$270)^2+($C358-DA$271)^2+($D358-DA$272)^2)</f>
        <v>4.38475106915194</v>
      </c>
      <c r="DB358" s="63" t="n">
        <f aca="false">MATCH(MIN(CW358:DA358),CW358:DA358,0)</f>
        <v>4</v>
      </c>
    </row>
    <row r="359" customFormat="false" ht="15" hidden="false" customHeight="false" outlineLevel="0" collapsed="false">
      <c r="A359" s="36" t="str">
        <f aca="false">KMeans_Data!A87</f>
        <v>Ghizer</v>
      </c>
      <c r="B359" s="17" t="n">
        <f aca="false">KMeans_Data!H87</f>
        <v>-0.520549152721336</v>
      </c>
      <c r="C359" s="17" t="n">
        <f aca="false">KMeans_Data!I87</f>
        <v>-0.672650545388274</v>
      </c>
      <c r="D359" s="17" t="n">
        <f aca="false">KMeans_Data!J87</f>
        <v>-0.503247915463979</v>
      </c>
      <c r="E359" s="63" t="n">
        <f aca="false">DB359</f>
        <v>4</v>
      </c>
      <c r="F359" s="38" t="n">
        <f aca="false">($B359-INDEX($L$270:$P$270,E359))^2+($C359-INDEX($L$271:$P$271,E359))^2+($D359-INDEX($L$272:$P$272,E359))^2</f>
        <v>0.197068785272722</v>
      </c>
      <c r="G359" s="17" t="n">
        <f aca="false">IF(COUNTIF(Distance_Matrix!$E$11:$DQ$11,$E359)&lt;=1,0,SUMIF(Distance_Matrix!$E$11:$DQ$11,$E359,Distance_Matrix!$E$96:$DQ$96)/(COUNTIF(Distance_Matrix!$E$11:$DQ$11,$E359)-1))</f>
        <v>0.82361434069693</v>
      </c>
      <c r="H359" s="17" t="n">
        <f aca="false">MIN(IF(1=$E359,1E+099,IF(COUNTIF(Distance_Matrix!$E$11:$DQ$11,1)=0,1E+099,SUMIF(Distance_Matrix!$E$11:$DQ$11,1,Distance_Matrix!$E$96:$DQ$96)/COUNTIF(Distance_Matrix!$E$11:$DQ$11,1))),IF(2=$E359,1E+099,IF(COUNTIF(Distance_Matrix!$E$11:$DQ$11,2)=0,1E+099,SUMIF(Distance_Matrix!$E$11:$DQ$11,2,Distance_Matrix!$E$96:$DQ$96)/COUNTIF(Distance_Matrix!$E$11:$DQ$11,2))),IF(3=$E359,1E+099,IF(COUNTIF(Distance_Matrix!$E$11:$DQ$11,3)=0,1E+099,SUMIF(Distance_Matrix!$E$11:$DQ$11,3,Distance_Matrix!$E$96:$DQ$96)/COUNTIF(Distance_Matrix!$E$11:$DQ$11,3))),IF(4=$E359,1E+099,IF(COUNTIF(Distance_Matrix!$E$11:$DQ$11,4)=0,1E+099,SUMIF(Distance_Matrix!$E$11:$DQ$11,4,Distance_Matrix!$E$96:$DQ$96)/COUNTIF(Distance_Matrix!$E$11:$DQ$11,4))),IF(5=$E359,1E+099,IF(COUNTIF(Distance_Matrix!$E$11:$DQ$11,5)=0,1E+099,SUMIF(Distance_Matrix!$E$11:$DQ$11,5,Distance_Matrix!$E$96:$DQ$96)/COUNTIF(Distance_Matrix!$E$11:$DQ$11,5))))</f>
        <v>0.996745126919384</v>
      </c>
      <c r="I359" s="17" t="n">
        <f aca="false">IF(COUNTIF(Distance_Matrix!$E$11:$DQ$11,$E359)&lt;=1,0,(H359-G359)/MAX(G359,H359))</f>
        <v>0.173696145129442</v>
      </c>
      <c r="X359" s="17" t="n">
        <f aca="false">SQRT(($B359-X$270)^2+($C359-X$271)^2+($D359-X$272)^2)</f>
        <v>7.12084562266141</v>
      </c>
      <c r="Y359" s="17" t="n">
        <f aca="false">SQRT(($B359-Y$270)^2+($C359-Y$271)^2+($D359-Y$272)^2)</f>
        <v>1.68634002609964</v>
      </c>
      <c r="Z359" s="17" t="n">
        <f aca="false">SQRT(($B359-Z$270)^2+($C359-Z$271)^2+($D359-Z$272)^2)</f>
        <v>2.72536569763079</v>
      </c>
      <c r="AA359" s="17" t="n">
        <f aca="false">SQRT(($B359-AA$270)^2+($C359-AA$271)^2+($D359-AA$272)^2)</f>
        <v>1.43145847046038</v>
      </c>
      <c r="AB359" s="17" t="n">
        <f aca="false">SQRT(($B359-AB$270)^2+($C359-AB$271)^2+($D359-AB$272)^2)</f>
        <v>5.03930933779083</v>
      </c>
      <c r="AC359" s="63" t="n">
        <f aca="false">MATCH(MIN(X359:AB359),X359:AB359,0)</f>
        <v>4</v>
      </c>
      <c r="AE359" s="17" t="n">
        <f aca="false">SQRT(($B359-AE$270)^2+($C359-AE$271)^2+($D359-AE$272)^2)</f>
        <v>7.00763825983921</v>
      </c>
      <c r="AF359" s="17" t="n">
        <f aca="false">SQRT(($B359-AF$270)^2+($C359-AF$271)^2+($D359-AF$272)^2)</f>
        <v>0.840247358259014</v>
      </c>
      <c r="AG359" s="17" t="n">
        <f aca="false">SQRT(($B359-AG$270)^2+($C359-AG$271)^2+($D359-AG$272)^2)</f>
        <v>2.08266883232752</v>
      </c>
      <c r="AH359" s="17" t="n">
        <f aca="false">SQRT(($B359-AH$270)^2+($C359-AH$271)^2+($D359-AH$272)^2)</f>
        <v>0.49378338027252</v>
      </c>
      <c r="AI359" s="17" t="n">
        <f aca="false">SQRT(($B359-AI$270)^2+($C359-AI$271)^2+($D359-AI$272)^2)</f>
        <v>4.73216542823214</v>
      </c>
      <c r="AJ359" s="63" t="n">
        <f aca="false">MATCH(MIN(AE359:AI359),AE359:AI359,0)</f>
        <v>4</v>
      </c>
      <c r="AL359" s="17" t="n">
        <f aca="false">SQRT(($B359-AL$270)^2+($C359-AL$271)^2+($D359-AL$272)^2)</f>
        <v>7.00763825983921</v>
      </c>
      <c r="AM359" s="17" t="n">
        <f aca="false">SQRT(($B359-AM$270)^2+($C359-AM$271)^2+($D359-AM$272)^2)</f>
        <v>0.859983946132745</v>
      </c>
      <c r="AN359" s="17" t="n">
        <f aca="false">SQRT(($B359-AN$270)^2+($C359-AN$271)^2+($D359-AN$272)^2)</f>
        <v>2.14963060552007</v>
      </c>
      <c r="AO359" s="17" t="n">
        <f aca="false">SQRT(($B359-AO$270)^2+($C359-AO$271)^2+($D359-AO$272)^2)</f>
        <v>0.479605698732814</v>
      </c>
      <c r="AP359" s="17" t="n">
        <f aca="false">SQRT(($B359-AP$270)^2+($C359-AP$271)^2+($D359-AP$272)^2)</f>
        <v>4.46107957309437</v>
      </c>
      <c r="AQ359" s="63" t="n">
        <f aca="false">MATCH(MIN(AL359:AP359),AL359:AP359,0)</f>
        <v>4</v>
      </c>
      <c r="AS359" s="17" t="n">
        <f aca="false">SQRT(($B359-AS$270)^2+($C359-AS$271)^2+($D359-AS$272)^2)</f>
        <v>7.00763825983921</v>
      </c>
      <c r="AT359" s="17" t="n">
        <f aca="false">SQRT(($B359-AT$270)^2+($C359-AT$271)^2+($D359-AT$272)^2)</f>
        <v>0.948561626556996</v>
      </c>
      <c r="AU359" s="17" t="n">
        <f aca="false">SQRT(($B359-AU$270)^2+($C359-AU$271)^2+($D359-AU$272)^2)</f>
        <v>2.1764521070269</v>
      </c>
      <c r="AV359" s="17" t="n">
        <f aca="false">SQRT(($B359-AV$270)^2+($C359-AV$271)^2+($D359-AV$272)^2)</f>
        <v>0.443924301286517</v>
      </c>
      <c r="AW359" s="17" t="n">
        <f aca="false">SQRT(($B359-AW$270)^2+($C359-AW$271)^2+($D359-AW$272)^2)</f>
        <v>4.46107957309437</v>
      </c>
      <c r="AX359" s="63" t="n">
        <f aca="false">MATCH(MIN(AS359:AW359),AS359:AW359,0)</f>
        <v>4</v>
      </c>
      <c r="AZ359" s="17" t="n">
        <f aca="false">SQRT(($B359-AZ$270)^2+($C359-AZ$271)^2+($D359-AZ$272)^2)</f>
        <v>7.00763825983921</v>
      </c>
      <c r="BA359" s="17" t="n">
        <f aca="false">SQRT(($B359-BA$270)^2+($C359-BA$271)^2+($D359-BA$272)^2)</f>
        <v>0.948561626556996</v>
      </c>
      <c r="BB359" s="17" t="n">
        <f aca="false">SQRT(($B359-BB$270)^2+($C359-BB$271)^2+($D359-BB$272)^2)</f>
        <v>2.1764521070269</v>
      </c>
      <c r="BC359" s="17" t="n">
        <f aca="false">SQRT(($B359-BC$270)^2+($C359-BC$271)^2+($D359-BC$272)^2)</f>
        <v>0.443924301286517</v>
      </c>
      <c r="BD359" s="17" t="n">
        <f aca="false">SQRT(($B359-BD$270)^2+($C359-BD$271)^2+($D359-BD$272)^2)</f>
        <v>4.46107957309437</v>
      </c>
      <c r="BE359" s="63" t="n">
        <f aca="false">MATCH(MIN(AZ359:BD359),AZ359:BD359,0)</f>
        <v>4</v>
      </c>
      <c r="BG359" s="17" t="n">
        <f aca="false">SQRT(($B359-BG$270)^2+($C359-BG$271)^2+($D359-BG$272)^2)</f>
        <v>7.00763825983921</v>
      </c>
      <c r="BH359" s="17" t="n">
        <f aca="false">SQRT(($B359-BH$270)^2+($C359-BH$271)^2+($D359-BH$272)^2)</f>
        <v>0.948561626556996</v>
      </c>
      <c r="BI359" s="17" t="n">
        <f aca="false">SQRT(($B359-BI$270)^2+($C359-BI$271)^2+($D359-BI$272)^2)</f>
        <v>2.1764521070269</v>
      </c>
      <c r="BJ359" s="17" t="n">
        <f aca="false">SQRT(($B359-BJ$270)^2+($C359-BJ$271)^2+($D359-BJ$272)^2)</f>
        <v>0.443924301286517</v>
      </c>
      <c r="BK359" s="17" t="n">
        <f aca="false">SQRT(($B359-BK$270)^2+($C359-BK$271)^2+($D359-BK$272)^2)</f>
        <v>4.46107957309437</v>
      </c>
      <c r="BL359" s="63" t="n">
        <f aca="false">MATCH(MIN(BG359:BK359),BG359:BK359,0)</f>
        <v>4</v>
      </c>
      <c r="BN359" s="17" t="n">
        <f aca="false">SQRT(($B359-BN$270)^2+($C359-BN$271)^2+($D359-BN$272)^2)</f>
        <v>7.00763825983921</v>
      </c>
      <c r="BO359" s="17" t="n">
        <f aca="false">SQRT(($B359-BO$270)^2+($C359-BO$271)^2+($D359-BO$272)^2)</f>
        <v>0.948561626556996</v>
      </c>
      <c r="BP359" s="17" t="n">
        <f aca="false">SQRT(($B359-BP$270)^2+($C359-BP$271)^2+($D359-BP$272)^2)</f>
        <v>2.1764521070269</v>
      </c>
      <c r="BQ359" s="17" t="n">
        <f aca="false">SQRT(($B359-BQ$270)^2+($C359-BQ$271)^2+($D359-BQ$272)^2)</f>
        <v>0.443924301286517</v>
      </c>
      <c r="BR359" s="17" t="n">
        <f aca="false">SQRT(($B359-BR$270)^2+($C359-BR$271)^2+($D359-BR$272)^2)</f>
        <v>4.46107957309437</v>
      </c>
      <c r="BS359" s="63" t="n">
        <f aca="false">MATCH(MIN(BN359:BR359),BN359:BR359,0)</f>
        <v>4</v>
      </c>
      <c r="BU359" s="17" t="n">
        <f aca="false">SQRT(($B359-BU$270)^2+($C359-BU$271)^2+($D359-BU$272)^2)</f>
        <v>7.00763825983921</v>
      </c>
      <c r="BV359" s="17" t="n">
        <f aca="false">SQRT(($B359-BV$270)^2+($C359-BV$271)^2+($D359-BV$272)^2)</f>
        <v>0.948561626556996</v>
      </c>
      <c r="BW359" s="17" t="n">
        <f aca="false">SQRT(($B359-BW$270)^2+($C359-BW$271)^2+($D359-BW$272)^2)</f>
        <v>2.1764521070269</v>
      </c>
      <c r="BX359" s="17" t="n">
        <f aca="false">SQRT(($B359-BX$270)^2+($C359-BX$271)^2+($D359-BX$272)^2)</f>
        <v>0.443924301286517</v>
      </c>
      <c r="BY359" s="17" t="n">
        <f aca="false">SQRT(($B359-BY$270)^2+($C359-BY$271)^2+($D359-BY$272)^2)</f>
        <v>4.46107957309437</v>
      </c>
      <c r="BZ359" s="63" t="n">
        <f aca="false">MATCH(MIN(BU359:BY359),BU359:BY359,0)</f>
        <v>4</v>
      </c>
      <c r="CB359" s="17" t="n">
        <f aca="false">SQRT(($B359-CB$270)^2+($C359-CB$271)^2+($D359-CB$272)^2)</f>
        <v>7.00763825983921</v>
      </c>
      <c r="CC359" s="17" t="n">
        <f aca="false">SQRT(($B359-CC$270)^2+($C359-CC$271)^2+($D359-CC$272)^2)</f>
        <v>0.948561626556996</v>
      </c>
      <c r="CD359" s="17" t="n">
        <f aca="false">SQRT(($B359-CD$270)^2+($C359-CD$271)^2+($D359-CD$272)^2)</f>
        <v>2.1764521070269</v>
      </c>
      <c r="CE359" s="17" t="n">
        <f aca="false">SQRT(($B359-CE$270)^2+($C359-CE$271)^2+($D359-CE$272)^2)</f>
        <v>0.443924301286517</v>
      </c>
      <c r="CF359" s="17" t="n">
        <f aca="false">SQRT(($B359-CF$270)^2+($C359-CF$271)^2+($D359-CF$272)^2)</f>
        <v>4.46107957309437</v>
      </c>
      <c r="CG359" s="63" t="n">
        <f aca="false">MATCH(MIN(CB359:CF359),CB359:CF359,0)</f>
        <v>4</v>
      </c>
      <c r="CI359" s="17" t="n">
        <f aca="false">SQRT(($B359-CI$270)^2+($C359-CI$271)^2+($D359-CI$272)^2)</f>
        <v>7.00763825983921</v>
      </c>
      <c r="CJ359" s="17" t="n">
        <f aca="false">SQRT(($B359-CJ$270)^2+($C359-CJ$271)^2+($D359-CJ$272)^2)</f>
        <v>0.948561626556996</v>
      </c>
      <c r="CK359" s="17" t="n">
        <f aca="false">SQRT(($B359-CK$270)^2+($C359-CK$271)^2+($D359-CK$272)^2)</f>
        <v>2.1764521070269</v>
      </c>
      <c r="CL359" s="17" t="n">
        <f aca="false">SQRT(($B359-CL$270)^2+($C359-CL$271)^2+($D359-CL$272)^2)</f>
        <v>0.443924301286517</v>
      </c>
      <c r="CM359" s="17" t="n">
        <f aca="false">SQRT(($B359-CM$270)^2+($C359-CM$271)^2+($D359-CM$272)^2)</f>
        <v>4.46107957309437</v>
      </c>
      <c r="CN359" s="63" t="n">
        <f aca="false">MATCH(MIN(CI359:CM359),CI359:CM359,0)</f>
        <v>4</v>
      </c>
      <c r="CP359" s="17" t="n">
        <f aca="false">SQRT(($B359-CP$270)^2+($C359-CP$271)^2+($D359-CP$272)^2)</f>
        <v>7.00763825983921</v>
      </c>
      <c r="CQ359" s="17" t="n">
        <f aca="false">SQRT(($B359-CQ$270)^2+($C359-CQ$271)^2+($D359-CQ$272)^2)</f>
        <v>0.948561626556996</v>
      </c>
      <c r="CR359" s="17" t="n">
        <f aca="false">SQRT(($B359-CR$270)^2+($C359-CR$271)^2+($D359-CR$272)^2)</f>
        <v>2.1764521070269</v>
      </c>
      <c r="CS359" s="17" t="n">
        <f aca="false">SQRT(($B359-CS$270)^2+($C359-CS$271)^2+($D359-CS$272)^2)</f>
        <v>0.443924301286517</v>
      </c>
      <c r="CT359" s="17" t="n">
        <f aca="false">SQRT(($B359-CT$270)^2+($C359-CT$271)^2+($D359-CT$272)^2)</f>
        <v>4.46107957309437</v>
      </c>
      <c r="CU359" s="63" t="n">
        <f aca="false">MATCH(MIN(CP359:CT359),CP359:CT359,0)</f>
        <v>4</v>
      </c>
      <c r="CW359" s="17" t="n">
        <f aca="false">SQRT(($B359-CW$270)^2+($C359-CW$271)^2+($D359-CW$272)^2)</f>
        <v>7.00763825983921</v>
      </c>
      <c r="CX359" s="17" t="n">
        <f aca="false">SQRT(($B359-CX$270)^2+($C359-CX$271)^2+($D359-CX$272)^2)</f>
        <v>0.948561626556996</v>
      </c>
      <c r="CY359" s="17" t="n">
        <f aca="false">SQRT(($B359-CY$270)^2+($C359-CY$271)^2+($D359-CY$272)^2)</f>
        <v>2.1764521070269</v>
      </c>
      <c r="CZ359" s="17" t="n">
        <f aca="false">SQRT(($B359-CZ$270)^2+($C359-CZ$271)^2+($D359-CZ$272)^2)</f>
        <v>0.443924301286517</v>
      </c>
      <c r="DA359" s="17" t="n">
        <f aca="false">SQRT(($B359-DA$270)^2+($C359-DA$271)^2+($D359-DA$272)^2)</f>
        <v>4.46107957309437</v>
      </c>
      <c r="DB359" s="63" t="n">
        <f aca="false">MATCH(MIN(CW359:DA359),CW359:DA359,0)</f>
        <v>4</v>
      </c>
    </row>
    <row r="360" customFormat="false" ht="15" hidden="false" customHeight="false" outlineLevel="0" collapsed="false">
      <c r="A360" s="36" t="str">
        <f aca="false">KMeans_Data!A88</f>
        <v>Mianwali</v>
      </c>
      <c r="B360" s="17" t="n">
        <f aca="false">KMeans_Data!H88</f>
        <v>-0.547245774552967</v>
      </c>
      <c r="C360" s="17" t="n">
        <f aca="false">KMeans_Data!I88</f>
        <v>-0.672650545388274</v>
      </c>
      <c r="D360" s="17" t="n">
        <f aca="false">KMeans_Data!J88</f>
        <v>-0.824446015898766</v>
      </c>
      <c r="E360" s="63" t="n">
        <f aca="false">DB360</f>
        <v>4</v>
      </c>
      <c r="F360" s="38" t="n">
        <f aca="false">($B360-INDEX($L$270:$P$270,E360))^2+($C360-INDEX($L$271:$P$271,E360))^2+($D360-INDEX($L$272:$P$272,E360))^2</f>
        <v>0.404209584555891</v>
      </c>
      <c r="G360" s="17" t="n">
        <f aca="false">IF(COUNTIF(Distance_Matrix!$E$11:$DQ$11,$E360)&lt;=1,0,SUMIF(Distance_Matrix!$E$11:$DQ$11,$E360,Distance_Matrix!$E$97:$DQ$97)/(COUNTIF(Distance_Matrix!$E$11:$DQ$11,$E360)-1))</f>
        <v>0.933113994449474</v>
      </c>
      <c r="H360" s="17" t="n">
        <f aca="false">MIN(IF(1=$E360,1E+099,IF(COUNTIF(Distance_Matrix!$E$11:$DQ$11,1)=0,1E+099,SUMIF(Distance_Matrix!$E$11:$DQ$11,1,Distance_Matrix!$E$97:$DQ$97)/COUNTIF(Distance_Matrix!$E$11:$DQ$11,1))),IF(2=$E360,1E+099,IF(COUNTIF(Distance_Matrix!$E$11:$DQ$11,2)=0,1E+099,SUMIF(Distance_Matrix!$E$11:$DQ$11,2,Distance_Matrix!$E$97:$DQ$97)/COUNTIF(Distance_Matrix!$E$11:$DQ$11,2))),IF(3=$E360,1E+099,IF(COUNTIF(Distance_Matrix!$E$11:$DQ$11,3)=0,1E+099,SUMIF(Distance_Matrix!$E$11:$DQ$11,3,Distance_Matrix!$E$97:$DQ$97)/COUNTIF(Distance_Matrix!$E$11:$DQ$11,3))),IF(4=$E360,1E+099,IF(COUNTIF(Distance_Matrix!$E$11:$DQ$11,4)=0,1E+099,SUMIF(Distance_Matrix!$E$11:$DQ$11,4,Distance_Matrix!$E$97:$DQ$97)/COUNTIF(Distance_Matrix!$E$11:$DQ$11,4))),IF(5=$E360,1E+099,IF(COUNTIF(Distance_Matrix!$E$11:$DQ$11,5)=0,1E+099,SUMIF(Distance_Matrix!$E$11:$DQ$11,5,Distance_Matrix!$E$97:$DQ$97)/COUNTIF(Distance_Matrix!$E$11:$DQ$11,5))))</f>
        <v>0.821071015667841</v>
      </c>
      <c r="I360" s="17" t="n">
        <f aca="false">IF(COUNTIF(Distance_Matrix!$E$11:$DQ$11,$E360)&lt;=1,0,(H360-G360)/MAX(G360,H360))</f>
        <v>-0.1200742668614</v>
      </c>
      <c r="X360" s="17" t="n">
        <f aca="false">SQRT(($B360-X$270)^2+($C360-X$271)^2+($D360-X$272)^2)</f>
        <v>7.30929257984732</v>
      </c>
      <c r="Y360" s="17" t="n">
        <f aca="false">SQRT(($B360-Y$270)^2+($C360-Y$271)^2+($D360-Y$272)^2)</f>
        <v>1.56579072196957</v>
      </c>
      <c r="Z360" s="17" t="n">
        <f aca="false">SQRT(($B360-Z$270)^2+($C360-Z$271)^2+($D360-Z$272)^2)</f>
        <v>2.98036014715079</v>
      </c>
      <c r="AA360" s="17" t="n">
        <f aca="false">SQRT(($B360-AA$270)^2+($C360-AA$271)^2+($D360-AA$272)^2)</f>
        <v>1.3425907007716</v>
      </c>
      <c r="AB360" s="17" t="n">
        <f aca="false">SQRT(($B360-AB$270)^2+($C360-AB$271)^2+($D360-AB$272)^2)</f>
        <v>5.24402899684985</v>
      </c>
      <c r="AC360" s="63" t="n">
        <f aca="false">MATCH(MIN(X360:AB360),X360:AB360,0)</f>
        <v>4</v>
      </c>
      <c r="AE360" s="17" t="n">
        <f aca="false">SQRT(($B360-AE$270)^2+($C360-AE$271)^2+($D360-AE$272)^2)</f>
        <v>7.18622815918274</v>
      </c>
      <c r="AF360" s="17" t="n">
        <f aca="false">SQRT(($B360-AF$270)^2+($C360-AF$271)^2+($D360-AF$272)^2)</f>
        <v>0.702803530184403</v>
      </c>
      <c r="AG360" s="17" t="n">
        <f aca="false">SQRT(($B360-AG$270)^2+($C360-AG$271)^2+($D360-AG$272)^2)</f>
        <v>2.316292857979</v>
      </c>
      <c r="AH360" s="17" t="n">
        <f aca="false">SQRT(($B360-AH$270)^2+($C360-AH$271)^2+($D360-AH$272)^2)</f>
        <v>0.604387473378301</v>
      </c>
      <c r="AI360" s="17" t="n">
        <f aca="false">SQRT(($B360-AI$270)^2+($C360-AI$271)^2+($D360-AI$272)^2)</f>
        <v>4.91006901540543</v>
      </c>
      <c r="AJ360" s="63" t="n">
        <f aca="false">MATCH(MIN(AE360:AI360),AE360:AI360,0)</f>
        <v>4</v>
      </c>
      <c r="AL360" s="17" t="n">
        <f aca="false">SQRT(($B360-AL$270)^2+($C360-AL$271)^2+($D360-AL$272)^2)</f>
        <v>7.18622815918274</v>
      </c>
      <c r="AM360" s="17" t="n">
        <f aca="false">SQRT(($B360-AM$270)^2+($C360-AM$271)^2+($D360-AM$272)^2)</f>
        <v>0.703980365266165</v>
      </c>
      <c r="AN360" s="17" t="n">
        <f aca="false">SQRT(($B360-AN$270)^2+($C360-AN$271)^2+($D360-AN$272)^2)</f>
        <v>2.37700993338596</v>
      </c>
      <c r="AO360" s="17" t="n">
        <f aca="false">SQRT(($B360-AO$270)^2+($C360-AO$271)^2+($D360-AO$272)^2)</f>
        <v>0.652072455492815</v>
      </c>
      <c r="AP360" s="17" t="n">
        <f aca="false">SQRT(($B360-AP$270)^2+($C360-AP$271)^2+($D360-AP$272)^2)</f>
        <v>4.63966458287912</v>
      </c>
      <c r="AQ360" s="63" t="n">
        <f aca="false">MATCH(MIN(AL360:AP360),AL360:AP360,0)</f>
        <v>4</v>
      </c>
      <c r="AS360" s="17" t="n">
        <f aca="false">SQRT(($B360-AS$270)^2+($C360-AS$271)^2+($D360-AS$272)^2)</f>
        <v>7.18622815918274</v>
      </c>
      <c r="AT360" s="17" t="n">
        <f aca="false">SQRT(($B360-AT$270)^2+($C360-AT$271)^2+($D360-AT$272)^2)</f>
        <v>0.77241890813494</v>
      </c>
      <c r="AU360" s="17" t="n">
        <f aca="false">SQRT(($B360-AU$270)^2+($C360-AU$271)^2+($D360-AU$272)^2)</f>
        <v>2.40365880337458</v>
      </c>
      <c r="AV360" s="17" t="n">
        <f aca="false">SQRT(($B360-AV$270)^2+($C360-AV$271)^2+($D360-AV$272)^2)</f>
        <v>0.635774790752111</v>
      </c>
      <c r="AW360" s="17" t="n">
        <f aca="false">SQRT(($B360-AW$270)^2+($C360-AW$271)^2+($D360-AW$272)^2)</f>
        <v>4.63966458287912</v>
      </c>
      <c r="AX360" s="63" t="n">
        <f aca="false">MATCH(MIN(AS360:AW360),AS360:AW360,0)</f>
        <v>4</v>
      </c>
      <c r="AZ360" s="17" t="n">
        <f aca="false">SQRT(($B360-AZ$270)^2+($C360-AZ$271)^2+($D360-AZ$272)^2)</f>
        <v>7.18622815918274</v>
      </c>
      <c r="BA360" s="17" t="n">
        <f aca="false">SQRT(($B360-BA$270)^2+($C360-BA$271)^2+($D360-BA$272)^2)</f>
        <v>0.77241890813494</v>
      </c>
      <c r="BB360" s="17" t="n">
        <f aca="false">SQRT(($B360-BB$270)^2+($C360-BB$271)^2+($D360-BB$272)^2)</f>
        <v>2.40365880337458</v>
      </c>
      <c r="BC360" s="17" t="n">
        <f aca="false">SQRT(($B360-BC$270)^2+($C360-BC$271)^2+($D360-BC$272)^2)</f>
        <v>0.635774790752111</v>
      </c>
      <c r="BD360" s="17" t="n">
        <f aca="false">SQRT(($B360-BD$270)^2+($C360-BD$271)^2+($D360-BD$272)^2)</f>
        <v>4.63966458287912</v>
      </c>
      <c r="BE360" s="63" t="n">
        <f aca="false">MATCH(MIN(AZ360:BD360),AZ360:BD360,0)</f>
        <v>4</v>
      </c>
      <c r="BG360" s="17" t="n">
        <f aca="false">SQRT(($B360-BG$270)^2+($C360-BG$271)^2+($D360-BG$272)^2)</f>
        <v>7.18622815918274</v>
      </c>
      <c r="BH360" s="17" t="n">
        <f aca="false">SQRT(($B360-BH$270)^2+($C360-BH$271)^2+($D360-BH$272)^2)</f>
        <v>0.77241890813494</v>
      </c>
      <c r="BI360" s="17" t="n">
        <f aca="false">SQRT(($B360-BI$270)^2+($C360-BI$271)^2+($D360-BI$272)^2)</f>
        <v>2.40365880337458</v>
      </c>
      <c r="BJ360" s="17" t="n">
        <f aca="false">SQRT(($B360-BJ$270)^2+($C360-BJ$271)^2+($D360-BJ$272)^2)</f>
        <v>0.635774790752111</v>
      </c>
      <c r="BK360" s="17" t="n">
        <f aca="false">SQRT(($B360-BK$270)^2+($C360-BK$271)^2+($D360-BK$272)^2)</f>
        <v>4.63966458287912</v>
      </c>
      <c r="BL360" s="63" t="n">
        <f aca="false">MATCH(MIN(BG360:BK360),BG360:BK360,0)</f>
        <v>4</v>
      </c>
      <c r="BN360" s="17" t="n">
        <f aca="false">SQRT(($B360-BN$270)^2+($C360-BN$271)^2+($D360-BN$272)^2)</f>
        <v>7.18622815918274</v>
      </c>
      <c r="BO360" s="17" t="n">
        <f aca="false">SQRT(($B360-BO$270)^2+($C360-BO$271)^2+($D360-BO$272)^2)</f>
        <v>0.77241890813494</v>
      </c>
      <c r="BP360" s="17" t="n">
        <f aca="false">SQRT(($B360-BP$270)^2+($C360-BP$271)^2+($D360-BP$272)^2)</f>
        <v>2.40365880337458</v>
      </c>
      <c r="BQ360" s="17" t="n">
        <f aca="false">SQRT(($B360-BQ$270)^2+($C360-BQ$271)^2+($D360-BQ$272)^2)</f>
        <v>0.635774790752111</v>
      </c>
      <c r="BR360" s="17" t="n">
        <f aca="false">SQRT(($B360-BR$270)^2+($C360-BR$271)^2+($D360-BR$272)^2)</f>
        <v>4.63966458287912</v>
      </c>
      <c r="BS360" s="63" t="n">
        <f aca="false">MATCH(MIN(BN360:BR360),BN360:BR360,0)</f>
        <v>4</v>
      </c>
      <c r="BU360" s="17" t="n">
        <f aca="false">SQRT(($B360-BU$270)^2+($C360-BU$271)^2+($D360-BU$272)^2)</f>
        <v>7.18622815918274</v>
      </c>
      <c r="BV360" s="17" t="n">
        <f aca="false">SQRT(($B360-BV$270)^2+($C360-BV$271)^2+($D360-BV$272)^2)</f>
        <v>0.77241890813494</v>
      </c>
      <c r="BW360" s="17" t="n">
        <f aca="false">SQRT(($B360-BW$270)^2+($C360-BW$271)^2+($D360-BW$272)^2)</f>
        <v>2.40365880337458</v>
      </c>
      <c r="BX360" s="17" t="n">
        <f aca="false">SQRT(($B360-BX$270)^2+($C360-BX$271)^2+($D360-BX$272)^2)</f>
        <v>0.635774790752111</v>
      </c>
      <c r="BY360" s="17" t="n">
        <f aca="false">SQRT(($B360-BY$270)^2+($C360-BY$271)^2+($D360-BY$272)^2)</f>
        <v>4.63966458287912</v>
      </c>
      <c r="BZ360" s="63" t="n">
        <f aca="false">MATCH(MIN(BU360:BY360),BU360:BY360,0)</f>
        <v>4</v>
      </c>
      <c r="CB360" s="17" t="n">
        <f aca="false">SQRT(($B360-CB$270)^2+($C360-CB$271)^2+($D360-CB$272)^2)</f>
        <v>7.18622815918274</v>
      </c>
      <c r="CC360" s="17" t="n">
        <f aca="false">SQRT(($B360-CC$270)^2+($C360-CC$271)^2+($D360-CC$272)^2)</f>
        <v>0.77241890813494</v>
      </c>
      <c r="CD360" s="17" t="n">
        <f aca="false">SQRT(($B360-CD$270)^2+($C360-CD$271)^2+($D360-CD$272)^2)</f>
        <v>2.40365880337458</v>
      </c>
      <c r="CE360" s="17" t="n">
        <f aca="false">SQRT(($B360-CE$270)^2+($C360-CE$271)^2+($D360-CE$272)^2)</f>
        <v>0.635774790752111</v>
      </c>
      <c r="CF360" s="17" t="n">
        <f aca="false">SQRT(($B360-CF$270)^2+($C360-CF$271)^2+($D360-CF$272)^2)</f>
        <v>4.63966458287912</v>
      </c>
      <c r="CG360" s="63" t="n">
        <f aca="false">MATCH(MIN(CB360:CF360),CB360:CF360,0)</f>
        <v>4</v>
      </c>
      <c r="CI360" s="17" t="n">
        <f aca="false">SQRT(($B360-CI$270)^2+($C360-CI$271)^2+($D360-CI$272)^2)</f>
        <v>7.18622815918274</v>
      </c>
      <c r="CJ360" s="17" t="n">
        <f aca="false">SQRT(($B360-CJ$270)^2+($C360-CJ$271)^2+($D360-CJ$272)^2)</f>
        <v>0.77241890813494</v>
      </c>
      <c r="CK360" s="17" t="n">
        <f aca="false">SQRT(($B360-CK$270)^2+($C360-CK$271)^2+($D360-CK$272)^2)</f>
        <v>2.40365880337458</v>
      </c>
      <c r="CL360" s="17" t="n">
        <f aca="false">SQRT(($B360-CL$270)^2+($C360-CL$271)^2+($D360-CL$272)^2)</f>
        <v>0.635774790752111</v>
      </c>
      <c r="CM360" s="17" t="n">
        <f aca="false">SQRT(($B360-CM$270)^2+($C360-CM$271)^2+($D360-CM$272)^2)</f>
        <v>4.63966458287912</v>
      </c>
      <c r="CN360" s="63" t="n">
        <f aca="false">MATCH(MIN(CI360:CM360),CI360:CM360,0)</f>
        <v>4</v>
      </c>
      <c r="CP360" s="17" t="n">
        <f aca="false">SQRT(($B360-CP$270)^2+($C360-CP$271)^2+($D360-CP$272)^2)</f>
        <v>7.18622815918274</v>
      </c>
      <c r="CQ360" s="17" t="n">
        <f aca="false">SQRT(($B360-CQ$270)^2+($C360-CQ$271)^2+($D360-CQ$272)^2)</f>
        <v>0.77241890813494</v>
      </c>
      <c r="CR360" s="17" t="n">
        <f aca="false">SQRT(($B360-CR$270)^2+($C360-CR$271)^2+($D360-CR$272)^2)</f>
        <v>2.40365880337458</v>
      </c>
      <c r="CS360" s="17" t="n">
        <f aca="false">SQRT(($B360-CS$270)^2+($C360-CS$271)^2+($D360-CS$272)^2)</f>
        <v>0.635774790752111</v>
      </c>
      <c r="CT360" s="17" t="n">
        <f aca="false">SQRT(($B360-CT$270)^2+($C360-CT$271)^2+($D360-CT$272)^2)</f>
        <v>4.63966458287912</v>
      </c>
      <c r="CU360" s="63" t="n">
        <f aca="false">MATCH(MIN(CP360:CT360),CP360:CT360,0)</f>
        <v>4</v>
      </c>
      <c r="CW360" s="17" t="n">
        <f aca="false">SQRT(($B360-CW$270)^2+($C360-CW$271)^2+($D360-CW$272)^2)</f>
        <v>7.18622815918274</v>
      </c>
      <c r="CX360" s="17" t="n">
        <f aca="false">SQRT(($B360-CX$270)^2+($C360-CX$271)^2+($D360-CX$272)^2)</f>
        <v>0.77241890813494</v>
      </c>
      <c r="CY360" s="17" t="n">
        <f aca="false">SQRT(($B360-CY$270)^2+($C360-CY$271)^2+($D360-CY$272)^2)</f>
        <v>2.40365880337458</v>
      </c>
      <c r="CZ360" s="17" t="n">
        <f aca="false">SQRT(($B360-CZ$270)^2+($C360-CZ$271)^2+($D360-CZ$272)^2)</f>
        <v>0.635774790752111</v>
      </c>
      <c r="DA360" s="17" t="n">
        <f aca="false">SQRT(($B360-DA$270)^2+($C360-DA$271)^2+($D360-DA$272)^2)</f>
        <v>4.63966458287912</v>
      </c>
      <c r="DB360" s="63" t="n">
        <f aca="false">MATCH(MIN(CW360:DA360),CW360:DA360,0)</f>
        <v>4</v>
      </c>
    </row>
    <row r="361" customFormat="false" ht="15" hidden="false" customHeight="false" outlineLevel="0" collapsed="false">
      <c r="A361" s="36" t="str">
        <f aca="false">KMeans_Data!A89</f>
        <v>Kharmang</v>
      </c>
      <c r="B361" s="17" t="n">
        <f aca="false">KMeans_Data!H89</f>
        <v>-0.605135382814146</v>
      </c>
      <c r="C361" s="17" t="n">
        <f aca="false">KMeans_Data!I89</f>
        <v>-0.672650545388274</v>
      </c>
      <c r="D361" s="17" t="n">
        <f aca="false">KMeans_Data!J89</f>
        <v>-0.0344812518432112</v>
      </c>
      <c r="E361" s="63" t="n">
        <f aca="false">DB361</f>
        <v>4</v>
      </c>
      <c r="F361" s="38" t="n">
        <f aca="false">($B361-INDEX($L$270:$P$270,E361))^2+($C361-INDEX($L$271:$P$271,E361))^2+($D361-INDEX($L$272:$P$272,E361))^2</f>
        <v>0.370093838591206</v>
      </c>
      <c r="G361" s="17" t="n">
        <f aca="false">IF(COUNTIF(Distance_Matrix!$E$11:$DQ$11,$E361)&lt;=1,0,SUMIF(Distance_Matrix!$E$11:$DQ$11,$E361,Distance_Matrix!$E$98:$DQ$98)/(COUNTIF(Distance_Matrix!$E$11:$DQ$11,$E361)-1))</f>
        <v>0.892746825079589</v>
      </c>
      <c r="H361" s="17" t="n">
        <f aca="false">MIN(IF(1=$E361,1E+099,IF(COUNTIF(Distance_Matrix!$E$11:$DQ$11,1)=0,1E+099,SUMIF(Distance_Matrix!$E$11:$DQ$11,1,Distance_Matrix!$E$98:$DQ$98)/COUNTIF(Distance_Matrix!$E$11:$DQ$11,1))),IF(2=$E361,1E+099,IF(COUNTIF(Distance_Matrix!$E$11:$DQ$11,2)=0,1E+099,SUMIF(Distance_Matrix!$E$11:$DQ$11,2,Distance_Matrix!$E$98:$DQ$98)/COUNTIF(Distance_Matrix!$E$11:$DQ$11,2))),IF(3=$E361,1E+099,IF(COUNTIF(Distance_Matrix!$E$11:$DQ$11,3)=0,1E+099,SUMIF(Distance_Matrix!$E$11:$DQ$11,3,Distance_Matrix!$E$98:$DQ$98)/COUNTIF(Distance_Matrix!$E$11:$DQ$11,3))),IF(4=$E361,1E+099,IF(COUNTIF(Distance_Matrix!$E$11:$DQ$11,4)=0,1E+099,SUMIF(Distance_Matrix!$E$11:$DQ$11,4,Distance_Matrix!$E$98:$DQ$98)/COUNTIF(Distance_Matrix!$E$11:$DQ$11,4))),IF(5=$E361,1E+099,IF(COUNTIF(Distance_Matrix!$E$11:$DQ$11,5)=0,1E+099,SUMIF(Distance_Matrix!$E$11:$DQ$11,5,Distance_Matrix!$E$98:$DQ$98)/COUNTIF(Distance_Matrix!$E$11:$DQ$11,5))))</f>
        <v>1.28793192851652</v>
      </c>
      <c r="I361" s="17" t="n">
        <f aca="false">IF(COUNTIF(Distance_Matrix!$E$11:$DQ$11,$E361)&lt;=1,0,(H361-G361)/MAX(G361,H361))</f>
        <v>0.306836948977666</v>
      </c>
      <c r="X361" s="17" t="n">
        <f aca="false">SQRT(($B361-X$270)^2+($C361-X$271)^2+($D361-X$272)^2)</f>
        <v>6.93209827157873</v>
      </c>
      <c r="Y361" s="17" t="n">
        <f aca="false">SQRT(($B361-Y$270)^2+($C361-Y$271)^2+($D361-Y$272)^2)</f>
        <v>1.84638450393411</v>
      </c>
      <c r="Z361" s="17" t="n">
        <f aca="false">SQRT(($B361-Z$270)^2+($C361-Z$271)^2+($D361-Z$272)^2)</f>
        <v>2.4632705018895</v>
      </c>
      <c r="AA361" s="17" t="n">
        <f aca="false">SQRT(($B361-AA$270)^2+($C361-AA$271)^2+($D361-AA$272)^2)</f>
        <v>1.75371916113307</v>
      </c>
      <c r="AB361" s="17" t="n">
        <f aca="false">SQRT(($B361-AB$270)^2+($C361-AB$271)^2+($D361-AB$272)^2)</f>
        <v>4.83876407548665</v>
      </c>
      <c r="AC361" s="63" t="n">
        <f aca="false">MATCH(MIN(X361:AB361),X361:AB361,0)</f>
        <v>4</v>
      </c>
      <c r="AE361" s="17" t="n">
        <f aca="false">SQRT(($B361-AE$270)^2+($C361-AE$271)^2+($D361-AE$272)^2)</f>
        <v>6.83525587893167</v>
      </c>
      <c r="AF361" s="17" t="n">
        <f aca="false">SQRT(($B361-AF$270)^2+($C361-AF$271)^2+($D361-AF$272)^2)</f>
        <v>1.10273149817642</v>
      </c>
      <c r="AG361" s="17" t="n">
        <f aca="false">SQRT(($B361-AG$270)^2+($C361-AG$271)^2+($D361-AG$272)^2)</f>
        <v>1.86551900440555</v>
      </c>
      <c r="AH361" s="17" t="n">
        <f aca="false">SQRT(($B361-AH$270)^2+($C361-AH$271)^2+($D361-AH$272)^2)</f>
        <v>0.747196749135476</v>
      </c>
      <c r="AI361" s="17" t="n">
        <f aca="false">SQRT(($B361-AI$270)^2+($C361-AI$271)^2+($D361-AI$272)^2)</f>
        <v>4.57322244629921</v>
      </c>
      <c r="AJ361" s="63" t="n">
        <f aca="false">MATCH(MIN(AE361:AI361),AE361:AI361,0)</f>
        <v>4</v>
      </c>
      <c r="AL361" s="17" t="n">
        <f aca="false">SQRT(($B361-AL$270)^2+($C361-AL$271)^2+($D361-AL$272)^2)</f>
        <v>6.83525587893167</v>
      </c>
      <c r="AM361" s="17" t="n">
        <f aca="false">SQRT(($B361-AM$270)^2+($C361-AM$271)^2+($D361-AM$272)^2)</f>
        <v>1.13942525965877</v>
      </c>
      <c r="AN361" s="17" t="n">
        <f aca="false">SQRT(($B361-AN$270)^2+($C361-AN$271)^2+($D361-AN$272)^2)</f>
        <v>1.94259945215963</v>
      </c>
      <c r="AO361" s="17" t="n">
        <f aca="false">SQRT(($B361-AO$270)^2+($C361-AO$271)^2+($D361-AO$272)^2)</f>
        <v>0.65745508703316</v>
      </c>
      <c r="AP361" s="17" t="n">
        <f aca="false">SQRT(($B361-AP$270)^2+($C361-AP$271)^2+($D361-AP$272)^2)</f>
        <v>4.30185697586864</v>
      </c>
      <c r="AQ361" s="63" t="n">
        <f aca="false">MATCH(MIN(AL361:AP361),AL361:AP361,0)</f>
        <v>4</v>
      </c>
      <c r="AS361" s="17" t="n">
        <f aca="false">SQRT(($B361-AS$270)^2+($C361-AS$271)^2+($D361-AS$272)^2)</f>
        <v>6.83525587893167</v>
      </c>
      <c r="AT361" s="17" t="n">
        <f aca="false">SQRT(($B361-AT$270)^2+($C361-AT$271)^2+($D361-AT$272)^2)</f>
        <v>1.23835590381937</v>
      </c>
      <c r="AU361" s="17" t="n">
        <f aca="false">SQRT(($B361-AU$270)^2+($C361-AU$271)^2+($D361-AU$272)^2)</f>
        <v>1.9692425081748</v>
      </c>
      <c r="AV361" s="17" t="n">
        <f aca="false">SQRT(($B361-AV$270)^2+($C361-AV$271)^2+($D361-AV$272)^2)</f>
        <v>0.608353382986571</v>
      </c>
      <c r="AW361" s="17" t="n">
        <f aca="false">SQRT(($B361-AW$270)^2+($C361-AW$271)^2+($D361-AW$272)^2)</f>
        <v>4.30185697586864</v>
      </c>
      <c r="AX361" s="63" t="n">
        <f aca="false">MATCH(MIN(AS361:AW361),AS361:AW361,0)</f>
        <v>4</v>
      </c>
      <c r="AZ361" s="17" t="n">
        <f aca="false">SQRT(($B361-AZ$270)^2+($C361-AZ$271)^2+($D361-AZ$272)^2)</f>
        <v>6.83525587893167</v>
      </c>
      <c r="BA361" s="17" t="n">
        <f aca="false">SQRT(($B361-BA$270)^2+($C361-BA$271)^2+($D361-BA$272)^2)</f>
        <v>1.23835590381937</v>
      </c>
      <c r="BB361" s="17" t="n">
        <f aca="false">SQRT(($B361-BB$270)^2+($C361-BB$271)^2+($D361-BB$272)^2)</f>
        <v>1.9692425081748</v>
      </c>
      <c r="BC361" s="17" t="n">
        <f aca="false">SQRT(($B361-BC$270)^2+($C361-BC$271)^2+($D361-BC$272)^2)</f>
        <v>0.608353382986571</v>
      </c>
      <c r="BD361" s="17" t="n">
        <f aca="false">SQRT(($B361-BD$270)^2+($C361-BD$271)^2+($D361-BD$272)^2)</f>
        <v>4.30185697586864</v>
      </c>
      <c r="BE361" s="63" t="n">
        <f aca="false">MATCH(MIN(AZ361:BD361),AZ361:BD361,0)</f>
        <v>4</v>
      </c>
      <c r="BG361" s="17" t="n">
        <f aca="false">SQRT(($B361-BG$270)^2+($C361-BG$271)^2+($D361-BG$272)^2)</f>
        <v>6.83525587893167</v>
      </c>
      <c r="BH361" s="17" t="n">
        <f aca="false">SQRT(($B361-BH$270)^2+($C361-BH$271)^2+($D361-BH$272)^2)</f>
        <v>1.23835590381937</v>
      </c>
      <c r="BI361" s="17" t="n">
        <f aca="false">SQRT(($B361-BI$270)^2+($C361-BI$271)^2+($D361-BI$272)^2)</f>
        <v>1.9692425081748</v>
      </c>
      <c r="BJ361" s="17" t="n">
        <f aca="false">SQRT(($B361-BJ$270)^2+($C361-BJ$271)^2+($D361-BJ$272)^2)</f>
        <v>0.608353382986571</v>
      </c>
      <c r="BK361" s="17" t="n">
        <f aca="false">SQRT(($B361-BK$270)^2+($C361-BK$271)^2+($D361-BK$272)^2)</f>
        <v>4.30185697586864</v>
      </c>
      <c r="BL361" s="63" t="n">
        <f aca="false">MATCH(MIN(BG361:BK361),BG361:BK361,0)</f>
        <v>4</v>
      </c>
      <c r="BN361" s="17" t="n">
        <f aca="false">SQRT(($B361-BN$270)^2+($C361-BN$271)^2+($D361-BN$272)^2)</f>
        <v>6.83525587893167</v>
      </c>
      <c r="BO361" s="17" t="n">
        <f aca="false">SQRT(($B361-BO$270)^2+($C361-BO$271)^2+($D361-BO$272)^2)</f>
        <v>1.23835590381937</v>
      </c>
      <c r="BP361" s="17" t="n">
        <f aca="false">SQRT(($B361-BP$270)^2+($C361-BP$271)^2+($D361-BP$272)^2)</f>
        <v>1.9692425081748</v>
      </c>
      <c r="BQ361" s="17" t="n">
        <f aca="false">SQRT(($B361-BQ$270)^2+($C361-BQ$271)^2+($D361-BQ$272)^2)</f>
        <v>0.608353382986571</v>
      </c>
      <c r="BR361" s="17" t="n">
        <f aca="false">SQRT(($B361-BR$270)^2+($C361-BR$271)^2+($D361-BR$272)^2)</f>
        <v>4.30185697586864</v>
      </c>
      <c r="BS361" s="63" t="n">
        <f aca="false">MATCH(MIN(BN361:BR361),BN361:BR361,0)</f>
        <v>4</v>
      </c>
      <c r="BU361" s="17" t="n">
        <f aca="false">SQRT(($B361-BU$270)^2+($C361-BU$271)^2+($D361-BU$272)^2)</f>
        <v>6.83525587893167</v>
      </c>
      <c r="BV361" s="17" t="n">
        <f aca="false">SQRT(($B361-BV$270)^2+($C361-BV$271)^2+($D361-BV$272)^2)</f>
        <v>1.23835590381937</v>
      </c>
      <c r="BW361" s="17" t="n">
        <f aca="false">SQRT(($B361-BW$270)^2+($C361-BW$271)^2+($D361-BW$272)^2)</f>
        <v>1.9692425081748</v>
      </c>
      <c r="BX361" s="17" t="n">
        <f aca="false">SQRT(($B361-BX$270)^2+($C361-BX$271)^2+($D361-BX$272)^2)</f>
        <v>0.608353382986571</v>
      </c>
      <c r="BY361" s="17" t="n">
        <f aca="false">SQRT(($B361-BY$270)^2+($C361-BY$271)^2+($D361-BY$272)^2)</f>
        <v>4.30185697586864</v>
      </c>
      <c r="BZ361" s="63" t="n">
        <f aca="false">MATCH(MIN(BU361:BY361),BU361:BY361,0)</f>
        <v>4</v>
      </c>
      <c r="CB361" s="17" t="n">
        <f aca="false">SQRT(($B361-CB$270)^2+($C361-CB$271)^2+($D361-CB$272)^2)</f>
        <v>6.83525587893167</v>
      </c>
      <c r="CC361" s="17" t="n">
        <f aca="false">SQRT(($B361-CC$270)^2+($C361-CC$271)^2+($D361-CC$272)^2)</f>
        <v>1.23835590381937</v>
      </c>
      <c r="CD361" s="17" t="n">
        <f aca="false">SQRT(($B361-CD$270)^2+($C361-CD$271)^2+($D361-CD$272)^2)</f>
        <v>1.9692425081748</v>
      </c>
      <c r="CE361" s="17" t="n">
        <f aca="false">SQRT(($B361-CE$270)^2+($C361-CE$271)^2+($D361-CE$272)^2)</f>
        <v>0.608353382986571</v>
      </c>
      <c r="CF361" s="17" t="n">
        <f aca="false">SQRT(($B361-CF$270)^2+($C361-CF$271)^2+($D361-CF$272)^2)</f>
        <v>4.30185697586864</v>
      </c>
      <c r="CG361" s="63" t="n">
        <f aca="false">MATCH(MIN(CB361:CF361),CB361:CF361,0)</f>
        <v>4</v>
      </c>
      <c r="CI361" s="17" t="n">
        <f aca="false">SQRT(($B361-CI$270)^2+($C361-CI$271)^2+($D361-CI$272)^2)</f>
        <v>6.83525587893167</v>
      </c>
      <c r="CJ361" s="17" t="n">
        <f aca="false">SQRT(($B361-CJ$270)^2+($C361-CJ$271)^2+($D361-CJ$272)^2)</f>
        <v>1.23835590381937</v>
      </c>
      <c r="CK361" s="17" t="n">
        <f aca="false">SQRT(($B361-CK$270)^2+($C361-CK$271)^2+($D361-CK$272)^2)</f>
        <v>1.9692425081748</v>
      </c>
      <c r="CL361" s="17" t="n">
        <f aca="false">SQRT(($B361-CL$270)^2+($C361-CL$271)^2+($D361-CL$272)^2)</f>
        <v>0.608353382986571</v>
      </c>
      <c r="CM361" s="17" t="n">
        <f aca="false">SQRT(($B361-CM$270)^2+($C361-CM$271)^2+($D361-CM$272)^2)</f>
        <v>4.30185697586864</v>
      </c>
      <c r="CN361" s="63" t="n">
        <f aca="false">MATCH(MIN(CI361:CM361),CI361:CM361,0)</f>
        <v>4</v>
      </c>
      <c r="CP361" s="17" t="n">
        <f aca="false">SQRT(($B361-CP$270)^2+($C361-CP$271)^2+($D361-CP$272)^2)</f>
        <v>6.83525587893167</v>
      </c>
      <c r="CQ361" s="17" t="n">
        <f aca="false">SQRT(($B361-CQ$270)^2+($C361-CQ$271)^2+($D361-CQ$272)^2)</f>
        <v>1.23835590381937</v>
      </c>
      <c r="CR361" s="17" t="n">
        <f aca="false">SQRT(($B361-CR$270)^2+($C361-CR$271)^2+($D361-CR$272)^2)</f>
        <v>1.9692425081748</v>
      </c>
      <c r="CS361" s="17" t="n">
        <f aca="false">SQRT(($B361-CS$270)^2+($C361-CS$271)^2+($D361-CS$272)^2)</f>
        <v>0.608353382986571</v>
      </c>
      <c r="CT361" s="17" t="n">
        <f aca="false">SQRT(($B361-CT$270)^2+($C361-CT$271)^2+($D361-CT$272)^2)</f>
        <v>4.30185697586864</v>
      </c>
      <c r="CU361" s="63" t="n">
        <f aca="false">MATCH(MIN(CP361:CT361),CP361:CT361,0)</f>
        <v>4</v>
      </c>
      <c r="CW361" s="17" t="n">
        <f aca="false">SQRT(($B361-CW$270)^2+($C361-CW$271)^2+($D361-CW$272)^2)</f>
        <v>6.83525587893167</v>
      </c>
      <c r="CX361" s="17" t="n">
        <f aca="false">SQRT(($B361-CX$270)^2+($C361-CX$271)^2+($D361-CX$272)^2)</f>
        <v>1.23835590381937</v>
      </c>
      <c r="CY361" s="17" t="n">
        <f aca="false">SQRT(($B361-CY$270)^2+($C361-CY$271)^2+($D361-CY$272)^2)</f>
        <v>1.9692425081748</v>
      </c>
      <c r="CZ361" s="17" t="n">
        <f aca="false">SQRT(($B361-CZ$270)^2+($C361-CZ$271)^2+($D361-CZ$272)^2)</f>
        <v>0.608353382986571</v>
      </c>
      <c r="DA361" s="17" t="n">
        <f aca="false">SQRT(($B361-DA$270)^2+($C361-DA$271)^2+($D361-DA$272)^2)</f>
        <v>4.30185697586864</v>
      </c>
      <c r="DB361" s="63" t="n">
        <f aca="false">MATCH(MIN(CW361:DA361),CW361:DA361,0)</f>
        <v>4</v>
      </c>
    </row>
    <row r="362" customFormat="false" ht="15" hidden="false" customHeight="false" outlineLevel="0" collapsed="false">
      <c r="A362" s="36" t="str">
        <f aca="false">KMeans_Data!A90</f>
        <v>Attock</v>
      </c>
      <c r="B362" s="17" t="n">
        <f aca="false">KMeans_Data!H90</f>
        <v>-0.636688680796734</v>
      </c>
      <c r="C362" s="17" t="n">
        <f aca="false">KMeans_Data!I90</f>
        <v>-0.672650545388274</v>
      </c>
      <c r="D362" s="17" t="n">
        <f aca="false">KMeans_Data!J90</f>
        <v>-1.14564411633355</v>
      </c>
      <c r="E362" s="63" t="n">
        <f aca="false">DB362</f>
        <v>2</v>
      </c>
      <c r="F362" s="38" t="n">
        <f aca="false">($B362-INDEX($L$270:$P$270,E362))^2+($C362-INDEX($L$271:$P$271,E362))^2+($D362-INDEX($L$272:$P$272,E362))^2</f>
        <v>0.416840713994119</v>
      </c>
      <c r="G362" s="17" t="n">
        <f aca="false">IF(COUNTIF(Distance_Matrix!$E$11:$DQ$11,$E362)&lt;=1,0,SUMIF(Distance_Matrix!$E$11:$DQ$11,$E362,Distance_Matrix!$E$99:$DQ$99)/(COUNTIF(Distance_Matrix!$E$11:$DQ$11,$E362)-1))</f>
        <v>0.717313762548059</v>
      </c>
      <c r="H362" s="17" t="n">
        <f aca="false">MIN(IF(1=$E362,1E+099,IF(COUNTIF(Distance_Matrix!$E$11:$DQ$11,1)=0,1E+099,SUMIF(Distance_Matrix!$E$11:$DQ$11,1,Distance_Matrix!$E$99:$DQ$99)/COUNTIF(Distance_Matrix!$E$11:$DQ$11,1))),IF(2=$E362,1E+099,IF(COUNTIF(Distance_Matrix!$E$11:$DQ$11,2)=0,1E+099,SUMIF(Distance_Matrix!$E$11:$DQ$11,2,Distance_Matrix!$E$99:$DQ$99)/COUNTIF(Distance_Matrix!$E$11:$DQ$11,2))),IF(3=$E362,1E+099,IF(COUNTIF(Distance_Matrix!$E$11:$DQ$11,3)=0,1E+099,SUMIF(Distance_Matrix!$E$11:$DQ$11,3,Distance_Matrix!$E$99:$DQ$99)/COUNTIF(Distance_Matrix!$E$11:$DQ$11,3))),IF(4=$E362,1E+099,IF(COUNTIF(Distance_Matrix!$E$11:$DQ$11,4)=0,1E+099,SUMIF(Distance_Matrix!$E$11:$DQ$11,4,Distance_Matrix!$E$99:$DQ$99)/COUNTIF(Distance_Matrix!$E$11:$DQ$11,4))),IF(5=$E362,1E+099,IF(COUNTIF(Distance_Matrix!$E$11:$DQ$11,5)=0,1E+099,SUMIF(Distance_Matrix!$E$11:$DQ$11,5,Distance_Matrix!$E$99:$DQ$99)/COUNTIF(Distance_Matrix!$E$11:$DQ$11,5))))</f>
        <v>1.12401179068278</v>
      </c>
      <c r="I362" s="17" t="n">
        <f aca="false">IF(COUNTIF(Distance_Matrix!$E$11:$DQ$11,$E362)&lt;=1,0,(H362-G362)/MAX(G362,H362))</f>
        <v>0.361827190342616</v>
      </c>
      <c r="X362" s="17" t="n">
        <f aca="false">SQRT(($B362-X$270)^2+($C362-X$271)^2+($D362-X$272)^2)</f>
        <v>7.53921080313601</v>
      </c>
      <c r="Y362" s="17" t="n">
        <f aca="false">SQRT(($B362-Y$270)^2+($C362-Y$271)^2+($D362-Y$272)^2)</f>
        <v>1.44304930100659</v>
      </c>
      <c r="Z362" s="17" t="n">
        <f aca="false">SQRT(($B362-Z$270)^2+($C362-Z$271)^2+($D362-Z$272)^2)</f>
        <v>3.27892933089661</v>
      </c>
      <c r="AA362" s="17" t="n">
        <f aca="false">SQRT(($B362-AA$270)^2+($C362-AA$271)^2+($D362-AA$272)^2)</f>
        <v>1.38592130305499</v>
      </c>
      <c r="AB362" s="17" t="n">
        <f aca="false">SQRT(($B362-AB$270)^2+($C362-AB$271)^2+($D362-AB$272)^2)</f>
        <v>5.49413298728416</v>
      </c>
      <c r="AC362" s="63" t="n">
        <f aca="false">MATCH(MIN(X362:AB362),X362:AB362,0)</f>
        <v>4</v>
      </c>
      <c r="AE362" s="17" t="n">
        <f aca="false">SQRT(($B362-AE$270)^2+($C362-AE$271)^2+($D362-AE$272)^2)</f>
        <v>7.40741968739509</v>
      </c>
      <c r="AF362" s="17" t="n">
        <f aca="false">SQRT(($B362-AF$270)^2+($C362-AF$271)^2+($D362-AF$272)^2)</f>
        <v>0.640184980257097</v>
      </c>
      <c r="AG362" s="17" t="n">
        <f aca="false">SQRT(($B362-AG$270)^2+($C362-AG$271)^2+($D362-AG$272)^2)</f>
        <v>2.59719034805499</v>
      </c>
      <c r="AH362" s="17" t="n">
        <f aca="false">SQRT(($B362-AH$270)^2+($C362-AH$271)^2+($D362-AH$272)^2)</f>
        <v>0.873303063446704</v>
      </c>
      <c r="AI362" s="17" t="n">
        <f aca="false">SQRT(($B362-AI$270)^2+($C362-AI$271)^2+($D362-AI$272)^2)</f>
        <v>5.13523408702426</v>
      </c>
      <c r="AJ362" s="63" t="n">
        <f aca="false">MATCH(MIN(AE362:AI362),AE362:AI362,0)</f>
        <v>2</v>
      </c>
      <c r="AL362" s="17" t="n">
        <f aca="false">SQRT(($B362-AL$270)^2+($C362-AL$271)^2+($D362-AL$272)^2)</f>
        <v>7.40741968739509</v>
      </c>
      <c r="AM362" s="17" t="n">
        <f aca="false">SQRT(($B362-AM$270)^2+($C362-AM$271)^2+($D362-AM$272)^2)</f>
        <v>0.616998799904513</v>
      </c>
      <c r="AN362" s="17" t="n">
        <f aca="false">SQRT(($B362-AN$270)^2+($C362-AN$271)^2+($D362-AN$272)^2)</f>
        <v>2.65296517991696</v>
      </c>
      <c r="AO362" s="17" t="n">
        <f aca="false">SQRT(($B362-AO$270)^2+($C362-AO$271)^2+($D362-AO$272)^2)</f>
        <v>0.945469970281593</v>
      </c>
      <c r="AP362" s="17" t="n">
        <f aca="false">SQRT(($B362-AP$270)^2+($C362-AP$271)^2+($D362-AP$272)^2)</f>
        <v>4.86558784950972</v>
      </c>
      <c r="AQ362" s="63" t="n">
        <f aca="false">MATCH(MIN(AL362:AP362),AL362:AP362,0)</f>
        <v>2</v>
      </c>
      <c r="AS362" s="17" t="n">
        <f aca="false">SQRT(($B362-AS$270)^2+($C362-AS$271)^2+($D362-AS$272)^2)</f>
        <v>7.40741968739509</v>
      </c>
      <c r="AT362" s="17" t="n">
        <f aca="false">SQRT(($B362-AT$270)^2+($C362-AT$271)^2+($D362-AT$272)^2)</f>
        <v>0.645632026772309</v>
      </c>
      <c r="AU362" s="17" t="n">
        <f aca="false">SQRT(($B362-AU$270)^2+($C362-AU$271)^2+($D362-AU$272)^2)</f>
        <v>2.67944384758456</v>
      </c>
      <c r="AV362" s="17" t="n">
        <f aca="false">SQRT(($B362-AV$270)^2+($C362-AV$271)^2+($D362-AV$272)^2)</f>
        <v>0.937510605541038</v>
      </c>
      <c r="AW362" s="17" t="n">
        <f aca="false">SQRT(($B362-AW$270)^2+($C362-AW$271)^2+($D362-AW$272)^2)</f>
        <v>4.86558784950972</v>
      </c>
      <c r="AX362" s="63" t="n">
        <f aca="false">MATCH(MIN(AS362:AW362),AS362:AW362,0)</f>
        <v>2</v>
      </c>
      <c r="AZ362" s="17" t="n">
        <f aca="false">SQRT(($B362-AZ$270)^2+($C362-AZ$271)^2+($D362-AZ$272)^2)</f>
        <v>7.40741968739509</v>
      </c>
      <c r="BA362" s="17" t="n">
        <f aca="false">SQRT(($B362-BA$270)^2+($C362-BA$271)^2+($D362-BA$272)^2)</f>
        <v>0.645632026772309</v>
      </c>
      <c r="BB362" s="17" t="n">
        <f aca="false">SQRT(($B362-BB$270)^2+($C362-BB$271)^2+($D362-BB$272)^2)</f>
        <v>2.67944384758456</v>
      </c>
      <c r="BC362" s="17" t="n">
        <f aca="false">SQRT(($B362-BC$270)^2+($C362-BC$271)^2+($D362-BC$272)^2)</f>
        <v>0.937510605541038</v>
      </c>
      <c r="BD362" s="17" t="n">
        <f aca="false">SQRT(($B362-BD$270)^2+($C362-BD$271)^2+($D362-BD$272)^2)</f>
        <v>4.86558784950972</v>
      </c>
      <c r="BE362" s="63" t="n">
        <f aca="false">MATCH(MIN(AZ362:BD362),AZ362:BD362,0)</f>
        <v>2</v>
      </c>
      <c r="BG362" s="17" t="n">
        <f aca="false">SQRT(($B362-BG$270)^2+($C362-BG$271)^2+($D362-BG$272)^2)</f>
        <v>7.40741968739509</v>
      </c>
      <c r="BH362" s="17" t="n">
        <f aca="false">SQRT(($B362-BH$270)^2+($C362-BH$271)^2+($D362-BH$272)^2)</f>
        <v>0.645632026772309</v>
      </c>
      <c r="BI362" s="17" t="n">
        <f aca="false">SQRT(($B362-BI$270)^2+($C362-BI$271)^2+($D362-BI$272)^2)</f>
        <v>2.67944384758456</v>
      </c>
      <c r="BJ362" s="17" t="n">
        <f aca="false">SQRT(($B362-BJ$270)^2+($C362-BJ$271)^2+($D362-BJ$272)^2)</f>
        <v>0.937510605541038</v>
      </c>
      <c r="BK362" s="17" t="n">
        <f aca="false">SQRT(($B362-BK$270)^2+($C362-BK$271)^2+($D362-BK$272)^2)</f>
        <v>4.86558784950972</v>
      </c>
      <c r="BL362" s="63" t="n">
        <f aca="false">MATCH(MIN(BG362:BK362),BG362:BK362,0)</f>
        <v>2</v>
      </c>
      <c r="BN362" s="17" t="n">
        <f aca="false">SQRT(($B362-BN$270)^2+($C362-BN$271)^2+($D362-BN$272)^2)</f>
        <v>7.40741968739509</v>
      </c>
      <c r="BO362" s="17" t="n">
        <f aca="false">SQRT(($B362-BO$270)^2+($C362-BO$271)^2+($D362-BO$272)^2)</f>
        <v>0.645632026772309</v>
      </c>
      <c r="BP362" s="17" t="n">
        <f aca="false">SQRT(($B362-BP$270)^2+($C362-BP$271)^2+($D362-BP$272)^2)</f>
        <v>2.67944384758456</v>
      </c>
      <c r="BQ362" s="17" t="n">
        <f aca="false">SQRT(($B362-BQ$270)^2+($C362-BQ$271)^2+($D362-BQ$272)^2)</f>
        <v>0.937510605541038</v>
      </c>
      <c r="BR362" s="17" t="n">
        <f aca="false">SQRT(($B362-BR$270)^2+($C362-BR$271)^2+($D362-BR$272)^2)</f>
        <v>4.86558784950972</v>
      </c>
      <c r="BS362" s="63" t="n">
        <f aca="false">MATCH(MIN(BN362:BR362),BN362:BR362,0)</f>
        <v>2</v>
      </c>
      <c r="BU362" s="17" t="n">
        <f aca="false">SQRT(($B362-BU$270)^2+($C362-BU$271)^2+($D362-BU$272)^2)</f>
        <v>7.40741968739509</v>
      </c>
      <c r="BV362" s="17" t="n">
        <f aca="false">SQRT(($B362-BV$270)^2+($C362-BV$271)^2+($D362-BV$272)^2)</f>
        <v>0.645632026772309</v>
      </c>
      <c r="BW362" s="17" t="n">
        <f aca="false">SQRT(($B362-BW$270)^2+($C362-BW$271)^2+($D362-BW$272)^2)</f>
        <v>2.67944384758456</v>
      </c>
      <c r="BX362" s="17" t="n">
        <f aca="false">SQRT(($B362-BX$270)^2+($C362-BX$271)^2+($D362-BX$272)^2)</f>
        <v>0.937510605541038</v>
      </c>
      <c r="BY362" s="17" t="n">
        <f aca="false">SQRT(($B362-BY$270)^2+($C362-BY$271)^2+($D362-BY$272)^2)</f>
        <v>4.86558784950972</v>
      </c>
      <c r="BZ362" s="63" t="n">
        <f aca="false">MATCH(MIN(BU362:BY362),BU362:BY362,0)</f>
        <v>2</v>
      </c>
      <c r="CB362" s="17" t="n">
        <f aca="false">SQRT(($B362-CB$270)^2+($C362-CB$271)^2+($D362-CB$272)^2)</f>
        <v>7.40741968739509</v>
      </c>
      <c r="CC362" s="17" t="n">
        <f aca="false">SQRT(($B362-CC$270)^2+($C362-CC$271)^2+($D362-CC$272)^2)</f>
        <v>0.645632026772309</v>
      </c>
      <c r="CD362" s="17" t="n">
        <f aca="false">SQRT(($B362-CD$270)^2+($C362-CD$271)^2+($D362-CD$272)^2)</f>
        <v>2.67944384758456</v>
      </c>
      <c r="CE362" s="17" t="n">
        <f aca="false">SQRT(($B362-CE$270)^2+($C362-CE$271)^2+($D362-CE$272)^2)</f>
        <v>0.937510605541038</v>
      </c>
      <c r="CF362" s="17" t="n">
        <f aca="false">SQRT(($B362-CF$270)^2+($C362-CF$271)^2+($D362-CF$272)^2)</f>
        <v>4.86558784950972</v>
      </c>
      <c r="CG362" s="63" t="n">
        <f aca="false">MATCH(MIN(CB362:CF362),CB362:CF362,0)</f>
        <v>2</v>
      </c>
      <c r="CI362" s="17" t="n">
        <f aca="false">SQRT(($B362-CI$270)^2+($C362-CI$271)^2+($D362-CI$272)^2)</f>
        <v>7.40741968739509</v>
      </c>
      <c r="CJ362" s="17" t="n">
        <f aca="false">SQRT(($B362-CJ$270)^2+($C362-CJ$271)^2+($D362-CJ$272)^2)</f>
        <v>0.645632026772309</v>
      </c>
      <c r="CK362" s="17" t="n">
        <f aca="false">SQRT(($B362-CK$270)^2+($C362-CK$271)^2+($D362-CK$272)^2)</f>
        <v>2.67944384758456</v>
      </c>
      <c r="CL362" s="17" t="n">
        <f aca="false">SQRT(($B362-CL$270)^2+($C362-CL$271)^2+($D362-CL$272)^2)</f>
        <v>0.937510605541038</v>
      </c>
      <c r="CM362" s="17" t="n">
        <f aca="false">SQRT(($B362-CM$270)^2+($C362-CM$271)^2+($D362-CM$272)^2)</f>
        <v>4.86558784950972</v>
      </c>
      <c r="CN362" s="63" t="n">
        <f aca="false">MATCH(MIN(CI362:CM362),CI362:CM362,0)</f>
        <v>2</v>
      </c>
      <c r="CP362" s="17" t="n">
        <f aca="false">SQRT(($B362-CP$270)^2+($C362-CP$271)^2+($D362-CP$272)^2)</f>
        <v>7.40741968739509</v>
      </c>
      <c r="CQ362" s="17" t="n">
        <f aca="false">SQRT(($B362-CQ$270)^2+($C362-CQ$271)^2+($D362-CQ$272)^2)</f>
        <v>0.645632026772309</v>
      </c>
      <c r="CR362" s="17" t="n">
        <f aca="false">SQRT(($B362-CR$270)^2+($C362-CR$271)^2+($D362-CR$272)^2)</f>
        <v>2.67944384758456</v>
      </c>
      <c r="CS362" s="17" t="n">
        <f aca="false">SQRT(($B362-CS$270)^2+($C362-CS$271)^2+($D362-CS$272)^2)</f>
        <v>0.937510605541038</v>
      </c>
      <c r="CT362" s="17" t="n">
        <f aca="false">SQRT(($B362-CT$270)^2+($C362-CT$271)^2+($D362-CT$272)^2)</f>
        <v>4.86558784950972</v>
      </c>
      <c r="CU362" s="63" t="n">
        <f aca="false">MATCH(MIN(CP362:CT362),CP362:CT362,0)</f>
        <v>2</v>
      </c>
      <c r="CW362" s="17" t="n">
        <f aca="false">SQRT(($B362-CW$270)^2+($C362-CW$271)^2+($D362-CW$272)^2)</f>
        <v>7.40741968739509</v>
      </c>
      <c r="CX362" s="17" t="n">
        <f aca="false">SQRT(($B362-CX$270)^2+($C362-CX$271)^2+($D362-CX$272)^2)</f>
        <v>0.645632026772309</v>
      </c>
      <c r="CY362" s="17" t="n">
        <f aca="false">SQRT(($B362-CY$270)^2+($C362-CY$271)^2+($D362-CY$272)^2)</f>
        <v>2.67944384758456</v>
      </c>
      <c r="CZ362" s="17" t="n">
        <f aca="false">SQRT(($B362-CZ$270)^2+($C362-CZ$271)^2+($D362-CZ$272)^2)</f>
        <v>0.937510605541038</v>
      </c>
      <c r="DA362" s="17" t="n">
        <f aca="false">SQRT(($B362-DA$270)^2+($C362-DA$271)^2+($D362-DA$272)^2)</f>
        <v>4.86558784950972</v>
      </c>
      <c r="DB362" s="63" t="n">
        <f aca="false">MATCH(MIN(CW362:DA362),CW362:DA362,0)</f>
        <v>2</v>
      </c>
    </row>
    <row r="363" customFormat="false" ht="15" hidden="false" customHeight="false" outlineLevel="0" collapsed="false">
      <c r="A363" s="36" t="str">
        <f aca="false">KMeans_Data!A91</f>
        <v>Chitral Upper</v>
      </c>
      <c r="B363" s="17" t="n">
        <f aca="false">KMeans_Data!H91</f>
        <v>-0.636688680796734</v>
      </c>
      <c r="C363" s="17" t="n">
        <f aca="false">KMeans_Data!I91</f>
        <v>-0.672650545388274</v>
      </c>
      <c r="D363" s="17" t="n">
        <f aca="false">KMeans_Data!J91</f>
        <v>-0.31535907140676</v>
      </c>
      <c r="E363" s="63" t="n">
        <f aca="false">DB363</f>
        <v>4</v>
      </c>
      <c r="F363" s="38" t="n">
        <f aca="false">($B363-INDEX($L$270:$P$270,E363))^2+($C363-INDEX($L$271:$P$271,E363))^2+($D363-INDEX($L$272:$P$272,E363))^2</f>
        <v>0.28871782241721</v>
      </c>
      <c r="G363" s="17" t="n">
        <f aca="false">IF(COUNTIF(Distance_Matrix!$E$11:$DQ$11,$E363)&lt;=1,0,SUMIF(Distance_Matrix!$E$11:$DQ$11,$E363,Distance_Matrix!$E$100:$DQ$100)/(COUNTIF(Distance_Matrix!$E$11:$DQ$11,$E363)-1))</f>
        <v>0.859123532589985</v>
      </c>
      <c r="H363" s="17" t="n">
        <f aca="false">MIN(IF(1=$E363,1E+099,IF(COUNTIF(Distance_Matrix!$E$11:$DQ$11,1)=0,1E+099,SUMIF(Distance_Matrix!$E$11:$DQ$11,1,Distance_Matrix!$E$100:$DQ$100)/COUNTIF(Distance_Matrix!$E$11:$DQ$11,1))),IF(2=$E363,1E+099,IF(COUNTIF(Distance_Matrix!$E$11:$DQ$11,2)=0,1E+099,SUMIF(Distance_Matrix!$E$11:$DQ$11,2,Distance_Matrix!$E$100:$DQ$100)/COUNTIF(Distance_Matrix!$E$11:$DQ$11,2))),IF(3=$E363,1E+099,IF(COUNTIF(Distance_Matrix!$E$11:$DQ$11,3)=0,1E+099,SUMIF(Distance_Matrix!$E$11:$DQ$11,3,Distance_Matrix!$E$100:$DQ$100)/COUNTIF(Distance_Matrix!$E$11:$DQ$11,3))),IF(4=$E363,1E+099,IF(COUNTIF(Distance_Matrix!$E$11:$DQ$11,4)=0,1E+099,SUMIF(Distance_Matrix!$E$11:$DQ$11,4,Distance_Matrix!$E$100:$DQ$100)/COUNTIF(Distance_Matrix!$E$11:$DQ$11,4))),IF(5=$E363,1E+099,IF(COUNTIF(Distance_Matrix!$E$11:$DQ$11,5)=0,1E+099,SUMIF(Distance_Matrix!$E$11:$DQ$11,5,Distance_Matrix!$E$100:$DQ$100)/COUNTIF(Distance_Matrix!$E$11:$DQ$11,5))))</f>
        <v>1.04882800322815</v>
      </c>
      <c r="I363" s="17" t="n">
        <f aca="false">IF(COUNTIF(Distance_Matrix!$E$11:$DQ$11,$E363)&lt;=1,0,(H363-G363)/MAX(G363,H363))</f>
        <v>0.18087281237179</v>
      </c>
      <c r="X363" s="17" t="n">
        <f aca="false">SQRT(($B363-X$270)^2+($C363-X$271)^2+($D363-X$272)^2)</f>
        <v>7.08698051014777</v>
      </c>
      <c r="Y363" s="17" t="n">
        <f aca="false">SQRT(($B363-Y$270)^2+($C363-Y$271)^2+($D363-Y$272)^2)</f>
        <v>1.66486171827113</v>
      </c>
      <c r="Z363" s="17" t="n">
        <f aca="false">SQRT(($B363-Z$270)^2+($C363-Z$271)^2+($D363-Z$272)^2)</f>
        <v>2.66394791513506</v>
      </c>
      <c r="AA363" s="17" t="n">
        <f aca="false">SQRT(($B363-AA$270)^2+($C363-AA$271)^2+($D363-AA$272)^2)</f>
        <v>1.61559621010039</v>
      </c>
      <c r="AB363" s="17" t="n">
        <f aca="false">SQRT(($B363-AB$270)^2+($C363-AB$271)^2+($D363-AB$272)^2)</f>
        <v>5.00329746145876</v>
      </c>
      <c r="AC363" s="63" t="n">
        <f aca="false">MATCH(MIN(X363:AB363),X363:AB363,0)</f>
        <v>4</v>
      </c>
      <c r="AE363" s="17" t="n">
        <f aca="false">SQRT(($B363-AE$270)^2+($C363-AE$271)^2+($D363-AE$272)^2)</f>
        <v>6.9807269472774</v>
      </c>
      <c r="AF363" s="17" t="n">
        <f aca="false">SQRT(($B363-AF$270)^2+($C363-AF$271)^2+($D363-AF$272)^2)</f>
        <v>0.865900002795889</v>
      </c>
      <c r="AG363" s="17" t="n">
        <f aca="false">SQRT(($B363-AG$270)^2+($C363-AG$271)^2+($D363-AG$272)^2)</f>
        <v>2.03161223204066</v>
      </c>
      <c r="AH363" s="17" t="n">
        <f aca="false">SQRT(($B363-AH$270)^2+($C363-AH$271)^2+($D363-AH$272)^2)</f>
        <v>0.634896938824636</v>
      </c>
      <c r="AI363" s="17" t="n">
        <f aca="false">SQRT(($B363-AI$270)^2+($C363-AI$271)^2+($D363-AI$272)^2)</f>
        <v>4.71045484731032</v>
      </c>
      <c r="AJ363" s="63" t="n">
        <f aca="false">MATCH(MIN(AE363:AI363),AE363:AI363,0)</f>
        <v>4</v>
      </c>
      <c r="AL363" s="17" t="n">
        <f aca="false">SQRT(($B363-AL$270)^2+($C363-AL$271)^2+($D363-AL$272)^2)</f>
        <v>6.9807269472774</v>
      </c>
      <c r="AM363" s="17" t="n">
        <f aca="false">SQRT(($B363-AM$270)^2+($C363-AM$271)^2+($D363-AM$272)^2)</f>
        <v>0.896829288691661</v>
      </c>
      <c r="AN363" s="17" t="n">
        <f aca="false">SQRT(($B363-AN$270)^2+($C363-AN$271)^2+($D363-AN$272)^2)</f>
        <v>2.10313323462187</v>
      </c>
      <c r="AO363" s="17" t="n">
        <f aca="false">SQRT(($B363-AO$270)^2+($C363-AO$271)^2+($D363-AO$272)^2)</f>
        <v>0.584113880795672</v>
      </c>
      <c r="AP363" s="17" t="n">
        <f aca="false">SQRT(($B363-AP$270)^2+($C363-AP$271)^2+($D363-AP$272)^2)</f>
        <v>4.43824331201532</v>
      </c>
      <c r="AQ363" s="63" t="n">
        <f aca="false">MATCH(MIN(AL363:AP363),AL363:AP363,0)</f>
        <v>4</v>
      </c>
      <c r="AS363" s="17" t="n">
        <f aca="false">SQRT(($B363-AS$270)^2+($C363-AS$271)^2+($D363-AS$272)^2)</f>
        <v>6.9807269472774</v>
      </c>
      <c r="AT363" s="17" t="n">
        <f aca="false">SQRT(($B363-AT$270)^2+($C363-AT$271)^2+($D363-AT$272)^2)</f>
        <v>0.993508668475975</v>
      </c>
      <c r="AU363" s="17" t="n">
        <f aca="false">SQRT(($B363-AU$270)^2+($C363-AU$271)^2+($D363-AU$272)^2)</f>
        <v>2.13017626066377</v>
      </c>
      <c r="AV363" s="17" t="n">
        <f aca="false">SQRT(($B363-AV$270)^2+($C363-AV$271)^2+($D363-AV$272)^2)</f>
        <v>0.537324689938226</v>
      </c>
      <c r="AW363" s="17" t="n">
        <f aca="false">SQRT(($B363-AW$270)^2+($C363-AW$271)^2+($D363-AW$272)^2)</f>
        <v>4.43824331201532</v>
      </c>
      <c r="AX363" s="63" t="n">
        <f aca="false">MATCH(MIN(AS363:AW363),AS363:AW363,0)</f>
        <v>4</v>
      </c>
      <c r="AZ363" s="17" t="n">
        <f aca="false">SQRT(($B363-AZ$270)^2+($C363-AZ$271)^2+($D363-AZ$272)^2)</f>
        <v>6.9807269472774</v>
      </c>
      <c r="BA363" s="17" t="n">
        <f aca="false">SQRT(($B363-BA$270)^2+($C363-BA$271)^2+($D363-BA$272)^2)</f>
        <v>0.993508668475975</v>
      </c>
      <c r="BB363" s="17" t="n">
        <f aca="false">SQRT(($B363-BB$270)^2+($C363-BB$271)^2+($D363-BB$272)^2)</f>
        <v>2.13017626066377</v>
      </c>
      <c r="BC363" s="17" t="n">
        <f aca="false">SQRT(($B363-BC$270)^2+($C363-BC$271)^2+($D363-BC$272)^2)</f>
        <v>0.537324689938226</v>
      </c>
      <c r="BD363" s="17" t="n">
        <f aca="false">SQRT(($B363-BD$270)^2+($C363-BD$271)^2+($D363-BD$272)^2)</f>
        <v>4.43824331201532</v>
      </c>
      <c r="BE363" s="63" t="n">
        <f aca="false">MATCH(MIN(AZ363:BD363),AZ363:BD363,0)</f>
        <v>4</v>
      </c>
      <c r="BG363" s="17" t="n">
        <f aca="false">SQRT(($B363-BG$270)^2+($C363-BG$271)^2+($D363-BG$272)^2)</f>
        <v>6.9807269472774</v>
      </c>
      <c r="BH363" s="17" t="n">
        <f aca="false">SQRT(($B363-BH$270)^2+($C363-BH$271)^2+($D363-BH$272)^2)</f>
        <v>0.993508668475975</v>
      </c>
      <c r="BI363" s="17" t="n">
        <f aca="false">SQRT(($B363-BI$270)^2+($C363-BI$271)^2+($D363-BI$272)^2)</f>
        <v>2.13017626066377</v>
      </c>
      <c r="BJ363" s="17" t="n">
        <f aca="false">SQRT(($B363-BJ$270)^2+($C363-BJ$271)^2+($D363-BJ$272)^2)</f>
        <v>0.537324689938226</v>
      </c>
      <c r="BK363" s="17" t="n">
        <f aca="false">SQRT(($B363-BK$270)^2+($C363-BK$271)^2+($D363-BK$272)^2)</f>
        <v>4.43824331201532</v>
      </c>
      <c r="BL363" s="63" t="n">
        <f aca="false">MATCH(MIN(BG363:BK363),BG363:BK363,0)</f>
        <v>4</v>
      </c>
      <c r="BN363" s="17" t="n">
        <f aca="false">SQRT(($B363-BN$270)^2+($C363-BN$271)^2+($D363-BN$272)^2)</f>
        <v>6.9807269472774</v>
      </c>
      <c r="BO363" s="17" t="n">
        <f aca="false">SQRT(($B363-BO$270)^2+($C363-BO$271)^2+($D363-BO$272)^2)</f>
        <v>0.993508668475975</v>
      </c>
      <c r="BP363" s="17" t="n">
        <f aca="false">SQRT(($B363-BP$270)^2+($C363-BP$271)^2+($D363-BP$272)^2)</f>
        <v>2.13017626066377</v>
      </c>
      <c r="BQ363" s="17" t="n">
        <f aca="false">SQRT(($B363-BQ$270)^2+($C363-BQ$271)^2+($D363-BQ$272)^2)</f>
        <v>0.537324689938226</v>
      </c>
      <c r="BR363" s="17" t="n">
        <f aca="false">SQRT(($B363-BR$270)^2+($C363-BR$271)^2+($D363-BR$272)^2)</f>
        <v>4.43824331201532</v>
      </c>
      <c r="BS363" s="63" t="n">
        <f aca="false">MATCH(MIN(BN363:BR363),BN363:BR363,0)</f>
        <v>4</v>
      </c>
      <c r="BU363" s="17" t="n">
        <f aca="false">SQRT(($B363-BU$270)^2+($C363-BU$271)^2+($D363-BU$272)^2)</f>
        <v>6.9807269472774</v>
      </c>
      <c r="BV363" s="17" t="n">
        <f aca="false">SQRT(($B363-BV$270)^2+($C363-BV$271)^2+($D363-BV$272)^2)</f>
        <v>0.993508668475975</v>
      </c>
      <c r="BW363" s="17" t="n">
        <f aca="false">SQRT(($B363-BW$270)^2+($C363-BW$271)^2+($D363-BW$272)^2)</f>
        <v>2.13017626066377</v>
      </c>
      <c r="BX363" s="17" t="n">
        <f aca="false">SQRT(($B363-BX$270)^2+($C363-BX$271)^2+($D363-BX$272)^2)</f>
        <v>0.537324689938226</v>
      </c>
      <c r="BY363" s="17" t="n">
        <f aca="false">SQRT(($B363-BY$270)^2+($C363-BY$271)^2+($D363-BY$272)^2)</f>
        <v>4.43824331201532</v>
      </c>
      <c r="BZ363" s="63" t="n">
        <f aca="false">MATCH(MIN(BU363:BY363),BU363:BY363,0)</f>
        <v>4</v>
      </c>
      <c r="CB363" s="17" t="n">
        <f aca="false">SQRT(($B363-CB$270)^2+($C363-CB$271)^2+($D363-CB$272)^2)</f>
        <v>6.9807269472774</v>
      </c>
      <c r="CC363" s="17" t="n">
        <f aca="false">SQRT(($B363-CC$270)^2+($C363-CC$271)^2+($D363-CC$272)^2)</f>
        <v>0.993508668475975</v>
      </c>
      <c r="CD363" s="17" t="n">
        <f aca="false">SQRT(($B363-CD$270)^2+($C363-CD$271)^2+($D363-CD$272)^2)</f>
        <v>2.13017626066377</v>
      </c>
      <c r="CE363" s="17" t="n">
        <f aca="false">SQRT(($B363-CE$270)^2+($C363-CE$271)^2+($D363-CE$272)^2)</f>
        <v>0.537324689938226</v>
      </c>
      <c r="CF363" s="17" t="n">
        <f aca="false">SQRT(($B363-CF$270)^2+($C363-CF$271)^2+($D363-CF$272)^2)</f>
        <v>4.43824331201532</v>
      </c>
      <c r="CG363" s="63" t="n">
        <f aca="false">MATCH(MIN(CB363:CF363),CB363:CF363,0)</f>
        <v>4</v>
      </c>
      <c r="CI363" s="17" t="n">
        <f aca="false">SQRT(($B363-CI$270)^2+($C363-CI$271)^2+($D363-CI$272)^2)</f>
        <v>6.9807269472774</v>
      </c>
      <c r="CJ363" s="17" t="n">
        <f aca="false">SQRT(($B363-CJ$270)^2+($C363-CJ$271)^2+($D363-CJ$272)^2)</f>
        <v>0.993508668475975</v>
      </c>
      <c r="CK363" s="17" t="n">
        <f aca="false">SQRT(($B363-CK$270)^2+($C363-CK$271)^2+($D363-CK$272)^2)</f>
        <v>2.13017626066377</v>
      </c>
      <c r="CL363" s="17" t="n">
        <f aca="false">SQRT(($B363-CL$270)^2+($C363-CL$271)^2+($D363-CL$272)^2)</f>
        <v>0.537324689938226</v>
      </c>
      <c r="CM363" s="17" t="n">
        <f aca="false">SQRT(($B363-CM$270)^2+($C363-CM$271)^2+($D363-CM$272)^2)</f>
        <v>4.43824331201532</v>
      </c>
      <c r="CN363" s="63" t="n">
        <f aca="false">MATCH(MIN(CI363:CM363),CI363:CM363,0)</f>
        <v>4</v>
      </c>
      <c r="CP363" s="17" t="n">
        <f aca="false">SQRT(($B363-CP$270)^2+($C363-CP$271)^2+($D363-CP$272)^2)</f>
        <v>6.9807269472774</v>
      </c>
      <c r="CQ363" s="17" t="n">
        <f aca="false">SQRT(($B363-CQ$270)^2+($C363-CQ$271)^2+($D363-CQ$272)^2)</f>
        <v>0.993508668475975</v>
      </c>
      <c r="CR363" s="17" t="n">
        <f aca="false">SQRT(($B363-CR$270)^2+($C363-CR$271)^2+($D363-CR$272)^2)</f>
        <v>2.13017626066377</v>
      </c>
      <c r="CS363" s="17" t="n">
        <f aca="false">SQRT(($B363-CS$270)^2+($C363-CS$271)^2+($D363-CS$272)^2)</f>
        <v>0.537324689938226</v>
      </c>
      <c r="CT363" s="17" t="n">
        <f aca="false">SQRT(($B363-CT$270)^2+($C363-CT$271)^2+($D363-CT$272)^2)</f>
        <v>4.43824331201532</v>
      </c>
      <c r="CU363" s="63" t="n">
        <f aca="false">MATCH(MIN(CP363:CT363),CP363:CT363,0)</f>
        <v>4</v>
      </c>
      <c r="CW363" s="17" t="n">
        <f aca="false">SQRT(($B363-CW$270)^2+($C363-CW$271)^2+($D363-CW$272)^2)</f>
        <v>6.9807269472774</v>
      </c>
      <c r="CX363" s="17" t="n">
        <f aca="false">SQRT(($B363-CX$270)^2+($C363-CX$271)^2+($D363-CX$272)^2)</f>
        <v>0.993508668475975</v>
      </c>
      <c r="CY363" s="17" t="n">
        <f aca="false">SQRT(($B363-CY$270)^2+($C363-CY$271)^2+($D363-CY$272)^2)</f>
        <v>2.13017626066377</v>
      </c>
      <c r="CZ363" s="17" t="n">
        <f aca="false">SQRT(($B363-CZ$270)^2+($C363-CZ$271)^2+($D363-CZ$272)^2)</f>
        <v>0.537324689938226</v>
      </c>
      <c r="DA363" s="17" t="n">
        <f aca="false">SQRT(($B363-DA$270)^2+($C363-DA$271)^2+($D363-DA$272)^2)</f>
        <v>4.43824331201532</v>
      </c>
      <c r="DB363" s="63" t="n">
        <f aca="false">MATCH(MIN(CW363:DA363),CW363:DA363,0)</f>
        <v>4</v>
      </c>
    </row>
    <row r="364" customFormat="false" ht="15" hidden="false" customHeight="false" outlineLevel="0" collapsed="false">
      <c r="A364" s="36" t="str">
        <f aca="false">KMeans_Data!A92</f>
        <v>Matiari</v>
      </c>
      <c r="B364" s="17" t="n">
        <f aca="false">KMeans_Data!H92</f>
        <v>-0.706187767063518</v>
      </c>
      <c r="C364" s="17" t="n">
        <f aca="false">KMeans_Data!I92</f>
        <v>-0.146983133929529</v>
      </c>
      <c r="D364" s="17" t="n">
        <f aca="false">KMeans_Data!J92</f>
        <v>0.628513491585819</v>
      </c>
      <c r="E364" s="63" t="n">
        <f aca="false">DB364</f>
        <v>4</v>
      </c>
      <c r="F364" s="38" t="n">
        <f aca="false">($B364-INDEX($L$270:$P$270,E364))^2+($C364-INDEX($L$271:$P$271,E364))^2+($D364-INDEX($L$272:$P$272,E364))^2</f>
        <v>1.4711003908956</v>
      </c>
      <c r="G364" s="17" t="n">
        <f aca="false">IF(COUNTIF(Distance_Matrix!$E$11:$DQ$11,$E364)&lt;=1,0,SUMIF(Distance_Matrix!$E$11:$DQ$11,$E364,Distance_Matrix!$E$101:$DQ$101)/(COUNTIF(Distance_Matrix!$E$11:$DQ$11,$E364)-1))</f>
        <v>1.36063180973256</v>
      </c>
      <c r="H364" s="17" t="n">
        <f aca="false">MIN(IF(1=$E364,1E+099,IF(COUNTIF(Distance_Matrix!$E$11:$DQ$11,1)=0,1E+099,SUMIF(Distance_Matrix!$E$11:$DQ$11,1,Distance_Matrix!$E$101:$DQ$101)/COUNTIF(Distance_Matrix!$E$11:$DQ$11,1))),IF(2=$E364,1E+099,IF(COUNTIF(Distance_Matrix!$E$11:$DQ$11,2)=0,1E+099,SUMIF(Distance_Matrix!$E$11:$DQ$11,2,Distance_Matrix!$E$101:$DQ$101)/COUNTIF(Distance_Matrix!$E$11:$DQ$11,2))),IF(3=$E364,1E+099,IF(COUNTIF(Distance_Matrix!$E$11:$DQ$11,3)=0,1E+099,SUMIF(Distance_Matrix!$E$11:$DQ$11,3,Distance_Matrix!$E$101:$DQ$101)/COUNTIF(Distance_Matrix!$E$11:$DQ$11,3))),IF(4=$E364,1E+099,IF(COUNTIF(Distance_Matrix!$E$11:$DQ$11,4)=0,1E+099,SUMIF(Distance_Matrix!$E$11:$DQ$11,4,Distance_Matrix!$E$101:$DQ$101)/COUNTIF(Distance_Matrix!$E$11:$DQ$11,4))),IF(5=$E364,1E+099,IF(COUNTIF(Distance_Matrix!$E$11:$DQ$11,5)=0,1E+099,SUMIF(Distance_Matrix!$E$11:$DQ$11,5,Distance_Matrix!$E$101:$DQ$101)/COUNTIF(Distance_Matrix!$E$11:$DQ$11,5))))</f>
        <v>1.65376621501757</v>
      </c>
      <c r="I364" s="17" t="n">
        <f aca="false">IF(COUNTIF(Distance_Matrix!$E$11:$DQ$11,$E364)&lt;=1,0,(H364-G364)/MAX(G364,H364))</f>
        <v>0.177252626533974</v>
      </c>
      <c r="X364" s="17" t="n">
        <f aca="false">SQRT(($B364-X$270)^2+($C364-X$271)^2+($D364-X$272)^2)</f>
        <v>6.34444553438655</v>
      </c>
      <c r="Y364" s="17" t="n">
        <f aca="false">SQRT(($B364-Y$270)^2+($C364-Y$271)^2+($D364-Y$272)^2)</f>
        <v>2.30447426490723</v>
      </c>
      <c r="Z364" s="17" t="n">
        <f aca="false">SQRT(($B364-Z$270)^2+($C364-Z$271)^2+($D364-Z$272)^2)</f>
        <v>2.00623655151962</v>
      </c>
      <c r="AA364" s="17" t="n">
        <f aca="false">SQRT(($B364-AA$270)^2+($C364-AA$271)^2+($D364-AA$272)^2)</f>
        <v>2.23050732117871</v>
      </c>
      <c r="AB364" s="17" t="n">
        <f aca="false">SQRT(($B364-AB$270)^2+($C364-AB$271)^2+($D364-AB$272)^2)</f>
        <v>4.29294656900473</v>
      </c>
      <c r="AC364" s="63" t="n">
        <f aca="false">MATCH(MIN(X364:AB364),X364:AB364,0)</f>
        <v>3</v>
      </c>
      <c r="AE364" s="17" t="n">
        <f aca="false">SQRT(($B364-AE$270)^2+($C364-AE$271)^2+($D364-AE$272)^2)</f>
        <v>6.26367519345531</v>
      </c>
      <c r="AF364" s="17" t="n">
        <f aca="false">SQRT(($B364-AF$270)^2+($C364-AF$271)^2+($D364-AF$272)^2)</f>
        <v>1.7286506496036</v>
      </c>
      <c r="AG364" s="17" t="n">
        <f aca="false">SQRT(($B364-AG$270)^2+($C364-AG$271)^2+($D364-AG$272)^2)</f>
        <v>1.42785832376436</v>
      </c>
      <c r="AH364" s="17" t="n">
        <f aca="false">SQRT(($B364-AH$270)^2+($C364-AH$271)^2+($D364-AH$272)^2)</f>
        <v>1.35535767463703</v>
      </c>
      <c r="AI364" s="17" t="n">
        <f aca="false">SQRT(($B364-AI$270)^2+($C364-AI$271)^2+($D364-AI$272)^2)</f>
        <v>4.04890268209127</v>
      </c>
      <c r="AJ364" s="63" t="n">
        <f aca="false">MATCH(MIN(AE364:AI364),AE364:AI364,0)</f>
        <v>4</v>
      </c>
      <c r="AL364" s="17" t="n">
        <f aca="false">SQRT(($B364-AL$270)^2+($C364-AL$271)^2+($D364-AL$272)^2)</f>
        <v>6.26367519345531</v>
      </c>
      <c r="AM364" s="17" t="n">
        <f aca="false">SQRT(($B364-AM$270)^2+($C364-AM$271)^2+($D364-AM$272)^2)</f>
        <v>1.77174576200322</v>
      </c>
      <c r="AN364" s="17" t="n">
        <f aca="false">SQRT(($B364-AN$270)^2+($C364-AN$271)^2+($D364-AN$272)^2)</f>
        <v>1.50575404503273</v>
      </c>
      <c r="AO364" s="17" t="n">
        <f aca="false">SQRT(($B364-AO$270)^2+($C364-AO$271)^2+($D364-AO$272)^2)</f>
        <v>1.25573636403103</v>
      </c>
      <c r="AP364" s="17" t="n">
        <f aca="false">SQRT(($B364-AP$270)^2+($C364-AP$271)^2+($D364-AP$272)^2)</f>
        <v>3.77792555857705</v>
      </c>
      <c r="AQ364" s="63" t="n">
        <f aca="false">MATCH(MIN(AL364:AP364),AL364:AP364,0)</f>
        <v>4</v>
      </c>
      <c r="AS364" s="17" t="n">
        <f aca="false">SQRT(($B364-AS$270)^2+($C364-AS$271)^2+($D364-AS$272)^2)</f>
        <v>6.26367519345531</v>
      </c>
      <c r="AT364" s="17" t="n">
        <f aca="false">SQRT(($B364-AT$270)^2+($C364-AT$271)^2+($D364-AT$272)^2)</f>
        <v>1.8654164157688</v>
      </c>
      <c r="AU364" s="17" t="n">
        <f aca="false">SQRT(($B364-AU$270)^2+($C364-AU$271)^2+($D364-AU$272)^2)</f>
        <v>1.53036880692944</v>
      </c>
      <c r="AV364" s="17" t="n">
        <f aca="false">SQRT(($B364-AV$270)^2+($C364-AV$271)^2+($D364-AV$272)^2)</f>
        <v>1.21288927396346</v>
      </c>
      <c r="AW364" s="17" t="n">
        <f aca="false">SQRT(($B364-AW$270)^2+($C364-AW$271)^2+($D364-AW$272)^2)</f>
        <v>3.77792555857705</v>
      </c>
      <c r="AX364" s="63" t="n">
        <f aca="false">MATCH(MIN(AS364:AW364),AS364:AW364,0)</f>
        <v>4</v>
      </c>
      <c r="AZ364" s="17" t="n">
        <f aca="false">SQRT(($B364-AZ$270)^2+($C364-AZ$271)^2+($D364-AZ$272)^2)</f>
        <v>6.26367519345531</v>
      </c>
      <c r="BA364" s="17" t="n">
        <f aca="false">SQRT(($B364-BA$270)^2+($C364-BA$271)^2+($D364-BA$272)^2)</f>
        <v>1.8654164157688</v>
      </c>
      <c r="BB364" s="17" t="n">
        <f aca="false">SQRT(($B364-BB$270)^2+($C364-BB$271)^2+($D364-BB$272)^2)</f>
        <v>1.53036880692944</v>
      </c>
      <c r="BC364" s="17" t="n">
        <f aca="false">SQRT(($B364-BC$270)^2+($C364-BC$271)^2+($D364-BC$272)^2)</f>
        <v>1.21288927396346</v>
      </c>
      <c r="BD364" s="17" t="n">
        <f aca="false">SQRT(($B364-BD$270)^2+($C364-BD$271)^2+($D364-BD$272)^2)</f>
        <v>3.77792555857705</v>
      </c>
      <c r="BE364" s="63" t="n">
        <f aca="false">MATCH(MIN(AZ364:BD364),AZ364:BD364,0)</f>
        <v>4</v>
      </c>
      <c r="BG364" s="17" t="n">
        <f aca="false">SQRT(($B364-BG$270)^2+($C364-BG$271)^2+($D364-BG$272)^2)</f>
        <v>6.26367519345531</v>
      </c>
      <c r="BH364" s="17" t="n">
        <f aca="false">SQRT(($B364-BH$270)^2+($C364-BH$271)^2+($D364-BH$272)^2)</f>
        <v>1.8654164157688</v>
      </c>
      <c r="BI364" s="17" t="n">
        <f aca="false">SQRT(($B364-BI$270)^2+($C364-BI$271)^2+($D364-BI$272)^2)</f>
        <v>1.53036880692944</v>
      </c>
      <c r="BJ364" s="17" t="n">
        <f aca="false">SQRT(($B364-BJ$270)^2+($C364-BJ$271)^2+($D364-BJ$272)^2)</f>
        <v>1.21288927396346</v>
      </c>
      <c r="BK364" s="17" t="n">
        <f aca="false">SQRT(($B364-BK$270)^2+($C364-BK$271)^2+($D364-BK$272)^2)</f>
        <v>3.77792555857705</v>
      </c>
      <c r="BL364" s="63" t="n">
        <f aca="false">MATCH(MIN(BG364:BK364),BG364:BK364,0)</f>
        <v>4</v>
      </c>
      <c r="BN364" s="17" t="n">
        <f aca="false">SQRT(($B364-BN$270)^2+($C364-BN$271)^2+($D364-BN$272)^2)</f>
        <v>6.26367519345531</v>
      </c>
      <c r="BO364" s="17" t="n">
        <f aca="false">SQRT(($B364-BO$270)^2+($C364-BO$271)^2+($D364-BO$272)^2)</f>
        <v>1.8654164157688</v>
      </c>
      <c r="BP364" s="17" t="n">
        <f aca="false">SQRT(($B364-BP$270)^2+($C364-BP$271)^2+($D364-BP$272)^2)</f>
        <v>1.53036880692944</v>
      </c>
      <c r="BQ364" s="17" t="n">
        <f aca="false">SQRT(($B364-BQ$270)^2+($C364-BQ$271)^2+($D364-BQ$272)^2)</f>
        <v>1.21288927396346</v>
      </c>
      <c r="BR364" s="17" t="n">
        <f aca="false">SQRT(($B364-BR$270)^2+($C364-BR$271)^2+($D364-BR$272)^2)</f>
        <v>3.77792555857705</v>
      </c>
      <c r="BS364" s="63" t="n">
        <f aca="false">MATCH(MIN(BN364:BR364),BN364:BR364,0)</f>
        <v>4</v>
      </c>
      <c r="BU364" s="17" t="n">
        <f aca="false">SQRT(($B364-BU$270)^2+($C364-BU$271)^2+($D364-BU$272)^2)</f>
        <v>6.26367519345531</v>
      </c>
      <c r="BV364" s="17" t="n">
        <f aca="false">SQRT(($B364-BV$270)^2+($C364-BV$271)^2+($D364-BV$272)^2)</f>
        <v>1.8654164157688</v>
      </c>
      <c r="BW364" s="17" t="n">
        <f aca="false">SQRT(($B364-BW$270)^2+($C364-BW$271)^2+($D364-BW$272)^2)</f>
        <v>1.53036880692944</v>
      </c>
      <c r="BX364" s="17" t="n">
        <f aca="false">SQRT(($B364-BX$270)^2+($C364-BX$271)^2+($D364-BX$272)^2)</f>
        <v>1.21288927396346</v>
      </c>
      <c r="BY364" s="17" t="n">
        <f aca="false">SQRT(($B364-BY$270)^2+($C364-BY$271)^2+($D364-BY$272)^2)</f>
        <v>3.77792555857705</v>
      </c>
      <c r="BZ364" s="63" t="n">
        <f aca="false">MATCH(MIN(BU364:BY364),BU364:BY364,0)</f>
        <v>4</v>
      </c>
      <c r="CB364" s="17" t="n">
        <f aca="false">SQRT(($B364-CB$270)^2+($C364-CB$271)^2+($D364-CB$272)^2)</f>
        <v>6.26367519345531</v>
      </c>
      <c r="CC364" s="17" t="n">
        <f aca="false">SQRT(($B364-CC$270)^2+($C364-CC$271)^2+($D364-CC$272)^2)</f>
        <v>1.8654164157688</v>
      </c>
      <c r="CD364" s="17" t="n">
        <f aca="false">SQRT(($B364-CD$270)^2+($C364-CD$271)^2+($D364-CD$272)^2)</f>
        <v>1.53036880692944</v>
      </c>
      <c r="CE364" s="17" t="n">
        <f aca="false">SQRT(($B364-CE$270)^2+($C364-CE$271)^2+($D364-CE$272)^2)</f>
        <v>1.21288927396346</v>
      </c>
      <c r="CF364" s="17" t="n">
        <f aca="false">SQRT(($B364-CF$270)^2+($C364-CF$271)^2+($D364-CF$272)^2)</f>
        <v>3.77792555857705</v>
      </c>
      <c r="CG364" s="63" t="n">
        <f aca="false">MATCH(MIN(CB364:CF364),CB364:CF364,0)</f>
        <v>4</v>
      </c>
      <c r="CI364" s="17" t="n">
        <f aca="false">SQRT(($B364-CI$270)^2+($C364-CI$271)^2+($D364-CI$272)^2)</f>
        <v>6.26367519345531</v>
      </c>
      <c r="CJ364" s="17" t="n">
        <f aca="false">SQRT(($B364-CJ$270)^2+($C364-CJ$271)^2+($D364-CJ$272)^2)</f>
        <v>1.8654164157688</v>
      </c>
      <c r="CK364" s="17" t="n">
        <f aca="false">SQRT(($B364-CK$270)^2+($C364-CK$271)^2+($D364-CK$272)^2)</f>
        <v>1.53036880692944</v>
      </c>
      <c r="CL364" s="17" t="n">
        <f aca="false">SQRT(($B364-CL$270)^2+($C364-CL$271)^2+($D364-CL$272)^2)</f>
        <v>1.21288927396346</v>
      </c>
      <c r="CM364" s="17" t="n">
        <f aca="false">SQRT(($B364-CM$270)^2+($C364-CM$271)^2+($D364-CM$272)^2)</f>
        <v>3.77792555857705</v>
      </c>
      <c r="CN364" s="63" t="n">
        <f aca="false">MATCH(MIN(CI364:CM364),CI364:CM364,0)</f>
        <v>4</v>
      </c>
      <c r="CP364" s="17" t="n">
        <f aca="false">SQRT(($B364-CP$270)^2+($C364-CP$271)^2+($D364-CP$272)^2)</f>
        <v>6.26367519345531</v>
      </c>
      <c r="CQ364" s="17" t="n">
        <f aca="false">SQRT(($B364-CQ$270)^2+($C364-CQ$271)^2+($D364-CQ$272)^2)</f>
        <v>1.8654164157688</v>
      </c>
      <c r="CR364" s="17" t="n">
        <f aca="false">SQRT(($B364-CR$270)^2+($C364-CR$271)^2+($D364-CR$272)^2)</f>
        <v>1.53036880692944</v>
      </c>
      <c r="CS364" s="17" t="n">
        <f aca="false">SQRT(($B364-CS$270)^2+($C364-CS$271)^2+($D364-CS$272)^2)</f>
        <v>1.21288927396346</v>
      </c>
      <c r="CT364" s="17" t="n">
        <f aca="false">SQRT(($B364-CT$270)^2+($C364-CT$271)^2+($D364-CT$272)^2)</f>
        <v>3.77792555857705</v>
      </c>
      <c r="CU364" s="63" t="n">
        <f aca="false">MATCH(MIN(CP364:CT364),CP364:CT364,0)</f>
        <v>4</v>
      </c>
      <c r="CW364" s="17" t="n">
        <f aca="false">SQRT(($B364-CW$270)^2+($C364-CW$271)^2+($D364-CW$272)^2)</f>
        <v>6.26367519345531</v>
      </c>
      <c r="CX364" s="17" t="n">
        <f aca="false">SQRT(($B364-CX$270)^2+($C364-CX$271)^2+($D364-CX$272)^2)</f>
        <v>1.8654164157688</v>
      </c>
      <c r="CY364" s="17" t="n">
        <f aca="false">SQRT(($B364-CY$270)^2+($C364-CY$271)^2+($D364-CY$272)^2)</f>
        <v>1.53036880692944</v>
      </c>
      <c r="CZ364" s="17" t="n">
        <f aca="false">SQRT(($B364-CZ$270)^2+($C364-CZ$271)^2+($D364-CZ$272)^2)</f>
        <v>1.21288927396346</v>
      </c>
      <c r="DA364" s="17" t="n">
        <f aca="false">SQRT(($B364-DA$270)^2+($C364-DA$271)^2+($D364-DA$272)^2)</f>
        <v>3.77792555857705</v>
      </c>
      <c r="DB364" s="63" t="n">
        <f aca="false">MATCH(MIN(CW364:DA364),CW364:DA364,0)</f>
        <v>4</v>
      </c>
    </row>
    <row r="365" customFormat="false" ht="15" hidden="false" customHeight="false" outlineLevel="0" collapsed="false">
      <c r="A365" s="36" t="str">
        <f aca="false">KMeans_Data!A93</f>
        <v>Lakki Marwat</v>
      </c>
      <c r="B365" s="17" t="n">
        <f aca="false">KMeans_Data!H93</f>
        <v>-0.744758744633192</v>
      </c>
      <c r="C365" s="17" t="n">
        <f aca="false">KMeans_Data!I93</f>
        <v>-0.146983133929529</v>
      </c>
      <c r="D365" s="17" t="n">
        <f aca="false">KMeans_Data!J93</f>
        <v>-0.182049815029191</v>
      </c>
      <c r="E365" s="63" t="n">
        <f aca="false">DB365</f>
        <v>4</v>
      </c>
      <c r="F365" s="38" t="n">
        <f aca="false">($B365-INDEX($L$270:$P$270,E365))^2+($C365-INDEX($L$271:$P$271,E365))^2+($D365-INDEX($L$272:$P$272,E365))^2</f>
        <v>0.547204451728636</v>
      </c>
      <c r="G365" s="17" t="n">
        <f aca="false">IF(COUNTIF(Distance_Matrix!$E$11:$DQ$11,$E365)&lt;=1,0,SUMIF(Distance_Matrix!$E$11:$DQ$11,$E365,Distance_Matrix!$E$102:$DQ$102)/(COUNTIF(Distance_Matrix!$E$11:$DQ$11,$E365)-1))</f>
        <v>1.01703870197446</v>
      </c>
      <c r="H365" s="17" t="n">
        <f aca="false">MIN(IF(1=$E365,1E+099,IF(COUNTIF(Distance_Matrix!$E$11:$DQ$11,1)=0,1E+099,SUMIF(Distance_Matrix!$E$11:$DQ$11,1,Distance_Matrix!$E$102:$DQ$102)/COUNTIF(Distance_Matrix!$E$11:$DQ$11,1))),IF(2=$E365,1E+099,IF(COUNTIF(Distance_Matrix!$E$11:$DQ$11,2)=0,1E+099,SUMIF(Distance_Matrix!$E$11:$DQ$11,2,Distance_Matrix!$E$102:$DQ$102)/COUNTIF(Distance_Matrix!$E$11:$DQ$11,2))),IF(3=$E365,1E+099,IF(COUNTIF(Distance_Matrix!$E$11:$DQ$11,3)=0,1E+099,SUMIF(Distance_Matrix!$E$11:$DQ$11,3,Distance_Matrix!$E$102:$DQ$102)/COUNTIF(Distance_Matrix!$E$11:$DQ$11,3))),IF(4=$E365,1E+099,IF(COUNTIF(Distance_Matrix!$E$11:$DQ$11,4)=0,1E+099,SUMIF(Distance_Matrix!$E$11:$DQ$11,4,Distance_Matrix!$E$102:$DQ$102)/COUNTIF(Distance_Matrix!$E$11:$DQ$11,4))),IF(5=$E365,1E+099,IF(COUNTIF(Distance_Matrix!$E$11:$DQ$11,5)=0,1E+099,SUMIF(Distance_Matrix!$E$11:$DQ$11,5,Distance_Matrix!$E$102:$DQ$102)/COUNTIF(Distance_Matrix!$E$11:$DQ$11,5))))</f>
        <v>1.21434302136324</v>
      </c>
      <c r="I365" s="17" t="n">
        <f aca="false">IF(COUNTIF(Distance_Matrix!$E$11:$DQ$11,$E365)&lt;=1,0,(H365-G365)/MAX(G365,H365))</f>
        <v>0.162478242076346</v>
      </c>
      <c r="X365" s="17" t="n">
        <f aca="false">SQRT(($B365-X$270)^2+($C365-X$271)^2+($D365-X$272)^2)</f>
        <v>6.74327164312577</v>
      </c>
      <c r="Y365" s="17" t="n">
        <f aca="false">SQRT(($B365-Y$270)^2+($C365-Y$271)^2+($D365-Y$272)^2)</f>
        <v>1.72829678257275</v>
      </c>
      <c r="Z365" s="17" t="n">
        <f aca="false">SQRT(($B365-Z$270)^2+($C365-Z$271)^2+($D365-Z$272)^2)</f>
        <v>2.48652302232641</v>
      </c>
      <c r="AA365" s="17" t="n">
        <f aca="false">SQRT(($B365-AA$270)^2+($C365-AA$271)^2+($D365-AA$272)^2)</f>
        <v>1.69168985842034</v>
      </c>
      <c r="AB365" s="17" t="n">
        <f aca="false">SQRT(($B365-AB$270)^2+($C365-AB$271)^2+($D365-AB$272)^2)</f>
        <v>4.70656572841034</v>
      </c>
      <c r="AC365" s="63" t="n">
        <f aca="false">MATCH(MIN(X365:AB365),X365:AB365,0)</f>
        <v>4</v>
      </c>
      <c r="AE365" s="17" t="n">
        <f aca="false">SQRT(($B365-AE$270)^2+($C365-AE$271)^2+($D365-AE$272)^2)</f>
        <v>6.6323912864965</v>
      </c>
      <c r="AF365" s="17" t="n">
        <f aca="false">SQRT(($B365-AF$270)^2+($C365-AF$271)^2+($D365-AF$272)^2)</f>
        <v>1.03463499277767</v>
      </c>
      <c r="AG365" s="17" t="n">
        <f aca="false">SQRT(($B365-AG$270)^2+($C365-AG$271)^2+($D365-AG$272)^2)</f>
        <v>1.77388068419641</v>
      </c>
      <c r="AH365" s="17" t="n">
        <f aca="false">SQRT(($B365-AH$270)^2+($C365-AH$271)^2+($D365-AH$272)^2)</f>
        <v>0.832500496274901</v>
      </c>
      <c r="AI365" s="17" t="n">
        <f aca="false">SQRT(($B365-AI$270)^2+($C365-AI$271)^2+($D365-AI$272)^2)</f>
        <v>4.37582761265911</v>
      </c>
      <c r="AJ365" s="63" t="n">
        <f aca="false">MATCH(MIN(AE365:AI365),AE365:AI365,0)</f>
        <v>4</v>
      </c>
      <c r="AL365" s="17" t="n">
        <f aca="false">SQRT(($B365-AL$270)^2+($C365-AL$271)^2+($D365-AL$272)^2)</f>
        <v>6.6323912864965</v>
      </c>
      <c r="AM365" s="17" t="n">
        <f aca="false">SQRT(($B365-AM$270)^2+($C365-AM$271)^2+($D365-AM$272)^2)</f>
        <v>1.06785375557173</v>
      </c>
      <c r="AN365" s="17" t="n">
        <f aca="false">SQRT(($B365-AN$270)^2+($C365-AN$271)^2+($D365-AN$272)^2)</f>
        <v>1.83744832663658</v>
      </c>
      <c r="AO365" s="17" t="n">
        <f aca="false">SQRT(($B365-AO$270)^2+($C365-AO$271)^2+($D365-AO$272)^2)</f>
        <v>0.787432220127897</v>
      </c>
      <c r="AP365" s="17" t="n">
        <f aca="false">SQRT(($B365-AP$270)^2+($C365-AP$271)^2+($D365-AP$272)^2)</f>
        <v>4.10008038045263</v>
      </c>
      <c r="AQ365" s="63" t="n">
        <f aca="false">MATCH(MIN(AL365:AP365),AL365:AP365,0)</f>
        <v>4</v>
      </c>
      <c r="AS365" s="17" t="n">
        <f aca="false">SQRT(($B365-AS$270)^2+($C365-AS$271)^2+($D365-AS$272)^2)</f>
        <v>6.6323912864965</v>
      </c>
      <c r="AT365" s="17" t="n">
        <f aca="false">SQRT(($B365-AT$270)^2+($C365-AT$271)^2+($D365-AT$272)^2)</f>
        <v>1.15514510877123</v>
      </c>
      <c r="AU365" s="17" t="n">
        <f aca="false">SQRT(($B365-AU$270)^2+($C365-AU$271)^2+($D365-AU$272)^2)</f>
        <v>1.86507950271966</v>
      </c>
      <c r="AV365" s="17" t="n">
        <f aca="false">SQRT(($B365-AV$270)^2+($C365-AV$271)^2+($D365-AV$272)^2)</f>
        <v>0.739732689374098</v>
      </c>
      <c r="AW365" s="17" t="n">
        <f aca="false">SQRT(($B365-AW$270)^2+($C365-AW$271)^2+($D365-AW$272)^2)</f>
        <v>4.10008038045263</v>
      </c>
      <c r="AX365" s="63" t="n">
        <f aca="false">MATCH(MIN(AS365:AW365),AS365:AW365,0)</f>
        <v>4</v>
      </c>
      <c r="AZ365" s="17" t="n">
        <f aca="false">SQRT(($B365-AZ$270)^2+($C365-AZ$271)^2+($D365-AZ$272)^2)</f>
        <v>6.6323912864965</v>
      </c>
      <c r="BA365" s="17" t="n">
        <f aca="false">SQRT(($B365-BA$270)^2+($C365-BA$271)^2+($D365-BA$272)^2)</f>
        <v>1.15514510877123</v>
      </c>
      <c r="BB365" s="17" t="n">
        <f aca="false">SQRT(($B365-BB$270)^2+($C365-BB$271)^2+($D365-BB$272)^2)</f>
        <v>1.86507950271966</v>
      </c>
      <c r="BC365" s="17" t="n">
        <f aca="false">SQRT(($B365-BC$270)^2+($C365-BC$271)^2+($D365-BC$272)^2)</f>
        <v>0.739732689374098</v>
      </c>
      <c r="BD365" s="17" t="n">
        <f aca="false">SQRT(($B365-BD$270)^2+($C365-BD$271)^2+($D365-BD$272)^2)</f>
        <v>4.10008038045263</v>
      </c>
      <c r="BE365" s="63" t="n">
        <f aca="false">MATCH(MIN(AZ365:BD365),AZ365:BD365,0)</f>
        <v>4</v>
      </c>
      <c r="BG365" s="17" t="n">
        <f aca="false">SQRT(($B365-BG$270)^2+($C365-BG$271)^2+($D365-BG$272)^2)</f>
        <v>6.6323912864965</v>
      </c>
      <c r="BH365" s="17" t="n">
        <f aca="false">SQRT(($B365-BH$270)^2+($C365-BH$271)^2+($D365-BH$272)^2)</f>
        <v>1.15514510877123</v>
      </c>
      <c r="BI365" s="17" t="n">
        <f aca="false">SQRT(($B365-BI$270)^2+($C365-BI$271)^2+($D365-BI$272)^2)</f>
        <v>1.86507950271966</v>
      </c>
      <c r="BJ365" s="17" t="n">
        <f aca="false">SQRT(($B365-BJ$270)^2+($C365-BJ$271)^2+($D365-BJ$272)^2)</f>
        <v>0.739732689374098</v>
      </c>
      <c r="BK365" s="17" t="n">
        <f aca="false">SQRT(($B365-BK$270)^2+($C365-BK$271)^2+($D365-BK$272)^2)</f>
        <v>4.10008038045263</v>
      </c>
      <c r="BL365" s="63" t="n">
        <f aca="false">MATCH(MIN(BG365:BK365),BG365:BK365,0)</f>
        <v>4</v>
      </c>
      <c r="BN365" s="17" t="n">
        <f aca="false">SQRT(($B365-BN$270)^2+($C365-BN$271)^2+($D365-BN$272)^2)</f>
        <v>6.6323912864965</v>
      </c>
      <c r="BO365" s="17" t="n">
        <f aca="false">SQRT(($B365-BO$270)^2+($C365-BO$271)^2+($D365-BO$272)^2)</f>
        <v>1.15514510877123</v>
      </c>
      <c r="BP365" s="17" t="n">
        <f aca="false">SQRT(($B365-BP$270)^2+($C365-BP$271)^2+($D365-BP$272)^2)</f>
        <v>1.86507950271966</v>
      </c>
      <c r="BQ365" s="17" t="n">
        <f aca="false">SQRT(($B365-BQ$270)^2+($C365-BQ$271)^2+($D365-BQ$272)^2)</f>
        <v>0.739732689374098</v>
      </c>
      <c r="BR365" s="17" t="n">
        <f aca="false">SQRT(($B365-BR$270)^2+($C365-BR$271)^2+($D365-BR$272)^2)</f>
        <v>4.10008038045263</v>
      </c>
      <c r="BS365" s="63" t="n">
        <f aca="false">MATCH(MIN(BN365:BR365),BN365:BR365,0)</f>
        <v>4</v>
      </c>
      <c r="BU365" s="17" t="n">
        <f aca="false">SQRT(($B365-BU$270)^2+($C365-BU$271)^2+($D365-BU$272)^2)</f>
        <v>6.6323912864965</v>
      </c>
      <c r="BV365" s="17" t="n">
        <f aca="false">SQRT(($B365-BV$270)^2+($C365-BV$271)^2+($D365-BV$272)^2)</f>
        <v>1.15514510877123</v>
      </c>
      <c r="BW365" s="17" t="n">
        <f aca="false">SQRT(($B365-BW$270)^2+($C365-BW$271)^2+($D365-BW$272)^2)</f>
        <v>1.86507950271966</v>
      </c>
      <c r="BX365" s="17" t="n">
        <f aca="false">SQRT(($B365-BX$270)^2+($C365-BX$271)^2+($D365-BX$272)^2)</f>
        <v>0.739732689374098</v>
      </c>
      <c r="BY365" s="17" t="n">
        <f aca="false">SQRT(($B365-BY$270)^2+($C365-BY$271)^2+($D365-BY$272)^2)</f>
        <v>4.10008038045263</v>
      </c>
      <c r="BZ365" s="63" t="n">
        <f aca="false">MATCH(MIN(BU365:BY365),BU365:BY365,0)</f>
        <v>4</v>
      </c>
      <c r="CB365" s="17" t="n">
        <f aca="false">SQRT(($B365-CB$270)^2+($C365-CB$271)^2+($D365-CB$272)^2)</f>
        <v>6.6323912864965</v>
      </c>
      <c r="CC365" s="17" t="n">
        <f aca="false">SQRT(($B365-CC$270)^2+($C365-CC$271)^2+($D365-CC$272)^2)</f>
        <v>1.15514510877123</v>
      </c>
      <c r="CD365" s="17" t="n">
        <f aca="false">SQRT(($B365-CD$270)^2+($C365-CD$271)^2+($D365-CD$272)^2)</f>
        <v>1.86507950271966</v>
      </c>
      <c r="CE365" s="17" t="n">
        <f aca="false">SQRT(($B365-CE$270)^2+($C365-CE$271)^2+($D365-CE$272)^2)</f>
        <v>0.739732689374098</v>
      </c>
      <c r="CF365" s="17" t="n">
        <f aca="false">SQRT(($B365-CF$270)^2+($C365-CF$271)^2+($D365-CF$272)^2)</f>
        <v>4.10008038045263</v>
      </c>
      <c r="CG365" s="63" t="n">
        <f aca="false">MATCH(MIN(CB365:CF365),CB365:CF365,0)</f>
        <v>4</v>
      </c>
      <c r="CI365" s="17" t="n">
        <f aca="false">SQRT(($B365-CI$270)^2+($C365-CI$271)^2+($D365-CI$272)^2)</f>
        <v>6.6323912864965</v>
      </c>
      <c r="CJ365" s="17" t="n">
        <f aca="false">SQRT(($B365-CJ$270)^2+($C365-CJ$271)^2+($D365-CJ$272)^2)</f>
        <v>1.15514510877123</v>
      </c>
      <c r="CK365" s="17" t="n">
        <f aca="false">SQRT(($B365-CK$270)^2+($C365-CK$271)^2+($D365-CK$272)^2)</f>
        <v>1.86507950271966</v>
      </c>
      <c r="CL365" s="17" t="n">
        <f aca="false">SQRT(($B365-CL$270)^2+($C365-CL$271)^2+($D365-CL$272)^2)</f>
        <v>0.739732689374098</v>
      </c>
      <c r="CM365" s="17" t="n">
        <f aca="false">SQRT(($B365-CM$270)^2+($C365-CM$271)^2+($D365-CM$272)^2)</f>
        <v>4.10008038045263</v>
      </c>
      <c r="CN365" s="63" t="n">
        <f aca="false">MATCH(MIN(CI365:CM365),CI365:CM365,0)</f>
        <v>4</v>
      </c>
      <c r="CP365" s="17" t="n">
        <f aca="false">SQRT(($B365-CP$270)^2+($C365-CP$271)^2+($D365-CP$272)^2)</f>
        <v>6.6323912864965</v>
      </c>
      <c r="CQ365" s="17" t="n">
        <f aca="false">SQRT(($B365-CQ$270)^2+($C365-CQ$271)^2+($D365-CQ$272)^2)</f>
        <v>1.15514510877123</v>
      </c>
      <c r="CR365" s="17" t="n">
        <f aca="false">SQRT(($B365-CR$270)^2+($C365-CR$271)^2+($D365-CR$272)^2)</f>
        <v>1.86507950271966</v>
      </c>
      <c r="CS365" s="17" t="n">
        <f aca="false">SQRT(($B365-CS$270)^2+($C365-CS$271)^2+($D365-CS$272)^2)</f>
        <v>0.739732689374098</v>
      </c>
      <c r="CT365" s="17" t="n">
        <f aca="false">SQRT(($B365-CT$270)^2+($C365-CT$271)^2+($D365-CT$272)^2)</f>
        <v>4.10008038045263</v>
      </c>
      <c r="CU365" s="63" t="n">
        <f aca="false">MATCH(MIN(CP365:CT365),CP365:CT365,0)</f>
        <v>4</v>
      </c>
      <c r="CW365" s="17" t="n">
        <f aca="false">SQRT(($B365-CW$270)^2+($C365-CW$271)^2+($D365-CW$272)^2)</f>
        <v>6.6323912864965</v>
      </c>
      <c r="CX365" s="17" t="n">
        <f aca="false">SQRT(($B365-CX$270)^2+($C365-CX$271)^2+($D365-CX$272)^2)</f>
        <v>1.15514510877123</v>
      </c>
      <c r="CY365" s="17" t="n">
        <f aca="false">SQRT(($B365-CY$270)^2+($C365-CY$271)^2+($D365-CY$272)^2)</f>
        <v>1.86507950271966</v>
      </c>
      <c r="CZ365" s="17" t="n">
        <f aca="false">SQRT(($B365-CZ$270)^2+($C365-CZ$271)^2+($D365-CZ$272)^2)</f>
        <v>0.739732689374098</v>
      </c>
      <c r="DA365" s="17" t="n">
        <f aca="false">SQRT(($B365-DA$270)^2+($C365-DA$271)^2+($D365-DA$272)^2)</f>
        <v>4.10008038045263</v>
      </c>
      <c r="DB365" s="63" t="n">
        <f aca="false">MATCH(MIN(CW365:DA365),CW365:DA365,0)</f>
        <v>4</v>
      </c>
    </row>
    <row r="366" customFormat="false" ht="15" hidden="false" customHeight="false" outlineLevel="0" collapsed="false">
      <c r="A366" s="36" t="str">
        <f aca="false">KMeans_Data!A94</f>
        <v>Taftan</v>
      </c>
      <c r="B366" s="17" t="n">
        <f aca="false">KMeans_Data!H94</f>
        <v>-0.744758744633192</v>
      </c>
      <c r="C366" s="17" t="n">
        <f aca="false">KMeans_Data!I94</f>
        <v>-0.672650545388274</v>
      </c>
      <c r="D366" s="17" t="n">
        <f aca="false">KMeans_Data!J94</f>
        <v>-1.14564411633355</v>
      </c>
      <c r="E366" s="63" t="n">
        <f aca="false">DB366</f>
        <v>2</v>
      </c>
      <c r="F366" s="38" t="n">
        <f aca="false">($B366-INDEX($L$270:$P$270,E366))^2+($C366-INDEX($L$271:$P$271,E366))^2+($D366-INDEX($L$272:$P$272,E366))^2</f>
        <v>0.289911868760181</v>
      </c>
      <c r="G366" s="17" t="n">
        <f aca="false">IF(COUNTIF(Distance_Matrix!$E$11:$DQ$11,$E366)&lt;=1,0,SUMIF(Distance_Matrix!$E$11:$DQ$11,$E366,Distance_Matrix!$E$103:$DQ$103)/(COUNTIF(Distance_Matrix!$E$11:$DQ$11,$E366)-1))</f>
        <v>0.622835318565105</v>
      </c>
      <c r="H366" s="17" t="n">
        <f aca="false">MIN(IF(1=$E366,1E+099,IF(COUNTIF(Distance_Matrix!$E$11:$DQ$11,1)=0,1E+099,SUMIF(Distance_Matrix!$E$11:$DQ$11,1,Distance_Matrix!$E$103:$DQ$103)/COUNTIF(Distance_Matrix!$E$11:$DQ$11,1))),IF(2=$E366,1E+099,IF(COUNTIF(Distance_Matrix!$E$11:$DQ$11,2)=0,1E+099,SUMIF(Distance_Matrix!$E$11:$DQ$11,2,Distance_Matrix!$E$103:$DQ$103)/COUNTIF(Distance_Matrix!$E$11:$DQ$11,2))),IF(3=$E366,1E+099,IF(COUNTIF(Distance_Matrix!$E$11:$DQ$11,3)=0,1E+099,SUMIF(Distance_Matrix!$E$11:$DQ$11,3,Distance_Matrix!$E$103:$DQ$103)/COUNTIF(Distance_Matrix!$E$11:$DQ$11,3))),IF(4=$E366,1E+099,IF(COUNTIF(Distance_Matrix!$E$11:$DQ$11,4)=0,1E+099,SUMIF(Distance_Matrix!$E$11:$DQ$11,4,Distance_Matrix!$E$103:$DQ$103)/COUNTIF(Distance_Matrix!$E$11:$DQ$11,4))),IF(5=$E366,1E+099,IF(COUNTIF(Distance_Matrix!$E$11:$DQ$11,5)=0,1E+099,SUMIF(Distance_Matrix!$E$11:$DQ$11,5,Distance_Matrix!$E$103:$DQ$103)/COUNTIF(Distance_Matrix!$E$11:$DQ$11,5))))</f>
        <v>1.18058089896176</v>
      </c>
      <c r="I366" s="17" t="n">
        <f aca="false">IF(COUNTIF(Distance_Matrix!$E$11:$DQ$11,$E366)&lt;=1,0,(H366-G366)/MAX(G366,H366))</f>
        <v>0.472433173268479</v>
      </c>
      <c r="X366" s="17" t="n">
        <f aca="false">SQRT(($B366-X$270)^2+($C366-X$271)^2+($D366-X$272)^2)</f>
        <v>7.59583452709132</v>
      </c>
      <c r="Y366" s="17" t="n">
        <f aca="false">SQRT(($B366-Y$270)^2+($C366-Y$271)^2+($D366-Y$272)^2)</f>
        <v>1.33497923717013</v>
      </c>
      <c r="Z366" s="17" t="n">
        <f aca="false">SQRT(($B366-Z$270)^2+($C366-Z$271)^2+($D366-Z$272)^2)</f>
        <v>3.33539814601637</v>
      </c>
      <c r="AA366" s="17" t="n">
        <f aca="false">SQRT(($B366-AA$270)^2+($C366-AA$271)^2+($D366-AA$272)^2)</f>
        <v>1.48648135778614</v>
      </c>
      <c r="AB366" s="17" t="n">
        <f aca="false">SQRT(($B366-AB$270)^2+($C366-AB$271)^2+($D366-AB$272)^2)</f>
        <v>5.55390498863844</v>
      </c>
      <c r="AC366" s="63" t="n">
        <f aca="false">MATCH(MIN(X366:AB366),X366:AB366,0)</f>
        <v>2</v>
      </c>
      <c r="AE366" s="17" t="n">
        <f aca="false">SQRT(($B366-AE$270)^2+($C366-AE$271)^2+($D366-AE$272)^2)</f>
        <v>7.46486827507443</v>
      </c>
      <c r="AF366" s="17" t="n">
        <f aca="false">SQRT(($B366-AF$270)^2+($C366-AF$271)^2+($D366-AF$272)^2)</f>
        <v>0.539349319702964</v>
      </c>
      <c r="AG366" s="17" t="n">
        <f aca="false">SQRT(($B366-AG$270)^2+($C366-AG$271)^2+($D366-AG$272)^2)</f>
        <v>2.6482285026187</v>
      </c>
      <c r="AH366" s="17" t="n">
        <f aca="false">SQRT(($B366-AH$270)^2+($C366-AH$271)^2+($D366-AH$272)^2)</f>
        <v>0.947889969601611</v>
      </c>
      <c r="AI366" s="17" t="n">
        <f aca="false">SQRT(($B366-AI$270)^2+($C366-AI$271)^2+($D366-AI$272)^2)</f>
        <v>5.19350038900495</v>
      </c>
      <c r="AJ366" s="63" t="n">
        <f aca="false">MATCH(MIN(AE366:AI366),AE366:AI366,0)</f>
        <v>2</v>
      </c>
      <c r="AL366" s="17" t="n">
        <f aca="false">SQRT(($B366-AL$270)^2+($C366-AL$271)^2+($D366-AL$272)^2)</f>
        <v>7.46486827507443</v>
      </c>
      <c r="AM366" s="17" t="n">
        <f aca="false">SQRT(($B366-AM$270)^2+($C366-AM$271)^2+($D366-AM$272)^2)</f>
        <v>0.513455658435984</v>
      </c>
      <c r="AN366" s="17" t="n">
        <f aca="false">SQRT(($B366-AN$270)^2+($C366-AN$271)^2+($D366-AN$272)^2)</f>
        <v>2.70495733168274</v>
      </c>
      <c r="AO366" s="17" t="n">
        <f aca="false">SQRT(($B366-AO$270)^2+($C366-AO$271)^2+($D366-AO$272)^2)</f>
        <v>1.01274986483075</v>
      </c>
      <c r="AP366" s="17" t="n">
        <f aca="false">SQRT(($B366-AP$270)^2+($C366-AP$271)^2+($D366-AP$272)^2)</f>
        <v>4.92280152351323</v>
      </c>
      <c r="AQ366" s="63" t="n">
        <f aca="false">MATCH(MIN(AL366:AP366),AL366:AP366,0)</f>
        <v>2</v>
      </c>
      <c r="AS366" s="17" t="n">
        <f aca="false">SQRT(($B366-AS$270)^2+($C366-AS$271)^2+($D366-AS$272)^2)</f>
        <v>7.46486827507443</v>
      </c>
      <c r="AT366" s="17" t="n">
        <f aca="false">SQRT(($B366-AT$270)^2+($C366-AT$271)^2+($D366-AT$272)^2)</f>
        <v>0.53843464669371</v>
      </c>
      <c r="AU366" s="17" t="n">
        <f aca="false">SQRT(($B366-AU$270)^2+($C366-AU$271)^2+($D366-AU$272)^2)</f>
        <v>2.7316975609093</v>
      </c>
      <c r="AV366" s="17" t="n">
        <f aca="false">SQRT(($B366-AV$270)^2+($C366-AV$271)^2+($D366-AV$272)^2)</f>
        <v>1.0002028670786</v>
      </c>
      <c r="AW366" s="17" t="n">
        <f aca="false">SQRT(($B366-AW$270)^2+($C366-AW$271)^2+($D366-AW$272)^2)</f>
        <v>4.92280152351323</v>
      </c>
      <c r="AX366" s="63" t="n">
        <f aca="false">MATCH(MIN(AS366:AW366),AS366:AW366,0)</f>
        <v>2</v>
      </c>
      <c r="AZ366" s="17" t="n">
        <f aca="false">SQRT(($B366-AZ$270)^2+($C366-AZ$271)^2+($D366-AZ$272)^2)</f>
        <v>7.46486827507443</v>
      </c>
      <c r="BA366" s="17" t="n">
        <f aca="false">SQRT(($B366-BA$270)^2+($C366-BA$271)^2+($D366-BA$272)^2)</f>
        <v>0.53843464669371</v>
      </c>
      <c r="BB366" s="17" t="n">
        <f aca="false">SQRT(($B366-BB$270)^2+($C366-BB$271)^2+($D366-BB$272)^2)</f>
        <v>2.7316975609093</v>
      </c>
      <c r="BC366" s="17" t="n">
        <f aca="false">SQRT(($B366-BC$270)^2+($C366-BC$271)^2+($D366-BC$272)^2)</f>
        <v>1.0002028670786</v>
      </c>
      <c r="BD366" s="17" t="n">
        <f aca="false">SQRT(($B366-BD$270)^2+($C366-BD$271)^2+($D366-BD$272)^2)</f>
        <v>4.92280152351323</v>
      </c>
      <c r="BE366" s="63" t="n">
        <f aca="false">MATCH(MIN(AZ366:BD366),AZ366:BD366,0)</f>
        <v>2</v>
      </c>
      <c r="BG366" s="17" t="n">
        <f aca="false">SQRT(($B366-BG$270)^2+($C366-BG$271)^2+($D366-BG$272)^2)</f>
        <v>7.46486827507443</v>
      </c>
      <c r="BH366" s="17" t="n">
        <f aca="false">SQRT(($B366-BH$270)^2+($C366-BH$271)^2+($D366-BH$272)^2)</f>
        <v>0.53843464669371</v>
      </c>
      <c r="BI366" s="17" t="n">
        <f aca="false">SQRT(($B366-BI$270)^2+($C366-BI$271)^2+($D366-BI$272)^2)</f>
        <v>2.7316975609093</v>
      </c>
      <c r="BJ366" s="17" t="n">
        <f aca="false">SQRT(($B366-BJ$270)^2+($C366-BJ$271)^2+($D366-BJ$272)^2)</f>
        <v>1.0002028670786</v>
      </c>
      <c r="BK366" s="17" t="n">
        <f aca="false">SQRT(($B366-BK$270)^2+($C366-BK$271)^2+($D366-BK$272)^2)</f>
        <v>4.92280152351323</v>
      </c>
      <c r="BL366" s="63" t="n">
        <f aca="false">MATCH(MIN(BG366:BK366),BG366:BK366,0)</f>
        <v>2</v>
      </c>
      <c r="BN366" s="17" t="n">
        <f aca="false">SQRT(($B366-BN$270)^2+($C366-BN$271)^2+($D366-BN$272)^2)</f>
        <v>7.46486827507443</v>
      </c>
      <c r="BO366" s="17" t="n">
        <f aca="false">SQRT(($B366-BO$270)^2+($C366-BO$271)^2+($D366-BO$272)^2)</f>
        <v>0.53843464669371</v>
      </c>
      <c r="BP366" s="17" t="n">
        <f aca="false">SQRT(($B366-BP$270)^2+($C366-BP$271)^2+($D366-BP$272)^2)</f>
        <v>2.7316975609093</v>
      </c>
      <c r="BQ366" s="17" t="n">
        <f aca="false">SQRT(($B366-BQ$270)^2+($C366-BQ$271)^2+($D366-BQ$272)^2)</f>
        <v>1.0002028670786</v>
      </c>
      <c r="BR366" s="17" t="n">
        <f aca="false">SQRT(($B366-BR$270)^2+($C366-BR$271)^2+($D366-BR$272)^2)</f>
        <v>4.92280152351323</v>
      </c>
      <c r="BS366" s="63" t="n">
        <f aca="false">MATCH(MIN(BN366:BR366),BN366:BR366,0)</f>
        <v>2</v>
      </c>
      <c r="BU366" s="17" t="n">
        <f aca="false">SQRT(($B366-BU$270)^2+($C366-BU$271)^2+($D366-BU$272)^2)</f>
        <v>7.46486827507443</v>
      </c>
      <c r="BV366" s="17" t="n">
        <f aca="false">SQRT(($B366-BV$270)^2+($C366-BV$271)^2+($D366-BV$272)^2)</f>
        <v>0.53843464669371</v>
      </c>
      <c r="BW366" s="17" t="n">
        <f aca="false">SQRT(($B366-BW$270)^2+($C366-BW$271)^2+($D366-BW$272)^2)</f>
        <v>2.7316975609093</v>
      </c>
      <c r="BX366" s="17" t="n">
        <f aca="false">SQRT(($B366-BX$270)^2+($C366-BX$271)^2+($D366-BX$272)^2)</f>
        <v>1.0002028670786</v>
      </c>
      <c r="BY366" s="17" t="n">
        <f aca="false">SQRT(($B366-BY$270)^2+($C366-BY$271)^2+($D366-BY$272)^2)</f>
        <v>4.92280152351323</v>
      </c>
      <c r="BZ366" s="63" t="n">
        <f aca="false">MATCH(MIN(BU366:BY366),BU366:BY366,0)</f>
        <v>2</v>
      </c>
      <c r="CB366" s="17" t="n">
        <f aca="false">SQRT(($B366-CB$270)^2+($C366-CB$271)^2+($D366-CB$272)^2)</f>
        <v>7.46486827507443</v>
      </c>
      <c r="CC366" s="17" t="n">
        <f aca="false">SQRT(($B366-CC$270)^2+($C366-CC$271)^2+($D366-CC$272)^2)</f>
        <v>0.53843464669371</v>
      </c>
      <c r="CD366" s="17" t="n">
        <f aca="false">SQRT(($B366-CD$270)^2+($C366-CD$271)^2+($D366-CD$272)^2)</f>
        <v>2.7316975609093</v>
      </c>
      <c r="CE366" s="17" t="n">
        <f aca="false">SQRT(($B366-CE$270)^2+($C366-CE$271)^2+($D366-CE$272)^2)</f>
        <v>1.0002028670786</v>
      </c>
      <c r="CF366" s="17" t="n">
        <f aca="false">SQRT(($B366-CF$270)^2+($C366-CF$271)^2+($D366-CF$272)^2)</f>
        <v>4.92280152351323</v>
      </c>
      <c r="CG366" s="63" t="n">
        <f aca="false">MATCH(MIN(CB366:CF366),CB366:CF366,0)</f>
        <v>2</v>
      </c>
      <c r="CI366" s="17" t="n">
        <f aca="false">SQRT(($B366-CI$270)^2+($C366-CI$271)^2+($D366-CI$272)^2)</f>
        <v>7.46486827507443</v>
      </c>
      <c r="CJ366" s="17" t="n">
        <f aca="false">SQRT(($B366-CJ$270)^2+($C366-CJ$271)^2+($D366-CJ$272)^2)</f>
        <v>0.53843464669371</v>
      </c>
      <c r="CK366" s="17" t="n">
        <f aca="false">SQRT(($B366-CK$270)^2+($C366-CK$271)^2+($D366-CK$272)^2)</f>
        <v>2.7316975609093</v>
      </c>
      <c r="CL366" s="17" t="n">
        <f aca="false">SQRT(($B366-CL$270)^2+($C366-CL$271)^2+($D366-CL$272)^2)</f>
        <v>1.0002028670786</v>
      </c>
      <c r="CM366" s="17" t="n">
        <f aca="false">SQRT(($B366-CM$270)^2+($C366-CM$271)^2+($D366-CM$272)^2)</f>
        <v>4.92280152351323</v>
      </c>
      <c r="CN366" s="63" t="n">
        <f aca="false">MATCH(MIN(CI366:CM366),CI366:CM366,0)</f>
        <v>2</v>
      </c>
      <c r="CP366" s="17" t="n">
        <f aca="false">SQRT(($B366-CP$270)^2+($C366-CP$271)^2+($D366-CP$272)^2)</f>
        <v>7.46486827507443</v>
      </c>
      <c r="CQ366" s="17" t="n">
        <f aca="false">SQRT(($B366-CQ$270)^2+($C366-CQ$271)^2+($D366-CQ$272)^2)</f>
        <v>0.53843464669371</v>
      </c>
      <c r="CR366" s="17" t="n">
        <f aca="false">SQRT(($B366-CR$270)^2+($C366-CR$271)^2+($D366-CR$272)^2)</f>
        <v>2.7316975609093</v>
      </c>
      <c r="CS366" s="17" t="n">
        <f aca="false">SQRT(($B366-CS$270)^2+($C366-CS$271)^2+($D366-CS$272)^2)</f>
        <v>1.0002028670786</v>
      </c>
      <c r="CT366" s="17" t="n">
        <f aca="false">SQRT(($B366-CT$270)^2+($C366-CT$271)^2+($D366-CT$272)^2)</f>
        <v>4.92280152351323</v>
      </c>
      <c r="CU366" s="63" t="n">
        <f aca="false">MATCH(MIN(CP366:CT366),CP366:CT366,0)</f>
        <v>2</v>
      </c>
      <c r="CW366" s="17" t="n">
        <f aca="false">SQRT(($B366-CW$270)^2+($C366-CW$271)^2+($D366-CW$272)^2)</f>
        <v>7.46486827507443</v>
      </c>
      <c r="CX366" s="17" t="n">
        <f aca="false">SQRT(($B366-CX$270)^2+($C366-CX$271)^2+($D366-CX$272)^2)</f>
        <v>0.53843464669371</v>
      </c>
      <c r="CY366" s="17" t="n">
        <f aca="false">SQRT(($B366-CY$270)^2+($C366-CY$271)^2+($D366-CY$272)^2)</f>
        <v>2.7316975609093</v>
      </c>
      <c r="CZ366" s="17" t="n">
        <f aca="false">SQRT(($B366-CZ$270)^2+($C366-CZ$271)^2+($D366-CZ$272)^2)</f>
        <v>1.0002028670786</v>
      </c>
      <c r="DA366" s="17" t="n">
        <f aca="false">SQRT(($B366-DA$270)^2+($C366-DA$271)^2+($D366-DA$272)^2)</f>
        <v>4.92280152351323</v>
      </c>
      <c r="DB366" s="63" t="n">
        <f aca="false">MATCH(MIN(CW366:DA366),CW366:DA366,0)</f>
        <v>2</v>
      </c>
    </row>
    <row r="367" customFormat="false" ht="15" hidden="false" customHeight="false" outlineLevel="0" collapsed="false">
      <c r="A367" s="36" t="str">
        <f aca="false">KMeans_Data!A95</f>
        <v>Orakzai</v>
      </c>
      <c r="B367" s="17" t="n">
        <f aca="false">KMeans_Data!H95</f>
        <v>-0.786418574103199</v>
      </c>
      <c r="C367" s="17" t="n">
        <f aca="false">KMeans_Data!I95</f>
        <v>-0.672650545388274</v>
      </c>
      <c r="D367" s="17" t="n">
        <f aca="false">KMeans_Data!J95</f>
        <v>-0.399845222909568</v>
      </c>
      <c r="E367" s="63" t="n">
        <f aca="false">DB367</f>
        <v>4</v>
      </c>
      <c r="F367" s="38" t="n">
        <f aca="false">($B367-INDEX($L$270:$P$270,E367))^2+($C367-INDEX($L$271:$P$271,E367))^2+($D367-INDEX($L$272:$P$272,E367))^2</f>
        <v>0.460311580339701</v>
      </c>
      <c r="G367" s="17" t="n">
        <f aca="false">IF(COUNTIF(Distance_Matrix!$E$11:$DQ$11,$E367)&lt;=1,0,SUMIF(Distance_Matrix!$E$11:$DQ$11,$E367,Distance_Matrix!$E$104:$DQ$104)/(COUNTIF(Distance_Matrix!$E$11:$DQ$11,$E367)-1))</f>
        <v>0.948691118214394</v>
      </c>
      <c r="H367" s="17" t="n">
        <f aca="false">MIN(IF(1=$E367,1E+099,IF(COUNTIF(Distance_Matrix!$E$11:$DQ$11,1)=0,1E+099,SUMIF(Distance_Matrix!$E$11:$DQ$11,1,Distance_Matrix!$E$104:$DQ$104)/COUNTIF(Distance_Matrix!$E$11:$DQ$11,1))),IF(2=$E367,1E+099,IF(COUNTIF(Distance_Matrix!$E$11:$DQ$11,2)=0,1E+099,SUMIF(Distance_Matrix!$E$11:$DQ$11,2,Distance_Matrix!$E$104:$DQ$104)/COUNTIF(Distance_Matrix!$E$11:$DQ$11,2))),IF(3=$E367,1E+099,IF(COUNTIF(Distance_Matrix!$E$11:$DQ$11,3)=0,1E+099,SUMIF(Distance_Matrix!$E$11:$DQ$11,3,Distance_Matrix!$E$104:$DQ$104)/COUNTIF(Distance_Matrix!$E$11:$DQ$11,3))),IF(4=$E367,1E+099,IF(COUNTIF(Distance_Matrix!$E$11:$DQ$11,4)=0,1E+099,SUMIF(Distance_Matrix!$E$11:$DQ$11,4,Distance_Matrix!$E$104:$DQ$104)/COUNTIF(Distance_Matrix!$E$11:$DQ$11,4))),IF(5=$E367,1E+099,IF(COUNTIF(Distance_Matrix!$E$11:$DQ$11,5)=0,1E+099,SUMIF(Distance_Matrix!$E$11:$DQ$11,5,Distance_Matrix!$E$104:$DQ$104)/COUNTIF(Distance_Matrix!$E$11:$DQ$11,5))))</f>
        <v>0.904621377954222</v>
      </c>
      <c r="I367" s="17" t="n">
        <f aca="false">IF(COUNTIF(Distance_Matrix!$E$11:$DQ$11,$E367)&lt;=1,0,(H367-G367)/MAX(G367,H367))</f>
        <v>-0.0464532021161109</v>
      </c>
      <c r="X367" s="17" t="n">
        <f aca="false">SQRT(($B367-X$270)^2+($C367-X$271)^2+($D367-X$272)^2)</f>
        <v>7.21310900361067</v>
      </c>
      <c r="Y367" s="17" t="n">
        <f aca="false">SQRT(($B367-Y$270)^2+($C367-Y$271)^2+($D367-Y$272)^2)</f>
        <v>1.49294711217988</v>
      </c>
      <c r="Z367" s="17" t="n">
        <f aca="false">SQRT(($B367-Z$270)^2+($C367-Z$271)^2+($D367-Z$272)^2)</f>
        <v>2.81588767302514</v>
      </c>
      <c r="AA367" s="17" t="n">
        <f aca="false">SQRT(($B367-AA$270)^2+($C367-AA$271)^2+($D367-AA$272)^2)</f>
        <v>1.69806615345174</v>
      </c>
      <c r="AB367" s="17" t="n">
        <f aca="false">SQRT(($B367-AB$270)^2+($C367-AB$271)^2+($D367-AB$272)^2)</f>
        <v>5.1395949888301</v>
      </c>
      <c r="AC367" s="63" t="n">
        <f aca="false">MATCH(MIN(X367:AB367),X367:AB367,0)</f>
        <v>2</v>
      </c>
      <c r="AE367" s="17" t="n">
        <f aca="false">SQRT(($B367-AE$270)^2+($C367-AE$271)^2+($D367-AE$272)^2)</f>
        <v>7.10508531999292</v>
      </c>
      <c r="AF367" s="17" t="n">
        <f aca="false">SQRT(($B367-AF$270)^2+($C367-AF$271)^2+($D367-AF$272)^2)</f>
        <v>0.702588497503112</v>
      </c>
      <c r="AG367" s="17" t="n">
        <f aca="false">SQRT(($B367-AG$270)^2+($C367-AG$271)^2+($D367-AG$272)^2)</f>
        <v>2.16978929882539</v>
      </c>
      <c r="AH367" s="17" t="n">
        <f aca="false">SQRT(($B367-AH$270)^2+($C367-AH$271)^2+($D367-AH$272)^2)</f>
        <v>0.755718678918678</v>
      </c>
      <c r="AI367" s="17" t="n">
        <f aca="false">SQRT(($B367-AI$270)^2+($C367-AI$271)^2+($D367-AI$272)^2)</f>
        <v>4.83642334634569</v>
      </c>
      <c r="AJ367" s="63" t="n">
        <f aca="false">MATCH(MIN(AE367:AI367),AE367:AI367,0)</f>
        <v>2</v>
      </c>
      <c r="AL367" s="17" t="n">
        <f aca="false">SQRT(($B367-AL$270)^2+($C367-AL$271)^2+($D367-AL$272)^2)</f>
        <v>7.10508531999292</v>
      </c>
      <c r="AM367" s="17" t="n">
        <f aca="false">SQRT(($B367-AM$270)^2+($C367-AM$271)^2+($D367-AM$272)^2)</f>
        <v>0.73637828565995</v>
      </c>
      <c r="AN367" s="17" t="n">
        <f aca="false">SQRT(($B367-AN$270)^2+($C367-AN$271)^2+($D367-AN$272)^2)</f>
        <v>2.24018961226592</v>
      </c>
      <c r="AO367" s="17" t="n">
        <f aca="false">SQRT(($B367-AO$270)^2+($C367-AO$271)^2+($D367-AO$272)^2)</f>
        <v>0.723323186543686</v>
      </c>
      <c r="AP367" s="17" t="n">
        <f aca="false">SQRT(($B367-AP$270)^2+($C367-AP$271)^2+($D367-AP$272)^2)</f>
        <v>4.56308241194039</v>
      </c>
      <c r="AQ367" s="63" t="n">
        <f aca="false">MATCH(MIN(AL367:AP367),AL367:AP367,0)</f>
        <v>4</v>
      </c>
      <c r="AS367" s="17" t="n">
        <f aca="false">SQRT(($B367-AS$270)^2+($C367-AS$271)^2+($D367-AS$272)^2)</f>
        <v>7.10508531999292</v>
      </c>
      <c r="AT367" s="17" t="n">
        <f aca="false">SQRT(($B367-AT$270)^2+($C367-AT$271)^2+($D367-AT$272)^2)</f>
        <v>0.834509459351708</v>
      </c>
      <c r="AU367" s="17" t="n">
        <f aca="false">SQRT(($B367-AU$270)^2+($C367-AU$271)^2+($D367-AU$272)^2)</f>
        <v>2.2674752042508</v>
      </c>
      <c r="AV367" s="17" t="n">
        <f aca="false">SQRT(($B367-AV$270)^2+($C367-AV$271)^2+($D367-AV$272)^2)</f>
        <v>0.678462659502865</v>
      </c>
      <c r="AW367" s="17" t="n">
        <f aca="false">SQRT(($B367-AW$270)^2+($C367-AW$271)^2+($D367-AW$272)^2)</f>
        <v>4.56308241194039</v>
      </c>
      <c r="AX367" s="63" t="n">
        <f aca="false">MATCH(MIN(AS367:AW367),AS367:AW367,0)</f>
        <v>4</v>
      </c>
      <c r="AZ367" s="17" t="n">
        <f aca="false">SQRT(($B367-AZ$270)^2+($C367-AZ$271)^2+($D367-AZ$272)^2)</f>
        <v>7.10508531999292</v>
      </c>
      <c r="BA367" s="17" t="n">
        <f aca="false">SQRT(($B367-BA$270)^2+($C367-BA$271)^2+($D367-BA$272)^2)</f>
        <v>0.834509459351708</v>
      </c>
      <c r="BB367" s="17" t="n">
        <f aca="false">SQRT(($B367-BB$270)^2+($C367-BB$271)^2+($D367-BB$272)^2)</f>
        <v>2.2674752042508</v>
      </c>
      <c r="BC367" s="17" t="n">
        <f aca="false">SQRT(($B367-BC$270)^2+($C367-BC$271)^2+($D367-BC$272)^2)</f>
        <v>0.678462659502865</v>
      </c>
      <c r="BD367" s="17" t="n">
        <f aca="false">SQRT(($B367-BD$270)^2+($C367-BD$271)^2+($D367-BD$272)^2)</f>
        <v>4.56308241194039</v>
      </c>
      <c r="BE367" s="63" t="n">
        <f aca="false">MATCH(MIN(AZ367:BD367),AZ367:BD367,0)</f>
        <v>4</v>
      </c>
      <c r="BG367" s="17" t="n">
        <f aca="false">SQRT(($B367-BG$270)^2+($C367-BG$271)^2+($D367-BG$272)^2)</f>
        <v>7.10508531999292</v>
      </c>
      <c r="BH367" s="17" t="n">
        <f aca="false">SQRT(($B367-BH$270)^2+($C367-BH$271)^2+($D367-BH$272)^2)</f>
        <v>0.834509459351708</v>
      </c>
      <c r="BI367" s="17" t="n">
        <f aca="false">SQRT(($B367-BI$270)^2+($C367-BI$271)^2+($D367-BI$272)^2)</f>
        <v>2.2674752042508</v>
      </c>
      <c r="BJ367" s="17" t="n">
        <f aca="false">SQRT(($B367-BJ$270)^2+($C367-BJ$271)^2+($D367-BJ$272)^2)</f>
        <v>0.678462659502865</v>
      </c>
      <c r="BK367" s="17" t="n">
        <f aca="false">SQRT(($B367-BK$270)^2+($C367-BK$271)^2+($D367-BK$272)^2)</f>
        <v>4.56308241194039</v>
      </c>
      <c r="BL367" s="63" t="n">
        <f aca="false">MATCH(MIN(BG367:BK367),BG367:BK367,0)</f>
        <v>4</v>
      </c>
      <c r="BN367" s="17" t="n">
        <f aca="false">SQRT(($B367-BN$270)^2+($C367-BN$271)^2+($D367-BN$272)^2)</f>
        <v>7.10508531999292</v>
      </c>
      <c r="BO367" s="17" t="n">
        <f aca="false">SQRT(($B367-BO$270)^2+($C367-BO$271)^2+($D367-BO$272)^2)</f>
        <v>0.834509459351708</v>
      </c>
      <c r="BP367" s="17" t="n">
        <f aca="false">SQRT(($B367-BP$270)^2+($C367-BP$271)^2+($D367-BP$272)^2)</f>
        <v>2.2674752042508</v>
      </c>
      <c r="BQ367" s="17" t="n">
        <f aca="false">SQRT(($B367-BQ$270)^2+($C367-BQ$271)^2+($D367-BQ$272)^2)</f>
        <v>0.678462659502865</v>
      </c>
      <c r="BR367" s="17" t="n">
        <f aca="false">SQRT(($B367-BR$270)^2+($C367-BR$271)^2+($D367-BR$272)^2)</f>
        <v>4.56308241194039</v>
      </c>
      <c r="BS367" s="63" t="n">
        <f aca="false">MATCH(MIN(BN367:BR367),BN367:BR367,0)</f>
        <v>4</v>
      </c>
      <c r="BU367" s="17" t="n">
        <f aca="false">SQRT(($B367-BU$270)^2+($C367-BU$271)^2+($D367-BU$272)^2)</f>
        <v>7.10508531999292</v>
      </c>
      <c r="BV367" s="17" t="n">
        <f aca="false">SQRT(($B367-BV$270)^2+($C367-BV$271)^2+($D367-BV$272)^2)</f>
        <v>0.834509459351708</v>
      </c>
      <c r="BW367" s="17" t="n">
        <f aca="false">SQRT(($B367-BW$270)^2+($C367-BW$271)^2+($D367-BW$272)^2)</f>
        <v>2.2674752042508</v>
      </c>
      <c r="BX367" s="17" t="n">
        <f aca="false">SQRT(($B367-BX$270)^2+($C367-BX$271)^2+($D367-BX$272)^2)</f>
        <v>0.678462659502865</v>
      </c>
      <c r="BY367" s="17" t="n">
        <f aca="false">SQRT(($B367-BY$270)^2+($C367-BY$271)^2+($D367-BY$272)^2)</f>
        <v>4.56308241194039</v>
      </c>
      <c r="BZ367" s="63" t="n">
        <f aca="false">MATCH(MIN(BU367:BY367),BU367:BY367,0)</f>
        <v>4</v>
      </c>
      <c r="CB367" s="17" t="n">
        <f aca="false">SQRT(($B367-CB$270)^2+($C367-CB$271)^2+($D367-CB$272)^2)</f>
        <v>7.10508531999292</v>
      </c>
      <c r="CC367" s="17" t="n">
        <f aca="false">SQRT(($B367-CC$270)^2+($C367-CC$271)^2+($D367-CC$272)^2)</f>
        <v>0.834509459351708</v>
      </c>
      <c r="CD367" s="17" t="n">
        <f aca="false">SQRT(($B367-CD$270)^2+($C367-CD$271)^2+($D367-CD$272)^2)</f>
        <v>2.2674752042508</v>
      </c>
      <c r="CE367" s="17" t="n">
        <f aca="false">SQRT(($B367-CE$270)^2+($C367-CE$271)^2+($D367-CE$272)^2)</f>
        <v>0.678462659502865</v>
      </c>
      <c r="CF367" s="17" t="n">
        <f aca="false">SQRT(($B367-CF$270)^2+($C367-CF$271)^2+($D367-CF$272)^2)</f>
        <v>4.56308241194039</v>
      </c>
      <c r="CG367" s="63" t="n">
        <f aca="false">MATCH(MIN(CB367:CF367),CB367:CF367,0)</f>
        <v>4</v>
      </c>
      <c r="CI367" s="17" t="n">
        <f aca="false">SQRT(($B367-CI$270)^2+($C367-CI$271)^2+($D367-CI$272)^2)</f>
        <v>7.10508531999292</v>
      </c>
      <c r="CJ367" s="17" t="n">
        <f aca="false">SQRT(($B367-CJ$270)^2+($C367-CJ$271)^2+($D367-CJ$272)^2)</f>
        <v>0.834509459351708</v>
      </c>
      <c r="CK367" s="17" t="n">
        <f aca="false">SQRT(($B367-CK$270)^2+($C367-CK$271)^2+($D367-CK$272)^2)</f>
        <v>2.2674752042508</v>
      </c>
      <c r="CL367" s="17" t="n">
        <f aca="false">SQRT(($B367-CL$270)^2+($C367-CL$271)^2+($D367-CL$272)^2)</f>
        <v>0.678462659502865</v>
      </c>
      <c r="CM367" s="17" t="n">
        <f aca="false">SQRT(($B367-CM$270)^2+($C367-CM$271)^2+($D367-CM$272)^2)</f>
        <v>4.56308241194039</v>
      </c>
      <c r="CN367" s="63" t="n">
        <f aca="false">MATCH(MIN(CI367:CM367),CI367:CM367,0)</f>
        <v>4</v>
      </c>
      <c r="CP367" s="17" t="n">
        <f aca="false">SQRT(($B367-CP$270)^2+($C367-CP$271)^2+($D367-CP$272)^2)</f>
        <v>7.10508531999292</v>
      </c>
      <c r="CQ367" s="17" t="n">
        <f aca="false">SQRT(($B367-CQ$270)^2+($C367-CQ$271)^2+($D367-CQ$272)^2)</f>
        <v>0.834509459351708</v>
      </c>
      <c r="CR367" s="17" t="n">
        <f aca="false">SQRT(($B367-CR$270)^2+($C367-CR$271)^2+($D367-CR$272)^2)</f>
        <v>2.2674752042508</v>
      </c>
      <c r="CS367" s="17" t="n">
        <f aca="false">SQRT(($B367-CS$270)^2+($C367-CS$271)^2+($D367-CS$272)^2)</f>
        <v>0.678462659502865</v>
      </c>
      <c r="CT367" s="17" t="n">
        <f aca="false">SQRT(($B367-CT$270)^2+($C367-CT$271)^2+($D367-CT$272)^2)</f>
        <v>4.56308241194039</v>
      </c>
      <c r="CU367" s="63" t="n">
        <f aca="false">MATCH(MIN(CP367:CT367),CP367:CT367,0)</f>
        <v>4</v>
      </c>
      <c r="CW367" s="17" t="n">
        <f aca="false">SQRT(($B367-CW$270)^2+($C367-CW$271)^2+($D367-CW$272)^2)</f>
        <v>7.10508531999292</v>
      </c>
      <c r="CX367" s="17" t="n">
        <f aca="false">SQRT(($B367-CX$270)^2+($C367-CX$271)^2+($D367-CX$272)^2)</f>
        <v>0.834509459351708</v>
      </c>
      <c r="CY367" s="17" t="n">
        <f aca="false">SQRT(($B367-CY$270)^2+($C367-CY$271)^2+($D367-CY$272)^2)</f>
        <v>2.2674752042508</v>
      </c>
      <c r="CZ367" s="17" t="n">
        <f aca="false">SQRT(($B367-CZ$270)^2+($C367-CZ$271)^2+($D367-CZ$272)^2)</f>
        <v>0.678462659502865</v>
      </c>
      <c r="DA367" s="17" t="n">
        <f aca="false">SQRT(($B367-DA$270)^2+($C367-DA$271)^2+($D367-DA$272)^2)</f>
        <v>4.56308241194039</v>
      </c>
      <c r="DB367" s="63" t="n">
        <f aca="false">MATCH(MIN(CW367:DA367),CW367:DA367,0)</f>
        <v>4</v>
      </c>
    </row>
    <row r="368" customFormat="false" ht="15" hidden="false" customHeight="false" outlineLevel="0" collapsed="false">
      <c r="A368" s="36" t="str">
        <f aca="false">KMeans_Data!A96</f>
        <v>North Waziristan</v>
      </c>
      <c r="B368" s="17" t="n">
        <f aca="false">KMeans_Data!H96</f>
        <v>-0.831705387014662</v>
      </c>
      <c r="C368" s="17" t="n">
        <f aca="false">KMeans_Data!I96</f>
        <v>-0.672650545388274</v>
      </c>
      <c r="D368" s="17" t="n">
        <f aca="false">KMeans_Data!J96</f>
        <v>-0.31535907140676</v>
      </c>
      <c r="E368" s="63" t="n">
        <f aca="false">DB368</f>
        <v>4</v>
      </c>
      <c r="F368" s="38" t="n">
        <f aca="false">($B368-INDEX($L$270:$P$270,E368))^2+($C368-INDEX($L$271:$P$271,E368))^2+($D368-INDEX($L$272:$P$272,E368))^2</f>
        <v>0.524888686872712</v>
      </c>
      <c r="G368" s="17" t="n">
        <f aca="false">IF(COUNTIF(Distance_Matrix!$E$11:$DQ$11,$E368)&lt;=1,0,SUMIF(Distance_Matrix!$E$11:$DQ$11,$E368,Distance_Matrix!$E$105:$DQ$105)/(COUNTIF(Distance_Matrix!$E$11:$DQ$11,$E368)-1))</f>
        <v>0.976257004088951</v>
      </c>
      <c r="H368" s="17" t="n">
        <f aca="false">MIN(IF(1=$E368,1E+099,IF(COUNTIF(Distance_Matrix!$E$11:$DQ$11,1)=0,1E+099,SUMIF(Distance_Matrix!$E$11:$DQ$11,1,Distance_Matrix!$E$105:$DQ$105)/COUNTIF(Distance_Matrix!$E$11:$DQ$11,1))),IF(2=$E368,1E+099,IF(COUNTIF(Distance_Matrix!$E$11:$DQ$11,2)=0,1E+099,SUMIF(Distance_Matrix!$E$11:$DQ$11,2,Distance_Matrix!$E$105:$DQ$105)/COUNTIF(Distance_Matrix!$E$11:$DQ$11,2))),IF(3=$E368,1E+099,IF(COUNTIF(Distance_Matrix!$E$11:$DQ$11,3)=0,1E+099,SUMIF(Distance_Matrix!$E$11:$DQ$11,3,Distance_Matrix!$E$105:$DQ$105)/COUNTIF(Distance_Matrix!$E$11:$DQ$11,3))),IF(4=$E368,1E+099,IF(COUNTIF(Distance_Matrix!$E$11:$DQ$11,4)=0,1E+099,SUMIF(Distance_Matrix!$E$11:$DQ$11,4,Distance_Matrix!$E$105:$DQ$105)/COUNTIF(Distance_Matrix!$E$11:$DQ$11,4))),IF(5=$E368,1E+099,IF(COUNTIF(Distance_Matrix!$E$11:$DQ$11,5)=0,1E+099,SUMIF(Distance_Matrix!$E$11:$DQ$11,5,Distance_Matrix!$E$105:$DQ$105)/COUNTIF(Distance_Matrix!$E$11:$DQ$11,5))))</f>
        <v>0.951901312964308</v>
      </c>
      <c r="I368" s="17" t="n">
        <f aca="false">IF(COUNTIF(Distance_Matrix!$E$11:$DQ$11,$E368)&lt;=1,0,(H368-G368)/MAX(G368,H368))</f>
        <v>-0.0249480321499688</v>
      </c>
      <c r="X368" s="17" t="n">
        <f aca="false">SQRT(($B368-X$270)^2+($C368-X$271)^2+($D368-X$272)^2)</f>
        <v>7.19643967194252</v>
      </c>
      <c r="Y368" s="17" t="n">
        <f aca="false">SQRT(($B368-Y$270)^2+($C368-Y$271)^2+($D368-Y$272)^2)</f>
        <v>1.49898586166915</v>
      </c>
      <c r="Z368" s="17" t="n">
        <f aca="false">SQRT(($B368-Z$270)^2+($C368-Z$271)^2+($D368-Z$272)^2)</f>
        <v>2.79062285326594</v>
      </c>
      <c r="AA368" s="17" t="n">
        <f aca="false">SQRT(($B368-AA$270)^2+($C368-AA$271)^2+($D368-AA$272)^2)</f>
        <v>1.77435806843142</v>
      </c>
      <c r="AB368" s="17" t="n">
        <f aca="false">SQRT(($B368-AB$270)^2+($C368-AB$271)^2+($D368-AB$272)^2)</f>
        <v>5.12265490863213</v>
      </c>
      <c r="AC368" s="63" t="n">
        <f aca="false">MATCH(MIN(X368:AB368),X368:AB368,0)</f>
        <v>2</v>
      </c>
      <c r="AE368" s="17" t="n">
        <f aca="false">SQRT(($B368-AE$270)^2+($C368-AE$271)^2+($D368-AE$272)^2)</f>
        <v>7.09149411760672</v>
      </c>
      <c r="AF368" s="17" t="n">
        <f aca="false">SQRT(($B368-AF$270)^2+($C368-AF$271)^2+($D368-AF$272)^2)</f>
        <v>0.743040048734246</v>
      </c>
      <c r="AG368" s="17" t="n">
        <f aca="false">SQRT(($B368-AG$270)^2+($C368-AG$271)^2+($D368-AG$272)^2)</f>
        <v>2.15116464332847</v>
      </c>
      <c r="AH368" s="17" t="n">
        <f aca="false">SQRT(($B368-AH$270)^2+($C368-AH$271)^2+($D368-AH$272)^2)</f>
        <v>0.815581810456594</v>
      </c>
      <c r="AI368" s="17" t="n">
        <f aca="false">SQRT(($B368-AI$270)^2+($C368-AI$271)^2+($D368-AI$272)^2)</f>
        <v>4.82611062839338</v>
      </c>
      <c r="AJ368" s="63" t="n">
        <f aca="false">MATCH(MIN(AE368:AI368),AE368:AI368,0)</f>
        <v>2</v>
      </c>
      <c r="AL368" s="17" t="n">
        <f aca="false">SQRT(($B368-AL$270)^2+($C368-AL$271)^2+($D368-AL$272)^2)</f>
        <v>7.09149411760672</v>
      </c>
      <c r="AM368" s="17" t="n">
        <f aca="false">SQRT(($B368-AM$270)^2+($C368-AM$271)^2+($D368-AM$272)^2)</f>
        <v>0.781048020449757</v>
      </c>
      <c r="AN368" s="17" t="n">
        <f aca="false">SQRT(($B368-AN$270)^2+($C368-AN$271)^2+($D368-AN$272)^2)</f>
        <v>2.22324445212766</v>
      </c>
      <c r="AO368" s="17" t="n">
        <f aca="false">SQRT(($B368-AO$270)^2+($C368-AO$271)^2+($D368-AO$272)^2)</f>
        <v>0.771939790012912</v>
      </c>
      <c r="AP368" s="17" t="n">
        <f aca="false">SQRT(($B368-AP$270)^2+($C368-AP$271)^2+($D368-AP$272)^2)</f>
        <v>4.55253286978504</v>
      </c>
      <c r="AQ368" s="63" t="n">
        <f aca="false">MATCH(MIN(AL368:AP368),AL368:AP368,0)</f>
        <v>4</v>
      </c>
      <c r="AS368" s="17" t="n">
        <f aca="false">SQRT(($B368-AS$270)^2+($C368-AS$271)^2+($D368-AS$272)^2)</f>
        <v>7.09149411760672</v>
      </c>
      <c r="AT368" s="17" t="n">
        <f aca="false">SQRT(($B368-AT$270)^2+($C368-AT$271)^2+($D368-AT$272)^2)</f>
        <v>0.880322326601357</v>
      </c>
      <c r="AU368" s="17" t="n">
        <f aca="false">SQRT(($B368-AU$270)^2+($C368-AU$271)^2+($D368-AU$272)^2)</f>
        <v>2.25052094847149</v>
      </c>
      <c r="AV368" s="17" t="n">
        <f aca="false">SQRT(($B368-AV$270)^2+($C368-AV$271)^2+($D368-AV$272)^2)</f>
        <v>0.724492019882008</v>
      </c>
      <c r="AW368" s="17" t="n">
        <f aca="false">SQRT(($B368-AW$270)^2+($C368-AW$271)^2+($D368-AW$272)^2)</f>
        <v>4.55253286978504</v>
      </c>
      <c r="AX368" s="63" t="n">
        <f aca="false">MATCH(MIN(AS368:AW368),AS368:AW368,0)</f>
        <v>4</v>
      </c>
      <c r="AZ368" s="17" t="n">
        <f aca="false">SQRT(($B368-AZ$270)^2+($C368-AZ$271)^2+($D368-AZ$272)^2)</f>
        <v>7.09149411760672</v>
      </c>
      <c r="BA368" s="17" t="n">
        <f aca="false">SQRT(($B368-BA$270)^2+($C368-BA$271)^2+($D368-BA$272)^2)</f>
        <v>0.880322326601357</v>
      </c>
      <c r="BB368" s="17" t="n">
        <f aca="false">SQRT(($B368-BB$270)^2+($C368-BB$271)^2+($D368-BB$272)^2)</f>
        <v>2.25052094847149</v>
      </c>
      <c r="BC368" s="17" t="n">
        <f aca="false">SQRT(($B368-BC$270)^2+($C368-BC$271)^2+($D368-BC$272)^2)</f>
        <v>0.724492019882008</v>
      </c>
      <c r="BD368" s="17" t="n">
        <f aca="false">SQRT(($B368-BD$270)^2+($C368-BD$271)^2+($D368-BD$272)^2)</f>
        <v>4.55253286978504</v>
      </c>
      <c r="BE368" s="63" t="n">
        <f aca="false">MATCH(MIN(AZ368:BD368),AZ368:BD368,0)</f>
        <v>4</v>
      </c>
      <c r="BG368" s="17" t="n">
        <f aca="false">SQRT(($B368-BG$270)^2+($C368-BG$271)^2+($D368-BG$272)^2)</f>
        <v>7.09149411760672</v>
      </c>
      <c r="BH368" s="17" t="n">
        <f aca="false">SQRT(($B368-BH$270)^2+($C368-BH$271)^2+($D368-BH$272)^2)</f>
        <v>0.880322326601357</v>
      </c>
      <c r="BI368" s="17" t="n">
        <f aca="false">SQRT(($B368-BI$270)^2+($C368-BI$271)^2+($D368-BI$272)^2)</f>
        <v>2.25052094847149</v>
      </c>
      <c r="BJ368" s="17" t="n">
        <f aca="false">SQRT(($B368-BJ$270)^2+($C368-BJ$271)^2+($D368-BJ$272)^2)</f>
        <v>0.724492019882008</v>
      </c>
      <c r="BK368" s="17" t="n">
        <f aca="false">SQRT(($B368-BK$270)^2+($C368-BK$271)^2+($D368-BK$272)^2)</f>
        <v>4.55253286978504</v>
      </c>
      <c r="BL368" s="63" t="n">
        <f aca="false">MATCH(MIN(BG368:BK368),BG368:BK368,0)</f>
        <v>4</v>
      </c>
      <c r="BN368" s="17" t="n">
        <f aca="false">SQRT(($B368-BN$270)^2+($C368-BN$271)^2+($D368-BN$272)^2)</f>
        <v>7.09149411760672</v>
      </c>
      <c r="BO368" s="17" t="n">
        <f aca="false">SQRT(($B368-BO$270)^2+($C368-BO$271)^2+($D368-BO$272)^2)</f>
        <v>0.880322326601357</v>
      </c>
      <c r="BP368" s="17" t="n">
        <f aca="false">SQRT(($B368-BP$270)^2+($C368-BP$271)^2+($D368-BP$272)^2)</f>
        <v>2.25052094847149</v>
      </c>
      <c r="BQ368" s="17" t="n">
        <f aca="false">SQRT(($B368-BQ$270)^2+($C368-BQ$271)^2+($D368-BQ$272)^2)</f>
        <v>0.724492019882008</v>
      </c>
      <c r="BR368" s="17" t="n">
        <f aca="false">SQRT(($B368-BR$270)^2+($C368-BR$271)^2+($D368-BR$272)^2)</f>
        <v>4.55253286978504</v>
      </c>
      <c r="BS368" s="63" t="n">
        <f aca="false">MATCH(MIN(BN368:BR368),BN368:BR368,0)</f>
        <v>4</v>
      </c>
      <c r="BU368" s="17" t="n">
        <f aca="false">SQRT(($B368-BU$270)^2+($C368-BU$271)^2+($D368-BU$272)^2)</f>
        <v>7.09149411760672</v>
      </c>
      <c r="BV368" s="17" t="n">
        <f aca="false">SQRT(($B368-BV$270)^2+($C368-BV$271)^2+($D368-BV$272)^2)</f>
        <v>0.880322326601357</v>
      </c>
      <c r="BW368" s="17" t="n">
        <f aca="false">SQRT(($B368-BW$270)^2+($C368-BW$271)^2+($D368-BW$272)^2)</f>
        <v>2.25052094847149</v>
      </c>
      <c r="BX368" s="17" t="n">
        <f aca="false">SQRT(($B368-BX$270)^2+($C368-BX$271)^2+($D368-BX$272)^2)</f>
        <v>0.724492019882008</v>
      </c>
      <c r="BY368" s="17" t="n">
        <f aca="false">SQRT(($B368-BY$270)^2+($C368-BY$271)^2+($D368-BY$272)^2)</f>
        <v>4.55253286978504</v>
      </c>
      <c r="BZ368" s="63" t="n">
        <f aca="false">MATCH(MIN(BU368:BY368),BU368:BY368,0)</f>
        <v>4</v>
      </c>
      <c r="CB368" s="17" t="n">
        <f aca="false">SQRT(($B368-CB$270)^2+($C368-CB$271)^2+($D368-CB$272)^2)</f>
        <v>7.09149411760672</v>
      </c>
      <c r="CC368" s="17" t="n">
        <f aca="false">SQRT(($B368-CC$270)^2+($C368-CC$271)^2+($D368-CC$272)^2)</f>
        <v>0.880322326601357</v>
      </c>
      <c r="CD368" s="17" t="n">
        <f aca="false">SQRT(($B368-CD$270)^2+($C368-CD$271)^2+($D368-CD$272)^2)</f>
        <v>2.25052094847149</v>
      </c>
      <c r="CE368" s="17" t="n">
        <f aca="false">SQRT(($B368-CE$270)^2+($C368-CE$271)^2+($D368-CE$272)^2)</f>
        <v>0.724492019882008</v>
      </c>
      <c r="CF368" s="17" t="n">
        <f aca="false">SQRT(($B368-CF$270)^2+($C368-CF$271)^2+($D368-CF$272)^2)</f>
        <v>4.55253286978504</v>
      </c>
      <c r="CG368" s="63" t="n">
        <f aca="false">MATCH(MIN(CB368:CF368),CB368:CF368,0)</f>
        <v>4</v>
      </c>
      <c r="CI368" s="17" t="n">
        <f aca="false">SQRT(($B368-CI$270)^2+($C368-CI$271)^2+($D368-CI$272)^2)</f>
        <v>7.09149411760672</v>
      </c>
      <c r="CJ368" s="17" t="n">
        <f aca="false">SQRT(($B368-CJ$270)^2+($C368-CJ$271)^2+($D368-CJ$272)^2)</f>
        <v>0.880322326601357</v>
      </c>
      <c r="CK368" s="17" t="n">
        <f aca="false">SQRT(($B368-CK$270)^2+($C368-CK$271)^2+($D368-CK$272)^2)</f>
        <v>2.25052094847149</v>
      </c>
      <c r="CL368" s="17" t="n">
        <f aca="false">SQRT(($B368-CL$270)^2+($C368-CL$271)^2+($D368-CL$272)^2)</f>
        <v>0.724492019882008</v>
      </c>
      <c r="CM368" s="17" t="n">
        <f aca="false">SQRT(($B368-CM$270)^2+($C368-CM$271)^2+($D368-CM$272)^2)</f>
        <v>4.55253286978504</v>
      </c>
      <c r="CN368" s="63" t="n">
        <f aca="false">MATCH(MIN(CI368:CM368),CI368:CM368,0)</f>
        <v>4</v>
      </c>
      <c r="CP368" s="17" t="n">
        <f aca="false">SQRT(($B368-CP$270)^2+($C368-CP$271)^2+($D368-CP$272)^2)</f>
        <v>7.09149411760672</v>
      </c>
      <c r="CQ368" s="17" t="n">
        <f aca="false">SQRT(($B368-CQ$270)^2+($C368-CQ$271)^2+($D368-CQ$272)^2)</f>
        <v>0.880322326601357</v>
      </c>
      <c r="CR368" s="17" t="n">
        <f aca="false">SQRT(($B368-CR$270)^2+($C368-CR$271)^2+($D368-CR$272)^2)</f>
        <v>2.25052094847149</v>
      </c>
      <c r="CS368" s="17" t="n">
        <f aca="false">SQRT(($B368-CS$270)^2+($C368-CS$271)^2+($D368-CS$272)^2)</f>
        <v>0.724492019882008</v>
      </c>
      <c r="CT368" s="17" t="n">
        <f aca="false">SQRT(($B368-CT$270)^2+($C368-CT$271)^2+($D368-CT$272)^2)</f>
        <v>4.55253286978504</v>
      </c>
      <c r="CU368" s="63" t="n">
        <f aca="false">MATCH(MIN(CP368:CT368),CP368:CT368,0)</f>
        <v>4</v>
      </c>
      <c r="CW368" s="17" t="n">
        <f aca="false">SQRT(($B368-CW$270)^2+($C368-CW$271)^2+($D368-CW$272)^2)</f>
        <v>7.09149411760672</v>
      </c>
      <c r="CX368" s="17" t="n">
        <f aca="false">SQRT(($B368-CX$270)^2+($C368-CX$271)^2+($D368-CX$272)^2)</f>
        <v>0.880322326601357</v>
      </c>
      <c r="CY368" s="17" t="n">
        <f aca="false">SQRT(($B368-CY$270)^2+($C368-CY$271)^2+($D368-CY$272)^2)</f>
        <v>2.25052094847149</v>
      </c>
      <c r="CZ368" s="17" t="n">
        <f aca="false">SQRT(($B368-CZ$270)^2+($C368-CZ$271)^2+($D368-CZ$272)^2)</f>
        <v>0.724492019882008</v>
      </c>
      <c r="DA368" s="17" t="n">
        <f aca="false">SQRT(($B368-DA$270)^2+($C368-DA$271)^2+($D368-DA$272)^2)</f>
        <v>4.55253286978504</v>
      </c>
      <c r="DB368" s="63" t="n">
        <f aca="false">MATCH(MIN(CW368:DA368),CW368:DA368,0)</f>
        <v>4</v>
      </c>
    </row>
    <row r="369" customFormat="false" ht="15" hidden="false" customHeight="false" outlineLevel="0" collapsed="false">
      <c r="A369" s="36" t="str">
        <f aca="false">KMeans_Data!A97</f>
        <v>Kasur</v>
      </c>
      <c r="B369" s="17" t="n">
        <f aca="false">KMeans_Data!H97</f>
        <v>-0.831705387014662</v>
      </c>
      <c r="C369" s="17" t="n">
        <f aca="false">KMeans_Data!I97</f>
        <v>-0.672650545388274</v>
      </c>
      <c r="D369" s="17" t="n">
        <f aca="false">KMeans_Data!J97</f>
        <v>-1.14564411633355</v>
      </c>
      <c r="E369" s="63" t="n">
        <f aca="false">DB369</f>
        <v>2</v>
      </c>
      <c r="F369" s="38" t="n">
        <f aca="false">($B369-INDEX($L$270:$P$270,E369))^2+($C369-INDEX($L$271:$P$271,E369))^2+($D369-INDEX($L$272:$P$272,E369))^2</f>
        <v>0.204748638370042</v>
      </c>
      <c r="G369" s="17" t="n">
        <f aca="false">IF(COUNTIF(Distance_Matrix!$E$11:$DQ$11,$E369)&lt;=1,0,SUMIF(Distance_Matrix!$E$11:$DQ$11,$E369,Distance_Matrix!$E$106:$DQ$106)/(COUNTIF(Distance_Matrix!$E$11:$DQ$11,$E369)-1))</f>
        <v>0.555828682419018</v>
      </c>
      <c r="H369" s="17" t="n">
        <f aca="false">MIN(IF(1=$E369,1E+099,IF(COUNTIF(Distance_Matrix!$E$11:$DQ$11,1)=0,1E+099,SUMIF(Distance_Matrix!$E$11:$DQ$11,1,Distance_Matrix!$E$106:$DQ$106)/COUNTIF(Distance_Matrix!$E$11:$DQ$11,1))),IF(2=$E369,1E+099,IF(COUNTIF(Distance_Matrix!$E$11:$DQ$11,2)=0,1E+099,SUMIF(Distance_Matrix!$E$11:$DQ$11,2,Distance_Matrix!$E$106:$DQ$106)/COUNTIF(Distance_Matrix!$E$11:$DQ$11,2))),IF(3=$E369,1E+099,IF(COUNTIF(Distance_Matrix!$E$11:$DQ$11,3)=0,1E+099,SUMIF(Distance_Matrix!$E$11:$DQ$11,3,Distance_Matrix!$E$106:$DQ$106)/COUNTIF(Distance_Matrix!$E$11:$DQ$11,3))),IF(4=$E369,1E+099,IF(COUNTIF(Distance_Matrix!$E$11:$DQ$11,4)=0,1E+099,SUMIF(Distance_Matrix!$E$11:$DQ$11,4,Distance_Matrix!$E$106:$DQ$106)/COUNTIF(Distance_Matrix!$E$11:$DQ$11,4))),IF(5=$E369,1E+099,IF(COUNTIF(Distance_Matrix!$E$11:$DQ$11,5)=0,1E+099,SUMIF(Distance_Matrix!$E$11:$DQ$11,5,Distance_Matrix!$E$106:$DQ$106)/COUNTIF(Distance_Matrix!$E$11:$DQ$11,5))))</f>
        <v>1.23036794983332</v>
      </c>
      <c r="I369" s="17" t="n">
        <f aca="false">IF(COUNTIF(Distance_Matrix!$E$11:$DQ$11,$E369)&lt;=1,0,(H369-G369)/MAX(G369,H369))</f>
        <v>0.548241903981391</v>
      </c>
      <c r="X369" s="17" t="n">
        <f aca="false">SQRT(($B369-X$270)^2+($C369-X$271)^2+($D369-X$272)^2)</f>
        <v>7.64219541328385</v>
      </c>
      <c r="Y369" s="17" t="n">
        <f aca="false">SQRT(($B369-Y$270)^2+($C369-Y$271)^2+($D369-Y$272)^2)</f>
        <v>1.24803259478866</v>
      </c>
      <c r="Z369" s="17" t="n">
        <f aca="false">SQRT(($B369-Z$270)^2+($C369-Z$271)^2+($D369-Z$272)^2)</f>
        <v>3.38265206186386</v>
      </c>
      <c r="AA369" s="17" t="n">
        <f aca="false">SQRT(($B369-AA$270)^2+($C369-AA$271)^2+($D369-AA$272)^2)</f>
        <v>1.56811137971082</v>
      </c>
      <c r="AB369" s="17" t="n">
        <f aca="false">SQRT(($B369-AB$270)^2+($C369-AB$271)^2+($D369-AB$272)^2)</f>
        <v>5.60304427138115</v>
      </c>
      <c r="AC369" s="63" t="n">
        <f aca="false">MATCH(MIN(X369:AB369),X369:AB369,0)</f>
        <v>2</v>
      </c>
      <c r="AE369" s="17" t="n">
        <f aca="false">SQRT(($B369-AE$270)^2+($C369-AE$271)^2+($D369-AE$272)^2)</f>
        <v>7.5118976652251</v>
      </c>
      <c r="AF369" s="17" t="n">
        <f aca="false">SQRT(($B369-AF$270)^2+($C369-AF$271)^2+($D369-AF$272)^2)</f>
        <v>0.460611016073052</v>
      </c>
      <c r="AG369" s="17" t="n">
        <f aca="false">SQRT(($B369-AG$270)^2+($C369-AG$271)^2+($D369-AG$272)^2)</f>
        <v>2.69173898536973</v>
      </c>
      <c r="AH369" s="17" t="n">
        <f aca="false">SQRT(($B369-AH$270)^2+($C369-AH$271)^2+($D369-AH$272)^2)</f>
        <v>1.01229334051161</v>
      </c>
      <c r="AI369" s="17" t="n">
        <f aca="false">SQRT(($B369-AI$270)^2+($C369-AI$271)^2+($D369-AI$272)^2)</f>
        <v>5.24152535598924</v>
      </c>
      <c r="AJ369" s="63" t="n">
        <f aca="false">MATCH(MIN(AE369:AI369),AE369:AI369,0)</f>
        <v>2</v>
      </c>
      <c r="AL369" s="17" t="n">
        <f aca="false">SQRT(($B369-AL$270)^2+($C369-AL$271)^2+($D369-AL$272)^2)</f>
        <v>7.5118976652251</v>
      </c>
      <c r="AM369" s="17" t="n">
        <f aca="false">SQRT(($B369-AM$270)^2+($C369-AM$271)^2+($D369-AM$272)^2)</f>
        <v>0.431764700128326</v>
      </c>
      <c r="AN369" s="17" t="n">
        <f aca="false">SQRT(($B369-AN$270)^2+($C369-AN$271)^2+($D369-AN$272)^2)</f>
        <v>2.74915818700874</v>
      </c>
      <c r="AO369" s="17" t="n">
        <f aca="false">SQRT(($B369-AO$270)^2+($C369-AO$271)^2+($D369-AO$272)^2)</f>
        <v>1.07173479852586</v>
      </c>
      <c r="AP369" s="17" t="n">
        <f aca="false">SQRT(($B369-AP$270)^2+($C369-AP$271)^2+($D369-AP$272)^2)</f>
        <v>4.97006005548435</v>
      </c>
      <c r="AQ369" s="63" t="n">
        <f aca="false">MATCH(MIN(AL369:AP369),AL369:AP369,0)</f>
        <v>2</v>
      </c>
      <c r="AS369" s="17" t="n">
        <f aca="false">SQRT(($B369-AS$270)^2+($C369-AS$271)^2+($D369-AS$272)^2)</f>
        <v>7.5118976652251</v>
      </c>
      <c r="AT369" s="17" t="n">
        <f aca="false">SQRT(($B369-AT$270)^2+($C369-AT$271)^2+($D369-AT$272)^2)</f>
        <v>0.452491589280996</v>
      </c>
      <c r="AU369" s="17" t="n">
        <f aca="false">SQRT(($B369-AU$270)^2+($C369-AU$271)^2+($D369-AU$272)^2)</f>
        <v>2.77607870392254</v>
      </c>
      <c r="AV369" s="17" t="n">
        <f aca="false">SQRT(($B369-AV$270)^2+($C369-AV$271)^2+($D369-AV$272)^2)</f>
        <v>1.05598153390929</v>
      </c>
      <c r="AW369" s="17" t="n">
        <f aca="false">SQRT(($B369-AW$270)^2+($C369-AW$271)^2+($D369-AW$272)^2)</f>
        <v>4.97006005548435</v>
      </c>
      <c r="AX369" s="63" t="n">
        <f aca="false">MATCH(MIN(AS369:AW369),AS369:AW369,0)</f>
        <v>2</v>
      </c>
      <c r="AZ369" s="17" t="n">
        <f aca="false">SQRT(($B369-AZ$270)^2+($C369-AZ$271)^2+($D369-AZ$272)^2)</f>
        <v>7.5118976652251</v>
      </c>
      <c r="BA369" s="17" t="n">
        <f aca="false">SQRT(($B369-BA$270)^2+($C369-BA$271)^2+($D369-BA$272)^2)</f>
        <v>0.452491589280996</v>
      </c>
      <c r="BB369" s="17" t="n">
        <f aca="false">SQRT(($B369-BB$270)^2+($C369-BB$271)^2+($D369-BB$272)^2)</f>
        <v>2.77607870392254</v>
      </c>
      <c r="BC369" s="17" t="n">
        <f aca="false">SQRT(($B369-BC$270)^2+($C369-BC$271)^2+($D369-BC$272)^2)</f>
        <v>1.05598153390929</v>
      </c>
      <c r="BD369" s="17" t="n">
        <f aca="false">SQRT(($B369-BD$270)^2+($C369-BD$271)^2+($D369-BD$272)^2)</f>
        <v>4.97006005548435</v>
      </c>
      <c r="BE369" s="63" t="n">
        <f aca="false">MATCH(MIN(AZ369:BD369),AZ369:BD369,0)</f>
        <v>2</v>
      </c>
      <c r="BG369" s="17" t="n">
        <f aca="false">SQRT(($B369-BG$270)^2+($C369-BG$271)^2+($D369-BG$272)^2)</f>
        <v>7.5118976652251</v>
      </c>
      <c r="BH369" s="17" t="n">
        <f aca="false">SQRT(($B369-BH$270)^2+($C369-BH$271)^2+($D369-BH$272)^2)</f>
        <v>0.452491589280996</v>
      </c>
      <c r="BI369" s="17" t="n">
        <f aca="false">SQRT(($B369-BI$270)^2+($C369-BI$271)^2+($D369-BI$272)^2)</f>
        <v>2.77607870392254</v>
      </c>
      <c r="BJ369" s="17" t="n">
        <f aca="false">SQRT(($B369-BJ$270)^2+($C369-BJ$271)^2+($D369-BJ$272)^2)</f>
        <v>1.05598153390929</v>
      </c>
      <c r="BK369" s="17" t="n">
        <f aca="false">SQRT(($B369-BK$270)^2+($C369-BK$271)^2+($D369-BK$272)^2)</f>
        <v>4.97006005548435</v>
      </c>
      <c r="BL369" s="63" t="n">
        <f aca="false">MATCH(MIN(BG369:BK369),BG369:BK369,0)</f>
        <v>2</v>
      </c>
      <c r="BN369" s="17" t="n">
        <f aca="false">SQRT(($B369-BN$270)^2+($C369-BN$271)^2+($D369-BN$272)^2)</f>
        <v>7.5118976652251</v>
      </c>
      <c r="BO369" s="17" t="n">
        <f aca="false">SQRT(($B369-BO$270)^2+($C369-BO$271)^2+($D369-BO$272)^2)</f>
        <v>0.452491589280996</v>
      </c>
      <c r="BP369" s="17" t="n">
        <f aca="false">SQRT(($B369-BP$270)^2+($C369-BP$271)^2+($D369-BP$272)^2)</f>
        <v>2.77607870392254</v>
      </c>
      <c r="BQ369" s="17" t="n">
        <f aca="false">SQRT(($B369-BQ$270)^2+($C369-BQ$271)^2+($D369-BQ$272)^2)</f>
        <v>1.05598153390929</v>
      </c>
      <c r="BR369" s="17" t="n">
        <f aca="false">SQRT(($B369-BR$270)^2+($C369-BR$271)^2+($D369-BR$272)^2)</f>
        <v>4.97006005548435</v>
      </c>
      <c r="BS369" s="63" t="n">
        <f aca="false">MATCH(MIN(BN369:BR369),BN369:BR369,0)</f>
        <v>2</v>
      </c>
      <c r="BU369" s="17" t="n">
        <f aca="false">SQRT(($B369-BU$270)^2+($C369-BU$271)^2+($D369-BU$272)^2)</f>
        <v>7.5118976652251</v>
      </c>
      <c r="BV369" s="17" t="n">
        <f aca="false">SQRT(($B369-BV$270)^2+($C369-BV$271)^2+($D369-BV$272)^2)</f>
        <v>0.452491589280996</v>
      </c>
      <c r="BW369" s="17" t="n">
        <f aca="false">SQRT(($B369-BW$270)^2+($C369-BW$271)^2+($D369-BW$272)^2)</f>
        <v>2.77607870392254</v>
      </c>
      <c r="BX369" s="17" t="n">
        <f aca="false">SQRT(($B369-BX$270)^2+($C369-BX$271)^2+($D369-BX$272)^2)</f>
        <v>1.05598153390929</v>
      </c>
      <c r="BY369" s="17" t="n">
        <f aca="false">SQRT(($B369-BY$270)^2+($C369-BY$271)^2+($D369-BY$272)^2)</f>
        <v>4.97006005548435</v>
      </c>
      <c r="BZ369" s="63" t="n">
        <f aca="false">MATCH(MIN(BU369:BY369),BU369:BY369,0)</f>
        <v>2</v>
      </c>
      <c r="CB369" s="17" t="n">
        <f aca="false">SQRT(($B369-CB$270)^2+($C369-CB$271)^2+($D369-CB$272)^2)</f>
        <v>7.5118976652251</v>
      </c>
      <c r="CC369" s="17" t="n">
        <f aca="false">SQRT(($B369-CC$270)^2+($C369-CC$271)^2+($D369-CC$272)^2)</f>
        <v>0.452491589280996</v>
      </c>
      <c r="CD369" s="17" t="n">
        <f aca="false">SQRT(($B369-CD$270)^2+($C369-CD$271)^2+($D369-CD$272)^2)</f>
        <v>2.77607870392254</v>
      </c>
      <c r="CE369" s="17" t="n">
        <f aca="false">SQRT(($B369-CE$270)^2+($C369-CE$271)^2+($D369-CE$272)^2)</f>
        <v>1.05598153390929</v>
      </c>
      <c r="CF369" s="17" t="n">
        <f aca="false">SQRT(($B369-CF$270)^2+($C369-CF$271)^2+($D369-CF$272)^2)</f>
        <v>4.97006005548435</v>
      </c>
      <c r="CG369" s="63" t="n">
        <f aca="false">MATCH(MIN(CB369:CF369),CB369:CF369,0)</f>
        <v>2</v>
      </c>
      <c r="CI369" s="17" t="n">
        <f aca="false">SQRT(($B369-CI$270)^2+($C369-CI$271)^2+($D369-CI$272)^2)</f>
        <v>7.5118976652251</v>
      </c>
      <c r="CJ369" s="17" t="n">
        <f aca="false">SQRT(($B369-CJ$270)^2+($C369-CJ$271)^2+($D369-CJ$272)^2)</f>
        <v>0.452491589280996</v>
      </c>
      <c r="CK369" s="17" t="n">
        <f aca="false">SQRT(($B369-CK$270)^2+($C369-CK$271)^2+($D369-CK$272)^2)</f>
        <v>2.77607870392254</v>
      </c>
      <c r="CL369" s="17" t="n">
        <f aca="false">SQRT(($B369-CL$270)^2+($C369-CL$271)^2+($D369-CL$272)^2)</f>
        <v>1.05598153390929</v>
      </c>
      <c r="CM369" s="17" t="n">
        <f aca="false">SQRT(($B369-CM$270)^2+($C369-CM$271)^2+($D369-CM$272)^2)</f>
        <v>4.97006005548435</v>
      </c>
      <c r="CN369" s="63" t="n">
        <f aca="false">MATCH(MIN(CI369:CM369),CI369:CM369,0)</f>
        <v>2</v>
      </c>
      <c r="CP369" s="17" t="n">
        <f aca="false">SQRT(($B369-CP$270)^2+($C369-CP$271)^2+($D369-CP$272)^2)</f>
        <v>7.5118976652251</v>
      </c>
      <c r="CQ369" s="17" t="n">
        <f aca="false">SQRT(($B369-CQ$270)^2+($C369-CQ$271)^2+($D369-CQ$272)^2)</f>
        <v>0.452491589280996</v>
      </c>
      <c r="CR369" s="17" t="n">
        <f aca="false">SQRT(($B369-CR$270)^2+($C369-CR$271)^2+($D369-CR$272)^2)</f>
        <v>2.77607870392254</v>
      </c>
      <c r="CS369" s="17" t="n">
        <f aca="false">SQRT(($B369-CS$270)^2+($C369-CS$271)^2+($D369-CS$272)^2)</f>
        <v>1.05598153390929</v>
      </c>
      <c r="CT369" s="17" t="n">
        <f aca="false">SQRT(($B369-CT$270)^2+($C369-CT$271)^2+($D369-CT$272)^2)</f>
        <v>4.97006005548435</v>
      </c>
      <c r="CU369" s="63" t="n">
        <f aca="false">MATCH(MIN(CP369:CT369),CP369:CT369,0)</f>
        <v>2</v>
      </c>
      <c r="CW369" s="17" t="n">
        <f aca="false">SQRT(($B369-CW$270)^2+($C369-CW$271)^2+($D369-CW$272)^2)</f>
        <v>7.5118976652251</v>
      </c>
      <c r="CX369" s="17" t="n">
        <f aca="false">SQRT(($B369-CX$270)^2+($C369-CX$271)^2+($D369-CX$272)^2)</f>
        <v>0.452491589280996</v>
      </c>
      <c r="CY369" s="17" t="n">
        <f aca="false">SQRT(($B369-CY$270)^2+($C369-CY$271)^2+($D369-CY$272)^2)</f>
        <v>2.77607870392254</v>
      </c>
      <c r="CZ369" s="17" t="n">
        <f aca="false">SQRT(($B369-CZ$270)^2+($C369-CZ$271)^2+($D369-CZ$272)^2)</f>
        <v>1.05598153390929</v>
      </c>
      <c r="DA369" s="17" t="n">
        <f aca="false">SQRT(($B369-DA$270)^2+($C369-DA$271)^2+($D369-DA$272)^2)</f>
        <v>4.97006005548435</v>
      </c>
      <c r="DB369" s="63" t="n">
        <f aca="false">MATCH(MIN(CW369:DA369),CW369:DA369,0)</f>
        <v>2</v>
      </c>
    </row>
    <row r="370" customFormat="false" ht="15" hidden="false" customHeight="false" outlineLevel="0" collapsed="false">
      <c r="A370" s="36" t="str">
        <f aca="false">KMeans_Data!A98</f>
        <v>Rajanpur</v>
      </c>
      <c r="B370" s="17" t="n">
        <f aca="false">KMeans_Data!H98</f>
        <v>-0.881311477972984</v>
      </c>
      <c r="C370" s="17" t="n">
        <f aca="false">KMeans_Data!I98</f>
        <v>-0.672650545388274</v>
      </c>
      <c r="D370" s="17" t="n">
        <f aca="false">KMeans_Data!J98</f>
        <v>-1.14564411633355</v>
      </c>
      <c r="E370" s="63" t="n">
        <f aca="false">DB370</f>
        <v>2</v>
      </c>
      <c r="F370" s="38" t="n">
        <f aca="false">($B370-INDEX($L$270:$P$270,E370))^2+($C370-INDEX($L$271:$P$271,E370))^2+($D370-INDEX($L$272:$P$272,E370))^2</f>
        <v>0.162933893443838</v>
      </c>
      <c r="G370" s="17" t="n">
        <f aca="false">IF(COUNTIF(Distance_Matrix!$E$11:$DQ$11,$E370)&lt;=1,0,SUMIF(Distance_Matrix!$E$11:$DQ$11,$E370,Distance_Matrix!$E$107:$DQ$107)/(COUNTIF(Distance_Matrix!$E$11:$DQ$11,$E370)-1))</f>
        <v>0.522551107941841</v>
      </c>
      <c r="H370" s="17" t="n">
        <f aca="false">MIN(IF(1=$E370,1E+099,IF(COUNTIF(Distance_Matrix!$E$11:$DQ$11,1)=0,1E+099,SUMIF(Distance_Matrix!$E$11:$DQ$11,1,Distance_Matrix!$E$107:$DQ$107)/COUNTIF(Distance_Matrix!$E$11:$DQ$11,1))),IF(2=$E370,1E+099,IF(COUNTIF(Distance_Matrix!$E$11:$DQ$11,2)=0,1E+099,SUMIF(Distance_Matrix!$E$11:$DQ$11,2,Distance_Matrix!$E$107:$DQ$107)/COUNTIF(Distance_Matrix!$E$11:$DQ$11,2))),IF(3=$E370,1E+099,IF(COUNTIF(Distance_Matrix!$E$11:$DQ$11,3)=0,1E+099,SUMIF(Distance_Matrix!$E$11:$DQ$11,3,Distance_Matrix!$E$107:$DQ$107)/COUNTIF(Distance_Matrix!$E$11:$DQ$11,3))),IF(4=$E370,1E+099,IF(COUNTIF(Distance_Matrix!$E$11:$DQ$11,4)=0,1E+099,SUMIF(Distance_Matrix!$E$11:$DQ$11,4,Distance_Matrix!$E$107:$DQ$107)/COUNTIF(Distance_Matrix!$E$11:$DQ$11,4))),IF(5=$E370,1E+099,IF(COUNTIF(Distance_Matrix!$E$11:$DQ$11,5)=0,1E+099,SUMIF(Distance_Matrix!$E$11:$DQ$11,5,Distance_Matrix!$E$107:$DQ$107)/COUNTIF(Distance_Matrix!$E$11:$DQ$11,5))))</f>
        <v>1.26034424064507</v>
      </c>
      <c r="I370" s="17" t="n">
        <f aca="false">IF(COUNTIF(Distance_Matrix!$E$11:$DQ$11,$E370)&lt;=1,0,(H370-G370)/MAX(G370,H370))</f>
        <v>0.585390172708381</v>
      </c>
      <c r="X370" s="17" t="n">
        <f aca="false">SQRT(($B370-X$270)^2+($C370-X$271)^2+($D370-X$272)^2)</f>
        <v>7.66896199778013</v>
      </c>
      <c r="Y370" s="17" t="n">
        <f aca="false">SQRT(($B370-Y$270)^2+($C370-Y$271)^2+($D370-Y$272)^2)</f>
        <v>1.19842650383034</v>
      </c>
      <c r="Z370" s="17" t="n">
        <f aca="false">SQRT(($B370-Z$270)^2+($C370-Z$271)^2+($D370-Z$272)^2)</f>
        <v>3.41031193536842</v>
      </c>
      <c r="AA370" s="17" t="n">
        <f aca="false">SQRT(($B370-AA$270)^2+($C370-AA$271)^2+($D370-AA$272)^2)</f>
        <v>1.6149328167294</v>
      </c>
      <c r="AB370" s="17" t="n">
        <f aca="false">SQRT(($B370-AB$270)^2+($C370-AB$271)^2+($D370-AB$272)^2)</f>
        <v>5.63148928328052</v>
      </c>
      <c r="AC370" s="63" t="n">
        <f aca="false">MATCH(MIN(X370:AB370),X370:AB370,0)</f>
        <v>2</v>
      </c>
      <c r="AE370" s="17" t="n">
        <f aca="false">SQRT(($B370-AE$270)^2+($C370-AE$271)^2+($D370-AE$272)^2)</f>
        <v>7.53904739128889</v>
      </c>
      <c r="AF370" s="17" t="n">
        <f aca="false">SQRT(($B370-AF$270)^2+($C370-AF$271)^2+($D370-AF$272)^2)</f>
        <v>0.417151279230401</v>
      </c>
      <c r="AG370" s="17" t="n">
        <f aca="false">SQRT(($B370-AG$270)^2+($C370-AG$271)^2+($D370-AG$272)^2)</f>
        <v>2.7174976148913</v>
      </c>
      <c r="AH370" s="17" t="n">
        <f aca="false">SQRT(($B370-AH$270)^2+($C370-AH$271)^2+($D370-AH$272)^2)</f>
        <v>1.05049386128947</v>
      </c>
      <c r="AI370" s="17" t="n">
        <f aca="false">SQRT(($B370-AI$270)^2+($C370-AI$271)^2+($D370-AI$272)^2)</f>
        <v>5.26937195077302</v>
      </c>
      <c r="AJ370" s="63" t="n">
        <f aca="false">MATCH(MIN(AE370:AI370),AE370:AI370,0)</f>
        <v>2</v>
      </c>
      <c r="AL370" s="17" t="n">
        <f aca="false">SQRT(($B370-AL$270)^2+($C370-AL$271)^2+($D370-AL$272)^2)</f>
        <v>7.53904739128889</v>
      </c>
      <c r="AM370" s="17" t="n">
        <f aca="false">SQRT(($B370-AM$270)^2+($C370-AM$271)^2+($D370-AM$272)^2)</f>
        <v>0.386186752704643</v>
      </c>
      <c r="AN370" s="17" t="n">
        <f aca="false">SQRT(($B370-AN$270)^2+($C370-AN$271)^2+($D370-AN$272)^2)</f>
        <v>2.77528145845034</v>
      </c>
      <c r="AO370" s="17" t="n">
        <f aca="false">SQRT(($B370-AO$270)^2+($C370-AO$271)^2+($D370-AO$272)^2)</f>
        <v>1.10704038194827</v>
      </c>
      <c r="AP370" s="17" t="n">
        <f aca="false">SQRT(($B370-AP$270)^2+($C370-AP$271)^2+($D370-AP$272)^2)</f>
        <v>4.9975002220889</v>
      </c>
      <c r="AQ370" s="63" t="n">
        <f aca="false">MATCH(MIN(AL370:AP370),AL370:AP370,0)</f>
        <v>2</v>
      </c>
      <c r="AS370" s="17" t="n">
        <f aca="false">SQRT(($B370-AS$270)^2+($C370-AS$271)^2+($D370-AS$272)^2)</f>
        <v>7.53904739128889</v>
      </c>
      <c r="AT370" s="17" t="n">
        <f aca="false">SQRT(($B370-AT$270)^2+($C370-AT$271)^2+($D370-AT$272)^2)</f>
        <v>0.403650707225737</v>
      </c>
      <c r="AU370" s="17" t="n">
        <f aca="false">SQRT(($B370-AU$270)^2+($C370-AU$271)^2+($D370-AU$272)^2)</f>
        <v>2.8022935539569</v>
      </c>
      <c r="AV370" s="17" t="n">
        <f aca="false">SQRT(($B370-AV$270)^2+($C370-AV$271)^2+($D370-AV$272)^2)</f>
        <v>1.08963580601494</v>
      </c>
      <c r="AW370" s="17" t="n">
        <f aca="false">SQRT(($B370-AW$270)^2+($C370-AW$271)^2+($D370-AW$272)^2)</f>
        <v>4.9975002220889</v>
      </c>
      <c r="AX370" s="63" t="n">
        <f aca="false">MATCH(MIN(AS370:AW370),AS370:AW370,0)</f>
        <v>2</v>
      </c>
      <c r="AZ370" s="17" t="n">
        <f aca="false">SQRT(($B370-AZ$270)^2+($C370-AZ$271)^2+($D370-AZ$272)^2)</f>
        <v>7.53904739128889</v>
      </c>
      <c r="BA370" s="17" t="n">
        <f aca="false">SQRT(($B370-BA$270)^2+($C370-BA$271)^2+($D370-BA$272)^2)</f>
        <v>0.403650707225737</v>
      </c>
      <c r="BB370" s="17" t="n">
        <f aca="false">SQRT(($B370-BB$270)^2+($C370-BB$271)^2+($D370-BB$272)^2)</f>
        <v>2.8022935539569</v>
      </c>
      <c r="BC370" s="17" t="n">
        <f aca="false">SQRT(($B370-BC$270)^2+($C370-BC$271)^2+($D370-BC$272)^2)</f>
        <v>1.08963580601494</v>
      </c>
      <c r="BD370" s="17" t="n">
        <f aca="false">SQRT(($B370-BD$270)^2+($C370-BD$271)^2+($D370-BD$272)^2)</f>
        <v>4.9975002220889</v>
      </c>
      <c r="BE370" s="63" t="n">
        <f aca="false">MATCH(MIN(AZ370:BD370),AZ370:BD370,0)</f>
        <v>2</v>
      </c>
      <c r="BG370" s="17" t="n">
        <f aca="false">SQRT(($B370-BG$270)^2+($C370-BG$271)^2+($D370-BG$272)^2)</f>
        <v>7.53904739128889</v>
      </c>
      <c r="BH370" s="17" t="n">
        <f aca="false">SQRT(($B370-BH$270)^2+($C370-BH$271)^2+($D370-BH$272)^2)</f>
        <v>0.403650707225737</v>
      </c>
      <c r="BI370" s="17" t="n">
        <f aca="false">SQRT(($B370-BI$270)^2+($C370-BI$271)^2+($D370-BI$272)^2)</f>
        <v>2.8022935539569</v>
      </c>
      <c r="BJ370" s="17" t="n">
        <f aca="false">SQRT(($B370-BJ$270)^2+($C370-BJ$271)^2+($D370-BJ$272)^2)</f>
        <v>1.08963580601494</v>
      </c>
      <c r="BK370" s="17" t="n">
        <f aca="false">SQRT(($B370-BK$270)^2+($C370-BK$271)^2+($D370-BK$272)^2)</f>
        <v>4.9975002220889</v>
      </c>
      <c r="BL370" s="63" t="n">
        <f aca="false">MATCH(MIN(BG370:BK370),BG370:BK370,0)</f>
        <v>2</v>
      </c>
      <c r="BN370" s="17" t="n">
        <f aca="false">SQRT(($B370-BN$270)^2+($C370-BN$271)^2+($D370-BN$272)^2)</f>
        <v>7.53904739128889</v>
      </c>
      <c r="BO370" s="17" t="n">
        <f aca="false">SQRT(($B370-BO$270)^2+($C370-BO$271)^2+($D370-BO$272)^2)</f>
        <v>0.403650707225737</v>
      </c>
      <c r="BP370" s="17" t="n">
        <f aca="false">SQRT(($B370-BP$270)^2+($C370-BP$271)^2+($D370-BP$272)^2)</f>
        <v>2.8022935539569</v>
      </c>
      <c r="BQ370" s="17" t="n">
        <f aca="false">SQRT(($B370-BQ$270)^2+($C370-BQ$271)^2+($D370-BQ$272)^2)</f>
        <v>1.08963580601494</v>
      </c>
      <c r="BR370" s="17" t="n">
        <f aca="false">SQRT(($B370-BR$270)^2+($C370-BR$271)^2+($D370-BR$272)^2)</f>
        <v>4.9975002220889</v>
      </c>
      <c r="BS370" s="63" t="n">
        <f aca="false">MATCH(MIN(BN370:BR370),BN370:BR370,0)</f>
        <v>2</v>
      </c>
      <c r="BU370" s="17" t="n">
        <f aca="false">SQRT(($B370-BU$270)^2+($C370-BU$271)^2+($D370-BU$272)^2)</f>
        <v>7.53904739128889</v>
      </c>
      <c r="BV370" s="17" t="n">
        <f aca="false">SQRT(($B370-BV$270)^2+($C370-BV$271)^2+($D370-BV$272)^2)</f>
        <v>0.403650707225737</v>
      </c>
      <c r="BW370" s="17" t="n">
        <f aca="false">SQRT(($B370-BW$270)^2+($C370-BW$271)^2+($D370-BW$272)^2)</f>
        <v>2.8022935539569</v>
      </c>
      <c r="BX370" s="17" t="n">
        <f aca="false">SQRT(($B370-BX$270)^2+($C370-BX$271)^2+($D370-BX$272)^2)</f>
        <v>1.08963580601494</v>
      </c>
      <c r="BY370" s="17" t="n">
        <f aca="false">SQRT(($B370-BY$270)^2+($C370-BY$271)^2+($D370-BY$272)^2)</f>
        <v>4.9975002220889</v>
      </c>
      <c r="BZ370" s="63" t="n">
        <f aca="false">MATCH(MIN(BU370:BY370),BU370:BY370,0)</f>
        <v>2</v>
      </c>
      <c r="CB370" s="17" t="n">
        <f aca="false">SQRT(($B370-CB$270)^2+($C370-CB$271)^2+($D370-CB$272)^2)</f>
        <v>7.53904739128889</v>
      </c>
      <c r="CC370" s="17" t="n">
        <f aca="false">SQRT(($B370-CC$270)^2+($C370-CC$271)^2+($D370-CC$272)^2)</f>
        <v>0.403650707225737</v>
      </c>
      <c r="CD370" s="17" t="n">
        <f aca="false">SQRT(($B370-CD$270)^2+($C370-CD$271)^2+($D370-CD$272)^2)</f>
        <v>2.8022935539569</v>
      </c>
      <c r="CE370" s="17" t="n">
        <f aca="false">SQRT(($B370-CE$270)^2+($C370-CE$271)^2+($D370-CE$272)^2)</f>
        <v>1.08963580601494</v>
      </c>
      <c r="CF370" s="17" t="n">
        <f aca="false">SQRT(($B370-CF$270)^2+($C370-CF$271)^2+($D370-CF$272)^2)</f>
        <v>4.9975002220889</v>
      </c>
      <c r="CG370" s="63" t="n">
        <f aca="false">MATCH(MIN(CB370:CF370),CB370:CF370,0)</f>
        <v>2</v>
      </c>
      <c r="CI370" s="17" t="n">
        <f aca="false">SQRT(($B370-CI$270)^2+($C370-CI$271)^2+($D370-CI$272)^2)</f>
        <v>7.53904739128889</v>
      </c>
      <c r="CJ370" s="17" t="n">
        <f aca="false">SQRT(($B370-CJ$270)^2+($C370-CJ$271)^2+($D370-CJ$272)^2)</f>
        <v>0.403650707225737</v>
      </c>
      <c r="CK370" s="17" t="n">
        <f aca="false">SQRT(($B370-CK$270)^2+($C370-CK$271)^2+($D370-CK$272)^2)</f>
        <v>2.8022935539569</v>
      </c>
      <c r="CL370" s="17" t="n">
        <f aca="false">SQRT(($B370-CL$270)^2+($C370-CL$271)^2+($D370-CL$272)^2)</f>
        <v>1.08963580601494</v>
      </c>
      <c r="CM370" s="17" t="n">
        <f aca="false">SQRT(($B370-CM$270)^2+($C370-CM$271)^2+($D370-CM$272)^2)</f>
        <v>4.9975002220889</v>
      </c>
      <c r="CN370" s="63" t="n">
        <f aca="false">MATCH(MIN(CI370:CM370),CI370:CM370,0)</f>
        <v>2</v>
      </c>
      <c r="CP370" s="17" t="n">
        <f aca="false">SQRT(($B370-CP$270)^2+($C370-CP$271)^2+($D370-CP$272)^2)</f>
        <v>7.53904739128889</v>
      </c>
      <c r="CQ370" s="17" t="n">
        <f aca="false">SQRT(($B370-CQ$270)^2+($C370-CQ$271)^2+($D370-CQ$272)^2)</f>
        <v>0.403650707225737</v>
      </c>
      <c r="CR370" s="17" t="n">
        <f aca="false">SQRT(($B370-CR$270)^2+($C370-CR$271)^2+($D370-CR$272)^2)</f>
        <v>2.8022935539569</v>
      </c>
      <c r="CS370" s="17" t="n">
        <f aca="false">SQRT(($B370-CS$270)^2+($C370-CS$271)^2+($D370-CS$272)^2)</f>
        <v>1.08963580601494</v>
      </c>
      <c r="CT370" s="17" t="n">
        <f aca="false">SQRT(($B370-CT$270)^2+($C370-CT$271)^2+($D370-CT$272)^2)</f>
        <v>4.9975002220889</v>
      </c>
      <c r="CU370" s="63" t="n">
        <f aca="false">MATCH(MIN(CP370:CT370),CP370:CT370,0)</f>
        <v>2</v>
      </c>
      <c r="CW370" s="17" t="n">
        <f aca="false">SQRT(($B370-CW$270)^2+($C370-CW$271)^2+($D370-CW$272)^2)</f>
        <v>7.53904739128889</v>
      </c>
      <c r="CX370" s="17" t="n">
        <f aca="false">SQRT(($B370-CX$270)^2+($C370-CX$271)^2+($D370-CX$272)^2)</f>
        <v>0.403650707225737</v>
      </c>
      <c r="CY370" s="17" t="n">
        <f aca="false">SQRT(($B370-CY$270)^2+($C370-CY$271)^2+($D370-CY$272)^2)</f>
        <v>2.8022935539569</v>
      </c>
      <c r="CZ370" s="17" t="n">
        <f aca="false">SQRT(($B370-CZ$270)^2+($C370-CZ$271)^2+($D370-CZ$272)^2)</f>
        <v>1.08963580601494</v>
      </c>
      <c r="DA370" s="17" t="n">
        <f aca="false">SQRT(($B370-DA$270)^2+($C370-DA$271)^2+($D370-DA$272)^2)</f>
        <v>4.9975002220889</v>
      </c>
      <c r="DB370" s="63" t="n">
        <f aca="false">MATCH(MIN(CW370:DA370),CW370:DA370,0)</f>
        <v>2</v>
      </c>
    </row>
    <row r="371" customFormat="false" ht="15" hidden="false" customHeight="false" outlineLevel="0" collapsed="false">
      <c r="A371" s="36" t="str">
        <f aca="false">KMeans_Data!A99</f>
        <v>Umerkot</v>
      </c>
      <c r="B371" s="17" t="n">
        <f aca="false">KMeans_Data!H99</f>
        <v>-0.881311477972984</v>
      </c>
      <c r="C371" s="17" t="n">
        <f aca="false">KMeans_Data!I99</f>
        <v>-0.146983133929529</v>
      </c>
      <c r="D371" s="17" t="n">
        <f aca="false">KMeans_Data!J99</f>
        <v>-0.824446015898766</v>
      </c>
      <c r="E371" s="63" t="n">
        <f aca="false">DB371</f>
        <v>2</v>
      </c>
      <c r="F371" s="38" t="n">
        <f aca="false">($B371-INDEX($L$270:$P$270,E371))^2+($C371-INDEX($L$271:$P$271,E371))^2+($D371-INDEX($L$272:$P$272,E371))^2</f>
        <v>0.474226991365421</v>
      </c>
      <c r="G371" s="17" t="n">
        <f aca="false">IF(COUNTIF(Distance_Matrix!$E$11:$DQ$11,$E371)&lt;=1,0,SUMIF(Distance_Matrix!$E$11:$DQ$11,$E371,Distance_Matrix!$E$108:$DQ$108)/(COUNTIF(Distance_Matrix!$E$11:$DQ$11,$E371)-1))</f>
        <v>0.816677142695283</v>
      </c>
      <c r="H371" s="17" t="n">
        <f aca="false">MIN(IF(1=$E371,1E+099,IF(COUNTIF(Distance_Matrix!$E$11:$DQ$11,1)=0,1E+099,SUMIF(Distance_Matrix!$E$11:$DQ$11,1,Distance_Matrix!$E$108:$DQ$108)/COUNTIF(Distance_Matrix!$E$11:$DQ$11,1))),IF(2=$E371,1E+099,IF(COUNTIF(Distance_Matrix!$E$11:$DQ$11,2)=0,1E+099,SUMIF(Distance_Matrix!$E$11:$DQ$11,2,Distance_Matrix!$E$108:$DQ$108)/COUNTIF(Distance_Matrix!$E$11:$DQ$11,2))),IF(3=$E371,1E+099,IF(COUNTIF(Distance_Matrix!$E$11:$DQ$11,3)=0,1E+099,SUMIF(Distance_Matrix!$E$11:$DQ$11,3,Distance_Matrix!$E$108:$DQ$108)/COUNTIF(Distance_Matrix!$E$11:$DQ$11,3))),IF(4=$E371,1E+099,IF(COUNTIF(Distance_Matrix!$E$11:$DQ$11,4)=0,1E+099,SUMIF(Distance_Matrix!$E$11:$DQ$11,4,Distance_Matrix!$E$108:$DQ$108)/COUNTIF(Distance_Matrix!$E$11:$DQ$11,4))),IF(5=$E371,1E+099,IF(COUNTIF(Distance_Matrix!$E$11:$DQ$11,5)=0,1E+099,SUMIF(Distance_Matrix!$E$11:$DQ$11,5,Distance_Matrix!$E$108:$DQ$108)/COUNTIF(Distance_Matrix!$E$11:$DQ$11,5))))</f>
        <v>1.17560419343105</v>
      </c>
      <c r="I371" s="17" t="n">
        <f aca="false">IF(COUNTIF(Distance_Matrix!$E$11:$DQ$11,$E371)&lt;=1,0,(H371-G371)/MAX(G371,H371))</f>
        <v>0.30531283636223</v>
      </c>
      <c r="X371" s="17" t="n">
        <f aca="false">SQRT(($B371-X$270)^2+($C371-X$271)^2+($D371-X$272)^2)</f>
        <v>7.1703290216323</v>
      </c>
      <c r="Y371" s="17" t="n">
        <f aca="false">SQRT(($B371-Y$270)^2+($C371-Y$271)^2+($D371-Y$272)^2)</f>
        <v>1.34748674660483</v>
      </c>
      <c r="Z371" s="17" t="n">
        <f aca="false">SQRT(($B371-Z$270)^2+($C371-Z$271)^2+($D371-Z$272)^2)</f>
        <v>3.03708367541972</v>
      </c>
      <c r="AA371" s="17" t="n">
        <f aca="false">SQRT(($B371-AA$270)^2+($C371-AA$271)^2+($D371-AA$272)^2)</f>
        <v>1.56040058792694</v>
      </c>
      <c r="AB371" s="17" t="n">
        <f aca="false">SQRT(($B371-AB$270)^2+($C371-AB$271)^2+($D371-AB$272)^2)</f>
        <v>5.16857092291241</v>
      </c>
      <c r="AC371" s="63" t="n">
        <f aca="false">MATCH(MIN(X371:AB371),X371:AB371,0)</f>
        <v>2</v>
      </c>
      <c r="AE371" s="17" t="n">
        <f aca="false">SQRT(($B371-AE$270)^2+($C371-AE$271)^2+($D371-AE$272)^2)</f>
        <v>7.03986094785778</v>
      </c>
      <c r="AF371" s="17" t="n">
        <f aca="false">SQRT(($B371-AF$270)^2+($C371-AF$271)^2+($D371-AF$272)^2)</f>
        <v>0.631343913187267</v>
      </c>
      <c r="AG371" s="17" t="n">
        <f aca="false">SQRT(($B371-AG$270)^2+($C371-AG$271)^2+($D371-AG$272)^2)</f>
        <v>2.29169809301227</v>
      </c>
      <c r="AH371" s="17" t="n">
        <f aca="false">SQRT(($B371-AH$270)^2+($C371-AH$271)^2+($D371-AH$272)^2)</f>
        <v>0.940383970393664</v>
      </c>
      <c r="AI371" s="17" t="n">
        <f aca="false">SQRT(($B371-AI$270)^2+($C371-AI$271)^2+($D371-AI$272)^2)</f>
        <v>4.78388480489006</v>
      </c>
      <c r="AJ371" s="63" t="n">
        <f aca="false">MATCH(MIN(AE371:AI371),AE371:AI371,0)</f>
        <v>2</v>
      </c>
      <c r="AL371" s="17" t="n">
        <f aca="false">SQRT(($B371-AL$270)^2+($C371-AL$271)^2+($D371-AL$272)^2)</f>
        <v>7.03986094785778</v>
      </c>
      <c r="AM371" s="17" t="n">
        <f aca="false">SQRT(($B371-AM$270)^2+($C371-AM$271)^2+($D371-AM$272)^2)</f>
        <v>0.637250216490494</v>
      </c>
      <c r="AN371" s="17" t="n">
        <f aca="false">SQRT(($B371-AN$270)^2+($C371-AN$271)^2+($D371-AN$272)^2)</f>
        <v>2.34369754353265</v>
      </c>
      <c r="AO371" s="17" t="n">
        <f aca="false">SQRT(($B371-AO$270)^2+($C371-AO$271)^2+($D371-AO$272)^2)</f>
        <v>0.977546838900227</v>
      </c>
      <c r="AP371" s="17" t="n">
        <f aca="false">SQRT(($B371-AP$270)^2+($C371-AP$271)^2+($D371-AP$272)^2)</f>
        <v>4.50953735540728</v>
      </c>
      <c r="AQ371" s="63" t="n">
        <f aca="false">MATCH(MIN(AL371:AP371),AL371:AP371,0)</f>
        <v>2</v>
      </c>
      <c r="AS371" s="17" t="n">
        <f aca="false">SQRT(($B371-AS$270)^2+($C371-AS$271)^2+($D371-AS$272)^2)</f>
        <v>7.03986094785778</v>
      </c>
      <c r="AT371" s="17" t="n">
        <f aca="false">SQRT(($B371-AT$270)^2+($C371-AT$271)^2+($D371-AT$272)^2)</f>
        <v>0.688641409853794</v>
      </c>
      <c r="AU371" s="17" t="n">
        <f aca="false">SQRT(($B371-AU$270)^2+($C371-AU$271)^2+($D371-AU$272)^2)</f>
        <v>2.3709020261365</v>
      </c>
      <c r="AV371" s="17" t="n">
        <f aca="false">SQRT(($B371-AV$270)^2+($C371-AV$271)^2+($D371-AV$272)^2)</f>
        <v>0.948039320082589</v>
      </c>
      <c r="AW371" s="17" t="n">
        <f aca="false">SQRT(($B371-AW$270)^2+($C371-AW$271)^2+($D371-AW$272)^2)</f>
        <v>4.50953735540728</v>
      </c>
      <c r="AX371" s="63" t="n">
        <f aca="false">MATCH(MIN(AS371:AW371),AS371:AW371,0)</f>
        <v>2</v>
      </c>
      <c r="AZ371" s="17" t="n">
        <f aca="false">SQRT(($B371-AZ$270)^2+($C371-AZ$271)^2+($D371-AZ$272)^2)</f>
        <v>7.03986094785778</v>
      </c>
      <c r="BA371" s="17" t="n">
        <f aca="false">SQRT(($B371-BA$270)^2+($C371-BA$271)^2+($D371-BA$272)^2)</f>
        <v>0.688641409853794</v>
      </c>
      <c r="BB371" s="17" t="n">
        <f aca="false">SQRT(($B371-BB$270)^2+($C371-BB$271)^2+($D371-BB$272)^2)</f>
        <v>2.3709020261365</v>
      </c>
      <c r="BC371" s="17" t="n">
        <f aca="false">SQRT(($B371-BC$270)^2+($C371-BC$271)^2+($D371-BC$272)^2)</f>
        <v>0.948039320082589</v>
      </c>
      <c r="BD371" s="17" t="n">
        <f aca="false">SQRT(($B371-BD$270)^2+($C371-BD$271)^2+($D371-BD$272)^2)</f>
        <v>4.50953735540728</v>
      </c>
      <c r="BE371" s="63" t="n">
        <f aca="false">MATCH(MIN(AZ371:BD371),AZ371:BD371,0)</f>
        <v>2</v>
      </c>
      <c r="BG371" s="17" t="n">
        <f aca="false">SQRT(($B371-BG$270)^2+($C371-BG$271)^2+($D371-BG$272)^2)</f>
        <v>7.03986094785778</v>
      </c>
      <c r="BH371" s="17" t="n">
        <f aca="false">SQRT(($B371-BH$270)^2+($C371-BH$271)^2+($D371-BH$272)^2)</f>
        <v>0.688641409853794</v>
      </c>
      <c r="BI371" s="17" t="n">
        <f aca="false">SQRT(($B371-BI$270)^2+($C371-BI$271)^2+($D371-BI$272)^2)</f>
        <v>2.3709020261365</v>
      </c>
      <c r="BJ371" s="17" t="n">
        <f aca="false">SQRT(($B371-BJ$270)^2+($C371-BJ$271)^2+($D371-BJ$272)^2)</f>
        <v>0.948039320082589</v>
      </c>
      <c r="BK371" s="17" t="n">
        <f aca="false">SQRT(($B371-BK$270)^2+($C371-BK$271)^2+($D371-BK$272)^2)</f>
        <v>4.50953735540728</v>
      </c>
      <c r="BL371" s="63" t="n">
        <f aca="false">MATCH(MIN(BG371:BK371),BG371:BK371,0)</f>
        <v>2</v>
      </c>
      <c r="BN371" s="17" t="n">
        <f aca="false">SQRT(($B371-BN$270)^2+($C371-BN$271)^2+($D371-BN$272)^2)</f>
        <v>7.03986094785778</v>
      </c>
      <c r="BO371" s="17" t="n">
        <f aca="false">SQRT(($B371-BO$270)^2+($C371-BO$271)^2+($D371-BO$272)^2)</f>
        <v>0.688641409853794</v>
      </c>
      <c r="BP371" s="17" t="n">
        <f aca="false">SQRT(($B371-BP$270)^2+($C371-BP$271)^2+($D371-BP$272)^2)</f>
        <v>2.3709020261365</v>
      </c>
      <c r="BQ371" s="17" t="n">
        <f aca="false">SQRT(($B371-BQ$270)^2+($C371-BQ$271)^2+($D371-BQ$272)^2)</f>
        <v>0.948039320082589</v>
      </c>
      <c r="BR371" s="17" t="n">
        <f aca="false">SQRT(($B371-BR$270)^2+($C371-BR$271)^2+($D371-BR$272)^2)</f>
        <v>4.50953735540728</v>
      </c>
      <c r="BS371" s="63" t="n">
        <f aca="false">MATCH(MIN(BN371:BR371),BN371:BR371,0)</f>
        <v>2</v>
      </c>
      <c r="BU371" s="17" t="n">
        <f aca="false">SQRT(($B371-BU$270)^2+($C371-BU$271)^2+($D371-BU$272)^2)</f>
        <v>7.03986094785778</v>
      </c>
      <c r="BV371" s="17" t="n">
        <f aca="false">SQRT(($B371-BV$270)^2+($C371-BV$271)^2+($D371-BV$272)^2)</f>
        <v>0.688641409853794</v>
      </c>
      <c r="BW371" s="17" t="n">
        <f aca="false">SQRT(($B371-BW$270)^2+($C371-BW$271)^2+($D371-BW$272)^2)</f>
        <v>2.3709020261365</v>
      </c>
      <c r="BX371" s="17" t="n">
        <f aca="false">SQRT(($B371-BX$270)^2+($C371-BX$271)^2+($D371-BX$272)^2)</f>
        <v>0.948039320082589</v>
      </c>
      <c r="BY371" s="17" t="n">
        <f aca="false">SQRT(($B371-BY$270)^2+($C371-BY$271)^2+($D371-BY$272)^2)</f>
        <v>4.50953735540728</v>
      </c>
      <c r="BZ371" s="63" t="n">
        <f aca="false">MATCH(MIN(BU371:BY371),BU371:BY371,0)</f>
        <v>2</v>
      </c>
      <c r="CB371" s="17" t="n">
        <f aca="false">SQRT(($B371-CB$270)^2+($C371-CB$271)^2+($D371-CB$272)^2)</f>
        <v>7.03986094785778</v>
      </c>
      <c r="CC371" s="17" t="n">
        <f aca="false">SQRT(($B371-CC$270)^2+($C371-CC$271)^2+($D371-CC$272)^2)</f>
        <v>0.688641409853794</v>
      </c>
      <c r="CD371" s="17" t="n">
        <f aca="false">SQRT(($B371-CD$270)^2+($C371-CD$271)^2+($D371-CD$272)^2)</f>
        <v>2.3709020261365</v>
      </c>
      <c r="CE371" s="17" t="n">
        <f aca="false">SQRT(($B371-CE$270)^2+($C371-CE$271)^2+($D371-CE$272)^2)</f>
        <v>0.948039320082589</v>
      </c>
      <c r="CF371" s="17" t="n">
        <f aca="false">SQRT(($B371-CF$270)^2+($C371-CF$271)^2+($D371-CF$272)^2)</f>
        <v>4.50953735540728</v>
      </c>
      <c r="CG371" s="63" t="n">
        <f aca="false">MATCH(MIN(CB371:CF371),CB371:CF371,0)</f>
        <v>2</v>
      </c>
      <c r="CI371" s="17" t="n">
        <f aca="false">SQRT(($B371-CI$270)^2+($C371-CI$271)^2+($D371-CI$272)^2)</f>
        <v>7.03986094785778</v>
      </c>
      <c r="CJ371" s="17" t="n">
        <f aca="false">SQRT(($B371-CJ$270)^2+($C371-CJ$271)^2+($D371-CJ$272)^2)</f>
        <v>0.688641409853794</v>
      </c>
      <c r="CK371" s="17" t="n">
        <f aca="false">SQRT(($B371-CK$270)^2+($C371-CK$271)^2+($D371-CK$272)^2)</f>
        <v>2.3709020261365</v>
      </c>
      <c r="CL371" s="17" t="n">
        <f aca="false">SQRT(($B371-CL$270)^2+($C371-CL$271)^2+($D371-CL$272)^2)</f>
        <v>0.948039320082589</v>
      </c>
      <c r="CM371" s="17" t="n">
        <f aca="false">SQRT(($B371-CM$270)^2+($C371-CM$271)^2+($D371-CM$272)^2)</f>
        <v>4.50953735540728</v>
      </c>
      <c r="CN371" s="63" t="n">
        <f aca="false">MATCH(MIN(CI371:CM371),CI371:CM371,0)</f>
        <v>2</v>
      </c>
      <c r="CP371" s="17" t="n">
        <f aca="false">SQRT(($B371-CP$270)^2+($C371-CP$271)^2+($D371-CP$272)^2)</f>
        <v>7.03986094785778</v>
      </c>
      <c r="CQ371" s="17" t="n">
        <f aca="false">SQRT(($B371-CQ$270)^2+($C371-CQ$271)^2+($D371-CQ$272)^2)</f>
        <v>0.688641409853794</v>
      </c>
      <c r="CR371" s="17" t="n">
        <f aca="false">SQRT(($B371-CR$270)^2+($C371-CR$271)^2+($D371-CR$272)^2)</f>
        <v>2.3709020261365</v>
      </c>
      <c r="CS371" s="17" t="n">
        <f aca="false">SQRT(($B371-CS$270)^2+($C371-CS$271)^2+($D371-CS$272)^2)</f>
        <v>0.948039320082589</v>
      </c>
      <c r="CT371" s="17" t="n">
        <f aca="false">SQRT(($B371-CT$270)^2+($C371-CT$271)^2+($D371-CT$272)^2)</f>
        <v>4.50953735540728</v>
      </c>
      <c r="CU371" s="63" t="n">
        <f aca="false">MATCH(MIN(CP371:CT371),CP371:CT371,0)</f>
        <v>2</v>
      </c>
      <c r="CW371" s="17" t="n">
        <f aca="false">SQRT(($B371-CW$270)^2+($C371-CW$271)^2+($D371-CW$272)^2)</f>
        <v>7.03986094785778</v>
      </c>
      <c r="CX371" s="17" t="n">
        <f aca="false">SQRT(($B371-CX$270)^2+($C371-CX$271)^2+($D371-CX$272)^2)</f>
        <v>0.688641409853794</v>
      </c>
      <c r="CY371" s="17" t="n">
        <f aca="false">SQRT(($B371-CY$270)^2+($C371-CY$271)^2+($D371-CY$272)^2)</f>
        <v>2.3709020261365</v>
      </c>
      <c r="CZ371" s="17" t="n">
        <f aca="false">SQRT(($B371-CZ$270)^2+($C371-CZ$271)^2+($D371-CZ$272)^2)</f>
        <v>0.948039320082589</v>
      </c>
      <c r="DA371" s="17" t="n">
        <f aca="false">SQRT(($B371-DA$270)^2+($C371-DA$271)^2+($D371-DA$272)^2)</f>
        <v>4.50953735540728</v>
      </c>
      <c r="DB371" s="63" t="n">
        <f aca="false">MATCH(MIN(CW371:DA371),CW371:DA371,0)</f>
        <v>2</v>
      </c>
    </row>
    <row r="372" customFormat="false" ht="15" hidden="false" customHeight="false" outlineLevel="0" collapsed="false">
      <c r="A372" s="36" t="str">
        <f aca="false">KMeans_Data!A100</f>
        <v>Tando Allahyar</v>
      </c>
      <c r="B372" s="17" t="n">
        <f aca="false">KMeans_Data!H100</f>
        <v>-0.881311477972984</v>
      </c>
      <c r="C372" s="17" t="n">
        <f aca="false">KMeans_Data!I100</f>
        <v>-0.672650545388274</v>
      </c>
      <c r="D372" s="17" t="n">
        <f aca="false">KMeans_Data!J100</f>
        <v>0.265159896369606</v>
      </c>
      <c r="E372" s="63" t="n">
        <f aca="false">DB372</f>
        <v>4</v>
      </c>
      <c r="F372" s="38" t="n">
        <f aca="false">($B372-INDEX($L$270:$P$270,E372))^2+($C372-INDEX($L$271:$P$271,E372))^2+($D372-INDEX($L$272:$P$272,E372))^2</f>
        <v>1.00343432553637</v>
      </c>
      <c r="G372" s="17" t="n">
        <f aca="false">IF(COUNTIF(Distance_Matrix!$E$11:$DQ$11,$E372)&lt;=1,0,SUMIF(Distance_Matrix!$E$11:$DQ$11,$E372,Distance_Matrix!$E$109:$DQ$109)/(COUNTIF(Distance_Matrix!$E$11:$DQ$11,$E372)-1))</f>
        <v>1.17572788666557</v>
      </c>
      <c r="H372" s="17" t="n">
        <f aca="false">MIN(IF(1=$E372,1E+099,IF(COUNTIF(Distance_Matrix!$E$11:$DQ$11,1)=0,1E+099,SUMIF(Distance_Matrix!$E$11:$DQ$11,1,Distance_Matrix!$E$109:$DQ$109)/COUNTIF(Distance_Matrix!$E$11:$DQ$11,1))),IF(2=$E372,1E+099,IF(COUNTIF(Distance_Matrix!$E$11:$DQ$11,2)=0,1E+099,SUMIF(Distance_Matrix!$E$11:$DQ$11,2,Distance_Matrix!$E$109:$DQ$109)/COUNTIF(Distance_Matrix!$E$11:$DQ$11,2))),IF(3=$E372,1E+099,IF(COUNTIF(Distance_Matrix!$E$11:$DQ$11,3)=0,1E+099,SUMIF(Distance_Matrix!$E$11:$DQ$11,3,Distance_Matrix!$E$109:$DQ$109)/COUNTIF(Distance_Matrix!$E$11:$DQ$11,3))),IF(4=$E372,1E+099,IF(COUNTIF(Distance_Matrix!$E$11:$DQ$11,4)=0,1E+099,SUMIF(Distance_Matrix!$E$11:$DQ$11,4,Distance_Matrix!$E$109:$DQ$109)/COUNTIF(Distance_Matrix!$E$11:$DQ$11,4))),IF(5=$E372,1E+099,IF(COUNTIF(Distance_Matrix!$E$11:$DQ$11,5)=0,1E+099,SUMIF(Distance_Matrix!$E$11:$DQ$11,5,Distance_Matrix!$E$109:$DQ$109)/COUNTIF(Distance_Matrix!$E$11:$DQ$11,5))))</f>
        <v>1.45273263056095</v>
      </c>
      <c r="I372" s="17" t="n">
        <f aca="false">IF(COUNTIF(Distance_Matrix!$E$11:$DQ$11,$E372)&lt;=1,0,(H372-G372)/MAX(G372,H372))</f>
        <v>0.190678407070972</v>
      </c>
      <c r="X372" s="17" t="n">
        <f aca="false">SQRT(($B372-X$270)^2+($C372-X$271)^2+($D372-X$272)^2)</f>
        <v>6.95650104174171</v>
      </c>
      <c r="Y372" s="17" t="n">
        <f aca="false">SQRT(($B372-Y$270)^2+($C372-Y$271)^2+($D372-Y$272)^2)</f>
        <v>1.8511061685766</v>
      </c>
      <c r="Z372" s="17" t="n">
        <f aca="false">SQRT(($B372-Z$270)^2+($C372-Z$271)^2+($D372-Z$272)^2)</f>
        <v>2.49782531278287</v>
      </c>
      <c r="AA372" s="17" t="n">
        <f aca="false">SQRT(($B372-AA$270)^2+($C372-AA$271)^2+($D372-AA$272)^2)</f>
        <v>2.14438242037396</v>
      </c>
      <c r="AB372" s="17" t="n">
        <f aca="false">SQRT(($B372-AB$270)^2+($C372-AB$271)^2+($D372-AB$272)^2)</f>
        <v>4.87623044683182</v>
      </c>
      <c r="AC372" s="63" t="n">
        <f aca="false">MATCH(MIN(X372:AB372),X372:AB372,0)</f>
        <v>2</v>
      </c>
      <c r="AE372" s="17" t="n">
        <f aca="false">SQRT(($B372-AE$270)^2+($C372-AE$271)^2+($D372-AE$272)^2)</f>
        <v>6.87200306964403</v>
      </c>
      <c r="AF372" s="17" t="n">
        <f aca="false">SQRT(($B372-AF$270)^2+($C372-AF$271)^2+($D372-AF$272)^2)</f>
        <v>1.25325306455757</v>
      </c>
      <c r="AG372" s="17" t="n">
        <f aca="false">SQRT(($B372-AG$270)^2+($C372-AG$271)^2+($D372-AG$272)^2)</f>
        <v>1.93789153221471</v>
      </c>
      <c r="AH372" s="17" t="n">
        <f aca="false">SQRT(($B372-AH$270)^2+($C372-AH$271)^2+($D372-AH$272)^2)</f>
        <v>1.14523865082092</v>
      </c>
      <c r="AI372" s="17" t="n">
        <f aca="false">SQRT(($B372-AI$270)^2+($C372-AI$271)^2+($D372-AI$272)^2)</f>
        <v>4.63453256356583</v>
      </c>
      <c r="AJ372" s="63" t="n">
        <f aca="false">MATCH(MIN(AE372:AI372),AE372:AI372,0)</f>
        <v>4</v>
      </c>
      <c r="AL372" s="17" t="n">
        <f aca="false">SQRT(($B372-AL$270)^2+($C372-AL$271)^2+($D372-AL$272)^2)</f>
        <v>6.87200306964403</v>
      </c>
      <c r="AM372" s="17" t="n">
        <f aca="false">SQRT(($B372-AM$270)^2+($C372-AM$271)^2+($D372-AM$272)^2)</f>
        <v>1.29920645094816</v>
      </c>
      <c r="AN372" s="17" t="n">
        <f aca="false">SQRT(($B372-AN$270)^2+($C372-AN$271)^2+($D372-AN$272)^2)</f>
        <v>2.01934046748194</v>
      </c>
      <c r="AO372" s="17" t="n">
        <f aca="false">SQRT(($B372-AO$270)^2+($C372-AO$271)^2+($D372-AO$272)^2)</f>
        <v>1.05136026388096</v>
      </c>
      <c r="AP372" s="17" t="n">
        <f aca="false">SQRT(($B372-AP$270)^2+($C372-AP$271)^2+($D372-AP$272)^2)</f>
        <v>4.3632746321761</v>
      </c>
      <c r="AQ372" s="63" t="n">
        <f aca="false">MATCH(MIN(AL372:AP372),AL372:AP372,0)</f>
        <v>4</v>
      </c>
      <c r="AS372" s="17" t="n">
        <f aca="false">SQRT(($B372-AS$270)^2+($C372-AS$271)^2+($D372-AS$272)^2)</f>
        <v>6.87200306964403</v>
      </c>
      <c r="AT372" s="17" t="n">
        <f aca="false">SQRT(($B372-AT$270)^2+($C372-AT$271)^2+($D372-AT$272)^2)</f>
        <v>1.39672362380885</v>
      </c>
      <c r="AU372" s="17" t="n">
        <f aca="false">SQRT(($B372-AU$270)^2+($C372-AU$271)^2+($D372-AU$272)^2)</f>
        <v>2.04524001283539</v>
      </c>
      <c r="AV372" s="17" t="n">
        <f aca="false">SQRT(($B372-AV$270)^2+($C372-AV$271)^2+($D372-AV$272)^2)</f>
        <v>1.00171569097043</v>
      </c>
      <c r="AW372" s="17" t="n">
        <f aca="false">SQRT(($B372-AW$270)^2+($C372-AW$271)^2+($D372-AW$272)^2)</f>
        <v>4.3632746321761</v>
      </c>
      <c r="AX372" s="63" t="n">
        <f aca="false">MATCH(MIN(AS372:AW372),AS372:AW372,0)</f>
        <v>4</v>
      </c>
      <c r="AZ372" s="17" t="n">
        <f aca="false">SQRT(($B372-AZ$270)^2+($C372-AZ$271)^2+($D372-AZ$272)^2)</f>
        <v>6.87200306964403</v>
      </c>
      <c r="BA372" s="17" t="n">
        <f aca="false">SQRT(($B372-BA$270)^2+($C372-BA$271)^2+($D372-BA$272)^2)</f>
        <v>1.39672362380885</v>
      </c>
      <c r="BB372" s="17" t="n">
        <f aca="false">SQRT(($B372-BB$270)^2+($C372-BB$271)^2+($D372-BB$272)^2)</f>
        <v>2.04524001283539</v>
      </c>
      <c r="BC372" s="17" t="n">
        <f aca="false">SQRT(($B372-BC$270)^2+($C372-BC$271)^2+($D372-BC$272)^2)</f>
        <v>1.00171569097043</v>
      </c>
      <c r="BD372" s="17" t="n">
        <f aca="false">SQRT(($B372-BD$270)^2+($C372-BD$271)^2+($D372-BD$272)^2)</f>
        <v>4.3632746321761</v>
      </c>
      <c r="BE372" s="63" t="n">
        <f aca="false">MATCH(MIN(AZ372:BD372),AZ372:BD372,0)</f>
        <v>4</v>
      </c>
      <c r="BG372" s="17" t="n">
        <f aca="false">SQRT(($B372-BG$270)^2+($C372-BG$271)^2+($D372-BG$272)^2)</f>
        <v>6.87200306964403</v>
      </c>
      <c r="BH372" s="17" t="n">
        <f aca="false">SQRT(($B372-BH$270)^2+($C372-BH$271)^2+($D372-BH$272)^2)</f>
        <v>1.39672362380885</v>
      </c>
      <c r="BI372" s="17" t="n">
        <f aca="false">SQRT(($B372-BI$270)^2+($C372-BI$271)^2+($D372-BI$272)^2)</f>
        <v>2.04524001283539</v>
      </c>
      <c r="BJ372" s="17" t="n">
        <f aca="false">SQRT(($B372-BJ$270)^2+($C372-BJ$271)^2+($D372-BJ$272)^2)</f>
        <v>1.00171569097043</v>
      </c>
      <c r="BK372" s="17" t="n">
        <f aca="false">SQRT(($B372-BK$270)^2+($C372-BK$271)^2+($D372-BK$272)^2)</f>
        <v>4.3632746321761</v>
      </c>
      <c r="BL372" s="63" t="n">
        <f aca="false">MATCH(MIN(BG372:BK372),BG372:BK372,0)</f>
        <v>4</v>
      </c>
      <c r="BN372" s="17" t="n">
        <f aca="false">SQRT(($B372-BN$270)^2+($C372-BN$271)^2+($D372-BN$272)^2)</f>
        <v>6.87200306964403</v>
      </c>
      <c r="BO372" s="17" t="n">
        <f aca="false">SQRT(($B372-BO$270)^2+($C372-BO$271)^2+($D372-BO$272)^2)</f>
        <v>1.39672362380885</v>
      </c>
      <c r="BP372" s="17" t="n">
        <f aca="false">SQRT(($B372-BP$270)^2+($C372-BP$271)^2+($D372-BP$272)^2)</f>
        <v>2.04524001283539</v>
      </c>
      <c r="BQ372" s="17" t="n">
        <f aca="false">SQRT(($B372-BQ$270)^2+($C372-BQ$271)^2+($D372-BQ$272)^2)</f>
        <v>1.00171569097043</v>
      </c>
      <c r="BR372" s="17" t="n">
        <f aca="false">SQRT(($B372-BR$270)^2+($C372-BR$271)^2+($D372-BR$272)^2)</f>
        <v>4.3632746321761</v>
      </c>
      <c r="BS372" s="63" t="n">
        <f aca="false">MATCH(MIN(BN372:BR372),BN372:BR372,0)</f>
        <v>4</v>
      </c>
      <c r="BU372" s="17" t="n">
        <f aca="false">SQRT(($B372-BU$270)^2+($C372-BU$271)^2+($D372-BU$272)^2)</f>
        <v>6.87200306964403</v>
      </c>
      <c r="BV372" s="17" t="n">
        <f aca="false">SQRT(($B372-BV$270)^2+($C372-BV$271)^2+($D372-BV$272)^2)</f>
        <v>1.39672362380885</v>
      </c>
      <c r="BW372" s="17" t="n">
        <f aca="false">SQRT(($B372-BW$270)^2+($C372-BW$271)^2+($D372-BW$272)^2)</f>
        <v>2.04524001283539</v>
      </c>
      <c r="BX372" s="17" t="n">
        <f aca="false">SQRT(($B372-BX$270)^2+($C372-BX$271)^2+($D372-BX$272)^2)</f>
        <v>1.00171569097043</v>
      </c>
      <c r="BY372" s="17" t="n">
        <f aca="false">SQRT(($B372-BY$270)^2+($C372-BY$271)^2+($D372-BY$272)^2)</f>
        <v>4.3632746321761</v>
      </c>
      <c r="BZ372" s="63" t="n">
        <f aca="false">MATCH(MIN(BU372:BY372),BU372:BY372,0)</f>
        <v>4</v>
      </c>
      <c r="CB372" s="17" t="n">
        <f aca="false">SQRT(($B372-CB$270)^2+($C372-CB$271)^2+($D372-CB$272)^2)</f>
        <v>6.87200306964403</v>
      </c>
      <c r="CC372" s="17" t="n">
        <f aca="false">SQRT(($B372-CC$270)^2+($C372-CC$271)^2+($D372-CC$272)^2)</f>
        <v>1.39672362380885</v>
      </c>
      <c r="CD372" s="17" t="n">
        <f aca="false">SQRT(($B372-CD$270)^2+($C372-CD$271)^2+($D372-CD$272)^2)</f>
        <v>2.04524001283539</v>
      </c>
      <c r="CE372" s="17" t="n">
        <f aca="false">SQRT(($B372-CE$270)^2+($C372-CE$271)^2+($D372-CE$272)^2)</f>
        <v>1.00171569097043</v>
      </c>
      <c r="CF372" s="17" t="n">
        <f aca="false">SQRT(($B372-CF$270)^2+($C372-CF$271)^2+($D372-CF$272)^2)</f>
        <v>4.3632746321761</v>
      </c>
      <c r="CG372" s="63" t="n">
        <f aca="false">MATCH(MIN(CB372:CF372),CB372:CF372,0)</f>
        <v>4</v>
      </c>
      <c r="CI372" s="17" t="n">
        <f aca="false">SQRT(($B372-CI$270)^2+($C372-CI$271)^2+($D372-CI$272)^2)</f>
        <v>6.87200306964403</v>
      </c>
      <c r="CJ372" s="17" t="n">
        <f aca="false">SQRT(($B372-CJ$270)^2+($C372-CJ$271)^2+($D372-CJ$272)^2)</f>
        <v>1.39672362380885</v>
      </c>
      <c r="CK372" s="17" t="n">
        <f aca="false">SQRT(($B372-CK$270)^2+($C372-CK$271)^2+($D372-CK$272)^2)</f>
        <v>2.04524001283539</v>
      </c>
      <c r="CL372" s="17" t="n">
        <f aca="false">SQRT(($B372-CL$270)^2+($C372-CL$271)^2+($D372-CL$272)^2)</f>
        <v>1.00171569097043</v>
      </c>
      <c r="CM372" s="17" t="n">
        <f aca="false">SQRT(($B372-CM$270)^2+($C372-CM$271)^2+($D372-CM$272)^2)</f>
        <v>4.3632746321761</v>
      </c>
      <c r="CN372" s="63" t="n">
        <f aca="false">MATCH(MIN(CI372:CM372),CI372:CM372,0)</f>
        <v>4</v>
      </c>
      <c r="CP372" s="17" t="n">
        <f aca="false">SQRT(($B372-CP$270)^2+($C372-CP$271)^2+($D372-CP$272)^2)</f>
        <v>6.87200306964403</v>
      </c>
      <c r="CQ372" s="17" t="n">
        <f aca="false">SQRT(($B372-CQ$270)^2+($C372-CQ$271)^2+($D372-CQ$272)^2)</f>
        <v>1.39672362380885</v>
      </c>
      <c r="CR372" s="17" t="n">
        <f aca="false">SQRT(($B372-CR$270)^2+($C372-CR$271)^2+($D372-CR$272)^2)</f>
        <v>2.04524001283539</v>
      </c>
      <c r="CS372" s="17" t="n">
        <f aca="false">SQRT(($B372-CS$270)^2+($C372-CS$271)^2+($D372-CS$272)^2)</f>
        <v>1.00171569097043</v>
      </c>
      <c r="CT372" s="17" t="n">
        <f aca="false">SQRT(($B372-CT$270)^2+($C372-CT$271)^2+($D372-CT$272)^2)</f>
        <v>4.3632746321761</v>
      </c>
      <c r="CU372" s="63" t="n">
        <f aca="false">MATCH(MIN(CP372:CT372),CP372:CT372,0)</f>
        <v>4</v>
      </c>
      <c r="CW372" s="17" t="n">
        <f aca="false">SQRT(($B372-CW$270)^2+($C372-CW$271)^2+($D372-CW$272)^2)</f>
        <v>6.87200306964403</v>
      </c>
      <c r="CX372" s="17" t="n">
        <f aca="false">SQRT(($B372-CX$270)^2+($C372-CX$271)^2+($D372-CX$272)^2)</f>
        <v>1.39672362380885</v>
      </c>
      <c r="CY372" s="17" t="n">
        <f aca="false">SQRT(($B372-CY$270)^2+($C372-CY$271)^2+($D372-CY$272)^2)</f>
        <v>2.04524001283539</v>
      </c>
      <c r="CZ372" s="17" t="n">
        <f aca="false">SQRT(($B372-CZ$270)^2+($C372-CZ$271)^2+($D372-CZ$272)^2)</f>
        <v>1.00171569097043</v>
      </c>
      <c r="DA372" s="17" t="n">
        <f aca="false">SQRT(($B372-DA$270)^2+($C372-DA$271)^2+($D372-DA$272)^2)</f>
        <v>4.3632746321761</v>
      </c>
      <c r="DB372" s="63" t="n">
        <f aca="false">MATCH(MIN(CW372:DA372),CW372:DA372,0)</f>
        <v>4</v>
      </c>
    </row>
    <row r="373" customFormat="false" ht="15" hidden="false" customHeight="false" outlineLevel="0" collapsed="false">
      <c r="A373" s="36" t="str">
        <f aca="false">KMeans_Data!A101</f>
        <v>Mirpur</v>
      </c>
      <c r="B373" s="17" t="n">
        <f aca="false">KMeans_Data!H101</f>
        <v>-0.881311477972984</v>
      </c>
      <c r="C373" s="17" t="n">
        <f aca="false">KMeans_Data!I101</f>
        <v>-0.672650545388274</v>
      </c>
      <c r="D373" s="17" t="n">
        <f aca="false">KMeans_Data!J101</f>
        <v>-1.14564411633355</v>
      </c>
      <c r="E373" s="63" t="n">
        <f aca="false">DB373</f>
        <v>2</v>
      </c>
      <c r="F373" s="38" t="n">
        <f aca="false">($B373-INDEX($L$270:$P$270,E373))^2+($C373-INDEX($L$271:$P$271,E373))^2+($D373-INDEX($L$272:$P$272,E373))^2</f>
        <v>0.162933893443838</v>
      </c>
      <c r="G373" s="17" t="n">
        <f aca="false">IF(COUNTIF(Distance_Matrix!$E$11:$DQ$11,$E373)&lt;=1,0,SUMIF(Distance_Matrix!$E$11:$DQ$11,$E373,Distance_Matrix!$E$110:$DQ$110)/(COUNTIF(Distance_Matrix!$E$11:$DQ$11,$E373)-1))</f>
        <v>0.522551107941841</v>
      </c>
      <c r="H373" s="17" t="n">
        <f aca="false">MIN(IF(1=$E373,1E+099,IF(COUNTIF(Distance_Matrix!$E$11:$DQ$11,1)=0,1E+099,SUMIF(Distance_Matrix!$E$11:$DQ$11,1,Distance_Matrix!$E$110:$DQ$110)/COUNTIF(Distance_Matrix!$E$11:$DQ$11,1))),IF(2=$E373,1E+099,IF(COUNTIF(Distance_Matrix!$E$11:$DQ$11,2)=0,1E+099,SUMIF(Distance_Matrix!$E$11:$DQ$11,2,Distance_Matrix!$E$110:$DQ$110)/COUNTIF(Distance_Matrix!$E$11:$DQ$11,2))),IF(3=$E373,1E+099,IF(COUNTIF(Distance_Matrix!$E$11:$DQ$11,3)=0,1E+099,SUMIF(Distance_Matrix!$E$11:$DQ$11,3,Distance_Matrix!$E$110:$DQ$110)/COUNTIF(Distance_Matrix!$E$11:$DQ$11,3))),IF(4=$E373,1E+099,IF(COUNTIF(Distance_Matrix!$E$11:$DQ$11,4)=0,1E+099,SUMIF(Distance_Matrix!$E$11:$DQ$11,4,Distance_Matrix!$E$110:$DQ$110)/COUNTIF(Distance_Matrix!$E$11:$DQ$11,4))),IF(5=$E373,1E+099,IF(COUNTIF(Distance_Matrix!$E$11:$DQ$11,5)=0,1E+099,SUMIF(Distance_Matrix!$E$11:$DQ$11,5,Distance_Matrix!$E$110:$DQ$110)/COUNTIF(Distance_Matrix!$E$11:$DQ$11,5))))</f>
        <v>1.26034424064507</v>
      </c>
      <c r="I373" s="17" t="n">
        <f aca="false">IF(COUNTIF(Distance_Matrix!$E$11:$DQ$11,$E373)&lt;=1,0,(H373-G373)/MAX(G373,H373))</f>
        <v>0.585390172708381</v>
      </c>
      <c r="X373" s="17" t="n">
        <f aca="false">SQRT(($B373-X$270)^2+($C373-X$271)^2+($D373-X$272)^2)</f>
        <v>7.66896199778013</v>
      </c>
      <c r="Y373" s="17" t="n">
        <f aca="false">SQRT(($B373-Y$270)^2+($C373-Y$271)^2+($D373-Y$272)^2)</f>
        <v>1.19842650383034</v>
      </c>
      <c r="Z373" s="17" t="n">
        <f aca="false">SQRT(($B373-Z$270)^2+($C373-Z$271)^2+($D373-Z$272)^2)</f>
        <v>3.41031193536842</v>
      </c>
      <c r="AA373" s="17" t="n">
        <f aca="false">SQRT(($B373-AA$270)^2+($C373-AA$271)^2+($D373-AA$272)^2)</f>
        <v>1.6149328167294</v>
      </c>
      <c r="AB373" s="17" t="n">
        <f aca="false">SQRT(($B373-AB$270)^2+($C373-AB$271)^2+($D373-AB$272)^2)</f>
        <v>5.63148928328052</v>
      </c>
      <c r="AC373" s="63" t="n">
        <f aca="false">MATCH(MIN(X373:AB373),X373:AB373,0)</f>
        <v>2</v>
      </c>
      <c r="AE373" s="17" t="n">
        <f aca="false">SQRT(($B373-AE$270)^2+($C373-AE$271)^2+($D373-AE$272)^2)</f>
        <v>7.53904739128889</v>
      </c>
      <c r="AF373" s="17" t="n">
        <f aca="false">SQRT(($B373-AF$270)^2+($C373-AF$271)^2+($D373-AF$272)^2)</f>
        <v>0.417151279230401</v>
      </c>
      <c r="AG373" s="17" t="n">
        <f aca="false">SQRT(($B373-AG$270)^2+($C373-AG$271)^2+($D373-AG$272)^2)</f>
        <v>2.7174976148913</v>
      </c>
      <c r="AH373" s="17" t="n">
        <f aca="false">SQRT(($B373-AH$270)^2+($C373-AH$271)^2+($D373-AH$272)^2)</f>
        <v>1.05049386128947</v>
      </c>
      <c r="AI373" s="17" t="n">
        <f aca="false">SQRT(($B373-AI$270)^2+($C373-AI$271)^2+($D373-AI$272)^2)</f>
        <v>5.26937195077302</v>
      </c>
      <c r="AJ373" s="63" t="n">
        <f aca="false">MATCH(MIN(AE373:AI373),AE373:AI373,0)</f>
        <v>2</v>
      </c>
      <c r="AL373" s="17" t="n">
        <f aca="false">SQRT(($B373-AL$270)^2+($C373-AL$271)^2+($D373-AL$272)^2)</f>
        <v>7.53904739128889</v>
      </c>
      <c r="AM373" s="17" t="n">
        <f aca="false">SQRT(($B373-AM$270)^2+($C373-AM$271)^2+($D373-AM$272)^2)</f>
        <v>0.386186752704643</v>
      </c>
      <c r="AN373" s="17" t="n">
        <f aca="false">SQRT(($B373-AN$270)^2+($C373-AN$271)^2+($D373-AN$272)^2)</f>
        <v>2.77528145845034</v>
      </c>
      <c r="AO373" s="17" t="n">
        <f aca="false">SQRT(($B373-AO$270)^2+($C373-AO$271)^2+($D373-AO$272)^2)</f>
        <v>1.10704038194827</v>
      </c>
      <c r="AP373" s="17" t="n">
        <f aca="false">SQRT(($B373-AP$270)^2+($C373-AP$271)^2+($D373-AP$272)^2)</f>
        <v>4.9975002220889</v>
      </c>
      <c r="AQ373" s="63" t="n">
        <f aca="false">MATCH(MIN(AL373:AP373),AL373:AP373,0)</f>
        <v>2</v>
      </c>
      <c r="AS373" s="17" t="n">
        <f aca="false">SQRT(($B373-AS$270)^2+($C373-AS$271)^2+($D373-AS$272)^2)</f>
        <v>7.53904739128889</v>
      </c>
      <c r="AT373" s="17" t="n">
        <f aca="false">SQRT(($B373-AT$270)^2+($C373-AT$271)^2+($D373-AT$272)^2)</f>
        <v>0.403650707225737</v>
      </c>
      <c r="AU373" s="17" t="n">
        <f aca="false">SQRT(($B373-AU$270)^2+($C373-AU$271)^2+($D373-AU$272)^2)</f>
        <v>2.8022935539569</v>
      </c>
      <c r="AV373" s="17" t="n">
        <f aca="false">SQRT(($B373-AV$270)^2+($C373-AV$271)^2+($D373-AV$272)^2)</f>
        <v>1.08963580601494</v>
      </c>
      <c r="AW373" s="17" t="n">
        <f aca="false">SQRT(($B373-AW$270)^2+($C373-AW$271)^2+($D373-AW$272)^2)</f>
        <v>4.9975002220889</v>
      </c>
      <c r="AX373" s="63" t="n">
        <f aca="false">MATCH(MIN(AS373:AW373),AS373:AW373,0)</f>
        <v>2</v>
      </c>
      <c r="AZ373" s="17" t="n">
        <f aca="false">SQRT(($B373-AZ$270)^2+($C373-AZ$271)^2+($D373-AZ$272)^2)</f>
        <v>7.53904739128889</v>
      </c>
      <c r="BA373" s="17" t="n">
        <f aca="false">SQRT(($B373-BA$270)^2+($C373-BA$271)^2+($D373-BA$272)^2)</f>
        <v>0.403650707225737</v>
      </c>
      <c r="BB373" s="17" t="n">
        <f aca="false">SQRT(($B373-BB$270)^2+($C373-BB$271)^2+($D373-BB$272)^2)</f>
        <v>2.8022935539569</v>
      </c>
      <c r="BC373" s="17" t="n">
        <f aca="false">SQRT(($B373-BC$270)^2+($C373-BC$271)^2+($D373-BC$272)^2)</f>
        <v>1.08963580601494</v>
      </c>
      <c r="BD373" s="17" t="n">
        <f aca="false">SQRT(($B373-BD$270)^2+($C373-BD$271)^2+($D373-BD$272)^2)</f>
        <v>4.9975002220889</v>
      </c>
      <c r="BE373" s="63" t="n">
        <f aca="false">MATCH(MIN(AZ373:BD373),AZ373:BD373,0)</f>
        <v>2</v>
      </c>
      <c r="BG373" s="17" t="n">
        <f aca="false">SQRT(($B373-BG$270)^2+($C373-BG$271)^2+($D373-BG$272)^2)</f>
        <v>7.53904739128889</v>
      </c>
      <c r="BH373" s="17" t="n">
        <f aca="false">SQRT(($B373-BH$270)^2+($C373-BH$271)^2+($D373-BH$272)^2)</f>
        <v>0.403650707225737</v>
      </c>
      <c r="BI373" s="17" t="n">
        <f aca="false">SQRT(($B373-BI$270)^2+($C373-BI$271)^2+($D373-BI$272)^2)</f>
        <v>2.8022935539569</v>
      </c>
      <c r="BJ373" s="17" t="n">
        <f aca="false">SQRT(($B373-BJ$270)^2+($C373-BJ$271)^2+($D373-BJ$272)^2)</f>
        <v>1.08963580601494</v>
      </c>
      <c r="BK373" s="17" t="n">
        <f aca="false">SQRT(($B373-BK$270)^2+($C373-BK$271)^2+($D373-BK$272)^2)</f>
        <v>4.9975002220889</v>
      </c>
      <c r="BL373" s="63" t="n">
        <f aca="false">MATCH(MIN(BG373:BK373),BG373:BK373,0)</f>
        <v>2</v>
      </c>
      <c r="BN373" s="17" t="n">
        <f aca="false">SQRT(($B373-BN$270)^2+($C373-BN$271)^2+($D373-BN$272)^2)</f>
        <v>7.53904739128889</v>
      </c>
      <c r="BO373" s="17" t="n">
        <f aca="false">SQRT(($B373-BO$270)^2+($C373-BO$271)^2+($D373-BO$272)^2)</f>
        <v>0.403650707225737</v>
      </c>
      <c r="BP373" s="17" t="n">
        <f aca="false">SQRT(($B373-BP$270)^2+($C373-BP$271)^2+($D373-BP$272)^2)</f>
        <v>2.8022935539569</v>
      </c>
      <c r="BQ373" s="17" t="n">
        <f aca="false">SQRT(($B373-BQ$270)^2+($C373-BQ$271)^2+($D373-BQ$272)^2)</f>
        <v>1.08963580601494</v>
      </c>
      <c r="BR373" s="17" t="n">
        <f aca="false">SQRT(($B373-BR$270)^2+($C373-BR$271)^2+($D373-BR$272)^2)</f>
        <v>4.9975002220889</v>
      </c>
      <c r="BS373" s="63" t="n">
        <f aca="false">MATCH(MIN(BN373:BR373),BN373:BR373,0)</f>
        <v>2</v>
      </c>
      <c r="BU373" s="17" t="n">
        <f aca="false">SQRT(($B373-BU$270)^2+($C373-BU$271)^2+($D373-BU$272)^2)</f>
        <v>7.53904739128889</v>
      </c>
      <c r="BV373" s="17" t="n">
        <f aca="false">SQRT(($B373-BV$270)^2+($C373-BV$271)^2+($D373-BV$272)^2)</f>
        <v>0.403650707225737</v>
      </c>
      <c r="BW373" s="17" t="n">
        <f aca="false">SQRT(($B373-BW$270)^2+($C373-BW$271)^2+($D373-BW$272)^2)</f>
        <v>2.8022935539569</v>
      </c>
      <c r="BX373" s="17" t="n">
        <f aca="false">SQRT(($B373-BX$270)^2+($C373-BX$271)^2+($D373-BX$272)^2)</f>
        <v>1.08963580601494</v>
      </c>
      <c r="BY373" s="17" t="n">
        <f aca="false">SQRT(($B373-BY$270)^2+($C373-BY$271)^2+($D373-BY$272)^2)</f>
        <v>4.9975002220889</v>
      </c>
      <c r="BZ373" s="63" t="n">
        <f aca="false">MATCH(MIN(BU373:BY373),BU373:BY373,0)</f>
        <v>2</v>
      </c>
      <c r="CB373" s="17" t="n">
        <f aca="false">SQRT(($B373-CB$270)^2+($C373-CB$271)^2+($D373-CB$272)^2)</f>
        <v>7.53904739128889</v>
      </c>
      <c r="CC373" s="17" t="n">
        <f aca="false">SQRT(($B373-CC$270)^2+($C373-CC$271)^2+($D373-CC$272)^2)</f>
        <v>0.403650707225737</v>
      </c>
      <c r="CD373" s="17" t="n">
        <f aca="false">SQRT(($B373-CD$270)^2+($C373-CD$271)^2+($D373-CD$272)^2)</f>
        <v>2.8022935539569</v>
      </c>
      <c r="CE373" s="17" t="n">
        <f aca="false">SQRT(($B373-CE$270)^2+($C373-CE$271)^2+($D373-CE$272)^2)</f>
        <v>1.08963580601494</v>
      </c>
      <c r="CF373" s="17" t="n">
        <f aca="false">SQRT(($B373-CF$270)^2+($C373-CF$271)^2+($D373-CF$272)^2)</f>
        <v>4.9975002220889</v>
      </c>
      <c r="CG373" s="63" t="n">
        <f aca="false">MATCH(MIN(CB373:CF373),CB373:CF373,0)</f>
        <v>2</v>
      </c>
      <c r="CI373" s="17" t="n">
        <f aca="false">SQRT(($B373-CI$270)^2+($C373-CI$271)^2+($D373-CI$272)^2)</f>
        <v>7.53904739128889</v>
      </c>
      <c r="CJ373" s="17" t="n">
        <f aca="false">SQRT(($B373-CJ$270)^2+($C373-CJ$271)^2+($D373-CJ$272)^2)</f>
        <v>0.403650707225737</v>
      </c>
      <c r="CK373" s="17" t="n">
        <f aca="false">SQRT(($B373-CK$270)^2+($C373-CK$271)^2+($D373-CK$272)^2)</f>
        <v>2.8022935539569</v>
      </c>
      <c r="CL373" s="17" t="n">
        <f aca="false">SQRT(($B373-CL$270)^2+($C373-CL$271)^2+($D373-CL$272)^2)</f>
        <v>1.08963580601494</v>
      </c>
      <c r="CM373" s="17" t="n">
        <f aca="false">SQRT(($B373-CM$270)^2+($C373-CM$271)^2+($D373-CM$272)^2)</f>
        <v>4.9975002220889</v>
      </c>
      <c r="CN373" s="63" t="n">
        <f aca="false">MATCH(MIN(CI373:CM373),CI373:CM373,0)</f>
        <v>2</v>
      </c>
      <c r="CP373" s="17" t="n">
        <f aca="false">SQRT(($B373-CP$270)^2+($C373-CP$271)^2+($D373-CP$272)^2)</f>
        <v>7.53904739128889</v>
      </c>
      <c r="CQ373" s="17" t="n">
        <f aca="false">SQRT(($B373-CQ$270)^2+($C373-CQ$271)^2+($D373-CQ$272)^2)</f>
        <v>0.403650707225737</v>
      </c>
      <c r="CR373" s="17" t="n">
        <f aca="false">SQRT(($B373-CR$270)^2+($C373-CR$271)^2+($D373-CR$272)^2)</f>
        <v>2.8022935539569</v>
      </c>
      <c r="CS373" s="17" t="n">
        <f aca="false">SQRT(($B373-CS$270)^2+($C373-CS$271)^2+($D373-CS$272)^2)</f>
        <v>1.08963580601494</v>
      </c>
      <c r="CT373" s="17" t="n">
        <f aca="false">SQRT(($B373-CT$270)^2+($C373-CT$271)^2+($D373-CT$272)^2)</f>
        <v>4.9975002220889</v>
      </c>
      <c r="CU373" s="63" t="n">
        <f aca="false">MATCH(MIN(CP373:CT373),CP373:CT373,0)</f>
        <v>2</v>
      </c>
      <c r="CW373" s="17" t="n">
        <f aca="false">SQRT(($B373-CW$270)^2+($C373-CW$271)^2+($D373-CW$272)^2)</f>
        <v>7.53904739128889</v>
      </c>
      <c r="CX373" s="17" t="n">
        <f aca="false">SQRT(($B373-CX$270)^2+($C373-CX$271)^2+($D373-CX$272)^2)</f>
        <v>0.403650707225737</v>
      </c>
      <c r="CY373" s="17" t="n">
        <f aca="false">SQRT(($B373-CY$270)^2+($C373-CY$271)^2+($D373-CY$272)^2)</f>
        <v>2.8022935539569</v>
      </c>
      <c r="CZ373" s="17" t="n">
        <f aca="false">SQRT(($B373-CZ$270)^2+($C373-CZ$271)^2+($D373-CZ$272)^2)</f>
        <v>1.08963580601494</v>
      </c>
      <c r="DA373" s="17" t="n">
        <f aca="false">SQRT(($B373-DA$270)^2+($C373-DA$271)^2+($D373-DA$272)^2)</f>
        <v>4.9975002220889</v>
      </c>
      <c r="DB373" s="63" t="n">
        <f aca="false">MATCH(MIN(CW373:DA373),CW373:DA373,0)</f>
        <v>2</v>
      </c>
    </row>
    <row r="374" customFormat="false" ht="15" hidden="false" customHeight="false" outlineLevel="0" collapsed="false">
      <c r="A374" s="36" t="str">
        <f aca="false">KMeans_Data!A102</f>
        <v>Tank</v>
      </c>
      <c r="B374" s="17" t="n">
        <f aca="false">KMeans_Data!H102</f>
        <v>-0.936148467409663</v>
      </c>
      <c r="C374" s="17" t="n">
        <f aca="false">KMeans_Data!I102</f>
        <v>-0.672650545388274</v>
      </c>
      <c r="D374" s="17" t="n">
        <f aca="false">KMeans_Data!J102</f>
        <v>-0.0344812518432112</v>
      </c>
      <c r="E374" s="63" t="n">
        <f aca="false">DB374</f>
        <v>4</v>
      </c>
      <c r="F374" s="38" t="n">
        <f aca="false">($B374-INDEX($L$270:$P$270,E374))^2+($C374-INDEX($L$271:$P$271,E374))^2+($D374-INDEX($L$272:$P$272,E374))^2</f>
        <v>0.795087717346365</v>
      </c>
      <c r="G374" s="17" t="n">
        <f aca="false">IF(COUNTIF(Distance_Matrix!$E$11:$DQ$11,$E374)&lt;=1,0,SUMIF(Distance_Matrix!$E$11:$DQ$11,$E374,Distance_Matrix!$E$111:$DQ$111)/(COUNTIF(Distance_Matrix!$E$11:$DQ$11,$E374)-1))</f>
        <v>1.09300094925412</v>
      </c>
      <c r="H374" s="17" t="n">
        <f aca="false">MIN(IF(1=$E374,1E+099,IF(COUNTIF(Distance_Matrix!$E$11:$DQ$11,1)=0,1E+099,SUMIF(Distance_Matrix!$E$11:$DQ$11,1,Distance_Matrix!$E$111:$DQ$111)/COUNTIF(Distance_Matrix!$E$11:$DQ$11,1))),IF(2=$E374,1E+099,IF(COUNTIF(Distance_Matrix!$E$11:$DQ$11,2)=0,1E+099,SUMIF(Distance_Matrix!$E$11:$DQ$11,2,Distance_Matrix!$E$111:$DQ$111)/COUNTIF(Distance_Matrix!$E$11:$DQ$11,2))),IF(3=$E374,1E+099,IF(COUNTIF(Distance_Matrix!$E$11:$DQ$11,3)=0,1E+099,SUMIF(Distance_Matrix!$E$11:$DQ$11,3,Distance_Matrix!$E$111:$DQ$111)/COUNTIF(Distance_Matrix!$E$11:$DQ$11,3))),IF(4=$E374,1E+099,IF(COUNTIF(Distance_Matrix!$E$11:$DQ$11,4)=0,1E+099,SUMIF(Distance_Matrix!$E$11:$DQ$11,4,Distance_Matrix!$E$111:$DQ$111)/COUNTIF(Distance_Matrix!$E$11:$DQ$11,4))),IF(5=$E374,1E+099,IF(COUNTIF(Distance_Matrix!$E$11:$DQ$11,5)=0,1E+099,SUMIF(Distance_Matrix!$E$11:$DQ$11,5,Distance_Matrix!$E$111:$DQ$111)/COUNTIF(Distance_Matrix!$E$11:$DQ$11,5))))</f>
        <v>1.16327776904752</v>
      </c>
      <c r="I374" s="17" t="n">
        <f aca="false">IF(COUNTIF(Distance_Matrix!$E$11:$DQ$11,$E374)&lt;=1,0,(H374-G374)/MAX(G374,H374))</f>
        <v>0.0604127592423151</v>
      </c>
      <c r="X374" s="17" t="n">
        <f aca="false">SQRT(($B374-X$270)^2+($C374-X$271)^2+($D374-X$272)^2)</f>
        <v>7.12262940672578</v>
      </c>
      <c r="Y374" s="17" t="n">
        <f aca="false">SQRT(($B374-Y$270)^2+($C374-Y$271)^2+($D374-Y$272)^2)</f>
        <v>1.59451556557266</v>
      </c>
      <c r="Z374" s="17" t="n">
        <f aca="false">SQRT(($B374-Z$270)^2+($C374-Z$271)^2+($D374-Z$272)^2)</f>
        <v>2.69529791351475</v>
      </c>
      <c r="AA374" s="17" t="n">
        <f aca="false">SQRT(($B374-AA$270)^2+($C374-AA$271)^2+($D374-AA$272)^2)</f>
        <v>2.00328941473561</v>
      </c>
      <c r="AB374" s="17" t="n">
        <f aca="false">SQRT(($B374-AB$270)^2+($C374-AB$271)^2+($D374-AB$272)^2)</f>
        <v>5.04868348220944</v>
      </c>
      <c r="AC374" s="63" t="n">
        <f aca="false">MATCH(MIN(X374:AB374),X374:AB374,0)</f>
        <v>2</v>
      </c>
      <c r="AE374" s="17" t="n">
        <f aca="false">SQRT(($B374-AE$270)^2+($C374-AE$271)^2+($D374-AE$272)^2)</f>
        <v>7.0278438898168</v>
      </c>
      <c r="AF374" s="17" t="n">
        <f aca="false">SQRT(($B374-AF$270)^2+($C374-AF$271)^2+($D374-AF$272)^2)</f>
        <v>0.95111526948377</v>
      </c>
      <c r="AG374" s="17" t="n">
        <f aca="false">SQRT(($B374-AG$270)^2+($C374-AG$271)^2+($D374-AG$272)^2)</f>
        <v>2.08640146199129</v>
      </c>
      <c r="AH374" s="17" t="n">
        <f aca="false">SQRT(($B374-AH$270)^2+($C374-AH$271)^2+($D374-AH$272)^2)</f>
        <v>1.01354486466453</v>
      </c>
      <c r="AI374" s="17" t="n">
        <f aca="false">SQRT(($B374-AI$270)^2+($C374-AI$271)^2+($D374-AI$272)^2)</f>
        <v>4.77604509127697</v>
      </c>
      <c r="AJ374" s="63" t="n">
        <f aca="false">MATCH(MIN(AE374:AI374),AE374:AI374,0)</f>
        <v>2</v>
      </c>
      <c r="AL374" s="17" t="n">
        <f aca="false">SQRT(($B374-AL$270)^2+($C374-AL$271)^2+($D374-AL$272)^2)</f>
        <v>7.0278438898168</v>
      </c>
      <c r="AM374" s="17" t="n">
        <f aca="false">SQRT(($B374-AM$270)^2+($C374-AM$271)^2+($D374-AM$272)^2)</f>
        <v>0.996331888277517</v>
      </c>
      <c r="AN374" s="17" t="n">
        <f aca="false">SQRT(($B374-AN$270)^2+($C374-AN$271)^2+($D374-AN$272)^2)</f>
        <v>2.16329517505919</v>
      </c>
      <c r="AO374" s="17" t="n">
        <f aca="false">SQRT(($B374-AO$270)^2+($C374-AO$271)^2+($D374-AO$272)^2)</f>
        <v>0.942706240993357</v>
      </c>
      <c r="AP374" s="17" t="n">
        <f aca="false">SQRT(($B374-AP$270)^2+($C374-AP$271)^2+($D374-AP$272)^2)</f>
        <v>4.50269072965206</v>
      </c>
      <c r="AQ374" s="63" t="n">
        <f aca="false">MATCH(MIN(AL374:AP374),AL374:AP374,0)</f>
        <v>4</v>
      </c>
      <c r="AS374" s="17" t="n">
        <f aca="false">SQRT(($B374-AS$270)^2+($C374-AS$271)^2+($D374-AS$272)^2)</f>
        <v>7.0278438898168</v>
      </c>
      <c r="AT374" s="17" t="n">
        <f aca="false">SQRT(($B374-AT$270)^2+($C374-AT$271)^2+($D374-AT$272)^2)</f>
        <v>1.09437503806587</v>
      </c>
      <c r="AU374" s="17" t="n">
        <f aca="false">SQRT(($B374-AU$270)^2+($C374-AU$271)^2+($D374-AU$272)^2)</f>
        <v>2.19017799402546</v>
      </c>
      <c r="AV374" s="17" t="n">
        <f aca="false">SQRT(($B374-AV$270)^2+($C374-AV$271)^2+($D374-AV$272)^2)</f>
        <v>0.891676913094852</v>
      </c>
      <c r="AW374" s="17" t="n">
        <f aca="false">SQRT(($B374-AW$270)^2+($C374-AW$271)^2+($D374-AW$272)^2)</f>
        <v>4.50269072965206</v>
      </c>
      <c r="AX374" s="63" t="n">
        <f aca="false">MATCH(MIN(AS374:AW374),AS374:AW374,0)</f>
        <v>4</v>
      </c>
      <c r="AZ374" s="17" t="n">
        <f aca="false">SQRT(($B374-AZ$270)^2+($C374-AZ$271)^2+($D374-AZ$272)^2)</f>
        <v>7.0278438898168</v>
      </c>
      <c r="BA374" s="17" t="n">
        <f aca="false">SQRT(($B374-BA$270)^2+($C374-BA$271)^2+($D374-BA$272)^2)</f>
        <v>1.09437503806587</v>
      </c>
      <c r="BB374" s="17" t="n">
        <f aca="false">SQRT(($B374-BB$270)^2+($C374-BB$271)^2+($D374-BB$272)^2)</f>
        <v>2.19017799402546</v>
      </c>
      <c r="BC374" s="17" t="n">
        <f aca="false">SQRT(($B374-BC$270)^2+($C374-BC$271)^2+($D374-BC$272)^2)</f>
        <v>0.891676913094852</v>
      </c>
      <c r="BD374" s="17" t="n">
        <f aca="false">SQRT(($B374-BD$270)^2+($C374-BD$271)^2+($D374-BD$272)^2)</f>
        <v>4.50269072965206</v>
      </c>
      <c r="BE374" s="63" t="n">
        <f aca="false">MATCH(MIN(AZ374:BD374),AZ374:BD374,0)</f>
        <v>4</v>
      </c>
      <c r="BG374" s="17" t="n">
        <f aca="false">SQRT(($B374-BG$270)^2+($C374-BG$271)^2+($D374-BG$272)^2)</f>
        <v>7.0278438898168</v>
      </c>
      <c r="BH374" s="17" t="n">
        <f aca="false">SQRT(($B374-BH$270)^2+($C374-BH$271)^2+($D374-BH$272)^2)</f>
        <v>1.09437503806587</v>
      </c>
      <c r="BI374" s="17" t="n">
        <f aca="false">SQRT(($B374-BI$270)^2+($C374-BI$271)^2+($D374-BI$272)^2)</f>
        <v>2.19017799402546</v>
      </c>
      <c r="BJ374" s="17" t="n">
        <f aca="false">SQRT(($B374-BJ$270)^2+($C374-BJ$271)^2+($D374-BJ$272)^2)</f>
        <v>0.891676913094852</v>
      </c>
      <c r="BK374" s="17" t="n">
        <f aca="false">SQRT(($B374-BK$270)^2+($C374-BK$271)^2+($D374-BK$272)^2)</f>
        <v>4.50269072965206</v>
      </c>
      <c r="BL374" s="63" t="n">
        <f aca="false">MATCH(MIN(BG374:BK374),BG374:BK374,0)</f>
        <v>4</v>
      </c>
      <c r="BN374" s="17" t="n">
        <f aca="false">SQRT(($B374-BN$270)^2+($C374-BN$271)^2+($D374-BN$272)^2)</f>
        <v>7.0278438898168</v>
      </c>
      <c r="BO374" s="17" t="n">
        <f aca="false">SQRT(($B374-BO$270)^2+($C374-BO$271)^2+($D374-BO$272)^2)</f>
        <v>1.09437503806587</v>
      </c>
      <c r="BP374" s="17" t="n">
        <f aca="false">SQRT(($B374-BP$270)^2+($C374-BP$271)^2+($D374-BP$272)^2)</f>
        <v>2.19017799402546</v>
      </c>
      <c r="BQ374" s="17" t="n">
        <f aca="false">SQRT(($B374-BQ$270)^2+($C374-BQ$271)^2+($D374-BQ$272)^2)</f>
        <v>0.891676913094852</v>
      </c>
      <c r="BR374" s="17" t="n">
        <f aca="false">SQRT(($B374-BR$270)^2+($C374-BR$271)^2+($D374-BR$272)^2)</f>
        <v>4.50269072965206</v>
      </c>
      <c r="BS374" s="63" t="n">
        <f aca="false">MATCH(MIN(BN374:BR374),BN374:BR374,0)</f>
        <v>4</v>
      </c>
      <c r="BU374" s="17" t="n">
        <f aca="false">SQRT(($B374-BU$270)^2+($C374-BU$271)^2+($D374-BU$272)^2)</f>
        <v>7.0278438898168</v>
      </c>
      <c r="BV374" s="17" t="n">
        <f aca="false">SQRT(($B374-BV$270)^2+($C374-BV$271)^2+($D374-BV$272)^2)</f>
        <v>1.09437503806587</v>
      </c>
      <c r="BW374" s="17" t="n">
        <f aca="false">SQRT(($B374-BW$270)^2+($C374-BW$271)^2+($D374-BW$272)^2)</f>
        <v>2.19017799402546</v>
      </c>
      <c r="BX374" s="17" t="n">
        <f aca="false">SQRT(($B374-BX$270)^2+($C374-BX$271)^2+($D374-BX$272)^2)</f>
        <v>0.891676913094852</v>
      </c>
      <c r="BY374" s="17" t="n">
        <f aca="false">SQRT(($B374-BY$270)^2+($C374-BY$271)^2+($D374-BY$272)^2)</f>
        <v>4.50269072965206</v>
      </c>
      <c r="BZ374" s="63" t="n">
        <f aca="false">MATCH(MIN(BU374:BY374),BU374:BY374,0)</f>
        <v>4</v>
      </c>
      <c r="CB374" s="17" t="n">
        <f aca="false">SQRT(($B374-CB$270)^2+($C374-CB$271)^2+($D374-CB$272)^2)</f>
        <v>7.0278438898168</v>
      </c>
      <c r="CC374" s="17" t="n">
        <f aca="false">SQRT(($B374-CC$270)^2+($C374-CC$271)^2+($D374-CC$272)^2)</f>
        <v>1.09437503806587</v>
      </c>
      <c r="CD374" s="17" t="n">
        <f aca="false">SQRT(($B374-CD$270)^2+($C374-CD$271)^2+($D374-CD$272)^2)</f>
        <v>2.19017799402546</v>
      </c>
      <c r="CE374" s="17" t="n">
        <f aca="false">SQRT(($B374-CE$270)^2+($C374-CE$271)^2+($D374-CE$272)^2)</f>
        <v>0.891676913094852</v>
      </c>
      <c r="CF374" s="17" t="n">
        <f aca="false">SQRT(($B374-CF$270)^2+($C374-CF$271)^2+($D374-CF$272)^2)</f>
        <v>4.50269072965206</v>
      </c>
      <c r="CG374" s="63" t="n">
        <f aca="false">MATCH(MIN(CB374:CF374),CB374:CF374,0)</f>
        <v>4</v>
      </c>
      <c r="CI374" s="17" t="n">
        <f aca="false">SQRT(($B374-CI$270)^2+($C374-CI$271)^2+($D374-CI$272)^2)</f>
        <v>7.0278438898168</v>
      </c>
      <c r="CJ374" s="17" t="n">
        <f aca="false">SQRT(($B374-CJ$270)^2+($C374-CJ$271)^2+($D374-CJ$272)^2)</f>
        <v>1.09437503806587</v>
      </c>
      <c r="CK374" s="17" t="n">
        <f aca="false">SQRT(($B374-CK$270)^2+($C374-CK$271)^2+($D374-CK$272)^2)</f>
        <v>2.19017799402546</v>
      </c>
      <c r="CL374" s="17" t="n">
        <f aca="false">SQRT(($B374-CL$270)^2+($C374-CL$271)^2+($D374-CL$272)^2)</f>
        <v>0.891676913094852</v>
      </c>
      <c r="CM374" s="17" t="n">
        <f aca="false">SQRT(($B374-CM$270)^2+($C374-CM$271)^2+($D374-CM$272)^2)</f>
        <v>4.50269072965206</v>
      </c>
      <c r="CN374" s="63" t="n">
        <f aca="false">MATCH(MIN(CI374:CM374),CI374:CM374,0)</f>
        <v>4</v>
      </c>
      <c r="CP374" s="17" t="n">
        <f aca="false">SQRT(($B374-CP$270)^2+($C374-CP$271)^2+($D374-CP$272)^2)</f>
        <v>7.0278438898168</v>
      </c>
      <c r="CQ374" s="17" t="n">
        <f aca="false">SQRT(($B374-CQ$270)^2+($C374-CQ$271)^2+($D374-CQ$272)^2)</f>
        <v>1.09437503806587</v>
      </c>
      <c r="CR374" s="17" t="n">
        <f aca="false">SQRT(($B374-CR$270)^2+($C374-CR$271)^2+($D374-CR$272)^2)</f>
        <v>2.19017799402546</v>
      </c>
      <c r="CS374" s="17" t="n">
        <f aca="false">SQRT(($B374-CS$270)^2+($C374-CS$271)^2+($D374-CS$272)^2)</f>
        <v>0.891676913094852</v>
      </c>
      <c r="CT374" s="17" t="n">
        <f aca="false">SQRT(($B374-CT$270)^2+($C374-CT$271)^2+($D374-CT$272)^2)</f>
        <v>4.50269072965206</v>
      </c>
      <c r="CU374" s="63" t="n">
        <f aca="false">MATCH(MIN(CP374:CT374),CP374:CT374,0)</f>
        <v>4</v>
      </c>
      <c r="CW374" s="17" t="n">
        <f aca="false">SQRT(($B374-CW$270)^2+($C374-CW$271)^2+($D374-CW$272)^2)</f>
        <v>7.0278438898168</v>
      </c>
      <c r="CX374" s="17" t="n">
        <f aca="false">SQRT(($B374-CX$270)^2+($C374-CX$271)^2+($D374-CX$272)^2)</f>
        <v>1.09437503806587</v>
      </c>
      <c r="CY374" s="17" t="n">
        <f aca="false">SQRT(($B374-CY$270)^2+($C374-CY$271)^2+($D374-CY$272)^2)</f>
        <v>2.19017799402546</v>
      </c>
      <c r="CZ374" s="17" t="n">
        <f aca="false">SQRT(($B374-CZ$270)^2+($C374-CZ$271)^2+($D374-CZ$272)^2)</f>
        <v>0.891676913094852</v>
      </c>
      <c r="DA374" s="17" t="n">
        <f aca="false">SQRT(($B374-DA$270)^2+($C374-DA$271)^2+($D374-DA$272)^2)</f>
        <v>4.50269072965206</v>
      </c>
      <c r="DB374" s="63" t="n">
        <f aca="false">MATCH(MIN(CW374:DA374),CW374:DA374,0)</f>
        <v>4</v>
      </c>
    </row>
    <row r="375" customFormat="false" ht="15" hidden="false" customHeight="false" outlineLevel="0" collapsed="false">
      <c r="A375" s="36" t="str">
        <f aca="false">KMeans_Data!A103</f>
        <v>Sahiwal</v>
      </c>
      <c r="B375" s="17" t="n">
        <f aca="false">KMeans_Data!H103</f>
        <v>-0.936148467409663</v>
      </c>
      <c r="C375" s="17" t="n">
        <f aca="false">KMeans_Data!I103</f>
        <v>-0.672650545388274</v>
      </c>
      <c r="D375" s="17" t="n">
        <f aca="false">KMeans_Data!J103</f>
        <v>-1.14564411633355</v>
      </c>
      <c r="E375" s="63" t="n">
        <f aca="false">DB375</f>
        <v>2</v>
      </c>
      <c r="F375" s="38" t="n">
        <f aca="false">($B375-INDEX($L$270:$P$270,E375))^2+($C375-INDEX($L$271:$P$271,E375))^2+($D375-INDEX($L$272:$P$272,E375))^2</f>
        <v>0.122437181551943</v>
      </c>
      <c r="G375" s="17" t="n">
        <f aca="false">IF(COUNTIF(Distance_Matrix!$E$11:$DQ$11,$E375)&lt;=1,0,SUMIF(Distance_Matrix!$E$11:$DQ$11,$E375,Distance_Matrix!$E$112:$DQ$112)/(COUNTIF(Distance_Matrix!$E$11:$DQ$11,$E375)-1))</f>
        <v>0.495669989488933</v>
      </c>
      <c r="H375" s="17" t="n">
        <f aca="false">MIN(IF(1=$E375,1E+099,IF(COUNTIF(Distance_Matrix!$E$11:$DQ$11,1)=0,1E+099,SUMIF(Distance_Matrix!$E$11:$DQ$11,1,Distance_Matrix!$E$112:$DQ$112)/COUNTIF(Distance_Matrix!$E$11:$DQ$11,1))),IF(2=$E375,1E+099,IF(COUNTIF(Distance_Matrix!$E$11:$DQ$11,2)=0,1E+099,SUMIF(Distance_Matrix!$E$11:$DQ$11,2,Distance_Matrix!$E$112:$DQ$112)/COUNTIF(Distance_Matrix!$E$11:$DQ$11,2))),IF(3=$E375,1E+099,IF(COUNTIF(Distance_Matrix!$E$11:$DQ$11,3)=0,1E+099,SUMIF(Distance_Matrix!$E$11:$DQ$11,3,Distance_Matrix!$E$112:$DQ$112)/COUNTIF(Distance_Matrix!$E$11:$DQ$11,3))),IF(4=$E375,1E+099,IF(COUNTIF(Distance_Matrix!$E$11:$DQ$11,4)=0,1E+099,SUMIF(Distance_Matrix!$E$11:$DQ$11,4,Distance_Matrix!$E$112:$DQ$112)/COUNTIF(Distance_Matrix!$E$11:$DQ$11,4))),IF(5=$E375,1E+099,IF(COUNTIF(Distance_Matrix!$E$11:$DQ$11,5)=0,1E+099,SUMIF(Distance_Matrix!$E$11:$DQ$11,5,Distance_Matrix!$E$112:$DQ$112)/COUNTIF(Distance_Matrix!$E$11:$DQ$11,5))))</f>
        <v>1.29472066497077</v>
      </c>
      <c r="I375" s="17" t="n">
        <f aca="false">IF(COUNTIF(Distance_Matrix!$E$11:$DQ$11,$E375)&lt;=1,0,(H375-G375)/MAX(G375,H375))</f>
        <v>0.617160671873478</v>
      </c>
      <c r="X375" s="17" t="n">
        <f aca="false">SQRT(($B375-X$270)^2+($C375-X$271)^2+($D375-X$272)^2)</f>
        <v>7.69881475468762</v>
      </c>
      <c r="Y375" s="17" t="n">
        <f aca="false">SQRT(($B375-Y$270)^2+($C375-Y$271)^2+($D375-Y$272)^2)</f>
        <v>1.14358951439366</v>
      </c>
      <c r="Z375" s="17" t="n">
        <f aca="false">SQRT(($B375-Z$270)^2+($C375-Z$271)^2+($D375-Z$272)^2)</f>
        <v>3.44146195541105</v>
      </c>
      <c r="AA375" s="17" t="n">
        <f aca="false">SQRT(($B375-AA$270)^2+($C375-AA$271)^2+($D375-AA$272)^2)</f>
        <v>1.66687899013977</v>
      </c>
      <c r="AB375" s="17" t="n">
        <f aca="false">SQRT(($B375-AB$270)^2+($C375-AB$271)^2+($D375-AB$272)^2)</f>
        <v>5.6632731880532</v>
      </c>
      <c r="AC375" s="63" t="n">
        <f aca="false">MATCH(MIN(X375:AB375),X375:AB375,0)</f>
        <v>2</v>
      </c>
      <c r="AE375" s="17" t="n">
        <f aca="false">SQRT(($B375-AE$270)^2+($C375-AE$271)^2+($D375-AE$272)^2)</f>
        <v>7.56932502628819</v>
      </c>
      <c r="AF375" s="17" t="n">
        <f aca="false">SQRT(($B375-AF$270)^2+($C375-AF$271)^2+($D375-AF$272)^2)</f>
        <v>0.370907845490981</v>
      </c>
      <c r="AG375" s="17" t="n">
        <f aca="false">SQRT(($B375-AG$270)^2+($C375-AG$271)^2+($D375-AG$272)^2)</f>
        <v>2.74673402401432</v>
      </c>
      <c r="AH375" s="17" t="n">
        <f aca="false">SQRT(($B375-AH$270)^2+($C375-AH$271)^2+($D375-AH$272)^2)</f>
        <v>1.09378862343544</v>
      </c>
      <c r="AI375" s="17" t="n">
        <f aca="false">SQRT(($B375-AI$270)^2+($C375-AI$271)^2+($D375-AI$272)^2)</f>
        <v>5.30052496138845</v>
      </c>
      <c r="AJ375" s="63" t="n">
        <f aca="false">MATCH(MIN(AE375:AI375),AE375:AI375,0)</f>
        <v>2</v>
      </c>
      <c r="AL375" s="17" t="n">
        <f aca="false">SQRT(($B375-AL$270)^2+($C375-AL$271)^2+($D375-AL$272)^2)</f>
        <v>7.56932502628819</v>
      </c>
      <c r="AM375" s="17" t="n">
        <f aca="false">SQRT(($B375-AM$270)^2+($C375-AM$271)^2+($D375-AM$272)^2)</f>
        <v>0.337128785313072</v>
      </c>
      <c r="AN375" s="17" t="n">
        <f aca="false">SQRT(($B375-AN$270)^2+($C375-AN$271)^2+($D375-AN$272)^2)</f>
        <v>2.80489731304157</v>
      </c>
      <c r="AO375" s="17" t="n">
        <f aca="false">SQRT(($B375-AO$270)^2+($C375-AO$271)^2+($D375-AO$272)^2)</f>
        <v>1.14730122642297</v>
      </c>
      <c r="AP375" s="17" t="n">
        <f aca="false">SQRT(($B375-AP$270)^2+($C375-AP$271)^2+($D375-AP$272)^2)</f>
        <v>5.02822918788596</v>
      </c>
      <c r="AQ375" s="63" t="n">
        <f aca="false">MATCH(MIN(AL375:AP375),AL375:AP375,0)</f>
        <v>2</v>
      </c>
      <c r="AS375" s="17" t="n">
        <f aca="false">SQRT(($B375-AS$270)^2+($C375-AS$271)^2+($D375-AS$272)^2)</f>
        <v>7.56932502628819</v>
      </c>
      <c r="AT375" s="17" t="n">
        <f aca="false">SQRT(($B375-AT$270)^2+($C375-AT$271)^2+($D375-AT$272)^2)</f>
        <v>0.349910247852135</v>
      </c>
      <c r="AU375" s="17" t="n">
        <f aca="false">SQRT(($B375-AU$270)^2+($C375-AU$271)^2+($D375-AU$272)^2)</f>
        <v>2.83200160966901</v>
      </c>
      <c r="AV375" s="17" t="n">
        <f aca="false">SQRT(($B375-AV$270)^2+($C375-AV$271)^2+($D375-AV$272)^2)</f>
        <v>1.12820968344206</v>
      </c>
      <c r="AW375" s="17" t="n">
        <f aca="false">SQRT(($B375-AW$270)^2+($C375-AW$271)^2+($D375-AW$272)^2)</f>
        <v>5.02822918788596</v>
      </c>
      <c r="AX375" s="63" t="n">
        <f aca="false">MATCH(MIN(AS375:AW375),AS375:AW375,0)</f>
        <v>2</v>
      </c>
      <c r="AZ375" s="17" t="n">
        <f aca="false">SQRT(($B375-AZ$270)^2+($C375-AZ$271)^2+($D375-AZ$272)^2)</f>
        <v>7.56932502628819</v>
      </c>
      <c r="BA375" s="17" t="n">
        <f aca="false">SQRT(($B375-BA$270)^2+($C375-BA$271)^2+($D375-BA$272)^2)</f>
        <v>0.349910247852135</v>
      </c>
      <c r="BB375" s="17" t="n">
        <f aca="false">SQRT(($B375-BB$270)^2+($C375-BB$271)^2+($D375-BB$272)^2)</f>
        <v>2.83200160966901</v>
      </c>
      <c r="BC375" s="17" t="n">
        <f aca="false">SQRT(($B375-BC$270)^2+($C375-BC$271)^2+($D375-BC$272)^2)</f>
        <v>1.12820968344206</v>
      </c>
      <c r="BD375" s="17" t="n">
        <f aca="false">SQRT(($B375-BD$270)^2+($C375-BD$271)^2+($D375-BD$272)^2)</f>
        <v>5.02822918788596</v>
      </c>
      <c r="BE375" s="63" t="n">
        <f aca="false">MATCH(MIN(AZ375:BD375),AZ375:BD375,0)</f>
        <v>2</v>
      </c>
      <c r="BG375" s="17" t="n">
        <f aca="false">SQRT(($B375-BG$270)^2+($C375-BG$271)^2+($D375-BG$272)^2)</f>
        <v>7.56932502628819</v>
      </c>
      <c r="BH375" s="17" t="n">
        <f aca="false">SQRT(($B375-BH$270)^2+($C375-BH$271)^2+($D375-BH$272)^2)</f>
        <v>0.349910247852135</v>
      </c>
      <c r="BI375" s="17" t="n">
        <f aca="false">SQRT(($B375-BI$270)^2+($C375-BI$271)^2+($D375-BI$272)^2)</f>
        <v>2.83200160966901</v>
      </c>
      <c r="BJ375" s="17" t="n">
        <f aca="false">SQRT(($B375-BJ$270)^2+($C375-BJ$271)^2+($D375-BJ$272)^2)</f>
        <v>1.12820968344206</v>
      </c>
      <c r="BK375" s="17" t="n">
        <f aca="false">SQRT(($B375-BK$270)^2+($C375-BK$271)^2+($D375-BK$272)^2)</f>
        <v>5.02822918788596</v>
      </c>
      <c r="BL375" s="63" t="n">
        <f aca="false">MATCH(MIN(BG375:BK375),BG375:BK375,0)</f>
        <v>2</v>
      </c>
      <c r="BN375" s="17" t="n">
        <f aca="false">SQRT(($B375-BN$270)^2+($C375-BN$271)^2+($D375-BN$272)^2)</f>
        <v>7.56932502628819</v>
      </c>
      <c r="BO375" s="17" t="n">
        <f aca="false">SQRT(($B375-BO$270)^2+($C375-BO$271)^2+($D375-BO$272)^2)</f>
        <v>0.349910247852135</v>
      </c>
      <c r="BP375" s="17" t="n">
        <f aca="false">SQRT(($B375-BP$270)^2+($C375-BP$271)^2+($D375-BP$272)^2)</f>
        <v>2.83200160966901</v>
      </c>
      <c r="BQ375" s="17" t="n">
        <f aca="false">SQRT(($B375-BQ$270)^2+($C375-BQ$271)^2+($D375-BQ$272)^2)</f>
        <v>1.12820968344206</v>
      </c>
      <c r="BR375" s="17" t="n">
        <f aca="false">SQRT(($B375-BR$270)^2+($C375-BR$271)^2+($D375-BR$272)^2)</f>
        <v>5.02822918788596</v>
      </c>
      <c r="BS375" s="63" t="n">
        <f aca="false">MATCH(MIN(BN375:BR375),BN375:BR375,0)</f>
        <v>2</v>
      </c>
      <c r="BU375" s="17" t="n">
        <f aca="false">SQRT(($B375-BU$270)^2+($C375-BU$271)^2+($D375-BU$272)^2)</f>
        <v>7.56932502628819</v>
      </c>
      <c r="BV375" s="17" t="n">
        <f aca="false">SQRT(($B375-BV$270)^2+($C375-BV$271)^2+($D375-BV$272)^2)</f>
        <v>0.349910247852135</v>
      </c>
      <c r="BW375" s="17" t="n">
        <f aca="false">SQRT(($B375-BW$270)^2+($C375-BW$271)^2+($D375-BW$272)^2)</f>
        <v>2.83200160966901</v>
      </c>
      <c r="BX375" s="17" t="n">
        <f aca="false">SQRT(($B375-BX$270)^2+($C375-BX$271)^2+($D375-BX$272)^2)</f>
        <v>1.12820968344206</v>
      </c>
      <c r="BY375" s="17" t="n">
        <f aca="false">SQRT(($B375-BY$270)^2+($C375-BY$271)^2+($D375-BY$272)^2)</f>
        <v>5.02822918788596</v>
      </c>
      <c r="BZ375" s="63" t="n">
        <f aca="false">MATCH(MIN(BU375:BY375),BU375:BY375,0)</f>
        <v>2</v>
      </c>
      <c r="CB375" s="17" t="n">
        <f aca="false">SQRT(($B375-CB$270)^2+($C375-CB$271)^2+($D375-CB$272)^2)</f>
        <v>7.56932502628819</v>
      </c>
      <c r="CC375" s="17" t="n">
        <f aca="false">SQRT(($B375-CC$270)^2+($C375-CC$271)^2+($D375-CC$272)^2)</f>
        <v>0.349910247852135</v>
      </c>
      <c r="CD375" s="17" t="n">
        <f aca="false">SQRT(($B375-CD$270)^2+($C375-CD$271)^2+($D375-CD$272)^2)</f>
        <v>2.83200160966901</v>
      </c>
      <c r="CE375" s="17" t="n">
        <f aca="false">SQRT(($B375-CE$270)^2+($C375-CE$271)^2+($D375-CE$272)^2)</f>
        <v>1.12820968344206</v>
      </c>
      <c r="CF375" s="17" t="n">
        <f aca="false">SQRT(($B375-CF$270)^2+($C375-CF$271)^2+($D375-CF$272)^2)</f>
        <v>5.02822918788596</v>
      </c>
      <c r="CG375" s="63" t="n">
        <f aca="false">MATCH(MIN(CB375:CF375),CB375:CF375,0)</f>
        <v>2</v>
      </c>
      <c r="CI375" s="17" t="n">
        <f aca="false">SQRT(($B375-CI$270)^2+($C375-CI$271)^2+($D375-CI$272)^2)</f>
        <v>7.56932502628819</v>
      </c>
      <c r="CJ375" s="17" t="n">
        <f aca="false">SQRT(($B375-CJ$270)^2+($C375-CJ$271)^2+($D375-CJ$272)^2)</f>
        <v>0.349910247852135</v>
      </c>
      <c r="CK375" s="17" t="n">
        <f aca="false">SQRT(($B375-CK$270)^2+($C375-CK$271)^2+($D375-CK$272)^2)</f>
        <v>2.83200160966901</v>
      </c>
      <c r="CL375" s="17" t="n">
        <f aca="false">SQRT(($B375-CL$270)^2+($C375-CL$271)^2+($D375-CL$272)^2)</f>
        <v>1.12820968344206</v>
      </c>
      <c r="CM375" s="17" t="n">
        <f aca="false">SQRT(($B375-CM$270)^2+($C375-CM$271)^2+($D375-CM$272)^2)</f>
        <v>5.02822918788596</v>
      </c>
      <c r="CN375" s="63" t="n">
        <f aca="false">MATCH(MIN(CI375:CM375),CI375:CM375,0)</f>
        <v>2</v>
      </c>
      <c r="CP375" s="17" t="n">
        <f aca="false">SQRT(($B375-CP$270)^2+($C375-CP$271)^2+($D375-CP$272)^2)</f>
        <v>7.56932502628819</v>
      </c>
      <c r="CQ375" s="17" t="n">
        <f aca="false">SQRT(($B375-CQ$270)^2+($C375-CQ$271)^2+($D375-CQ$272)^2)</f>
        <v>0.349910247852135</v>
      </c>
      <c r="CR375" s="17" t="n">
        <f aca="false">SQRT(($B375-CR$270)^2+($C375-CR$271)^2+($D375-CR$272)^2)</f>
        <v>2.83200160966901</v>
      </c>
      <c r="CS375" s="17" t="n">
        <f aca="false">SQRT(($B375-CS$270)^2+($C375-CS$271)^2+($D375-CS$272)^2)</f>
        <v>1.12820968344206</v>
      </c>
      <c r="CT375" s="17" t="n">
        <f aca="false">SQRT(($B375-CT$270)^2+($C375-CT$271)^2+($D375-CT$272)^2)</f>
        <v>5.02822918788596</v>
      </c>
      <c r="CU375" s="63" t="n">
        <f aca="false">MATCH(MIN(CP375:CT375),CP375:CT375,0)</f>
        <v>2</v>
      </c>
      <c r="CW375" s="17" t="n">
        <f aca="false">SQRT(($B375-CW$270)^2+($C375-CW$271)^2+($D375-CW$272)^2)</f>
        <v>7.56932502628819</v>
      </c>
      <c r="CX375" s="17" t="n">
        <f aca="false">SQRT(($B375-CX$270)^2+($C375-CX$271)^2+($D375-CX$272)^2)</f>
        <v>0.349910247852135</v>
      </c>
      <c r="CY375" s="17" t="n">
        <f aca="false">SQRT(($B375-CY$270)^2+($C375-CY$271)^2+($D375-CY$272)^2)</f>
        <v>2.83200160966901</v>
      </c>
      <c r="CZ375" s="17" t="n">
        <f aca="false">SQRT(($B375-CZ$270)^2+($C375-CZ$271)^2+($D375-CZ$272)^2)</f>
        <v>1.12820968344206</v>
      </c>
      <c r="DA375" s="17" t="n">
        <f aca="false">SQRT(($B375-DA$270)^2+($C375-DA$271)^2+($D375-DA$272)^2)</f>
        <v>5.02822918788596</v>
      </c>
      <c r="DB375" s="63" t="n">
        <f aca="false">MATCH(MIN(CW375:DA375),CW375:DA375,0)</f>
        <v>2</v>
      </c>
    </row>
    <row r="376" customFormat="false" ht="15" hidden="false" customHeight="false" outlineLevel="0" collapsed="false">
      <c r="A376" s="36" t="str">
        <f aca="false">KMeans_Data!A104</f>
        <v>Chiniot</v>
      </c>
      <c r="B376" s="17" t="n">
        <f aca="false">KMeans_Data!H104</f>
        <v>-0.936148467409663</v>
      </c>
      <c r="C376" s="17" t="n">
        <f aca="false">KMeans_Data!I104</f>
        <v>-0.672650545388274</v>
      </c>
      <c r="D376" s="17" t="n">
        <f aca="false">KMeans_Data!J104</f>
        <v>-1.14564411633355</v>
      </c>
      <c r="E376" s="63" t="n">
        <f aca="false">DB376</f>
        <v>2</v>
      </c>
      <c r="F376" s="38" t="n">
        <f aca="false">($B376-INDEX($L$270:$P$270,E376))^2+($C376-INDEX($L$271:$P$271,E376))^2+($D376-INDEX($L$272:$P$272,E376))^2</f>
        <v>0.122437181551943</v>
      </c>
      <c r="G376" s="17" t="n">
        <f aca="false">IF(COUNTIF(Distance_Matrix!$E$11:$DQ$11,$E376)&lt;=1,0,SUMIF(Distance_Matrix!$E$11:$DQ$11,$E376,Distance_Matrix!$E$113:$DQ$113)/(COUNTIF(Distance_Matrix!$E$11:$DQ$11,$E376)-1))</f>
        <v>0.495669989488933</v>
      </c>
      <c r="H376" s="17" t="n">
        <f aca="false">MIN(IF(1=$E376,1E+099,IF(COUNTIF(Distance_Matrix!$E$11:$DQ$11,1)=0,1E+099,SUMIF(Distance_Matrix!$E$11:$DQ$11,1,Distance_Matrix!$E$113:$DQ$113)/COUNTIF(Distance_Matrix!$E$11:$DQ$11,1))),IF(2=$E376,1E+099,IF(COUNTIF(Distance_Matrix!$E$11:$DQ$11,2)=0,1E+099,SUMIF(Distance_Matrix!$E$11:$DQ$11,2,Distance_Matrix!$E$113:$DQ$113)/COUNTIF(Distance_Matrix!$E$11:$DQ$11,2))),IF(3=$E376,1E+099,IF(COUNTIF(Distance_Matrix!$E$11:$DQ$11,3)=0,1E+099,SUMIF(Distance_Matrix!$E$11:$DQ$11,3,Distance_Matrix!$E$113:$DQ$113)/COUNTIF(Distance_Matrix!$E$11:$DQ$11,3))),IF(4=$E376,1E+099,IF(COUNTIF(Distance_Matrix!$E$11:$DQ$11,4)=0,1E+099,SUMIF(Distance_Matrix!$E$11:$DQ$11,4,Distance_Matrix!$E$113:$DQ$113)/COUNTIF(Distance_Matrix!$E$11:$DQ$11,4))),IF(5=$E376,1E+099,IF(COUNTIF(Distance_Matrix!$E$11:$DQ$11,5)=0,1E+099,SUMIF(Distance_Matrix!$E$11:$DQ$11,5,Distance_Matrix!$E$113:$DQ$113)/COUNTIF(Distance_Matrix!$E$11:$DQ$11,5))))</f>
        <v>1.29472066497077</v>
      </c>
      <c r="I376" s="17" t="n">
        <f aca="false">IF(COUNTIF(Distance_Matrix!$E$11:$DQ$11,$E376)&lt;=1,0,(H376-G376)/MAX(G376,H376))</f>
        <v>0.617160671873478</v>
      </c>
      <c r="X376" s="17" t="n">
        <f aca="false">SQRT(($B376-X$270)^2+($C376-X$271)^2+($D376-X$272)^2)</f>
        <v>7.69881475468762</v>
      </c>
      <c r="Y376" s="17" t="n">
        <f aca="false">SQRT(($B376-Y$270)^2+($C376-Y$271)^2+($D376-Y$272)^2)</f>
        <v>1.14358951439366</v>
      </c>
      <c r="Z376" s="17" t="n">
        <f aca="false">SQRT(($B376-Z$270)^2+($C376-Z$271)^2+($D376-Z$272)^2)</f>
        <v>3.44146195541105</v>
      </c>
      <c r="AA376" s="17" t="n">
        <f aca="false">SQRT(($B376-AA$270)^2+($C376-AA$271)^2+($D376-AA$272)^2)</f>
        <v>1.66687899013977</v>
      </c>
      <c r="AB376" s="17" t="n">
        <f aca="false">SQRT(($B376-AB$270)^2+($C376-AB$271)^2+($D376-AB$272)^2)</f>
        <v>5.6632731880532</v>
      </c>
      <c r="AC376" s="63" t="n">
        <f aca="false">MATCH(MIN(X376:AB376),X376:AB376,0)</f>
        <v>2</v>
      </c>
      <c r="AE376" s="17" t="n">
        <f aca="false">SQRT(($B376-AE$270)^2+($C376-AE$271)^2+($D376-AE$272)^2)</f>
        <v>7.56932502628819</v>
      </c>
      <c r="AF376" s="17" t="n">
        <f aca="false">SQRT(($B376-AF$270)^2+($C376-AF$271)^2+($D376-AF$272)^2)</f>
        <v>0.370907845490981</v>
      </c>
      <c r="AG376" s="17" t="n">
        <f aca="false">SQRT(($B376-AG$270)^2+($C376-AG$271)^2+($D376-AG$272)^2)</f>
        <v>2.74673402401432</v>
      </c>
      <c r="AH376" s="17" t="n">
        <f aca="false">SQRT(($B376-AH$270)^2+($C376-AH$271)^2+($D376-AH$272)^2)</f>
        <v>1.09378862343544</v>
      </c>
      <c r="AI376" s="17" t="n">
        <f aca="false">SQRT(($B376-AI$270)^2+($C376-AI$271)^2+($D376-AI$272)^2)</f>
        <v>5.30052496138845</v>
      </c>
      <c r="AJ376" s="63" t="n">
        <f aca="false">MATCH(MIN(AE376:AI376),AE376:AI376,0)</f>
        <v>2</v>
      </c>
      <c r="AL376" s="17" t="n">
        <f aca="false">SQRT(($B376-AL$270)^2+($C376-AL$271)^2+($D376-AL$272)^2)</f>
        <v>7.56932502628819</v>
      </c>
      <c r="AM376" s="17" t="n">
        <f aca="false">SQRT(($B376-AM$270)^2+($C376-AM$271)^2+($D376-AM$272)^2)</f>
        <v>0.337128785313072</v>
      </c>
      <c r="AN376" s="17" t="n">
        <f aca="false">SQRT(($B376-AN$270)^2+($C376-AN$271)^2+($D376-AN$272)^2)</f>
        <v>2.80489731304157</v>
      </c>
      <c r="AO376" s="17" t="n">
        <f aca="false">SQRT(($B376-AO$270)^2+($C376-AO$271)^2+($D376-AO$272)^2)</f>
        <v>1.14730122642297</v>
      </c>
      <c r="AP376" s="17" t="n">
        <f aca="false">SQRT(($B376-AP$270)^2+($C376-AP$271)^2+($D376-AP$272)^2)</f>
        <v>5.02822918788596</v>
      </c>
      <c r="AQ376" s="63" t="n">
        <f aca="false">MATCH(MIN(AL376:AP376),AL376:AP376,0)</f>
        <v>2</v>
      </c>
      <c r="AS376" s="17" t="n">
        <f aca="false">SQRT(($B376-AS$270)^2+($C376-AS$271)^2+($D376-AS$272)^2)</f>
        <v>7.56932502628819</v>
      </c>
      <c r="AT376" s="17" t="n">
        <f aca="false">SQRT(($B376-AT$270)^2+($C376-AT$271)^2+($D376-AT$272)^2)</f>
        <v>0.349910247852135</v>
      </c>
      <c r="AU376" s="17" t="n">
        <f aca="false">SQRT(($B376-AU$270)^2+($C376-AU$271)^2+($D376-AU$272)^2)</f>
        <v>2.83200160966901</v>
      </c>
      <c r="AV376" s="17" t="n">
        <f aca="false">SQRT(($B376-AV$270)^2+($C376-AV$271)^2+($D376-AV$272)^2)</f>
        <v>1.12820968344206</v>
      </c>
      <c r="AW376" s="17" t="n">
        <f aca="false">SQRT(($B376-AW$270)^2+($C376-AW$271)^2+($D376-AW$272)^2)</f>
        <v>5.02822918788596</v>
      </c>
      <c r="AX376" s="63" t="n">
        <f aca="false">MATCH(MIN(AS376:AW376),AS376:AW376,0)</f>
        <v>2</v>
      </c>
      <c r="AZ376" s="17" t="n">
        <f aca="false">SQRT(($B376-AZ$270)^2+($C376-AZ$271)^2+($D376-AZ$272)^2)</f>
        <v>7.56932502628819</v>
      </c>
      <c r="BA376" s="17" t="n">
        <f aca="false">SQRT(($B376-BA$270)^2+($C376-BA$271)^2+($D376-BA$272)^2)</f>
        <v>0.349910247852135</v>
      </c>
      <c r="BB376" s="17" t="n">
        <f aca="false">SQRT(($B376-BB$270)^2+($C376-BB$271)^2+($D376-BB$272)^2)</f>
        <v>2.83200160966901</v>
      </c>
      <c r="BC376" s="17" t="n">
        <f aca="false">SQRT(($B376-BC$270)^2+($C376-BC$271)^2+($D376-BC$272)^2)</f>
        <v>1.12820968344206</v>
      </c>
      <c r="BD376" s="17" t="n">
        <f aca="false">SQRT(($B376-BD$270)^2+($C376-BD$271)^2+($D376-BD$272)^2)</f>
        <v>5.02822918788596</v>
      </c>
      <c r="BE376" s="63" t="n">
        <f aca="false">MATCH(MIN(AZ376:BD376),AZ376:BD376,0)</f>
        <v>2</v>
      </c>
      <c r="BG376" s="17" t="n">
        <f aca="false">SQRT(($B376-BG$270)^2+($C376-BG$271)^2+($D376-BG$272)^2)</f>
        <v>7.56932502628819</v>
      </c>
      <c r="BH376" s="17" t="n">
        <f aca="false">SQRT(($B376-BH$270)^2+($C376-BH$271)^2+($D376-BH$272)^2)</f>
        <v>0.349910247852135</v>
      </c>
      <c r="BI376" s="17" t="n">
        <f aca="false">SQRT(($B376-BI$270)^2+($C376-BI$271)^2+($D376-BI$272)^2)</f>
        <v>2.83200160966901</v>
      </c>
      <c r="BJ376" s="17" t="n">
        <f aca="false">SQRT(($B376-BJ$270)^2+($C376-BJ$271)^2+($D376-BJ$272)^2)</f>
        <v>1.12820968344206</v>
      </c>
      <c r="BK376" s="17" t="n">
        <f aca="false">SQRT(($B376-BK$270)^2+($C376-BK$271)^2+($D376-BK$272)^2)</f>
        <v>5.02822918788596</v>
      </c>
      <c r="BL376" s="63" t="n">
        <f aca="false">MATCH(MIN(BG376:BK376),BG376:BK376,0)</f>
        <v>2</v>
      </c>
      <c r="BN376" s="17" t="n">
        <f aca="false">SQRT(($B376-BN$270)^2+($C376-BN$271)^2+($D376-BN$272)^2)</f>
        <v>7.56932502628819</v>
      </c>
      <c r="BO376" s="17" t="n">
        <f aca="false">SQRT(($B376-BO$270)^2+($C376-BO$271)^2+($D376-BO$272)^2)</f>
        <v>0.349910247852135</v>
      </c>
      <c r="BP376" s="17" t="n">
        <f aca="false">SQRT(($B376-BP$270)^2+($C376-BP$271)^2+($D376-BP$272)^2)</f>
        <v>2.83200160966901</v>
      </c>
      <c r="BQ376" s="17" t="n">
        <f aca="false">SQRT(($B376-BQ$270)^2+($C376-BQ$271)^2+($D376-BQ$272)^2)</f>
        <v>1.12820968344206</v>
      </c>
      <c r="BR376" s="17" t="n">
        <f aca="false">SQRT(($B376-BR$270)^2+($C376-BR$271)^2+($D376-BR$272)^2)</f>
        <v>5.02822918788596</v>
      </c>
      <c r="BS376" s="63" t="n">
        <f aca="false">MATCH(MIN(BN376:BR376),BN376:BR376,0)</f>
        <v>2</v>
      </c>
      <c r="BU376" s="17" t="n">
        <f aca="false">SQRT(($B376-BU$270)^2+($C376-BU$271)^2+($D376-BU$272)^2)</f>
        <v>7.56932502628819</v>
      </c>
      <c r="BV376" s="17" t="n">
        <f aca="false">SQRT(($B376-BV$270)^2+($C376-BV$271)^2+($D376-BV$272)^2)</f>
        <v>0.349910247852135</v>
      </c>
      <c r="BW376" s="17" t="n">
        <f aca="false">SQRT(($B376-BW$270)^2+($C376-BW$271)^2+($D376-BW$272)^2)</f>
        <v>2.83200160966901</v>
      </c>
      <c r="BX376" s="17" t="n">
        <f aca="false">SQRT(($B376-BX$270)^2+($C376-BX$271)^2+($D376-BX$272)^2)</f>
        <v>1.12820968344206</v>
      </c>
      <c r="BY376" s="17" t="n">
        <f aca="false">SQRT(($B376-BY$270)^2+($C376-BY$271)^2+($D376-BY$272)^2)</f>
        <v>5.02822918788596</v>
      </c>
      <c r="BZ376" s="63" t="n">
        <f aca="false">MATCH(MIN(BU376:BY376),BU376:BY376,0)</f>
        <v>2</v>
      </c>
      <c r="CB376" s="17" t="n">
        <f aca="false">SQRT(($B376-CB$270)^2+($C376-CB$271)^2+($D376-CB$272)^2)</f>
        <v>7.56932502628819</v>
      </c>
      <c r="CC376" s="17" t="n">
        <f aca="false">SQRT(($B376-CC$270)^2+($C376-CC$271)^2+($D376-CC$272)^2)</f>
        <v>0.349910247852135</v>
      </c>
      <c r="CD376" s="17" t="n">
        <f aca="false">SQRT(($B376-CD$270)^2+($C376-CD$271)^2+($D376-CD$272)^2)</f>
        <v>2.83200160966901</v>
      </c>
      <c r="CE376" s="17" t="n">
        <f aca="false">SQRT(($B376-CE$270)^2+($C376-CE$271)^2+($D376-CE$272)^2)</f>
        <v>1.12820968344206</v>
      </c>
      <c r="CF376" s="17" t="n">
        <f aca="false">SQRT(($B376-CF$270)^2+($C376-CF$271)^2+($D376-CF$272)^2)</f>
        <v>5.02822918788596</v>
      </c>
      <c r="CG376" s="63" t="n">
        <f aca="false">MATCH(MIN(CB376:CF376),CB376:CF376,0)</f>
        <v>2</v>
      </c>
      <c r="CI376" s="17" t="n">
        <f aca="false">SQRT(($B376-CI$270)^2+($C376-CI$271)^2+($D376-CI$272)^2)</f>
        <v>7.56932502628819</v>
      </c>
      <c r="CJ376" s="17" t="n">
        <f aca="false">SQRT(($B376-CJ$270)^2+($C376-CJ$271)^2+($D376-CJ$272)^2)</f>
        <v>0.349910247852135</v>
      </c>
      <c r="CK376" s="17" t="n">
        <f aca="false">SQRT(($B376-CK$270)^2+($C376-CK$271)^2+($D376-CK$272)^2)</f>
        <v>2.83200160966901</v>
      </c>
      <c r="CL376" s="17" t="n">
        <f aca="false">SQRT(($B376-CL$270)^2+($C376-CL$271)^2+($D376-CL$272)^2)</f>
        <v>1.12820968344206</v>
      </c>
      <c r="CM376" s="17" t="n">
        <f aca="false">SQRT(($B376-CM$270)^2+($C376-CM$271)^2+($D376-CM$272)^2)</f>
        <v>5.02822918788596</v>
      </c>
      <c r="CN376" s="63" t="n">
        <f aca="false">MATCH(MIN(CI376:CM376),CI376:CM376,0)</f>
        <v>2</v>
      </c>
      <c r="CP376" s="17" t="n">
        <f aca="false">SQRT(($B376-CP$270)^2+($C376-CP$271)^2+($D376-CP$272)^2)</f>
        <v>7.56932502628819</v>
      </c>
      <c r="CQ376" s="17" t="n">
        <f aca="false">SQRT(($B376-CQ$270)^2+($C376-CQ$271)^2+($D376-CQ$272)^2)</f>
        <v>0.349910247852135</v>
      </c>
      <c r="CR376" s="17" t="n">
        <f aca="false">SQRT(($B376-CR$270)^2+($C376-CR$271)^2+($D376-CR$272)^2)</f>
        <v>2.83200160966901</v>
      </c>
      <c r="CS376" s="17" t="n">
        <f aca="false">SQRT(($B376-CS$270)^2+($C376-CS$271)^2+($D376-CS$272)^2)</f>
        <v>1.12820968344206</v>
      </c>
      <c r="CT376" s="17" t="n">
        <f aca="false">SQRT(($B376-CT$270)^2+($C376-CT$271)^2+($D376-CT$272)^2)</f>
        <v>5.02822918788596</v>
      </c>
      <c r="CU376" s="63" t="n">
        <f aca="false">MATCH(MIN(CP376:CT376),CP376:CT376,0)</f>
        <v>2</v>
      </c>
      <c r="CW376" s="17" t="n">
        <f aca="false">SQRT(($B376-CW$270)^2+($C376-CW$271)^2+($D376-CW$272)^2)</f>
        <v>7.56932502628819</v>
      </c>
      <c r="CX376" s="17" t="n">
        <f aca="false">SQRT(($B376-CX$270)^2+($C376-CX$271)^2+($D376-CX$272)^2)</f>
        <v>0.349910247852135</v>
      </c>
      <c r="CY376" s="17" t="n">
        <f aca="false">SQRT(($B376-CY$270)^2+($C376-CY$271)^2+($D376-CY$272)^2)</f>
        <v>2.83200160966901</v>
      </c>
      <c r="CZ376" s="17" t="n">
        <f aca="false">SQRT(($B376-CZ$270)^2+($C376-CZ$271)^2+($D376-CZ$272)^2)</f>
        <v>1.12820968344206</v>
      </c>
      <c r="DA376" s="17" t="n">
        <f aca="false">SQRT(($B376-DA$270)^2+($C376-DA$271)^2+($D376-DA$272)^2)</f>
        <v>5.02822918788596</v>
      </c>
      <c r="DB376" s="63" t="n">
        <f aca="false">MATCH(MIN(CW376:DA376),CW376:DA376,0)</f>
        <v>2</v>
      </c>
    </row>
    <row r="377" customFormat="false" ht="15" hidden="false" customHeight="false" outlineLevel="0" collapsed="false">
      <c r="A377" s="36" t="str">
        <f aca="false">KMeans_Data!A105</f>
        <v>South Waziristan</v>
      </c>
      <c r="B377" s="17" t="n">
        <f aca="false">KMeans_Data!H105</f>
        <v>-0.936148467409663</v>
      </c>
      <c r="C377" s="17" t="n">
        <f aca="false">KMeans_Data!I105</f>
        <v>-0.672650545388274</v>
      </c>
      <c r="D377" s="17" t="n">
        <f aca="false">KMeans_Data!J105</f>
        <v>-0.503247915463979</v>
      </c>
      <c r="E377" s="63" t="n">
        <f aca="false">DB377</f>
        <v>2</v>
      </c>
      <c r="F377" s="38" t="n">
        <f aca="false">($B377-INDEX($L$270:$P$270,E377))^2+($C377-INDEX($L$271:$P$271,E377))^2+($D377-INDEX($L$272:$P$272,E377))^2</f>
        <v>0.442919558296622</v>
      </c>
      <c r="G377" s="17" t="n">
        <f aca="false">IF(COUNTIF(Distance_Matrix!$E$11:$DQ$11,$E377)&lt;=1,0,SUMIF(Distance_Matrix!$E$11:$DQ$11,$E377,Distance_Matrix!$E$114:$DQ$114)/(COUNTIF(Distance_Matrix!$E$11:$DQ$11,$E377)-1))</f>
        <v>0.789152352158095</v>
      </c>
      <c r="H377" s="17" t="n">
        <f aca="false">MIN(IF(1=$E377,1E+099,IF(COUNTIF(Distance_Matrix!$E$11:$DQ$11,1)=0,1E+099,SUMIF(Distance_Matrix!$E$11:$DQ$11,1,Distance_Matrix!$E$114:$DQ$114)/COUNTIF(Distance_Matrix!$E$11:$DQ$11,1))),IF(2=$E377,1E+099,IF(COUNTIF(Distance_Matrix!$E$11:$DQ$11,2)=0,1E+099,SUMIF(Distance_Matrix!$E$11:$DQ$11,2,Distance_Matrix!$E$114:$DQ$114)/COUNTIF(Distance_Matrix!$E$11:$DQ$11,2))),IF(3=$E377,1E+099,IF(COUNTIF(Distance_Matrix!$E$11:$DQ$11,3)=0,1E+099,SUMIF(Distance_Matrix!$E$11:$DQ$11,3,Distance_Matrix!$E$114:$DQ$114)/COUNTIF(Distance_Matrix!$E$11:$DQ$11,3))),IF(4=$E377,1E+099,IF(COUNTIF(Distance_Matrix!$E$11:$DQ$11,4)=0,1E+099,SUMIF(Distance_Matrix!$E$11:$DQ$11,4,Distance_Matrix!$E$114:$DQ$114)/COUNTIF(Distance_Matrix!$E$11:$DQ$11,4))),IF(5=$E377,1E+099,IF(COUNTIF(Distance_Matrix!$E$11:$DQ$11,5)=0,1E+099,SUMIF(Distance_Matrix!$E$11:$DQ$11,5,Distance_Matrix!$E$114:$DQ$114)/COUNTIF(Distance_Matrix!$E$11:$DQ$11,5))))</f>
        <v>1.04916339469331</v>
      </c>
      <c r="I377" s="17" t="n">
        <f aca="false">IF(COUNTIF(Distance_Matrix!$E$11:$DQ$11,$E377)&lt;=1,0,(H377-G377)/MAX(G377,H377))</f>
        <v>0.247827024704021</v>
      </c>
      <c r="X377" s="17" t="n">
        <f aca="false">SQRT(($B377-X$270)^2+($C377-X$271)^2+($D377-X$272)^2)</f>
        <v>7.35074458018159</v>
      </c>
      <c r="Y377" s="17" t="n">
        <f aca="false">SQRT(($B377-Y$270)^2+($C377-Y$271)^2+($D377-Y$272)^2)</f>
        <v>1.31166682367238</v>
      </c>
      <c r="Z377" s="17" t="n">
        <f aca="false">SQRT(($B377-Z$270)^2+($C377-Z$271)^2+($D377-Z$272)^2)</f>
        <v>2.98249119106413</v>
      </c>
      <c r="AA377" s="17" t="n">
        <f aca="false">SQRT(($B377-AA$270)^2+($C377-AA$271)^2+($D377-AA$272)^2)</f>
        <v>1.78638138331685</v>
      </c>
      <c r="AB377" s="17" t="n">
        <f aca="false">SQRT(($B377-AB$270)^2+($C377-AB$271)^2+($D377-AB$272)^2)</f>
        <v>5.28823570004042</v>
      </c>
      <c r="AC377" s="63" t="n">
        <f aca="false">MATCH(MIN(X377:AB377),X377:AB377,0)</f>
        <v>2</v>
      </c>
      <c r="AE377" s="17" t="n">
        <f aca="false">SQRT(($B377-AE$270)^2+($C377-AE$271)^2+($D377-AE$272)^2)</f>
        <v>7.24043905371835</v>
      </c>
      <c r="AF377" s="17" t="n">
        <f aca="false">SQRT(($B377-AF$270)^2+($C377-AF$271)^2+($D377-AF$272)^2)</f>
        <v>0.529047902950233</v>
      </c>
      <c r="AG377" s="17" t="n">
        <f aca="false">SQRT(($B377-AG$270)^2+($C377-AG$271)^2+($D377-AG$272)^2)</f>
        <v>2.32342990789332</v>
      </c>
      <c r="AH377" s="17" t="n">
        <f aca="false">SQRT(($B377-AH$270)^2+($C377-AH$271)^2+($D377-AH$272)^2)</f>
        <v>0.893016067338802</v>
      </c>
      <c r="AI377" s="17" t="n">
        <f aca="false">SQRT(($B377-AI$270)^2+($C377-AI$271)^2+($D377-AI$272)^2)</f>
        <v>4.97383553423927</v>
      </c>
      <c r="AJ377" s="63" t="n">
        <f aca="false">MATCH(MIN(AE377:AI377),AE377:AI377,0)</f>
        <v>2</v>
      </c>
      <c r="AL377" s="17" t="n">
        <f aca="false">SQRT(($B377-AL$270)^2+($C377-AL$271)^2+($D377-AL$272)^2)</f>
        <v>7.24043905371835</v>
      </c>
      <c r="AM377" s="17" t="n">
        <f aca="false">SQRT(($B377-AM$270)^2+($C377-AM$271)^2+($D377-AM$272)^2)</f>
        <v>0.566312845211101</v>
      </c>
      <c r="AN377" s="17" t="n">
        <f aca="false">SQRT(($B377-AN$270)^2+($C377-AN$271)^2+($D377-AN$272)^2)</f>
        <v>2.3923769023105</v>
      </c>
      <c r="AO377" s="17" t="n">
        <f aca="false">SQRT(($B377-AO$270)^2+($C377-AO$271)^2+($D377-AO$272)^2)</f>
        <v>0.876330430180976</v>
      </c>
      <c r="AP377" s="17" t="n">
        <f aca="false">SQRT(($B377-AP$270)^2+($C377-AP$271)^2+($D377-AP$272)^2)</f>
        <v>4.6995937572571</v>
      </c>
      <c r="AQ377" s="63" t="n">
        <f aca="false">MATCH(MIN(AL377:AP377),AL377:AP377,0)</f>
        <v>2</v>
      </c>
      <c r="AS377" s="17" t="n">
        <f aca="false">SQRT(($B377-AS$270)^2+($C377-AS$271)^2+($D377-AS$272)^2)</f>
        <v>7.24043905371835</v>
      </c>
      <c r="AT377" s="17" t="n">
        <f aca="false">SQRT(($B377-AT$270)^2+($C377-AT$271)^2+($D377-AT$272)^2)</f>
        <v>0.665522019392764</v>
      </c>
      <c r="AU377" s="17" t="n">
        <f aca="false">SQRT(($B377-AU$270)^2+($C377-AU$271)^2+($D377-AU$272)^2)</f>
        <v>2.4198311863586</v>
      </c>
      <c r="AV377" s="17" t="n">
        <f aca="false">SQRT(($B377-AV$270)^2+($C377-AV$271)^2+($D377-AV$272)^2)</f>
        <v>0.833972736163672</v>
      </c>
      <c r="AW377" s="17" t="n">
        <f aca="false">SQRT(($B377-AW$270)^2+($C377-AW$271)^2+($D377-AW$272)^2)</f>
        <v>4.6995937572571</v>
      </c>
      <c r="AX377" s="63" t="n">
        <f aca="false">MATCH(MIN(AS377:AW377),AS377:AW377,0)</f>
        <v>2</v>
      </c>
      <c r="AZ377" s="17" t="n">
        <f aca="false">SQRT(($B377-AZ$270)^2+($C377-AZ$271)^2+($D377-AZ$272)^2)</f>
        <v>7.24043905371835</v>
      </c>
      <c r="BA377" s="17" t="n">
        <f aca="false">SQRT(($B377-BA$270)^2+($C377-BA$271)^2+($D377-BA$272)^2)</f>
        <v>0.665522019392764</v>
      </c>
      <c r="BB377" s="17" t="n">
        <f aca="false">SQRT(($B377-BB$270)^2+($C377-BB$271)^2+($D377-BB$272)^2)</f>
        <v>2.4198311863586</v>
      </c>
      <c r="BC377" s="17" t="n">
        <f aca="false">SQRT(($B377-BC$270)^2+($C377-BC$271)^2+($D377-BC$272)^2)</f>
        <v>0.833972736163672</v>
      </c>
      <c r="BD377" s="17" t="n">
        <f aca="false">SQRT(($B377-BD$270)^2+($C377-BD$271)^2+($D377-BD$272)^2)</f>
        <v>4.6995937572571</v>
      </c>
      <c r="BE377" s="63" t="n">
        <f aca="false">MATCH(MIN(AZ377:BD377),AZ377:BD377,0)</f>
        <v>2</v>
      </c>
      <c r="BG377" s="17" t="n">
        <f aca="false">SQRT(($B377-BG$270)^2+($C377-BG$271)^2+($D377-BG$272)^2)</f>
        <v>7.24043905371835</v>
      </c>
      <c r="BH377" s="17" t="n">
        <f aca="false">SQRT(($B377-BH$270)^2+($C377-BH$271)^2+($D377-BH$272)^2)</f>
        <v>0.665522019392764</v>
      </c>
      <c r="BI377" s="17" t="n">
        <f aca="false">SQRT(($B377-BI$270)^2+($C377-BI$271)^2+($D377-BI$272)^2)</f>
        <v>2.4198311863586</v>
      </c>
      <c r="BJ377" s="17" t="n">
        <f aca="false">SQRT(($B377-BJ$270)^2+($C377-BJ$271)^2+($D377-BJ$272)^2)</f>
        <v>0.833972736163672</v>
      </c>
      <c r="BK377" s="17" t="n">
        <f aca="false">SQRT(($B377-BK$270)^2+($C377-BK$271)^2+($D377-BK$272)^2)</f>
        <v>4.6995937572571</v>
      </c>
      <c r="BL377" s="63" t="n">
        <f aca="false">MATCH(MIN(BG377:BK377),BG377:BK377,0)</f>
        <v>2</v>
      </c>
      <c r="BN377" s="17" t="n">
        <f aca="false">SQRT(($B377-BN$270)^2+($C377-BN$271)^2+($D377-BN$272)^2)</f>
        <v>7.24043905371835</v>
      </c>
      <c r="BO377" s="17" t="n">
        <f aca="false">SQRT(($B377-BO$270)^2+($C377-BO$271)^2+($D377-BO$272)^2)</f>
        <v>0.665522019392764</v>
      </c>
      <c r="BP377" s="17" t="n">
        <f aca="false">SQRT(($B377-BP$270)^2+($C377-BP$271)^2+($D377-BP$272)^2)</f>
        <v>2.4198311863586</v>
      </c>
      <c r="BQ377" s="17" t="n">
        <f aca="false">SQRT(($B377-BQ$270)^2+($C377-BQ$271)^2+($D377-BQ$272)^2)</f>
        <v>0.833972736163672</v>
      </c>
      <c r="BR377" s="17" t="n">
        <f aca="false">SQRT(($B377-BR$270)^2+($C377-BR$271)^2+($D377-BR$272)^2)</f>
        <v>4.6995937572571</v>
      </c>
      <c r="BS377" s="63" t="n">
        <f aca="false">MATCH(MIN(BN377:BR377),BN377:BR377,0)</f>
        <v>2</v>
      </c>
      <c r="BU377" s="17" t="n">
        <f aca="false">SQRT(($B377-BU$270)^2+($C377-BU$271)^2+($D377-BU$272)^2)</f>
        <v>7.24043905371835</v>
      </c>
      <c r="BV377" s="17" t="n">
        <f aca="false">SQRT(($B377-BV$270)^2+($C377-BV$271)^2+($D377-BV$272)^2)</f>
        <v>0.665522019392764</v>
      </c>
      <c r="BW377" s="17" t="n">
        <f aca="false">SQRT(($B377-BW$270)^2+($C377-BW$271)^2+($D377-BW$272)^2)</f>
        <v>2.4198311863586</v>
      </c>
      <c r="BX377" s="17" t="n">
        <f aca="false">SQRT(($B377-BX$270)^2+($C377-BX$271)^2+($D377-BX$272)^2)</f>
        <v>0.833972736163672</v>
      </c>
      <c r="BY377" s="17" t="n">
        <f aca="false">SQRT(($B377-BY$270)^2+($C377-BY$271)^2+($D377-BY$272)^2)</f>
        <v>4.6995937572571</v>
      </c>
      <c r="BZ377" s="63" t="n">
        <f aca="false">MATCH(MIN(BU377:BY377),BU377:BY377,0)</f>
        <v>2</v>
      </c>
      <c r="CB377" s="17" t="n">
        <f aca="false">SQRT(($B377-CB$270)^2+($C377-CB$271)^2+($D377-CB$272)^2)</f>
        <v>7.24043905371835</v>
      </c>
      <c r="CC377" s="17" t="n">
        <f aca="false">SQRT(($B377-CC$270)^2+($C377-CC$271)^2+($D377-CC$272)^2)</f>
        <v>0.665522019392764</v>
      </c>
      <c r="CD377" s="17" t="n">
        <f aca="false">SQRT(($B377-CD$270)^2+($C377-CD$271)^2+($D377-CD$272)^2)</f>
        <v>2.4198311863586</v>
      </c>
      <c r="CE377" s="17" t="n">
        <f aca="false">SQRT(($B377-CE$270)^2+($C377-CE$271)^2+($D377-CE$272)^2)</f>
        <v>0.833972736163672</v>
      </c>
      <c r="CF377" s="17" t="n">
        <f aca="false">SQRT(($B377-CF$270)^2+($C377-CF$271)^2+($D377-CF$272)^2)</f>
        <v>4.6995937572571</v>
      </c>
      <c r="CG377" s="63" t="n">
        <f aca="false">MATCH(MIN(CB377:CF377),CB377:CF377,0)</f>
        <v>2</v>
      </c>
      <c r="CI377" s="17" t="n">
        <f aca="false">SQRT(($B377-CI$270)^2+($C377-CI$271)^2+($D377-CI$272)^2)</f>
        <v>7.24043905371835</v>
      </c>
      <c r="CJ377" s="17" t="n">
        <f aca="false">SQRT(($B377-CJ$270)^2+($C377-CJ$271)^2+($D377-CJ$272)^2)</f>
        <v>0.665522019392764</v>
      </c>
      <c r="CK377" s="17" t="n">
        <f aca="false">SQRT(($B377-CK$270)^2+($C377-CK$271)^2+($D377-CK$272)^2)</f>
        <v>2.4198311863586</v>
      </c>
      <c r="CL377" s="17" t="n">
        <f aca="false">SQRT(($B377-CL$270)^2+($C377-CL$271)^2+($D377-CL$272)^2)</f>
        <v>0.833972736163672</v>
      </c>
      <c r="CM377" s="17" t="n">
        <f aca="false">SQRT(($B377-CM$270)^2+($C377-CM$271)^2+($D377-CM$272)^2)</f>
        <v>4.6995937572571</v>
      </c>
      <c r="CN377" s="63" t="n">
        <f aca="false">MATCH(MIN(CI377:CM377),CI377:CM377,0)</f>
        <v>2</v>
      </c>
      <c r="CP377" s="17" t="n">
        <f aca="false">SQRT(($B377-CP$270)^2+($C377-CP$271)^2+($D377-CP$272)^2)</f>
        <v>7.24043905371835</v>
      </c>
      <c r="CQ377" s="17" t="n">
        <f aca="false">SQRT(($B377-CQ$270)^2+($C377-CQ$271)^2+($D377-CQ$272)^2)</f>
        <v>0.665522019392764</v>
      </c>
      <c r="CR377" s="17" t="n">
        <f aca="false">SQRT(($B377-CR$270)^2+($C377-CR$271)^2+($D377-CR$272)^2)</f>
        <v>2.4198311863586</v>
      </c>
      <c r="CS377" s="17" t="n">
        <f aca="false">SQRT(($B377-CS$270)^2+($C377-CS$271)^2+($D377-CS$272)^2)</f>
        <v>0.833972736163672</v>
      </c>
      <c r="CT377" s="17" t="n">
        <f aca="false">SQRT(($B377-CT$270)^2+($C377-CT$271)^2+($D377-CT$272)^2)</f>
        <v>4.6995937572571</v>
      </c>
      <c r="CU377" s="63" t="n">
        <f aca="false">MATCH(MIN(CP377:CT377),CP377:CT377,0)</f>
        <v>2</v>
      </c>
      <c r="CW377" s="17" t="n">
        <f aca="false">SQRT(($B377-CW$270)^2+($C377-CW$271)^2+($D377-CW$272)^2)</f>
        <v>7.24043905371835</v>
      </c>
      <c r="CX377" s="17" t="n">
        <f aca="false">SQRT(($B377-CX$270)^2+($C377-CX$271)^2+($D377-CX$272)^2)</f>
        <v>0.665522019392764</v>
      </c>
      <c r="CY377" s="17" t="n">
        <f aca="false">SQRT(($B377-CY$270)^2+($C377-CY$271)^2+($D377-CY$272)^2)</f>
        <v>2.4198311863586</v>
      </c>
      <c r="CZ377" s="17" t="n">
        <f aca="false">SQRT(($B377-CZ$270)^2+($C377-CZ$271)^2+($D377-CZ$272)^2)</f>
        <v>0.833972736163672</v>
      </c>
      <c r="DA377" s="17" t="n">
        <f aca="false">SQRT(($B377-DA$270)^2+($C377-DA$271)^2+($D377-DA$272)^2)</f>
        <v>4.6995937572571</v>
      </c>
      <c r="DB377" s="63" t="n">
        <f aca="false">MATCH(MIN(CW377:DA377),CW377:DA377,0)</f>
        <v>2</v>
      </c>
    </row>
    <row r="378" customFormat="false" ht="15" hidden="false" customHeight="false" outlineLevel="0" collapsed="false">
      <c r="A378" s="36" t="str">
        <f aca="false">KMeans_Data!A106</f>
        <v>Toba Tek Singh</v>
      </c>
      <c r="B378" s="17" t="n">
        <f aca="false">KMeans_Data!H106</f>
        <v>-0.997451006048382</v>
      </c>
      <c r="C378" s="17" t="n">
        <f aca="false">KMeans_Data!I106</f>
        <v>-0.672650545388274</v>
      </c>
      <c r="D378" s="17" t="n">
        <f aca="false">KMeans_Data!J106</f>
        <v>-1.14564411633355</v>
      </c>
      <c r="E378" s="63" t="n">
        <f aca="false">DB378</f>
        <v>2</v>
      </c>
      <c r="F378" s="38" t="n">
        <f aca="false">($B378-INDEX($L$270:$P$270,E378))^2+($C378-INDEX($L$271:$P$271,E378))^2+($D378-INDEX($L$272:$P$272,E378))^2</f>
        <v>0.084285357210402</v>
      </c>
      <c r="G378" s="17" t="n">
        <f aca="false">IF(COUNTIF(Distance_Matrix!$E$11:$DQ$11,$E378)&lt;=1,0,SUMIF(Distance_Matrix!$E$11:$DQ$11,$E378,Distance_Matrix!$E$115:$DQ$115)/(COUNTIF(Distance_Matrix!$E$11:$DQ$11,$E378)-1))</f>
        <v>0.476861691979582</v>
      </c>
      <c r="H378" s="17" t="n">
        <f aca="false">MIN(IF(1=$E378,1E+099,IF(COUNTIF(Distance_Matrix!$E$11:$DQ$11,1)=0,1E+099,SUMIF(Distance_Matrix!$E$11:$DQ$11,1,Distance_Matrix!$E$115:$DQ$115)/COUNTIF(Distance_Matrix!$E$11:$DQ$11,1))),IF(2=$E378,1E+099,IF(COUNTIF(Distance_Matrix!$E$11:$DQ$11,2)=0,1E+099,SUMIF(Distance_Matrix!$E$11:$DQ$11,2,Distance_Matrix!$E$115:$DQ$115)/COUNTIF(Distance_Matrix!$E$11:$DQ$11,2))),IF(3=$E378,1E+099,IF(COUNTIF(Distance_Matrix!$E$11:$DQ$11,3)=0,1E+099,SUMIF(Distance_Matrix!$E$11:$DQ$11,3,Distance_Matrix!$E$115:$DQ$115)/COUNTIF(Distance_Matrix!$E$11:$DQ$11,3))),IF(4=$E378,1E+099,IF(COUNTIF(Distance_Matrix!$E$11:$DQ$11,4)=0,1E+099,SUMIF(Distance_Matrix!$E$11:$DQ$11,4,Distance_Matrix!$E$115:$DQ$115)/COUNTIF(Distance_Matrix!$E$11:$DQ$11,4))),IF(5=$E378,1E+099,IF(COUNTIF(Distance_Matrix!$E$11:$DQ$11,5)=0,1E+099,SUMIF(Distance_Matrix!$E$11:$DQ$11,5,Distance_Matrix!$E$115:$DQ$115)/COUNTIF(Distance_Matrix!$E$11:$DQ$11,5))))</f>
        <v>1.33459783533518</v>
      </c>
      <c r="I378" s="17" t="n">
        <f aca="false">IF(COUNTIF(Distance_Matrix!$E$11:$DQ$11,$E378)&lt;=1,0,(H378-G378)/MAX(G378,H378))</f>
        <v>0.642692592963918</v>
      </c>
      <c r="X378" s="17" t="n">
        <f aca="false">SQRT(($B378-X$270)^2+($C378-X$271)^2+($D378-X$272)^2)</f>
        <v>7.73251123919131</v>
      </c>
      <c r="Y378" s="17" t="n">
        <f aca="false">SQRT(($B378-Y$270)^2+($C378-Y$271)^2+($D378-Y$272)^2)</f>
        <v>1.08228697575494</v>
      </c>
      <c r="Z378" s="17" t="n">
        <f aca="false">SQRT(($B378-Z$270)^2+($C378-Z$271)^2+($D378-Z$272)^2)</f>
        <v>3.47697824473286</v>
      </c>
      <c r="AA378" s="17" t="n">
        <f aca="false">SQRT(($B378-AA$270)^2+($C378-AA$271)^2+($D378-AA$272)^2)</f>
        <v>1.72516170820429</v>
      </c>
      <c r="AB378" s="17" t="n">
        <f aca="false">SQRT(($B378-AB$270)^2+($C378-AB$271)^2+($D378-AB$272)^2)</f>
        <v>5.69921936556099</v>
      </c>
      <c r="AC378" s="63" t="n">
        <f aca="false">MATCH(MIN(X378:AB378),X378:AB378,0)</f>
        <v>2</v>
      </c>
      <c r="AE378" s="17" t="n">
        <f aca="false">SQRT(($B378-AE$270)^2+($C378-AE$271)^2+($D378-AE$272)^2)</f>
        <v>7.60349800302251</v>
      </c>
      <c r="AF378" s="17" t="n">
        <f aca="false">SQRT(($B378-AF$270)^2+($C378-AF$271)^2+($D378-AF$272)^2)</f>
        <v>0.3224173720856</v>
      </c>
      <c r="AG378" s="17" t="n">
        <f aca="false">SQRT(($B378-AG$270)^2+($C378-AG$271)^2+($D378-AG$272)^2)</f>
        <v>2.78033411597255</v>
      </c>
      <c r="AH378" s="17" t="n">
        <f aca="false">SQRT(($B378-AH$270)^2+($C378-AH$271)^2+($D378-AH$272)^2)</f>
        <v>1.14336137890502</v>
      </c>
      <c r="AI378" s="17" t="n">
        <f aca="false">SQRT(($B378-AI$270)^2+($C378-AI$271)^2+($D378-AI$272)^2)</f>
        <v>5.33580292287274</v>
      </c>
      <c r="AJ378" s="63" t="n">
        <f aca="false">MATCH(MIN(AE378:AI378),AE378:AI378,0)</f>
        <v>2</v>
      </c>
      <c r="AL378" s="17" t="n">
        <f aca="false">SQRT(($B378-AL$270)^2+($C378-AL$271)^2+($D378-AL$272)^2)</f>
        <v>7.60349800302251</v>
      </c>
      <c r="AM378" s="17" t="n">
        <f aca="false">SQRT(($B378-AM$270)^2+($C378-AM$271)^2+($D378-AM$272)^2)</f>
        <v>0.284793420940095</v>
      </c>
      <c r="AN378" s="17" t="n">
        <f aca="false">SQRT(($B378-AN$270)^2+($C378-AN$271)^2+($D378-AN$272)^2)</f>
        <v>2.83889336145032</v>
      </c>
      <c r="AO378" s="17" t="n">
        <f aca="false">SQRT(($B378-AO$270)^2+($C378-AO$271)^2+($D378-AO$272)^2)</f>
        <v>1.19368450472694</v>
      </c>
      <c r="AP378" s="17" t="n">
        <f aca="false">SQRT(($B378-AP$270)^2+($C378-AP$271)^2+($D378-AP$272)^2)</f>
        <v>5.06306358673691</v>
      </c>
      <c r="AQ378" s="63" t="n">
        <f aca="false">MATCH(MIN(AL378:AP378),AL378:AP378,0)</f>
        <v>2</v>
      </c>
      <c r="AS378" s="17" t="n">
        <f aca="false">SQRT(($B378-AS$270)^2+($C378-AS$271)^2+($D378-AS$272)^2)</f>
        <v>7.60349800302251</v>
      </c>
      <c r="AT378" s="17" t="n">
        <f aca="false">SQRT(($B378-AT$270)^2+($C378-AT$271)^2+($D378-AT$272)^2)</f>
        <v>0.29031940550091</v>
      </c>
      <c r="AU378" s="17" t="n">
        <f aca="false">SQRT(($B378-AU$270)^2+($C378-AU$271)^2+($D378-AU$272)^2)</f>
        <v>2.8660900380894</v>
      </c>
      <c r="AV378" s="17" t="n">
        <f aca="false">SQRT(($B378-AV$270)^2+($C378-AV$271)^2+($D378-AV$272)^2)</f>
        <v>1.172865937452</v>
      </c>
      <c r="AW378" s="17" t="n">
        <f aca="false">SQRT(($B378-AW$270)^2+($C378-AW$271)^2+($D378-AW$272)^2)</f>
        <v>5.06306358673691</v>
      </c>
      <c r="AX378" s="63" t="n">
        <f aca="false">MATCH(MIN(AS378:AW378),AS378:AW378,0)</f>
        <v>2</v>
      </c>
      <c r="AZ378" s="17" t="n">
        <f aca="false">SQRT(($B378-AZ$270)^2+($C378-AZ$271)^2+($D378-AZ$272)^2)</f>
        <v>7.60349800302251</v>
      </c>
      <c r="BA378" s="17" t="n">
        <f aca="false">SQRT(($B378-BA$270)^2+($C378-BA$271)^2+($D378-BA$272)^2)</f>
        <v>0.29031940550091</v>
      </c>
      <c r="BB378" s="17" t="n">
        <f aca="false">SQRT(($B378-BB$270)^2+($C378-BB$271)^2+($D378-BB$272)^2)</f>
        <v>2.8660900380894</v>
      </c>
      <c r="BC378" s="17" t="n">
        <f aca="false">SQRT(($B378-BC$270)^2+($C378-BC$271)^2+($D378-BC$272)^2)</f>
        <v>1.172865937452</v>
      </c>
      <c r="BD378" s="17" t="n">
        <f aca="false">SQRT(($B378-BD$270)^2+($C378-BD$271)^2+($D378-BD$272)^2)</f>
        <v>5.06306358673691</v>
      </c>
      <c r="BE378" s="63" t="n">
        <f aca="false">MATCH(MIN(AZ378:BD378),AZ378:BD378,0)</f>
        <v>2</v>
      </c>
      <c r="BG378" s="17" t="n">
        <f aca="false">SQRT(($B378-BG$270)^2+($C378-BG$271)^2+($D378-BG$272)^2)</f>
        <v>7.60349800302251</v>
      </c>
      <c r="BH378" s="17" t="n">
        <f aca="false">SQRT(($B378-BH$270)^2+($C378-BH$271)^2+($D378-BH$272)^2)</f>
        <v>0.29031940550091</v>
      </c>
      <c r="BI378" s="17" t="n">
        <f aca="false">SQRT(($B378-BI$270)^2+($C378-BI$271)^2+($D378-BI$272)^2)</f>
        <v>2.8660900380894</v>
      </c>
      <c r="BJ378" s="17" t="n">
        <f aca="false">SQRT(($B378-BJ$270)^2+($C378-BJ$271)^2+($D378-BJ$272)^2)</f>
        <v>1.172865937452</v>
      </c>
      <c r="BK378" s="17" t="n">
        <f aca="false">SQRT(($B378-BK$270)^2+($C378-BK$271)^2+($D378-BK$272)^2)</f>
        <v>5.06306358673691</v>
      </c>
      <c r="BL378" s="63" t="n">
        <f aca="false">MATCH(MIN(BG378:BK378),BG378:BK378,0)</f>
        <v>2</v>
      </c>
      <c r="BN378" s="17" t="n">
        <f aca="false">SQRT(($B378-BN$270)^2+($C378-BN$271)^2+($D378-BN$272)^2)</f>
        <v>7.60349800302251</v>
      </c>
      <c r="BO378" s="17" t="n">
        <f aca="false">SQRT(($B378-BO$270)^2+($C378-BO$271)^2+($D378-BO$272)^2)</f>
        <v>0.29031940550091</v>
      </c>
      <c r="BP378" s="17" t="n">
        <f aca="false">SQRT(($B378-BP$270)^2+($C378-BP$271)^2+($D378-BP$272)^2)</f>
        <v>2.8660900380894</v>
      </c>
      <c r="BQ378" s="17" t="n">
        <f aca="false">SQRT(($B378-BQ$270)^2+($C378-BQ$271)^2+($D378-BQ$272)^2)</f>
        <v>1.172865937452</v>
      </c>
      <c r="BR378" s="17" t="n">
        <f aca="false">SQRT(($B378-BR$270)^2+($C378-BR$271)^2+($D378-BR$272)^2)</f>
        <v>5.06306358673691</v>
      </c>
      <c r="BS378" s="63" t="n">
        <f aca="false">MATCH(MIN(BN378:BR378),BN378:BR378,0)</f>
        <v>2</v>
      </c>
      <c r="BU378" s="17" t="n">
        <f aca="false">SQRT(($B378-BU$270)^2+($C378-BU$271)^2+($D378-BU$272)^2)</f>
        <v>7.60349800302251</v>
      </c>
      <c r="BV378" s="17" t="n">
        <f aca="false">SQRT(($B378-BV$270)^2+($C378-BV$271)^2+($D378-BV$272)^2)</f>
        <v>0.29031940550091</v>
      </c>
      <c r="BW378" s="17" t="n">
        <f aca="false">SQRT(($B378-BW$270)^2+($C378-BW$271)^2+($D378-BW$272)^2)</f>
        <v>2.8660900380894</v>
      </c>
      <c r="BX378" s="17" t="n">
        <f aca="false">SQRT(($B378-BX$270)^2+($C378-BX$271)^2+($D378-BX$272)^2)</f>
        <v>1.172865937452</v>
      </c>
      <c r="BY378" s="17" t="n">
        <f aca="false">SQRT(($B378-BY$270)^2+($C378-BY$271)^2+($D378-BY$272)^2)</f>
        <v>5.06306358673691</v>
      </c>
      <c r="BZ378" s="63" t="n">
        <f aca="false">MATCH(MIN(BU378:BY378),BU378:BY378,0)</f>
        <v>2</v>
      </c>
      <c r="CB378" s="17" t="n">
        <f aca="false">SQRT(($B378-CB$270)^2+($C378-CB$271)^2+($D378-CB$272)^2)</f>
        <v>7.60349800302251</v>
      </c>
      <c r="CC378" s="17" t="n">
        <f aca="false">SQRT(($B378-CC$270)^2+($C378-CC$271)^2+($D378-CC$272)^2)</f>
        <v>0.29031940550091</v>
      </c>
      <c r="CD378" s="17" t="n">
        <f aca="false">SQRT(($B378-CD$270)^2+($C378-CD$271)^2+($D378-CD$272)^2)</f>
        <v>2.8660900380894</v>
      </c>
      <c r="CE378" s="17" t="n">
        <f aca="false">SQRT(($B378-CE$270)^2+($C378-CE$271)^2+($D378-CE$272)^2)</f>
        <v>1.172865937452</v>
      </c>
      <c r="CF378" s="17" t="n">
        <f aca="false">SQRT(($B378-CF$270)^2+($C378-CF$271)^2+($D378-CF$272)^2)</f>
        <v>5.06306358673691</v>
      </c>
      <c r="CG378" s="63" t="n">
        <f aca="false">MATCH(MIN(CB378:CF378),CB378:CF378,0)</f>
        <v>2</v>
      </c>
      <c r="CI378" s="17" t="n">
        <f aca="false">SQRT(($B378-CI$270)^2+($C378-CI$271)^2+($D378-CI$272)^2)</f>
        <v>7.60349800302251</v>
      </c>
      <c r="CJ378" s="17" t="n">
        <f aca="false">SQRT(($B378-CJ$270)^2+($C378-CJ$271)^2+($D378-CJ$272)^2)</f>
        <v>0.29031940550091</v>
      </c>
      <c r="CK378" s="17" t="n">
        <f aca="false">SQRT(($B378-CK$270)^2+($C378-CK$271)^2+($D378-CK$272)^2)</f>
        <v>2.8660900380894</v>
      </c>
      <c r="CL378" s="17" t="n">
        <f aca="false">SQRT(($B378-CL$270)^2+($C378-CL$271)^2+($D378-CL$272)^2)</f>
        <v>1.172865937452</v>
      </c>
      <c r="CM378" s="17" t="n">
        <f aca="false">SQRT(($B378-CM$270)^2+($C378-CM$271)^2+($D378-CM$272)^2)</f>
        <v>5.06306358673691</v>
      </c>
      <c r="CN378" s="63" t="n">
        <f aca="false">MATCH(MIN(CI378:CM378),CI378:CM378,0)</f>
        <v>2</v>
      </c>
      <c r="CP378" s="17" t="n">
        <f aca="false">SQRT(($B378-CP$270)^2+($C378-CP$271)^2+($D378-CP$272)^2)</f>
        <v>7.60349800302251</v>
      </c>
      <c r="CQ378" s="17" t="n">
        <f aca="false">SQRT(($B378-CQ$270)^2+($C378-CQ$271)^2+($D378-CQ$272)^2)</f>
        <v>0.29031940550091</v>
      </c>
      <c r="CR378" s="17" t="n">
        <f aca="false">SQRT(($B378-CR$270)^2+($C378-CR$271)^2+($D378-CR$272)^2)</f>
        <v>2.8660900380894</v>
      </c>
      <c r="CS378" s="17" t="n">
        <f aca="false">SQRT(($B378-CS$270)^2+($C378-CS$271)^2+($D378-CS$272)^2)</f>
        <v>1.172865937452</v>
      </c>
      <c r="CT378" s="17" t="n">
        <f aca="false">SQRT(($B378-CT$270)^2+($C378-CT$271)^2+($D378-CT$272)^2)</f>
        <v>5.06306358673691</v>
      </c>
      <c r="CU378" s="63" t="n">
        <f aca="false">MATCH(MIN(CP378:CT378),CP378:CT378,0)</f>
        <v>2</v>
      </c>
      <c r="CW378" s="17" t="n">
        <f aca="false">SQRT(($B378-CW$270)^2+($C378-CW$271)^2+($D378-CW$272)^2)</f>
        <v>7.60349800302251</v>
      </c>
      <c r="CX378" s="17" t="n">
        <f aca="false">SQRT(($B378-CX$270)^2+($C378-CX$271)^2+($D378-CX$272)^2)</f>
        <v>0.29031940550091</v>
      </c>
      <c r="CY378" s="17" t="n">
        <f aca="false">SQRT(($B378-CY$270)^2+($C378-CY$271)^2+($D378-CY$272)^2)</f>
        <v>2.8660900380894</v>
      </c>
      <c r="CZ378" s="17" t="n">
        <f aca="false">SQRT(($B378-CZ$270)^2+($C378-CZ$271)^2+($D378-CZ$272)^2)</f>
        <v>1.172865937452</v>
      </c>
      <c r="DA378" s="17" t="n">
        <f aca="false">SQRT(($B378-DA$270)^2+($C378-DA$271)^2+($D378-DA$272)^2)</f>
        <v>5.06306358673691</v>
      </c>
      <c r="DB378" s="63" t="n">
        <f aca="false">MATCH(MIN(CW378:DA378),CW378:DA378,0)</f>
        <v>2</v>
      </c>
    </row>
    <row r="379" customFormat="false" ht="15" hidden="false" customHeight="false" outlineLevel="0" collapsed="false">
      <c r="A379" s="36" t="str">
        <f aca="false">KMeans_Data!A107</f>
        <v>Khanewal</v>
      </c>
      <c r="B379" s="17" t="n">
        <f aca="false">KMeans_Data!H107</f>
        <v>-0.997451006048382</v>
      </c>
      <c r="C379" s="17" t="n">
        <f aca="false">KMeans_Data!I107</f>
        <v>-0.672650545388274</v>
      </c>
      <c r="D379" s="17" t="n">
        <f aca="false">KMeans_Data!J107</f>
        <v>-1.14564411633355</v>
      </c>
      <c r="E379" s="63" t="n">
        <f aca="false">DB379</f>
        <v>2</v>
      </c>
      <c r="F379" s="38" t="n">
        <f aca="false">($B379-INDEX($L$270:$P$270,E379))^2+($C379-INDEX($L$271:$P$271,E379))^2+($D379-INDEX($L$272:$P$272,E379))^2</f>
        <v>0.084285357210402</v>
      </c>
      <c r="G379" s="17" t="n">
        <f aca="false">IF(COUNTIF(Distance_Matrix!$E$11:$DQ$11,$E379)&lt;=1,0,SUMIF(Distance_Matrix!$E$11:$DQ$11,$E379,Distance_Matrix!$E$116:$DQ$116)/(COUNTIF(Distance_Matrix!$E$11:$DQ$11,$E379)-1))</f>
        <v>0.476861691979582</v>
      </c>
      <c r="H379" s="17" t="n">
        <f aca="false">MIN(IF(1=$E379,1E+099,IF(COUNTIF(Distance_Matrix!$E$11:$DQ$11,1)=0,1E+099,SUMIF(Distance_Matrix!$E$11:$DQ$11,1,Distance_Matrix!$E$116:$DQ$116)/COUNTIF(Distance_Matrix!$E$11:$DQ$11,1))),IF(2=$E379,1E+099,IF(COUNTIF(Distance_Matrix!$E$11:$DQ$11,2)=0,1E+099,SUMIF(Distance_Matrix!$E$11:$DQ$11,2,Distance_Matrix!$E$116:$DQ$116)/COUNTIF(Distance_Matrix!$E$11:$DQ$11,2))),IF(3=$E379,1E+099,IF(COUNTIF(Distance_Matrix!$E$11:$DQ$11,3)=0,1E+099,SUMIF(Distance_Matrix!$E$11:$DQ$11,3,Distance_Matrix!$E$116:$DQ$116)/COUNTIF(Distance_Matrix!$E$11:$DQ$11,3))),IF(4=$E379,1E+099,IF(COUNTIF(Distance_Matrix!$E$11:$DQ$11,4)=0,1E+099,SUMIF(Distance_Matrix!$E$11:$DQ$11,4,Distance_Matrix!$E$116:$DQ$116)/COUNTIF(Distance_Matrix!$E$11:$DQ$11,4))),IF(5=$E379,1E+099,IF(COUNTIF(Distance_Matrix!$E$11:$DQ$11,5)=0,1E+099,SUMIF(Distance_Matrix!$E$11:$DQ$11,5,Distance_Matrix!$E$116:$DQ$116)/COUNTIF(Distance_Matrix!$E$11:$DQ$11,5))))</f>
        <v>1.33459783533518</v>
      </c>
      <c r="I379" s="17" t="n">
        <f aca="false">IF(COUNTIF(Distance_Matrix!$E$11:$DQ$11,$E379)&lt;=1,0,(H379-G379)/MAX(G379,H379))</f>
        <v>0.642692592963918</v>
      </c>
      <c r="X379" s="17" t="n">
        <f aca="false">SQRT(($B379-X$270)^2+($C379-X$271)^2+($D379-X$272)^2)</f>
        <v>7.73251123919131</v>
      </c>
      <c r="Y379" s="17" t="n">
        <f aca="false">SQRT(($B379-Y$270)^2+($C379-Y$271)^2+($D379-Y$272)^2)</f>
        <v>1.08228697575494</v>
      </c>
      <c r="Z379" s="17" t="n">
        <f aca="false">SQRT(($B379-Z$270)^2+($C379-Z$271)^2+($D379-Z$272)^2)</f>
        <v>3.47697824473286</v>
      </c>
      <c r="AA379" s="17" t="n">
        <f aca="false">SQRT(($B379-AA$270)^2+($C379-AA$271)^2+($D379-AA$272)^2)</f>
        <v>1.72516170820429</v>
      </c>
      <c r="AB379" s="17" t="n">
        <f aca="false">SQRT(($B379-AB$270)^2+($C379-AB$271)^2+($D379-AB$272)^2)</f>
        <v>5.69921936556099</v>
      </c>
      <c r="AC379" s="63" t="n">
        <f aca="false">MATCH(MIN(X379:AB379),X379:AB379,0)</f>
        <v>2</v>
      </c>
      <c r="AE379" s="17" t="n">
        <f aca="false">SQRT(($B379-AE$270)^2+($C379-AE$271)^2+($D379-AE$272)^2)</f>
        <v>7.60349800302251</v>
      </c>
      <c r="AF379" s="17" t="n">
        <f aca="false">SQRT(($B379-AF$270)^2+($C379-AF$271)^2+($D379-AF$272)^2)</f>
        <v>0.3224173720856</v>
      </c>
      <c r="AG379" s="17" t="n">
        <f aca="false">SQRT(($B379-AG$270)^2+($C379-AG$271)^2+($D379-AG$272)^2)</f>
        <v>2.78033411597255</v>
      </c>
      <c r="AH379" s="17" t="n">
        <f aca="false">SQRT(($B379-AH$270)^2+($C379-AH$271)^2+($D379-AH$272)^2)</f>
        <v>1.14336137890502</v>
      </c>
      <c r="AI379" s="17" t="n">
        <f aca="false">SQRT(($B379-AI$270)^2+($C379-AI$271)^2+($D379-AI$272)^2)</f>
        <v>5.33580292287274</v>
      </c>
      <c r="AJ379" s="63" t="n">
        <f aca="false">MATCH(MIN(AE379:AI379),AE379:AI379,0)</f>
        <v>2</v>
      </c>
      <c r="AL379" s="17" t="n">
        <f aca="false">SQRT(($B379-AL$270)^2+($C379-AL$271)^2+($D379-AL$272)^2)</f>
        <v>7.60349800302251</v>
      </c>
      <c r="AM379" s="17" t="n">
        <f aca="false">SQRT(($B379-AM$270)^2+($C379-AM$271)^2+($D379-AM$272)^2)</f>
        <v>0.284793420940095</v>
      </c>
      <c r="AN379" s="17" t="n">
        <f aca="false">SQRT(($B379-AN$270)^2+($C379-AN$271)^2+($D379-AN$272)^2)</f>
        <v>2.83889336145032</v>
      </c>
      <c r="AO379" s="17" t="n">
        <f aca="false">SQRT(($B379-AO$270)^2+($C379-AO$271)^2+($D379-AO$272)^2)</f>
        <v>1.19368450472694</v>
      </c>
      <c r="AP379" s="17" t="n">
        <f aca="false">SQRT(($B379-AP$270)^2+($C379-AP$271)^2+($D379-AP$272)^2)</f>
        <v>5.06306358673691</v>
      </c>
      <c r="AQ379" s="63" t="n">
        <f aca="false">MATCH(MIN(AL379:AP379),AL379:AP379,0)</f>
        <v>2</v>
      </c>
      <c r="AS379" s="17" t="n">
        <f aca="false">SQRT(($B379-AS$270)^2+($C379-AS$271)^2+($D379-AS$272)^2)</f>
        <v>7.60349800302251</v>
      </c>
      <c r="AT379" s="17" t="n">
        <f aca="false">SQRT(($B379-AT$270)^2+($C379-AT$271)^2+($D379-AT$272)^2)</f>
        <v>0.29031940550091</v>
      </c>
      <c r="AU379" s="17" t="n">
        <f aca="false">SQRT(($B379-AU$270)^2+($C379-AU$271)^2+($D379-AU$272)^2)</f>
        <v>2.8660900380894</v>
      </c>
      <c r="AV379" s="17" t="n">
        <f aca="false">SQRT(($B379-AV$270)^2+($C379-AV$271)^2+($D379-AV$272)^2)</f>
        <v>1.172865937452</v>
      </c>
      <c r="AW379" s="17" t="n">
        <f aca="false">SQRT(($B379-AW$270)^2+($C379-AW$271)^2+($D379-AW$272)^2)</f>
        <v>5.06306358673691</v>
      </c>
      <c r="AX379" s="63" t="n">
        <f aca="false">MATCH(MIN(AS379:AW379),AS379:AW379,0)</f>
        <v>2</v>
      </c>
      <c r="AZ379" s="17" t="n">
        <f aca="false">SQRT(($B379-AZ$270)^2+($C379-AZ$271)^2+($D379-AZ$272)^2)</f>
        <v>7.60349800302251</v>
      </c>
      <c r="BA379" s="17" t="n">
        <f aca="false">SQRT(($B379-BA$270)^2+($C379-BA$271)^2+($D379-BA$272)^2)</f>
        <v>0.29031940550091</v>
      </c>
      <c r="BB379" s="17" t="n">
        <f aca="false">SQRT(($B379-BB$270)^2+($C379-BB$271)^2+($D379-BB$272)^2)</f>
        <v>2.8660900380894</v>
      </c>
      <c r="BC379" s="17" t="n">
        <f aca="false">SQRT(($B379-BC$270)^2+($C379-BC$271)^2+($D379-BC$272)^2)</f>
        <v>1.172865937452</v>
      </c>
      <c r="BD379" s="17" t="n">
        <f aca="false">SQRT(($B379-BD$270)^2+($C379-BD$271)^2+($D379-BD$272)^2)</f>
        <v>5.06306358673691</v>
      </c>
      <c r="BE379" s="63" t="n">
        <f aca="false">MATCH(MIN(AZ379:BD379),AZ379:BD379,0)</f>
        <v>2</v>
      </c>
      <c r="BG379" s="17" t="n">
        <f aca="false">SQRT(($B379-BG$270)^2+($C379-BG$271)^2+($D379-BG$272)^2)</f>
        <v>7.60349800302251</v>
      </c>
      <c r="BH379" s="17" t="n">
        <f aca="false">SQRT(($B379-BH$270)^2+($C379-BH$271)^2+($D379-BH$272)^2)</f>
        <v>0.29031940550091</v>
      </c>
      <c r="BI379" s="17" t="n">
        <f aca="false">SQRT(($B379-BI$270)^2+($C379-BI$271)^2+($D379-BI$272)^2)</f>
        <v>2.8660900380894</v>
      </c>
      <c r="BJ379" s="17" t="n">
        <f aca="false">SQRT(($B379-BJ$270)^2+($C379-BJ$271)^2+($D379-BJ$272)^2)</f>
        <v>1.172865937452</v>
      </c>
      <c r="BK379" s="17" t="n">
        <f aca="false">SQRT(($B379-BK$270)^2+($C379-BK$271)^2+($D379-BK$272)^2)</f>
        <v>5.06306358673691</v>
      </c>
      <c r="BL379" s="63" t="n">
        <f aca="false">MATCH(MIN(BG379:BK379),BG379:BK379,0)</f>
        <v>2</v>
      </c>
      <c r="BN379" s="17" t="n">
        <f aca="false">SQRT(($B379-BN$270)^2+($C379-BN$271)^2+($D379-BN$272)^2)</f>
        <v>7.60349800302251</v>
      </c>
      <c r="BO379" s="17" t="n">
        <f aca="false">SQRT(($B379-BO$270)^2+($C379-BO$271)^2+($D379-BO$272)^2)</f>
        <v>0.29031940550091</v>
      </c>
      <c r="BP379" s="17" t="n">
        <f aca="false">SQRT(($B379-BP$270)^2+($C379-BP$271)^2+($D379-BP$272)^2)</f>
        <v>2.8660900380894</v>
      </c>
      <c r="BQ379" s="17" t="n">
        <f aca="false">SQRT(($B379-BQ$270)^2+($C379-BQ$271)^2+($D379-BQ$272)^2)</f>
        <v>1.172865937452</v>
      </c>
      <c r="BR379" s="17" t="n">
        <f aca="false">SQRT(($B379-BR$270)^2+($C379-BR$271)^2+($D379-BR$272)^2)</f>
        <v>5.06306358673691</v>
      </c>
      <c r="BS379" s="63" t="n">
        <f aca="false">MATCH(MIN(BN379:BR379),BN379:BR379,0)</f>
        <v>2</v>
      </c>
      <c r="BU379" s="17" t="n">
        <f aca="false">SQRT(($B379-BU$270)^2+($C379-BU$271)^2+($D379-BU$272)^2)</f>
        <v>7.60349800302251</v>
      </c>
      <c r="BV379" s="17" t="n">
        <f aca="false">SQRT(($B379-BV$270)^2+($C379-BV$271)^2+($D379-BV$272)^2)</f>
        <v>0.29031940550091</v>
      </c>
      <c r="BW379" s="17" t="n">
        <f aca="false">SQRT(($B379-BW$270)^2+($C379-BW$271)^2+($D379-BW$272)^2)</f>
        <v>2.8660900380894</v>
      </c>
      <c r="BX379" s="17" t="n">
        <f aca="false">SQRT(($B379-BX$270)^2+($C379-BX$271)^2+($D379-BX$272)^2)</f>
        <v>1.172865937452</v>
      </c>
      <c r="BY379" s="17" t="n">
        <f aca="false">SQRT(($B379-BY$270)^2+($C379-BY$271)^2+($D379-BY$272)^2)</f>
        <v>5.06306358673691</v>
      </c>
      <c r="BZ379" s="63" t="n">
        <f aca="false">MATCH(MIN(BU379:BY379),BU379:BY379,0)</f>
        <v>2</v>
      </c>
      <c r="CB379" s="17" t="n">
        <f aca="false">SQRT(($B379-CB$270)^2+($C379-CB$271)^2+($D379-CB$272)^2)</f>
        <v>7.60349800302251</v>
      </c>
      <c r="CC379" s="17" t="n">
        <f aca="false">SQRT(($B379-CC$270)^2+($C379-CC$271)^2+($D379-CC$272)^2)</f>
        <v>0.29031940550091</v>
      </c>
      <c r="CD379" s="17" t="n">
        <f aca="false">SQRT(($B379-CD$270)^2+($C379-CD$271)^2+($D379-CD$272)^2)</f>
        <v>2.8660900380894</v>
      </c>
      <c r="CE379" s="17" t="n">
        <f aca="false">SQRT(($B379-CE$270)^2+($C379-CE$271)^2+($D379-CE$272)^2)</f>
        <v>1.172865937452</v>
      </c>
      <c r="CF379" s="17" t="n">
        <f aca="false">SQRT(($B379-CF$270)^2+($C379-CF$271)^2+($D379-CF$272)^2)</f>
        <v>5.06306358673691</v>
      </c>
      <c r="CG379" s="63" t="n">
        <f aca="false">MATCH(MIN(CB379:CF379),CB379:CF379,0)</f>
        <v>2</v>
      </c>
      <c r="CI379" s="17" t="n">
        <f aca="false">SQRT(($B379-CI$270)^2+($C379-CI$271)^2+($D379-CI$272)^2)</f>
        <v>7.60349800302251</v>
      </c>
      <c r="CJ379" s="17" t="n">
        <f aca="false">SQRT(($B379-CJ$270)^2+($C379-CJ$271)^2+($D379-CJ$272)^2)</f>
        <v>0.29031940550091</v>
      </c>
      <c r="CK379" s="17" t="n">
        <f aca="false">SQRT(($B379-CK$270)^2+($C379-CK$271)^2+($D379-CK$272)^2)</f>
        <v>2.8660900380894</v>
      </c>
      <c r="CL379" s="17" t="n">
        <f aca="false">SQRT(($B379-CL$270)^2+($C379-CL$271)^2+($D379-CL$272)^2)</f>
        <v>1.172865937452</v>
      </c>
      <c r="CM379" s="17" t="n">
        <f aca="false">SQRT(($B379-CM$270)^2+($C379-CM$271)^2+($D379-CM$272)^2)</f>
        <v>5.06306358673691</v>
      </c>
      <c r="CN379" s="63" t="n">
        <f aca="false">MATCH(MIN(CI379:CM379),CI379:CM379,0)</f>
        <v>2</v>
      </c>
      <c r="CP379" s="17" t="n">
        <f aca="false">SQRT(($B379-CP$270)^2+($C379-CP$271)^2+($D379-CP$272)^2)</f>
        <v>7.60349800302251</v>
      </c>
      <c r="CQ379" s="17" t="n">
        <f aca="false">SQRT(($B379-CQ$270)^2+($C379-CQ$271)^2+($D379-CQ$272)^2)</f>
        <v>0.29031940550091</v>
      </c>
      <c r="CR379" s="17" t="n">
        <f aca="false">SQRT(($B379-CR$270)^2+($C379-CR$271)^2+($D379-CR$272)^2)</f>
        <v>2.8660900380894</v>
      </c>
      <c r="CS379" s="17" t="n">
        <f aca="false">SQRT(($B379-CS$270)^2+($C379-CS$271)^2+($D379-CS$272)^2)</f>
        <v>1.172865937452</v>
      </c>
      <c r="CT379" s="17" t="n">
        <f aca="false">SQRT(($B379-CT$270)^2+($C379-CT$271)^2+($D379-CT$272)^2)</f>
        <v>5.06306358673691</v>
      </c>
      <c r="CU379" s="63" t="n">
        <f aca="false">MATCH(MIN(CP379:CT379),CP379:CT379,0)</f>
        <v>2</v>
      </c>
      <c r="CW379" s="17" t="n">
        <f aca="false">SQRT(($B379-CW$270)^2+($C379-CW$271)^2+($D379-CW$272)^2)</f>
        <v>7.60349800302251</v>
      </c>
      <c r="CX379" s="17" t="n">
        <f aca="false">SQRT(($B379-CX$270)^2+($C379-CX$271)^2+($D379-CX$272)^2)</f>
        <v>0.29031940550091</v>
      </c>
      <c r="CY379" s="17" t="n">
        <f aca="false">SQRT(($B379-CY$270)^2+($C379-CY$271)^2+($D379-CY$272)^2)</f>
        <v>2.8660900380894</v>
      </c>
      <c r="CZ379" s="17" t="n">
        <f aca="false">SQRT(($B379-CZ$270)^2+($C379-CZ$271)^2+($D379-CZ$272)^2)</f>
        <v>1.172865937452</v>
      </c>
      <c r="DA379" s="17" t="n">
        <f aca="false">SQRT(($B379-DA$270)^2+($C379-DA$271)^2+($D379-DA$272)^2)</f>
        <v>5.06306358673691</v>
      </c>
      <c r="DB379" s="63" t="n">
        <f aca="false">MATCH(MIN(CW379:DA379),CW379:DA379,0)</f>
        <v>2</v>
      </c>
    </row>
    <row r="380" customFormat="false" ht="15" hidden="false" customHeight="false" outlineLevel="0" collapsed="false">
      <c r="A380" s="36" t="str">
        <f aca="false">KMeans_Data!A108</f>
        <v>Tharparkar</v>
      </c>
      <c r="B380" s="17" t="n">
        <f aca="false">KMeans_Data!H108</f>
        <v>-0.997451006048382</v>
      </c>
      <c r="C380" s="17" t="n">
        <f aca="false">KMeans_Data!I108</f>
        <v>-0.672650545388274</v>
      </c>
      <c r="D380" s="17" t="n">
        <f aca="false">KMeans_Data!J108</f>
        <v>-0.636557171841548</v>
      </c>
      <c r="E380" s="63" t="n">
        <f aca="false">DB380</f>
        <v>2</v>
      </c>
      <c r="F380" s="38" t="n">
        <f aca="false">($B380-INDEX($L$270:$P$270,E380))^2+($C380-INDEX($L$271:$P$271,E380))^2+($D380-INDEX($L$272:$P$272,E380))^2</f>
        <v>0.270395629849798</v>
      </c>
      <c r="G380" s="17" t="n">
        <f aca="false">IF(COUNTIF(Distance_Matrix!$E$11:$DQ$11,$E380)&lt;=1,0,SUMIF(Distance_Matrix!$E$11:$DQ$11,$E380,Distance_Matrix!$E$117:$DQ$117)/(COUNTIF(Distance_Matrix!$E$11:$DQ$11,$E380)-1))</f>
        <v>0.670332017874618</v>
      </c>
      <c r="H380" s="17" t="n">
        <f aca="false">MIN(IF(1=$E380,1E+099,IF(COUNTIF(Distance_Matrix!$E$11:$DQ$11,1)=0,1E+099,SUMIF(Distance_Matrix!$E$11:$DQ$11,1,Distance_Matrix!$E$117:$DQ$117)/COUNTIF(Distance_Matrix!$E$11:$DQ$11,1))),IF(2=$E380,1E+099,IF(COUNTIF(Distance_Matrix!$E$11:$DQ$11,2)=0,1E+099,SUMIF(Distance_Matrix!$E$11:$DQ$11,2,Distance_Matrix!$E$117:$DQ$117)/COUNTIF(Distance_Matrix!$E$11:$DQ$11,2))),IF(3=$E380,1E+099,IF(COUNTIF(Distance_Matrix!$E$11:$DQ$11,3)=0,1E+099,SUMIF(Distance_Matrix!$E$11:$DQ$11,3,Distance_Matrix!$E$117:$DQ$117)/COUNTIF(Distance_Matrix!$E$11:$DQ$11,3))),IF(4=$E380,1E+099,IF(COUNTIF(Distance_Matrix!$E$11:$DQ$11,4)=0,1E+099,SUMIF(Distance_Matrix!$E$11:$DQ$11,4,Distance_Matrix!$E$117:$DQ$117)/COUNTIF(Distance_Matrix!$E$11:$DQ$11,4))),IF(5=$E380,1E+099,IF(COUNTIF(Distance_Matrix!$E$11:$DQ$11,5)=0,1E+099,SUMIF(Distance_Matrix!$E$11:$DQ$11,5,Distance_Matrix!$E$117:$DQ$117)/COUNTIF(Distance_Matrix!$E$11:$DQ$11,5))))</f>
        <v>1.12375039360272</v>
      </c>
      <c r="I380" s="17" t="n">
        <f aca="false">IF(COUNTIF(Distance_Matrix!$E$11:$DQ$11,$E380)&lt;=1,0,(H380-G380)/MAX(G380,H380))</f>
        <v>0.403486733628144</v>
      </c>
      <c r="X380" s="17" t="n">
        <f aca="false">SQRT(($B380-X$270)^2+($C380-X$271)^2+($D380-X$272)^2)</f>
        <v>7.45470370665017</v>
      </c>
      <c r="Y380" s="17" t="n">
        <f aca="false">SQRT(($B380-Y$270)^2+($C380-Y$271)^2+($D380-Y$272)^2)</f>
        <v>1.19604122627148</v>
      </c>
      <c r="Z380" s="17" t="n">
        <f aca="false">SQRT(($B380-Z$270)^2+($C380-Z$271)^2+($D380-Z$272)^2)</f>
        <v>3.11206598507103</v>
      </c>
      <c r="AA380" s="17" t="n">
        <f aca="false">SQRT(($B380-AA$270)^2+($C380-AA$271)^2+($D380-AA$272)^2)</f>
        <v>1.7987085468487</v>
      </c>
      <c r="AB380" s="17" t="n">
        <f aca="false">SQRT(($B380-AB$270)^2+($C380-AB$271)^2+($D380-AB$272)^2)</f>
        <v>5.39984587511534</v>
      </c>
      <c r="AC380" s="63" t="n">
        <f aca="false">MATCH(MIN(X380:AB380),X380:AB380,0)</f>
        <v>2</v>
      </c>
      <c r="AE380" s="17" t="n">
        <f aca="false">SQRT(($B380-AE$270)^2+($C380-AE$271)^2+($D380-AE$272)^2)</f>
        <v>7.34066473157329</v>
      </c>
      <c r="AF380" s="17" t="n">
        <f aca="false">SQRT(($B380-AF$270)^2+($C380-AF$271)^2+($D380-AF$272)^2)</f>
        <v>0.385839528174651</v>
      </c>
      <c r="AG380" s="17" t="n">
        <f aca="false">SQRT(($B380-AG$270)^2+($C380-AG$271)^2+($D380-AG$272)^2)</f>
        <v>2.44162890000702</v>
      </c>
      <c r="AH380" s="17" t="n">
        <f aca="false">SQRT(($B380-AH$270)^2+($C380-AH$271)^2+($D380-AH$272)^2)</f>
        <v>0.960880717810383</v>
      </c>
      <c r="AI380" s="17" t="n">
        <f aca="false">SQRT(($B380-AI$270)^2+($C380-AI$271)^2+($D380-AI$272)^2)</f>
        <v>5.07375046141807</v>
      </c>
      <c r="AJ380" s="63" t="n">
        <f aca="false">MATCH(MIN(AE380:AI380),AE380:AI380,0)</f>
        <v>2</v>
      </c>
      <c r="AL380" s="17" t="n">
        <f aca="false">SQRT(($B380-AL$270)^2+($C380-AL$271)^2+($D380-AL$272)^2)</f>
        <v>7.34066473157329</v>
      </c>
      <c r="AM380" s="17" t="n">
        <f aca="false">SQRT(($B380-AM$270)^2+($C380-AM$271)^2+($D380-AM$272)^2)</f>
        <v>0.421103356516047</v>
      </c>
      <c r="AN380" s="17" t="n">
        <f aca="false">SQRT(($B380-AN$270)^2+($C380-AN$271)^2+($D380-AN$272)^2)</f>
        <v>2.50846252156064</v>
      </c>
      <c r="AO380" s="17" t="n">
        <f aca="false">SQRT(($B380-AO$270)^2+($C380-AO$271)^2+($D380-AO$272)^2)</f>
        <v>0.960449633855569</v>
      </c>
      <c r="AP380" s="17" t="n">
        <f aca="false">SQRT(($B380-AP$270)^2+($C380-AP$271)^2+($D380-AP$272)^2)</f>
        <v>4.79929763618506</v>
      </c>
      <c r="AQ380" s="63" t="n">
        <f aca="false">MATCH(MIN(AL380:AP380),AL380:AP380,0)</f>
        <v>2</v>
      </c>
      <c r="AS380" s="17" t="n">
        <f aca="false">SQRT(($B380-AS$270)^2+($C380-AS$271)^2+($D380-AS$272)^2)</f>
        <v>7.34066473157329</v>
      </c>
      <c r="AT380" s="17" t="n">
        <f aca="false">SQRT(($B380-AT$270)^2+($C380-AT$271)^2+($D380-AT$272)^2)</f>
        <v>0.519995797915519</v>
      </c>
      <c r="AU380" s="17" t="n">
        <f aca="false">SQRT(($B380-AU$270)^2+($C380-AU$271)^2+($D380-AU$272)^2)</f>
        <v>2.53597347178319</v>
      </c>
      <c r="AV380" s="17" t="n">
        <f aca="false">SQRT(($B380-AV$270)^2+($C380-AV$271)^2+($D380-AV$272)^2)</f>
        <v>0.922069507897015</v>
      </c>
      <c r="AW380" s="17" t="n">
        <f aca="false">SQRT(($B380-AW$270)^2+($C380-AW$271)^2+($D380-AW$272)^2)</f>
        <v>4.79929763618506</v>
      </c>
      <c r="AX380" s="63" t="n">
        <f aca="false">MATCH(MIN(AS380:AW380),AS380:AW380,0)</f>
        <v>2</v>
      </c>
      <c r="AZ380" s="17" t="n">
        <f aca="false">SQRT(($B380-AZ$270)^2+($C380-AZ$271)^2+($D380-AZ$272)^2)</f>
        <v>7.34066473157329</v>
      </c>
      <c r="BA380" s="17" t="n">
        <f aca="false">SQRT(($B380-BA$270)^2+($C380-BA$271)^2+($D380-BA$272)^2)</f>
        <v>0.519995797915519</v>
      </c>
      <c r="BB380" s="17" t="n">
        <f aca="false">SQRT(($B380-BB$270)^2+($C380-BB$271)^2+($D380-BB$272)^2)</f>
        <v>2.53597347178319</v>
      </c>
      <c r="BC380" s="17" t="n">
        <f aca="false">SQRT(($B380-BC$270)^2+($C380-BC$271)^2+($D380-BC$272)^2)</f>
        <v>0.922069507897015</v>
      </c>
      <c r="BD380" s="17" t="n">
        <f aca="false">SQRT(($B380-BD$270)^2+($C380-BD$271)^2+($D380-BD$272)^2)</f>
        <v>4.79929763618506</v>
      </c>
      <c r="BE380" s="63" t="n">
        <f aca="false">MATCH(MIN(AZ380:BD380),AZ380:BD380,0)</f>
        <v>2</v>
      </c>
      <c r="BG380" s="17" t="n">
        <f aca="false">SQRT(($B380-BG$270)^2+($C380-BG$271)^2+($D380-BG$272)^2)</f>
        <v>7.34066473157329</v>
      </c>
      <c r="BH380" s="17" t="n">
        <f aca="false">SQRT(($B380-BH$270)^2+($C380-BH$271)^2+($D380-BH$272)^2)</f>
        <v>0.519995797915519</v>
      </c>
      <c r="BI380" s="17" t="n">
        <f aca="false">SQRT(($B380-BI$270)^2+($C380-BI$271)^2+($D380-BI$272)^2)</f>
        <v>2.53597347178319</v>
      </c>
      <c r="BJ380" s="17" t="n">
        <f aca="false">SQRT(($B380-BJ$270)^2+($C380-BJ$271)^2+($D380-BJ$272)^2)</f>
        <v>0.922069507897015</v>
      </c>
      <c r="BK380" s="17" t="n">
        <f aca="false">SQRT(($B380-BK$270)^2+($C380-BK$271)^2+($D380-BK$272)^2)</f>
        <v>4.79929763618506</v>
      </c>
      <c r="BL380" s="63" t="n">
        <f aca="false">MATCH(MIN(BG380:BK380),BG380:BK380,0)</f>
        <v>2</v>
      </c>
      <c r="BN380" s="17" t="n">
        <f aca="false">SQRT(($B380-BN$270)^2+($C380-BN$271)^2+($D380-BN$272)^2)</f>
        <v>7.34066473157329</v>
      </c>
      <c r="BO380" s="17" t="n">
        <f aca="false">SQRT(($B380-BO$270)^2+($C380-BO$271)^2+($D380-BO$272)^2)</f>
        <v>0.519995797915519</v>
      </c>
      <c r="BP380" s="17" t="n">
        <f aca="false">SQRT(($B380-BP$270)^2+($C380-BP$271)^2+($D380-BP$272)^2)</f>
        <v>2.53597347178319</v>
      </c>
      <c r="BQ380" s="17" t="n">
        <f aca="false">SQRT(($B380-BQ$270)^2+($C380-BQ$271)^2+($D380-BQ$272)^2)</f>
        <v>0.922069507897015</v>
      </c>
      <c r="BR380" s="17" t="n">
        <f aca="false">SQRT(($B380-BR$270)^2+($C380-BR$271)^2+($D380-BR$272)^2)</f>
        <v>4.79929763618506</v>
      </c>
      <c r="BS380" s="63" t="n">
        <f aca="false">MATCH(MIN(BN380:BR380),BN380:BR380,0)</f>
        <v>2</v>
      </c>
      <c r="BU380" s="17" t="n">
        <f aca="false">SQRT(($B380-BU$270)^2+($C380-BU$271)^2+($D380-BU$272)^2)</f>
        <v>7.34066473157329</v>
      </c>
      <c r="BV380" s="17" t="n">
        <f aca="false">SQRT(($B380-BV$270)^2+($C380-BV$271)^2+($D380-BV$272)^2)</f>
        <v>0.519995797915519</v>
      </c>
      <c r="BW380" s="17" t="n">
        <f aca="false">SQRT(($B380-BW$270)^2+($C380-BW$271)^2+($D380-BW$272)^2)</f>
        <v>2.53597347178319</v>
      </c>
      <c r="BX380" s="17" t="n">
        <f aca="false">SQRT(($B380-BX$270)^2+($C380-BX$271)^2+($D380-BX$272)^2)</f>
        <v>0.922069507897015</v>
      </c>
      <c r="BY380" s="17" t="n">
        <f aca="false">SQRT(($B380-BY$270)^2+($C380-BY$271)^2+($D380-BY$272)^2)</f>
        <v>4.79929763618506</v>
      </c>
      <c r="BZ380" s="63" t="n">
        <f aca="false">MATCH(MIN(BU380:BY380),BU380:BY380,0)</f>
        <v>2</v>
      </c>
      <c r="CB380" s="17" t="n">
        <f aca="false">SQRT(($B380-CB$270)^2+($C380-CB$271)^2+($D380-CB$272)^2)</f>
        <v>7.34066473157329</v>
      </c>
      <c r="CC380" s="17" t="n">
        <f aca="false">SQRT(($B380-CC$270)^2+($C380-CC$271)^2+($D380-CC$272)^2)</f>
        <v>0.519995797915519</v>
      </c>
      <c r="CD380" s="17" t="n">
        <f aca="false">SQRT(($B380-CD$270)^2+($C380-CD$271)^2+($D380-CD$272)^2)</f>
        <v>2.53597347178319</v>
      </c>
      <c r="CE380" s="17" t="n">
        <f aca="false">SQRT(($B380-CE$270)^2+($C380-CE$271)^2+($D380-CE$272)^2)</f>
        <v>0.922069507897015</v>
      </c>
      <c r="CF380" s="17" t="n">
        <f aca="false">SQRT(($B380-CF$270)^2+($C380-CF$271)^2+($D380-CF$272)^2)</f>
        <v>4.79929763618506</v>
      </c>
      <c r="CG380" s="63" t="n">
        <f aca="false">MATCH(MIN(CB380:CF380),CB380:CF380,0)</f>
        <v>2</v>
      </c>
      <c r="CI380" s="17" t="n">
        <f aca="false">SQRT(($B380-CI$270)^2+($C380-CI$271)^2+($D380-CI$272)^2)</f>
        <v>7.34066473157329</v>
      </c>
      <c r="CJ380" s="17" t="n">
        <f aca="false">SQRT(($B380-CJ$270)^2+($C380-CJ$271)^2+($D380-CJ$272)^2)</f>
        <v>0.519995797915519</v>
      </c>
      <c r="CK380" s="17" t="n">
        <f aca="false">SQRT(($B380-CK$270)^2+($C380-CK$271)^2+($D380-CK$272)^2)</f>
        <v>2.53597347178319</v>
      </c>
      <c r="CL380" s="17" t="n">
        <f aca="false">SQRT(($B380-CL$270)^2+($C380-CL$271)^2+($D380-CL$272)^2)</f>
        <v>0.922069507897015</v>
      </c>
      <c r="CM380" s="17" t="n">
        <f aca="false">SQRT(($B380-CM$270)^2+($C380-CM$271)^2+($D380-CM$272)^2)</f>
        <v>4.79929763618506</v>
      </c>
      <c r="CN380" s="63" t="n">
        <f aca="false">MATCH(MIN(CI380:CM380),CI380:CM380,0)</f>
        <v>2</v>
      </c>
      <c r="CP380" s="17" t="n">
        <f aca="false">SQRT(($B380-CP$270)^2+($C380-CP$271)^2+($D380-CP$272)^2)</f>
        <v>7.34066473157329</v>
      </c>
      <c r="CQ380" s="17" t="n">
        <f aca="false">SQRT(($B380-CQ$270)^2+($C380-CQ$271)^2+($D380-CQ$272)^2)</f>
        <v>0.519995797915519</v>
      </c>
      <c r="CR380" s="17" t="n">
        <f aca="false">SQRT(($B380-CR$270)^2+($C380-CR$271)^2+($D380-CR$272)^2)</f>
        <v>2.53597347178319</v>
      </c>
      <c r="CS380" s="17" t="n">
        <f aca="false">SQRT(($B380-CS$270)^2+($C380-CS$271)^2+($D380-CS$272)^2)</f>
        <v>0.922069507897015</v>
      </c>
      <c r="CT380" s="17" t="n">
        <f aca="false">SQRT(($B380-CT$270)^2+($C380-CT$271)^2+($D380-CT$272)^2)</f>
        <v>4.79929763618506</v>
      </c>
      <c r="CU380" s="63" t="n">
        <f aca="false">MATCH(MIN(CP380:CT380),CP380:CT380,0)</f>
        <v>2</v>
      </c>
      <c r="CW380" s="17" t="n">
        <f aca="false">SQRT(($B380-CW$270)^2+($C380-CW$271)^2+($D380-CW$272)^2)</f>
        <v>7.34066473157329</v>
      </c>
      <c r="CX380" s="17" t="n">
        <f aca="false">SQRT(($B380-CX$270)^2+($C380-CX$271)^2+($D380-CX$272)^2)</f>
        <v>0.519995797915519</v>
      </c>
      <c r="CY380" s="17" t="n">
        <f aca="false">SQRT(($B380-CY$270)^2+($C380-CY$271)^2+($D380-CY$272)^2)</f>
        <v>2.53597347178319</v>
      </c>
      <c r="CZ380" s="17" t="n">
        <f aca="false">SQRT(($B380-CZ$270)^2+($C380-CZ$271)^2+($D380-CZ$272)^2)</f>
        <v>0.922069507897015</v>
      </c>
      <c r="DA380" s="17" t="n">
        <f aca="false">SQRT(($B380-DA$270)^2+($C380-DA$271)^2+($D380-DA$272)^2)</f>
        <v>4.79929763618506</v>
      </c>
      <c r="DB380" s="63" t="n">
        <f aca="false">MATCH(MIN(CW380:DA380),CW380:DA380,0)</f>
        <v>2</v>
      </c>
    </row>
    <row r="381" customFormat="false" ht="15" hidden="false" customHeight="false" outlineLevel="0" collapsed="false">
      <c r="A381" s="36" t="str">
        <f aca="false">KMeans_Data!A109</f>
        <v>Chakwal</v>
      </c>
      <c r="B381" s="17" t="n">
        <f aca="false">KMeans_Data!H109</f>
        <v>-1.14718089935485</v>
      </c>
      <c r="C381" s="17" t="n">
        <f aca="false">KMeans_Data!I109</f>
        <v>-0.672650545388274</v>
      </c>
      <c r="D381" s="17" t="n">
        <f aca="false">KMeans_Data!J109</f>
        <v>-0.824446015898766</v>
      </c>
      <c r="E381" s="63" t="n">
        <f aca="false">DB381</f>
        <v>2</v>
      </c>
      <c r="F381" s="38" t="n">
        <f aca="false">($B381-INDEX($L$270:$P$270,E381))^2+($C381-INDEX($L$271:$P$271,E381))^2+($D381-INDEX($L$272:$P$272,E381))^2</f>
        <v>0.0797713276270151</v>
      </c>
      <c r="G381" s="17" t="n">
        <f aca="false">IF(COUNTIF(Distance_Matrix!$E$11:$DQ$11,$E381)&lt;=1,0,SUMIF(Distance_Matrix!$E$11:$DQ$11,$E381,Distance_Matrix!$E$118:$DQ$118)/(COUNTIF(Distance_Matrix!$E$11:$DQ$11,$E381)-1))</f>
        <v>0.527561152466431</v>
      </c>
      <c r="H381" s="17" t="n">
        <f aca="false">MIN(IF(1=$E381,1E+099,IF(COUNTIF(Distance_Matrix!$E$11:$DQ$11,1)=0,1E+099,SUMIF(Distance_Matrix!$E$11:$DQ$11,1,Distance_Matrix!$E$118:$DQ$118)/COUNTIF(Distance_Matrix!$E$11:$DQ$11,1))),IF(2=$E381,1E+099,IF(COUNTIF(Distance_Matrix!$E$11:$DQ$11,2)=0,1E+099,SUMIF(Distance_Matrix!$E$11:$DQ$11,2,Distance_Matrix!$E$118:$DQ$118)/COUNTIF(Distance_Matrix!$E$11:$DQ$11,2))),IF(3=$E381,1E+099,IF(COUNTIF(Distance_Matrix!$E$11:$DQ$11,3)=0,1E+099,SUMIF(Distance_Matrix!$E$11:$DQ$11,3,Distance_Matrix!$E$118:$DQ$118)/COUNTIF(Distance_Matrix!$E$11:$DQ$11,3))),IF(4=$E381,1E+099,IF(COUNTIF(Distance_Matrix!$E$11:$DQ$11,4)=0,1E+099,SUMIF(Distance_Matrix!$E$11:$DQ$11,4,Distance_Matrix!$E$118:$DQ$118)/COUNTIF(Distance_Matrix!$E$11:$DQ$11,4))),IF(5=$E381,1E+099,IF(COUNTIF(Distance_Matrix!$E$11:$DQ$11,5)=0,1E+099,SUMIF(Distance_Matrix!$E$11:$DQ$11,5,Distance_Matrix!$E$118:$DQ$118)/COUNTIF(Distance_Matrix!$E$11:$DQ$11,5))))</f>
        <v>1.29621705105506</v>
      </c>
      <c r="I381" s="17" t="n">
        <f aca="false">IF(COUNTIF(Distance_Matrix!$E$11:$DQ$11,$E381)&lt;=1,0,(H381-G381)/MAX(G381,H381))</f>
        <v>0.592999373031685</v>
      </c>
      <c r="X381" s="17" t="n">
        <f aca="false">SQRT(($B381-X$270)^2+($C381-X$271)^2+($D381-X$272)^2)</f>
        <v>7.64009488075629</v>
      </c>
      <c r="Y381" s="17" t="n">
        <f aca="false">SQRT(($B381-Y$270)^2+($C381-Y$271)^2+($D381-Y$272)^2)</f>
        <v>0.986321920950627</v>
      </c>
      <c r="Z381" s="17" t="n">
        <f aca="false">SQRT(($B381-Z$270)^2+($C381-Z$271)^2+($D381-Z$272)^2)</f>
        <v>3.33822742432139</v>
      </c>
      <c r="AA381" s="17" t="n">
        <f aca="false">SQRT(($B381-AA$270)^2+($C381-AA$271)^2+($D381-AA$272)^2)</f>
        <v>1.89573726078257</v>
      </c>
      <c r="AB381" s="17" t="n">
        <f aca="false">SQRT(($B381-AB$270)^2+($C381-AB$271)^2+($D381-AB$272)^2)</f>
        <v>5.59942119273589</v>
      </c>
      <c r="AC381" s="63" t="n">
        <f aca="false">MATCH(MIN(X381:AB381),X381:AB381,0)</f>
        <v>2</v>
      </c>
      <c r="AE381" s="17" t="n">
        <f aca="false">SQRT(($B381-AE$270)^2+($C381-AE$271)^2+($D381-AE$272)^2)</f>
        <v>7.52148084242281</v>
      </c>
      <c r="AF381" s="17" t="n">
        <f aca="false">SQRT(($B381-AF$270)^2+($C381-AF$271)^2+($D381-AF$272)^2)</f>
        <v>0.146379463800684</v>
      </c>
      <c r="AG381" s="17" t="n">
        <f aca="false">SQRT(($B381-AG$270)^2+($C381-AG$271)^2+($D381-AG$272)^2)</f>
        <v>2.65314318519333</v>
      </c>
      <c r="AH381" s="17" t="n">
        <f aca="false">SQRT(($B381-AH$270)^2+($C381-AH$271)^2+($D381-AH$272)^2)</f>
        <v>1.14329852575208</v>
      </c>
      <c r="AI381" s="17" t="n">
        <f aca="false">SQRT(($B381-AI$270)^2+($C381-AI$271)^2+($D381-AI$272)^2)</f>
        <v>5.25713275241983</v>
      </c>
      <c r="AJ381" s="63" t="n">
        <f aca="false">MATCH(MIN(AE381:AI381),AE381:AI381,0)</f>
        <v>2</v>
      </c>
      <c r="AL381" s="17" t="n">
        <f aca="false">SQRT(($B381-AL$270)^2+($C381-AL$271)^2+($D381-AL$272)^2)</f>
        <v>7.52148084242281</v>
      </c>
      <c r="AM381" s="17" t="n">
        <f aca="false">SQRT(($B381-AM$270)^2+($C381-AM$271)^2+($D381-AM$272)^2)</f>
        <v>0.183208080225369</v>
      </c>
      <c r="AN381" s="17" t="n">
        <f aca="false">SQRT(($B381-AN$270)^2+($C381-AN$271)^2+($D381-AN$272)^2)</f>
        <v>2.71742222784398</v>
      </c>
      <c r="AO381" s="17" t="n">
        <f aca="false">SQRT(($B381-AO$270)^2+($C381-AO$271)^2+($D381-AO$272)^2)</f>
        <v>1.15946109213247</v>
      </c>
      <c r="AP381" s="17" t="n">
        <f aca="false">SQRT(($B381-AP$270)^2+($C381-AP$271)^2+($D381-AP$272)^2)</f>
        <v>4.98228638403928</v>
      </c>
      <c r="AQ381" s="63" t="n">
        <f aca="false">MATCH(MIN(AL381:AP381),AL381:AP381,0)</f>
        <v>2</v>
      </c>
      <c r="AS381" s="17" t="n">
        <f aca="false">SQRT(($B381-AS$270)^2+($C381-AS$271)^2+($D381-AS$272)^2)</f>
        <v>7.52148084242281</v>
      </c>
      <c r="AT381" s="17" t="n">
        <f aca="false">SQRT(($B381-AT$270)^2+($C381-AT$271)^2+($D381-AT$272)^2)</f>
        <v>0.282438183727015</v>
      </c>
      <c r="AU381" s="17" t="n">
        <f aca="false">SQRT(($B381-AU$270)^2+($C381-AU$271)^2+($D381-AU$272)^2)</f>
        <v>2.74499553255704</v>
      </c>
      <c r="AV381" s="17" t="n">
        <f aca="false">SQRT(($B381-AV$270)^2+($C381-AV$271)^2+($D381-AV$272)^2)</f>
        <v>1.12532362015632</v>
      </c>
      <c r="AW381" s="17" t="n">
        <f aca="false">SQRT(($B381-AW$270)^2+($C381-AW$271)^2+($D381-AW$272)^2)</f>
        <v>4.98228638403928</v>
      </c>
      <c r="AX381" s="63" t="n">
        <f aca="false">MATCH(MIN(AS381:AW381),AS381:AW381,0)</f>
        <v>2</v>
      </c>
      <c r="AZ381" s="17" t="n">
        <f aca="false">SQRT(($B381-AZ$270)^2+($C381-AZ$271)^2+($D381-AZ$272)^2)</f>
        <v>7.52148084242281</v>
      </c>
      <c r="BA381" s="17" t="n">
        <f aca="false">SQRT(($B381-BA$270)^2+($C381-BA$271)^2+($D381-BA$272)^2)</f>
        <v>0.282438183727015</v>
      </c>
      <c r="BB381" s="17" t="n">
        <f aca="false">SQRT(($B381-BB$270)^2+($C381-BB$271)^2+($D381-BB$272)^2)</f>
        <v>2.74499553255704</v>
      </c>
      <c r="BC381" s="17" t="n">
        <f aca="false">SQRT(($B381-BC$270)^2+($C381-BC$271)^2+($D381-BC$272)^2)</f>
        <v>1.12532362015632</v>
      </c>
      <c r="BD381" s="17" t="n">
        <f aca="false">SQRT(($B381-BD$270)^2+($C381-BD$271)^2+($D381-BD$272)^2)</f>
        <v>4.98228638403928</v>
      </c>
      <c r="BE381" s="63" t="n">
        <f aca="false">MATCH(MIN(AZ381:BD381),AZ381:BD381,0)</f>
        <v>2</v>
      </c>
      <c r="BG381" s="17" t="n">
        <f aca="false">SQRT(($B381-BG$270)^2+($C381-BG$271)^2+($D381-BG$272)^2)</f>
        <v>7.52148084242281</v>
      </c>
      <c r="BH381" s="17" t="n">
        <f aca="false">SQRT(($B381-BH$270)^2+($C381-BH$271)^2+($D381-BH$272)^2)</f>
        <v>0.282438183727015</v>
      </c>
      <c r="BI381" s="17" t="n">
        <f aca="false">SQRT(($B381-BI$270)^2+($C381-BI$271)^2+($D381-BI$272)^2)</f>
        <v>2.74499553255704</v>
      </c>
      <c r="BJ381" s="17" t="n">
        <f aca="false">SQRT(($B381-BJ$270)^2+($C381-BJ$271)^2+($D381-BJ$272)^2)</f>
        <v>1.12532362015632</v>
      </c>
      <c r="BK381" s="17" t="n">
        <f aca="false">SQRT(($B381-BK$270)^2+($C381-BK$271)^2+($D381-BK$272)^2)</f>
        <v>4.98228638403928</v>
      </c>
      <c r="BL381" s="63" t="n">
        <f aca="false">MATCH(MIN(BG381:BK381),BG381:BK381,0)</f>
        <v>2</v>
      </c>
      <c r="BN381" s="17" t="n">
        <f aca="false">SQRT(($B381-BN$270)^2+($C381-BN$271)^2+($D381-BN$272)^2)</f>
        <v>7.52148084242281</v>
      </c>
      <c r="BO381" s="17" t="n">
        <f aca="false">SQRT(($B381-BO$270)^2+($C381-BO$271)^2+($D381-BO$272)^2)</f>
        <v>0.282438183727015</v>
      </c>
      <c r="BP381" s="17" t="n">
        <f aca="false">SQRT(($B381-BP$270)^2+($C381-BP$271)^2+($D381-BP$272)^2)</f>
        <v>2.74499553255704</v>
      </c>
      <c r="BQ381" s="17" t="n">
        <f aca="false">SQRT(($B381-BQ$270)^2+($C381-BQ$271)^2+($D381-BQ$272)^2)</f>
        <v>1.12532362015632</v>
      </c>
      <c r="BR381" s="17" t="n">
        <f aca="false">SQRT(($B381-BR$270)^2+($C381-BR$271)^2+($D381-BR$272)^2)</f>
        <v>4.98228638403928</v>
      </c>
      <c r="BS381" s="63" t="n">
        <f aca="false">MATCH(MIN(BN381:BR381),BN381:BR381,0)</f>
        <v>2</v>
      </c>
      <c r="BU381" s="17" t="n">
        <f aca="false">SQRT(($B381-BU$270)^2+($C381-BU$271)^2+($D381-BU$272)^2)</f>
        <v>7.52148084242281</v>
      </c>
      <c r="BV381" s="17" t="n">
        <f aca="false">SQRT(($B381-BV$270)^2+($C381-BV$271)^2+($D381-BV$272)^2)</f>
        <v>0.282438183727015</v>
      </c>
      <c r="BW381" s="17" t="n">
        <f aca="false">SQRT(($B381-BW$270)^2+($C381-BW$271)^2+($D381-BW$272)^2)</f>
        <v>2.74499553255704</v>
      </c>
      <c r="BX381" s="17" t="n">
        <f aca="false">SQRT(($B381-BX$270)^2+($C381-BX$271)^2+($D381-BX$272)^2)</f>
        <v>1.12532362015632</v>
      </c>
      <c r="BY381" s="17" t="n">
        <f aca="false">SQRT(($B381-BY$270)^2+($C381-BY$271)^2+($D381-BY$272)^2)</f>
        <v>4.98228638403928</v>
      </c>
      <c r="BZ381" s="63" t="n">
        <f aca="false">MATCH(MIN(BU381:BY381),BU381:BY381,0)</f>
        <v>2</v>
      </c>
      <c r="CB381" s="17" t="n">
        <f aca="false">SQRT(($B381-CB$270)^2+($C381-CB$271)^2+($D381-CB$272)^2)</f>
        <v>7.52148084242281</v>
      </c>
      <c r="CC381" s="17" t="n">
        <f aca="false">SQRT(($B381-CC$270)^2+($C381-CC$271)^2+($D381-CC$272)^2)</f>
        <v>0.282438183727015</v>
      </c>
      <c r="CD381" s="17" t="n">
        <f aca="false">SQRT(($B381-CD$270)^2+($C381-CD$271)^2+($D381-CD$272)^2)</f>
        <v>2.74499553255704</v>
      </c>
      <c r="CE381" s="17" t="n">
        <f aca="false">SQRT(($B381-CE$270)^2+($C381-CE$271)^2+($D381-CE$272)^2)</f>
        <v>1.12532362015632</v>
      </c>
      <c r="CF381" s="17" t="n">
        <f aca="false">SQRT(($B381-CF$270)^2+($C381-CF$271)^2+($D381-CF$272)^2)</f>
        <v>4.98228638403928</v>
      </c>
      <c r="CG381" s="63" t="n">
        <f aca="false">MATCH(MIN(CB381:CF381),CB381:CF381,0)</f>
        <v>2</v>
      </c>
      <c r="CI381" s="17" t="n">
        <f aca="false">SQRT(($B381-CI$270)^2+($C381-CI$271)^2+($D381-CI$272)^2)</f>
        <v>7.52148084242281</v>
      </c>
      <c r="CJ381" s="17" t="n">
        <f aca="false">SQRT(($B381-CJ$270)^2+($C381-CJ$271)^2+($D381-CJ$272)^2)</f>
        <v>0.282438183727015</v>
      </c>
      <c r="CK381" s="17" t="n">
        <f aca="false">SQRT(($B381-CK$270)^2+($C381-CK$271)^2+($D381-CK$272)^2)</f>
        <v>2.74499553255704</v>
      </c>
      <c r="CL381" s="17" t="n">
        <f aca="false">SQRT(($B381-CL$270)^2+($C381-CL$271)^2+($D381-CL$272)^2)</f>
        <v>1.12532362015632</v>
      </c>
      <c r="CM381" s="17" t="n">
        <f aca="false">SQRT(($B381-CM$270)^2+($C381-CM$271)^2+($D381-CM$272)^2)</f>
        <v>4.98228638403928</v>
      </c>
      <c r="CN381" s="63" t="n">
        <f aca="false">MATCH(MIN(CI381:CM381),CI381:CM381,0)</f>
        <v>2</v>
      </c>
      <c r="CP381" s="17" t="n">
        <f aca="false">SQRT(($B381-CP$270)^2+($C381-CP$271)^2+($D381-CP$272)^2)</f>
        <v>7.52148084242281</v>
      </c>
      <c r="CQ381" s="17" t="n">
        <f aca="false">SQRT(($B381-CQ$270)^2+($C381-CQ$271)^2+($D381-CQ$272)^2)</f>
        <v>0.282438183727015</v>
      </c>
      <c r="CR381" s="17" t="n">
        <f aca="false">SQRT(($B381-CR$270)^2+($C381-CR$271)^2+($D381-CR$272)^2)</f>
        <v>2.74499553255704</v>
      </c>
      <c r="CS381" s="17" t="n">
        <f aca="false">SQRT(($B381-CS$270)^2+($C381-CS$271)^2+($D381-CS$272)^2)</f>
        <v>1.12532362015632</v>
      </c>
      <c r="CT381" s="17" t="n">
        <f aca="false">SQRT(($B381-CT$270)^2+($C381-CT$271)^2+($D381-CT$272)^2)</f>
        <v>4.98228638403928</v>
      </c>
      <c r="CU381" s="63" t="n">
        <f aca="false">MATCH(MIN(CP381:CT381),CP381:CT381,0)</f>
        <v>2</v>
      </c>
      <c r="CW381" s="17" t="n">
        <f aca="false">SQRT(($B381-CW$270)^2+($C381-CW$271)^2+($D381-CW$272)^2)</f>
        <v>7.52148084242281</v>
      </c>
      <c r="CX381" s="17" t="n">
        <f aca="false">SQRT(($B381-CX$270)^2+($C381-CX$271)^2+($D381-CX$272)^2)</f>
        <v>0.282438183727015</v>
      </c>
      <c r="CY381" s="17" t="n">
        <f aca="false">SQRT(($B381-CY$270)^2+($C381-CY$271)^2+($D381-CY$272)^2)</f>
        <v>2.74499553255704</v>
      </c>
      <c r="CZ381" s="17" t="n">
        <f aca="false">SQRT(($B381-CZ$270)^2+($C381-CZ$271)^2+($D381-CZ$272)^2)</f>
        <v>1.12532362015632</v>
      </c>
      <c r="DA381" s="17" t="n">
        <f aca="false">SQRT(($B381-DA$270)^2+($C381-DA$271)^2+($D381-DA$272)^2)</f>
        <v>4.98228638403928</v>
      </c>
      <c r="DB381" s="63" t="n">
        <f aca="false">MATCH(MIN(CW381:DA381),CW381:DA381,0)</f>
        <v>2</v>
      </c>
    </row>
    <row r="382" customFormat="false" ht="15" hidden="false" customHeight="false" outlineLevel="0" collapsed="false">
      <c r="A382" s="36" t="str">
        <f aca="false">KMeans_Data!A110</f>
        <v>Pishin</v>
      </c>
      <c r="B382" s="17" t="n">
        <f aca="false">KMeans_Data!H110</f>
        <v>-1.35821333130003</v>
      </c>
      <c r="C382" s="17" t="n">
        <f aca="false">KMeans_Data!I110</f>
        <v>-0.672650545388274</v>
      </c>
      <c r="D382" s="17" t="n">
        <f aca="false">KMeans_Data!J110</f>
        <v>-1.14564411633355</v>
      </c>
      <c r="E382" s="63" t="n">
        <f aca="false">DB382</f>
        <v>2</v>
      </c>
      <c r="F382" s="38" t="n">
        <f aca="false">($B382-INDEX($L$270:$P$270,E382))^2+($C382-INDEX($L$271:$P$271,E382))^2+($D382-INDEX($L$272:$P$272,E382))^2</f>
        <v>0.0120289110686359</v>
      </c>
      <c r="G382" s="17" t="n">
        <f aca="false">IF(COUNTIF(Distance_Matrix!$E$11:$DQ$11,$E382)&lt;=1,0,SUMIF(Distance_Matrix!$E$11:$DQ$11,$E382,Distance_Matrix!$E$119:$DQ$119)/(COUNTIF(Distance_Matrix!$E$11:$DQ$11,$E382)-1))</f>
        <v>0.449279214888449</v>
      </c>
      <c r="H382" s="17" t="n">
        <f aca="false">MIN(IF(1=$E382,1E+099,IF(COUNTIF(Distance_Matrix!$E$11:$DQ$11,1)=0,1E+099,SUMIF(Distance_Matrix!$E$11:$DQ$11,1,Distance_Matrix!$E$119:$DQ$119)/COUNTIF(Distance_Matrix!$E$11:$DQ$11,1))),IF(2=$E382,1E+099,IF(COUNTIF(Distance_Matrix!$E$11:$DQ$11,2)=0,1E+099,SUMIF(Distance_Matrix!$E$11:$DQ$11,2,Distance_Matrix!$E$119:$DQ$119)/COUNTIF(Distance_Matrix!$E$11:$DQ$11,2))),IF(3=$E382,1E+099,IF(COUNTIF(Distance_Matrix!$E$11:$DQ$11,3)=0,1E+099,SUMIF(Distance_Matrix!$E$11:$DQ$11,3,Distance_Matrix!$E$119:$DQ$119)/COUNTIF(Distance_Matrix!$E$11:$DQ$11,3))),IF(4=$E382,1E+099,IF(COUNTIF(Distance_Matrix!$E$11:$DQ$11,4)=0,1E+099,SUMIF(Distance_Matrix!$E$11:$DQ$11,4,Distance_Matrix!$E$119:$DQ$119)/COUNTIF(Distance_Matrix!$E$11:$DQ$11,4))),IF(5=$E382,1E+099,IF(COUNTIF(Distance_Matrix!$E$11:$DQ$11,5)=0,1E+099,SUMIF(Distance_Matrix!$E$11:$DQ$11,5,Distance_Matrix!$E$119:$DQ$119)/COUNTIF(Distance_Matrix!$E$11:$DQ$11,5))))</f>
        <v>1.595014869857</v>
      </c>
      <c r="I382" s="17" t="n">
        <f aca="false">IF(COUNTIF(Distance_Matrix!$E$11:$DQ$11,$E382)&lt;=1,0,(H382-G382)/MAX(G382,H382))</f>
        <v>0.718322867467231</v>
      </c>
      <c r="X382" s="17" t="n">
        <f aca="false">SQRT(($B382-X$270)^2+($C382-X$271)^2+($D382-X$272)^2)</f>
        <v>7.93750965384981</v>
      </c>
      <c r="Y382" s="17" t="n">
        <f aca="false">SQRT(($B382-Y$270)^2+($C382-Y$271)^2+($D382-Y$272)^2)</f>
        <v>0.721524650503296</v>
      </c>
      <c r="Z382" s="17" t="n">
        <f aca="false">SQRT(($B382-Z$270)^2+($C382-Z$271)^2+($D382-Z$272)^2)</f>
        <v>3.6996860383442</v>
      </c>
      <c r="AA382" s="17" t="n">
        <f aca="false">SQRT(($B382-AA$270)^2+($C382-AA$271)^2+($D382-AA$272)^2)</f>
        <v>2.07168696749508</v>
      </c>
      <c r="AB382" s="17" t="n">
        <f aca="false">SQRT(($B382-AB$270)^2+($C382-AB$271)^2+($D382-AB$272)^2)</f>
        <v>5.91920639801052</v>
      </c>
      <c r="AC382" s="63" t="n">
        <f aca="false">MATCH(MIN(X382:AB382),X382:AB382,0)</f>
        <v>2</v>
      </c>
      <c r="AE382" s="17" t="n">
        <f aca="false">SQRT(($B382-AE$270)^2+($C382-AE$271)^2+($D382-AE$272)^2)</f>
        <v>7.81132487158024</v>
      </c>
      <c r="AF382" s="17" t="n">
        <f aca="false">SQRT(($B382-AF$270)^2+($C382-AF$271)^2+($D382-AF$272)^2)</f>
        <v>0.241594754372566</v>
      </c>
      <c r="AG382" s="17" t="n">
        <f aca="false">SQRT(($B382-AG$270)^2+($C382-AG$271)^2+($D382-AG$272)^2)</f>
        <v>2.99589999824656</v>
      </c>
      <c r="AH382" s="17" t="n">
        <f aca="false">SQRT(($B382-AH$270)^2+($C382-AH$271)^2+($D382-AH$272)^2)</f>
        <v>1.45333793577396</v>
      </c>
      <c r="AI382" s="17" t="n">
        <f aca="false">SQRT(($B382-AI$270)^2+($C382-AI$271)^2+($D382-AI$272)^2)</f>
        <v>5.55258997636063</v>
      </c>
      <c r="AJ382" s="63" t="n">
        <f aca="false">MATCH(MIN(AE382:AI382),AE382:AI382,0)</f>
        <v>2</v>
      </c>
      <c r="AL382" s="17" t="n">
        <f aca="false">SQRT(($B382-AL$270)^2+($C382-AL$271)^2+($D382-AL$272)^2)</f>
        <v>7.81132487158024</v>
      </c>
      <c r="AM382" s="17" t="n">
        <f aca="false">SQRT(($B382-AM$270)^2+($C382-AM$271)^2+($D382-AM$272)^2)</f>
        <v>0.204514001427447</v>
      </c>
      <c r="AN382" s="17" t="n">
        <f aca="false">SQRT(($B382-AN$270)^2+($C382-AN$271)^2+($D382-AN$272)^2)</f>
        <v>3.0562568118801</v>
      </c>
      <c r="AO382" s="17" t="n">
        <f aca="false">SQRT(($B382-AO$270)^2+($C382-AO$271)^2+($D382-AO$272)^2)</f>
        <v>1.48867418852752</v>
      </c>
      <c r="AP382" s="17" t="n">
        <f aca="false">SQRT(($B382-AP$270)^2+($C382-AP$271)^2+($D382-AP$272)^2)</f>
        <v>5.27783853068922</v>
      </c>
      <c r="AQ382" s="63" t="n">
        <f aca="false">MATCH(MIN(AL382:AP382),AL382:AP382,0)</f>
        <v>2</v>
      </c>
      <c r="AS382" s="17" t="n">
        <f aca="false">SQRT(($B382-AS$270)^2+($C382-AS$271)^2+($D382-AS$272)^2)</f>
        <v>7.81132487158024</v>
      </c>
      <c r="AT382" s="17" t="n">
        <f aca="false">SQRT(($B382-AT$270)^2+($C382-AT$271)^2+($D382-AT$272)^2)</f>
        <v>0.109676392485511</v>
      </c>
      <c r="AU382" s="17" t="n">
        <f aca="false">SQRT(($B382-AU$270)^2+($C382-AU$271)^2+($D382-AU$272)^2)</f>
        <v>3.08380021907286</v>
      </c>
      <c r="AV382" s="17" t="n">
        <f aca="false">SQRT(($B382-AV$270)^2+($C382-AV$271)^2+($D382-AV$272)^2)</f>
        <v>1.46034303833392</v>
      </c>
      <c r="AW382" s="17" t="n">
        <f aca="false">SQRT(($B382-AW$270)^2+($C382-AW$271)^2+($D382-AW$272)^2)</f>
        <v>5.27783853068922</v>
      </c>
      <c r="AX382" s="63" t="n">
        <f aca="false">MATCH(MIN(AS382:AW382),AS382:AW382,0)</f>
        <v>2</v>
      </c>
      <c r="AZ382" s="17" t="n">
        <f aca="false">SQRT(($B382-AZ$270)^2+($C382-AZ$271)^2+($D382-AZ$272)^2)</f>
        <v>7.81132487158024</v>
      </c>
      <c r="BA382" s="17" t="n">
        <f aca="false">SQRT(($B382-BA$270)^2+($C382-BA$271)^2+($D382-BA$272)^2)</f>
        <v>0.109676392485511</v>
      </c>
      <c r="BB382" s="17" t="n">
        <f aca="false">SQRT(($B382-BB$270)^2+($C382-BB$271)^2+($D382-BB$272)^2)</f>
        <v>3.08380021907286</v>
      </c>
      <c r="BC382" s="17" t="n">
        <f aca="false">SQRT(($B382-BC$270)^2+($C382-BC$271)^2+($D382-BC$272)^2)</f>
        <v>1.46034303833392</v>
      </c>
      <c r="BD382" s="17" t="n">
        <f aca="false">SQRT(($B382-BD$270)^2+($C382-BD$271)^2+($D382-BD$272)^2)</f>
        <v>5.27783853068922</v>
      </c>
      <c r="BE382" s="63" t="n">
        <f aca="false">MATCH(MIN(AZ382:BD382),AZ382:BD382,0)</f>
        <v>2</v>
      </c>
      <c r="BG382" s="17" t="n">
        <f aca="false">SQRT(($B382-BG$270)^2+($C382-BG$271)^2+($D382-BG$272)^2)</f>
        <v>7.81132487158024</v>
      </c>
      <c r="BH382" s="17" t="n">
        <f aca="false">SQRT(($B382-BH$270)^2+($C382-BH$271)^2+($D382-BH$272)^2)</f>
        <v>0.109676392485511</v>
      </c>
      <c r="BI382" s="17" t="n">
        <f aca="false">SQRT(($B382-BI$270)^2+($C382-BI$271)^2+($D382-BI$272)^2)</f>
        <v>3.08380021907286</v>
      </c>
      <c r="BJ382" s="17" t="n">
        <f aca="false">SQRT(($B382-BJ$270)^2+($C382-BJ$271)^2+($D382-BJ$272)^2)</f>
        <v>1.46034303833392</v>
      </c>
      <c r="BK382" s="17" t="n">
        <f aca="false">SQRT(($B382-BK$270)^2+($C382-BK$271)^2+($D382-BK$272)^2)</f>
        <v>5.27783853068922</v>
      </c>
      <c r="BL382" s="63" t="n">
        <f aca="false">MATCH(MIN(BG382:BK382),BG382:BK382,0)</f>
        <v>2</v>
      </c>
      <c r="BN382" s="17" t="n">
        <f aca="false">SQRT(($B382-BN$270)^2+($C382-BN$271)^2+($D382-BN$272)^2)</f>
        <v>7.81132487158024</v>
      </c>
      <c r="BO382" s="17" t="n">
        <f aca="false">SQRT(($B382-BO$270)^2+($C382-BO$271)^2+($D382-BO$272)^2)</f>
        <v>0.109676392485511</v>
      </c>
      <c r="BP382" s="17" t="n">
        <f aca="false">SQRT(($B382-BP$270)^2+($C382-BP$271)^2+($D382-BP$272)^2)</f>
        <v>3.08380021907286</v>
      </c>
      <c r="BQ382" s="17" t="n">
        <f aca="false">SQRT(($B382-BQ$270)^2+($C382-BQ$271)^2+($D382-BQ$272)^2)</f>
        <v>1.46034303833392</v>
      </c>
      <c r="BR382" s="17" t="n">
        <f aca="false">SQRT(($B382-BR$270)^2+($C382-BR$271)^2+($D382-BR$272)^2)</f>
        <v>5.27783853068922</v>
      </c>
      <c r="BS382" s="63" t="n">
        <f aca="false">MATCH(MIN(BN382:BR382),BN382:BR382,0)</f>
        <v>2</v>
      </c>
      <c r="BU382" s="17" t="n">
        <f aca="false">SQRT(($B382-BU$270)^2+($C382-BU$271)^2+($D382-BU$272)^2)</f>
        <v>7.81132487158024</v>
      </c>
      <c r="BV382" s="17" t="n">
        <f aca="false">SQRT(($B382-BV$270)^2+($C382-BV$271)^2+($D382-BV$272)^2)</f>
        <v>0.109676392485511</v>
      </c>
      <c r="BW382" s="17" t="n">
        <f aca="false">SQRT(($B382-BW$270)^2+($C382-BW$271)^2+($D382-BW$272)^2)</f>
        <v>3.08380021907286</v>
      </c>
      <c r="BX382" s="17" t="n">
        <f aca="false">SQRT(($B382-BX$270)^2+($C382-BX$271)^2+($D382-BX$272)^2)</f>
        <v>1.46034303833392</v>
      </c>
      <c r="BY382" s="17" t="n">
        <f aca="false">SQRT(($B382-BY$270)^2+($C382-BY$271)^2+($D382-BY$272)^2)</f>
        <v>5.27783853068922</v>
      </c>
      <c r="BZ382" s="63" t="n">
        <f aca="false">MATCH(MIN(BU382:BY382),BU382:BY382,0)</f>
        <v>2</v>
      </c>
      <c r="CB382" s="17" t="n">
        <f aca="false">SQRT(($B382-CB$270)^2+($C382-CB$271)^2+($D382-CB$272)^2)</f>
        <v>7.81132487158024</v>
      </c>
      <c r="CC382" s="17" t="n">
        <f aca="false">SQRT(($B382-CC$270)^2+($C382-CC$271)^2+($D382-CC$272)^2)</f>
        <v>0.109676392485511</v>
      </c>
      <c r="CD382" s="17" t="n">
        <f aca="false">SQRT(($B382-CD$270)^2+($C382-CD$271)^2+($D382-CD$272)^2)</f>
        <v>3.08380021907286</v>
      </c>
      <c r="CE382" s="17" t="n">
        <f aca="false">SQRT(($B382-CE$270)^2+($C382-CE$271)^2+($D382-CE$272)^2)</f>
        <v>1.46034303833392</v>
      </c>
      <c r="CF382" s="17" t="n">
        <f aca="false">SQRT(($B382-CF$270)^2+($C382-CF$271)^2+($D382-CF$272)^2)</f>
        <v>5.27783853068922</v>
      </c>
      <c r="CG382" s="63" t="n">
        <f aca="false">MATCH(MIN(CB382:CF382),CB382:CF382,0)</f>
        <v>2</v>
      </c>
      <c r="CI382" s="17" t="n">
        <f aca="false">SQRT(($B382-CI$270)^2+($C382-CI$271)^2+($D382-CI$272)^2)</f>
        <v>7.81132487158024</v>
      </c>
      <c r="CJ382" s="17" t="n">
        <f aca="false">SQRT(($B382-CJ$270)^2+($C382-CJ$271)^2+($D382-CJ$272)^2)</f>
        <v>0.109676392485511</v>
      </c>
      <c r="CK382" s="17" t="n">
        <f aca="false">SQRT(($B382-CK$270)^2+($C382-CK$271)^2+($D382-CK$272)^2)</f>
        <v>3.08380021907286</v>
      </c>
      <c r="CL382" s="17" t="n">
        <f aca="false">SQRT(($B382-CL$270)^2+($C382-CL$271)^2+($D382-CL$272)^2)</f>
        <v>1.46034303833392</v>
      </c>
      <c r="CM382" s="17" t="n">
        <f aca="false">SQRT(($B382-CM$270)^2+($C382-CM$271)^2+($D382-CM$272)^2)</f>
        <v>5.27783853068922</v>
      </c>
      <c r="CN382" s="63" t="n">
        <f aca="false">MATCH(MIN(CI382:CM382),CI382:CM382,0)</f>
        <v>2</v>
      </c>
      <c r="CP382" s="17" t="n">
        <f aca="false">SQRT(($B382-CP$270)^2+($C382-CP$271)^2+($D382-CP$272)^2)</f>
        <v>7.81132487158024</v>
      </c>
      <c r="CQ382" s="17" t="n">
        <f aca="false">SQRT(($B382-CQ$270)^2+($C382-CQ$271)^2+($D382-CQ$272)^2)</f>
        <v>0.109676392485511</v>
      </c>
      <c r="CR382" s="17" t="n">
        <f aca="false">SQRT(($B382-CR$270)^2+($C382-CR$271)^2+($D382-CR$272)^2)</f>
        <v>3.08380021907286</v>
      </c>
      <c r="CS382" s="17" t="n">
        <f aca="false">SQRT(($B382-CS$270)^2+($C382-CS$271)^2+($D382-CS$272)^2)</f>
        <v>1.46034303833392</v>
      </c>
      <c r="CT382" s="17" t="n">
        <f aca="false">SQRT(($B382-CT$270)^2+($C382-CT$271)^2+($D382-CT$272)^2)</f>
        <v>5.27783853068922</v>
      </c>
      <c r="CU382" s="63" t="n">
        <f aca="false">MATCH(MIN(CP382:CT382),CP382:CT382,0)</f>
        <v>2</v>
      </c>
      <c r="CW382" s="17" t="n">
        <f aca="false">SQRT(($B382-CW$270)^2+($C382-CW$271)^2+($D382-CW$272)^2)</f>
        <v>7.81132487158024</v>
      </c>
      <c r="CX382" s="17" t="n">
        <f aca="false">SQRT(($B382-CX$270)^2+($C382-CX$271)^2+($D382-CX$272)^2)</f>
        <v>0.109676392485511</v>
      </c>
      <c r="CY382" s="17" t="n">
        <f aca="false">SQRT(($B382-CY$270)^2+($C382-CY$271)^2+($D382-CY$272)^2)</f>
        <v>3.08380021907286</v>
      </c>
      <c r="CZ382" s="17" t="n">
        <f aca="false">SQRT(($B382-CZ$270)^2+($C382-CZ$271)^2+($D382-CZ$272)^2)</f>
        <v>1.46034303833392</v>
      </c>
      <c r="DA382" s="17" t="n">
        <f aca="false">SQRT(($B382-DA$270)^2+($C382-DA$271)^2+($D382-DA$272)^2)</f>
        <v>5.27783853068922</v>
      </c>
      <c r="DB382" s="63" t="n">
        <f aca="false">MATCH(MIN(CW382:DA382),CW382:DA382,0)</f>
        <v>2</v>
      </c>
    </row>
    <row r="383" customFormat="false" ht="15" hidden="false" customHeight="false" outlineLevel="0" collapsed="false">
      <c r="A383" s="36" t="str">
        <f aca="false">KMeans_Data!A111</f>
        <v>Kohistan Lower</v>
      </c>
      <c r="B383" s="17" t="n">
        <f aca="false">KMeans_Data!H111</f>
        <v>-1.50794322460649</v>
      </c>
      <c r="C383" s="17" t="n">
        <f aca="false">KMeans_Data!I111</f>
        <v>-0.672650545388274</v>
      </c>
      <c r="D383" s="17" t="n">
        <f aca="false">KMeans_Data!J111</f>
        <v>-1.14564411633355</v>
      </c>
      <c r="E383" s="63" t="n">
        <f aca="false">DB383</f>
        <v>2</v>
      </c>
      <c r="F383" s="38" t="n">
        <f aca="false">($B383-INDEX($L$270:$P$270,E383))^2+($C383-INDEX($L$271:$P$271,E383))^2+($D383-INDEX($L$272:$P$272,E383))^2</f>
        <v>0.0584757217736675</v>
      </c>
      <c r="G383" s="17" t="n">
        <f aca="false">IF(COUNTIF(Distance_Matrix!$E$11:$DQ$11,$E383)&lt;=1,0,SUMIF(Distance_Matrix!$E$11:$DQ$11,$E383,Distance_Matrix!$E$120:$DQ$120)/(COUNTIF(Distance_Matrix!$E$11:$DQ$11,$E383)-1))</f>
        <v>0.459154908978199</v>
      </c>
      <c r="H383" s="17" t="n">
        <f aca="false">MIN(IF(1=$E383,1E+099,IF(COUNTIF(Distance_Matrix!$E$11:$DQ$11,1)=0,1E+099,SUMIF(Distance_Matrix!$E$11:$DQ$11,1,Distance_Matrix!$E$120:$DQ$120)/COUNTIF(Distance_Matrix!$E$11:$DQ$11,1))),IF(2=$E383,1E+099,IF(COUNTIF(Distance_Matrix!$E$11:$DQ$11,2)=0,1E+099,SUMIF(Distance_Matrix!$E$11:$DQ$11,2,Distance_Matrix!$E$120:$DQ$120)/COUNTIF(Distance_Matrix!$E$11:$DQ$11,2))),IF(3=$E383,1E+099,IF(COUNTIF(Distance_Matrix!$E$11:$DQ$11,3)=0,1E+099,SUMIF(Distance_Matrix!$E$11:$DQ$11,3,Distance_Matrix!$E$120:$DQ$120)/COUNTIF(Distance_Matrix!$E$11:$DQ$11,3))),IF(4=$E383,1E+099,IF(COUNTIF(Distance_Matrix!$E$11:$DQ$11,4)=0,1E+099,SUMIF(Distance_Matrix!$E$11:$DQ$11,4,Distance_Matrix!$E$120:$DQ$120)/COUNTIF(Distance_Matrix!$E$11:$DQ$11,4))),IF(5=$E383,1E+099,IF(COUNTIF(Distance_Matrix!$E$11:$DQ$11,5)=0,1E+099,SUMIF(Distance_Matrix!$E$11:$DQ$11,5,Distance_Matrix!$E$120:$DQ$120)/COUNTIF(Distance_Matrix!$E$11:$DQ$11,5))))</f>
        <v>1.71328356860064</v>
      </c>
      <c r="I383" s="17" t="n">
        <f aca="false">IF(COUNTIF(Distance_Matrix!$E$11:$DQ$11,$E383)&lt;=1,0,(H383-G383)/MAX(G383,H383))</f>
        <v>0.732002969389811</v>
      </c>
      <c r="X383" s="17" t="n">
        <f aca="false">SQRT(($B383-X$270)^2+($C383-X$271)^2+($D383-X$272)^2)</f>
        <v>8.02581663311103</v>
      </c>
      <c r="Y383" s="17" t="n">
        <f aca="false">SQRT(($B383-Y$270)^2+($C383-Y$271)^2+($D383-Y$272)^2)</f>
        <v>0.571794757196831</v>
      </c>
      <c r="Z383" s="17" t="n">
        <f aca="false">SQRT(($B383-Z$270)^2+($C383-Z$271)^2+($D383-Z$272)^2)</f>
        <v>3.79835053358808</v>
      </c>
      <c r="AA383" s="17" t="n">
        <f aca="false">SQRT(($B383-AA$270)^2+($C383-AA$271)^2+($D383-AA$272)^2)</f>
        <v>2.21684219622619</v>
      </c>
      <c r="AB383" s="17" t="n">
        <f aca="false">SQRT(($B383-AB$270)^2+($C383-AB$271)^2+($D383-AB$272)^2)</f>
        <v>6.01450213396371</v>
      </c>
      <c r="AC383" s="63" t="n">
        <f aca="false">MATCH(MIN(X383:AB383),X383:AB383,0)</f>
        <v>2</v>
      </c>
      <c r="AE383" s="17" t="n">
        <f aca="false">SQRT(($B383-AE$270)^2+($C383-AE$271)^2+($D383-AE$272)^2)</f>
        <v>7.90081339423267</v>
      </c>
      <c r="AF383" s="17" t="n">
        <f aca="false">SQRT(($B383-AF$270)^2+($C383-AF$271)^2+($D383-AF$272)^2)</f>
        <v>0.340418143929567</v>
      </c>
      <c r="AG383" s="17" t="n">
        <f aca="false">SQRT(($B383-AG$270)^2+($C383-AG$271)^2+($D383-AG$272)^2)</f>
        <v>3.09332190755243</v>
      </c>
      <c r="AH383" s="17" t="n">
        <f aca="false">SQRT(($B383-AH$270)^2+($C383-AH$271)^2+($D383-AH$272)^2)</f>
        <v>1.58830015694501</v>
      </c>
      <c r="AI383" s="17" t="n">
        <f aca="false">SQRT(($B383-AI$270)^2+($C383-AI$271)^2+($D383-AI$272)^2)</f>
        <v>5.64689046213842</v>
      </c>
      <c r="AJ383" s="63" t="n">
        <f aca="false">MATCH(MIN(AE383:AI383),AE383:AI383,0)</f>
        <v>2</v>
      </c>
      <c r="AL383" s="17" t="n">
        <f aca="false">SQRT(($B383-AL$270)^2+($C383-AL$271)^2+($D383-AL$272)^2)</f>
        <v>7.90081339423267</v>
      </c>
      <c r="AM383" s="17" t="n">
        <f aca="false">SQRT(($B383-AM$270)^2+($C383-AM$271)^2+($D383-AM$272)^2)</f>
        <v>0.319309729115032</v>
      </c>
      <c r="AN383" s="17" t="n">
        <f aca="false">SQRT(($B383-AN$270)^2+($C383-AN$271)^2+($D383-AN$272)^2)</f>
        <v>3.15419825352143</v>
      </c>
      <c r="AO383" s="17" t="n">
        <f aca="false">SQRT(($B383-AO$270)^2+($C383-AO$271)^2+($D383-AO$272)^2)</f>
        <v>1.61894803382872</v>
      </c>
      <c r="AP383" s="17" t="n">
        <f aca="false">SQRT(($B383-AP$270)^2+($C383-AP$271)^2+($D383-AP$272)^2)</f>
        <v>5.37157332215243</v>
      </c>
      <c r="AQ383" s="63" t="n">
        <f aca="false">MATCH(MIN(AL383:AP383),AL383:AP383,0)</f>
        <v>2</v>
      </c>
      <c r="AS383" s="17" t="n">
        <f aca="false">SQRT(($B383-AS$270)^2+($C383-AS$271)^2+($D383-AS$272)^2)</f>
        <v>7.90081339423267</v>
      </c>
      <c r="AT383" s="17" t="n">
        <f aca="false">SQRT(($B383-AT$270)^2+($C383-AT$271)^2+($D383-AT$272)^2)</f>
        <v>0.241817538184614</v>
      </c>
      <c r="AU383" s="17" t="n">
        <f aca="false">SQRT(($B383-AU$270)^2+($C383-AU$271)^2+($D383-AU$272)^2)</f>
        <v>3.18180440324111</v>
      </c>
      <c r="AV383" s="17" t="n">
        <f aca="false">SQRT(($B383-AV$270)^2+($C383-AV$271)^2+($D383-AV$272)^2)</f>
        <v>1.58846335925375</v>
      </c>
      <c r="AW383" s="17" t="n">
        <f aca="false">SQRT(($B383-AW$270)^2+($C383-AW$271)^2+($D383-AW$272)^2)</f>
        <v>5.37157332215243</v>
      </c>
      <c r="AX383" s="63" t="n">
        <f aca="false">MATCH(MIN(AS383:AW383),AS383:AW383,0)</f>
        <v>2</v>
      </c>
      <c r="AZ383" s="17" t="n">
        <f aca="false">SQRT(($B383-AZ$270)^2+($C383-AZ$271)^2+($D383-AZ$272)^2)</f>
        <v>7.90081339423267</v>
      </c>
      <c r="BA383" s="17" t="n">
        <f aca="false">SQRT(($B383-BA$270)^2+($C383-BA$271)^2+($D383-BA$272)^2)</f>
        <v>0.241817538184614</v>
      </c>
      <c r="BB383" s="17" t="n">
        <f aca="false">SQRT(($B383-BB$270)^2+($C383-BB$271)^2+($D383-BB$272)^2)</f>
        <v>3.18180440324111</v>
      </c>
      <c r="BC383" s="17" t="n">
        <f aca="false">SQRT(($B383-BC$270)^2+($C383-BC$271)^2+($D383-BC$272)^2)</f>
        <v>1.58846335925375</v>
      </c>
      <c r="BD383" s="17" t="n">
        <f aca="false">SQRT(($B383-BD$270)^2+($C383-BD$271)^2+($D383-BD$272)^2)</f>
        <v>5.37157332215243</v>
      </c>
      <c r="BE383" s="63" t="n">
        <f aca="false">MATCH(MIN(AZ383:BD383),AZ383:BD383,0)</f>
        <v>2</v>
      </c>
      <c r="BG383" s="17" t="n">
        <f aca="false">SQRT(($B383-BG$270)^2+($C383-BG$271)^2+($D383-BG$272)^2)</f>
        <v>7.90081339423267</v>
      </c>
      <c r="BH383" s="17" t="n">
        <f aca="false">SQRT(($B383-BH$270)^2+($C383-BH$271)^2+($D383-BH$272)^2)</f>
        <v>0.241817538184614</v>
      </c>
      <c r="BI383" s="17" t="n">
        <f aca="false">SQRT(($B383-BI$270)^2+($C383-BI$271)^2+($D383-BI$272)^2)</f>
        <v>3.18180440324111</v>
      </c>
      <c r="BJ383" s="17" t="n">
        <f aca="false">SQRT(($B383-BJ$270)^2+($C383-BJ$271)^2+($D383-BJ$272)^2)</f>
        <v>1.58846335925375</v>
      </c>
      <c r="BK383" s="17" t="n">
        <f aca="false">SQRT(($B383-BK$270)^2+($C383-BK$271)^2+($D383-BK$272)^2)</f>
        <v>5.37157332215243</v>
      </c>
      <c r="BL383" s="63" t="n">
        <f aca="false">MATCH(MIN(BG383:BK383),BG383:BK383,0)</f>
        <v>2</v>
      </c>
      <c r="BN383" s="17" t="n">
        <f aca="false">SQRT(($B383-BN$270)^2+($C383-BN$271)^2+($D383-BN$272)^2)</f>
        <v>7.90081339423267</v>
      </c>
      <c r="BO383" s="17" t="n">
        <f aca="false">SQRT(($B383-BO$270)^2+($C383-BO$271)^2+($D383-BO$272)^2)</f>
        <v>0.241817538184614</v>
      </c>
      <c r="BP383" s="17" t="n">
        <f aca="false">SQRT(($B383-BP$270)^2+($C383-BP$271)^2+($D383-BP$272)^2)</f>
        <v>3.18180440324111</v>
      </c>
      <c r="BQ383" s="17" t="n">
        <f aca="false">SQRT(($B383-BQ$270)^2+($C383-BQ$271)^2+($D383-BQ$272)^2)</f>
        <v>1.58846335925375</v>
      </c>
      <c r="BR383" s="17" t="n">
        <f aca="false">SQRT(($B383-BR$270)^2+($C383-BR$271)^2+($D383-BR$272)^2)</f>
        <v>5.37157332215243</v>
      </c>
      <c r="BS383" s="63" t="n">
        <f aca="false">MATCH(MIN(BN383:BR383),BN383:BR383,0)</f>
        <v>2</v>
      </c>
      <c r="BU383" s="17" t="n">
        <f aca="false">SQRT(($B383-BU$270)^2+($C383-BU$271)^2+($D383-BU$272)^2)</f>
        <v>7.90081339423267</v>
      </c>
      <c r="BV383" s="17" t="n">
        <f aca="false">SQRT(($B383-BV$270)^2+($C383-BV$271)^2+($D383-BV$272)^2)</f>
        <v>0.241817538184614</v>
      </c>
      <c r="BW383" s="17" t="n">
        <f aca="false">SQRT(($B383-BW$270)^2+($C383-BW$271)^2+($D383-BW$272)^2)</f>
        <v>3.18180440324111</v>
      </c>
      <c r="BX383" s="17" t="n">
        <f aca="false">SQRT(($B383-BX$270)^2+($C383-BX$271)^2+($D383-BX$272)^2)</f>
        <v>1.58846335925375</v>
      </c>
      <c r="BY383" s="17" t="n">
        <f aca="false">SQRT(($B383-BY$270)^2+($C383-BY$271)^2+($D383-BY$272)^2)</f>
        <v>5.37157332215243</v>
      </c>
      <c r="BZ383" s="63" t="n">
        <f aca="false">MATCH(MIN(BU383:BY383),BU383:BY383,0)</f>
        <v>2</v>
      </c>
      <c r="CB383" s="17" t="n">
        <f aca="false">SQRT(($B383-CB$270)^2+($C383-CB$271)^2+($D383-CB$272)^2)</f>
        <v>7.90081339423267</v>
      </c>
      <c r="CC383" s="17" t="n">
        <f aca="false">SQRT(($B383-CC$270)^2+($C383-CC$271)^2+($D383-CC$272)^2)</f>
        <v>0.241817538184614</v>
      </c>
      <c r="CD383" s="17" t="n">
        <f aca="false">SQRT(($B383-CD$270)^2+($C383-CD$271)^2+($D383-CD$272)^2)</f>
        <v>3.18180440324111</v>
      </c>
      <c r="CE383" s="17" t="n">
        <f aca="false">SQRT(($B383-CE$270)^2+($C383-CE$271)^2+($D383-CE$272)^2)</f>
        <v>1.58846335925375</v>
      </c>
      <c r="CF383" s="17" t="n">
        <f aca="false">SQRT(($B383-CF$270)^2+($C383-CF$271)^2+($D383-CF$272)^2)</f>
        <v>5.37157332215243</v>
      </c>
      <c r="CG383" s="63" t="n">
        <f aca="false">MATCH(MIN(CB383:CF383),CB383:CF383,0)</f>
        <v>2</v>
      </c>
      <c r="CI383" s="17" t="n">
        <f aca="false">SQRT(($B383-CI$270)^2+($C383-CI$271)^2+($D383-CI$272)^2)</f>
        <v>7.90081339423267</v>
      </c>
      <c r="CJ383" s="17" t="n">
        <f aca="false">SQRT(($B383-CJ$270)^2+($C383-CJ$271)^2+($D383-CJ$272)^2)</f>
        <v>0.241817538184614</v>
      </c>
      <c r="CK383" s="17" t="n">
        <f aca="false">SQRT(($B383-CK$270)^2+($C383-CK$271)^2+($D383-CK$272)^2)</f>
        <v>3.18180440324111</v>
      </c>
      <c r="CL383" s="17" t="n">
        <f aca="false">SQRT(($B383-CL$270)^2+($C383-CL$271)^2+($D383-CL$272)^2)</f>
        <v>1.58846335925375</v>
      </c>
      <c r="CM383" s="17" t="n">
        <f aca="false">SQRT(($B383-CM$270)^2+($C383-CM$271)^2+($D383-CM$272)^2)</f>
        <v>5.37157332215243</v>
      </c>
      <c r="CN383" s="63" t="n">
        <f aca="false">MATCH(MIN(CI383:CM383),CI383:CM383,0)</f>
        <v>2</v>
      </c>
      <c r="CP383" s="17" t="n">
        <f aca="false">SQRT(($B383-CP$270)^2+($C383-CP$271)^2+($D383-CP$272)^2)</f>
        <v>7.90081339423267</v>
      </c>
      <c r="CQ383" s="17" t="n">
        <f aca="false">SQRT(($B383-CQ$270)^2+($C383-CQ$271)^2+($D383-CQ$272)^2)</f>
        <v>0.241817538184614</v>
      </c>
      <c r="CR383" s="17" t="n">
        <f aca="false">SQRT(($B383-CR$270)^2+($C383-CR$271)^2+($D383-CR$272)^2)</f>
        <v>3.18180440324111</v>
      </c>
      <c r="CS383" s="17" t="n">
        <f aca="false">SQRT(($B383-CS$270)^2+($C383-CS$271)^2+($D383-CS$272)^2)</f>
        <v>1.58846335925375</v>
      </c>
      <c r="CT383" s="17" t="n">
        <f aca="false">SQRT(($B383-CT$270)^2+($C383-CT$271)^2+($D383-CT$272)^2)</f>
        <v>5.37157332215243</v>
      </c>
      <c r="CU383" s="63" t="n">
        <f aca="false">MATCH(MIN(CP383:CT383),CP383:CT383,0)</f>
        <v>2</v>
      </c>
      <c r="CW383" s="17" t="n">
        <f aca="false">SQRT(($B383-CW$270)^2+($C383-CW$271)^2+($D383-CW$272)^2)</f>
        <v>7.90081339423267</v>
      </c>
      <c r="CX383" s="17" t="n">
        <f aca="false">SQRT(($B383-CX$270)^2+($C383-CX$271)^2+($D383-CX$272)^2)</f>
        <v>0.241817538184614</v>
      </c>
      <c r="CY383" s="17" t="n">
        <f aca="false">SQRT(($B383-CY$270)^2+($C383-CY$271)^2+($D383-CY$272)^2)</f>
        <v>3.18180440324111</v>
      </c>
      <c r="CZ383" s="17" t="n">
        <f aca="false">SQRT(($B383-CZ$270)^2+($C383-CZ$271)^2+($D383-CZ$272)^2)</f>
        <v>1.58846335925375</v>
      </c>
      <c r="DA383" s="17" t="n">
        <f aca="false">SQRT(($B383-DA$270)^2+($C383-DA$271)^2+($D383-DA$272)^2)</f>
        <v>5.37157332215243</v>
      </c>
      <c r="DB383" s="63" t="n">
        <f aca="false">MATCH(MIN(CW383:DA383),CW383:DA383,0)</f>
        <v>2</v>
      </c>
    </row>
    <row r="384" customFormat="false" ht="15" hidden="false" customHeight="false" outlineLevel="0" collapsed="false">
      <c r="A384" s="36" t="str">
        <f aca="false">KMeans_Data!A112</f>
        <v>Bhambore</v>
      </c>
      <c r="B384" s="17" t="n">
        <f aca="false">KMeans_Data!H112</f>
        <v>-1.50794322460649</v>
      </c>
      <c r="C384" s="17" t="n">
        <f aca="false">KMeans_Data!I112</f>
        <v>-0.672650545388274</v>
      </c>
      <c r="D384" s="17" t="n">
        <f aca="false">KMeans_Data!J112</f>
        <v>-1.14564411633355</v>
      </c>
      <c r="E384" s="63" t="n">
        <f aca="false">DB384</f>
        <v>2</v>
      </c>
      <c r="F384" s="38" t="n">
        <f aca="false">($B384-INDEX($L$270:$P$270,E384))^2+($C384-INDEX($L$271:$P$271,E384))^2+($D384-INDEX($L$272:$P$272,E384))^2</f>
        <v>0.0584757217736675</v>
      </c>
      <c r="G384" s="17" t="n">
        <f aca="false">IF(COUNTIF(Distance_Matrix!$E$11:$DQ$11,$E384)&lt;=1,0,SUMIF(Distance_Matrix!$E$11:$DQ$11,$E384,Distance_Matrix!$E$121:$DQ$121)/(COUNTIF(Distance_Matrix!$E$11:$DQ$11,$E384)-1))</f>
        <v>0.459154908978199</v>
      </c>
      <c r="H384" s="17" t="n">
        <f aca="false">MIN(IF(1=$E384,1E+099,IF(COUNTIF(Distance_Matrix!$E$11:$DQ$11,1)=0,1E+099,SUMIF(Distance_Matrix!$E$11:$DQ$11,1,Distance_Matrix!$E$121:$DQ$121)/COUNTIF(Distance_Matrix!$E$11:$DQ$11,1))),IF(2=$E384,1E+099,IF(COUNTIF(Distance_Matrix!$E$11:$DQ$11,2)=0,1E+099,SUMIF(Distance_Matrix!$E$11:$DQ$11,2,Distance_Matrix!$E$121:$DQ$121)/COUNTIF(Distance_Matrix!$E$11:$DQ$11,2))),IF(3=$E384,1E+099,IF(COUNTIF(Distance_Matrix!$E$11:$DQ$11,3)=0,1E+099,SUMIF(Distance_Matrix!$E$11:$DQ$11,3,Distance_Matrix!$E$121:$DQ$121)/COUNTIF(Distance_Matrix!$E$11:$DQ$11,3))),IF(4=$E384,1E+099,IF(COUNTIF(Distance_Matrix!$E$11:$DQ$11,4)=0,1E+099,SUMIF(Distance_Matrix!$E$11:$DQ$11,4,Distance_Matrix!$E$121:$DQ$121)/COUNTIF(Distance_Matrix!$E$11:$DQ$11,4))),IF(5=$E384,1E+099,IF(COUNTIF(Distance_Matrix!$E$11:$DQ$11,5)=0,1E+099,SUMIF(Distance_Matrix!$E$11:$DQ$11,5,Distance_Matrix!$E$121:$DQ$121)/COUNTIF(Distance_Matrix!$E$11:$DQ$11,5))))</f>
        <v>1.71328356860064</v>
      </c>
      <c r="I384" s="17" t="n">
        <f aca="false">IF(COUNTIF(Distance_Matrix!$E$11:$DQ$11,$E384)&lt;=1,0,(H384-G384)/MAX(G384,H384))</f>
        <v>0.732002969389811</v>
      </c>
      <c r="X384" s="17" t="n">
        <f aca="false">SQRT(($B384-X$270)^2+($C384-X$271)^2+($D384-X$272)^2)</f>
        <v>8.02581663311103</v>
      </c>
      <c r="Y384" s="17" t="n">
        <f aca="false">SQRT(($B384-Y$270)^2+($C384-Y$271)^2+($D384-Y$272)^2)</f>
        <v>0.571794757196831</v>
      </c>
      <c r="Z384" s="17" t="n">
        <f aca="false">SQRT(($B384-Z$270)^2+($C384-Z$271)^2+($D384-Z$272)^2)</f>
        <v>3.79835053358808</v>
      </c>
      <c r="AA384" s="17" t="n">
        <f aca="false">SQRT(($B384-AA$270)^2+($C384-AA$271)^2+($D384-AA$272)^2)</f>
        <v>2.21684219622619</v>
      </c>
      <c r="AB384" s="17" t="n">
        <f aca="false">SQRT(($B384-AB$270)^2+($C384-AB$271)^2+($D384-AB$272)^2)</f>
        <v>6.01450213396371</v>
      </c>
      <c r="AC384" s="63" t="n">
        <f aca="false">MATCH(MIN(X384:AB384),X384:AB384,0)</f>
        <v>2</v>
      </c>
      <c r="AE384" s="17" t="n">
        <f aca="false">SQRT(($B384-AE$270)^2+($C384-AE$271)^2+($D384-AE$272)^2)</f>
        <v>7.90081339423267</v>
      </c>
      <c r="AF384" s="17" t="n">
        <f aca="false">SQRT(($B384-AF$270)^2+($C384-AF$271)^2+($D384-AF$272)^2)</f>
        <v>0.340418143929567</v>
      </c>
      <c r="AG384" s="17" t="n">
        <f aca="false">SQRT(($B384-AG$270)^2+($C384-AG$271)^2+($D384-AG$272)^2)</f>
        <v>3.09332190755243</v>
      </c>
      <c r="AH384" s="17" t="n">
        <f aca="false">SQRT(($B384-AH$270)^2+($C384-AH$271)^2+($D384-AH$272)^2)</f>
        <v>1.58830015694501</v>
      </c>
      <c r="AI384" s="17" t="n">
        <f aca="false">SQRT(($B384-AI$270)^2+($C384-AI$271)^2+($D384-AI$272)^2)</f>
        <v>5.64689046213842</v>
      </c>
      <c r="AJ384" s="63" t="n">
        <f aca="false">MATCH(MIN(AE384:AI384),AE384:AI384,0)</f>
        <v>2</v>
      </c>
      <c r="AL384" s="17" t="n">
        <f aca="false">SQRT(($B384-AL$270)^2+($C384-AL$271)^2+($D384-AL$272)^2)</f>
        <v>7.90081339423267</v>
      </c>
      <c r="AM384" s="17" t="n">
        <f aca="false">SQRT(($B384-AM$270)^2+($C384-AM$271)^2+($D384-AM$272)^2)</f>
        <v>0.319309729115032</v>
      </c>
      <c r="AN384" s="17" t="n">
        <f aca="false">SQRT(($B384-AN$270)^2+($C384-AN$271)^2+($D384-AN$272)^2)</f>
        <v>3.15419825352143</v>
      </c>
      <c r="AO384" s="17" t="n">
        <f aca="false">SQRT(($B384-AO$270)^2+($C384-AO$271)^2+($D384-AO$272)^2)</f>
        <v>1.61894803382872</v>
      </c>
      <c r="AP384" s="17" t="n">
        <f aca="false">SQRT(($B384-AP$270)^2+($C384-AP$271)^2+($D384-AP$272)^2)</f>
        <v>5.37157332215243</v>
      </c>
      <c r="AQ384" s="63" t="n">
        <f aca="false">MATCH(MIN(AL384:AP384),AL384:AP384,0)</f>
        <v>2</v>
      </c>
      <c r="AS384" s="17" t="n">
        <f aca="false">SQRT(($B384-AS$270)^2+($C384-AS$271)^2+($D384-AS$272)^2)</f>
        <v>7.90081339423267</v>
      </c>
      <c r="AT384" s="17" t="n">
        <f aca="false">SQRT(($B384-AT$270)^2+($C384-AT$271)^2+($D384-AT$272)^2)</f>
        <v>0.241817538184614</v>
      </c>
      <c r="AU384" s="17" t="n">
        <f aca="false">SQRT(($B384-AU$270)^2+($C384-AU$271)^2+($D384-AU$272)^2)</f>
        <v>3.18180440324111</v>
      </c>
      <c r="AV384" s="17" t="n">
        <f aca="false">SQRT(($B384-AV$270)^2+($C384-AV$271)^2+($D384-AV$272)^2)</f>
        <v>1.58846335925375</v>
      </c>
      <c r="AW384" s="17" t="n">
        <f aca="false">SQRT(($B384-AW$270)^2+($C384-AW$271)^2+($D384-AW$272)^2)</f>
        <v>5.37157332215243</v>
      </c>
      <c r="AX384" s="63" t="n">
        <f aca="false">MATCH(MIN(AS384:AW384),AS384:AW384,0)</f>
        <v>2</v>
      </c>
      <c r="AZ384" s="17" t="n">
        <f aca="false">SQRT(($B384-AZ$270)^2+($C384-AZ$271)^2+($D384-AZ$272)^2)</f>
        <v>7.90081339423267</v>
      </c>
      <c r="BA384" s="17" t="n">
        <f aca="false">SQRT(($B384-BA$270)^2+($C384-BA$271)^2+($D384-BA$272)^2)</f>
        <v>0.241817538184614</v>
      </c>
      <c r="BB384" s="17" t="n">
        <f aca="false">SQRT(($B384-BB$270)^2+($C384-BB$271)^2+($D384-BB$272)^2)</f>
        <v>3.18180440324111</v>
      </c>
      <c r="BC384" s="17" t="n">
        <f aca="false">SQRT(($B384-BC$270)^2+($C384-BC$271)^2+($D384-BC$272)^2)</f>
        <v>1.58846335925375</v>
      </c>
      <c r="BD384" s="17" t="n">
        <f aca="false">SQRT(($B384-BD$270)^2+($C384-BD$271)^2+($D384-BD$272)^2)</f>
        <v>5.37157332215243</v>
      </c>
      <c r="BE384" s="63" t="n">
        <f aca="false">MATCH(MIN(AZ384:BD384),AZ384:BD384,0)</f>
        <v>2</v>
      </c>
      <c r="BG384" s="17" t="n">
        <f aca="false">SQRT(($B384-BG$270)^2+($C384-BG$271)^2+($D384-BG$272)^2)</f>
        <v>7.90081339423267</v>
      </c>
      <c r="BH384" s="17" t="n">
        <f aca="false">SQRT(($B384-BH$270)^2+($C384-BH$271)^2+($D384-BH$272)^2)</f>
        <v>0.241817538184614</v>
      </c>
      <c r="BI384" s="17" t="n">
        <f aca="false">SQRT(($B384-BI$270)^2+($C384-BI$271)^2+($D384-BI$272)^2)</f>
        <v>3.18180440324111</v>
      </c>
      <c r="BJ384" s="17" t="n">
        <f aca="false">SQRT(($B384-BJ$270)^2+($C384-BJ$271)^2+($D384-BJ$272)^2)</f>
        <v>1.58846335925375</v>
      </c>
      <c r="BK384" s="17" t="n">
        <f aca="false">SQRT(($B384-BK$270)^2+($C384-BK$271)^2+($D384-BK$272)^2)</f>
        <v>5.37157332215243</v>
      </c>
      <c r="BL384" s="63" t="n">
        <f aca="false">MATCH(MIN(BG384:BK384),BG384:BK384,0)</f>
        <v>2</v>
      </c>
      <c r="BN384" s="17" t="n">
        <f aca="false">SQRT(($B384-BN$270)^2+($C384-BN$271)^2+($D384-BN$272)^2)</f>
        <v>7.90081339423267</v>
      </c>
      <c r="BO384" s="17" t="n">
        <f aca="false">SQRT(($B384-BO$270)^2+($C384-BO$271)^2+($D384-BO$272)^2)</f>
        <v>0.241817538184614</v>
      </c>
      <c r="BP384" s="17" t="n">
        <f aca="false">SQRT(($B384-BP$270)^2+($C384-BP$271)^2+($D384-BP$272)^2)</f>
        <v>3.18180440324111</v>
      </c>
      <c r="BQ384" s="17" t="n">
        <f aca="false">SQRT(($B384-BQ$270)^2+($C384-BQ$271)^2+($D384-BQ$272)^2)</f>
        <v>1.58846335925375</v>
      </c>
      <c r="BR384" s="17" t="n">
        <f aca="false">SQRT(($B384-BR$270)^2+($C384-BR$271)^2+($D384-BR$272)^2)</f>
        <v>5.37157332215243</v>
      </c>
      <c r="BS384" s="63" t="n">
        <f aca="false">MATCH(MIN(BN384:BR384),BN384:BR384,0)</f>
        <v>2</v>
      </c>
      <c r="BU384" s="17" t="n">
        <f aca="false">SQRT(($B384-BU$270)^2+($C384-BU$271)^2+($D384-BU$272)^2)</f>
        <v>7.90081339423267</v>
      </c>
      <c r="BV384" s="17" t="n">
        <f aca="false">SQRT(($B384-BV$270)^2+($C384-BV$271)^2+($D384-BV$272)^2)</f>
        <v>0.241817538184614</v>
      </c>
      <c r="BW384" s="17" t="n">
        <f aca="false">SQRT(($B384-BW$270)^2+($C384-BW$271)^2+($D384-BW$272)^2)</f>
        <v>3.18180440324111</v>
      </c>
      <c r="BX384" s="17" t="n">
        <f aca="false">SQRT(($B384-BX$270)^2+($C384-BX$271)^2+($D384-BX$272)^2)</f>
        <v>1.58846335925375</v>
      </c>
      <c r="BY384" s="17" t="n">
        <f aca="false">SQRT(($B384-BY$270)^2+($C384-BY$271)^2+($D384-BY$272)^2)</f>
        <v>5.37157332215243</v>
      </c>
      <c r="BZ384" s="63" t="n">
        <f aca="false">MATCH(MIN(BU384:BY384),BU384:BY384,0)</f>
        <v>2</v>
      </c>
      <c r="CB384" s="17" t="n">
        <f aca="false">SQRT(($B384-CB$270)^2+($C384-CB$271)^2+($D384-CB$272)^2)</f>
        <v>7.90081339423267</v>
      </c>
      <c r="CC384" s="17" t="n">
        <f aca="false">SQRT(($B384-CC$270)^2+($C384-CC$271)^2+($D384-CC$272)^2)</f>
        <v>0.241817538184614</v>
      </c>
      <c r="CD384" s="17" t="n">
        <f aca="false">SQRT(($B384-CD$270)^2+($C384-CD$271)^2+($D384-CD$272)^2)</f>
        <v>3.18180440324111</v>
      </c>
      <c r="CE384" s="17" t="n">
        <f aca="false">SQRT(($B384-CE$270)^2+($C384-CE$271)^2+($D384-CE$272)^2)</f>
        <v>1.58846335925375</v>
      </c>
      <c r="CF384" s="17" t="n">
        <f aca="false">SQRT(($B384-CF$270)^2+($C384-CF$271)^2+($D384-CF$272)^2)</f>
        <v>5.37157332215243</v>
      </c>
      <c r="CG384" s="63" t="n">
        <f aca="false">MATCH(MIN(CB384:CF384),CB384:CF384,0)</f>
        <v>2</v>
      </c>
      <c r="CI384" s="17" t="n">
        <f aca="false">SQRT(($B384-CI$270)^2+($C384-CI$271)^2+($D384-CI$272)^2)</f>
        <v>7.90081339423267</v>
      </c>
      <c r="CJ384" s="17" t="n">
        <f aca="false">SQRT(($B384-CJ$270)^2+($C384-CJ$271)^2+($D384-CJ$272)^2)</f>
        <v>0.241817538184614</v>
      </c>
      <c r="CK384" s="17" t="n">
        <f aca="false">SQRT(($B384-CK$270)^2+($C384-CK$271)^2+($D384-CK$272)^2)</f>
        <v>3.18180440324111</v>
      </c>
      <c r="CL384" s="17" t="n">
        <f aca="false">SQRT(($B384-CL$270)^2+($C384-CL$271)^2+($D384-CL$272)^2)</f>
        <v>1.58846335925375</v>
      </c>
      <c r="CM384" s="17" t="n">
        <f aca="false">SQRT(($B384-CM$270)^2+($C384-CM$271)^2+($D384-CM$272)^2)</f>
        <v>5.37157332215243</v>
      </c>
      <c r="CN384" s="63" t="n">
        <f aca="false">MATCH(MIN(CI384:CM384),CI384:CM384,0)</f>
        <v>2</v>
      </c>
      <c r="CP384" s="17" t="n">
        <f aca="false">SQRT(($B384-CP$270)^2+($C384-CP$271)^2+($D384-CP$272)^2)</f>
        <v>7.90081339423267</v>
      </c>
      <c r="CQ384" s="17" t="n">
        <f aca="false">SQRT(($B384-CQ$270)^2+($C384-CQ$271)^2+($D384-CQ$272)^2)</f>
        <v>0.241817538184614</v>
      </c>
      <c r="CR384" s="17" t="n">
        <f aca="false">SQRT(($B384-CR$270)^2+($C384-CR$271)^2+($D384-CR$272)^2)</f>
        <v>3.18180440324111</v>
      </c>
      <c r="CS384" s="17" t="n">
        <f aca="false">SQRT(($B384-CS$270)^2+($C384-CS$271)^2+($D384-CS$272)^2)</f>
        <v>1.58846335925375</v>
      </c>
      <c r="CT384" s="17" t="n">
        <f aca="false">SQRT(($B384-CT$270)^2+($C384-CT$271)^2+($D384-CT$272)^2)</f>
        <v>5.37157332215243</v>
      </c>
      <c r="CU384" s="63" t="n">
        <f aca="false">MATCH(MIN(CP384:CT384),CP384:CT384,0)</f>
        <v>2</v>
      </c>
      <c r="CW384" s="17" t="n">
        <f aca="false">SQRT(($B384-CW$270)^2+($C384-CW$271)^2+($D384-CW$272)^2)</f>
        <v>7.90081339423267</v>
      </c>
      <c r="CX384" s="17" t="n">
        <f aca="false">SQRT(($B384-CX$270)^2+($C384-CX$271)^2+($D384-CX$272)^2)</f>
        <v>0.241817538184614</v>
      </c>
      <c r="CY384" s="17" t="n">
        <f aca="false">SQRT(($B384-CY$270)^2+($C384-CY$271)^2+($D384-CY$272)^2)</f>
        <v>3.18180440324111</v>
      </c>
      <c r="CZ384" s="17" t="n">
        <f aca="false">SQRT(($B384-CZ$270)^2+($C384-CZ$271)^2+($D384-CZ$272)^2)</f>
        <v>1.58846335925375</v>
      </c>
      <c r="DA384" s="17" t="n">
        <f aca="false">SQRT(($B384-DA$270)^2+($C384-DA$271)^2+($D384-DA$272)^2)</f>
        <v>5.37157332215243</v>
      </c>
      <c r="DB384" s="63" t="n">
        <f aca="false">MATCH(MIN(CW384:DA384),CW384:DA384,0)</f>
        <v>2</v>
      </c>
    </row>
    <row r="385" customFormat="false" ht="15" hidden="false" customHeight="false" outlineLevel="0" collapsed="false">
      <c r="A385" s="36" t="str">
        <f aca="false">KMeans_Data!A113</f>
        <v>Jhang</v>
      </c>
      <c r="B385" s="17" t="n">
        <f aca="false">KMeans_Data!H113</f>
        <v>-1.50794322460649</v>
      </c>
      <c r="C385" s="17" t="n">
        <f aca="false">KMeans_Data!I113</f>
        <v>-0.672650545388274</v>
      </c>
      <c r="D385" s="17" t="n">
        <f aca="false">KMeans_Data!J113</f>
        <v>-1.14564411633355</v>
      </c>
      <c r="E385" s="63" t="n">
        <f aca="false">DB385</f>
        <v>2</v>
      </c>
      <c r="F385" s="38" t="n">
        <f aca="false">($B385-INDEX($L$270:$P$270,E385))^2+($C385-INDEX($L$271:$P$271,E385))^2+($D385-INDEX($L$272:$P$272,E385))^2</f>
        <v>0.0584757217736675</v>
      </c>
      <c r="G385" s="17" t="n">
        <f aca="false">IF(COUNTIF(Distance_Matrix!$E$11:$DQ$11,$E385)&lt;=1,0,SUMIF(Distance_Matrix!$E$11:$DQ$11,$E385,Distance_Matrix!$E$122:$DQ$122)/(COUNTIF(Distance_Matrix!$E$11:$DQ$11,$E385)-1))</f>
        <v>0.459154908978199</v>
      </c>
      <c r="H385" s="17" t="n">
        <f aca="false">MIN(IF(1=$E385,1E+099,IF(COUNTIF(Distance_Matrix!$E$11:$DQ$11,1)=0,1E+099,SUMIF(Distance_Matrix!$E$11:$DQ$11,1,Distance_Matrix!$E$122:$DQ$122)/COUNTIF(Distance_Matrix!$E$11:$DQ$11,1))),IF(2=$E385,1E+099,IF(COUNTIF(Distance_Matrix!$E$11:$DQ$11,2)=0,1E+099,SUMIF(Distance_Matrix!$E$11:$DQ$11,2,Distance_Matrix!$E$122:$DQ$122)/COUNTIF(Distance_Matrix!$E$11:$DQ$11,2))),IF(3=$E385,1E+099,IF(COUNTIF(Distance_Matrix!$E$11:$DQ$11,3)=0,1E+099,SUMIF(Distance_Matrix!$E$11:$DQ$11,3,Distance_Matrix!$E$122:$DQ$122)/COUNTIF(Distance_Matrix!$E$11:$DQ$11,3))),IF(4=$E385,1E+099,IF(COUNTIF(Distance_Matrix!$E$11:$DQ$11,4)=0,1E+099,SUMIF(Distance_Matrix!$E$11:$DQ$11,4,Distance_Matrix!$E$122:$DQ$122)/COUNTIF(Distance_Matrix!$E$11:$DQ$11,4))),IF(5=$E385,1E+099,IF(COUNTIF(Distance_Matrix!$E$11:$DQ$11,5)=0,1E+099,SUMIF(Distance_Matrix!$E$11:$DQ$11,5,Distance_Matrix!$E$122:$DQ$122)/COUNTIF(Distance_Matrix!$E$11:$DQ$11,5))))</f>
        <v>1.71328356860064</v>
      </c>
      <c r="I385" s="17" t="n">
        <f aca="false">IF(COUNTIF(Distance_Matrix!$E$11:$DQ$11,$E385)&lt;=1,0,(H385-G385)/MAX(G385,H385))</f>
        <v>0.732002969389811</v>
      </c>
      <c r="X385" s="17" t="n">
        <f aca="false">SQRT(($B385-X$270)^2+($C385-X$271)^2+($D385-X$272)^2)</f>
        <v>8.02581663311103</v>
      </c>
      <c r="Y385" s="17" t="n">
        <f aca="false">SQRT(($B385-Y$270)^2+($C385-Y$271)^2+($D385-Y$272)^2)</f>
        <v>0.571794757196831</v>
      </c>
      <c r="Z385" s="17" t="n">
        <f aca="false">SQRT(($B385-Z$270)^2+($C385-Z$271)^2+($D385-Z$272)^2)</f>
        <v>3.79835053358808</v>
      </c>
      <c r="AA385" s="17" t="n">
        <f aca="false">SQRT(($B385-AA$270)^2+($C385-AA$271)^2+($D385-AA$272)^2)</f>
        <v>2.21684219622619</v>
      </c>
      <c r="AB385" s="17" t="n">
        <f aca="false">SQRT(($B385-AB$270)^2+($C385-AB$271)^2+($D385-AB$272)^2)</f>
        <v>6.01450213396371</v>
      </c>
      <c r="AC385" s="63" t="n">
        <f aca="false">MATCH(MIN(X385:AB385),X385:AB385,0)</f>
        <v>2</v>
      </c>
      <c r="AE385" s="17" t="n">
        <f aca="false">SQRT(($B385-AE$270)^2+($C385-AE$271)^2+($D385-AE$272)^2)</f>
        <v>7.90081339423267</v>
      </c>
      <c r="AF385" s="17" t="n">
        <f aca="false">SQRT(($B385-AF$270)^2+($C385-AF$271)^2+($D385-AF$272)^2)</f>
        <v>0.340418143929567</v>
      </c>
      <c r="AG385" s="17" t="n">
        <f aca="false">SQRT(($B385-AG$270)^2+($C385-AG$271)^2+($D385-AG$272)^2)</f>
        <v>3.09332190755243</v>
      </c>
      <c r="AH385" s="17" t="n">
        <f aca="false">SQRT(($B385-AH$270)^2+($C385-AH$271)^2+($D385-AH$272)^2)</f>
        <v>1.58830015694501</v>
      </c>
      <c r="AI385" s="17" t="n">
        <f aca="false">SQRT(($B385-AI$270)^2+($C385-AI$271)^2+($D385-AI$272)^2)</f>
        <v>5.64689046213842</v>
      </c>
      <c r="AJ385" s="63" t="n">
        <f aca="false">MATCH(MIN(AE385:AI385),AE385:AI385,0)</f>
        <v>2</v>
      </c>
      <c r="AL385" s="17" t="n">
        <f aca="false">SQRT(($B385-AL$270)^2+($C385-AL$271)^2+($D385-AL$272)^2)</f>
        <v>7.90081339423267</v>
      </c>
      <c r="AM385" s="17" t="n">
        <f aca="false">SQRT(($B385-AM$270)^2+($C385-AM$271)^2+($D385-AM$272)^2)</f>
        <v>0.319309729115032</v>
      </c>
      <c r="AN385" s="17" t="n">
        <f aca="false">SQRT(($B385-AN$270)^2+($C385-AN$271)^2+($D385-AN$272)^2)</f>
        <v>3.15419825352143</v>
      </c>
      <c r="AO385" s="17" t="n">
        <f aca="false">SQRT(($B385-AO$270)^2+($C385-AO$271)^2+($D385-AO$272)^2)</f>
        <v>1.61894803382872</v>
      </c>
      <c r="AP385" s="17" t="n">
        <f aca="false">SQRT(($B385-AP$270)^2+($C385-AP$271)^2+($D385-AP$272)^2)</f>
        <v>5.37157332215243</v>
      </c>
      <c r="AQ385" s="63" t="n">
        <f aca="false">MATCH(MIN(AL385:AP385),AL385:AP385,0)</f>
        <v>2</v>
      </c>
      <c r="AS385" s="17" t="n">
        <f aca="false">SQRT(($B385-AS$270)^2+($C385-AS$271)^2+($D385-AS$272)^2)</f>
        <v>7.90081339423267</v>
      </c>
      <c r="AT385" s="17" t="n">
        <f aca="false">SQRT(($B385-AT$270)^2+($C385-AT$271)^2+($D385-AT$272)^2)</f>
        <v>0.241817538184614</v>
      </c>
      <c r="AU385" s="17" t="n">
        <f aca="false">SQRT(($B385-AU$270)^2+($C385-AU$271)^2+($D385-AU$272)^2)</f>
        <v>3.18180440324111</v>
      </c>
      <c r="AV385" s="17" t="n">
        <f aca="false">SQRT(($B385-AV$270)^2+($C385-AV$271)^2+($D385-AV$272)^2)</f>
        <v>1.58846335925375</v>
      </c>
      <c r="AW385" s="17" t="n">
        <f aca="false">SQRT(($B385-AW$270)^2+($C385-AW$271)^2+($D385-AW$272)^2)</f>
        <v>5.37157332215243</v>
      </c>
      <c r="AX385" s="63" t="n">
        <f aca="false">MATCH(MIN(AS385:AW385),AS385:AW385,0)</f>
        <v>2</v>
      </c>
      <c r="AZ385" s="17" t="n">
        <f aca="false">SQRT(($B385-AZ$270)^2+($C385-AZ$271)^2+($D385-AZ$272)^2)</f>
        <v>7.90081339423267</v>
      </c>
      <c r="BA385" s="17" t="n">
        <f aca="false">SQRT(($B385-BA$270)^2+($C385-BA$271)^2+($D385-BA$272)^2)</f>
        <v>0.241817538184614</v>
      </c>
      <c r="BB385" s="17" t="n">
        <f aca="false">SQRT(($B385-BB$270)^2+($C385-BB$271)^2+($D385-BB$272)^2)</f>
        <v>3.18180440324111</v>
      </c>
      <c r="BC385" s="17" t="n">
        <f aca="false">SQRT(($B385-BC$270)^2+($C385-BC$271)^2+($D385-BC$272)^2)</f>
        <v>1.58846335925375</v>
      </c>
      <c r="BD385" s="17" t="n">
        <f aca="false">SQRT(($B385-BD$270)^2+($C385-BD$271)^2+($D385-BD$272)^2)</f>
        <v>5.37157332215243</v>
      </c>
      <c r="BE385" s="63" t="n">
        <f aca="false">MATCH(MIN(AZ385:BD385),AZ385:BD385,0)</f>
        <v>2</v>
      </c>
      <c r="BG385" s="17" t="n">
        <f aca="false">SQRT(($B385-BG$270)^2+($C385-BG$271)^2+($D385-BG$272)^2)</f>
        <v>7.90081339423267</v>
      </c>
      <c r="BH385" s="17" t="n">
        <f aca="false">SQRT(($B385-BH$270)^2+($C385-BH$271)^2+($D385-BH$272)^2)</f>
        <v>0.241817538184614</v>
      </c>
      <c r="BI385" s="17" t="n">
        <f aca="false">SQRT(($B385-BI$270)^2+($C385-BI$271)^2+($D385-BI$272)^2)</f>
        <v>3.18180440324111</v>
      </c>
      <c r="BJ385" s="17" t="n">
        <f aca="false">SQRT(($B385-BJ$270)^2+($C385-BJ$271)^2+($D385-BJ$272)^2)</f>
        <v>1.58846335925375</v>
      </c>
      <c r="BK385" s="17" t="n">
        <f aca="false">SQRT(($B385-BK$270)^2+($C385-BK$271)^2+($D385-BK$272)^2)</f>
        <v>5.37157332215243</v>
      </c>
      <c r="BL385" s="63" t="n">
        <f aca="false">MATCH(MIN(BG385:BK385),BG385:BK385,0)</f>
        <v>2</v>
      </c>
      <c r="BN385" s="17" t="n">
        <f aca="false">SQRT(($B385-BN$270)^2+($C385-BN$271)^2+($D385-BN$272)^2)</f>
        <v>7.90081339423267</v>
      </c>
      <c r="BO385" s="17" t="n">
        <f aca="false">SQRT(($B385-BO$270)^2+($C385-BO$271)^2+($D385-BO$272)^2)</f>
        <v>0.241817538184614</v>
      </c>
      <c r="BP385" s="17" t="n">
        <f aca="false">SQRT(($B385-BP$270)^2+($C385-BP$271)^2+($D385-BP$272)^2)</f>
        <v>3.18180440324111</v>
      </c>
      <c r="BQ385" s="17" t="n">
        <f aca="false">SQRT(($B385-BQ$270)^2+($C385-BQ$271)^2+($D385-BQ$272)^2)</f>
        <v>1.58846335925375</v>
      </c>
      <c r="BR385" s="17" t="n">
        <f aca="false">SQRT(($B385-BR$270)^2+($C385-BR$271)^2+($D385-BR$272)^2)</f>
        <v>5.37157332215243</v>
      </c>
      <c r="BS385" s="63" t="n">
        <f aca="false">MATCH(MIN(BN385:BR385),BN385:BR385,0)</f>
        <v>2</v>
      </c>
      <c r="BU385" s="17" t="n">
        <f aca="false">SQRT(($B385-BU$270)^2+($C385-BU$271)^2+($D385-BU$272)^2)</f>
        <v>7.90081339423267</v>
      </c>
      <c r="BV385" s="17" t="n">
        <f aca="false">SQRT(($B385-BV$270)^2+($C385-BV$271)^2+($D385-BV$272)^2)</f>
        <v>0.241817538184614</v>
      </c>
      <c r="BW385" s="17" t="n">
        <f aca="false">SQRT(($B385-BW$270)^2+($C385-BW$271)^2+($D385-BW$272)^2)</f>
        <v>3.18180440324111</v>
      </c>
      <c r="BX385" s="17" t="n">
        <f aca="false">SQRT(($B385-BX$270)^2+($C385-BX$271)^2+($D385-BX$272)^2)</f>
        <v>1.58846335925375</v>
      </c>
      <c r="BY385" s="17" t="n">
        <f aca="false">SQRT(($B385-BY$270)^2+($C385-BY$271)^2+($D385-BY$272)^2)</f>
        <v>5.37157332215243</v>
      </c>
      <c r="BZ385" s="63" t="n">
        <f aca="false">MATCH(MIN(BU385:BY385),BU385:BY385,0)</f>
        <v>2</v>
      </c>
      <c r="CB385" s="17" t="n">
        <f aca="false">SQRT(($B385-CB$270)^2+($C385-CB$271)^2+($D385-CB$272)^2)</f>
        <v>7.90081339423267</v>
      </c>
      <c r="CC385" s="17" t="n">
        <f aca="false">SQRT(($B385-CC$270)^2+($C385-CC$271)^2+($D385-CC$272)^2)</f>
        <v>0.241817538184614</v>
      </c>
      <c r="CD385" s="17" t="n">
        <f aca="false">SQRT(($B385-CD$270)^2+($C385-CD$271)^2+($D385-CD$272)^2)</f>
        <v>3.18180440324111</v>
      </c>
      <c r="CE385" s="17" t="n">
        <f aca="false">SQRT(($B385-CE$270)^2+($C385-CE$271)^2+($D385-CE$272)^2)</f>
        <v>1.58846335925375</v>
      </c>
      <c r="CF385" s="17" t="n">
        <f aca="false">SQRT(($B385-CF$270)^2+($C385-CF$271)^2+($D385-CF$272)^2)</f>
        <v>5.37157332215243</v>
      </c>
      <c r="CG385" s="63" t="n">
        <f aca="false">MATCH(MIN(CB385:CF385),CB385:CF385,0)</f>
        <v>2</v>
      </c>
      <c r="CI385" s="17" t="n">
        <f aca="false">SQRT(($B385-CI$270)^2+($C385-CI$271)^2+($D385-CI$272)^2)</f>
        <v>7.90081339423267</v>
      </c>
      <c r="CJ385" s="17" t="n">
        <f aca="false">SQRT(($B385-CJ$270)^2+($C385-CJ$271)^2+($D385-CJ$272)^2)</f>
        <v>0.241817538184614</v>
      </c>
      <c r="CK385" s="17" t="n">
        <f aca="false">SQRT(($B385-CK$270)^2+($C385-CK$271)^2+($D385-CK$272)^2)</f>
        <v>3.18180440324111</v>
      </c>
      <c r="CL385" s="17" t="n">
        <f aca="false">SQRT(($B385-CL$270)^2+($C385-CL$271)^2+($D385-CL$272)^2)</f>
        <v>1.58846335925375</v>
      </c>
      <c r="CM385" s="17" t="n">
        <f aca="false">SQRT(($B385-CM$270)^2+($C385-CM$271)^2+($D385-CM$272)^2)</f>
        <v>5.37157332215243</v>
      </c>
      <c r="CN385" s="63" t="n">
        <f aca="false">MATCH(MIN(CI385:CM385),CI385:CM385,0)</f>
        <v>2</v>
      </c>
      <c r="CP385" s="17" t="n">
        <f aca="false">SQRT(($B385-CP$270)^2+($C385-CP$271)^2+($D385-CP$272)^2)</f>
        <v>7.90081339423267</v>
      </c>
      <c r="CQ385" s="17" t="n">
        <f aca="false">SQRT(($B385-CQ$270)^2+($C385-CQ$271)^2+($D385-CQ$272)^2)</f>
        <v>0.241817538184614</v>
      </c>
      <c r="CR385" s="17" t="n">
        <f aca="false">SQRT(($B385-CR$270)^2+($C385-CR$271)^2+($D385-CR$272)^2)</f>
        <v>3.18180440324111</v>
      </c>
      <c r="CS385" s="17" t="n">
        <f aca="false">SQRT(($B385-CS$270)^2+($C385-CS$271)^2+($D385-CS$272)^2)</f>
        <v>1.58846335925375</v>
      </c>
      <c r="CT385" s="17" t="n">
        <f aca="false">SQRT(($B385-CT$270)^2+($C385-CT$271)^2+($D385-CT$272)^2)</f>
        <v>5.37157332215243</v>
      </c>
      <c r="CU385" s="63" t="n">
        <f aca="false">MATCH(MIN(CP385:CT385),CP385:CT385,0)</f>
        <v>2</v>
      </c>
      <c r="CW385" s="17" t="n">
        <f aca="false">SQRT(($B385-CW$270)^2+($C385-CW$271)^2+($D385-CW$272)^2)</f>
        <v>7.90081339423267</v>
      </c>
      <c r="CX385" s="17" t="n">
        <f aca="false">SQRT(($B385-CX$270)^2+($C385-CX$271)^2+($D385-CX$272)^2)</f>
        <v>0.241817538184614</v>
      </c>
      <c r="CY385" s="17" t="n">
        <f aca="false">SQRT(($B385-CY$270)^2+($C385-CY$271)^2+($D385-CY$272)^2)</f>
        <v>3.18180440324111</v>
      </c>
      <c r="CZ385" s="17" t="n">
        <f aca="false">SQRT(($B385-CZ$270)^2+($C385-CZ$271)^2+($D385-CZ$272)^2)</f>
        <v>1.58846335925375</v>
      </c>
      <c r="DA385" s="17" t="n">
        <f aca="false">SQRT(($B385-DA$270)^2+($C385-DA$271)^2+($D385-DA$272)^2)</f>
        <v>5.37157332215243</v>
      </c>
      <c r="DB385" s="63" t="n">
        <f aca="false">MATCH(MIN(CW385:DA385),CW385:DA385,0)</f>
        <v>2</v>
      </c>
    </row>
    <row r="386" customFormat="false" ht="15" hidden="false" customHeight="false" outlineLevel="0" collapsed="false">
      <c r="A386" s="36" t="str">
        <f aca="false">KMeans_Data!A114</f>
        <v>Tor Ghar</v>
      </c>
      <c r="B386" s="17" t="n">
        <f aca="false">KMeans_Data!H114</f>
        <v>-1.50794322460649</v>
      </c>
      <c r="C386" s="17" t="n">
        <f aca="false">KMeans_Data!I114</f>
        <v>-0.672650545388274</v>
      </c>
      <c r="D386" s="17" t="n">
        <f aca="false">KMeans_Data!J114</f>
        <v>-1.14564411633355</v>
      </c>
      <c r="E386" s="63" t="n">
        <f aca="false">DB386</f>
        <v>2</v>
      </c>
      <c r="F386" s="38" t="n">
        <f aca="false">($B386-INDEX($L$270:$P$270,E386))^2+($C386-INDEX($L$271:$P$271,E386))^2+($D386-INDEX($L$272:$P$272,E386))^2</f>
        <v>0.0584757217736675</v>
      </c>
      <c r="G386" s="17" t="n">
        <f aca="false">IF(COUNTIF(Distance_Matrix!$E$11:$DQ$11,$E386)&lt;=1,0,SUMIF(Distance_Matrix!$E$11:$DQ$11,$E386,Distance_Matrix!$E$123:$DQ$123)/(COUNTIF(Distance_Matrix!$E$11:$DQ$11,$E386)-1))</f>
        <v>0.459154908978199</v>
      </c>
      <c r="H386" s="17" t="n">
        <f aca="false">MIN(IF(1=$E386,1E+099,IF(COUNTIF(Distance_Matrix!$E$11:$DQ$11,1)=0,1E+099,SUMIF(Distance_Matrix!$E$11:$DQ$11,1,Distance_Matrix!$E$123:$DQ$123)/COUNTIF(Distance_Matrix!$E$11:$DQ$11,1))),IF(2=$E386,1E+099,IF(COUNTIF(Distance_Matrix!$E$11:$DQ$11,2)=0,1E+099,SUMIF(Distance_Matrix!$E$11:$DQ$11,2,Distance_Matrix!$E$123:$DQ$123)/COUNTIF(Distance_Matrix!$E$11:$DQ$11,2))),IF(3=$E386,1E+099,IF(COUNTIF(Distance_Matrix!$E$11:$DQ$11,3)=0,1E+099,SUMIF(Distance_Matrix!$E$11:$DQ$11,3,Distance_Matrix!$E$123:$DQ$123)/COUNTIF(Distance_Matrix!$E$11:$DQ$11,3))),IF(4=$E386,1E+099,IF(COUNTIF(Distance_Matrix!$E$11:$DQ$11,4)=0,1E+099,SUMIF(Distance_Matrix!$E$11:$DQ$11,4,Distance_Matrix!$E$123:$DQ$123)/COUNTIF(Distance_Matrix!$E$11:$DQ$11,4))),IF(5=$E386,1E+099,IF(COUNTIF(Distance_Matrix!$E$11:$DQ$11,5)=0,1E+099,SUMIF(Distance_Matrix!$E$11:$DQ$11,5,Distance_Matrix!$E$123:$DQ$123)/COUNTIF(Distance_Matrix!$E$11:$DQ$11,5))))</f>
        <v>1.71328356860064</v>
      </c>
      <c r="I386" s="17" t="n">
        <f aca="false">IF(COUNTIF(Distance_Matrix!$E$11:$DQ$11,$E386)&lt;=1,0,(H386-G386)/MAX(G386,H386))</f>
        <v>0.732002969389811</v>
      </c>
      <c r="X386" s="17" t="n">
        <f aca="false">SQRT(($B386-X$270)^2+($C386-X$271)^2+($D386-X$272)^2)</f>
        <v>8.02581663311103</v>
      </c>
      <c r="Y386" s="17" t="n">
        <f aca="false">SQRT(($B386-Y$270)^2+($C386-Y$271)^2+($D386-Y$272)^2)</f>
        <v>0.571794757196831</v>
      </c>
      <c r="Z386" s="17" t="n">
        <f aca="false">SQRT(($B386-Z$270)^2+($C386-Z$271)^2+($D386-Z$272)^2)</f>
        <v>3.79835053358808</v>
      </c>
      <c r="AA386" s="17" t="n">
        <f aca="false">SQRT(($B386-AA$270)^2+($C386-AA$271)^2+($D386-AA$272)^2)</f>
        <v>2.21684219622619</v>
      </c>
      <c r="AB386" s="17" t="n">
        <f aca="false">SQRT(($B386-AB$270)^2+($C386-AB$271)^2+($D386-AB$272)^2)</f>
        <v>6.01450213396371</v>
      </c>
      <c r="AC386" s="63" t="n">
        <f aca="false">MATCH(MIN(X386:AB386),X386:AB386,0)</f>
        <v>2</v>
      </c>
      <c r="AE386" s="17" t="n">
        <f aca="false">SQRT(($B386-AE$270)^2+($C386-AE$271)^2+($D386-AE$272)^2)</f>
        <v>7.90081339423267</v>
      </c>
      <c r="AF386" s="17" t="n">
        <f aca="false">SQRT(($B386-AF$270)^2+($C386-AF$271)^2+($D386-AF$272)^2)</f>
        <v>0.340418143929567</v>
      </c>
      <c r="AG386" s="17" t="n">
        <f aca="false">SQRT(($B386-AG$270)^2+($C386-AG$271)^2+($D386-AG$272)^2)</f>
        <v>3.09332190755243</v>
      </c>
      <c r="AH386" s="17" t="n">
        <f aca="false">SQRT(($B386-AH$270)^2+($C386-AH$271)^2+($D386-AH$272)^2)</f>
        <v>1.58830015694501</v>
      </c>
      <c r="AI386" s="17" t="n">
        <f aca="false">SQRT(($B386-AI$270)^2+($C386-AI$271)^2+($D386-AI$272)^2)</f>
        <v>5.64689046213842</v>
      </c>
      <c r="AJ386" s="63" t="n">
        <f aca="false">MATCH(MIN(AE386:AI386),AE386:AI386,0)</f>
        <v>2</v>
      </c>
      <c r="AL386" s="17" t="n">
        <f aca="false">SQRT(($B386-AL$270)^2+($C386-AL$271)^2+($D386-AL$272)^2)</f>
        <v>7.90081339423267</v>
      </c>
      <c r="AM386" s="17" t="n">
        <f aca="false">SQRT(($B386-AM$270)^2+($C386-AM$271)^2+($D386-AM$272)^2)</f>
        <v>0.319309729115032</v>
      </c>
      <c r="AN386" s="17" t="n">
        <f aca="false">SQRT(($B386-AN$270)^2+($C386-AN$271)^2+($D386-AN$272)^2)</f>
        <v>3.15419825352143</v>
      </c>
      <c r="AO386" s="17" t="n">
        <f aca="false">SQRT(($B386-AO$270)^2+($C386-AO$271)^2+($D386-AO$272)^2)</f>
        <v>1.61894803382872</v>
      </c>
      <c r="AP386" s="17" t="n">
        <f aca="false">SQRT(($B386-AP$270)^2+($C386-AP$271)^2+($D386-AP$272)^2)</f>
        <v>5.37157332215243</v>
      </c>
      <c r="AQ386" s="63" t="n">
        <f aca="false">MATCH(MIN(AL386:AP386),AL386:AP386,0)</f>
        <v>2</v>
      </c>
      <c r="AS386" s="17" t="n">
        <f aca="false">SQRT(($B386-AS$270)^2+($C386-AS$271)^2+($D386-AS$272)^2)</f>
        <v>7.90081339423267</v>
      </c>
      <c r="AT386" s="17" t="n">
        <f aca="false">SQRT(($B386-AT$270)^2+($C386-AT$271)^2+($D386-AT$272)^2)</f>
        <v>0.241817538184614</v>
      </c>
      <c r="AU386" s="17" t="n">
        <f aca="false">SQRT(($B386-AU$270)^2+($C386-AU$271)^2+($D386-AU$272)^2)</f>
        <v>3.18180440324111</v>
      </c>
      <c r="AV386" s="17" t="n">
        <f aca="false">SQRT(($B386-AV$270)^2+($C386-AV$271)^2+($D386-AV$272)^2)</f>
        <v>1.58846335925375</v>
      </c>
      <c r="AW386" s="17" t="n">
        <f aca="false">SQRT(($B386-AW$270)^2+($C386-AW$271)^2+($D386-AW$272)^2)</f>
        <v>5.37157332215243</v>
      </c>
      <c r="AX386" s="63" t="n">
        <f aca="false">MATCH(MIN(AS386:AW386),AS386:AW386,0)</f>
        <v>2</v>
      </c>
      <c r="AZ386" s="17" t="n">
        <f aca="false">SQRT(($B386-AZ$270)^2+($C386-AZ$271)^2+($D386-AZ$272)^2)</f>
        <v>7.90081339423267</v>
      </c>
      <c r="BA386" s="17" t="n">
        <f aca="false">SQRT(($B386-BA$270)^2+($C386-BA$271)^2+($D386-BA$272)^2)</f>
        <v>0.241817538184614</v>
      </c>
      <c r="BB386" s="17" t="n">
        <f aca="false">SQRT(($B386-BB$270)^2+($C386-BB$271)^2+($D386-BB$272)^2)</f>
        <v>3.18180440324111</v>
      </c>
      <c r="BC386" s="17" t="n">
        <f aca="false">SQRT(($B386-BC$270)^2+($C386-BC$271)^2+($D386-BC$272)^2)</f>
        <v>1.58846335925375</v>
      </c>
      <c r="BD386" s="17" t="n">
        <f aca="false">SQRT(($B386-BD$270)^2+($C386-BD$271)^2+($D386-BD$272)^2)</f>
        <v>5.37157332215243</v>
      </c>
      <c r="BE386" s="63" t="n">
        <f aca="false">MATCH(MIN(AZ386:BD386),AZ386:BD386,0)</f>
        <v>2</v>
      </c>
      <c r="BG386" s="17" t="n">
        <f aca="false">SQRT(($B386-BG$270)^2+($C386-BG$271)^2+($D386-BG$272)^2)</f>
        <v>7.90081339423267</v>
      </c>
      <c r="BH386" s="17" t="n">
        <f aca="false">SQRT(($B386-BH$270)^2+($C386-BH$271)^2+($D386-BH$272)^2)</f>
        <v>0.241817538184614</v>
      </c>
      <c r="BI386" s="17" t="n">
        <f aca="false">SQRT(($B386-BI$270)^2+($C386-BI$271)^2+($D386-BI$272)^2)</f>
        <v>3.18180440324111</v>
      </c>
      <c r="BJ386" s="17" t="n">
        <f aca="false">SQRT(($B386-BJ$270)^2+($C386-BJ$271)^2+($D386-BJ$272)^2)</f>
        <v>1.58846335925375</v>
      </c>
      <c r="BK386" s="17" t="n">
        <f aca="false">SQRT(($B386-BK$270)^2+($C386-BK$271)^2+($D386-BK$272)^2)</f>
        <v>5.37157332215243</v>
      </c>
      <c r="BL386" s="63" t="n">
        <f aca="false">MATCH(MIN(BG386:BK386),BG386:BK386,0)</f>
        <v>2</v>
      </c>
      <c r="BN386" s="17" t="n">
        <f aca="false">SQRT(($B386-BN$270)^2+($C386-BN$271)^2+($D386-BN$272)^2)</f>
        <v>7.90081339423267</v>
      </c>
      <c r="BO386" s="17" t="n">
        <f aca="false">SQRT(($B386-BO$270)^2+($C386-BO$271)^2+($D386-BO$272)^2)</f>
        <v>0.241817538184614</v>
      </c>
      <c r="BP386" s="17" t="n">
        <f aca="false">SQRT(($B386-BP$270)^2+($C386-BP$271)^2+($D386-BP$272)^2)</f>
        <v>3.18180440324111</v>
      </c>
      <c r="BQ386" s="17" t="n">
        <f aca="false">SQRT(($B386-BQ$270)^2+($C386-BQ$271)^2+($D386-BQ$272)^2)</f>
        <v>1.58846335925375</v>
      </c>
      <c r="BR386" s="17" t="n">
        <f aca="false">SQRT(($B386-BR$270)^2+($C386-BR$271)^2+($D386-BR$272)^2)</f>
        <v>5.37157332215243</v>
      </c>
      <c r="BS386" s="63" t="n">
        <f aca="false">MATCH(MIN(BN386:BR386),BN386:BR386,0)</f>
        <v>2</v>
      </c>
      <c r="BU386" s="17" t="n">
        <f aca="false">SQRT(($B386-BU$270)^2+($C386-BU$271)^2+($D386-BU$272)^2)</f>
        <v>7.90081339423267</v>
      </c>
      <c r="BV386" s="17" t="n">
        <f aca="false">SQRT(($B386-BV$270)^2+($C386-BV$271)^2+($D386-BV$272)^2)</f>
        <v>0.241817538184614</v>
      </c>
      <c r="BW386" s="17" t="n">
        <f aca="false">SQRT(($B386-BW$270)^2+($C386-BW$271)^2+($D386-BW$272)^2)</f>
        <v>3.18180440324111</v>
      </c>
      <c r="BX386" s="17" t="n">
        <f aca="false">SQRT(($B386-BX$270)^2+($C386-BX$271)^2+($D386-BX$272)^2)</f>
        <v>1.58846335925375</v>
      </c>
      <c r="BY386" s="17" t="n">
        <f aca="false">SQRT(($B386-BY$270)^2+($C386-BY$271)^2+($D386-BY$272)^2)</f>
        <v>5.37157332215243</v>
      </c>
      <c r="BZ386" s="63" t="n">
        <f aca="false">MATCH(MIN(BU386:BY386),BU386:BY386,0)</f>
        <v>2</v>
      </c>
      <c r="CB386" s="17" t="n">
        <f aca="false">SQRT(($B386-CB$270)^2+($C386-CB$271)^2+($D386-CB$272)^2)</f>
        <v>7.90081339423267</v>
      </c>
      <c r="CC386" s="17" t="n">
        <f aca="false">SQRT(($B386-CC$270)^2+($C386-CC$271)^2+($D386-CC$272)^2)</f>
        <v>0.241817538184614</v>
      </c>
      <c r="CD386" s="17" t="n">
        <f aca="false">SQRT(($B386-CD$270)^2+($C386-CD$271)^2+($D386-CD$272)^2)</f>
        <v>3.18180440324111</v>
      </c>
      <c r="CE386" s="17" t="n">
        <f aca="false">SQRT(($B386-CE$270)^2+($C386-CE$271)^2+($D386-CE$272)^2)</f>
        <v>1.58846335925375</v>
      </c>
      <c r="CF386" s="17" t="n">
        <f aca="false">SQRT(($B386-CF$270)^2+($C386-CF$271)^2+($D386-CF$272)^2)</f>
        <v>5.37157332215243</v>
      </c>
      <c r="CG386" s="63" t="n">
        <f aca="false">MATCH(MIN(CB386:CF386),CB386:CF386,0)</f>
        <v>2</v>
      </c>
      <c r="CI386" s="17" t="n">
        <f aca="false">SQRT(($B386-CI$270)^2+($C386-CI$271)^2+($D386-CI$272)^2)</f>
        <v>7.90081339423267</v>
      </c>
      <c r="CJ386" s="17" t="n">
        <f aca="false">SQRT(($B386-CJ$270)^2+($C386-CJ$271)^2+($D386-CJ$272)^2)</f>
        <v>0.241817538184614</v>
      </c>
      <c r="CK386" s="17" t="n">
        <f aca="false">SQRT(($B386-CK$270)^2+($C386-CK$271)^2+($D386-CK$272)^2)</f>
        <v>3.18180440324111</v>
      </c>
      <c r="CL386" s="17" t="n">
        <f aca="false">SQRT(($B386-CL$270)^2+($C386-CL$271)^2+($D386-CL$272)^2)</f>
        <v>1.58846335925375</v>
      </c>
      <c r="CM386" s="17" t="n">
        <f aca="false">SQRT(($B386-CM$270)^2+($C386-CM$271)^2+($D386-CM$272)^2)</f>
        <v>5.37157332215243</v>
      </c>
      <c r="CN386" s="63" t="n">
        <f aca="false">MATCH(MIN(CI386:CM386),CI386:CM386,0)</f>
        <v>2</v>
      </c>
      <c r="CP386" s="17" t="n">
        <f aca="false">SQRT(($B386-CP$270)^2+($C386-CP$271)^2+($D386-CP$272)^2)</f>
        <v>7.90081339423267</v>
      </c>
      <c r="CQ386" s="17" t="n">
        <f aca="false">SQRT(($B386-CQ$270)^2+($C386-CQ$271)^2+($D386-CQ$272)^2)</f>
        <v>0.241817538184614</v>
      </c>
      <c r="CR386" s="17" t="n">
        <f aca="false">SQRT(($B386-CR$270)^2+($C386-CR$271)^2+($D386-CR$272)^2)</f>
        <v>3.18180440324111</v>
      </c>
      <c r="CS386" s="17" t="n">
        <f aca="false">SQRT(($B386-CS$270)^2+($C386-CS$271)^2+($D386-CS$272)^2)</f>
        <v>1.58846335925375</v>
      </c>
      <c r="CT386" s="17" t="n">
        <f aca="false">SQRT(($B386-CT$270)^2+($C386-CT$271)^2+($D386-CT$272)^2)</f>
        <v>5.37157332215243</v>
      </c>
      <c r="CU386" s="63" t="n">
        <f aca="false">MATCH(MIN(CP386:CT386),CP386:CT386,0)</f>
        <v>2</v>
      </c>
      <c r="CW386" s="17" t="n">
        <f aca="false">SQRT(($B386-CW$270)^2+($C386-CW$271)^2+($D386-CW$272)^2)</f>
        <v>7.90081339423267</v>
      </c>
      <c r="CX386" s="17" t="n">
        <f aca="false">SQRT(($B386-CX$270)^2+($C386-CX$271)^2+($D386-CX$272)^2)</f>
        <v>0.241817538184614</v>
      </c>
      <c r="CY386" s="17" t="n">
        <f aca="false">SQRT(($B386-CY$270)^2+($C386-CY$271)^2+($D386-CY$272)^2)</f>
        <v>3.18180440324111</v>
      </c>
      <c r="CZ386" s="17" t="n">
        <f aca="false">SQRT(($B386-CZ$270)^2+($C386-CZ$271)^2+($D386-CZ$272)^2)</f>
        <v>1.58846335925375</v>
      </c>
      <c r="DA386" s="17" t="n">
        <f aca="false">SQRT(($B386-DA$270)^2+($C386-DA$271)^2+($D386-DA$272)^2)</f>
        <v>5.37157332215243</v>
      </c>
      <c r="DB386" s="63" t="n">
        <f aca="false">MATCH(MIN(CW386:DA386),CW386:DA386,0)</f>
        <v>2</v>
      </c>
    </row>
    <row r="387" customFormat="false" ht="15" hidden="false" customHeight="false" outlineLevel="0" collapsed="false">
      <c r="A387" s="36" t="str">
        <f aca="false">KMeans_Data!A115</f>
        <v>Trarkhel</v>
      </c>
      <c r="B387" s="17" t="n">
        <f aca="false">KMeans_Data!H115</f>
        <v>-1.71897565655168</v>
      </c>
      <c r="C387" s="17" t="n">
        <f aca="false">KMeans_Data!I115</f>
        <v>-0.672650545388274</v>
      </c>
      <c r="D387" s="17" t="n">
        <f aca="false">KMeans_Data!J115</f>
        <v>-1.14564411633355</v>
      </c>
      <c r="E387" s="63" t="n">
        <f aca="false">DB387</f>
        <v>2</v>
      </c>
      <c r="F387" s="38" t="n">
        <f aca="false">($B387-INDEX($L$270:$P$270,E387))^2+($C387-INDEX($L$271:$P$271,E387))^2+($D387-INDEX($L$272:$P$272,E387))^2</f>
        <v>0.200071375568821</v>
      </c>
      <c r="G387" s="17" t="n">
        <f aca="false">IF(COUNTIF(Distance_Matrix!$E$11:$DQ$11,$E387)&lt;=1,0,SUMIF(Distance_Matrix!$E$11:$DQ$11,$E387,Distance_Matrix!$E$124:$DQ$124)/(COUNTIF(Distance_Matrix!$E$11:$DQ$11,$E387)-1))</f>
        <v>0.54773175436393</v>
      </c>
      <c r="H387" s="17" t="n">
        <f aca="false">MIN(IF(1=$E387,1E+099,IF(COUNTIF(Distance_Matrix!$E$11:$DQ$11,1)=0,1E+099,SUMIF(Distance_Matrix!$E$11:$DQ$11,1,Distance_Matrix!$E$124:$DQ$124)/COUNTIF(Distance_Matrix!$E$11:$DQ$11,1))),IF(2=$E387,1E+099,IF(COUNTIF(Distance_Matrix!$E$11:$DQ$11,2)=0,1E+099,SUMIF(Distance_Matrix!$E$11:$DQ$11,2,Distance_Matrix!$E$124:$DQ$124)/COUNTIF(Distance_Matrix!$E$11:$DQ$11,2))),IF(3=$E387,1E+099,IF(COUNTIF(Distance_Matrix!$E$11:$DQ$11,3)=0,1E+099,SUMIF(Distance_Matrix!$E$11:$DQ$11,3,Distance_Matrix!$E$124:$DQ$124)/COUNTIF(Distance_Matrix!$E$11:$DQ$11,3))),IF(4=$E387,1E+099,IF(COUNTIF(Distance_Matrix!$E$11:$DQ$11,4)=0,1E+099,SUMIF(Distance_Matrix!$E$11:$DQ$11,4,Distance_Matrix!$E$124:$DQ$124)/COUNTIF(Distance_Matrix!$E$11:$DQ$11,4))),IF(5=$E387,1E+099,IF(COUNTIF(Distance_Matrix!$E$11:$DQ$11,5)=0,1E+099,SUMIF(Distance_Matrix!$E$11:$DQ$11,5,Distance_Matrix!$E$124:$DQ$124)/COUNTIF(Distance_Matrix!$E$11:$DQ$11,5))))</f>
        <v>1.88735613874727</v>
      </c>
      <c r="I387" s="17" t="n">
        <f aca="false">IF(COUNTIF(Distance_Matrix!$E$11:$DQ$11,$E387)&lt;=1,0,(H387-G387)/MAX(G387,H387))</f>
        <v>0.709788871787872</v>
      </c>
      <c r="X387" s="17" t="n">
        <f aca="false">SQRT(($B387-X$270)^2+($C387-X$271)^2+($D387-X$272)^2)</f>
        <v>8.15332373062299</v>
      </c>
      <c r="Y387" s="17" t="n">
        <f aca="false">SQRT(($B387-Y$270)^2+($C387-Y$271)^2+($D387-Y$272)^2)</f>
        <v>0.360762325251648</v>
      </c>
      <c r="Z387" s="17" t="n">
        <f aca="false">SQRT(($B387-Z$270)^2+($C387-Z$271)^2+($D387-Z$272)^2)</f>
        <v>3.94287645773164</v>
      </c>
      <c r="AA387" s="17" t="n">
        <f aca="false">SQRT(($B387-AA$270)^2+($C387-AA$271)^2+($D387-AA$272)^2)</f>
        <v>2.42237275698138</v>
      </c>
      <c r="AB387" s="17" t="n">
        <f aca="false">SQRT(($B387-AB$270)^2+($C387-AB$271)^2+($D387-AB$272)^2)</f>
        <v>6.15249594053942</v>
      </c>
      <c r="AC387" s="63" t="n">
        <f aca="false">MATCH(MIN(X387:AB387),X387:AB387,0)</f>
        <v>2</v>
      </c>
      <c r="AE387" s="17" t="n">
        <f aca="false">SQRT(($B387-AE$270)^2+($C387-AE$271)^2+($D387-AE$272)^2)</f>
        <v>8.02998813992964</v>
      </c>
      <c r="AF387" s="17" t="n">
        <f aca="false">SQRT(($B387-AF$270)^2+($C387-AF$271)^2+($D387-AF$272)^2)</f>
        <v>0.522572482532373</v>
      </c>
      <c r="AG387" s="17" t="n">
        <f aca="false">SQRT(($B387-AG$270)^2+($C387-AG$271)^2+($D387-AG$272)^2)</f>
        <v>3.23741790833197</v>
      </c>
      <c r="AH387" s="17" t="n">
        <f aca="false">SQRT(($B387-AH$270)^2+($C387-AH$271)^2+($D387-AH$272)^2)</f>
        <v>1.78252797425168</v>
      </c>
      <c r="AI387" s="17" t="n">
        <f aca="false">SQRT(($B387-AI$270)^2+($C387-AI$271)^2+($D387-AI$272)^2)</f>
        <v>5.78377186359091</v>
      </c>
      <c r="AJ387" s="63" t="n">
        <f aca="false">MATCH(MIN(AE387:AI387),AE387:AI387,0)</f>
        <v>2</v>
      </c>
      <c r="AL387" s="17" t="n">
        <f aca="false">SQRT(($B387-AL$270)^2+($C387-AL$271)^2+($D387-AL$272)^2)</f>
        <v>8.02998813992964</v>
      </c>
      <c r="AM387" s="17" t="n">
        <f aca="false">SQRT(($B387-AM$270)^2+($C387-AM$271)^2+($D387-AM$272)^2)</f>
        <v>0.512682720199268</v>
      </c>
      <c r="AN387" s="17" t="n">
        <f aca="false">SQRT(($B387-AN$270)^2+($C387-AN$271)^2+($D387-AN$272)^2)</f>
        <v>3.29884749469906</v>
      </c>
      <c r="AO387" s="17" t="n">
        <f aca="false">SQRT(($B387-AO$270)^2+($C387-AO$271)^2+($D387-AO$272)^2)</f>
        <v>1.8076830178416</v>
      </c>
      <c r="AP387" s="17" t="n">
        <f aca="false">SQRT(($B387-AP$270)^2+($C387-AP$271)^2+($D387-AP$272)^2)</f>
        <v>5.50788935431316</v>
      </c>
      <c r="AQ387" s="63" t="n">
        <f aca="false">MATCH(MIN(AL387:AP387),AL387:AP387,0)</f>
        <v>2</v>
      </c>
      <c r="AS387" s="17" t="n">
        <f aca="false">SQRT(($B387-AS$270)^2+($C387-AS$271)^2+($D387-AS$272)^2)</f>
        <v>8.02998813992964</v>
      </c>
      <c r="AT387" s="17" t="n">
        <f aca="false">SQRT(($B387-AT$270)^2+($C387-AT$271)^2+($D387-AT$272)^2)</f>
        <v>0.447293388693396</v>
      </c>
      <c r="AU387" s="17" t="n">
        <f aca="false">SQRT(($B387-AU$270)^2+($C387-AU$271)^2+($D387-AU$272)^2)</f>
        <v>3.32648078102283</v>
      </c>
      <c r="AV387" s="17" t="n">
        <f aca="false">SQRT(($B387-AV$270)^2+($C387-AV$271)^2+($D387-AV$272)^2)</f>
        <v>1.77479237732966</v>
      </c>
      <c r="AW387" s="17" t="n">
        <f aca="false">SQRT(($B387-AW$270)^2+($C387-AW$271)^2+($D387-AW$272)^2)</f>
        <v>5.50788935431316</v>
      </c>
      <c r="AX387" s="63" t="n">
        <f aca="false">MATCH(MIN(AS387:AW387),AS387:AW387,0)</f>
        <v>2</v>
      </c>
      <c r="AZ387" s="17" t="n">
        <f aca="false">SQRT(($B387-AZ$270)^2+($C387-AZ$271)^2+($D387-AZ$272)^2)</f>
        <v>8.02998813992964</v>
      </c>
      <c r="BA387" s="17" t="n">
        <f aca="false">SQRT(($B387-BA$270)^2+($C387-BA$271)^2+($D387-BA$272)^2)</f>
        <v>0.447293388693396</v>
      </c>
      <c r="BB387" s="17" t="n">
        <f aca="false">SQRT(($B387-BB$270)^2+($C387-BB$271)^2+($D387-BB$272)^2)</f>
        <v>3.32648078102283</v>
      </c>
      <c r="BC387" s="17" t="n">
        <f aca="false">SQRT(($B387-BC$270)^2+($C387-BC$271)^2+($D387-BC$272)^2)</f>
        <v>1.77479237732966</v>
      </c>
      <c r="BD387" s="17" t="n">
        <f aca="false">SQRT(($B387-BD$270)^2+($C387-BD$271)^2+($D387-BD$272)^2)</f>
        <v>5.50788935431316</v>
      </c>
      <c r="BE387" s="63" t="n">
        <f aca="false">MATCH(MIN(AZ387:BD387),AZ387:BD387,0)</f>
        <v>2</v>
      </c>
      <c r="BG387" s="17" t="n">
        <f aca="false">SQRT(($B387-BG$270)^2+($C387-BG$271)^2+($D387-BG$272)^2)</f>
        <v>8.02998813992964</v>
      </c>
      <c r="BH387" s="17" t="n">
        <f aca="false">SQRT(($B387-BH$270)^2+($C387-BH$271)^2+($D387-BH$272)^2)</f>
        <v>0.447293388693396</v>
      </c>
      <c r="BI387" s="17" t="n">
        <f aca="false">SQRT(($B387-BI$270)^2+($C387-BI$271)^2+($D387-BI$272)^2)</f>
        <v>3.32648078102283</v>
      </c>
      <c r="BJ387" s="17" t="n">
        <f aca="false">SQRT(($B387-BJ$270)^2+($C387-BJ$271)^2+($D387-BJ$272)^2)</f>
        <v>1.77479237732966</v>
      </c>
      <c r="BK387" s="17" t="n">
        <f aca="false">SQRT(($B387-BK$270)^2+($C387-BK$271)^2+($D387-BK$272)^2)</f>
        <v>5.50788935431316</v>
      </c>
      <c r="BL387" s="63" t="n">
        <f aca="false">MATCH(MIN(BG387:BK387),BG387:BK387,0)</f>
        <v>2</v>
      </c>
      <c r="BN387" s="17" t="n">
        <f aca="false">SQRT(($B387-BN$270)^2+($C387-BN$271)^2+($D387-BN$272)^2)</f>
        <v>8.02998813992964</v>
      </c>
      <c r="BO387" s="17" t="n">
        <f aca="false">SQRT(($B387-BO$270)^2+($C387-BO$271)^2+($D387-BO$272)^2)</f>
        <v>0.447293388693396</v>
      </c>
      <c r="BP387" s="17" t="n">
        <f aca="false">SQRT(($B387-BP$270)^2+($C387-BP$271)^2+($D387-BP$272)^2)</f>
        <v>3.32648078102283</v>
      </c>
      <c r="BQ387" s="17" t="n">
        <f aca="false">SQRT(($B387-BQ$270)^2+($C387-BQ$271)^2+($D387-BQ$272)^2)</f>
        <v>1.77479237732966</v>
      </c>
      <c r="BR387" s="17" t="n">
        <f aca="false">SQRT(($B387-BR$270)^2+($C387-BR$271)^2+($D387-BR$272)^2)</f>
        <v>5.50788935431316</v>
      </c>
      <c r="BS387" s="63" t="n">
        <f aca="false">MATCH(MIN(BN387:BR387),BN387:BR387,0)</f>
        <v>2</v>
      </c>
      <c r="BU387" s="17" t="n">
        <f aca="false">SQRT(($B387-BU$270)^2+($C387-BU$271)^2+($D387-BU$272)^2)</f>
        <v>8.02998813992964</v>
      </c>
      <c r="BV387" s="17" t="n">
        <f aca="false">SQRT(($B387-BV$270)^2+($C387-BV$271)^2+($D387-BV$272)^2)</f>
        <v>0.447293388693396</v>
      </c>
      <c r="BW387" s="17" t="n">
        <f aca="false">SQRT(($B387-BW$270)^2+($C387-BW$271)^2+($D387-BW$272)^2)</f>
        <v>3.32648078102283</v>
      </c>
      <c r="BX387" s="17" t="n">
        <f aca="false">SQRT(($B387-BX$270)^2+($C387-BX$271)^2+($D387-BX$272)^2)</f>
        <v>1.77479237732966</v>
      </c>
      <c r="BY387" s="17" t="n">
        <f aca="false">SQRT(($B387-BY$270)^2+($C387-BY$271)^2+($D387-BY$272)^2)</f>
        <v>5.50788935431316</v>
      </c>
      <c r="BZ387" s="63" t="n">
        <f aca="false">MATCH(MIN(BU387:BY387),BU387:BY387,0)</f>
        <v>2</v>
      </c>
      <c r="CB387" s="17" t="n">
        <f aca="false">SQRT(($B387-CB$270)^2+($C387-CB$271)^2+($D387-CB$272)^2)</f>
        <v>8.02998813992964</v>
      </c>
      <c r="CC387" s="17" t="n">
        <f aca="false">SQRT(($B387-CC$270)^2+($C387-CC$271)^2+($D387-CC$272)^2)</f>
        <v>0.447293388693396</v>
      </c>
      <c r="CD387" s="17" t="n">
        <f aca="false">SQRT(($B387-CD$270)^2+($C387-CD$271)^2+($D387-CD$272)^2)</f>
        <v>3.32648078102283</v>
      </c>
      <c r="CE387" s="17" t="n">
        <f aca="false">SQRT(($B387-CE$270)^2+($C387-CE$271)^2+($D387-CE$272)^2)</f>
        <v>1.77479237732966</v>
      </c>
      <c r="CF387" s="17" t="n">
        <f aca="false">SQRT(($B387-CF$270)^2+($C387-CF$271)^2+($D387-CF$272)^2)</f>
        <v>5.50788935431316</v>
      </c>
      <c r="CG387" s="63" t="n">
        <f aca="false">MATCH(MIN(CB387:CF387),CB387:CF387,0)</f>
        <v>2</v>
      </c>
      <c r="CI387" s="17" t="n">
        <f aca="false">SQRT(($B387-CI$270)^2+($C387-CI$271)^2+($D387-CI$272)^2)</f>
        <v>8.02998813992964</v>
      </c>
      <c r="CJ387" s="17" t="n">
        <f aca="false">SQRT(($B387-CJ$270)^2+($C387-CJ$271)^2+($D387-CJ$272)^2)</f>
        <v>0.447293388693396</v>
      </c>
      <c r="CK387" s="17" t="n">
        <f aca="false">SQRT(($B387-CK$270)^2+($C387-CK$271)^2+($D387-CK$272)^2)</f>
        <v>3.32648078102283</v>
      </c>
      <c r="CL387" s="17" t="n">
        <f aca="false">SQRT(($B387-CL$270)^2+($C387-CL$271)^2+($D387-CL$272)^2)</f>
        <v>1.77479237732966</v>
      </c>
      <c r="CM387" s="17" t="n">
        <f aca="false">SQRT(($B387-CM$270)^2+($C387-CM$271)^2+($D387-CM$272)^2)</f>
        <v>5.50788935431316</v>
      </c>
      <c r="CN387" s="63" t="n">
        <f aca="false">MATCH(MIN(CI387:CM387),CI387:CM387,0)</f>
        <v>2</v>
      </c>
      <c r="CP387" s="17" t="n">
        <f aca="false">SQRT(($B387-CP$270)^2+($C387-CP$271)^2+($D387-CP$272)^2)</f>
        <v>8.02998813992964</v>
      </c>
      <c r="CQ387" s="17" t="n">
        <f aca="false">SQRT(($B387-CQ$270)^2+($C387-CQ$271)^2+($D387-CQ$272)^2)</f>
        <v>0.447293388693396</v>
      </c>
      <c r="CR387" s="17" t="n">
        <f aca="false">SQRT(($B387-CR$270)^2+($C387-CR$271)^2+($D387-CR$272)^2)</f>
        <v>3.32648078102283</v>
      </c>
      <c r="CS387" s="17" t="n">
        <f aca="false">SQRT(($B387-CS$270)^2+($C387-CS$271)^2+($D387-CS$272)^2)</f>
        <v>1.77479237732966</v>
      </c>
      <c r="CT387" s="17" t="n">
        <f aca="false">SQRT(($B387-CT$270)^2+($C387-CT$271)^2+($D387-CT$272)^2)</f>
        <v>5.50788935431316</v>
      </c>
      <c r="CU387" s="63" t="n">
        <f aca="false">MATCH(MIN(CP387:CT387),CP387:CT387,0)</f>
        <v>2</v>
      </c>
      <c r="CW387" s="17" t="n">
        <f aca="false">SQRT(($B387-CW$270)^2+($C387-CW$271)^2+($D387-CW$272)^2)</f>
        <v>8.02998813992964</v>
      </c>
      <c r="CX387" s="17" t="n">
        <f aca="false">SQRT(($B387-CX$270)^2+($C387-CX$271)^2+($D387-CX$272)^2)</f>
        <v>0.447293388693396</v>
      </c>
      <c r="CY387" s="17" t="n">
        <f aca="false">SQRT(($B387-CY$270)^2+($C387-CY$271)^2+($D387-CY$272)^2)</f>
        <v>3.32648078102283</v>
      </c>
      <c r="CZ387" s="17" t="n">
        <f aca="false">SQRT(($B387-CZ$270)^2+($C387-CZ$271)^2+($D387-CZ$272)^2)</f>
        <v>1.77479237732966</v>
      </c>
      <c r="DA387" s="17" t="n">
        <f aca="false">SQRT(($B387-DA$270)^2+($C387-DA$271)^2+($D387-DA$272)^2)</f>
        <v>5.50788935431316</v>
      </c>
      <c r="DB387" s="63" t="n">
        <f aca="false">MATCH(MIN(CW387:DA387),CW387:DA387,0)</f>
        <v>2</v>
      </c>
    </row>
    <row r="388" customFormat="false" ht="15" hidden="false" customHeight="false" outlineLevel="0" collapsed="false">
      <c r="A388" s="36" t="str">
        <f aca="false">KMeans_Data!A116</f>
        <v>Kohistan Upper</v>
      </c>
      <c r="B388" s="17" t="n">
        <f aca="false">KMeans_Data!H116</f>
        <v>-1.71897565655168</v>
      </c>
      <c r="C388" s="17" t="n">
        <f aca="false">KMeans_Data!I116</f>
        <v>-0.672650545388274</v>
      </c>
      <c r="D388" s="17" t="n">
        <f aca="false">KMeans_Data!J116</f>
        <v>-1.14564411633355</v>
      </c>
      <c r="E388" s="63" t="n">
        <f aca="false">DB388</f>
        <v>2</v>
      </c>
      <c r="F388" s="38" t="n">
        <f aca="false">($B388-INDEX($L$270:$P$270,E388))^2+($C388-INDEX($L$271:$P$271,E388))^2+($D388-INDEX($L$272:$P$272,E388))^2</f>
        <v>0.200071375568821</v>
      </c>
      <c r="G388" s="17" t="n">
        <f aca="false">IF(COUNTIF(Distance_Matrix!$E$11:$DQ$11,$E388)&lt;=1,0,SUMIF(Distance_Matrix!$E$11:$DQ$11,$E388,Distance_Matrix!$E$125:$DQ$125)/(COUNTIF(Distance_Matrix!$E$11:$DQ$11,$E388)-1))</f>
        <v>0.54773175436393</v>
      </c>
      <c r="H388" s="17" t="n">
        <f aca="false">MIN(IF(1=$E388,1E+099,IF(COUNTIF(Distance_Matrix!$E$11:$DQ$11,1)=0,1E+099,SUMIF(Distance_Matrix!$E$11:$DQ$11,1,Distance_Matrix!$E$125:$DQ$125)/COUNTIF(Distance_Matrix!$E$11:$DQ$11,1))),IF(2=$E388,1E+099,IF(COUNTIF(Distance_Matrix!$E$11:$DQ$11,2)=0,1E+099,SUMIF(Distance_Matrix!$E$11:$DQ$11,2,Distance_Matrix!$E$125:$DQ$125)/COUNTIF(Distance_Matrix!$E$11:$DQ$11,2))),IF(3=$E388,1E+099,IF(COUNTIF(Distance_Matrix!$E$11:$DQ$11,3)=0,1E+099,SUMIF(Distance_Matrix!$E$11:$DQ$11,3,Distance_Matrix!$E$125:$DQ$125)/COUNTIF(Distance_Matrix!$E$11:$DQ$11,3))),IF(4=$E388,1E+099,IF(COUNTIF(Distance_Matrix!$E$11:$DQ$11,4)=0,1E+099,SUMIF(Distance_Matrix!$E$11:$DQ$11,4,Distance_Matrix!$E$125:$DQ$125)/COUNTIF(Distance_Matrix!$E$11:$DQ$11,4))),IF(5=$E388,1E+099,IF(COUNTIF(Distance_Matrix!$E$11:$DQ$11,5)=0,1E+099,SUMIF(Distance_Matrix!$E$11:$DQ$11,5,Distance_Matrix!$E$125:$DQ$125)/COUNTIF(Distance_Matrix!$E$11:$DQ$11,5))))</f>
        <v>1.88735613874727</v>
      </c>
      <c r="I388" s="17" t="n">
        <f aca="false">IF(COUNTIF(Distance_Matrix!$E$11:$DQ$11,$E388)&lt;=1,0,(H388-G388)/MAX(G388,H388))</f>
        <v>0.709788871787872</v>
      </c>
      <c r="X388" s="17" t="n">
        <f aca="false">SQRT(($B388-X$270)^2+($C388-X$271)^2+($D388-X$272)^2)</f>
        <v>8.15332373062299</v>
      </c>
      <c r="Y388" s="17" t="n">
        <f aca="false">SQRT(($B388-Y$270)^2+($C388-Y$271)^2+($D388-Y$272)^2)</f>
        <v>0.360762325251648</v>
      </c>
      <c r="Z388" s="17" t="n">
        <f aca="false">SQRT(($B388-Z$270)^2+($C388-Z$271)^2+($D388-Z$272)^2)</f>
        <v>3.94287645773164</v>
      </c>
      <c r="AA388" s="17" t="n">
        <f aca="false">SQRT(($B388-AA$270)^2+($C388-AA$271)^2+($D388-AA$272)^2)</f>
        <v>2.42237275698138</v>
      </c>
      <c r="AB388" s="17" t="n">
        <f aca="false">SQRT(($B388-AB$270)^2+($C388-AB$271)^2+($D388-AB$272)^2)</f>
        <v>6.15249594053942</v>
      </c>
      <c r="AC388" s="63" t="n">
        <f aca="false">MATCH(MIN(X388:AB388),X388:AB388,0)</f>
        <v>2</v>
      </c>
      <c r="AE388" s="17" t="n">
        <f aca="false">SQRT(($B388-AE$270)^2+($C388-AE$271)^2+($D388-AE$272)^2)</f>
        <v>8.02998813992964</v>
      </c>
      <c r="AF388" s="17" t="n">
        <f aca="false">SQRT(($B388-AF$270)^2+($C388-AF$271)^2+($D388-AF$272)^2)</f>
        <v>0.522572482532373</v>
      </c>
      <c r="AG388" s="17" t="n">
        <f aca="false">SQRT(($B388-AG$270)^2+($C388-AG$271)^2+($D388-AG$272)^2)</f>
        <v>3.23741790833197</v>
      </c>
      <c r="AH388" s="17" t="n">
        <f aca="false">SQRT(($B388-AH$270)^2+($C388-AH$271)^2+($D388-AH$272)^2)</f>
        <v>1.78252797425168</v>
      </c>
      <c r="AI388" s="17" t="n">
        <f aca="false">SQRT(($B388-AI$270)^2+($C388-AI$271)^2+($D388-AI$272)^2)</f>
        <v>5.78377186359091</v>
      </c>
      <c r="AJ388" s="63" t="n">
        <f aca="false">MATCH(MIN(AE388:AI388),AE388:AI388,0)</f>
        <v>2</v>
      </c>
      <c r="AL388" s="17" t="n">
        <f aca="false">SQRT(($B388-AL$270)^2+($C388-AL$271)^2+($D388-AL$272)^2)</f>
        <v>8.02998813992964</v>
      </c>
      <c r="AM388" s="17" t="n">
        <f aca="false">SQRT(($B388-AM$270)^2+($C388-AM$271)^2+($D388-AM$272)^2)</f>
        <v>0.512682720199268</v>
      </c>
      <c r="AN388" s="17" t="n">
        <f aca="false">SQRT(($B388-AN$270)^2+($C388-AN$271)^2+($D388-AN$272)^2)</f>
        <v>3.29884749469906</v>
      </c>
      <c r="AO388" s="17" t="n">
        <f aca="false">SQRT(($B388-AO$270)^2+($C388-AO$271)^2+($D388-AO$272)^2)</f>
        <v>1.8076830178416</v>
      </c>
      <c r="AP388" s="17" t="n">
        <f aca="false">SQRT(($B388-AP$270)^2+($C388-AP$271)^2+($D388-AP$272)^2)</f>
        <v>5.50788935431316</v>
      </c>
      <c r="AQ388" s="63" t="n">
        <f aca="false">MATCH(MIN(AL388:AP388),AL388:AP388,0)</f>
        <v>2</v>
      </c>
      <c r="AS388" s="17" t="n">
        <f aca="false">SQRT(($B388-AS$270)^2+($C388-AS$271)^2+($D388-AS$272)^2)</f>
        <v>8.02998813992964</v>
      </c>
      <c r="AT388" s="17" t="n">
        <f aca="false">SQRT(($B388-AT$270)^2+($C388-AT$271)^2+($D388-AT$272)^2)</f>
        <v>0.447293388693396</v>
      </c>
      <c r="AU388" s="17" t="n">
        <f aca="false">SQRT(($B388-AU$270)^2+($C388-AU$271)^2+($D388-AU$272)^2)</f>
        <v>3.32648078102283</v>
      </c>
      <c r="AV388" s="17" t="n">
        <f aca="false">SQRT(($B388-AV$270)^2+($C388-AV$271)^2+($D388-AV$272)^2)</f>
        <v>1.77479237732966</v>
      </c>
      <c r="AW388" s="17" t="n">
        <f aca="false">SQRT(($B388-AW$270)^2+($C388-AW$271)^2+($D388-AW$272)^2)</f>
        <v>5.50788935431316</v>
      </c>
      <c r="AX388" s="63" t="n">
        <f aca="false">MATCH(MIN(AS388:AW388),AS388:AW388,0)</f>
        <v>2</v>
      </c>
      <c r="AZ388" s="17" t="n">
        <f aca="false">SQRT(($B388-AZ$270)^2+($C388-AZ$271)^2+($D388-AZ$272)^2)</f>
        <v>8.02998813992964</v>
      </c>
      <c r="BA388" s="17" t="n">
        <f aca="false">SQRT(($B388-BA$270)^2+($C388-BA$271)^2+($D388-BA$272)^2)</f>
        <v>0.447293388693396</v>
      </c>
      <c r="BB388" s="17" t="n">
        <f aca="false">SQRT(($B388-BB$270)^2+($C388-BB$271)^2+($D388-BB$272)^2)</f>
        <v>3.32648078102283</v>
      </c>
      <c r="BC388" s="17" t="n">
        <f aca="false">SQRT(($B388-BC$270)^2+($C388-BC$271)^2+($D388-BC$272)^2)</f>
        <v>1.77479237732966</v>
      </c>
      <c r="BD388" s="17" t="n">
        <f aca="false">SQRT(($B388-BD$270)^2+($C388-BD$271)^2+($D388-BD$272)^2)</f>
        <v>5.50788935431316</v>
      </c>
      <c r="BE388" s="63" t="n">
        <f aca="false">MATCH(MIN(AZ388:BD388),AZ388:BD388,0)</f>
        <v>2</v>
      </c>
      <c r="BG388" s="17" t="n">
        <f aca="false">SQRT(($B388-BG$270)^2+($C388-BG$271)^2+($D388-BG$272)^2)</f>
        <v>8.02998813992964</v>
      </c>
      <c r="BH388" s="17" t="n">
        <f aca="false">SQRT(($B388-BH$270)^2+($C388-BH$271)^2+($D388-BH$272)^2)</f>
        <v>0.447293388693396</v>
      </c>
      <c r="BI388" s="17" t="n">
        <f aca="false">SQRT(($B388-BI$270)^2+($C388-BI$271)^2+($D388-BI$272)^2)</f>
        <v>3.32648078102283</v>
      </c>
      <c r="BJ388" s="17" t="n">
        <f aca="false">SQRT(($B388-BJ$270)^2+($C388-BJ$271)^2+($D388-BJ$272)^2)</f>
        <v>1.77479237732966</v>
      </c>
      <c r="BK388" s="17" t="n">
        <f aca="false">SQRT(($B388-BK$270)^2+($C388-BK$271)^2+($D388-BK$272)^2)</f>
        <v>5.50788935431316</v>
      </c>
      <c r="BL388" s="63" t="n">
        <f aca="false">MATCH(MIN(BG388:BK388),BG388:BK388,0)</f>
        <v>2</v>
      </c>
      <c r="BN388" s="17" t="n">
        <f aca="false">SQRT(($B388-BN$270)^2+($C388-BN$271)^2+($D388-BN$272)^2)</f>
        <v>8.02998813992964</v>
      </c>
      <c r="BO388" s="17" t="n">
        <f aca="false">SQRT(($B388-BO$270)^2+($C388-BO$271)^2+($D388-BO$272)^2)</f>
        <v>0.447293388693396</v>
      </c>
      <c r="BP388" s="17" t="n">
        <f aca="false">SQRT(($B388-BP$270)^2+($C388-BP$271)^2+($D388-BP$272)^2)</f>
        <v>3.32648078102283</v>
      </c>
      <c r="BQ388" s="17" t="n">
        <f aca="false">SQRT(($B388-BQ$270)^2+($C388-BQ$271)^2+($D388-BQ$272)^2)</f>
        <v>1.77479237732966</v>
      </c>
      <c r="BR388" s="17" t="n">
        <f aca="false">SQRT(($B388-BR$270)^2+($C388-BR$271)^2+($D388-BR$272)^2)</f>
        <v>5.50788935431316</v>
      </c>
      <c r="BS388" s="63" t="n">
        <f aca="false">MATCH(MIN(BN388:BR388),BN388:BR388,0)</f>
        <v>2</v>
      </c>
      <c r="BU388" s="17" t="n">
        <f aca="false">SQRT(($B388-BU$270)^2+($C388-BU$271)^2+($D388-BU$272)^2)</f>
        <v>8.02998813992964</v>
      </c>
      <c r="BV388" s="17" t="n">
        <f aca="false">SQRT(($B388-BV$270)^2+($C388-BV$271)^2+($D388-BV$272)^2)</f>
        <v>0.447293388693396</v>
      </c>
      <c r="BW388" s="17" t="n">
        <f aca="false">SQRT(($B388-BW$270)^2+($C388-BW$271)^2+($D388-BW$272)^2)</f>
        <v>3.32648078102283</v>
      </c>
      <c r="BX388" s="17" t="n">
        <f aca="false">SQRT(($B388-BX$270)^2+($C388-BX$271)^2+($D388-BX$272)^2)</f>
        <v>1.77479237732966</v>
      </c>
      <c r="BY388" s="17" t="n">
        <f aca="false">SQRT(($B388-BY$270)^2+($C388-BY$271)^2+($D388-BY$272)^2)</f>
        <v>5.50788935431316</v>
      </c>
      <c r="BZ388" s="63" t="n">
        <f aca="false">MATCH(MIN(BU388:BY388),BU388:BY388,0)</f>
        <v>2</v>
      </c>
      <c r="CB388" s="17" t="n">
        <f aca="false">SQRT(($B388-CB$270)^2+($C388-CB$271)^2+($D388-CB$272)^2)</f>
        <v>8.02998813992964</v>
      </c>
      <c r="CC388" s="17" t="n">
        <f aca="false">SQRT(($B388-CC$270)^2+($C388-CC$271)^2+($D388-CC$272)^2)</f>
        <v>0.447293388693396</v>
      </c>
      <c r="CD388" s="17" t="n">
        <f aca="false">SQRT(($B388-CD$270)^2+($C388-CD$271)^2+($D388-CD$272)^2)</f>
        <v>3.32648078102283</v>
      </c>
      <c r="CE388" s="17" t="n">
        <f aca="false">SQRT(($B388-CE$270)^2+($C388-CE$271)^2+($D388-CE$272)^2)</f>
        <v>1.77479237732966</v>
      </c>
      <c r="CF388" s="17" t="n">
        <f aca="false">SQRT(($B388-CF$270)^2+($C388-CF$271)^2+($D388-CF$272)^2)</f>
        <v>5.50788935431316</v>
      </c>
      <c r="CG388" s="63" t="n">
        <f aca="false">MATCH(MIN(CB388:CF388),CB388:CF388,0)</f>
        <v>2</v>
      </c>
      <c r="CI388" s="17" t="n">
        <f aca="false">SQRT(($B388-CI$270)^2+($C388-CI$271)^2+($D388-CI$272)^2)</f>
        <v>8.02998813992964</v>
      </c>
      <c r="CJ388" s="17" t="n">
        <f aca="false">SQRT(($B388-CJ$270)^2+($C388-CJ$271)^2+($D388-CJ$272)^2)</f>
        <v>0.447293388693396</v>
      </c>
      <c r="CK388" s="17" t="n">
        <f aca="false">SQRT(($B388-CK$270)^2+($C388-CK$271)^2+($D388-CK$272)^2)</f>
        <v>3.32648078102283</v>
      </c>
      <c r="CL388" s="17" t="n">
        <f aca="false">SQRT(($B388-CL$270)^2+($C388-CL$271)^2+($D388-CL$272)^2)</f>
        <v>1.77479237732966</v>
      </c>
      <c r="CM388" s="17" t="n">
        <f aca="false">SQRT(($B388-CM$270)^2+($C388-CM$271)^2+($D388-CM$272)^2)</f>
        <v>5.50788935431316</v>
      </c>
      <c r="CN388" s="63" t="n">
        <f aca="false">MATCH(MIN(CI388:CM388),CI388:CM388,0)</f>
        <v>2</v>
      </c>
      <c r="CP388" s="17" t="n">
        <f aca="false">SQRT(($B388-CP$270)^2+($C388-CP$271)^2+($D388-CP$272)^2)</f>
        <v>8.02998813992964</v>
      </c>
      <c r="CQ388" s="17" t="n">
        <f aca="false">SQRT(($B388-CQ$270)^2+($C388-CQ$271)^2+($D388-CQ$272)^2)</f>
        <v>0.447293388693396</v>
      </c>
      <c r="CR388" s="17" t="n">
        <f aca="false">SQRT(($B388-CR$270)^2+($C388-CR$271)^2+($D388-CR$272)^2)</f>
        <v>3.32648078102283</v>
      </c>
      <c r="CS388" s="17" t="n">
        <f aca="false">SQRT(($B388-CS$270)^2+($C388-CS$271)^2+($D388-CS$272)^2)</f>
        <v>1.77479237732966</v>
      </c>
      <c r="CT388" s="17" t="n">
        <f aca="false">SQRT(($B388-CT$270)^2+($C388-CT$271)^2+($D388-CT$272)^2)</f>
        <v>5.50788935431316</v>
      </c>
      <c r="CU388" s="63" t="n">
        <f aca="false">MATCH(MIN(CP388:CT388),CP388:CT388,0)</f>
        <v>2</v>
      </c>
      <c r="CW388" s="17" t="n">
        <f aca="false">SQRT(($B388-CW$270)^2+($C388-CW$271)^2+($D388-CW$272)^2)</f>
        <v>8.02998813992964</v>
      </c>
      <c r="CX388" s="17" t="n">
        <f aca="false">SQRT(($B388-CX$270)^2+($C388-CX$271)^2+($D388-CX$272)^2)</f>
        <v>0.447293388693396</v>
      </c>
      <c r="CY388" s="17" t="n">
        <f aca="false">SQRT(($B388-CY$270)^2+($C388-CY$271)^2+($D388-CY$272)^2)</f>
        <v>3.32648078102283</v>
      </c>
      <c r="CZ388" s="17" t="n">
        <f aca="false">SQRT(($B388-CZ$270)^2+($C388-CZ$271)^2+($D388-CZ$272)^2)</f>
        <v>1.77479237732966</v>
      </c>
      <c r="DA388" s="17" t="n">
        <f aca="false">SQRT(($B388-DA$270)^2+($C388-DA$271)^2+($D388-DA$272)^2)</f>
        <v>5.50788935431316</v>
      </c>
      <c r="DB388" s="63" t="n">
        <f aca="false">MATCH(MIN(CW388:DA388),CW388:DA388,0)</f>
        <v>2</v>
      </c>
    </row>
    <row r="389" customFormat="false" ht="15" hidden="false" customHeight="false" outlineLevel="0" collapsed="false">
      <c r="A389" s="36" t="str">
        <f aca="false">KMeans_Data!A117</f>
        <v>Okara</v>
      </c>
      <c r="B389" s="17" t="n">
        <f aca="false">KMeans_Data!H117</f>
        <v>-1.71897565655168</v>
      </c>
      <c r="C389" s="17" t="n">
        <f aca="false">KMeans_Data!I117</f>
        <v>-0.672650545388274</v>
      </c>
      <c r="D389" s="17" t="n">
        <f aca="false">KMeans_Data!J117</f>
        <v>-1.14564411633355</v>
      </c>
      <c r="E389" s="63" t="n">
        <f aca="false">DB389</f>
        <v>2</v>
      </c>
      <c r="F389" s="38" t="n">
        <f aca="false">($B389-INDEX($L$270:$P$270,E389))^2+($C389-INDEX($L$271:$P$271,E389))^2+($D389-INDEX($L$272:$P$272,E389))^2</f>
        <v>0.200071375568821</v>
      </c>
      <c r="G389" s="17" t="n">
        <f aca="false">IF(COUNTIF(Distance_Matrix!$E$11:$DQ$11,$E389)&lt;=1,0,SUMIF(Distance_Matrix!$E$11:$DQ$11,$E389,Distance_Matrix!$E$126:$DQ$126)/(COUNTIF(Distance_Matrix!$E$11:$DQ$11,$E389)-1))</f>
        <v>0.54773175436393</v>
      </c>
      <c r="H389" s="17" t="n">
        <f aca="false">MIN(IF(1=$E389,1E+099,IF(COUNTIF(Distance_Matrix!$E$11:$DQ$11,1)=0,1E+099,SUMIF(Distance_Matrix!$E$11:$DQ$11,1,Distance_Matrix!$E$126:$DQ$126)/COUNTIF(Distance_Matrix!$E$11:$DQ$11,1))),IF(2=$E389,1E+099,IF(COUNTIF(Distance_Matrix!$E$11:$DQ$11,2)=0,1E+099,SUMIF(Distance_Matrix!$E$11:$DQ$11,2,Distance_Matrix!$E$126:$DQ$126)/COUNTIF(Distance_Matrix!$E$11:$DQ$11,2))),IF(3=$E389,1E+099,IF(COUNTIF(Distance_Matrix!$E$11:$DQ$11,3)=0,1E+099,SUMIF(Distance_Matrix!$E$11:$DQ$11,3,Distance_Matrix!$E$126:$DQ$126)/COUNTIF(Distance_Matrix!$E$11:$DQ$11,3))),IF(4=$E389,1E+099,IF(COUNTIF(Distance_Matrix!$E$11:$DQ$11,4)=0,1E+099,SUMIF(Distance_Matrix!$E$11:$DQ$11,4,Distance_Matrix!$E$126:$DQ$126)/COUNTIF(Distance_Matrix!$E$11:$DQ$11,4))),IF(5=$E389,1E+099,IF(COUNTIF(Distance_Matrix!$E$11:$DQ$11,5)=0,1E+099,SUMIF(Distance_Matrix!$E$11:$DQ$11,5,Distance_Matrix!$E$126:$DQ$126)/COUNTIF(Distance_Matrix!$E$11:$DQ$11,5))))</f>
        <v>1.88735613874727</v>
      </c>
      <c r="I389" s="17" t="n">
        <f aca="false">IF(COUNTIF(Distance_Matrix!$E$11:$DQ$11,$E389)&lt;=1,0,(H389-G389)/MAX(G389,H389))</f>
        <v>0.709788871787872</v>
      </c>
      <c r="X389" s="17" t="n">
        <f aca="false">SQRT(($B389-X$270)^2+($C389-X$271)^2+($D389-X$272)^2)</f>
        <v>8.15332373062299</v>
      </c>
      <c r="Y389" s="17" t="n">
        <f aca="false">SQRT(($B389-Y$270)^2+($C389-Y$271)^2+($D389-Y$272)^2)</f>
        <v>0.360762325251648</v>
      </c>
      <c r="Z389" s="17" t="n">
        <f aca="false">SQRT(($B389-Z$270)^2+($C389-Z$271)^2+($D389-Z$272)^2)</f>
        <v>3.94287645773164</v>
      </c>
      <c r="AA389" s="17" t="n">
        <f aca="false">SQRT(($B389-AA$270)^2+($C389-AA$271)^2+($D389-AA$272)^2)</f>
        <v>2.42237275698138</v>
      </c>
      <c r="AB389" s="17" t="n">
        <f aca="false">SQRT(($B389-AB$270)^2+($C389-AB$271)^2+($D389-AB$272)^2)</f>
        <v>6.15249594053942</v>
      </c>
      <c r="AC389" s="63" t="n">
        <f aca="false">MATCH(MIN(X389:AB389),X389:AB389,0)</f>
        <v>2</v>
      </c>
      <c r="AE389" s="17" t="n">
        <f aca="false">SQRT(($B389-AE$270)^2+($C389-AE$271)^2+($D389-AE$272)^2)</f>
        <v>8.02998813992964</v>
      </c>
      <c r="AF389" s="17" t="n">
        <f aca="false">SQRT(($B389-AF$270)^2+($C389-AF$271)^2+($D389-AF$272)^2)</f>
        <v>0.522572482532373</v>
      </c>
      <c r="AG389" s="17" t="n">
        <f aca="false">SQRT(($B389-AG$270)^2+($C389-AG$271)^2+($D389-AG$272)^2)</f>
        <v>3.23741790833197</v>
      </c>
      <c r="AH389" s="17" t="n">
        <f aca="false">SQRT(($B389-AH$270)^2+($C389-AH$271)^2+($D389-AH$272)^2)</f>
        <v>1.78252797425168</v>
      </c>
      <c r="AI389" s="17" t="n">
        <f aca="false">SQRT(($B389-AI$270)^2+($C389-AI$271)^2+($D389-AI$272)^2)</f>
        <v>5.78377186359091</v>
      </c>
      <c r="AJ389" s="63" t="n">
        <f aca="false">MATCH(MIN(AE389:AI389),AE389:AI389,0)</f>
        <v>2</v>
      </c>
      <c r="AL389" s="17" t="n">
        <f aca="false">SQRT(($B389-AL$270)^2+($C389-AL$271)^2+($D389-AL$272)^2)</f>
        <v>8.02998813992964</v>
      </c>
      <c r="AM389" s="17" t="n">
        <f aca="false">SQRT(($B389-AM$270)^2+($C389-AM$271)^2+($D389-AM$272)^2)</f>
        <v>0.512682720199268</v>
      </c>
      <c r="AN389" s="17" t="n">
        <f aca="false">SQRT(($B389-AN$270)^2+($C389-AN$271)^2+($D389-AN$272)^2)</f>
        <v>3.29884749469906</v>
      </c>
      <c r="AO389" s="17" t="n">
        <f aca="false">SQRT(($B389-AO$270)^2+($C389-AO$271)^2+($D389-AO$272)^2)</f>
        <v>1.8076830178416</v>
      </c>
      <c r="AP389" s="17" t="n">
        <f aca="false">SQRT(($B389-AP$270)^2+($C389-AP$271)^2+($D389-AP$272)^2)</f>
        <v>5.50788935431316</v>
      </c>
      <c r="AQ389" s="63" t="n">
        <f aca="false">MATCH(MIN(AL389:AP389),AL389:AP389,0)</f>
        <v>2</v>
      </c>
      <c r="AS389" s="17" t="n">
        <f aca="false">SQRT(($B389-AS$270)^2+($C389-AS$271)^2+($D389-AS$272)^2)</f>
        <v>8.02998813992964</v>
      </c>
      <c r="AT389" s="17" t="n">
        <f aca="false">SQRT(($B389-AT$270)^2+($C389-AT$271)^2+($D389-AT$272)^2)</f>
        <v>0.447293388693396</v>
      </c>
      <c r="AU389" s="17" t="n">
        <f aca="false">SQRT(($B389-AU$270)^2+($C389-AU$271)^2+($D389-AU$272)^2)</f>
        <v>3.32648078102283</v>
      </c>
      <c r="AV389" s="17" t="n">
        <f aca="false">SQRT(($B389-AV$270)^2+($C389-AV$271)^2+($D389-AV$272)^2)</f>
        <v>1.77479237732966</v>
      </c>
      <c r="AW389" s="17" t="n">
        <f aca="false">SQRT(($B389-AW$270)^2+($C389-AW$271)^2+($D389-AW$272)^2)</f>
        <v>5.50788935431316</v>
      </c>
      <c r="AX389" s="63" t="n">
        <f aca="false">MATCH(MIN(AS389:AW389),AS389:AW389,0)</f>
        <v>2</v>
      </c>
      <c r="AZ389" s="17" t="n">
        <f aca="false">SQRT(($B389-AZ$270)^2+($C389-AZ$271)^2+($D389-AZ$272)^2)</f>
        <v>8.02998813992964</v>
      </c>
      <c r="BA389" s="17" t="n">
        <f aca="false">SQRT(($B389-BA$270)^2+($C389-BA$271)^2+($D389-BA$272)^2)</f>
        <v>0.447293388693396</v>
      </c>
      <c r="BB389" s="17" t="n">
        <f aca="false">SQRT(($B389-BB$270)^2+($C389-BB$271)^2+($D389-BB$272)^2)</f>
        <v>3.32648078102283</v>
      </c>
      <c r="BC389" s="17" t="n">
        <f aca="false">SQRT(($B389-BC$270)^2+($C389-BC$271)^2+($D389-BC$272)^2)</f>
        <v>1.77479237732966</v>
      </c>
      <c r="BD389" s="17" t="n">
        <f aca="false">SQRT(($B389-BD$270)^2+($C389-BD$271)^2+($D389-BD$272)^2)</f>
        <v>5.50788935431316</v>
      </c>
      <c r="BE389" s="63" t="n">
        <f aca="false">MATCH(MIN(AZ389:BD389),AZ389:BD389,0)</f>
        <v>2</v>
      </c>
      <c r="BG389" s="17" t="n">
        <f aca="false">SQRT(($B389-BG$270)^2+($C389-BG$271)^2+($D389-BG$272)^2)</f>
        <v>8.02998813992964</v>
      </c>
      <c r="BH389" s="17" t="n">
        <f aca="false">SQRT(($B389-BH$270)^2+($C389-BH$271)^2+($D389-BH$272)^2)</f>
        <v>0.447293388693396</v>
      </c>
      <c r="BI389" s="17" t="n">
        <f aca="false">SQRT(($B389-BI$270)^2+($C389-BI$271)^2+($D389-BI$272)^2)</f>
        <v>3.32648078102283</v>
      </c>
      <c r="BJ389" s="17" t="n">
        <f aca="false">SQRT(($B389-BJ$270)^2+($C389-BJ$271)^2+($D389-BJ$272)^2)</f>
        <v>1.77479237732966</v>
      </c>
      <c r="BK389" s="17" t="n">
        <f aca="false">SQRT(($B389-BK$270)^2+($C389-BK$271)^2+($D389-BK$272)^2)</f>
        <v>5.50788935431316</v>
      </c>
      <c r="BL389" s="63" t="n">
        <f aca="false">MATCH(MIN(BG389:BK389),BG389:BK389,0)</f>
        <v>2</v>
      </c>
      <c r="BN389" s="17" t="n">
        <f aca="false">SQRT(($B389-BN$270)^2+($C389-BN$271)^2+($D389-BN$272)^2)</f>
        <v>8.02998813992964</v>
      </c>
      <c r="BO389" s="17" t="n">
        <f aca="false">SQRT(($B389-BO$270)^2+($C389-BO$271)^2+($D389-BO$272)^2)</f>
        <v>0.447293388693396</v>
      </c>
      <c r="BP389" s="17" t="n">
        <f aca="false">SQRT(($B389-BP$270)^2+($C389-BP$271)^2+($D389-BP$272)^2)</f>
        <v>3.32648078102283</v>
      </c>
      <c r="BQ389" s="17" t="n">
        <f aca="false">SQRT(($B389-BQ$270)^2+($C389-BQ$271)^2+($D389-BQ$272)^2)</f>
        <v>1.77479237732966</v>
      </c>
      <c r="BR389" s="17" t="n">
        <f aca="false">SQRT(($B389-BR$270)^2+($C389-BR$271)^2+($D389-BR$272)^2)</f>
        <v>5.50788935431316</v>
      </c>
      <c r="BS389" s="63" t="n">
        <f aca="false">MATCH(MIN(BN389:BR389),BN389:BR389,0)</f>
        <v>2</v>
      </c>
      <c r="BU389" s="17" t="n">
        <f aca="false">SQRT(($B389-BU$270)^2+($C389-BU$271)^2+($D389-BU$272)^2)</f>
        <v>8.02998813992964</v>
      </c>
      <c r="BV389" s="17" t="n">
        <f aca="false">SQRT(($B389-BV$270)^2+($C389-BV$271)^2+($D389-BV$272)^2)</f>
        <v>0.447293388693396</v>
      </c>
      <c r="BW389" s="17" t="n">
        <f aca="false">SQRT(($B389-BW$270)^2+($C389-BW$271)^2+($D389-BW$272)^2)</f>
        <v>3.32648078102283</v>
      </c>
      <c r="BX389" s="17" t="n">
        <f aca="false">SQRT(($B389-BX$270)^2+($C389-BX$271)^2+($D389-BX$272)^2)</f>
        <v>1.77479237732966</v>
      </c>
      <c r="BY389" s="17" t="n">
        <f aca="false">SQRT(($B389-BY$270)^2+($C389-BY$271)^2+($D389-BY$272)^2)</f>
        <v>5.50788935431316</v>
      </c>
      <c r="BZ389" s="63" t="n">
        <f aca="false">MATCH(MIN(BU389:BY389),BU389:BY389,0)</f>
        <v>2</v>
      </c>
      <c r="CB389" s="17" t="n">
        <f aca="false">SQRT(($B389-CB$270)^2+($C389-CB$271)^2+($D389-CB$272)^2)</f>
        <v>8.02998813992964</v>
      </c>
      <c r="CC389" s="17" t="n">
        <f aca="false">SQRT(($B389-CC$270)^2+($C389-CC$271)^2+($D389-CC$272)^2)</f>
        <v>0.447293388693396</v>
      </c>
      <c r="CD389" s="17" t="n">
        <f aca="false">SQRT(($B389-CD$270)^2+($C389-CD$271)^2+($D389-CD$272)^2)</f>
        <v>3.32648078102283</v>
      </c>
      <c r="CE389" s="17" t="n">
        <f aca="false">SQRT(($B389-CE$270)^2+($C389-CE$271)^2+($D389-CE$272)^2)</f>
        <v>1.77479237732966</v>
      </c>
      <c r="CF389" s="17" t="n">
        <f aca="false">SQRT(($B389-CF$270)^2+($C389-CF$271)^2+($D389-CF$272)^2)</f>
        <v>5.50788935431316</v>
      </c>
      <c r="CG389" s="63" t="n">
        <f aca="false">MATCH(MIN(CB389:CF389),CB389:CF389,0)</f>
        <v>2</v>
      </c>
      <c r="CI389" s="17" t="n">
        <f aca="false">SQRT(($B389-CI$270)^2+($C389-CI$271)^2+($D389-CI$272)^2)</f>
        <v>8.02998813992964</v>
      </c>
      <c r="CJ389" s="17" t="n">
        <f aca="false">SQRT(($B389-CJ$270)^2+($C389-CJ$271)^2+($D389-CJ$272)^2)</f>
        <v>0.447293388693396</v>
      </c>
      <c r="CK389" s="17" t="n">
        <f aca="false">SQRT(($B389-CK$270)^2+($C389-CK$271)^2+($D389-CK$272)^2)</f>
        <v>3.32648078102283</v>
      </c>
      <c r="CL389" s="17" t="n">
        <f aca="false">SQRT(($B389-CL$270)^2+($C389-CL$271)^2+($D389-CL$272)^2)</f>
        <v>1.77479237732966</v>
      </c>
      <c r="CM389" s="17" t="n">
        <f aca="false">SQRT(($B389-CM$270)^2+($C389-CM$271)^2+($D389-CM$272)^2)</f>
        <v>5.50788935431316</v>
      </c>
      <c r="CN389" s="63" t="n">
        <f aca="false">MATCH(MIN(CI389:CM389),CI389:CM389,0)</f>
        <v>2</v>
      </c>
      <c r="CP389" s="17" t="n">
        <f aca="false">SQRT(($B389-CP$270)^2+($C389-CP$271)^2+($D389-CP$272)^2)</f>
        <v>8.02998813992964</v>
      </c>
      <c r="CQ389" s="17" t="n">
        <f aca="false">SQRT(($B389-CQ$270)^2+($C389-CQ$271)^2+($D389-CQ$272)^2)</f>
        <v>0.447293388693396</v>
      </c>
      <c r="CR389" s="17" t="n">
        <f aca="false">SQRT(($B389-CR$270)^2+($C389-CR$271)^2+($D389-CR$272)^2)</f>
        <v>3.32648078102283</v>
      </c>
      <c r="CS389" s="17" t="n">
        <f aca="false">SQRT(($B389-CS$270)^2+($C389-CS$271)^2+($D389-CS$272)^2)</f>
        <v>1.77479237732966</v>
      </c>
      <c r="CT389" s="17" t="n">
        <f aca="false">SQRT(($B389-CT$270)^2+($C389-CT$271)^2+($D389-CT$272)^2)</f>
        <v>5.50788935431316</v>
      </c>
      <c r="CU389" s="63" t="n">
        <f aca="false">MATCH(MIN(CP389:CT389),CP389:CT389,0)</f>
        <v>2</v>
      </c>
      <c r="CW389" s="17" t="n">
        <f aca="false">SQRT(($B389-CW$270)^2+($C389-CW$271)^2+($D389-CW$272)^2)</f>
        <v>8.02998813992964</v>
      </c>
      <c r="CX389" s="17" t="n">
        <f aca="false">SQRT(($B389-CX$270)^2+($C389-CX$271)^2+($D389-CX$272)^2)</f>
        <v>0.447293388693396</v>
      </c>
      <c r="CY389" s="17" t="n">
        <f aca="false">SQRT(($B389-CY$270)^2+($C389-CY$271)^2+($D389-CY$272)^2)</f>
        <v>3.32648078102283</v>
      </c>
      <c r="CZ389" s="17" t="n">
        <f aca="false">SQRT(($B389-CZ$270)^2+($C389-CZ$271)^2+($D389-CZ$272)^2)</f>
        <v>1.77479237732966</v>
      </c>
      <c r="DA389" s="17" t="n">
        <f aca="false">SQRT(($B389-DA$270)^2+($C389-DA$271)^2+($D389-DA$272)^2)</f>
        <v>5.50788935431316</v>
      </c>
      <c r="DB389" s="63" t="n">
        <f aca="false">MATCH(MIN(CW389:DA389),CW389:DA389,0)</f>
        <v>2</v>
      </c>
    </row>
    <row r="390" customFormat="false" ht="15" hidden="false" customHeight="false" outlineLevel="0" collapsed="false">
      <c r="A390" s="36" t="str">
        <f aca="false">KMeans_Data!A118</f>
        <v>Ziarat</v>
      </c>
      <c r="B390" s="17" t="n">
        <f aca="false">KMeans_Data!H118</f>
        <v>-1.71897565655168</v>
      </c>
      <c r="C390" s="17" t="n">
        <f aca="false">KMeans_Data!I118</f>
        <v>-0.672650545388274</v>
      </c>
      <c r="D390" s="17" t="n">
        <f aca="false">KMeans_Data!J118</f>
        <v>-1.14564411633355</v>
      </c>
      <c r="E390" s="63" t="n">
        <f aca="false">DB390</f>
        <v>2</v>
      </c>
      <c r="F390" s="38" t="n">
        <f aca="false">($B390-INDEX($L$270:$P$270,E390))^2+($C390-INDEX($L$271:$P$271,E390))^2+($D390-INDEX($L$272:$P$272,E390))^2</f>
        <v>0.200071375568821</v>
      </c>
      <c r="G390" s="17" t="n">
        <f aca="false">IF(COUNTIF(Distance_Matrix!$E$11:$DQ$11,$E390)&lt;=1,0,SUMIF(Distance_Matrix!$E$11:$DQ$11,$E390,Distance_Matrix!$E$127:$DQ$127)/(COUNTIF(Distance_Matrix!$E$11:$DQ$11,$E390)-1))</f>
        <v>0.54773175436393</v>
      </c>
      <c r="H390" s="17" t="n">
        <f aca="false">MIN(IF(1=$E390,1E+099,IF(COUNTIF(Distance_Matrix!$E$11:$DQ$11,1)=0,1E+099,SUMIF(Distance_Matrix!$E$11:$DQ$11,1,Distance_Matrix!$E$127:$DQ$127)/COUNTIF(Distance_Matrix!$E$11:$DQ$11,1))),IF(2=$E390,1E+099,IF(COUNTIF(Distance_Matrix!$E$11:$DQ$11,2)=0,1E+099,SUMIF(Distance_Matrix!$E$11:$DQ$11,2,Distance_Matrix!$E$127:$DQ$127)/COUNTIF(Distance_Matrix!$E$11:$DQ$11,2))),IF(3=$E390,1E+099,IF(COUNTIF(Distance_Matrix!$E$11:$DQ$11,3)=0,1E+099,SUMIF(Distance_Matrix!$E$11:$DQ$11,3,Distance_Matrix!$E$127:$DQ$127)/COUNTIF(Distance_Matrix!$E$11:$DQ$11,3))),IF(4=$E390,1E+099,IF(COUNTIF(Distance_Matrix!$E$11:$DQ$11,4)=0,1E+099,SUMIF(Distance_Matrix!$E$11:$DQ$11,4,Distance_Matrix!$E$127:$DQ$127)/COUNTIF(Distance_Matrix!$E$11:$DQ$11,4))),IF(5=$E390,1E+099,IF(COUNTIF(Distance_Matrix!$E$11:$DQ$11,5)=0,1E+099,SUMIF(Distance_Matrix!$E$11:$DQ$11,5,Distance_Matrix!$E$127:$DQ$127)/COUNTIF(Distance_Matrix!$E$11:$DQ$11,5))))</f>
        <v>1.88735613874727</v>
      </c>
      <c r="I390" s="17" t="n">
        <f aca="false">IF(COUNTIF(Distance_Matrix!$E$11:$DQ$11,$E390)&lt;=1,0,(H390-G390)/MAX(G390,H390))</f>
        <v>0.709788871787872</v>
      </c>
      <c r="X390" s="17" t="n">
        <f aca="false">SQRT(($B390-X$270)^2+($C390-X$271)^2+($D390-X$272)^2)</f>
        <v>8.15332373062299</v>
      </c>
      <c r="Y390" s="17" t="n">
        <f aca="false">SQRT(($B390-Y$270)^2+($C390-Y$271)^2+($D390-Y$272)^2)</f>
        <v>0.360762325251648</v>
      </c>
      <c r="Z390" s="17" t="n">
        <f aca="false">SQRT(($B390-Z$270)^2+($C390-Z$271)^2+($D390-Z$272)^2)</f>
        <v>3.94287645773164</v>
      </c>
      <c r="AA390" s="17" t="n">
        <f aca="false">SQRT(($B390-AA$270)^2+($C390-AA$271)^2+($D390-AA$272)^2)</f>
        <v>2.42237275698138</v>
      </c>
      <c r="AB390" s="17" t="n">
        <f aca="false">SQRT(($B390-AB$270)^2+($C390-AB$271)^2+($D390-AB$272)^2)</f>
        <v>6.15249594053942</v>
      </c>
      <c r="AC390" s="63" t="n">
        <f aca="false">MATCH(MIN(X390:AB390),X390:AB390,0)</f>
        <v>2</v>
      </c>
      <c r="AE390" s="17" t="n">
        <f aca="false">SQRT(($B390-AE$270)^2+($C390-AE$271)^2+($D390-AE$272)^2)</f>
        <v>8.02998813992964</v>
      </c>
      <c r="AF390" s="17" t="n">
        <f aca="false">SQRT(($B390-AF$270)^2+($C390-AF$271)^2+($D390-AF$272)^2)</f>
        <v>0.522572482532373</v>
      </c>
      <c r="AG390" s="17" t="n">
        <f aca="false">SQRT(($B390-AG$270)^2+($C390-AG$271)^2+($D390-AG$272)^2)</f>
        <v>3.23741790833197</v>
      </c>
      <c r="AH390" s="17" t="n">
        <f aca="false">SQRT(($B390-AH$270)^2+($C390-AH$271)^2+($D390-AH$272)^2)</f>
        <v>1.78252797425168</v>
      </c>
      <c r="AI390" s="17" t="n">
        <f aca="false">SQRT(($B390-AI$270)^2+($C390-AI$271)^2+($D390-AI$272)^2)</f>
        <v>5.78377186359091</v>
      </c>
      <c r="AJ390" s="63" t="n">
        <f aca="false">MATCH(MIN(AE390:AI390),AE390:AI390,0)</f>
        <v>2</v>
      </c>
      <c r="AL390" s="17" t="n">
        <f aca="false">SQRT(($B390-AL$270)^2+($C390-AL$271)^2+($D390-AL$272)^2)</f>
        <v>8.02998813992964</v>
      </c>
      <c r="AM390" s="17" t="n">
        <f aca="false">SQRT(($B390-AM$270)^2+($C390-AM$271)^2+($D390-AM$272)^2)</f>
        <v>0.512682720199268</v>
      </c>
      <c r="AN390" s="17" t="n">
        <f aca="false">SQRT(($B390-AN$270)^2+($C390-AN$271)^2+($D390-AN$272)^2)</f>
        <v>3.29884749469906</v>
      </c>
      <c r="AO390" s="17" t="n">
        <f aca="false">SQRT(($B390-AO$270)^2+($C390-AO$271)^2+($D390-AO$272)^2)</f>
        <v>1.8076830178416</v>
      </c>
      <c r="AP390" s="17" t="n">
        <f aca="false">SQRT(($B390-AP$270)^2+($C390-AP$271)^2+($D390-AP$272)^2)</f>
        <v>5.50788935431316</v>
      </c>
      <c r="AQ390" s="63" t="n">
        <f aca="false">MATCH(MIN(AL390:AP390),AL390:AP390,0)</f>
        <v>2</v>
      </c>
      <c r="AS390" s="17" t="n">
        <f aca="false">SQRT(($B390-AS$270)^2+($C390-AS$271)^2+($D390-AS$272)^2)</f>
        <v>8.02998813992964</v>
      </c>
      <c r="AT390" s="17" t="n">
        <f aca="false">SQRT(($B390-AT$270)^2+($C390-AT$271)^2+($D390-AT$272)^2)</f>
        <v>0.447293388693396</v>
      </c>
      <c r="AU390" s="17" t="n">
        <f aca="false">SQRT(($B390-AU$270)^2+($C390-AU$271)^2+($D390-AU$272)^2)</f>
        <v>3.32648078102283</v>
      </c>
      <c r="AV390" s="17" t="n">
        <f aca="false">SQRT(($B390-AV$270)^2+($C390-AV$271)^2+($D390-AV$272)^2)</f>
        <v>1.77479237732966</v>
      </c>
      <c r="AW390" s="17" t="n">
        <f aca="false">SQRT(($B390-AW$270)^2+($C390-AW$271)^2+($D390-AW$272)^2)</f>
        <v>5.50788935431316</v>
      </c>
      <c r="AX390" s="63" t="n">
        <f aca="false">MATCH(MIN(AS390:AW390),AS390:AW390,0)</f>
        <v>2</v>
      </c>
      <c r="AZ390" s="17" t="n">
        <f aca="false">SQRT(($B390-AZ$270)^2+($C390-AZ$271)^2+($D390-AZ$272)^2)</f>
        <v>8.02998813992964</v>
      </c>
      <c r="BA390" s="17" t="n">
        <f aca="false">SQRT(($B390-BA$270)^2+($C390-BA$271)^2+($D390-BA$272)^2)</f>
        <v>0.447293388693396</v>
      </c>
      <c r="BB390" s="17" t="n">
        <f aca="false">SQRT(($B390-BB$270)^2+($C390-BB$271)^2+($D390-BB$272)^2)</f>
        <v>3.32648078102283</v>
      </c>
      <c r="BC390" s="17" t="n">
        <f aca="false">SQRT(($B390-BC$270)^2+($C390-BC$271)^2+($D390-BC$272)^2)</f>
        <v>1.77479237732966</v>
      </c>
      <c r="BD390" s="17" t="n">
        <f aca="false">SQRT(($B390-BD$270)^2+($C390-BD$271)^2+($D390-BD$272)^2)</f>
        <v>5.50788935431316</v>
      </c>
      <c r="BE390" s="63" t="n">
        <f aca="false">MATCH(MIN(AZ390:BD390),AZ390:BD390,0)</f>
        <v>2</v>
      </c>
      <c r="BG390" s="17" t="n">
        <f aca="false">SQRT(($B390-BG$270)^2+($C390-BG$271)^2+($D390-BG$272)^2)</f>
        <v>8.02998813992964</v>
      </c>
      <c r="BH390" s="17" t="n">
        <f aca="false">SQRT(($B390-BH$270)^2+($C390-BH$271)^2+($D390-BH$272)^2)</f>
        <v>0.447293388693396</v>
      </c>
      <c r="BI390" s="17" t="n">
        <f aca="false">SQRT(($B390-BI$270)^2+($C390-BI$271)^2+($D390-BI$272)^2)</f>
        <v>3.32648078102283</v>
      </c>
      <c r="BJ390" s="17" t="n">
        <f aca="false">SQRT(($B390-BJ$270)^2+($C390-BJ$271)^2+($D390-BJ$272)^2)</f>
        <v>1.77479237732966</v>
      </c>
      <c r="BK390" s="17" t="n">
        <f aca="false">SQRT(($B390-BK$270)^2+($C390-BK$271)^2+($D390-BK$272)^2)</f>
        <v>5.50788935431316</v>
      </c>
      <c r="BL390" s="63" t="n">
        <f aca="false">MATCH(MIN(BG390:BK390),BG390:BK390,0)</f>
        <v>2</v>
      </c>
      <c r="BN390" s="17" t="n">
        <f aca="false">SQRT(($B390-BN$270)^2+($C390-BN$271)^2+($D390-BN$272)^2)</f>
        <v>8.02998813992964</v>
      </c>
      <c r="BO390" s="17" t="n">
        <f aca="false">SQRT(($B390-BO$270)^2+($C390-BO$271)^2+($D390-BO$272)^2)</f>
        <v>0.447293388693396</v>
      </c>
      <c r="BP390" s="17" t="n">
        <f aca="false">SQRT(($B390-BP$270)^2+($C390-BP$271)^2+($D390-BP$272)^2)</f>
        <v>3.32648078102283</v>
      </c>
      <c r="BQ390" s="17" t="n">
        <f aca="false">SQRT(($B390-BQ$270)^2+($C390-BQ$271)^2+($D390-BQ$272)^2)</f>
        <v>1.77479237732966</v>
      </c>
      <c r="BR390" s="17" t="n">
        <f aca="false">SQRT(($B390-BR$270)^2+($C390-BR$271)^2+($D390-BR$272)^2)</f>
        <v>5.50788935431316</v>
      </c>
      <c r="BS390" s="63" t="n">
        <f aca="false">MATCH(MIN(BN390:BR390),BN390:BR390,0)</f>
        <v>2</v>
      </c>
      <c r="BU390" s="17" t="n">
        <f aca="false">SQRT(($B390-BU$270)^2+($C390-BU$271)^2+($D390-BU$272)^2)</f>
        <v>8.02998813992964</v>
      </c>
      <c r="BV390" s="17" t="n">
        <f aca="false">SQRT(($B390-BV$270)^2+($C390-BV$271)^2+($D390-BV$272)^2)</f>
        <v>0.447293388693396</v>
      </c>
      <c r="BW390" s="17" t="n">
        <f aca="false">SQRT(($B390-BW$270)^2+($C390-BW$271)^2+($D390-BW$272)^2)</f>
        <v>3.32648078102283</v>
      </c>
      <c r="BX390" s="17" t="n">
        <f aca="false">SQRT(($B390-BX$270)^2+($C390-BX$271)^2+($D390-BX$272)^2)</f>
        <v>1.77479237732966</v>
      </c>
      <c r="BY390" s="17" t="n">
        <f aca="false">SQRT(($B390-BY$270)^2+($C390-BY$271)^2+($D390-BY$272)^2)</f>
        <v>5.50788935431316</v>
      </c>
      <c r="BZ390" s="63" t="n">
        <f aca="false">MATCH(MIN(BU390:BY390),BU390:BY390,0)</f>
        <v>2</v>
      </c>
      <c r="CB390" s="17" t="n">
        <f aca="false">SQRT(($B390-CB$270)^2+($C390-CB$271)^2+($D390-CB$272)^2)</f>
        <v>8.02998813992964</v>
      </c>
      <c r="CC390" s="17" t="n">
        <f aca="false">SQRT(($B390-CC$270)^2+($C390-CC$271)^2+($D390-CC$272)^2)</f>
        <v>0.447293388693396</v>
      </c>
      <c r="CD390" s="17" t="n">
        <f aca="false">SQRT(($B390-CD$270)^2+($C390-CD$271)^2+($D390-CD$272)^2)</f>
        <v>3.32648078102283</v>
      </c>
      <c r="CE390" s="17" t="n">
        <f aca="false">SQRT(($B390-CE$270)^2+($C390-CE$271)^2+($D390-CE$272)^2)</f>
        <v>1.77479237732966</v>
      </c>
      <c r="CF390" s="17" t="n">
        <f aca="false">SQRT(($B390-CF$270)^2+($C390-CF$271)^2+($D390-CF$272)^2)</f>
        <v>5.50788935431316</v>
      </c>
      <c r="CG390" s="63" t="n">
        <f aca="false">MATCH(MIN(CB390:CF390),CB390:CF390,0)</f>
        <v>2</v>
      </c>
      <c r="CI390" s="17" t="n">
        <f aca="false">SQRT(($B390-CI$270)^2+($C390-CI$271)^2+($D390-CI$272)^2)</f>
        <v>8.02998813992964</v>
      </c>
      <c r="CJ390" s="17" t="n">
        <f aca="false">SQRT(($B390-CJ$270)^2+($C390-CJ$271)^2+($D390-CJ$272)^2)</f>
        <v>0.447293388693396</v>
      </c>
      <c r="CK390" s="17" t="n">
        <f aca="false">SQRT(($B390-CK$270)^2+($C390-CK$271)^2+($D390-CK$272)^2)</f>
        <v>3.32648078102283</v>
      </c>
      <c r="CL390" s="17" t="n">
        <f aca="false">SQRT(($B390-CL$270)^2+($C390-CL$271)^2+($D390-CL$272)^2)</f>
        <v>1.77479237732966</v>
      </c>
      <c r="CM390" s="17" t="n">
        <f aca="false">SQRT(($B390-CM$270)^2+($C390-CM$271)^2+($D390-CM$272)^2)</f>
        <v>5.50788935431316</v>
      </c>
      <c r="CN390" s="63" t="n">
        <f aca="false">MATCH(MIN(CI390:CM390),CI390:CM390,0)</f>
        <v>2</v>
      </c>
      <c r="CP390" s="17" t="n">
        <f aca="false">SQRT(($B390-CP$270)^2+($C390-CP$271)^2+($D390-CP$272)^2)</f>
        <v>8.02998813992964</v>
      </c>
      <c r="CQ390" s="17" t="n">
        <f aca="false">SQRT(($B390-CQ$270)^2+($C390-CQ$271)^2+($D390-CQ$272)^2)</f>
        <v>0.447293388693396</v>
      </c>
      <c r="CR390" s="17" t="n">
        <f aca="false">SQRT(($B390-CR$270)^2+($C390-CR$271)^2+($D390-CR$272)^2)</f>
        <v>3.32648078102283</v>
      </c>
      <c r="CS390" s="17" t="n">
        <f aca="false">SQRT(($B390-CS$270)^2+($C390-CS$271)^2+($D390-CS$272)^2)</f>
        <v>1.77479237732966</v>
      </c>
      <c r="CT390" s="17" t="n">
        <f aca="false">SQRT(($B390-CT$270)^2+($C390-CT$271)^2+($D390-CT$272)^2)</f>
        <v>5.50788935431316</v>
      </c>
      <c r="CU390" s="63" t="n">
        <f aca="false">MATCH(MIN(CP390:CT390),CP390:CT390,0)</f>
        <v>2</v>
      </c>
      <c r="CW390" s="17" t="n">
        <f aca="false">SQRT(($B390-CW$270)^2+($C390-CW$271)^2+($D390-CW$272)^2)</f>
        <v>8.02998813992964</v>
      </c>
      <c r="CX390" s="17" t="n">
        <f aca="false">SQRT(($B390-CX$270)^2+($C390-CX$271)^2+($D390-CX$272)^2)</f>
        <v>0.447293388693396</v>
      </c>
      <c r="CY390" s="17" t="n">
        <f aca="false">SQRT(($B390-CY$270)^2+($C390-CY$271)^2+($D390-CY$272)^2)</f>
        <v>3.32648078102283</v>
      </c>
      <c r="CZ390" s="17" t="n">
        <f aca="false">SQRT(($B390-CZ$270)^2+($C390-CZ$271)^2+($D390-CZ$272)^2)</f>
        <v>1.77479237732966</v>
      </c>
      <c r="DA390" s="17" t="n">
        <f aca="false">SQRT(($B390-DA$270)^2+($C390-DA$271)^2+($D390-DA$272)^2)</f>
        <v>5.50788935431316</v>
      </c>
      <c r="DB390" s="63" t="n">
        <f aca="false">MATCH(MIN(CW390:DA390),CW390:DA390,0)</f>
        <v>2</v>
      </c>
    </row>
    <row r="391" customFormat="false" ht="15" hidden="false" customHeight="false" outlineLevel="0" collapsed="false">
      <c r="A391" s="36" t="str">
        <f aca="false">KMeans_Data!A119</f>
        <v>Pakpatan</v>
      </c>
      <c r="B391" s="17" t="n">
        <f aca="false">KMeans_Data!H119</f>
        <v>-1.71897565655168</v>
      </c>
      <c r="C391" s="17" t="n">
        <f aca="false">KMeans_Data!I119</f>
        <v>-0.672650545388274</v>
      </c>
      <c r="D391" s="17" t="n">
        <f aca="false">KMeans_Data!J119</f>
        <v>-1.14564411633355</v>
      </c>
      <c r="E391" s="63" t="n">
        <f aca="false">DB391</f>
        <v>2</v>
      </c>
      <c r="F391" s="38" t="n">
        <f aca="false">($B391-INDEX($L$270:$P$270,E391))^2+($C391-INDEX($L$271:$P$271,E391))^2+($D391-INDEX($L$272:$P$272,E391))^2</f>
        <v>0.200071375568821</v>
      </c>
      <c r="G391" s="17" t="n">
        <f aca="false">IF(COUNTIF(Distance_Matrix!$E$11:$DQ$11,$E391)&lt;=1,0,SUMIF(Distance_Matrix!$E$11:$DQ$11,$E391,Distance_Matrix!$E$128:$DQ$128)/(COUNTIF(Distance_Matrix!$E$11:$DQ$11,$E391)-1))</f>
        <v>0.54773175436393</v>
      </c>
      <c r="H391" s="17" t="n">
        <f aca="false">MIN(IF(1=$E391,1E+099,IF(COUNTIF(Distance_Matrix!$E$11:$DQ$11,1)=0,1E+099,SUMIF(Distance_Matrix!$E$11:$DQ$11,1,Distance_Matrix!$E$128:$DQ$128)/COUNTIF(Distance_Matrix!$E$11:$DQ$11,1))),IF(2=$E391,1E+099,IF(COUNTIF(Distance_Matrix!$E$11:$DQ$11,2)=0,1E+099,SUMIF(Distance_Matrix!$E$11:$DQ$11,2,Distance_Matrix!$E$128:$DQ$128)/COUNTIF(Distance_Matrix!$E$11:$DQ$11,2))),IF(3=$E391,1E+099,IF(COUNTIF(Distance_Matrix!$E$11:$DQ$11,3)=0,1E+099,SUMIF(Distance_Matrix!$E$11:$DQ$11,3,Distance_Matrix!$E$128:$DQ$128)/COUNTIF(Distance_Matrix!$E$11:$DQ$11,3))),IF(4=$E391,1E+099,IF(COUNTIF(Distance_Matrix!$E$11:$DQ$11,4)=0,1E+099,SUMIF(Distance_Matrix!$E$11:$DQ$11,4,Distance_Matrix!$E$128:$DQ$128)/COUNTIF(Distance_Matrix!$E$11:$DQ$11,4))),IF(5=$E391,1E+099,IF(COUNTIF(Distance_Matrix!$E$11:$DQ$11,5)=0,1E+099,SUMIF(Distance_Matrix!$E$11:$DQ$11,5,Distance_Matrix!$E$128:$DQ$128)/COUNTIF(Distance_Matrix!$E$11:$DQ$11,5))))</f>
        <v>1.88735613874727</v>
      </c>
      <c r="I391" s="17" t="n">
        <f aca="false">IF(COUNTIF(Distance_Matrix!$E$11:$DQ$11,$E391)&lt;=1,0,(H391-G391)/MAX(G391,H391))</f>
        <v>0.709788871787872</v>
      </c>
      <c r="X391" s="17" t="n">
        <f aca="false">SQRT(($B391-X$270)^2+($C391-X$271)^2+($D391-X$272)^2)</f>
        <v>8.15332373062299</v>
      </c>
      <c r="Y391" s="17" t="n">
        <f aca="false">SQRT(($B391-Y$270)^2+($C391-Y$271)^2+($D391-Y$272)^2)</f>
        <v>0.360762325251648</v>
      </c>
      <c r="Z391" s="17" t="n">
        <f aca="false">SQRT(($B391-Z$270)^2+($C391-Z$271)^2+($D391-Z$272)^2)</f>
        <v>3.94287645773164</v>
      </c>
      <c r="AA391" s="17" t="n">
        <f aca="false">SQRT(($B391-AA$270)^2+($C391-AA$271)^2+($D391-AA$272)^2)</f>
        <v>2.42237275698138</v>
      </c>
      <c r="AB391" s="17" t="n">
        <f aca="false">SQRT(($B391-AB$270)^2+($C391-AB$271)^2+($D391-AB$272)^2)</f>
        <v>6.15249594053942</v>
      </c>
      <c r="AC391" s="63" t="n">
        <f aca="false">MATCH(MIN(X391:AB391),X391:AB391,0)</f>
        <v>2</v>
      </c>
      <c r="AE391" s="17" t="n">
        <f aca="false">SQRT(($B391-AE$270)^2+($C391-AE$271)^2+($D391-AE$272)^2)</f>
        <v>8.02998813992964</v>
      </c>
      <c r="AF391" s="17" t="n">
        <f aca="false">SQRT(($B391-AF$270)^2+($C391-AF$271)^2+($D391-AF$272)^2)</f>
        <v>0.522572482532373</v>
      </c>
      <c r="AG391" s="17" t="n">
        <f aca="false">SQRT(($B391-AG$270)^2+($C391-AG$271)^2+($D391-AG$272)^2)</f>
        <v>3.23741790833197</v>
      </c>
      <c r="AH391" s="17" t="n">
        <f aca="false">SQRT(($B391-AH$270)^2+($C391-AH$271)^2+($D391-AH$272)^2)</f>
        <v>1.78252797425168</v>
      </c>
      <c r="AI391" s="17" t="n">
        <f aca="false">SQRT(($B391-AI$270)^2+($C391-AI$271)^2+($D391-AI$272)^2)</f>
        <v>5.78377186359091</v>
      </c>
      <c r="AJ391" s="63" t="n">
        <f aca="false">MATCH(MIN(AE391:AI391),AE391:AI391,0)</f>
        <v>2</v>
      </c>
      <c r="AL391" s="17" t="n">
        <f aca="false">SQRT(($B391-AL$270)^2+($C391-AL$271)^2+($D391-AL$272)^2)</f>
        <v>8.02998813992964</v>
      </c>
      <c r="AM391" s="17" t="n">
        <f aca="false">SQRT(($B391-AM$270)^2+($C391-AM$271)^2+($D391-AM$272)^2)</f>
        <v>0.512682720199268</v>
      </c>
      <c r="AN391" s="17" t="n">
        <f aca="false">SQRT(($B391-AN$270)^2+($C391-AN$271)^2+($D391-AN$272)^2)</f>
        <v>3.29884749469906</v>
      </c>
      <c r="AO391" s="17" t="n">
        <f aca="false">SQRT(($B391-AO$270)^2+($C391-AO$271)^2+($D391-AO$272)^2)</f>
        <v>1.8076830178416</v>
      </c>
      <c r="AP391" s="17" t="n">
        <f aca="false">SQRT(($B391-AP$270)^2+($C391-AP$271)^2+($D391-AP$272)^2)</f>
        <v>5.50788935431316</v>
      </c>
      <c r="AQ391" s="63" t="n">
        <f aca="false">MATCH(MIN(AL391:AP391),AL391:AP391,0)</f>
        <v>2</v>
      </c>
      <c r="AS391" s="17" t="n">
        <f aca="false">SQRT(($B391-AS$270)^2+($C391-AS$271)^2+($D391-AS$272)^2)</f>
        <v>8.02998813992964</v>
      </c>
      <c r="AT391" s="17" t="n">
        <f aca="false">SQRT(($B391-AT$270)^2+($C391-AT$271)^2+($D391-AT$272)^2)</f>
        <v>0.447293388693396</v>
      </c>
      <c r="AU391" s="17" t="n">
        <f aca="false">SQRT(($B391-AU$270)^2+($C391-AU$271)^2+($D391-AU$272)^2)</f>
        <v>3.32648078102283</v>
      </c>
      <c r="AV391" s="17" t="n">
        <f aca="false">SQRT(($B391-AV$270)^2+($C391-AV$271)^2+($D391-AV$272)^2)</f>
        <v>1.77479237732966</v>
      </c>
      <c r="AW391" s="17" t="n">
        <f aca="false">SQRT(($B391-AW$270)^2+($C391-AW$271)^2+($D391-AW$272)^2)</f>
        <v>5.50788935431316</v>
      </c>
      <c r="AX391" s="63" t="n">
        <f aca="false">MATCH(MIN(AS391:AW391),AS391:AW391,0)</f>
        <v>2</v>
      </c>
      <c r="AZ391" s="17" t="n">
        <f aca="false">SQRT(($B391-AZ$270)^2+($C391-AZ$271)^2+($D391-AZ$272)^2)</f>
        <v>8.02998813992964</v>
      </c>
      <c r="BA391" s="17" t="n">
        <f aca="false">SQRT(($B391-BA$270)^2+($C391-BA$271)^2+($D391-BA$272)^2)</f>
        <v>0.447293388693396</v>
      </c>
      <c r="BB391" s="17" t="n">
        <f aca="false">SQRT(($B391-BB$270)^2+($C391-BB$271)^2+($D391-BB$272)^2)</f>
        <v>3.32648078102283</v>
      </c>
      <c r="BC391" s="17" t="n">
        <f aca="false">SQRT(($B391-BC$270)^2+($C391-BC$271)^2+($D391-BC$272)^2)</f>
        <v>1.77479237732966</v>
      </c>
      <c r="BD391" s="17" t="n">
        <f aca="false">SQRT(($B391-BD$270)^2+($C391-BD$271)^2+($D391-BD$272)^2)</f>
        <v>5.50788935431316</v>
      </c>
      <c r="BE391" s="63" t="n">
        <f aca="false">MATCH(MIN(AZ391:BD391),AZ391:BD391,0)</f>
        <v>2</v>
      </c>
      <c r="BG391" s="17" t="n">
        <f aca="false">SQRT(($B391-BG$270)^2+($C391-BG$271)^2+($D391-BG$272)^2)</f>
        <v>8.02998813992964</v>
      </c>
      <c r="BH391" s="17" t="n">
        <f aca="false">SQRT(($B391-BH$270)^2+($C391-BH$271)^2+($D391-BH$272)^2)</f>
        <v>0.447293388693396</v>
      </c>
      <c r="BI391" s="17" t="n">
        <f aca="false">SQRT(($B391-BI$270)^2+($C391-BI$271)^2+($D391-BI$272)^2)</f>
        <v>3.32648078102283</v>
      </c>
      <c r="BJ391" s="17" t="n">
        <f aca="false">SQRT(($B391-BJ$270)^2+($C391-BJ$271)^2+($D391-BJ$272)^2)</f>
        <v>1.77479237732966</v>
      </c>
      <c r="BK391" s="17" t="n">
        <f aca="false">SQRT(($B391-BK$270)^2+($C391-BK$271)^2+($D391-BK$272)^2)</f>
        <v>5.50788935431316</v>
      </c>
      <c r="BL391" s="63" t="n">
        <f aca="false">MATCH(MIN(BG391:BK391),BG391:BK391,0)</f>
        <v>2</v>
      </c>
      <c r="BN391" s="17" t="n">
        <f aca="false">SQRT(($B391-BN$270)^2+($C391-BN$271)^2+($D391-BN$272)^2)</f>
        <v>8.02998813992964</v>
      </c>
      <c r="BO391" s="17" t="n">
        <f aca="false">SQRT(($B391-BO$270)^2+($C391-BO$271)^2+($D391-BO$272)^2)</f>
        <v>0.447293388693396</v>
      </c>
      <c r="BP391" s="17" t="n">
        <f aca="false">SQRT(($B391-BP$270)^2+($C391-BP$271)^2+($D391-BP$272)^2)</f>
        <v>3.32648078102283</v>
      </c>
      <c r="BQ391" s="17" t="n">
        <f aca="false">SQRT(($B391-BQ$270)^2+($C391-BQ$271)^2+($D391-BQ$272)^2)</f>
        <v>1.77479237732966</v>
      </c>
      <c r="BR391" s="17" t="n">
        <f aca="false">SQRT(($B391-BR$270)^2+($C391-BR$271)^2+($D391-BR$272)^2)</f>
        <v>5.50788935431316</v>
      </c>
      <c r="BS391" s="63" t="n">
        <f aca="false">MATCH(MIN(BN391:BR391),BN391:BR391,0)</f>
        <v>2</v>
      </c>
      <c r="BU391" s="17" t="n">
        <f aca="false">SQRT(($B391-BU$270)^2+($C391-BU$271)^2+($D391-BU$272)^2)</f>
        <v>8.02998813992964</v>
      </c>
      <c r="BV391" s="17" t="n">
        <f aca="false">SQRT(($B391-BV$270)^2+($C391-BV$271)^2+($D391-BV$272)^2)</f>
        <v>0.447293388693396</v>
      </c>
      <c r="BW391" s="17" t="n">
        <f aca="false">SQRT(($B391-BW$270)^2+($C391-BW$271)^2+($D391-BW$272)^2)</f>
        <v>3.32648078102283</v>
      </c>
      <c r="BX391" s="17" t="n">
        <f aca="false">SQRT(($B391-BX$270)^2+($C391-BX$271)^2+($D391-BX$272)^2)</f>
        <v>1.77479237732966</v>
      </c>
      <c r="BY391" s="17" t="n">
        <f aca="false">SQRT(($B391-BY$270)^2+($C391-BY$271)^2+($D391-BY$272)^2)</f>
        <v>5.50788935431316</v>
      </c>
      <c r="BZ391" s="63" t="n">
        <f aca="false">MATCH(MIN(BU391:BY391),BU391:BY391,0)</f>
        <v>2</v>
      </c>
      <c r="CB391" s="17" t="n">
        <f aca="false">SQRT(($B391-CB$270)^2+($C391-CB$271)^2+($D391-CB$272)^2)</f>
        <v>8.02998813992964</v>
      </c>
      <c r="CC391" s="17" t="n">
        <f aca="false">SQRT(($B391-CC$270)^2+($C391-CC$271)^2+($D391-CC$272)^2)</f>
        <v>0.447293388693396</v>
      </c>
      <c r="CD391" s="17" t="n">
        <f aca="false">SQRT(($B391-CD$270)^2+($C391-CD$271)^2+($D391-CD$272)^2)</f>
        <v>3.32648078102283</v>
      </c>
      <c r="CE391" s="17" t="n">
        <f aca="false">SQRT(($B391-CE$270)^2+($C391-CE$271)^2+($D391-CE$272)^2)</f>
        <v>1.77479237732966</v>
      </c>
      <c r="CF391" s="17" t="n">
        <f aca="false">SQRT(($B391-CF$270)^2+($C391-CF$271)^2+($D391-CF$272)^2)</f>
        <v>5.50788935431316</v>
      </c>
      <c r="CG391" s="63" t="n">
        <f aca="false">MATCH(MIN(CB391:CF391),CB391:CF391,0)</f>
        <v>2</v>
      </c>
      <c r="CI391" s="17" t="n">
        <f aca="false">SQRT(($B391-CI$270)^2+($C391-CI$271)^2+($D391-CI$272)^2)</f>
        <v>8.02998813992964</v>
      </c>
      <c r="CJ391" s="17" t="n">
        <f aca="false">SQRT(($B391-CJ$270)^2+($C391-CJ$271)^2+($D391-CJ$272)^2)</f>
        <v>0.447293388693396</v>
      </c>
      <c r="CK391" s="17" t="n">
        <f aca="false">SQRT(($B391-CK$270)^2+($C391-CK$271)^2+($D391-CK$272)^2)</f>
        <v>3.32648078102283</v>
      </c>
      <c r="CL391" s="17" t="n">
        <f aca="false">SQRT(($B391-CL$270)^2+($C391-CL$271)^2+($D391-CL$272)^2)</f>
        <v>1.77479237732966</v>
      </c>
      <c r="CM391" s="17" t="n">
        <f aca="false">SQRT(($B391-CM$270)^2+($C391-CM$271)^2+($D391-CM$272)^2)</f>
        <v>5.50788935431316</v>
      </c>
      <c r="CN391" s="63" t="n">
        <f aca="false">MATCH(MIN(CI391:CM391),CI391:CM391,0)</f>
        <v>2</v>
      </c>
      <c r="CP391" s="17" t="n">
        <f aca="false">SQRT(($B391-CP$270)^2+($C391-CP$271)^2+($D391-CP$272)^2)</f>
        <v>8.02998813992964</v>
      </c>
      <c r="CQ391" s="17" t="n">
        <f aca="false">SQRT(($B391-CQ$270)^2+($C391-CQ$271)^2+($D391-CQ$272)^2)</f>
        <v>0.447293388693396</v>
      </c>
      <c r="CR391" s="17" t="n">
        <f aca="false">SQRT(($B391-CR$270)^2+($C391-CR$271)^2+($D391-CR$272)^2)</f>
        <v>3.32648078102283</v>
      </c>
      <c r="CS391" s="17" t="n">
        <f aca="false">SQRT(($B391-CS$270)^2+($C391-CS$271)^2+($D391-CS$272)^2)</f>
        <v>1.77479237732966</v>
      </c>
      <c r="CT391" s="17" t="n">
        <f aca="false">SQRT(($B391-CT$270)^2+($C391-CT$271)^2+($D391-CT$272)^2)</f>
        <v>5.50788935431316</v>
      </c>
      <c r="CU391" s="63" t="n">
        <f aca="false">MATCH(MIN(CP391:CT391),CP391:CT391,0)</f>
        <v>2</v>
      </c>
      <c r="CW391" s="17" t="n">
        <f aca="false">SQRT(($B391-CW$270)^2+($C391-CW$271)^2+($D391-CW$272)^2)</f>
        <v>8.02998813992964</v>
      </c>
      <c r="CX391" s="17" t="n">
        <f aca="false">SQRT(($B391-CX$270)^2+($C391-CX$271)^2+($D391-CX$272)^2)</f>
        <v>0.447293388693396</v>
      </c>
      <c r="CY391" s="17" t="n">
        <f aca="false">SQRT(($B391-CY$270)^2+($C391-CY$271)^2+($D391-CY$272)^2)</f>
        <v>3.32648078102283</v>
      </c>
      <c r="CZ391" s="17" t="n">
        <f aca="false">SQRT(($B391-CZ$270)^2+($C391-CZ$271)^2+($D391-CZ$272)^2)</f>
        <v>1.77479237732966</v>
      </c>
      <c r="DA391" s="17" t="n">
        <f aca="false">SQRT(($B391-DA$270)^2+($C391-DA$271)^2+($D391-DA$272)^2)</f>
        <v>5.50788935431316</v>
      </c>
      <c r="DB391" s="63" t="n">
        <f aca="false">MATCH(MIN(CW391:DA391),CW391:DA391,0)</f>
        <v>2</v>
      </c>
    </row>
    <row r="392" customFormat="false" ht="15" hidden="false" customHeight="false" outlineLevel="0" collapsed="false">
      <c r="A392" s="36" t="str">
        <f aca="false">KMeans_Data!A120</f>
        <v>Chitral</v>
      </c>
      <c r="B392" s="17" t="n">
        <f aca="false">KMeans_Data!H120</f>
        <v>-2.07973798180332</v>
      </c>
      <c r="C392" s="17" t="n">
        <f aca="false">KMeans_Data!I120</f>
        <v>-0.672650545388274</v>
      </c>
      <c r="D392" s="17" t="n">
        <f aca="false">KMeans_Data!J120</f>
        <v>-1.14564411633355</v>
      </c>
      <c r="E392" s="63" t="n">
        <f aca="false">DB392</f>
        <v>2</v>
      </c>
      <c r="F392" s="38" t="n">
        <f aca="false">($B392-INDEX($L$270:$P$270,E392))^2+($C392-INDEX($L$271:$P$271,E392))^2+($D392-INDEX($L$272:$P$272,E392))^2</f>
        <v>0.648412750710958</v>
      </c>
      <c r="G392" s="17" t="n">
        <f aca="false">IF(COUNTIF(Distance_Matrix!$E$11:$DQ$11,$E392)&lt;=1,0,SUMIF(Distance_Matrix!$E$11:$DQ$11,$E392,Distance_Matrix!$E$129:$DQ$129)/(COUNTIF(Distance_Matrix!$E$11:$DQ$11,$E392)-1))</f>
        <v>0.855362464332144</v>
      </c>
      <c r="H392" s="17" t="n">
        <f aca="false">MIN(IF(1=$E392,1E+099,IF(COUNTIF(Distance_Matrix!$E$11:$DQ$11,1)=0,1E+099,SUMIF(Distance_Matrix!$E$11:$DQ$11,1,Distance_Matrix!$E$129:$DQ$129)/COUNTIF(Distance_Matrix!$E$11:$DQ$11,1))),IF(2=$E392,1E+099,IF(COUNTIF(Distance_Matrix!$E$11:$DQ$11,2)=0,1E+099,SUMIF(Distance_Matrix!$E$11:$DQ$11,2,Distance_Matrix!$E$129:$DQ$129)/COUNTIF(Distance_Matrix!$E$11:$DQ$11,2))),IF(3=$E392,1E+099,IF(COUNTIF(Distance_Matrix!$E$11:$DQ$11,3)=0,1E+099,SUMIF(Distance_Matrix!$E$11:$DQ$11,3,Distance_Matrix!$E$129:$DQ$129)/COUNTIF(Distance_Matrix!$E$11:$DQ$11,3))),IF(4=$E392,1E+099,IF(COUNTIF(Distance_Matrix!$E$11:$DQ$11,4)=0,1E+099,SUMIF(Distance_Matrix!$E$11:$DQ$11,4,Distance_Matrix!$E$129:$DQ$129)/COUNTIF(Distance_Matrix!$E$11:$DQ$11,4))),IF(5=$E392,1E+099,IF(COUNTIF(Distance_Matrix!$E$11:$DQ$11,5)=0,1E+099,SUMIF(Distance_Matrix!$E$11:$DQ$11,5,Distance_Matrix!$E$129:$DQ$129)/COUNTIF(Distance_Matrix!$E$11:$DQ$11,5))))</f>
        <v>2.19972282291547</v>
      </c>
      <c r="I392" s="17" t="n">
        <f aca="false">IF(COUNTIF(Distance_Matrix!$E$11:$DQ$11,$E392)&lt;=1,0,(H392-G392)/MAX(G392,H392))</f>
        <v>0.611149888785323</v>
      </c>
      <c r="X392" s="17" t="n">
        <f aca="false">SQRT(($B392-X$270)^2+($C392-X$271)^2+($D392-X$272)^2)</f>
        <v>8.37911780072121</v>
      </c>
      <c r="Y392" s="17" t="n">
        <f aca="false">SQRT(($B392-Y$270)^2+($C392-Y$271)^2+($D392-Y$272)^2)</f>
        <v>0</v>
      </c>
      <c r="Z392" s="17" t="n">
        <f aca="false">SQRT(($B392-Z$270)^2+($C392-Z$271)^2+($D392-Z$272)^2)</f>
        <v>4.20299555676564</v>
      </c>
      <c r="AA392" s="17" t="n">
        <f aca="false">SQRT(($B392-AA$270)^2+($C392-AA$271)^2+($D392-AA$272)^2)</f>
        <v>2.77564255027266</v>
      </c>
      <c r="AB392" s="17" t="n">
        <f aca="false">SQRT(($B392-AB$270)^2+($C392-AB$271)^2+($D392-AB$272)^2)</f>
        <v>6.3976329314131</v>
      </c>
      <c r="AC392" s="63" t="n">
        <f aca="false">MATCH(MIN(X392:AB392),X392:AB392,0)</f>
        <v>2</v>
      </c>
      <c r="AE392" s="17" t="n">
        <f aca="false">SQRT(($B392-AE$270)^2+($C392-AE$271)^2+($D392-AE$272)^2)</f>
        <v>8.25862710843003</v>
      </c>
      <c r="AF392" s="17" t="n">
        <f aca="false">SQRT(($B392-AF$270)^2+($C392-AF$271)^2+($D392-AF$272)^2)</f>
        <v>0.86492478534362</v>
      </c>
      <c r="AG392" s="17" t="n">
        <f aca="false">SQRT(($B392-AG$270)^2+($C392-AG$271)^2+($D392-AG$272)^2)</f>
        <v>3.49951875799021</v>
      </c>
      <c r="AH392" s="17" t="n">
        <f aca="false">SQRT(($B392-AH$270)^2+($C392-AH$271)^2+($D392-AH$272)^2)</f>
        <v>2.12200841493662</v>
      </c>
      <c r="AI392" s="17" t="n">
        <f aca="false">SQRT(($B392-AI$270)^2+($C392-AI$271)^2+($D392-AI$272)^2)</f>
        <v>6.02769254401658</v>
      </c>
      <c r="AJ392" s="63" t="n">
        <f aca="false">MATCH(MIN(AE392:AI392),AE392:AI392,0)</f>
        <v>2</v>
      </c>
      <c r="AL392" s="17" t="n">
        <f aca="false">SQRT(($B392-AL$270)^2+($C392-AL$271)^2+($D392-AL$272)^2)</f>
        <v>8.25862710843003</v>
      </c>
      <c r="AM392" s="17" t="n">
        <f aca="false">SQRT(($B392-AM$270)^2+($C392-AM$271)^2+($D392-AM$272)^2)</f>
        <v>0.862647133562691</v>
      </c>
      <c r="AN392" s="17" t="n">
        <f aca="false">SQRT(($B392-AN$270)^2+($C392-AN$271)^2+($D392-AN$272)^2)</f>
        <v>3.56151411580004</v>
      </c>
      <c r="AO392" s="17" t="n">
        <f aca="false">SQRT(($B392-AO$270)^2+($C392-AO$271)^2+($D392-AO$272)^2)</f>
        <v>2.13999622827698</v>
      </c>
      <c r="AP392" s="17" t="n">
        <f aca="false">SQRT(($B392-AP$270)^2+($C392-AP$271)^2+($D392-AP$272)^2)</f>
        <v>5.7513832799881</v>
      </c>
      <c r="AQ392" s="63" t="n">
        <f aca="false">MATCH(MIN(AL392:AP392),AL392:AP392,0)</f>
        <v>2</v>
      </c>
      <c r="AS392" s="17" t="n">
        <f aca="false">SQRT(($B392-AS$270)^2+($C392-AS$271)^2+($D392-AS$272)^2)</f>
        <v>8.25862710843003</v>
      </c>
      <c r="AT392" s="17" t="n">
        <f aca="false">SQRT(($B392-AT$270)^2+($C392-AT$271)^2+($D392-AT$272)^2)</f>
        <v>0.805240802934723</v>
      </c>
      <c r="AU392" s="17" t="n">
        <f aca="false">SQRT(($B392-AU$270)^2+($C392-AU$271)^2+($D392-AU$272)^2)</f>
        <v>3.58907005957208</v>
      </c>
      <c r="AV392" s="17" t="n">
        <f aca="false">SQRT(($B392-AV$270)^2+($C392-AV$271)^2+($D392-AV$272)^2)</f>
        <v>2.10415614588998</v>
      </c>
      <c r="AW392" s="17" t="n">
        <f aca="false">SQRT(($B392-AW$270)^2+($C392-AW$271)^2+($D392-AW$272)^2)</f>
        <v>5.7513832799881</v>
      </c>
      <c r="AX392" s="63" t="n">
        <f aca="false">MATCH(MIN(AS392:AW392),AS392:AW392,0)</f>
        <v>2</v>
      </c>
      <c r="AZ392" s="17" t="n">
        <f aca="false">SQRT(($B392-AZ$270)^2+($C392-AZ$271)^2+($D392-AZ$272)^2)</f>
        <v>8.25862710843003</v>
      </c>
      <c r="BA392" s="17" t="n">
        <f aca="false">SQRT(($B392-BA$270)^2+($C392-BA$271)^2+($D392-BA$272)^2)</f>
        <v>0.805240802934723</v>
      </c>
      <c r="BB392" s="17" t="n">
        <f aca="false">SQRT(($B392-BB$270)^2+($C392-BB$271)^2+($D392-BB$272)^2)</f>
        <v>3.58907005957208</v>
      </c>
      <c r="BC392" s="17" t="n">
        <f aca="false">SQRT(($B392-BC$270)^2+($C392-BC$271)^2+($D392-BC$272)^2)</f>
        <v>2.10415614588998</v>
      </c>
      <c r="BD392" s="17" t="n">
        <f aca="false">SQRT(($B392-BD$270)^2+($C392-BD$271)^2+($D392-BD$272)^2)</f>
        <v>5.7513832799881</v>
      </c>
      <c r="BE392" s="63" t="n">
        <f aca="false">MATCH(MIN(AZ392:BD392),AZ392:BD392,0)</f>
        <v>2</v>
      </c>
      <c r="BG392" s="17" t="n">
        <f aca="false">SQRT(($B392-BG$270)^2+($C392-BG$271)^2+($D392-BG$272)^2)</f>
        <v>8.25862710843003</v>
      </c>
      <c r="BH392" s="17" t="n">
        <f aca="false">SQRT(($B392-BH$270)^2+($C392-BH$271)^2+($D392-BH$272)^2)</f>
        <v>0.805240802934723</v>
      </c>
      <c r="BI392" s="17" t="n">
        <f aca="false">SQRT(($B392-BI$270)^2+($C392-BI$271)^2+($D392-BI$272)^2)</f>
        <v>3.58907005957208</v>
      </c>
      <c r="BJ392" s="17" t="n">
        <f aca="false">SQRT(($B392-BJ$270)^2+($C392-BJ$271)^2+($D392-BJ$272)^2)</f>
        <v>2.10415614588998</v>
      </c>
      <c r="BK392" s="17" t="n">
        <f aca="false">SQRT(($B392-BK$270)^2+($C392-BK$271)^2+($D392-BK$272)^2)</f>
        <v>5.7513832799881</v>
      </c>
      <c r="BL392" s="63" t="n">
        <f aca="false">MATCH(MIN(BG392:BK392),BG392:BK392,0)</f>
        <v>2</v>
      </c>
      <c r="BN392" s="17" t="n">
        <f aca="false">SQRT(($B392-BN$270)^2+($C392-BN$271)^2+($D392-BN$272)^2)</f>
        <v>8.25862710843003</v>
      </c>
      <c r="BO392" s="17" t="n">
        <f aca="false">SQRT(($B392-BO$270)^2+($C392-BO$271)^2+($D392-BO$272)^2)</f>
        <v>0.805240802934723</v>
      </c>
      <c r="BP392" s="17" t="n">
        <f aca="false">SQRT(($B392-BP$270)^2+($C392-BP$271)^2+($D392-BP$272)^2)</f>
        <v>3.58907005957208</v>
      </c>
      <c r="BQ392" s="17" t="n">
        <f aca="false">SQRT(($B392-BQ$270)^2+($C392-BQ$271)^2+($D392-BQ$272)^2)</f>
        <v>2.10415614588998</v>
      </c>
      <c r="BR392" s="17" t="n">
        <f aca="false">SQRT(($B392-BR$270)^2+($C392-BR$271)^2+($D392-BR$272)^2)</f>
        <v>5.7513832799881</v>
      </c>
      <c r="BS392" s="63" t="n">
        <f aca="false">MATCH(MIN(BN392:BR392),BN392:BR392,0)</f>
        <v>2</v>
      </c>
      <c r="BU392" s="17" t="n">
        <f aca="false">SQRT(($B392-BU$270)^2+($C392-BU$271)^2+($D392-BU$272)^2)</f>
        <v>8.25862710843003</v>
      </c>
      <c r="BV392" s="17" t="n">
        <f aca="false">SQRT(($B392-BV$270)^2+($C392-BV$271)^2+($D392-BV$272)^2)</f>
        <v>0.805240802934723</v>
      </c>
      <c r="BW392" s="17" t="n">
        <f aca="false">SQRT(($B392-BW$270)^2+($C392-BW$271)^2+($D392-BW$272)^2)</f>
        <v>3.58907005957208</v>
      </c>
      <c r="BX392" s="17" t="n">
        <f aca="false">SQRT(($B392-BX$270)^2+($C392-BX$271)^2+($D392-BX$272)^2)</f>
        <v>2.10415614588998</v>
      </c>
      <c r="BY392" s="17" t="n">
        <f aca="false">SQRT(($B392-BY$270)^2+($C392-BY$271)^2+($D392-BY$272)^2)</f>
        <v>5.7513832799881</v>
      </c>
      <c r="BZ392" s="63" t="n">
        <f aca="false">MATCH(MIN(BU392:BY392),BU392:BY392,0)</f>
        <v>2</v>
      </c>
      <c r="CB392" s="17" t="n">
        <f aca="false">SQRT(($B392-CB$270)^2+($C392-CB$271)^2+($D392-CB$272)^2)</f>
        <v>8.25862710843003</v>
      </c>
      <c r="CC392" s="17" t="n">
        <f aca="false">SQRT(($B392-CC$270)^2+($C392-CC$271)^2+($D392-CC$272)^2)</f>
        <v>0.805240802934723</v>
      </c>
      <c r="CD392" s="17" t="n">
        <f aca="false">SQRT(($B392-CD$270)^2+($C392-CD$271)^2+($D392-CD$272)^2)</f>
        <v>3.58907005957208</v>
      </c>
      <c r="CE392" s="17" t="n">
        <f aca="false">SQRT(($B392-CE$270)^2+($C392-CE$271)^2+($D392-CE$272)^2)</f>
        <v>2.10415614588998</v>
      </c>
      <c r="CF392" s="17" t="n">
        <f aca="false">SQRT(($B392-CF$270)^2+($C392-CF$271)^2+($D392-CF$272)^2)</f>
        <v>5.7513832799881</v>
      </c>
      <c r="CG392" s="63" t="n">
        <f aca="false">MATCH(MIN(CB392:CF392),CB392:CF392,0)</f>
        <v>2</v>
      </c>
      <c r="CI392" s="17" t="n">
        <f aca="false">SQRT(($B392-CI$270)^2+($C392-CI$271)^2+($D392-CI$272)^2)</f>
        <v>8.25862710843003</v>
      </c>
      <c r="CJ392" s="17" t="n">
        <f aca="false">SQRT(($B392-CJ$270)^2+($C392-CJ$271)^2+($D392-CJ$272)^2)</f>
        <v>0.805240802934723</v>
      </c>
      <c r="CK392" s="17" t="n">
        <f aca="false">SQRT(($B392-CK$270)^2+($C392-CK$271)^2+($D392-CK$272)^2)</f>
        <v>3.58907005957208</v>
      </c>
      <c r="CL392" s="17" t="n">
        <f aca="false">SQRT(($B392-CL$270)^2+($C392-CL$271)^2+($D392-CL$272)^2)</f>
        <v>2.10415614588998</v>
      </c>
      <c r="CM392" s="17" t="n">
        <f aca="false">SQRT(($B392-CM$270)^2+($C392-CM$271)^2+($D392-CM$272)^2)</f>
        <v>5.7513832799881</v>
      </c>
      <c r="CN392" s="63" t="n">
        <f aca="false">MATCH(MIN(CI392:CM392),CI392:CM392,0)</f>
        <v>2</v>
      </c>
      <c r="CP392" s="17" t="n">
        <f aca="false">SQRT(($B392-CP$270)^2+($C392-CP$271)^2+($D392-CP$272)^2)</f>
        <v>8.25862710843003</v>
      </c>
      <c r="CQ392" s="17" t="n">
        <f aca="false">SQRT(($B392-CQ$270)^2+($C392-CQ$271)^2+($D392-CQ$272)^2)</f>
        <v>0.805240802934723</v>
      </c>
      <c r="CR392" s="17" t="n">
        <f aca="false">SQRT(($B392-CR$270)^2+($C392-CR$271)^2+($D392-CR$272)^2)</f>
        <v>3.58907005957208</v>
      </c>
      <c r="CS392" s="17" t="n">
        <f aca="false">SQRT(($B392-CS$270)^2+($C392-CS$271)^2+($D392-CS$272)^2)</f>
        <v>2.10415614588998</v>
      </c>
      <c r="CT392" s="17" t="n">
        <f aca="false">SQRT(($B392-CT$270)^2+($C392-CT$271)^2+($D392-CT$272)^2)</f>
        <v>5.7513832799881</v>
      </c>
      <c r="CU392" s="63" t="n">
        <f aca="false">MATCH(MIN(CP392:CT392),CP392:CT392,0)</f>
        <v>2</v>
      </c>
      <c r="CW392" s="17" t="n">
        <f aca="false">SQRT(($B392-CW$270)^2+($C392-CW$271)^2+($D392-CW$272)^2)</f>
        <v>8.25862710843003</v>
      </c>
      <c r="CX392" s="17" t="n">
        <f aca="false">SQRT(($B392-CX$270)^2+($C392-CX$271)^2+($D392-CX$272)^2)</f>
        <v>0.805240802934723</v>
      </c>
      <c r="CY392" s="17" t="n">
        <f aca="false">SQRT(($B392-CY$270)^2+($C392-CY$271)^2+($D392-CY$272)^2)</f>
        <v>3.58907005957208</v>
      </c>
      <c r="CZ392" s="17" t="n">
        <f aca="false">SQRT(($B392-CZ$270)^2+($C392-CZ$271)^2+($D392-CZ$272)^2)</f>
        <v>2.10415614588998</v>
      </c>
      <c r="DA392" s="17" t="n">
        <f aca="false">SQRT(($B392-DA$270)^2+($C392-DA$271)^2+($D392-DA$272)^2)</f>
        <v>5.7513832799881</v>
      </c>
      <c r="DB392" s="63" t="n">
        <f aca="false">MATCH(MIN(CW392:DA392),CW392:DA392,0)</f>
        <v>2</v>
      </c>
    </row>
    <row r="393" customFormat="false" ht="15" hidden="false" customHeight="false" outlineLevel="0" collapsed="false">
      <c r="A393" s="36" t="str">
        <f aca="false">KMeans_Data!A121</f>
        <v>Kolai Pallas</v>
      </c>
      <c r="B393" s="17" t="n">
        <f aca="false">KMeans_Data!H121</f>
        <v>-2.07973798180332</v>
      </c>
      <c r="C393" s="17" t="n">
        <f aca="false">KMeans_Data!I121</f>
        <v>-0.672650545388274</v>
      </c>
      <c r="D393" s="17" t="n">
        <f aca="false">KMeans_Data!J121</f>
        <v>-1.14564411633355</v>
      </c>
      <c r="E393" s="63" t="n">
        <f aca="false">DB393</f>
        <v>2</v>
      </c>
      <c r="F393" s="38" t="n">
        <f aca="false">($B393-INDEX($L$270:$P$270,E393))^2+($C393-INDEX($L$271:$P$271,E393))^2+($D393-INDEX($L$272:$P$272,E393))^2</f>
        <v>0.648412750710958</v>
      </c>
      <c r="G393" s="17" t="n">
        <f aca="false">IF(COUNTIF(Distance_Matrix!$E$11:$DQ$11,$E393)&lt;=1,0,SUMIF(Distance_Matrix!$E$11:$DQ$11,$E393,Distance_Matrix!$E$130:$DQ$130)/(COUNTIF(Distance_Matrix!$E$11:$DQ$11,$E393)-1))</f>
        <v>0.855362464332144</v>
      </c>
      <c r="H393" s="17" t="n">
        <f aca="false">MIN(IF(1=$E393,1E+099,IF(COUNTIF(Distance_Matrix!$E$11:$DQ$11,1)=0,1E+099,SUMIF(Distance_Matrix!$E$11:$DQ$11,1,Distance_Matrix!$E$130:$DQ$130)/COUNTIF(Distance_Matrix!$E$11:$DQ$11,1))),IF(2=$E393,1E+099,IF(COUNTIF(Distance_Matrix!$E$11:$DQ$11,2)=0,1E+099,SUMIF(Distance_Matrix!$E$11:$DQ$11,2,Distance_Matrix!$E$130:$DQ$130)/COUNTIF(Distance_Matrix!$E$11:$DQ$11,2))),IF(3=$E393,1E+099,IF(COUNTIF(Distance_Matrix!$E$11:$DQ$11,3)=0,1E+099,SUMIF(Distance_Matrix!$E$11:$DQ$11,3,Distance_Matrix!$E$130:$DQ$130)/COUNTIF(Distance_Matrix!$E$11:$DQ$11,3))),IF(4=$E393,1E+099,IF(COUNTIF(Distance_Matrix!$E$11:$DQ$11,4)=0,1E+099,SUMIF(Distance_Matrix!$E$11:$DQ$11,4,Distance_Matrix!$E$130:$DQ$130)/COUNTIF(Distance_Matrix!$E$11:$DQ$11,4))),IF(5=$E393,1E+099,IF(COUNTIF(Distance_Matrix!$E$11:$DQ$11,5)=0,1E+099,SUMIF(Distance_Matrix!$E$11:$DQ$11,5,Distance_Matrix!$E$130:$DQ$130)/COUNTIF(Distance_Matrix!$E$11:$DQ$11,5))))</f>
        <v>2.19972282291547</v>
      </c>
      <c r="I393" s="17" t="n">
        <f aca="false">IF(COUNTIF(Distance_Matrix!$E$11:$DQ$11,$E393)&lt;=1,0,(H393-G393)/MAX(G393,H393))</f>
        <v>0.611149888785323</v>
      </c>
      <c r="X393" s="17" t="n">
        <f aca="false">SQRT(($B393-X$270)^2+($C393-X$271)^2+($D393-X$272)^2)</f>
        <v>8.37911780072121</v>
      </c>
      <c r="Y393" s="17" t="n">
        <f aca="false">SQRT(($B393-Y$270)^2+($C393-Y$271)^2+($D393-Y$272)^2)</f>
        <v>0</v>
      </c>
      <c r="Z393" s="17" t="n">
        <f aca="false">SQRT(($B393-Z$270)^2+($C393-Z$271)^2+($D393-Z$272)^2)</f>
        <v>4.20299555676564</v>
      </c>
      <c r="AA393" s="17" t="n">
        <f aca="false">SQRT(($B393-AA$270)^2+($C393-AA$271)^2+($D393-AA$272)^2)</f>
        <v>2.77564255027266</v>
      </c>
      <c r="AB393" s="17" t="n">
        <f aca="false">SQRT(($B393-AB$270)^2+($C393-AB$271)^2+($D393-AB$272)^2)</f>
        <v>6.3976329314131</v>
      </c>
      <c r="AC393" s="63" t="n">
        <f aca="false">MATCH(MIN(X393:AB393),X393:AB393,0)</f>
        <v>2</v>
      </c>
      <c r="AE393" s="17" t="n">
        <f aca="false">SQRT(($B393-AE$270)^2+($C393-AE$271)^2+($D393-AE$272)^2)</f>
        <v>8.25862710843003</v>
      </c>
      <c r="AF393" s="17" t="n">
        <f aca="false">SQRT(($B393-AF$270)^2+($C393-AF$271)^2+($D393-AF$272)^2)</f>
        <v>0.86492478534362</v>
      </c>
      <c r="AG393" s="17" t="n">
        <f aca="false">SQRT(($B393-AG$270)^2+($C393-AG$271)^2+($D393-AG$272)^2)</f>
        <v>3.49951875799021</v>
      </c>
      <c r="AH393" s="17" t="n">
        <f aca="false">SQRT(($B393-AH$270)^2+($C393-AH$271)^2+($D393-AH$272)^2)</f>
        <v>2.12200841493662</v>
      </c>
      <c r="AI393" s="17" t="n">
        <f aca="false">SQRT(($B393-AI$270)^2+($C393-AI$271)^2+($D393-AI$272)^2)</f>
        <v>6.02769254401658</v>
      </c>
      <c r="AJ393" s="63" t="n">
        <f aca="false">MATCH(MIN(AE393:AI393),AE393:AI393,0)</f>
        <v>2</v>
      </c>
      <c r="AL393" s="17" t="n">
        <f aca="false">SQRT(($B393-AL$270)^2+($C393-AL$271)^2+($D393-AL$272)^2)</f>
        <v>8.25862710843003</v>
      </c>
      <c r="AM393" s="17" t="n">
        <f aca="false">SQRT(($B393-AM$270)^2+($C393-AM$271)^2+($D393-AM$272)^2)</f>
        <v>0.862647133562691</v>
      </c>
      <c r="AN393" s="17" t="n">
        <f aca="false">SQRT(($B393-AN$270)^2+($C393-AN$271)^2+($D393-AN$272)^2)</f>
        <v>3.56151411580004</v>
      </c>
      <c r="AO393" s="17" t="n">
        <f aca="false">SQRT(($B393-AO$270)^2+($C393-AO$271)^2+($D393-AO$272)^2)</f>
        <v>2.13999622827698</v>
      </c>
      <c r="AP393" s="17" t="n">
        <f aca="false">SQRT(($B393-AP$270)^2+($C393-AP$271)^2+($D393-AP$272)^2)</f>
        <v>5.7513832799881</v>
      </c>
      <c r="AQ393" s="63" t="n">
        <f aca="false">MATCH(MIN(AL393:AP393),AL393:AP393,0)</f>
        <v>2</v>
      </c>
      <c r="AS393" s="17" t="n">
        <f aca="false">SQRT(($B393-AS$270)^2+($C393-AS$271)^2+($D393-AS$272)^2)</f>
        <v>8.25862710843003</v>
      </c>
      <c r="AT393" s="17" t="n">
        <f aca="false">SQRT(($B393-AT$270)^2+($C393-AT$271)^2+($D393-AT$272)^2)</f>
        <v>0.805240802934723</v>
      </c>
      <c r="AU393" s="17" t="n">
        <f aca="false">SQRT(($B393-AU$270)^2+($C393-AU$271)^2+($D393-AU$272)^2)</f>
        <v>3.58907005957208</v>
      </c>
      <c r="AV393" s="17" t="n">
        <f aca="false">SQRT(($B393-AV$270)^2+($C393-AV$271)^2+($D393-AV$272)^2)</f>
        <v>2.10415614588998</v>
      </c>
      <c r="AW393" s="17" t="n">
        <f aca="false">SQRT(($B393-AW$270)^2+($C393-AW$271)^2+($D393-AW$272)^2)</f>
        <v>5.7513832799881</v>
      </c>
      <c r="AX393" s="63" t="n">
        <f aca="false">MATCH(MIN(AS393:AW393),AS393:AW393,0)</f>
        <v>2</v>
      </c>
      <c r="AZ393" s="17" t="n">
        <f aca="false">SQRT(($B393-AZ$270)^2+($C393-AZ$271)^2+($D393-AZ$272)^2)</f>
        <v>8.25862710843003</v>
      </c>
      <c r="BA393" s="17" t="n">
        <f aca="false">SQRT(($B393-BA$270)^2+($C393-BA$271)^2+($D393-BA$272)^2)</f>
        <v>0.805240802934723</v>
      </c>
      <c r="BB393" s="17" t="n">
        <f aca="false">SQRT(($B393-BB$270)^2+($C393-BB$271)^2+($D393-BB$272)^2)</f>
        <v>3.58907005957208</v>
      </c>
      <c r="BC393" s="17" t="n">
        <f aca="false">SQRT(($B393-BC$270)^2+($C393-BC$271)^2+($D393-BC$272)^2)</f>
        <v>2.10415614588998</v>
      </c>
      <c r="BD393" s="17" t="n">
        <f aca="false">SQRT(($B393-BD$270)^2+($C393-BD$271)^2+($D393-BD$272)^2)</f>
        <v>5.7513832799881</v>
      </c>
      <c r="BE393" s="63" t="n">
        <f aca="false">MATCH(MIN(AZ393:BD393),AZ393:BD393,0)</f>
        <v>2</v>
      </c>
      <c r="BG393" s="17" t="n">
        <f aca="false">SQRT(($B393-BG$270)^2+($C393-BG$271)^2+($D393-BG$272)^2)</f>
        <v>8.25862710843003</v>
      </c>
      <c r="BH393" s="17" t="n">
        <f aca="false">SQRT(($B393-BH$270)^2+($C393-BH$271)^2+($D393-BH$272)^2)</f>
        <v>0.805240802934723</v>
      </c>
      <c r="BI393" s="17" t="n">
        <f aca="false">SQRT(($B393-BI$270)^2+($C393-BI$271)^2+($D393-BI$272)^2)</f>
        <v>3.58907005957208</v>
      </c>
      <c r="BJ393" s="17" t="n">
        <f aca="false">SQRT(($B393-BJ$270)^2+($C393-BJ$271)^2+($D393-BJ$272)^2)</f>
        <v>2.10415614588998</v>
      </c>
      <c r="BK393" s="17" t="n">
        <f aca="false">SQRT(($B393-BK$270)^2+($C393-BK$271)^2+($D393-BK$272)^2)</f>
        <v>5.7513832799881</v>
      </c>
      <c r="BL393" s="63" t="n">
        <f aca="false">MATCH(MIN(BG393:BK393),BG393:BK393,0)</f>
        <v>2</v>
      </c>
      <c r="BN393" s="17" t="n">
        <f aca="false">SQRT(($B393-BN$270)^2+($C393-BN$271)^2+($D393-BN$272)^2)</f>
        <v>8.25862710843003</v>
      </c>
      <c r="BO393" s="17" t="n">
        <f aca="false">SQRT(($B393-BO$270)^2+($C393-BO$271)^2+($D393-BO$272)^2)</f>
        <v>0.805240802934723</v>
      </c>
      <c r="BP393" s="17" t="n">
        <f aca="false">SQRT(($B393-BP$270)^2+($C393-BP$271)^2+($D393-BP$272)^2)</f>
        <v>3.58907005957208</v>
      </c>
      <c r="BQ393" s="17" t="n">
        <f aca="false">SQRT(($B393-BQ$270)^2+($C393-BQ$271)^2+($D393-BQ$272)^2)</f>
        <v>2.10415614588998</v>
      </c>
      <c r="BR393" s="17" t="n">
        <f aca="false">SQRT(($B393-BR$270)^2+($C393-BR$271)^2+($D393-BR$272)^2)</f>
        <v>5.7513832799881</v>
      </c>
      <c r="BS393" s="63" t="n">
        <f aca="false">MATCH(MIN(BN393:BR393),BN393:BR393,0)</f>
        <v>2</v>
      </c>
      <c r="BU393" s="17" t="n">
        <f aca="false">SQRT(($B393-BU$270)^2+($C393-BU$271)^2+($D393-BU$272)^2)</f>
        <v>8.25862710843003</v>
      </c>
      <c r="BV393" s="17" t="n">
        <f aca="false">SQRT(($B393-BV$270)^2+($C393-BV$271)^2+($D393-BV$272)^2)</f>
        <v>0.805240802934723</v>
      </c>
      <c r="BW393" s="17" t="n">
        <f aca="false">SQRT(($B393-BW$270)^2+($C393-BW$271)^2+($D393-BW$272)^2)</f>
        <v>3.58907005957208</v>
      </c>
      <c r="BX393" s="17" t="n">
        <f aca="false">SQRT(($B393-BX$270)^2+($C393-BX$271)^2+($D393-BX$272)^2)</f>
        <v>2.10415614588998</v>
      </c>
      <c r="BY393" s="17" t="n">
        <f aca="false">SQRT(($B393-BY$270)^2+($C393-BY$271)^2+($D393-BY$272)^2)</f>
        <v>5.7513832799881</v>
      </c>
      <c r="BZ393" s="63" t="n">
        <f aca="false">MATCH(MIN(BU393:BY393),BU393:BY393,0)</f>
        <v>2</v>
      </c>
      <c r="CB393" s="17" t="n">
        <f aca="false">SQRT(($B393-CB$270)^2+($C393-CB$271)^2+($D393-CB$272)^2)</f>
        <v>8.25862710843003</v>
      </c>
      <c r="CC393" s="17" t="n">
        <f aca="false">SQRT(($B393-CC$270)^2+($C393-CC$271)^2+($D393-CC$272)^2)</f>
        <v>0.805240802934723</v>
      </c>
      <c r="CD393" s="17" t="n">
        <f aca="false">SQRT(($B393-CD$270)^2+($C393-CD$271)^2+($D393-CD$272)^2)</f>
        <v>3.58907005957208</v>
      </c>
      <c r="CE393" s="17" t="n">
        <f aca="false">SQRT(($B393-CE$270)^2+($C393-CE$271)^2+($D393-CE$272)^2)</f>
        <v>2.10415614588998</v>
      </c>
      <c r="CF393" s="17" t="n">
        <f aca="false">SQRT(($B393-CF$270)^2+($C393-CF$271)^2+($D393-CF$272)^2)</f>
        <v>5.7513832799881</v>
      </c>
      <c r="CG393" s="63" t="n">
        <f aca="false">MATCH(MIN(CB393:CF393),CB393:CF393,0)</f>
        <v>2</v>
      </c>
      <c r="CI393" s="17" t="n">
        <f aca="false">SQRT(($B393-CI$270)^2+($C393-CI$271)^2+($D393-CI$272)^2)</f>
        <v>8.25862710843003</v>
      </c>
      <c r="CJ393" s="17" t="n">
        <f aca="false">SQRT(($B393-CJ$270)^2+($C393-CJ$271)^2+($D393-CJ$272)^2)</f>
        <v>0.805240802934723</v>
      </c>
      <c r="CK393" s="17" t="n">
        <f aca="false">SQRT(($B393-CK$270)^2+($C393-CK$271)^2+($D393-CK$272)^2)</f>
        <v>3.58907005957208</v>
      </c>
      <c r="CL393" s="17" t="n">
        <f aca="false">SQRT(($B393-CL$270)^2+($C393-CL$271)^2+($D393-CL$272)^2)</f>
        <v>2.10415614588998</v>
      </c>
      <c r="CM393" s="17" t="n">
        <f aca="false">SQRT(($B393-CM$270)^2+($C393-CM$271)^2+($D393-CM$272)^2)</f>
        <v>5.7513832799881</v>
      </c>
      <c r="CN393" s="63" t="n">
        <f aca="false">MATCH(MIN(CI393:CM393),CI393:CM393,0)</f>
        <v>2</v>
      </c>
      <c r="CP393" s="17" t="n">
        <f aca="false">SQRT(($B393-CP$270)^2+($C393-CP$271)^2+($D393-CP$272)^2)</f>
        <v>8.25862710843003</v>
      </c>
      <c r="CQ393" s="17" t="n">
        <f aca="false">SQRT(($B393-CQ$270)^2+($C393-CQ$271)^2+($D393-CQ$272)^2)</f>
        <v>0.805240802934723</v>
      </c>
      <c r="CR393" s="17" t="n">
        <f aca="false">SQRT(($B393-CR$270)^2+($C393-CR$271)^2+($D393-CR$272)^2)</f>
        <v>3.58907005957208</v>
      </c>
      <c r="CS393" s="17" t="n">
        <f aca="false">SQRT(($B393-CS$270)^2+($C393-CS$271)^2+($D393-CS$272)^2)</f>
        <v>2.10415614588998</v>
      </c>
      <c r="CT393" s="17" t="n">
        <f aca="false">SQRT(($B393-CT$270)^2+($C393-CT$271)^2+($D393-CT$272)^2)</f>
        <v>5.7513832799881</v>
      </c>
      <c r="CU393" s="63" t="n">
        <f aca="false">MATCH(MIN(CP393:CT393),CP393:CT393,0)</f>
        <v>2</v>
      </c>
      <c r="CW393" s="17" t="n">
        <f aca="false">SQRT(($B393-CW$270)^2+($C393-CW$271)^2+($D393-CW$272)^2)</f>
        <v>8.25862710843003</v>
      </c>
      <c r="CX393" s="17" t="n">
        <f aca="false">SQRT(($B393-CX$270)^2+($C393-CX$271)^2+($D393-CX$272)^2)</f>
        <v>0.805240802934723</v>
      </c>
      <c r="CY393" s="17" t="n">
        <f aca="false">SQRT(($B393-CY$270)^2+($C393-CY$271)^2+($D393-CY$272)^2)</f>
        <v>3.58907005957208</v>
      </c>
      <c r="CZ393" s="17" t="n">
        <f aca="false">SQRT(($B393-CZ$270)^2+($C393-CZ$271)^2+($D393-CZ$272)^2)</f>
        <v>2.10415614588998</v>
      </c>
      <c r="DA393" s="17" t="n">
        <f aca="false">SQRT(($B393-DA$270)^2+($C393-DA$271)^2+($D393-DA$272)^2)</f>
        <v>5.7513832799881</v>
      </c>
      <c r="DB393" s="63" t="n">
        <f aca="false">MATCH(MIN(CW393:DA393),CW393:DA393,0)</f>
        <v>2</v>
      </c>
    </row>
    <row r="397" customFormat="false" ht="15" hidden="false" customHeight="false" outlineLevel="0" collapsed="false">
      <c r="A397" s="68" t="s">
        <v>763</v>
      </c>
      <c r="B397" s="69"/>
    </row>
    <row r="398" customFormat="false" ht="15" hidden="false" customHeight="false" outlineLevel="0" collapsed="false">
      <c r="A398" s="48" t="s">
        <v>755</v>
      </c>
    </row>
    <row r="399" customFormat="false" ht="15" hidden="false" customHeight="false" outlineLevel="0" collapsed="false">
      <c r="A399" s="48" t="s">
        <v>714</v>
      </c>
      <c r="B399" s="32" t="s">
        <v>91</v>
      </c>
    </row>
    <row r="400" customFormat="false" ht="15" hidden="false" customHeight="false" outlineLevel="0" collapsed="false">
      <c r="A400" s="48" t="s">
        <v>715</v>
      </c>
      <c r="B400" s="32" t="s">
        <v>691</v>
      </c>
      <c r="L400" s="68" t="s">
        <v>718</v>
      </c>
      <c r="M400" s="69"/>
      <c r="N400" s="69"/>
      <c r="O400" s="69"/>
      <c r="P400" s="69"/>
      <c r="Q400" s="69"/>
      <c r="X400" s="68" t="s">
        <v>719</v>
      </c>
      <c r="Y400" s="69"/>
      <c r="Z400" s="69"/>
      <c r="AA400" s="69"/>
      <c r="AB400" s="69"/>
      <c r="AC400" s="69"/>
      <c r="AF400" s="68" t="s">
        <v>720</v>
      </c>
      <c r="AG400" s="69"/>
      <c r="AH400" s="69"/>
      <c r="AI400" s="69"/>
      <c r="AJ400" s="69"/>
      <c r="AK400" s="69"/>
      <c r="AN400" s="68" t="s">
        <v>721</v>
      </c>
      <c r="AO400" s="69"/>
      <c r="AP400" s="69"/>
      <c r="AQ400" s="69"/>
      <c r="AR400" s="69"/>
      <c r="AS400" s="69"/>
      <c r="AV400" s="68" t="s">
        <v>722</v>
      </c>
      <c r="AW400" s="69"/>
      <c r="AX400" s="69"/>
      <c r="AY400" s="69"/>
      <c r="AZ400" s="69"/>
      <c r="BA400" s="69"/>
      <c r="BD400" s="68" t="s">
        <v>723</v>
      </c>
      <c r="BE400" s="69"/>
      <c r="BF400" s="69"/>
      <c r="BG400" s="69"/>
      <c r="BH400" s="69"/>
      <c r="BI400" s="69"/>
      <c r="BL400" s="68" t="s">
        <v>724</v>
      </c>
      <c r="BM400" s="69"/>
      <c r="BN400" s="69"/>
      <c r="BO400" s="69"/>
      <c r="BP400" s="69"/>
      <c r="BQ400" s="69"/>
      <c r="BT400" s="68" t="s">
        <v>725</v>
      </c>
      <c r="BU400" s="69"/>
      <c r="BV400" s="69"/>
      <c r="BW400" s="69"/>
      <c r="BX400" s="69"/>
      <c r="BY400" s="69"/>
      <c r="CB400" s="68" t="s">
        <v>726</v>
      </c>
      <c r="CC400" s="69"/>
      <c r="CD400" s="69"/>
      <c r="CE400" s="69"/>
      <c r="CF400" s="69"/>
      <c r="CG400" s="69"/>
      <c r="CJ400" s="68" t="s">
        <v>727</v>
      </c>
      <c r="CK400" s="69"/>
      <c r="CL400" s="69"/>
      <c r="CM400" s="69"/>
      <c r="CN400" s="69"/>
      <c r="CO400" s="69"/>
      <c r="CR400" s="68" t="s">
        <v>728</v>
      </c>
      <c r="CS400" s="69"/>
      <c r="CT400" s="69"/>
      <c r="CU400" s="69"/>
      <c r="CV400" s="69"/>
      <c r="CW400" s="69"/>
      <c r="CZ400" s="68" t="s">
        <v>729</v>
      </c>
      <c r="DA400" s="69"/>
      <c r="DB400" s="69"/>
      <c r="DC400" s="69"/>
      <c r="DD400" s="69"/>
      <c r="DE400" s="69"/>
      <c r="DH400" s="68" t="s">
        <v>730</v>
      </c>
      <c r="DI400" s="69"/>
      <c r="DJ400" s="69"/>
      <c r="DK400" s="69"/>
      <c r="DL400" s="69"/>
      <c r="DM400" s="69"/>
    </row>
    <row r="401" customFormat="false" ht="15" hidden="false" customHeight="false" outlineLevel="0" collapsed="false">
      <c r="A401" s="48" t="s">
        <v>716</v>
      </c>
      <c r="B401" s="32" t="s">
        <v>104</v>
      </c>
      <c r="K401" s="40" t="s">
        <v>701</v>
      </c>
      <c r="L401" s="17" t="n">
        <f aca="false">IFERROR(AVERAGEIF($E$408:$E$524,1,$B$408:$B$524),0)</f>
        <v>3.26223008722532</v>
      </c>
      <c r="M401" s="17" t="n">
        <f aca="false">IFERROR(AVERAGEIF($E$408:$E$524,2,$B$408:$B$524),0)</f>
        <v>-1.24324188901116</v>
      </c>
      <c r="N401" s="17" t="n">
        <f aca="false">IFERROR(AVERAGEIF($E$408:$E$524,3,$B$408:$B$524),0)</f>
        <v>0.742304687176007</v>
      </c>
      <c r="O401" s="17" t="n">
        <f aca="false">IFERROR(AVERAGEIF($E$408:$E$524,4,$B$408:$B$524),0)</f>
        <v>0.138166592297905</v>
      </c>
      <c r="P401" s="17" t="n">
        <f aca="false">IFERROR(AVERAGEIF($E$408:$E$524,5,$B$408:$B$524),0)</f>
        <v>2.09366051310294</v>
      </c>
      <c r="Q401" s="17" t="n">
        <f aca="false">IFERROR(AVERAGEIF($E$408:$E$524,6,$B$408:$B$524),0)</f>
        <v>-0.188632461703656</v>
      </c>
      <c r="W401" s="40" t="s">
        <v>701</v>
      </c>
      <c r="X401" s="17" t="n">
        <f aca="false">INDEX($B$408:$B$524,MATCH($B$399,$A$408:$A$524,0))</f>
        <v>3.2743087782752</v>
      </c>
      <c r="Y401" s="17" t="n">
        <f aca="false">INDEX($B$408:$B$524,MATCH($B$400,$A$408:$A$524,0))</f>
        <v>-2.07973798180332</v>
      </c>
      <c r="Z401" s="17" t="n">
        <f aca="false">INDEX($B$408:$B$524,MATCH($B$401,$A$408:$A$524,0))</f>
        <v>1.03733687213202</v>
      </c>
      <c r="AA401" s="17" t="n">
        <f aca="false">INDEX($B$408:$B$524,MATCH($B$402,$A$408:$A$524,0))</f>
        <v>0.645673058648075</v>
      </c>
      <c r="AB401" s="17" t="n">
        <f aca="false">INDEX($B$408:$B$524,MATCH($B$403,$A$408:$A$524,0))</f>
        <v>2.36453191227648</v>
      </c>
      <c r="AC401" s="17" t="n">
        <f aca="false">INDEX($B$408:$B$524,MATCH($B$404,$A$408:$A$524,0))</f>
        <v>-0.706187767063518</v>
      </c>
      <c r="AF401" s="17" t="n">
        <f aca="false">IFERROR(AVERAGEIF($AD$408:$AD$524,1,$B$408:$B$524),X401)</f>
        <v>3.26223008722532</v>
      </c>
      <c r="AG401" s="17" t="n">
        <f aca="false">IFERROR(AVERAGEIF($AD$408:$AD$524,2,$B$408:$B$524),Y401)</f>
        <v>-1.32072043017292</v>
      </c>
      <c r="AH401" s="17" t="n">
        <f aca="false">IFERROR(AVERAGEIF($AD$408:$AD$524,3,$B$408:$B$524),Z401)</f>
        <v>0.770006305490054</v>
      </c>
      <c r="AI401" s="17" t="n">
        <f aca="false">IFERROR(AVERAGEIF($AD$408:$AD$524,4,$B$408:$B$524),AA401)</f>
        <v>0.143814542551617</v>
      </c>
      <c r="AJ401" s="17" t="n">
        <f aca="false">IFERROR(AVERAGEIF($AD$408:$AD$524,5,$B$408:$B$524),AB401)</f>
        <v>2.09366051310294</v>
      </c>
      <c r="AK401" s="17" t="n">
        <f aca="false">IFERROR(AVERAGEIF($AD$408:$AD$524,6,$B$408:$B$524),AC401)</f>
        <v>-0.264840497440154</v>
      </c>
      <c r="AN401" s="17" t="n">
        <f aca="false">IFERROR(AVERAGEIF($AL$408:$AL$524,1,$B$408:$B$524),AF401)</f>
        <v>3.26223008722532</v>
      </c>
      <c r="AO401" s="17" t="n">
        <f aca="false">IFERROR(AVERAGEIF($AL$408:$AL$524,2,$B$408:$B$524),AG401)</f>
        <v>-1.27797628168734</v>
      </c>
      <c r="AP401" s="17" t="n">
        <f aca="false">IFERROR(AVERAGEIF($AL$408:$AL$524,3,$B$408:$B$524),AH401)</f>
        <v>0.742304687176007</v>
      </c>
      <c r="AQ401" s="17" t="n">
        <f aca="false">IFERROR(AVERAGEIF($AL$408:$AL$524,4,$B$408:$B$524),AI401)</f>
        <v>0.138166592297905</v>
      </c>
      <c r="AR401" s="17" t="n">
        <f aca="false">IFERROR(AVERAGEIF($AL$408:$AL$524,5,$B$408:$B$524),AJ401)</f>
        <v>2.09366051310294</v>
      </c>
      <c r="AS401" s="17" t="n">
        <f aca="false">IFERROR(AVERAGEIF($AL$408:$AL$524,6,$B$408:$B$524),AK401)</f>
        <v>-0.225128315753966</v>
      </c>
      <c r="AV401" s="17" t="n">
        <f aca="false">IFERROR(AVERAGEIF($AT$408:$AT$524,1,$B$408:$B$524),AN401)</f>
        <v>3.26223008722532</v>
      </c>
      <c r="AW401" s="17" t="n">
        <f aca="false">IFERROR(AVERAGEIF($AT$408:$AT$524,2,$B$408:$B$524),AO401)</f>
        <v>-1.25907021601103</v>
      </c>
      <c r="AX401" s="17" t="n">
        <f aca="false">IFERROR(AVERAGEIF($AT$408:$AT$524,3,$B$408:$B$524),AP401)</f>
        <v>0.742304687176007</v>
      </c>
      <c r="AY401" s="17" t="n">
        <f aca="false">IFERROR(AVERAGEIF($AT$408:$AT$524,4,$B$408:$B$524),AQ401)</f>
        <v>0.138166592297905</v>
      </c>
      <c r="AZ401" s="17" t="n">
        <f aca="false">IFERROR(AVERAGEIF($AT$408:$AT$524,5,$B$408:$B$524),AR401)</f>
        <v>2.09366051310294</v>
      </c>
      <c r="BA401" s="17" t="n">
        <f aca="false">IFERROR(AVERAGEIF($AT$408:$AT$524,6,$B$408:$B$524),AS401)</f>
        <v>-0.208119520046413</v>
      </c>
      <c r="BD401" s="17" t="n">
        <f aca="false">IFERROR(AVERAGEIF($BB$408:$BB$524,1,$B$408:$B$524),AV401)</f>
        <v>3.26223008722532</v>
      </c>
      <c r="BE401" s="17" t="n">
        <f aca="false">IFERROR(AVERAGEIF($BB$408:$BB$524,2,$B$408:$B$524),AW401)</f>
        <v>-1.24324188901116</v>
      </c>
      <c r="BF401" s="17" t="n">
        <f aca="false">IFERROR(AVERAGEIF($BB$408:$BB$524,3,$B$408:$B$524),AX401)</f>
        <v>0.742304687176007</v>
      </c>
      <c r="BG401" s="17" t="n">
        <f aca="false">IFERROR(AVERAGEIF($BB$408:$BB$524,4,$B$408:$B$524),AY401)</f>
        <v>0.138166592297905</v>
      </c>
      <c r="BH401" s="17" t="n">
        <f aca="false">IFERROR(AVERAGEIF($BB$408:$BB$524,5,$B$408:$B$524),AZ401)</f>
        <v>2.09366051310294</v>
      </c>
      <c r="BI401" s="17" t="n">
        <f aca="false">IFERROR(AVERAGEIF($BB$408:$BB$524,6,$B$408:$B$524),BA401)</f>
        <v>-0.188632461703656</v>
      </c>
      <c r="BL401" s="17" t="n">
        <f aca="false">IFERROR(AVERAGEIF($BJ$408:$BJ$524,1,$B$408:$B$524),BD401)</f>
        <v>3.26223008722532</v>
      </c>
      <c r="BM401" s="17" t="n">
        <f aca="false">IFERROR(AVERAGEIF($BJ$408:$BJ$524,2,$B$408:$B$524),BE401)</f>
        <v>-1.24324188901116</v>
      </c>
      <c r="BN401" s="17" t="n">
        <f aca="false">IFERROR(AVERAGEIF($BJ$408:$BJ$524,3,$B$408:$B$524),BF401)</f>
        <v>0.742304687176007</v>
      </c>
      <c r="BO401" s="17" t="n">
        <f aca="false">IFERROR(AVERAGEIF($BJ$408:$BJ$524,4,$B$408:$B$524),BG401)</f>
        <v>0.138166592297905</v>
      </c>
      <c r="BP401" s="17" t="n">
        <f aca="false">IFERROR(AVERAGEIF($BJ$408:$BJ$524,5,$B$408:$B$524),BH401)</f>
        <v>2.09366051310294</v>
      </c>
      <c r="BQ401" s="17" t="n">
        <f aca="false">IFERROR(AVERAGEIF($BJ$408:$BJ$524,6,$B$408:$B$524),BI401)</f>
        <v>-0.188632461703656</v>
      </c>
      <c r="BT401" s="17" t="n">
        <f aca="false">IFERROR(AVERAGEIF($BR$408:$BR$524,1,$B$408:$B$524),BL401)</f>
        <v>3.26223008722532</v>
      </c>
      <c r="BU401" s="17" t="n">
        <f aca="false">IFERROR(AVERAGEIF($BR$408:$BR$524,2,$B$408:$B$524),BM401)</f>
        <v>-1.24324188901116</v>
      </c>
      <c r="BV401" s="17" t="n">
        <f aca="false">IFERROR(AVERAGEIF($BR$408:$BR$524,3,$B$408:$B$524),BN401)</f>
        <v>0.742304687176007</v>
      </c>
      <c r="BW401" s="17" t="n">
        <f aca="false">IFERROR(AVERAGEIF($BR$408:$BR$524,4,$B$408:$B$524),BO401)</f>
        <v>0.138166592297905</v>
      </c>
      <c r="BX401" s="17" t="n">
        <f aca="false">IFERROR(AVERAGEIF($BR$408:$BR$524,5,$B$408:$B$524),BP401)</f>
        <v>2.09366051310294</v>
      </c>
      <c r="BY401" s="17" t="n">
        <f aca="false">IFERROR(AVERAGEIF($BR$408:$BR$524,6,$B$408:$B$524),BQ401)</f>
        <v>-0.188632461703656</v>
      </c>
      <c r="CB401" s="17" t="n">
        <f aca="false">IFERROR(AVERAGEIF($BZ$408:$BZ$524,1,$B$408:$B$524),BT401)</f>
        <v>3.26223008722532</v>
      </c>
      <c r="CC401" s="17" t="n">
        <f aca="false">IFERROR(AVERAGEIF($BZ$408:$BZ$524,2,$B$408:$B$524),BU401)</f>
        <v>-1.24324188901116</v>
      </c>
      <c r="CD401" s="17" t="n">
        <f aca="false">IFERROR(AVERAGEIF($BZ$408:$BZ$524,3,$B$408:$B$524),BV401)</f>
        <v>0.742304687176007</v>
      </c>
      <c r="CE401" s="17" t="n">
        <f aca="false">IFERROR(AVERAGEIF($BZ$408:$BZ$524,4,$B$408:$B$524),BW401)</f>
        <v>0.138166592297905</v>
      </c>
      <c r="CF401" s="17" t="n">
        <f aca="false">IFERROR(AVERAGEIF($BZ$408:$BZ$524,5,$B$408:$B$524),BX401)</f>
        <v>2.09366051310294</v>
      </c>
      <c r="CG401" s="17" t="n">
        <f aca="false">IFERROR(AVERAGEIF($BZ$408:$BZ$524,6,$B$408:$B$524),BY401)</f>
        <v>-0.188632461703656</v>
      </c>
      <c r="CJ401" s="17" t="n">
        <f aca="false">IFERROR(AVERAGEIF($CH$408:$CH$524,1,$B$408:$B$524),CB401)</f>
        <v>3.26223008722532</v>
      </c>
      <c r="CK401" s="17" t="n">
        <f aca="false">IFERROR(AVERAGEIF($CH$408:$CH$524,2,$B$408:$B$524),CC401)</f>
        <v>-1.24324188901116</v>
      </c>
      <c r="CL401" s="17" t="n">
        <f aca="false">IFERROR(AVERAGEIF($CH$408:$CH$524,3,$B$408:$B$524),CD401)</f>
        <v>0.742304687176007</v>
      </c>
      <c r="CM401" s="17" t="n">
        <f aca="false">IFERROR(AVERAGEIF($CH$408:$CH$524,4,$B$408:$B$524),CE401)</f>
        <v>0.138166592297905</v>
      </c>
      <c r="CN401" s="17" t="n">
        <f aca="false">IFERROR(AVERAGEIF($CH$408:$CH$524,5,$B$408:$B$524),CF401)</f>
        <v>2.09366051310294</v>
      </c>
      <c r="CO401" s="17" t="n">
        <f aca="false">IFERROR(AVERAGEIF($CH$408:$CH$524,6,$B$408:$B$524),CG401)</f>
        <v>-0.188632461703656</v>
      </c>
      <c r="CR401" s="17" t="n">
        <f aca="false">IFERROR(AVERAGEIF($CP$408:$CP$524,1,$B$408:$B$524),CJ401)</f>
        <v>3.26223008722532</v>
      </c>
      <c r="CS401" s="17" t="n">
        <f aca="false">IFERROR(AVERAGEIF($CP$408:$CP$524,2,$B$408:$B$524),CK401)</f>
        <v>-1.24324188901116</v>
      </c>
      <c r="CT401" s="17" t="n">
        <f aca="false">IFERROR(AVERAGEIF($CP$408:$CP$524,3,$B$408:$B$524),CL401)</f>
        <v>0.742304687176007</v>
      </c>
      <c r="CU401" s="17" t="n">
        <f aca="false">IFERROR(AVERAGEIF($CP$408:$CP$524,4,$B$408:$B$524),CM401)</f>
        <v>0.138166592297905</v>
      </c>
      <c r="CV401" s="17" t="n">
        <f aca="false">IFERROR(AVERAGEIF($CP$408:$CP$524,5,$B$408:$B$524),CN401)</f>
        <v>2.09366051310294</v>
      </c>
      <c r="CW401" s="17" t="n">
        <f aca="false">IFERROR(AVERAGEIF($CP$408:$CP$524,6,$B$408:$B$524),CO401)</f>
        <v>-0.188632461703656</v>
      </c>
      <c r="CZ401" s="17" t="n">
        <f aca="false">IFERROR(AVERAGEIF($CX$408:$CX$524,1,$B$408:$B$524),CR401)</f>
        <v>3.26223008722532</v>
      </c>
      <c r="DA401" s="17" t="n">
        <f aca="false">IFERROR(AVERAGEIF($CX$408:$CX$524,2,$B$408:$B$524),CS401)</f>
        <v>-1.24324188901116</v>
      </c>
      <c r="DB401" s="17" t="n">
        <f aca="false">IFERROR(AVERAGEIF($CX$408:$CX$524,3,$B$408:$B$524),CT401)</f>
        <v>0.742304687176007</v>
      </c>
      <c r="DC401" s="17" t="n">
        <f aca="false">IFERROR(AVERAGEIF($CX$408:$CX$524,4,$B$408:$B$524),CU401)</f>
        <v>0.138166592297905</v>
      </c>
      <c r="DD401" s="17" t="n">
        <f aca="false">IFERROR(AVERAGEIF($CX$408:$CX$524,5,$B$408:$B$524),CV401)</f>
        <v>2.09366051310294</v>
      </c>
      <c r="DE401" s="17" t="n">
        <f aca="false">IFERROR(AVERAGEIF($CX$408:$CX$524,6,$B$408:$B$524),CW401)</f>
        <v>-0.188632461703656</v>
      </c>
      <c r="DH401" s="17" t="n">
        <f aca="false">IFERROR(AVERAGEIF($DF$408:$DF$524,1,$B$408:$B$524),CZ401)</f>
        <v>3.26223008722532</v>
      </c>
      <c r="DI401" s="17" t="n">
        <f aca="false">IFERROR(AVERAGEIF($DF$408:$DF$524,2,$B$408:$B$524),DA401)</f>
        <v>-1.24324188901116</v>
      </c>
      <c r="DJ401" s="17" t="n">
        <f aca="false">IFERROR(AVERAGEIF($DF$408:$DF$524,3,$B$408:$B$524),DB401)</f>
        <v>0.742304687176007</v>
      </c>
      <c r="DK401" s="17" t="n">
        <f aca="false">IFERROR(AVERAGEIF($DF$408:$DF$524,4,$B$408:$B$524),DC401)</f>
        <v>0.138166592297905</v>
      </c>
      <c r="DL401" s="17" t="n">
        <f aca="false">IFERROR(AVERAGEIF($DF$408:$DF$524,5,$B$408:$B$524),DD401)</f>
        <v>2.09366051310294</v>
      </c>
      <c r="DM401" s="17" t="n">
        <f aca="false">IFERROR(AVERAGEIF($DF$408:$DF$524,6,$B$408:$B$524),DE401)</f>
        <v>-0.188632461703656</v>
      </c>
    </row>
    <row r="402" customFormat="false" ht="15" hidden="false" customHeight="false" outlineLevel="0" collapsed="false">
      <c r="A402" s="48" t="s">
        <v>758</v>
      </c>
      <c r="B402" s="32" t="s">
        <v>602</v>
      </c>
      <c r="K402" s="40" t="s">
        <v>702</v>
      </c>
      <c r="L402" s="17" t="n">
        <f aca="false">IFERROR(AVERAGEIF($E$408:$E$524,1,$C$408:$C$524),0)</f>
        <v>4.09784641700123</v>
      </c>
      <c r="M402" s="17" t="n">
        <f aca="false">IFERROR(AVERAGEIF($E$408:$E$524,2,$C$408:$C$524),0)</f>
        <v>-0.653181382000913</v>
      </c>
      <c r="N402" s="17" t="n">
        <f aca="false">IFERROR(AVERAGEIF($E$408:$E$524,3,$C$408:$C$524),0)</f>
        <v>0.829770537276088</v>
      </c>
      <c r="O402" s="17" t="n">
        <f aca="false">IFERROR(AVERAGEIF($E$408:$E$524,4,$C$408:$C$524),0)</f>
        <v>-0.567860746719165</v>
      </c>
      <c r="P402" s="17" t="n">
        <f aca="false">IFERROR(AVERAGEIF($E$408:$E$524,5,$C$408:$C$524),0)</f>
        <v>2.53814623502698</v>
      </c>
      <c r="Q402" s="17" t="n">
        <f aca="false">IFERROR(AVERAGEIF($E$408:$E$524,6,$C$408:$C$524),0)</f>
        <v>-0.366091527079733</v>
      </c>
      <c r="W402" s="40" t="s">
        <v>702</v>
      </c>
      <c r="X402" s="17" t="n">
        <f aca="false">INDEX($C$408:$C$524,MATCH($B$399,$A$408:$A$524,0))</f>
        <v>4.03885179691129</v>
      </c>
      <c r="Y402" s="17" t="n">
        <f aca="false">INDEX($C$408:$C$524,MATCH($B$400,$A$408:$A$524,0))</f>
        <v>-0.672650545388274</v>
      </c>
      <c r="Z402" s="17" t="n">
        <f aca="false">INDEX($C$408:$C$524,MATCH($B$401,$A$408:$A$524,0))</f>
        <v>0.378684277529216</v>
      </c>
      <c r="AA402" s="17" t="n">
        <f aca="false">INDEX($C$408:$C$524,MATCH($B$402,$A$408:$A$524,0))</f>
        <v>-0.146983133929529</v>
      </c>
      <c r="AB402" s="17" t="n">
        <f aca="false">INDEX($C$408:$C$524,MATCH($B$403,$A$408:$A$524,0))</f>
        <v>2.29414072853602</v>
      </c>
      <c r="AC402" s="17" t="n">
        <f aca="false">INDEX($C$408:$C$524,MATCH($B$404,$A$408:$A$524,0))</f>
        <v>-0.146983133929529</v>
      </c>
      <c r="AF402" s="17" t="n">
        <f aca="false">IFERROR(AVERAGEIF($AD$408:$AD$524,1,$C$408:$C$524),X402)</f>
        <v>4.09784641700123</v>
      </c>
      <c r="AG402" s="17" t="n">
        <f aca="false">IFERROR(AVERAGEIF($AD$408:$AD$524,2,$C$408:$C$524),Y402)</f>
        <v>-0.649795440542242</v>
      </c>
      <c r="AH402" s="17" t="n">
        <f aca="false">IFERROR(AVERAGEIF($AD$408:$AD$524,3,$C$408:$C$524),Z402)</f>
        <v>0.839836935541502</v>
      </c>
      <c r="AI402" s="17" t="n">
        <f aca="false">IFERROR(AVERAGEIF($AD$408:$AD$524,4,$C$408:$C$524),AA402)</f>
        <v>-0.537511857704825</v>
      </c>
      <c r="AJ402" s="17" t="n">
        <f aca="false">IFERROR(AVERAGEIF($AD$408:$AD$524,5,$C$408:$C$524),AB402)</f>
        <v>2.53814623502698</v>
      </c>
      <c r="AK402" s="17" t="n">
        <f aca="false">IFERROR(AVERAGEIF($AD$408:$AD$524,6,$C$408:$C$524),AC402)</f>
        <v>-0.389392562552363</v>
      </c>
      <c r="AN402" s="17" t="n">
        <f aca="false">IFERROR(AVERAGEIF($AL$408:$AL$524,1,$C$408:$C$524),AF402)</f>
        <v>4.09784641700123</v>
      </c>
      <c r="AO402" s="17" t="n">
        <f aca="false">IFERROR(AVERAGEIF($AL$408:$AL$524,2,$C$408:$C$524),AG402)</f>
        <v>-0.651623848929924</v>
      </c>
      <c r="AP402" s="17" t="n">
        <f aca="false">IFERROR(AVERAGEIF($AL$408:$AL$524,3,$C$408:$C$524),AH402)</f>
        <v>0.829770537276088</v>
      </c>
      <c r="AQ402" s="17" t="n">
        <f aca="false">IFERROR(AVERAGEIF($AL$408:$AL$524,4,$C$408:$C$524),AI402)</f>
        <v>-0.567860746719165</v>
      </c>
      <c r="AR402" s="17" t="n">
        <f aca="false">IFERROR(AVERAGEIF($AL$408:$AL$524,5,$C$408:$C$524),AJ402)</f>
        <v>2.53814623502698</v>
      </c>
      <c r="AS402" s="17" t="n">
        <f aca="false">IFERROR(AVERAGEIF($AL$408:$AL$524,6,$C$408:$C$524),AK402)</f>
        <v>-0.384124410509648</v>
      </c>
      <c r="AV402" s="17" t="n">
        <f aca="false">IFERROR(AVERAGEIF($AT$408:$AT$524,1,$C$408:$C$524),AN402)</f>
        <v>4.09784641700123</v>
      </c>
      <c r="AW402" s="17" t="n">
        <f aca="false">IFERROR(AVERAGEIF($AT$408:$AT$524,2,$C$408:$C$524),AO402)</f>
        <v>-0.652432568024476</v>
      </c>
      <c r="AX402" s="17" t="n">
        <f aca="false">IFERROR(AVERAGEIF($AT$408:$AT$524,3,$C$408:$C$524),AP402)</f>
        <v>0.829770537276088</v>
      </c>
      <c r="AY402" s="17" t="n">
        <f aca="false">IFERROR(AVERAGEIF($AT$408:$AT$524,4,$C$408:$C$524),AQ402)</f>
        <v>-0.567860746719165</v>
      </c>
      <c r="AZ402" s="17" t="n">
        <f aca="false">IFERROR(AVERAGEIF($AT$408:$AT$524,5,$C$408:$C$524),AR402)</f>
        <v>2.53814623502698</v>
      </c>
      <c r="BA402" s="17" t="n">
        <f aca="false">IFERROR(AVERAGEIF($AT$408:$AT$524,6,$C$408:$C$524),AS402)</f>
        <v>-0.375381194301204</v>
      </c>
      <c r="BD402" s="17" t="n">
        <f aca="false">IFERROR(AVERAGEIF($BB$408:$BB$524,1,$C$408:$C$524),AV402)</f>
        <v>4.09784641700123</v>
      </c>
      <c r="BE402" s="17" t="n">
        <f aca="false">IFERROR(AVERAGEIF($BB$408:$BB$524,2,$C$408:$C$524),AW402)</f>
        <v>-0.653181382000913</v>
      </c>
      <c r="BF402" s="17" t="n">
        <f aca="false">IFERROR(AVERAGEIF($BB$408:$BB$524,3,$C$408:$C$524),AX402)</f>
        <v>0.829770537276088</v>
      </c>
      <c r="BG402" s="17" t="n">
        <f aca="false">IFERROR(AVERAGEIF($BB$408:$BB$524,4,$C$408:$C$524),AY402)</f>
        <v>-0.567860746719165</v>
      </c>
      <c r="BH402" s="17" t="n">
        <f aca="false">IFERROR(AVERAGEIF($BB$408:$BB$524,5,$C$408:$C$524),AZ402)</f>
        <v>2.53814623502698</v>
      </c>
      <c r="BI402" s="17" t="n">
        <f aca="false">IFERROR(AVERAGEIF($BB$408:$BB$524,6,$C$408:$C$524),BA402)</f>
        <v>-0.366091527079733</v>
      </c>
      <c r="BL402" s="17" t="n">
        <f aca="false">IFERROR(AVERAGEIF($BJ$408:$BJ$524,1,$C$408:$C$524),BD402)</f>
        <v>4.09784641700123</v>
      </c>
      <c r="BM402" s="17" t="n">
        <f aca="false">IFERROR(AVERAGEIF($BJ$408:$BJ$524,2,$C$408:$C$524),BE402)</f>
        <v>-0.653181382000913</v>
      </c>
      <c r="BN402" s="17" t="n">
        <f aca="false">IFERROR(AVERAGEIF($BJ$408:$BJ$524,3,$C$408:$C$524),BF402)</f>
        <v>0.829770537276088</v>
      </c>
      <c r="BO402" s="17" t="n">
        <f aca="false">IFERROR(AVERAGEIF($BJ$408:$BJ$524,4,$C$408:$C$524),BG402)</f>
        <v>-0.567860746719165</v>
      </c>
      <c r="BP402" s="17" t="n">
        <f aca="false">IFERROR(AVERAGEIF($BJ$408:$BJ$524,5,$C$408:$C$524),BH402)</f>
        <v>2.53814623502698</v>
      </c>
      <c r="BQ402" s="17" t="n">
        <f aca="false">IFERROR(AVERAGEIF($BJ$408:$BJ$524,6,$C$408:$C$524),BI402)</f>
        <v>-0.366091527079733</v>
      </c>
      <c r="BT402" s="17" t="n">
        <f aca="false">IFERROR(AVERAGEIF($BR$408:$BR$524,1,$C$408:$C$524),BL402)</f>
        <v>4.09784641700123</v>
      </c>
      <c r="BU402" s="17" t="n">
        <f aca="false">IFERROR(AVERAGEIF($BR$408:$BR$524,2,$C$408:$C$524),BM402)</f>
        <v>-0.653181382000913</v>
      </c>
      <c r="BV402" s="17" t="n">
        <f aca="false">IFERROR(AVERAGEIF($BR$408:$BR$524,3,$C$408:$C$524),BN402)</f>
        <v>0.829770537276088</v>
      </c>
      <c r="BW402" s="17" t="n">
        <f aca="false">IFERROR(AVERAGEIF($BR$408:$BR$524,4,$C$408:$C$524),BO402)</f>
        <v>-0.567860746719165</v>
      </c>
      <c r="BX402" s="17" t="n">
        <f aca="false">IFERROR(AVERAGEIF($BR$408:$BR$524,5,$C$408:$C$524),BP402)</f>
        <v>2.53814623502698</v>
      </c>
      <c r="BY402" s="17" t="n">
        <f aca="false">IFERROR(AVERAGEIF($BR$408:$BR$524,6,$C$408:$C$524),BQ402)</f>
        <v>-0.366091527079733</v>
      </c>
      <c r="CB402" s="17" t="n">
        <f aca="false">IFERROR(AVERAGEIF($BZ$408:$BZ$524,1,$C$408:$C$524),BT402)</f>
        <v>4.09784641700123</v>
      </c>
      <c r="CC402" s="17" t="n">
        <f aca="false">IFERROR(AVERAGEIF($BZ$408:$BZ$524,2,$C$408:$C$524),BU402)</f>
        <v>-0.653181382000913</v>
      </c>
      <c r="CD402" s="17" t="n">
        <f aca="false">IFERROR(AVERAGEIF($BZ$408:$BZ$524,3,$C$408:$C$524),BV402)</f>
        <v>0.829770537276088</v>
      </c>
      <c r="CE402" s="17" t="n">
        <f aca="false">IFERROR(AVERAGEIF($BZ$408:$BZ$524,4,$C$408:$C$524),BW402)</f>
        <v>-0.567860746719165</v>
      </c>
      <c r="CF402" s="17" t="n">
        <f aca="false">IFERROR(AVERAGEIF($BZ$408:$BZ$524,5,$C$408:$C$524),BX402)</f>
        <v>2.53814623502698</v>
      </c>
      <c r="CG402" s="17" t="n">
        <f aca="false">IFERROR(AVERAGEIF($BZ$408:$BZ$524,6,$C$408:$C$524),BY402)</f>
        <v>-0.366091527079733</v>
      </c>
      <c r="CJ402" s="17" t="n">
        <f aca="false">IFERROR(AVERAGEIF($CH$408:$CH$524,1,$C$408:$C$524),CB402)</f>
        <v>4.09784641700123</v>
      </c>
      <c r="CK402" s="17" t="n">
        <f aca="false">IFERROR(AVERAGEIF($CH$408:$CH$524,2,$C$408:$C$524),CC402)</f>
        <v>-0.653181382000913</v>
      </c>
      <c r="CL402" s="17" t="n">
        <f aca="false">IFERROR(AVERAGEIF($CH$408:$CH$524,3,$C$408:$C$524),CD402)</f>
        <v>0.829770537276088</v>
      </c>
      <c r="CM402" s="17" t="n">
        <f aca="false">IFERROR(AVERAGEIF($CH$408:$CH$524,4,$C$408:$C$524),CE402)</f>
        <v>-0.567860746719165</v>
      </c>
      <c r="CN402" s="17" t="n">
        <f aca="false">IFERROR(AVERAGEIF($CH$408:$CH$524,5,$C$408:$C$524),CF402)</f>
        <v>2.53814623502698</v>
      </c>
      <c r="CO402" s="17" t="n">
        <f aca="false">IFERROR(AVERAGEIF($CH$408:$CH$524,6,$C$408:$C$524),CG402)</f>
        <v>-0.366091527079733</v>
      </c>
      <c r="CR402" s="17" t="n">
        <f aca="false">IFERROR(AVERAGEIF($CP$408:$CP$524,1,$C$408:$C$524),CJ402)</f>
        <v>4.09784641700123</v>
      </c>
      <c r="CS402" s="17" t="n">
        <f aca="false">IFERROR(AVERAGEIF($CP$408:$CP$524,2,$C$408:$C$524),CK402)</f>
        <v>-0.653181382000913</v>
      </c>
      <c r="CT402" s="17" t="n">
        <f aca="false">IFERROR(AVERAGEIF($CP$408:$CP$524,3,$C$408:$C$524),CL402)</f>
        <v>0.829770537276088</v>
      </c>
      <c r="CU402" s="17" t="n">
        <f aca="false">IFERROR(AVERAGEIF($CP$408:$CP$524,4,$C$408:$C$524),CM402)</f>
        <v>-0.567860746719165</v>
      </c>
      <c r="CV402" s="17" t="n">
        <f aca="false">IFERROR(AVERAGEIF($CP$408:$CP$524,5,$C$408:$C$524),CN402)</f>
        <v>2.53814623502698</v>
      </c>
      <c r="CW402" s="17" t="n">
        <f aca="false">IFERROR(AVERAGEIF($CP$408:$CP$524,6,$C$408:$C$524),CO402)</f>
        <v>-0.366091527079733</v>
      </c>
      <c r="CZ402" s="17" t="n">
        <f aca="false">IFERROR(AVERAGEIF($CX$408:$CX$524,1,$C$408:$C$524),CR402)</f>
        <v>4.09784641700123</v>
      </c>
      <c r="DA402" s="17" t="n">
        <f aca="false">IFERROR(AVERAGEIF($CX$408:$CX$524,2,$C$408:$C$524),CS402)</f>
        <v>-0.653181382000913</v>
      </c>
      <c r="DB402" s="17" t="n">
        <f aca="false">IFERROR(AVERAGEIF($CX$408:$CX$524,3,$C$408:$C$524),CT402)</f>
        <v>0.829770537276088</v>
      </c>
      <c r="DC402" s="17" t="n">
        <f aca="false">IFERROR(AVERAGEIF($CX$408:$CX$524,4,$C$408:$C$524),CU402)</f>
        <v>-0.567860746719165</v>
      </c>
      <c r="DD402" s="17" t="n">
        <f aca="false">IFERROR(AVERAGEIF($CX$408:$CX$524,5,$C$408:$C$524),CV402)</f>
        <v>2.53814623502698</v>
      </c>
      <c r="DE402" s="17" t="n">
        <f aca="false">IFERROR(AVERAGEIF($CX$408:$CX$524,6,$C$408:$C$524),CW402)</f>
        <v>-0.366091527079733</v>
      </c>
      <c r="DH402" s="17" t="n">
        <f aca="false">IFERROR(AVERAGEIF($DF$408:$DF$524,1,$C$408:$C$524),CZ402)</f>
        <v>4.09784641700123</v>
      </c>
      <c r="DI402" s="17" t="n">
        <f aca="false">IFERROR(AVERAGEIF($DF$408:$DF$524,2,$C$408:$C$524),DA402)</f>
        <v>-0.653181382000913</v>
      </c>
      <c r="DJ402" s="17" t="n">
        <f aca="false">IFERROR(AVERAGEIF($DF$408:$DF$524,3,$C$408:$C$524),DB402)</f>
        <v>0.829770537276088</v>
      </c>
      <c r="DK402" s="17" t="n">
        <f aca="false">IFERROR(AVERAGEIF($DF$408:$DF$524,4,$C$408:$C$524),DC402)</f>
        <v>-0.567860746719165</v>
      </c>
      <c r="DL402" s="17" t="n">
        <f aca="false">IFERROR(AVERAGEIF($DF$408:$DF$524,5,$C$408:$C$524),DD402)</f>
        <v>2.53814623502698</v>
      </c>
      <c r="DM402" s="17" t="n">
        <f aca="false">IFERROR(AVERAGEIF($DF$408:$DF$524,6,$C$408:$C$524),DE402)</f>
        <v>-0.366091527079733</v>
      </c>
    </row>
    <row r="403" customFormat="false" ht="15" hidden="false" customHeight="false" outlineLevel="0" collapsed="false">
      <c r="A403" s="48" t="s">
        <v>761</v>
      </c>
      <c r="B403" s="32" t="s">
        <v>93</v>
      </c>
      <c r="K403" s="40" t="s">
        <v>703</v>
      </c>
      <c r="L403" s="17" t="n">
        <f aca="false">IFERROR(AVERAGEIF($E$408:$E$524,1,$D$408:$D$524),0)</f>
        <v>2.96661287921115</v>
      </c>
      <c r="M403" s="17" t="n">
        <f aca="false">IFERROR(AVERAGEIF($E$408:$E$524,2,$D$408:$D$524),0)</f>
        <v>-1.02083066134904</v>
      </c>
      <c r="N403" s="17" t="n">
        <f aca="false">IFERROR(AVERAGEIF($E$408:$E$524,3,$D$408:$D$524),0)</f>
        <v>0.929971994818274</v>
      </c>
      <c r="O403" s="17" t="n">
        <f aca="false">IFERROR(AVERAGEIF($E$408:$E$524,4,$D$408:$D$524),0)</f>
        <v>-0.86134048168624</v>
      </c>
      <c r="P403" s="17" t="n">
        <f aca="false">IFERROR(AVERAGEIF($E$408:$E$524,5,$D$408:$D$524),0)</f>
        <v>1.78805771629741</v>
      </c>
      <c r="Q403" s="17" t="n">
        <f aca="false">IFERROR(AVERAGEIF($E$408:$E$524,6,$D$408:$D$524),0)</f>
        <v>0.228706701933301</v>
      </c>
      <c r="W403" s="40" t="s">
        <v>703</v>
      </c>
      <c r="X403" s="17" t="n">
        <f aca="false">INDEX($D$408:$D$524,MATCH($B$399,$A$408:$A$524,0))</f>
        <v>3.25271285960204</v>
      </c>
      <c r="Y403" s="17" t="n">
        <f aca="false">INDEX($D$408:$D$524,MATCH($B$400,$A$408:$A$524,0))</f>
        <v>-1.14564411633355</v>
      </c>
      <c r="Z403" s="17" t="n">
        <f aca="false">INDEX($D$408:$D$524,MATCH($B$401,$A$408:$A$524,0))</f>
        <v>1.47040463995458</v>
      </c>
      <c r="AA403" s="17" t="n">
        <f aca="false">INDEX($D$408:$D$524,MATCH($B$402,$A$408:$A$524,0))</f>
        <v>-1.14564411633355</v>
      </c>
      <c r="AB403" s="17" t="n">
        <f aca="false">INDEX($D$408:$D$524,MATCH($B$403,$A$408:$A$524,0))</f>
        <v>2.37235556681649</v>
      </c>
      <c r="AC403" s="17" t="n">
        <f aca="false">INDEX($D$408:$D$524,MATCH($B$404,$A$408:$A$524,0))</f>
        <v>0.628513491585819</v>
      </c>
      <c r="AF403" s="17" t="n">
        <f aca="false">IFERROR(AVERAGEIF($AD$408:$AD$524,1,$D$408:$D$524),X403)</f>
        <v>2.96661287921115</v>
      </c>
      <c r="AG403" s="17" t="n">
        <f aca="false">IFERROR(AVERAGEIF($AD$408:$AD$524,2,$D$408:$D$524),Y403)</f>
        <v>-1.09557963175262</v>
      </c>
      <c r="AH403" s="17" t="n">
        <f aca="false">IFERROR(AVERAGEIF($AD$408:$AD$524,3,$D$408:$D$524),Z403)</f>
        <v>0.945261285872442</v>
      </c>
      <c r="AI403" s="17" t="n">
        <f aca="false">IFERROR(AVERAGEIF($AD$408:$AD$524,4,$D$408:$D$524),AA403)</f>
        <v>-0.855494766755328</v>
      </c>
      <c r="AJ403" s="17" t="n">
        <f aca="false">IFERROR(AVERAGEIF($AD$408:$AD$524,5,$D$408:$D$524),AB403)</f>
        <v>1.78805771629741</v>
      </c>
      <c r="AK403" s="17" t="n">
        <f aca="false">IFERROR(AVERAGEIF($AD$408:$AD$524,6,$D$408:$D$524),AC403)</f>
        <v>0.171595369566603</v>
      </c>
      <c r="AN403" s="17" t="n">
        <f aca="false">IFERROR(AVERAGEIF($AL$408:$AL$524,1,$D$408:$D$524),AF403)</f>
        <v>2.96661287921115</v>
      </c>
      <c r="AO403" s="17" t="n">
        <f aca="false">IFERROR(AVERAGEIF($AL$408:$AL$524,2,$D$408:$D$524),AG403)</f>
        <v>-1.07388894248431</v>
      </c>
      <c r="AP403" s="17" t="n">
        <f aca="false">IFERROR(AVERAGEIF($AL$408:$AL$524,3,$D$408:$D$524),AH403)</f>
        <v>0.929971994818274</v>
      </c>
      <c r="AQ403" s="17" t="n">
        <f aca="false">IFERROR(AVERAGEIF($AL$408:$AL$524,4,$D$408:$D$524),AI403)</f>
        <v>-0.86134048168624</v>
      </c>
      <c r="AR403" s="17" t="n">
        <f aca="false">IFERROR(AVERAGEIF($AL$408:$AL$524,5,$D$408:$D$524),AJ403)</f>
        <v>1.78805771629741</v>
      </c>
      <c r="AS403" s="17" t="n">
        <f aca="false">IFERROR(AVERAGEIF($AL$408:$AL$524,6,$D$408:$D$524),AK403)</f>
        <v>0.194217946104391</v>
      </c>
      <c r="AV403" s="17" t="n">
        <f aca="false">IFERROR(AVERAGEIF($AT$408:$AT$524,1,$D$408:$D$524),AN403)</f>
        <v>2.96661287921115</v>
      </c>
      <c r="AW403" s="17" t="n">
        <f aca="false">IFERROR(AVERAGEIF($AT$408:$AT$524,2,$D$408:$D$524),AO403)</f>
        <v>-1.04796418403913</v>
      </c>
      <c r="AX403" s="17" t="n">
        <f aca="false">IFERROR(AVERAGEIF($AT$408:$AT$524,3,$D$408:$D$524),AP403)</f>
        <v>0.929971994818274</v>
      </c>
      <c r="AY403" s="17" t="n">
        <f aca="false">IFERROR(AVERAGEIF($AT$408:$AT$524,4,$D$408:$D$524),AQ403)</f>
        <v>-0.86134048168624</v>
      </c>
      <c r="AZ403" s="17" t="n">
        <f aca="false">IFERROR(AVERAGEIF($AT$408:$AT$524,5,$D$408:$D$524),AR403)</f>
        <v>1.78805771629741</v>
      </c>
      <c r="BA403" s="17" t="n">
        <f aca="false">IFERROR(AVERAGEIF($AT$408:$AT$524,6,$D$408:$D$524),AS403)</f>
        <v>0.212219860316936</v>
      </c>
      <c r="BD403" s="17" t="n">
        <f aca="false">IFERROR(AVERAGEIF($BB$408:$BB$524,1,$D$408:$D$524),AV403)</f>
        <v>2.96661287921115</v>
      </c>
      <c r="BE403" s="17" t="n">
        <f aca="false">IFERROR(AVERAGEIF($BB$408:$BB$524,2,$D$408:$D$524),AW403)</f>
        <v>-1.02083066134904</v>
      </c>
      <c r="BF403" s="17" t="n">
        <f aca="false">IFERROR(AVERAGEIF($BB$408:$BB$524,3,$D$408:$D$524),AX403)</f>
        <v>0.929971994818274</v>
      </c>
      <c r="BG403" s="17" t="n">
        <f aca="false">IFERROR(AVERAGEIF($BB$408:$BB$524,4,$D$408:$D$524),AY403)</f>
        <v>-0.86134048168624</v>
      </c>
      <c r="BH403" s="17" t="n">
        <f aca="false">IFERROR(AVERAGEIF($BB$408:$BB$524,5,$D$408:$D$524),AZ403)</f>
        <v>1.78805771629741</v>
      </c>
      <c r="BI403" s="17" t="n">
        <f aca="false">IFERROR(AVERAGEIF($BB$408:$BB$524,6,$D$408:$D$524),BA403)</f>
        <v>0.228706701933301</v>
      </c>
      <c r="BL403" s="17" t="n">
        <f aca="false">IFERROR(AVERAGEIF($BJ$408:$BJ$524,1,$D$408:$D$524),BD403)</f>
        <v>2.96661287921115</v>
      </c>
      <c r="BM403" s="17" t="n">
        <f aca="false">IFERROR(AVERAGEIF($BJ$408:$BJ$524,2,$D$408:$D$524),BE403)</f>
        <v>-1.02083066134904</v>
      </c>
      <c r="BN403" s="17" t="n">
        <f aca="false">IFERROR(AVERAGEIF($BJ$408:$BJ$524,3,$D$408:$D$524),BF403)</f>
        <v>0.929971994818274</v>
      </c>
      <c r="BO403" s="17" t="n">
        <f aca="false">IFERROR(AVERAGEIF($BJ$408:$BJ$524,4,$D$408:$D$524),BG403)</f>
        <v>-0.86134048168624</v>
      </c>
      <c r="BP403" s="17" t="n">
        <f aca="false">IFERROR(AVERAGEIF($BJ$408:$BJ$524,5,$D$408:$D$524),BH403)</f>
        <v>1.78805771629741</v>
      </c>
      <c r="BQ403" s="17" t="n">
        <f aca="false">IFERROR(AVERAGEIF($BJ$408:$BJ$524,6,$D$408:$D$524),BI403)</f>
        <v>0.228706701933301</v>
      </c>
      <c r="BT403" s="17" t="n">
        <f aca="false">IFERROR(AVERAGEIF($BR$408:$BR$524,1,$D$408:$D$524),BL403)</f>
        <v>2.96661287921115</v>
      </c>
      <c r="BU403" s="17" t="n">
        <f aca="false">IFERROR(AVERAGEIF($BR$408:$BR$524,2,$D$408:$D$524),BM403)</f>
        <v>-1.02083066134904</v>
      </c>
      <c r="BV403" s="17" t="n">
        <f aca="false">IFERROR(AVERAGEIF($BR$408:$BR$524,3,$D$408:$D$524),BN403)</f>
        <v>0.929971994818274</v>
      </c>
      <c r="BW403" s="17" t="n">
        <f aca="false">IFERROR(AVERAGEIF($BR$408:$BR$524,4,$D$408:$D$524),BO403)</f>
        <v>-0.86134048168624</v>
      </c>
      <c r="BX403" s="17" t="n">
        <f aca="false">IFERROR(AVERAGEIF($BR$408:$BR$524,5,$D$408:$D$524),BP403)</f>
        <v>1.78805771629741</v>
      </c>
      <c r="BY403" s="17" t="n">
        <f aca="false">IFERROR(AVERAGEIF($BR$408:$BR$524,6,$D$408:$D$524),BQ403)</f>
        <v>0.228706701933301</v>
      </c>
      <c r="CB403" s="17" t="n">
        <f aca="false">IFERROR(AVERAGEIF($BZ$408:$BZ$524,1,$D$408:$D$524),BT403)</f>
        <v>2.96661287921115</v>
      </c>
      <c r="CC403" s="17" t="n">
        <f aca="false">IFERROR(AVERAGEIF($BZ$408:$BZ$524,2,$D$408:$D$524),BU403)</f>
        <v>-1.02083066134904</v>
      </c>
      <c r="CD403" s="17" t="n">
        <f aca="false">IFERROR(AVERAGEIF($BZ$408:$BZ$524,3,$D$408:$D$524),BV403)</f>
        <v>0.929971994818274</v>
      </c>
      <c r="CE403" s="17" t="n">
        <f aca="false">IFERROR(AVERAGEIF($BZ$408:$BZ$524,4,$D$408:$D$524),BW403)</f>
        <v>-0.86134048168624</v>
      </c>
      <c r="CF403" s="17" t="n">
        <f aca="false">IFERROR(AVERAGEIF($BZ$408:$BZ$524,5,$D$408:$D$524),BX403)</f>
        <v>1.78805771629741</v>
      </c>
      <c r="CG403" s="17" t="n">
        <f aca="false">IFERROR(AVERAGEIF($BZ$408:$BZ$524,6,$D$408:$D$524),BY403)</f>
        <v>0.228706701933301</v>
      </c>
      <c r="CJ403" s="17" t="n">
        <f aca="false">IFERROR(AVERAGEIF($CH$408:$CH$524,1,$D$408:$D$524),CB403)</f>
        <v>2.96661287921115</v>
      </c>
      <c r="CK403" s="17" t="n">
        <f aca="false">IFERROR(AVERAGEIF($CH$408:$CH$524,2,$D$408:$D$524),CC403)</f>
        <v>-1.02083066134904</v>
      </c>
      <c r="CL403" s="17" t="n">
        <f aca="false">IFERROR(AVERAGEIF($CH$408:$CH$524,3,$D$408:$D$524),CD403)</f>
        <v>0.929971994818274</v>
      </c>
      <c r="CM403" s="17" t="n">
        <f aca="false">IFERROR(AVERAGEIF($CH$408:$CH$524,4,$D$408:$D$524),CE403)</f>
        <v>-0.86134048168624</v>
      </c>
      <c r="CN403" s="17" t="n">
        <f aca="false">IFERROR(AVERAGEIF($CH$408:$CH$524,5,$D$408:$D$524),CF403)</f>
        <v>1.78805771629741</v>
      </c>
      <c r="CO403" s="17" t="n">
        <f aca="false">IFERROR(AVERAGEIF($CH$408:$CH$524,6,$D$408:$D$524),CG403)</f>
        <v>0.228706701933301</v>
      </c>
      <c r="CR403" s="17" t="n">
        <f aca="false">IFERROR(AVERAGEIF($CP$408:$CP$524,1,$D$408:$D$524),CJ403)</f>
        <v>2.96661287921115</v>
      </c>
      <c r="CS403" s="17" t="n">
        <f aca="false">IFERROR(AVERAGEIF($CP$408:$CP$524,2,$D$408:$D$524),CK403)</f>
        <v>-1.02083066134904</v>
      </c>
      <c r="CT403" s="17" t="n">
        <f aca="false">IFERROR(AVERAGEIF($CP$408:$CP$524,3,$D$408:$D$524),CL403)</f>
        <v>0.929971994818274</v>
      </c>
      <c r="CU403" s="17" t="n">
        <f aca="false">IFERROR(AVERAGEIF($CP$408:$CP$524,4,$D$408:$D$524),CM403)</f>
        <v>-0.86134048168624</v>
      </c>
      <c r="CV403" s="17" t="n">
        <f aca="false">IFERROR(AVERAGEIF($CP$408:$CP$524,5,$D$408:$D$524),CN403)</f>
        <v>1.78805771629741</v>
      </c>
      <c r="CW403" s="17" t="n">
        <f aca="false">IFERROR(AVERAGEIF($CP$408:$CP$524,6,$D$408:$D$524),CO403)</f>
        <v>0.228706701933301</v>
      </c>
      <c r="CZ403" s="17" t="n">
        <f aca="false">IFERROR(AVERAGEIF($CX$408:$CX$524,1,$D$408:$D$524),CR403)</f>
        <v>2.96661287921115</v>
      </c>
      <c r="DA403" s="17" t="n">
        <f aca="false">IFERROR(AVERAGEIF($CX$408:$CX$524,2,$D$408:$D$524),CS403)</f>
        <v>-1.02083066134904</v>
      </c>
      <c r="DB403" s="17" t="n">
        <f aca="false">IFERROR(AVERAGEIF($CX$408:$CX$524,3,$D$408:$D$524),CT403)</f>
        <v>0.929971994818274</v>
      </c>
      <c r="DC403" s="17" t="n">
        <f aca="false">IFERROR(AVERAGEIF($CX$408:$CX$524,4,$D$408:$D$524),CU403)</f>
        <v>-0.86134048168624</v>
      </c>
      <c r="DD403" s="17" t="n">
        <f aca="false">IFERROR(AVERAGEIF($CX$408:$CX$524,5,$D$408:$D$524),CV403)</f>
        <v>1.78805771629741</v>
      </c>
      <c r="DE403" s="17" t="n">
        <f aca="false">IFERROR(AVERAGEIF($CX$408:$CX$524,6,$D$408:$D$524),CW403)</f>
        <v>0.228706701933301</v>
      </c>
      <c r="DH403" s="17" t="n">
        <f aca="false">IFERROR(AVERAGEIF($DF$408:$DF$524,1,$D$408:$D$524),CZ403)</f>
        <v>2.96661287921115</v>
      </c>
      <c r="DI403" s="17" t="n">
        <f aca="false">IFERROR(AVERAGEIF($DF$408:$DF$524,2,$D$408:$D$524),DA403)</f>
        <v>-1.02083066134904</v>
      </c>
      <c r="DJ403" s="17" t="n">
        <f aca="false">IFERROR(AVERAGEIF($DF$408:$DF$524,3,$D$408:$D$524),DB403)</f>
        <v>0.929971994818274</v>
      </c>
      <c r="DK403" s="17" t="n">
        <f aca="false">IFERROR(AVERAGEIF($DF$408:$DF$524,4,$D$408:$D$524),DC403)</f>
        <v>-0.86134048168624</v>
      </c>
      <c r="DL403" s="17" t="n">
        <f aca="false">IFERROR(AVERAGEIF($DF$408:$DF$524,5,$D$408:$D$524),DD403)</f>
        <v>1.78805771629741</v>
      </c>
      <c r="DM403" s="17" t="n">
        <f aca="false">IFERROR(AVERAGEIF($DF$408:$DF$524,6,$D$408:$D$524),DE403)</f>
        <v>0.228706701933301</v>
      </c>
    </row>
    <row r="404" customFormat="false" ht="15" hidden="false" customHeight="false" outlineLevel="0" collapsed="false">
      <c r="A404" s="48" t="s">
        <v>764</v>
      </c>
      <c r="B404" s="32" t="s">
        <v>663</v>
      </c>
      <c r="K404" s="40" t="s">
        <v>731</v>
      </c>
      <c r="L404" s="15" t="n">
        <f aca="false">COUNTIF($E$408:$E$524,1)</f>
        <v>2</v>
      </c>
      <c r="M404" s="15" t="n">
        <f aca="false">COUNTIF($E$408:$E$524,2)</f>
        <v>27</v>
      </c>
      <c r="N404" s="15" t="n">
        <f aca="false">COUNTIF($E$408:$E$524,3)</f>
        <v>29</v>
      </c>
      <c r="O404" s="15" t="n">
        <f aca="false">COUNTIF($E$408:$E$524,4)</f>
        <v>23</v>
      </c>
      <c r="P404" s="15" t="n">
        <f aca="false">COUNTIF($E$408:$E$524,5)</f>
        <v>4</v>
      </c>
      <c r="Q404" s="15" t="n">
        <f aca="false">COUNTIF($E$408:$E$524,6)</f>
        <v>32</v>
      </c>
      <c r="W404" s="40" t="s">
        <v>731</v>
      </c>
      <c r="X404" s="15" t="n">
        <f aca="false">COUNTIF($AD$408:$AD$524,1)</f>
        <v>2</v>
      </c>
      <c r="Y404" s="15" t="n">
        <f aca="false">COUNTIF($AD$408:$AD$524,2)</f>
        <v>23</v>
      </c>
      <c r="Z404" s="15" t="n">
        <f aca="false">COUNTIF($AD$408:$AD$524,3)</f>
        <v>28</v>
      </c>
      <c r="AA404" s="15" t="n">
        <f aca="false">COUNTIF($AD$408:$AD$524,4)</f>
        <v>24</v>
      </c>
      <c r="AB404" s="15" t="n">
        <f aca="false">COUNTIF($AD$408:$AD$524,5)</f>
        <v>4</v>
      </c>
      <c r="AC404" s="15" t="n">
        <f aca="false">COUNTIF($AD$408:$AD$524,6)</f>
        <v>36</v>
      </c>
      <c r="AF404" s="15" t="n">
        <f aca="false">COUNTIF($AL$408:$AL$524,1)</f>
        <v>2</v>
      </c>
      <c r="AG404" s="15" t="n">
        <f aca="false">COUNTIF($AL$408:$AL$524,2)</f>
        <v>25</v>
      </c>
      <c r="AH404" s="15" t="n">
        <f aca="false">COUNTIF($AL$408:$AL$524,3)</f>
        <v>29</v>
      </c>
      <c r="AI404" s="15" t="n">
        <f aca="false">COUNTIF($AL$408:$AL$524,4)</f>
        <v>23</v>
      </c>
      <c r="AJ404" s="15" t="n">
        <f aca="false">COUNTIF($AL$408:$AL$524,5)</f>
        <v>4</v>
      </c>
      <c r="AK404" s="15" t="n">
        <f aca="false">COUNTIF($AL$408:$AL$524,6)</f>
        <v>34</v>
      </c>
      <c r="AN404" s="15" t="n">
        <f aca="false">COUNTIF($AT$408:$AT$524,1)</f>
        <v>2</v>
      </c>
      <c r="AO404" s="15" t="n">
        <f aca="false">COUNTIF($AT$408:$AT$524,2)</f>
        <v>26</v>
      </c>
      <c r="AP404" s="15" t="n">
        <f aca="false">COUNTIF($AT$408:$AT$524,3)</f>
        <v>29</v>
      </c>
      <c r="AQ404" s="15" t="n">
        <f aca="false">COUNTIF($AT$408:$AT$524,4)</f>
        <v>23</v>
      </c>
      <c r="AR404" s="15" t="n">
        <f aca="false">COUNTIF($AT$408:$AT$524,5)</f>
        <v>4</v>
      </c>
      <c r="AS404" s="15" t="n">
        <f aca="false">COUNTIF($AT$408:$AT$524,6)</f>
        <v>33</v>
      </c>
      <c r="AV404" s="15" t="n">
        <f aca="false">COUNTIF($BB$408:$BB$524,1)</f>
        <v>2</v>
      </c>
      <c r="AW404" s="15" t="n">
        <f aca="false">COUNTIF($BB$408:$BB$524,2)</f>
        <v>27</v>
      </c>
      <c r="AX404" s="15" t="n">
        <f aca="false">COUNTIF($BB$408:$BB$524,3)</f>
        <v>29</v>
      </c>
      <c r="AY404" s="15" t="n">
        <f aca="false">COUNTIF($BB$408:$BB$524,4)</f>
        <v>23</v>
      </c>
      <c r="AZ404" s="15" t="n">
        <f aca="false">COUNTIF($BB$408:$BB$524,5)</f>
        <v>4</v>
      </c>
      <c r="BA404" s="15" t="n">
        <f aca="false">COUNTIF($BB$408:$BB$524,6)</f>
        <v>32</v>
      </c>
      <c r="BD404" s="15" t="n">
        <f aca="false">COUNTIF($BJ$408:$BJ$524,1)</f>
        <v>2</v>
      </c>
      <c r="BE404" s="15" t="n">
        <f aca="false">COUNTIF($BJ$408:$BJ$524,2)</f>
        <v>27</v>
      </c>
      <c r="BF404" s="15" t="n">
        <f aca="false">COUNTIF($BJ$408:$BJ$524,3)</f>
        <v>29</v>
      </c>
      <c r="BG404" s="15" t="n">
        <f aca="false">COUNTIF($BJ$408:$BJ$524,4)</f>
        <v>23</v>
      </c>
      <c r="BH404" s="15" t="n">
        <f aca="false">COUNTIF($BJ$408:$BJ$524,5)</f>
        <v>4</v>
      </c>
      <c r="BI404" s="15" t="n">
        <f aca="false">COUNTIF($BJ$408:$BJ$524,6)</f>
        <v>32</v>
      </c>
      <c r="BL404" s="15" t="n">
        <f aca="false">COUNTIF($BR$408:$BR$524,1)</f>
        <v>2</v>
      </c>
      <c r="BM404" s="15" t="n">
        <f aca="false">COUNTIF($BR$408:$BR$524,2)</f>
        <v>27</v>
      </c>
      <c r="BN404" s="15" t="n">
        <f aca="false">COUNTIF($BR$408:$BR$524,3)</f>
        <v>29</v>
      </c>
      <c r="BO404" s="15" t="n">
        <f aca="false">COUNTIF($BR$408:$BR$524,4)</f>
        <v>23</v>
      </c>
      <c r="BP404" s="15" t="n">
        <f aca="false">COUNTIF($BR$408:$BR$524,5)</f>
        <v>4</v>
      </c>
      <c r="BQ404" s="15" t="n">
        <f aca="false">COUNTIF($BR$408:$BR$524,6)</f>
        <v>32</v>
      </c>
      <c r="BT404" s="15" t="n">
        <f aca="false">COUNTIF($BZ$408:$BZ$524,1)</f>
        <v>2</v>
      </c>
      <c r="BU404" s="15" t="n">
        <f aca="false">COUNTIF($BZ$408:$BZ$524,2)</f>
        <v>27</v>
      </c>
      <c r="BV404" s="15" t="n">
        <f aca="false">COUNTIF($BZ$408:$BZ$524,3)</f>
        <v>29</v>
      </c>
      <c r="BW404" s="15" t="n">
        <f aca="false">COUNTIF($BZ$408:$BZ$524,4)</f>
        <v>23</v>
      </c>
      <c r="BX404" s="15" t="n">
        <f aca="false">COUNTIF($BZ$408:$BZ$524,5)</f>
        <v>4</v>
      </c>
      <c r="BY404" s="15" t="n">
        <f aca="false">COUNTIF($BZ$408:$BZ$524,6)</f>
        <v>32</v>
      </c>
      <c r="CB404" s="15" t="n">
        <f aca="false">COUNTIF($CH$408:$CH$524,1)</f>
        <v>2</v>
      </c>
      <c r="CC404" s="15" t="n">
        <f aca="false">COUNTIF($CH$408:$CH$524,2)</f>
        <v>27</v>
      </c>
      <c r="CD404" s="15" t="n">
        <f aca="false">COUNTIF($CH$408:$CH$524,3)</f>
        <v>29</v>
      </c>
      <c r="CE404" s="15" t="n">
        <f aca="false">COUNTIF($CH$408:$CH$524,4)</f>
        <v>23</v>
      </c>
      <c r="CF404" s="15" t="n">
        <f aca="false">COUNTIF($CH$408:$CH$524,5)</f>
        <v>4</v>
      </c>
      <c r="CG404" s="15" t="n">
        <f aca="false">COUNTIF($CH$408:$CH$524,6)</f>
        <v>32</v>
      </c>
      <c r="CJ404" s="15" t="n">
        <f aca="false">COUNTIF($CP$408:$CP$524,1)</f>
        <v>2</v>
      </c>
      <c r="CK404" s="15" t="n">
        <f aca="false">COUNTIF($CP$408:$CP$524,2)</f>
        <v>27</v>
      </c>
      <c r="CL404" s="15" t="n">
        <f aca="false">COUNTIF($CP$408:$CP$524,3)</f>
        <v>29</v>
      </c>
      <c r="CM404" s="15" t="n">
        <f aca="false">COUNTIF($CP$408:$CP$524,4)</f>
        <v>23</v>
      </c>
      <c r="CN404" s="15" t="n">
        <f aca="false">COUNTIF($CP$408:$CP$524,5)</f>
        <v>4</v>
      </c>
      <c r="CO404" s="15" t="n">
        <f aca="false">COUNTIF($CP$408:$CP$524,6)</f>
        <v>32</v>
      </c>
      <c r="CR404" s="15" t="n">
        <f aca="false">COUNTIF($CX$408:$CX$524,1)</f>
        <v>2</v>
      </c>
      <c r="CS404" s="15" t="n">
        <f aca="false">COUNTIF($CX$408:$CX$524,2)</f>
        <v>27</v>
      </c>
      <c r="CT404" s="15" t="n">
        <f aca="false">COUNTIF($CX$408:$CX$524,3)</f>
        <v>29</v>
      </c>
      <c r="CU404" s="15" t="n">
        <f aca="false">COUNTIF($CX$408:$CX$524,4)</f>
        <v>23</v>
      </c>
      <c r="CV404" s="15" t="n">
        <f aca="false">COUNTIF($CX$408:$CX$524,5)</f>
        <v>4</v>
      </c>
      <c r="CW404" s="15" t="n">
        <f aca="false">COUNTIF($CX$408:$CX$524,6)</f>
        <v>32</v>
      </c>
      <c r="CZ404" s="15" t="n">
        <f aca="false">COUNTIF($DF$408:$DF$524,1)</f>
        <v>2</v>
      </c>
      <c r="DA404" s="15" t="n">
        <f aca="false">COUNTIF($DF$408:$DF$524,2)</f>
        <v>27</v>
      </c>
      <c r="DB404" s="15" t="n">
        <f aca="false">COUNTIF($DF$408:$DF$524,3)</f>
        <v>29</v>
      </c>
      <c r="DC404" s="15" t="n">
        <f aca="false">COUNTIF($DF$408:$DF$524,4)</f>
        <v>23</v>
      </c>
      <c r="DD404" s="15" t="n">
        <f aca="false">COUNTIF($DF$408:$DF$524,5)</f>
        <v>4</v>
      </c>
      <c r="DE404" s="15" t="n">
        <f aca="false">COUNTIF($DF$408:$DF$524,6)</f>
        <v>32</v>
      </c>
      <c r="DH404" s="15" t="n">
        <f aca="false">COUNTIF($DN$408:$DN$524,1)</f>
        <v>2</v>
      </c>
      <c r="DI404" s="15" t="n">
        <f aca="false">COUNTIF($DN$408:$DN$524,2)</f>
        <v>27</v>
      </c>
      <c r="DJ404" s="15" t="n">
        <f aca="false">COUNTIF($DN$408:$DN$524,3)</f>
        <v>29</v>
      </c>
      <c r="DK404" s="15" t="n">
        <f aca="false">COUNTIF($DN$408:$DN$524,4)</f>
        <v>23</v>
      </c>
      <c r="DL404" s="15" t="n">
        <f aca="false">COUNTIF($DN$408:$DN$524,5)</f>
        <v>4</v>
      </c>
      <c r="DM404" s="15" t="n">
        <f aca="false">COUNTIF($DN$408:$DN$524,6)</f>
        <v>32</v>
      </c>
    </row>
    <row r="405" customFormat="false" ht="15" hidden="false" customHeight="false" outlineLevel="0" collapsed="false">
      <c r="K405" s="40" t="s">
        <v>732</v>
      </c>
      <c r="L405" s="17" t="n">
        <f aca="false">SUMIF($E$408:$E$524,1,$F$408:$F$524)</f>
        <v>0.170958917513409</v>
      </c>
      <c r="M405" s="17" t="n">
        <f aca="false">SUMIF($E$408:$E$524,2,$F$408:$F$524)</f>
        <v>6.82396490776145</v>
      </c>
      <c r="N405" s="17" t="n">
        <f aca="false">SUMIF($E$408:$E$524,3,$F$408:$F$524)</f>
        <v>13.4866411151905</v>
      </c>
      <c r="O405" s="17" t="n">
        <f aca="false">SUMIF($E$408:$E$524,4,$F$408:$F$524)</f>
        <v>8.76806645386218</v>
      </c>
      <c r="P405" s="17" t="n">
        <f aca="false">SUMIF($E$408:$E$524,5,$F$408:$F$524)</f>
        <v>2.41786130137289</v>
      </c>
      <c r="Q405" s="17" t="n">
        <f aca="false">SUMIF($E$408:$E$524,6,$F$408:$F$524)</f>
        <v>13.3344126939044</v>
      </c>
      <c r="W405" s="40" t="s">
        <v>733</v>
      </c>
      <c r="AD405" s="12" t="s">
        <v>734</v>
      </c>
      <c r="AL405" s="15" t="n">
        <f aca="false">SUMPRODUCT(--($AL$408:$AL$524&lt;&gt;$AD$408:$AD$524))</f>
        <v>5</v>
      </c>
      <c r="AT405" s="15" t="n">
        <f aca="false">SUMPRODUCT(--($AT$408:$AT$524&lt;&gt;$AL$408:$AL$524))</f>
        <v>1</v>
      </c>
      <c r="BB405" s="15" t="n">
        <f aca="false">SUMPRODUCT(--($BB$408:$BB$524&lt;&gt;$AT$408:$AT$524))</f>
        <v>1</v>
      </c>
      <c r="BJ405" s="15" t="n">
        <f aca="false">SUMPRODUCT(--($BJ$408:$BJ$524&lt;&gt;$BB$408:$BB$524))</f>
        <v>0</v>
      </c>
      <c r="BR405" s="15" t="n">
        <f aca="false">SUMPRODUCT(--($BR$408:$BR$524&lt;&gt;$BJ$408:$BJ$524))</f>
        <v>0</v>
      </c>
      <c r="BZ405" s="15" t="n">
        <f aca="false">SUMPRODUCT(--($BZ$408:$BZ$524&lt;&gt;$BR$408:$BR$524))</f>
        <v>0</v>
      </c>
      <c r="CH405" s="15" t="n">
        <f aca="false">SUMPRODUCT(--($CH$408:$CH$524&lt;&gt;$BZ$408:$BZ$524))</f>
        <v>0</v>
      </c>
      <c r="CP405" s="15" t="n">
        <f aca="false">SUMPRODUCT(--($CP$408:$CP$524&lt;&gt;$CH$408:$CH$524))</f>
        <v>0</v>
      </c>
      <c r="CX405" s="15" t="n">
        <f aca="false">SUMPRODUCT(--($CX$408:$CX$524&lt;&gt;$CP$408:$CP$524))</f>
        <v>0</v>
      </c>
      <c r="DF405" s="15" t="n">
        <f aca="false">SUMPRODUCT(--($DF$408:$DF$524&lt;&gt;$CX$408:$CX$524))</f>
        <v>0</v>
      </c>
      <c r="DN405" s="15" t="n">
        <f aca="false">SUMPRODUCT(--($DN$408:$DN$524&lt;&gt;$DF$408:$DF$524))</f>
        <v>0</v>
      </c>
    </row>
    <row r="406" customFormat="false" ht="15" hidden="false" customHeight="false" outlineLevel="0" collapsed="false">
      <c r="K406" s="40" t="s">
        <v>526</v>
      </c>
      <c r="L406" s="70" t="n">
        <f aca="false">SUM($F$408:$F$524)</f>
        <v>45.0019053896048</v>
      </c>
      <c r="M406" s="40" t="s">
        <v>52</v>
      </c>
      <c r="N406" s="36" t="str">
        <f aca="false">IF(DN405=0,"Converged","Not converged: more iterations needed")</f>
        <v>Converged</v>
      </c>
    </row>
    <row r="407" customFormat="false" ht="31.5" hidden="false" customHeight="true" outlineLevel="0" collapsed="false">
      <c r="A407" s="10" t="s">
        <v>89</v>
      </c>
      <c r="B407" s="10" t="s">
        <v>701</v>
      </c>
      <c r="C407" s="10" t="s">
        <v>702</v>
      </c>
      <c r="D407" s="10" t="s">
        <v>703</v>
      </c>
      <c r="E407" s="10" t="s">
        <v>707</v>
      </c>
      <c r="F407" s="10" t="s">
        <v>756</v>
      </c>
      <c r="G407" s="10" t="s">
        <v>737</v>
      </c>
      <c r="H407" s="10" t="s">
        <v>738</v>
      </c>
      <c r="I407" s="10" t="s">
        <v>739</v>
      </c>
      <c r="X407" s="10" t="s">
        <v>740</v>
      </c>
      <c r="Y407" s="10" t="s">
        <v>741</v>
      </c>
      <c r="Z407" s="10" t="s">
        <v>742</v>
      </c>
      <c r="AA407" s="10" t="s">
        <v>759</v>
      </c>
      <c r="AB407" s="10" t="s">
        <v>762</v>
      </c>
      <c r="AC407" s="10" t="s">
        <v>765</v>
      </c>
      <c r="AD407" s="10" t="s">
        <v>707</v>
      </c>
      <c r="AF407" s="10" t="s">
        <v>740</v>
      </c>
      <c r="AG407" s="10" t="s">
        <v>741</v>
      </c>
      <c r="AH407" s="10" t="s">
        <v>742</v>
      </c>
      <c r="AI407" s="10" t="s">
        <v>759</v>
      </c>
      <c r="AJ407" s="10" t="s">
        <v>762</v>
      </c>
      <c r="AK407" s="10" t="s">
        <v>765</v>
      </c>
      <c r="AL407" s="10" t="s">
        <v>707</v>
      </c>
      <c r="AN407" s="10" t="s">
        <v>740</v>
      </c>
      <c r="AO407" s="10" t="s">
        <v>741</v>
      </c>
      <c r="AP407" s="10" t="s">
        <v>742</v>
      </c>
      <c r="AQ407" s="10" t="s">
        <v>759</v>
      </c>
      <c r="AR407" s="10" t="s">
        <v>762</v>
      </c>
      <c r="AS407" s="10" t="s">
        <v>765</v>
      </c>
      <c r="AT407" s="10" t="s">
        <v>707</v>
      </c>
      <c r="AV407" s="10" t="s">
        <v>740</v>
      </c>
      <c r="AW407" s="10" t="s">
        <v>741</v>
      </c>
      <c r="AX407" s="10" t="s">
        <v>742</v>
      </c>
      <c r="AY407" s="10" t="s">
        <v>759</v>
      </c>
      <c r="AZ407" s="10" t="s">
        <v>762</v>
      </c>
      <c r="BA407" s="10" t="s">
        <v>765</v>
      </c>
      <c r="BB407" s="10" t="s">
        <v>707</v>
      </c>
      <c r="BD407" s="10" t="s">
        <v>740</v>
      </c>
      <c r="BE407" s="10" t="s">
        <v>741</v>
      </c>
      <c r="BF407" s="10" t="s">
        <v>742</v>
      </c>
      <c r="BG407" s="10" t="s">
        <v>759</v>
      </c>
      <c r="BH407" s="10" t="s">
        <v>762</v>
      </c>
      <c r="BI407" s="10" t="s">
        <v>765</v>
      </c>
      <c r="BJ407" s="10" t="s">
        <v>707</v>
      </c>
      <c r="BL407" s="10" t="s">
        <v>740</v>
      </c>
      <c r="BM407" s="10" t="s">
        <v>741</v>
      </c>
      <c r="BN407" s="10" t="s">
        <v>742</v>
      </c>
      <c r="BO407" s="10" t="s">
        <v>759</v>
      </c>
      <c r="BP407" s="10" t="s">
        <v>762</v>
      </c>
      <c r="BQ407" s="10" t="s">
        <v>765</v>
      </c>
      <c r="BR407" s="10" t="s">
        <v>707</v>
      </c>
      <c r="BT407" s="10" t="s">
        <v>740</v>
      </c>
      <c r="BU407" s="10" t="s">
        <v>741</v>
      </c>
      <c r="BV407" s="10" t="s">
        <v>742</v>
      </c>
      <c r="BW407" s="10" t="s">
        <v>759</v>
      </c>
      <c r="BX407" s="10" t="s">
        <v>762</v>
      </c>
      <c r="BY407" s="10" t="s">
        <v>765</v>
      </c>
      <c r="BZ407" s="10" t="s">
        <v>707</v>
      </c>
      <c r="CB407" s="10" t="s">
        <v>740</v>
      </c>
      <c r="CC407" s="10" t="s">
        <v>741</v>
      </c>
      <c r="CD407" s="10" t="s">
        <v>742</v>
      </c>
      <c r="CE407" s="10" t="s">
        <v>759</v>
      </c>
      <c r="CF407" s="10" t="s">
        <v>762</v>
      </c>
      <c r="CG407" s="10" t="s">
        <v>765</v>
      </c>
      <c r="CH407" s="10" t="s">
        <v>707</v>
      </c>
      <c r="CJ407" s="10" t="s">
        <v>740</v>
      </c>
      <c r="CK407" s="10" t="s">
        <v>741</v>
      </c>
      <c r="CL407" s="10" t="s">
        <v>742</v>
      </c>
      <c r="CM407" s="10" t="s">
        <v>759</v>
      </c>
      <c r="CN407" s="10" t="s">
        <v>762</v>
      </c>
      <c r="CO407" s="10" t="s">
        <v>765</v>
      </c>
      <c r="CP407" s="10" t="s">
        <v>707</v>
      </c>
      <c r="CR407" s="10" t="s">
        <v>740</v>
      </c>
      <c r="CS407" s="10" t="s">
        <v>741</v>
      </c>
      <c r="CT407" s="10" t="s">
        <v>742</v>
      </c>
      <c r="CU407" s="10" t="s">
        <v>759</v>
      </c>
      <c r="CV407" s="10" t="s">
        <v>762</v>
      </c>
      <c r="CW407" s="10" t="s">
        <v>765</v>
      </c>
      <c r="CX407" s="10" t="s">
        <v>707</v>
      </c>
      <c r="CZ407" s="10" t="s">
        <v>740</v>
      </c>
      <c r="DA407" s="10" t="s">
        <v>741</v>
      </c>
      <c r="DB407" s="10" t="s">
        <v>742</v>
      </c>
      <c r="DC407" s="10" t="s">
        <v>759</v>
      </c>
      <c r="DD407" s="10" t="s">
        <v>762</v>
      </c>
      <c r="DE407" s="10" t="s">
        <v>765</v>
      </c>
      <c r="DF407" s="10" t="s">
        <v>707</v>
      </c>
      <c r="DH407" s="10" t="s">
        <v>740</v>
      </c>
      <c r="DI407" s="10" t="s">
        <v>741</v>
      </c>
      <c r="DJ407" s="10" t="s">
        <v>742</v>
      </c>
      <c r="DK407" s="10" t="s">
        <v>759</v>
      </c>
      <c r="DL407" s="10" t="s">
        <v>762</v>
      </c>
      <c r="DM407" s="10" t="s">
        <v>765</v>
      </c>
      <c r="DN407" s="10" t="s">
        <v>707</v>
      </c>
    </row>
    <row r="408" customFormat="false" ht="15" hidden="false" customHeight="false" outlineLevel="0" collapsed="false">
      <c r="A408" s="36" t="str">
        <f aca="false">KMeans_Data!A5</f>
        <v>Karachi</v>
      </c>
      <c r="B408" s="17" t="n">
        <f aca="false">KMeans_Data!H5</f>
        <v>3.2743087782752</v>
      </c>
      <c r="C408" s="17" t="n">
        <f aca="false">KMeans_Data!I5</f>
        <v>4.03885179691129</v>
      </c>
      <c r="D408" s="17" t="n">
        <f aca="false">KMeans_Data!J5</f>
        <v>3.25271285960204</v>
      </c>
      <c r="E408" s="63" t="n">
        <f aca="false">DN408</f>
        <v>1</v>
      </c>
      <c r="F408" s="38" t="n">
        <f aca="false">($B408-INDEX($L$401:$Q$401,E408))^2+($C408-INDEX($L$402:$Q$402,E408))^2+($D408-INDEX($L$403:$Q$403,E408))^2</f>
        <v>0.0854794587567048</v>
      </c>
      <c r="G408" s="17" t="n">
        <f aca="false">IF(COUNTIF(Distance_Matrix!$E$12:$DQ$12,$E408)&lt;=1,0,SUMIF(Distance_Matrix!$E$12:$DQ$12,$E408,Distance_Matrix!$E$14:$DQ$14)/(COUNTIF(Distance_Matrix!$E$12:$DQ$12,$E408)-1))</f>
        <v>0.584737406898874</v>
      </c>
      <c r="H408" s="17" t="n">
        <f aca="false">MIN(IF(1=$E408,1E+099,IF(COUNTIF(Distance_Matrix!$E$12:$DQ$12,1)=0,1E+099,SUMIF(Distance_Matrix!$E$12:$DQ$12,1,Distance_Matrix!$E$14:$DQ$14)/COUNTIF(Distance_Matrix!$E$12:$DQ$12,1))),IF(2=$E408,1E+099,IF(COUNTIF(Distance_Matrix!$E$12:$DQ$12,2)=0,1E+099,SUMIF(Distance_Matrix!$E$12:$DQ$12,2,Distance_Matrix!$E$14:$DQ$14)/COUNTIF(Distance_Matrix!$E$12:$DQ$12,2))),IF(3=$E408,1E+099,IF(COUNTIF(Distance_Matrix!$E$12:$DQ$12,3)=0,1E+099,SUMIF(Distance_Matrix!$E$12:$DQ$12,3,Distance_Matrix!$E$14:$DQ$14)/COUNTIF(Distance_Matrix!$E$12:$DQ$12,3))),IF(4=$E408,1E+099,IF(COUNTIF(Distance_Matrix!$E$12:$DQ$12,4)=0,1E+099,SUMIF(Distance_Matrix!$E$12:$DQ$12,4,Distance_Matrix!$E$14:$DQ$14)/COUNTIF(Distance_Matrix!$E$12:$DQ$12,4))),IF(5=$E408,1E+099,IF(COUNTIF(Distance_Matrix!$E$12:$DQ$12,5)=0,1E+099,SUMIF(Distance_Matrix!$E$12:$DQ$12,5,Distance_Matrix!$E$14:$DQ$14)/COUNTIF(Distance_Matrix!$E$12:$DQ$12,5))),IF(6=$E408,1E+099,IF(COUNTIF(Distance_Matrix!$E$12:$DQ$12,6)=0,1E+099,SUMIF(Distance_Matrix!$E$12:$DQ$12,6,Distance_Matrix!$E$14:$DQ$14)/COUNTIF(Distance_Matrix!$E$12:$DQ$12,6))))</f>
        <v>2.48448909843262</v>
      </c>
      <c r="I408" s="17" t="n">
        <f aca="false">IF(COUNTIF(Distance_Matrix!$E$12:$DQ$12,$E408)&lt;=1,0,(H408-G408)/MAX(G408,H408))</f>
        <v>0.764644808758564</v>
      </c>
      <c r="X408" s="17" t="n">
        <f aca="false">SQRT(($B408-X$401)^2+($C408-X$402)^2+($D408-X$403)^2)</f>
        <v>0</v>
      </c>
      <c r="Y408" s="17" t="n">
        <f aca="false">SQRT(($B408-Y$401)^2+($C408-Y$402)^2+($D408-Y$403)^2)</f>
        <v>8.37911780072121</v>
      </c>
      <c r="Z408" s="17" t="n">
        <f aca="false">SQRT(($B408-Z$401)^2+($C408-Z$402)^2+($D408-Z$403)^2)</f>
        <v>4.64515792720078</v>
      </c>
      <c r="AA408" s="17" t="n">
        <f aca="false">SQRT(($B408-AA$401)^2+($C408-AA$402)^2+($D408-AA$403)^2)</f>
        <v>6.61637996962902</v>
      </c>
      <c r="AB408" s="17" t="n">
        <f aca="false">SQRT(($B408-AB$401)^2+($C408-AB$402)^2+($D408-AB$403)^2)</f>
        <v>2.15562975043914</v>
      </c>
      <c r="AC408" s="17" t="n">
        <f aca="false">SQRT(($B408-AC$401)^2+($C408-AC$402)^2+($D408-AC$403)^2)</f>
        <v>6.34444553438655</v>
      </c>
      <c r="AD408" s="63" t="n">
        <f aca="false">MATCH(MIN(X408:AC408),X408:AC408,0)</f>
        <v>1</v>
      </c>
      <c r="AF408" s="17" t="n">
        <f aca="false">SQRT(($B408-AF$401)^2+($C408-AF$402)^2+($D408-AF$403)^2)</f>
        <v>0.292368703449437</v>
      </c>
      <c r="AG408" s="17" t="n">
        <f aca="false">SQRT(($B408-AG$401)^2+($C408-AG$402)^2+($D408-AG$403)^2)</f>
        <v>7.87434784183067</v>
      </c>
      <c r="AH408" s="17" t="n">
        <f aca="false">SQRT(($B408-AH$401)^2+($C408-AH$402)^2+($D408-AH$403)^2)</f>
        <v>4.67221143823455</v>
      </c>
      <c r="AI408" s="17" t="n">
        <f aca="false">SQRT(($B408-AI$401)^2+($C408-AI$402)^2+($D408-AI$403)^2)</f>
        <v>6.90075853515038</v>
      </c>
      <c r="AJ408" s="17" t="n">
        <f aca="false">SQRT(($B408-AJ$401)^2+($C408-AJ$402)^2+($D408-AJ$403)^2)</f>
        <v>2.40650414467407</v>
      </c>
      <c r="AK408" s="17" t="n">
        <f aca="false">SQRT(($B408-AK$401)^2+($C408-AK$402)^2+($D408-AK$403)^2)</f>
        <v>6.45199276892965</v>
      </c>
      <c r="AL408" s="63" t="n">
        <f aca="false">MATCH(MIN(AF408:AK408),AF408:AK408,0)</f>
        <v>1</v>
      </c>
      <c r="AN408" s="17" t="n">
        <f aca="false">SQRT(($B408-AN$401)^2+($C408-AN$402)^2+($D408-AN$403)^2)</f>
        <v>0.292368703449437</v>
      </c>
      <c r="AO408" s="17" t="n">
        <f aca="false">SQRT(($B408-AO$401)^2+($C408-AO$402)^2+($D408-AO$403)^2)</f>
        <v>7.83858049682496</v>
      </c>
      <c r="AP408" s="17" t="n">
        <f aca="false">SQRT(($B408-AP$401)^2+($C408-AP$402)^2+($D408-AP$403)^2)</f>
        <v>4.70152872725685</v>
      </c>
      <c r="AQ408" s="17" t="n">
        <f aca="false">SQRT(($B408-AQ$401)^2+($C408-AQ$402)^2+($D408-AQ$403)^2)</f>
        <v>6.92694905173078</v>
      </c>
      <c r="AR408" s="17" t="n">
        <f aca="false">SQRT(($B408-AR$401)^2+($C408-AR$402)^2+($D408-AR$403)^2)</f>
        <v>2.40650414467407</v>
      </c>
      <c r="AS408" s="17" t="n">
        <f aca="false">SQRT(($B408-AS$401)^2+($C408-AS$402)^2+($D408-AS$403)^2)</f>
        <v>6.41585299413648</v>
      </c>
      <c r="AT408" s="63" t="n">
        <f aca="false">MATCH(MIN(AN408:AS408),AN408:AS408,0)</f>
        <v>1</v>
      </c>
      <c r="AV408" s="17" t="n">
        <f aca="false">SQRT(($B408-AV$401)^2+($C408-AV$402)^2+($D408-AV$403)^2)</f>
        <v>0.292368703449437</v>
      </c>
      <c r="AW408" s="17" t="n">
        <f aca="false">SQRT(($B408-AW$401)^2+($C408-AW$402)^2+($D408-AW$403)^2)</f>
        <v>7.81380170801823</v>
      </c>
      <c r="AX408" s="17" t="n">
        <f aca="false">SQRT(($B408-AX$401)^2+($C408-AX$402)^2+($D408-AX$403)^2)</f>
        <v>4.70152872725685</v>
      </c>
      <c r="AY408" s="17" t="n">
        <f aca="false">SQRT(($B408-AY$401)^2+($C408-AY$402)^2+($D408-AY$403)^2)</f>
        <v>6.92694905173078</v>
      </c>
      <c r="AZ408" s="17" t="n">
        <f aca="false">SQRT(($B408-AZ$401)^2+($C408-AZ$402)^2+($D408-AZ$403)^2)</f>
        <v>2.40650414467407</v>
      </c>
      <c r="BA408" s="17" t="n">
        <f aca="false">SQRT(($B408-BA$401)^2+($C408-BA$402)^2+($D408-BA$403)^2)</f>
        <v>6.39197601938256</v>
      </c>
      <c r="BB408" s="63" t="n">
        <f aca="false">MATCH(MIN(AV408:BA408),AV408:BA408,0)</f>
        <v>1</v>
      </c>
      <c r="BD408" s="17" t="n">
        <f aca="false">SQRT(($B408-BD$401)^2+($C408-BD$402)^2+($D408-BD$403)^2)</f>
        <v>0.292368703449437</v>
      </c>
      <c r="BE408" s="17" t="n">
        <f aca="false">SQRT(($B408-BE$401)^2+($C408-BE$402)^2+($D408-BE$403)^2)</f>
        <v>7.79016133395037</v>
      </c>
      <c r="BF408" s="17" t="n">
        <f aca="false">SQRT(($B408-BF$401)^2+($C408-BF$402)^2+($D408-BF$403)^2)</f>
        <v>4.70152872725685</v>
      </c>
      <c r="BG408" s="17" t="n">
        <f aca="false">SQRT(($B408-BG$401)^2+($C408-BG$402)^2+($D408-BG$403)^2)</f>
        <v>6.92694905173078</v>
      </c>
      <c r="BH408" s="17" t="n">
        <f aca="false">SQRT(($B408-BH$401)^2+($C408-BH$402)^2+($D408-BH$403)^2)</f>
        <v>2.40650414467407</v>
      </c>
      <c r="BI408" s="17" t="n">
        <f aca="false">SQRT(($B408-BI$401)^2+($C408-BI$402)^2+($D408-BI$403)^2)</f>
        <v>6.36711088019817</v>
      </c>
      <c r="BJ408" s="63" t="n">
        <f aca="false">MATCH(MIN(BD408:BI408),BD408:BI408,0)</f>
        <v>1</v>
      </c>
      <c r="BL408" s="17" t="n">
        <f aca="false">SQRT(($B408-BL$401)^2+($C408-BL$402)^2+($D408-BL$403)^2)</f>
        <v>0.292368703449437</v>
      </c>
      <c r="BM408" s="17" t="n">
        <f aca="false">SQRT(($B408-BM$401)^2+($C408-BM$402)^2+($D408-BM$403)^2)</f>
        <v>7.79016133395037</v>
      </c>
      <c r="BN408" s="17" t="n">
        <f aca="false">SQRT(($B408-BN$401)^2+($C408-BN$402)^2+($D408-BN$403)^2)</f>
        <v>4.70152872725685</v>
      </c>
      <c r="BO408" s="17" t="n">
        <f aca="false">SQRT(($B408-BO$401)^2+($C408-BO$402)^2+($D408-BO$403)^2)</f>
        <v>6.92694905173078</v>
      </c>
      <c r="BP408" s="17" t="n">
        <f aca="false">SQRT(($B408-BP$401)^2+($C408-BP$402)^2+($D408-BP$403)^2)</f>
        <v>2.40650414467407</v>
      </c>
      <c r="BQ408" s="17" t="n">
        <f aca="false">SQRT(($B408-BQ$401)^2+($C408-BQ$402)^2+($D408-BQ$403)^2)</f>
        <v>6.36711088019817</v>
      </c>
      <c r="BR408" s="63" t="n">
        <f aca="false">MATCH(MIN(BL408:BQ408),BL408:BQ408,0)</f>
        <v>1</v>
      </c>
      <c r="BT408" s="17" t="n">
        <f aca="false">SQRT(($B408-BT$401)^2+($C408-BT$402)^2+($D408-BT$403)^2)</f>
        <v>0.292368703449437</v>
      </c>
      <c r="BU408" s="17" t="n">
        <f aca="false">SQRT(($B408-BU$401)^2+($C408-BU$402)^2+($D408-BU$403)^2)</f>
        <v>7.79016133395037</v>
      </c>
      <c r="BV408" s="17" t="n">
        <f aca="false">SQRT(($B408-BV$401)^2+($C408-BV$402)^2+($D408-BV$403)^2)</f>
        <v>4.70152872725685</v>
      </c>
      <c r="BW408" s="17" t="n">
        <f aca="false">SQRT(($B408-BW$401)^2+($C408-BW$402)^2+($D408-BW$403)^2)</f>
        <v>6.92694905173078</v>
      </c>
      <c r="BX408" s="17" t="n">
        <f aca="false">SQRT(($B408-BX$401)^2+($C408-BX$402)^2+($D408-BX$403)^2)</f>
        <v>2.40650414467407</v>
      </c>
      <c r="BY408" s="17" t="n">
        <f aca="false">SQRT(($B408-BY$401)^2+($C408-BY$402)^2+($D408-BY$403)^2)</f>
        <v>6.36711088019817</v>
      </c>
      <c r="BZ408" s="63" t="n">
        <f aca="false">MATCH(MIN(BT408:BY408),BT408:BY408,0)</f>
        <v>1</v>
      </c>
      <c r="CB408" s="17" t="n">
        <f aca="false">SQRT(($B408-CB$401)^2+($C408-CB$402)^2+($D408-CB$403)^2)</f>
        <v>0.292368703449437</v>
      </c>
      <c r="CC408" s="17" t="n">
        <f aca="false">SQRT(($B408-CC$401)^2+($C408-CC$402)^2+($D408-CC$403)^2)</f>
        <v>7.79016133395037</v>
      </c>
      <c r="CD408" s="17" t="n">
        <f aca="false">SQRT(($B408-CD$401)^2+($C408-CD$402)^2+($D408-CD$403)^2)</f>
        <v>4.70152872725685</v>
      </c>
      <c r="CE408" s="17" t="n">
        <f aca="false">SQRT(($B408-CE$401)^2+($C408-CE$402)^2+($D408-CE$403)^2)</f>
        <v>6.92694905173078</v>
      </c>
      <c r="CF408" s="17" t="n">
        <f aca="false">SQRT(($B408-CF$401)^2+($C408-CF$402)^2+($D408-CF$403)^2)</f>
        <v>2.40650414467407</v>
      </c>
      <c r="CG408" s="17" t="n">
        <f aca="false">SQRT(($B408-CG$401)^2+($C408-CG$402)^2+($D408-CG$403)^2)</f>
        <v>6.36711088019817</v>
      </c>
      <c r="CH408" s="63" t="n">
        <f aca="false">MATCH(MIN(CB408:CG408),CB408:CG408,0)</f>
        <v>1</v>
      </c>
      <c r="CJ408" s="17" t="n">
        <f aca="false">SQRT(($B408-CJ$401)^2+($C408-CJ$402)^2+($D408-CJ$403)^2)</f>
        <v>0.292368703449437</v>
      </c>
      <c r="CK408" s="17" t="n">
        <f aca="false">SQRT(($B408-CK$401)^2+($C408-CK$402)^2+($D408-CK$403)^2)</f>
        <v>7.79016133395037</v>
      </c>
      <c r="CL408" s="17" t="n">
        <f aca="false">SQRT(($B408-CL$401)^2+($C408-CL$402)^2+($D408-CL$403)^2)</f>
        <v>4.70152872725685</v>
      </c>
      <c r="CM408" s="17" t="n">
        <f aca="false">SQRT(($B408-CM$401)^2+($C408-CM$402)^2+($D408-CM$403)^2)</f>
        <v>6.92694905173078</v>
      </c>
      <c r="CN408" s="17" t="n">
        <f aca="false">SQRT(($B408-CN$401)^2+($C408-CN$402)^2+($D408-CN$403)^2)</f>
        <v>2.40650414467407</v>
      </c>
      <c r="CO408" s="17" t="n">
        <f aca="false">SQRT(($B408-CO$401)^2+($C408-CO$402)^2+($D408-CO$403)^2)</f>
        <v>6.36711088019817</v>
      </c>
      <c r="CP408" s="63" t="n">
        <f aca="false">MATCH(MIN(CJ408:CO408),CJ408:CO408,0)</f>
        <v>1</v>
      </c>
      <c r="CR408" s="17" t="n">
        <f aca="false">SQRT(($B408-CR$401)^2+($C408-CR$402)^2+($D408-CR$403)^2)</f>
        <v>0.292368703449437</v>
      </c>
      <c r="CS408" s="17" t="n">
        <f aca="false">SQRT(($B408-CS$401)^2+($C408-CS$402)^2+($D408-CS$403)^2)</f>
        <v>7.79016133395037</v>
      </c>
      <c r="CT408" s="17" t="n">
        <f aca="false">SQRT(($B408-CT$401)^2+($C408-CT$402)^2+($D408-CT$403)^2)</f>
        <v>4.70152872725685</v>
      </c>
      <c r="CU408" s="17" t="n">
        <f aca="false">SQRT(($B408-CU$401)^2+($C408-CU$402)^2+($D408-CU$403)^2)</f>
        <v>6.92694905173078</v>
      </c>
      <c r="CV408" s="17" t="n">
        <f aca="false">SQRT(($B408-CV$401)^2+($C408-CV$402)^2+($D408-CV$403)^2)</f>
        <v>2.40650414467407</v>
      </c>
      <c r="CW408" s="17" t="n">
        <f aca="false">SQRT(($B408-CW$401)^2+($C408-CW$402)^2+($D408-CW$403)^2)</f>
        <v>6.36711088019817</v>
      </c>
      <c r="CX408" s="63" t="n">
        <f aca="false">MATCH(MIN(CR408:CW408),CR408:CW408,0)</f>
        <v>1</v>
      </c>
      <c r="CZ408" s="17" t="n">
        <f aca="false">SQRT(($B408-CZ$401)^2+($C408-CZ$402)^2+($D408-CZ$403)^2)</f>
        <v>0.292368703449437</v>
      </c>
      <c r="DA408" s="17" t="n">
        <f aca="false">SQRT(($B408-DA$401)^2+($C408-DA$402)^2+($D408-DA$403)^2)</f>
        <v>7.79016133395037</v>
      </c>
      <c r="DB408" s="17" t="n">
        <f aca="false">SQRT(($B408-DB$401)^2+($C408-DB$402)^2+($D408-DB$403)^2)</f>
        <v>4.70152872725685</v>
      </c>
      <c r="DC408" s="17" t="n">
        <f aca="false">SQRT(($B408-DC$401)^2+($C408-DC$402)^2+($D408-DC$403)^2)</f>
        <v>6.92694905173078</v>
      </c>
      <c r="DD408" s="17" t="n">
        <f aca="false">SQRT(($B408-DD$401)^2+($C408-DD$402)^2+($D408-DD$403)^2)</f>
        <v>2.40650414467407</v>
      </c>
      <c r="DE408" s="17" t="n">
        <f aca="false">SQRT(($B408-DE$401)^2+($C408-DE$402)^2+($D408-DE$403)^2)</f>
        <v>6.36711088019817</v>
      </c>
      <c r="DF408" s="63" t="n">
        <f aca="false">MATCH(MIN(CZ408:DE408),CZ408:DE408,0)</f>
        <v>1</v>
      </c>
      <c r="DH408" s="17" t="n">
        <f aca="false">SQRT(($B408-DH$401)^2+($C408-DH$402)^2+($D408-DH$403)^2)</f>
        <v>0.292368703449437</v>
      </c>
      <c r="DI408" s="17" t="n">
        <f aca="false">SQRT(($B408-DI$401)^2+($C408-DI$402)^2+($D408-DI$403)^2)</f>
        <v>7.79016133395037</v>
      </c>
      <c r="DJ408" s="17" t="n">
        <f aca="false">SQRT(($B408-DJ$401)^2+($C408-DJ$402)^2+($D408-DJ$403)^2)</f>
        <v>4.70152872725685</v>
      </c>
      <c r="DK408" s="17" t="n">
        <f aca="false">SQRT(($B408-DK$401)^2+($C408-DK$402)^2+($D408-DK$403)^2)</f>
        <v>6.92694905173078</v>
      </c>
      <c r="DL408" s="17" t="n">
        <f aca="false">SQRT(($B408-DL$401)^2+($C408-DL$402)^2+($D408-DL$403)^2)</f>
        <v>2.40650414467407</v>
      </c>
      <c r="DM408" s="17" t="n">
        <f aca="false">SQRT(($B408-DM$401)^2+($C408-DM$402)^2+($D408-DM$403)^2)</f>
        <v>6.36711088019817</v>
      </c>
      <c r="DN408" s="63" t="n">
        <f aca="false">MATCH(MIN(DH408:DM408),DH408:DM408,0)</f>
        <v>1</v>
      </c>
    </row>
    <row r="409" customFormat="false" ht="15" hidden="false" customHeight="false" outlineLevel="0" collapsed="false">
      <c r="A409" s="36" t="str">
        <f aca="false">KMeans_Data!A6</f>
        <v>Lahore</v>
      </c>
      <c r="B409" s="17" t="n">
        <f aca="false">KMeans_Data!H6</f>
        <v>3.25015139617543</v>
      </c>
      <c r="C409" s="17" t="n">
        <f aca="false">KMeans_Data!I6</f>
        <v>4.15684103709117</v>
      </c>
      <c r="D409" s="17" t="n">
        <f aca="false">KMeans_Data!J6</f>
        <v>2.68051289882026</v>
      </c>
      <c r="E409" s="63" t="n">
        <f aca="false">DN409</f>
        <v>1</v>
      </c>
      <c r="F409" s="38" t="n">
        <f aca="false">($B409-INDEX($L$401:$Q$401,E409))^2+($C409-INDEX($L$402:$Q$402,E409))^2+($D409-INDEX($L$403:$Q$403,E409))^2</f>
        <v>0.0854794587567046</v>
      </c>
      <c r="G409" s="17" t="n">
        <f aca="false">IF(COUNTIF(Distance_Matrix!$E$12:$DQ$12,$E409)&lt;=1,0,SUMIF(Distance_Matrix!$E$12:$DQ$12,$E409,Distance_Matrix!$E$15:$DQ$15)/(COUNTIF(Distance_Matrix!$E$12:$DQ$12,$E409)-1))</f>
        <v>0.584737406898874</v>
      </c>
      <c r="H409" s="17" t="n">
        <f aca="false">MIN(IF(1=$E409,1E+099,IF(COUNTIF(Distance_Matrix!$E$12:$DQ$12,1)=0,1E+099,SUMIF(Distance_Matrix!$E$12:$DQ$12,1,Distance_Matrix!$E$15:$DQ$15)/COUNTIF(Distance_Matrix!$E$12:$DQ$12,1))),IF(2=$E409,1E+099,IF(COUNTIF(Distance_Matrix!$E$12:$DQ$12,2)=0,1E+099,SUMIF(Distance_Matrix!$E$12:$DQ$12,2,Distance_Matrix!$E$15:$DQ$15)/COUNTIF(Distance_Matrix!$E$12:$DQ$12,2))),IF(3=$E409,1E+099,IF(COUNTIF(Distance_Matrix!$E$12:$DQ$12,3)=0,1E+099,SUMIF(Distance_Matrix!$E$12:$DQ$12,3,Distance_Matrix!$E$15:$DQ$15)/COUNTIF(Distance_Matrix!$E$12:$DQ$12,3))),IF(4=$E409,1E+099,IF(COUNTIF(Distance_Matrix!$E$12:$DQ$12,4)=0,1E+099,SUMIF(Distance_Matrix!$E$12:$DQ$12,4,Distance_Matrix!$E$15:$DQ$15)/COUNTIF(Distance_Matrix!$E$12:$DQ$12,4))),IF(5=$E409,1E+099,IF(COUNTIF(Distance_Matrix!$E$12:$DQ$12,5)=0,1E+099,SUMIF(Distance_Matrix!$E$12:$DQ$12,5,Distance_Matrix!$E$15:$DQ$15)/COUNTIF(Distance_Matrix!$E$12:$DQ$12,5))),IF(6=$E409,1E+099,IF(COUNTIF(Distance_Matrix!$E$12:$DQ$12,6)=0,1E+099,SUMIF(Distance_Matrix!$E$12:$DQ$12,6,Distance_Matrix!$E$15:$DQ$15)/COUNTIF(Distance_Matrix!$E$12:$DQ$12,6))))</f>
        <v>2.25576978264443</v>
      </c>
      <c r="I409" s="17" t="n">
        <f aca="false">IF(COUNTIF(Distance_Matrix!$E$12:$DQ$12,$E409)&lt;=1,0,(H409-G409)/MAX(G409,H409))</f>
        <v>0.740781434613691</v>
      </c>
      <c r="X409" s="17" t="n">
        <f aca="false">SQRT(($B409-X$401)^2+($C409-X$402)^2+($D409-X$403)^2)</f>
        <v>0.584737406898874</v>
      </c>
      <c r="Y409" s="17" t="n">
        <f aca="false">SQRT(($B409-Y$401)^2+($C409-Y$402)^2+($D409-Y$403)^2)</f>
        <v>8.14685136916964</v>
      </c>
      <c r="Z409" s="17" t="n">
        <f aca="false">SQRT(($B409-Z$401)^2+($C409-Z$402)^2+($D409-Z$403)^2)</f>
        <v>4.54261803543023</v>
      </c>
      <c r="AA409" s="17" t="n">
        <f aca="false">SQRT(($B409-AA$401)^2+($C409-AA$402)^2+($D409-AA$403)^2)</f>
        <v>6.32026007457936</v>
      </c>
      <c r="AB409" s="17" t="n">
        <f aca="false">SQRT(($B409-AB$401)^2+($C409-AB$402)^2+($D409-AB$403)^2)</f>
        <v>2.08541009180941</v>
      </c>
      <c r="AC409" s="17" t="n">
        <f aca="false">SQRT(($B409-AC$401)^2+($C409-AC$402)^2+($D409-AC$403)^2)</f>
        <v>6.19566167870154</v>
      </c>
      <c r="AD409" s="63" t="n">
        <f aca="false">MATCH(MIN(X409:AC409),X409:AC409,0)</f>
        <v>1</v>
      </c>
      <c r="AF409" s="17" t="n">
        <f aca="false">SQRT(($B409-AF$401)^2+($C409-AF$402)^2+($D409-AF$403)^2)</f>
        <v>0.292368703449437</v>
      </c>
      <c r="AG409" s="17" t="n">
        <f aca="false">SQRT(($B409-AG$401)^2+($C409-AG$402)^2+($D409-AG$403)^2)</f>
        <v>7.63252895706721</v>
      </c>
      <c r="AH409" s="17" t="n">
        <f aca="false">SQRT(($B409-AH$401)^2+($C409-AH$402)^2+($D409-AH$403)^2)</f>
        <v>4.49051601052552</v>
      </c>
      <c r="AI409" s="17" t="n">
        <f aca="false">SQRT(($B409-AI$401)^2+($C409-AI$402)^2+($D409-AI$403)^2)</f>
        <v>6.64752795857756</v>
      </c>
      <c r="AJ409" s="17" t="n">
        <f aca="false">SQRT(($B409-AJ$401)^2+($C409-AJ$402)^2+($D409-AJ$403)^2)</f>
        <v>2.18039452339967</v>
      </c>
      <c r="AK409" s="17" t="n">
        <f aca="false">SQRT(($B409-AK$401)^2+($C409-AK$402)^2+($D409-AK$403)^2)</f>
        <v>6.27041267567832</v>
      </c>
      <c r="AL409" s="63" t="n">
        <f aca="false">MATCH(MIN(AF409:AK409),AF409:AK409,0)</f>
        <v>1</v>
      </c>
      <c r="AN409" s="17" t="n">
        <f aca="false">SQRT(($B409-AN$401)^2+($C409-AN$402)^2+($D409-AN$403)^2)</f>
        <v>0.292368703449437</v>
      </c>
      <c r="AO409" s="17" t="n">
        <f aca="false">SQRT(($B409-AO$401)^2+($C409-AO$402)^2+($D409-AO$403)^2)</f>
        <v>7.59742114227689</v>
      </c>
      <c r="AP409" s="17" t="n">
        <f aca="false">SQRT(($B409-AP$401)^2+($C409-AP$402)^2+($D409-AP$403)^2)</f>
        <v>4.51919093236423</v>
      </c>
      <c r="AQ409" s="17" t="n">
        <f aca="false">SQRT(($B409-AQ$401)^2+($C409-AQ$402)^2+($D409-AQ$403)^2)</f>
        <v>6.67472709063902</v>
      </c>
      <c r="AR409" s="17" t="n">
        <f aca="false">SQRT(($B409-AR$401)^2+($C409-AR$402)^2+($D409-AR$403)^2)</f>
        <v>2.18039452339967</v>
      </c>
      <c r="AS409" s="17" t="n">
        <f aca="false">SQRT(($B409-AS$401)^2+($C409-AS$402)^2+($D409-AS$403)^2)</f>
        <v>6.23535074108529</v>
      </c>
      <c r="AT409" s="63" t="n">
        <f aca="false">MATCH(MIN(AN409:AS409),AN409:AS409,0)</f>
        <v>1</v>
      </c>
      <c r="AV409" s="17" t="n">
        <f aca="false">SQRT(($B409-AV$401)^2+($C409-AV$402)^2+($D409-AV$403)^2)</f>
        <v>0.292368703449437</v>
      </c>
      <c r="AW409" s="17" t="n">
        <f aca="false">SQRT(($B409-AW$401)^2+($C409-AW$402)^2+($D409-AW$403)^2)</f>
        <v>7.57388496836855</v>
      </c>
      <c r="AX409" s="17" t="n">
        <f aca="false">SQRT(($B409-AX$401)^2+($C409-AX$402)^2+($D409-AX$403)^2)</f>
        <v>4.51919093236423</v>
      </c>
      <c r="AY409" s="17" t="n">
        <f aca="false">SQRT(($B409-AY$401)^2+($C409-AY$402)^2+($D409-AY$403)^2)</f>
        <v>6.67472709063902</v>
      </c>
      <c r="AZ409" s="17" t="n">
        <f aca="false">SQRT(($B409-AZ$401)^2+($C409-AZ$402)^2+($D409-AZ$403)^2)</f>
        <v>2.18039452339967</v>
      </c>
      <c r="BA409" s="17" t="n">
        <f aca="false">SQRT(($B409-BA$401)^2+($C409-BA$402)^2+($D409-BA$403)^2)</f>
        <v>6.21233825613489</v>
      </c>
      <c r="BB409" s="63" t="n">
        <f aca="false">MATCH(MIN(AV409:BA409),AV409:BA409,0)</f>
        <v>1</v>
      </c>
      <c r="BD409" s="17" t="n">
        <f aca="false">SQRT(($B409-BD$401)^2+($C409-BD$402)^2+($D409-BD$403)^2)</f>
        <v>0.292368703449437</v>
      </c>
      <c r="BE409" s="17" t="n">
        <f aca="false">SQRT(($B409-BE$401)^2+($C409-BE$402)^2+($D409-BE$403)^2)</f>
        <v>7.5516119496393</v>
      </c>
      <c r="BF409" s="17" t="n">
        <f aca="false">SQRT(($B409-BF$401)^2+($C409-BF$402)^2+($D409-BF$403)^2)</f>
        <v>4.51919093236423</v>
      </c>
      <c r="BG409" s="17" t="n">
        <f aca="false">SQRT(($B409-BG$401)^2+($C409-BG$402)^2+($D409-BG$403)^2)</f>
        <v>6.67472709063902</v>
      </c>
      <c r="BH409" s="17" t="n">
        <f aca="false">SQRT(($B409-BH$401)^2+($C409-BH$402)^2+($D409-BH$403)^2)</f>
        <v>2.18039452339967</v>
      </c>
      <c r="BI409" s="17" t="n">
        <f aca="false">SQRT(($B409-BI$401)^2+($C409-BI$402)^2+($D409-BI$403)^2)</f>
        <v>6.18817477357747</v>
      </c>
      <c r="BJ409" s="63" t="n">
        <f aca="false">MATCH(MIN(BD409:BI409),BD409:BI409,0)</f>
        <v>1</v>
      </c>
      <c r="BL409" s="17" t="n">
        <f aca="false">SQRT(($B409-BL$401)^2+($C409-BL$402)^2+($D409-BL$403)^2)</f>
        <v>0.292368703449437</v>
      </c>
      <c r="BM409" s="17" t="n">
        <f aca="false">SQRT(($B409-BM$401)^2+($C409-BM$402)^2+($D409-BM$403)^2)</f>
        <v>7.5516119496393</v>
      </c>
      <c r="BN409" s="17" t="n">
        <f aca="false">SQRT(($B409-BN$401)^2+($C409-BN$402)^2+($D409-BN$403)^2)</f>
        <v>4.51919093236423</v>
      </c>
      <c r="BO409" s="17" t="n">
        <f aca="false">SQRT(($B409-BO$401)^2+($C409-BO$402)^2+($D409-BO$403)^2)</f>
        <v>6.67472709063902</v>
      </c>
      <c r="BP409" s="17" t="n">
        <f aca="false">SQRT(($B409-BP$401)^2+($C409-BP$402)^2+($D409-BP$403)^2)</f>
        <v>2.18039452339967</v>
      </c>
      <c r="BQ409" s="17" t="n">
        <f aca="false">SQRT(($B409-BQ$401)^2+($C409-BQ$402)^2+($D409-BQ$403)^2)</f>
        <v>6.18817477357747</v>
      </c>
      <c r="BR409" s="63" t="n">
        <f aca="false">MATCH(MIN(BL409:BQ409),BL409:BQ409,0)</f>
        <v>1</v>
      </c>
      <c r="BT409" s="17" t="n">
        <f aca="false">SQRT(($B409-BT$401)^2+($C409-BT$402)^2+($D409-BT$403)^2)</f>
        <v>0.292368703449437</v>
      </c>
      <c r="BU409" s="17" t="n">
        <f aca="false">SQRT(($B409-BU$401)^2+($C409-BU$402)^2+($D409-BU$403)^2)</f>
        <v>7.5516119496393</v>
      </c>
      <c r="BV409" s="17" t="n">
        <f aca="false">SQRT(($B409-BV$401)^2+($C409-BV$402)^2+($D409-BV$403)^2)</f>
        <v>4.51919093236423</v>
      </c>
      <c r="BW409" s="17" t="n">
        <f aca="false">SQRT(($B409-BW$401)^2+($C409-BW$402)^2+($D409-BW$403)^2)</f>
        <v>6.67472709063902</v>
      </c>
      <c r="BX409" s="17" t="n">
        <f aca="false">SQRT(($B409-BX$401)^2+($C409-BX$402)^2+($D409-BX$403)^2)</f>
        <v>2.18039452339967</v>
      </c>
      <c r="BY409" s="17" t="n">
        <f aca="false">SQRT(($B409-BY$401)^2+($C409-BY$402)^2+($D409-BY$403)^2)</f>
        <v>6.18817477357747</v>
      </c>
      <c r="BZ409" s="63" t="n">
        <f aca="false">MATCH(MIN(BT409:BY409),BT409:BY409,0)</f>
        <v>1</v>
      </c>
      <c r="CB409" s="17" t="n">
        <f aca="false">SQRT(($B409-CB$401)^2+($C409-CB$402)^2+($D409-CB$403)^2)</f>
        <v>0.292368703449437</v>
      </c>
      <c r="CC409" s="17" t="n">
        <f aca="false">SQRT(($B409-CC$401)^2+($C409-CC$402)^2+($D409-CC$403)^2)</f>
        <v>7.5516119496393</v>
      </c>
      <c r="CD409" s="17" t="n">
        <f aca="false">SQRT(($B409-CD$401)^2+($C409-CD$402)^2+($D409-CD$403)^2)</f>
        <v>4.51919093236423</v>
      </c>
      <c r="CE409" s="17" t="n">
        <f aca="false">SQRT(($B409-CE$401)^2+($C409-CE$402)^2+($D409-CE$403)^2)</f>
        <v>6.67472709063902</v>
      </c>
      <c r="CF409" s="17" t="n">
        <f aca="false">SQRT(($B409-CF$401)^2+($C409-CF$402)^2+($D409-CF$403)^2)</f>
        <v>2.18039452339967</v>
      </c>
      <c r="CG409" s="17" t="n">
        <f aca="false">SQRT(($B409-CG$401)^2+($C409-CG$402)^2+($D409-CG$403)^2)</f>
        <v>6.18817477357747</v>
      </c>
      <c r="CH409" s="63" t="n">
        <f aca="false">MATCH(MIN(CB409:CG409),CB409:CG409,0)</f>
        <v>1</v>
      </c>
      <c r="CJ409" s="17" t="n">
        <f aca="false">SQRT(($B409-CJ$401)^2+($C409-CJ$402)^2+($D409-CJ$403)^2)</f>
        <v>0.292368703449437</v>
      </c>
      <c r="CK409" s="17" t="n">
        <f aca="false">SQRT(($B409-CK$401)^2+($C409-CK$402)^2+($D409-CK$403)^2)</f>
        <v>7.5516119496393</v>
      </c>
      <c r="CL409" s="17" t="n">
        <f aca="false">SQRT(($B409-CL$401)^2+($C409-CL$402)^2+($D409-CL$403)^2)</f>
        <v>4.51919093236423</v>
      </c>
      <c r="CM409" s="17" t="n">
        <f aca="false">SQRT(($B409-CM$401)^2+($C409-CM$402)^2+($D409-CM$403)^2)</f>
        <v>6.67472709063902</v>
      </c>
      <c r="CN409" s="17" t="n">
        <f aca="false">SQRT(($B409-CN$401)^2+($C409-CN$402)^2+($D409-CN$403)^2)</f>
        <v>2.18039452339967</v>
      </c>
      <c r="CO409" s="17" t="n">
        <f aca="false">SQRT(($B409-CO$401)^2+($C409-CO$402)^2+($D409-CO$403)^2)</f>
        <v>6.18817477357747</v>
      </c>
      <c r="CP409" s="63" t="n">
        <f aca="false">MATCH(MIN(CJ409:CO409),CJ409:CO409,0)</f>
        <v>1</v>
      </c>
      <c r="CR409" s="17" t="n">
        <f aca="false">SQRT(($B409-CR$401)^2+($C409-CR$402)^2+($D409-CR$403)^2)</f>
        <v>0.292368703449437</v>
      </c>
      <c r="CS409" s="17" t="n">
        <f aca="false">SQRT(($B409-CS$401)^2+($C409-CS$402)^2+($D409-CS$403)^2)</f>
        <v>7.5516119496393</v>
      </c>
      <c r="CT409" s="17" t="n">
        <f aca="false">SQRT(($B409-CT$401)^2+($C409-CT$402)^2+($D409-CT$403)^2)</f>
        <v>4.51919093236423</v>
      </c>
      <c r="CU409" s="17" t="n">
        <f aca="false">SQRT(($B409-CU$401)^2+($C409-CU$402)^2+($D409-CU$403)^2)</f>
        <v>6.67472709063902</v>
      </c>
      <c r="CV409" s="17" t="n">
        <f aca="false">SQRT(($B409-CV$401)^2+($C409-CV$402)^2+($D409-CV$403)^2)</f>
        <v>2.18039452339967</v>
      </c>
      <c r="CW409" s="17" t="n">
        <f aca="false">SQRT(($B409-CW$401)^2+($C409-CW$402)^2+($D409-CW$403)^2)</f>
        <v>6.18817477357747</v>
      </c>
      <c r="CX409" s="63" t="n">
        <f aca="false">MATCH(MIN(CR409:CW409),CR409:CW409,0)</f>
        <v>1</v>
      </c>
      <c r="CZ409" s="17" t="n">
        <f aca="false">SQRT(($B409-CZ$401)^2+($C409-CZ$402)^2+($D409-CZ$403)^2)</f>
        <v>0.292368703449437</v>
      </c>
      <c r="DA409" s="17" t="n">
        <f aca="false">SQRT(($B409-DA$401)^2+($C409-DA$402)^2+($D409-DA$403)^2)</f>
        <v>7.5516119496393</v>
      </c>
      <c r="DB409" s="17" t="n">
        <f aca="false">SQRT(($B409-DB$401)^2+($C409-DB$402)^2+($D409-DB$403)^2)</f>
        <v>4.51919093236423</v>
      </c>
      <c r="DC409" s="17" t="n">
        <f aca="false">SQRT(($B409-DC$401)^2+($C409-DC$402)^2+($D409-DC$403)^2)</f>
        <v>6.67472709063902</v>
      </c>
      <c r="DD409" s="17" t="n">
        <f aca="false">SQRT(($B409-DD$401)^2+($C409-DD$402)^2+($D409-DD$403)^2)</f>
        <v>2.18039452339967</v>
      </c>
      <c r="DE409" s="17" t="n">
        <f aca="false">SQRT(($B409-DE$401)^2+($C409-DE$402)^2+($D409-DE$403)^2)</f>
        <v>6.18817477357747</v>
      </c>
      <c r="DF409" s="63" t="n">
        <f aca="false">MATCH(MIN(CZ409:DE409),CZ409:DE409,0)</f>
        <v>1</v>
      </c>
      <c r="DH409" s="17" t="n">
        <f aca="false">SQRT(($B409-DH$401)^2+($C409-DH$402)^2+($D409-DH$403)^2)</f>
        <v>0.292368703449437</v>
      </c>
      <c r="DI409" s="17" t="n">
        <f aca="false">SQRT(($B409-DI$401)^2+($C409-DI$402)^2+($D409-DI$403)^2)</f>
        <v>7.5516119496393</v>
      </c>
      <c r="DJ409" s="17" t="n">
        <f aca="false">SQRT(($B409-DJ$401)^2+($C409-DJ$402)^2+($D409-DJ$403)^2)</f>
        <v>4.51919093236423</v>
      </c>
      <c r="DK409" s="17" t="n">
        <f aca="false">SQRT(($B409-DK$401)^2+($C409-DK$402)^2+($D409-DK$403)^2)</f>
        <v>6.67472709063902</v>
      </c>
      <c r="DL409" s="17" t="n">
        <f aca="false">SQRT(($B409-DL$401)^2+($C409-DL$402)^2+($D409-DL$403)^2)</f>
        <v>2.18039452339967</v>
      </c>
      <c r="DM409" s="17" t="n">
        <f aca="false">SQRT(($B409-DM$401)^2+($C409-DM$402)^2+($D409-DM$403)^2)</f>
        <v>6.18817477357747</v>
      </c>
      <c r="DN409" s="63" t="n">
        <f aca="false">MATCH(MIN(DH409:DM409),DH409:DM409,0)</f>
        <v>1</v>
      </c>
    </row>
    <row r="410" customFormat="false" ht="15" hidden="false" customHeight="false" outlineLevel="0" collapsed="false">
      <c r="A410" s="36" t="str">
        <f aca="false">KMeans_Data!A7</f>
        <v>Quetta</v>
      </c>
      <c r="B410" s="17" t="n">
        <f aca="false">KMeans_Data!H7</f>
        <v>2.36453191227648</v>
      </c>
      <c r="C410" s="17" t="n">
        <f aca="false">KMeans_Data!I7</f>
        <v>2.29414072853602</v>
      </c>
      <c r="D410" s="17" t="n">
        <f aca="false">KMeans_Data!J7</f>
        <v>2.37235556681649</v>
      </c>
      <c r="E410" s="63" t="n">
        <f aca="false">DN410</f>
        <v>5</v>
      </c>
      <c r="F410" s="38" t="n">
        <f aca="false">($B410-INDEX($L$401:$Q$401,E410))^2+($C410-INDEX($L$402:$Q$402,E410))^2+($D410-INDEX($L$403:$Q$403,E410))^2</f>
        <v>0.474313980209362</v>
      </c>
      <c r="G410" s="17" t="n">
        <f aca="false">IF(COUNTIF(Distance_Matrix!$E$12:$DQ$12,$E410)&lt;=1,0,SUMIF(Distance_Matrix!$E$12:$DQ$12,$E410,Distance_Matrix!$E$16:$DQ$16)/(COUNTIF(Distance_Matrix!$E$12:$DQ$12,$E410)-1))</f>
        <v>1.15935482950773</v>
      </c>
      <c r="H410" s="17" t="n">
        <f aca="false">MIN(IF(1=$E410,1E+099,IF(COUNTIF(Distance_Matrix!$E$12:$DQ$12,1)=0,1E+099,SUMIF(Distance_Matrix!$E$12:$DQ$12,1,Distance_Matrix!$E$16:$DQ$16)/COUNTIF(Distance_Matrix!$E$12:$DQ$12,1))),IF(2=$E410,1E+099,IF(COUNTIF(Distance_Matrix!$E$12:$DQ$12,2)=0,1E+099,SUMIF(Distance_Matrix!$E$12:$DQ$12,2,Distance_Matrix!$E$16:$DQ$16)/COUNTIF(Distance_Matrix!$E$12:$DQ$12,2))),IF(3=$E410,1E+099,IF(COUNTIF(Distance_Matrix!$E$12:$DQ$12,3)=0,1E+099,SUMIF(Distance_Matrix!$E$12:$DQ$12,3,Distance_Matrix!$E$16:$DQ$16)/COUNTIF(Distance_Matrix!$E$12:$DQ$12,3))),IF(4=$E410,1E+099,IF(COUNTIF(Distance_Matrix!$E$12:$DQ$12,4)=0,1E+099,SUMIF(Distance_Matrix!$E$12:$DQ$12,4,Distance_Matrix!$E$16:$DQ$16)/COUNTIF(Distance_Matrix!$E$12:$DQ$12,4))),IF(5=$E410,1E+099,IF(COUNTIF(Distance_Matrix!$E$12:$DQ$12,5)=0,1E+099,SUMIF(Distance_Matrix!$E$12:$DQ$12,5,Distance_Matrix!$E$16:$DQ$16)/COUNTIF(Distance_Matrix!$E$12:$DQ$12,5))),IF(6=$E410,1E+099,IF(COUNTIF(Distance_Matrix!$E$12:$DQ$12,6)=0,1E+099,SUMIF(Distance_Matrix!$E$12:$DQ$12,6,Distance_Matrix!$E$16:$DQ$16)/COUNTIF(Distance_Matrix!$E$12:$DQ$12,6))))</f>
        <v>2.12051992112428</v>
      </c>
      <c r="I410" s="17" t="n">
        <f aca="false">IF(COUNTIF(Distance_Matrix!$E$12:$DQ$12,$E410)&lt;=1,0,(H410-G410)/MAX(G410,H410))</f>
        <v>0.453268597970516</v>
      </c>
      <c r="X410" s="17" t="n">
        <f aca="false">SQRT(($B410-X$401)^2+($C410-X$402)^2+($D410-X$403)^2)</f>
        <v>2.15562975043914</v>
      </c>
      <c r="Y410" s="17" t="n">
        <f aca="false">SQRT(($B410-Y$401)^2+($C410-Y$402)^2+($D410-Y$403)^2)</f>
        <v>6.3976329314131</v>
      </c>
      <c r="Z410" s="17" t="n">
        <f aca="false">SQRT(($B410-Z$401)^2+($C410-Z$402)^2+($D410-Z$403)^2)</f>
        <v>2.49878681858911</v>
      </c>
      <c r="AA410" s="17" t="n">
        <f aca="false">SQRT(($B410-AA$401)^2+($C410-AA$402)^2+($D410-AA$403)^2)</f>
        <v>4.61409614564319</v>
      </c>
      <c r="AB410" s="17" t="n">
        <f aca="false">SQRT(($B410-AB$401)^2+($C410-AB$402)^2+($D410-AB$403)^2)</f>
        <v>0</v>
      </c>
      <c r="AC410" s="17" t="n">
        <f aca="false">SQRT(($B410-AC$401)^2+($C410-AC$402)^2+($D410-AC$403)^2)</f>
        <v>4.29294656900473</v>
      </c>
      <c r="AD410" s="63" t="n">
        <f aca="false">MATCH(MIN(X410:AC410),X410:AC410,0)</f>
        <v>5</v>
      </c>
      <c r="AF410" s="17" t="n">
        <f aca="false">SQRT(($B410-AF$401)^2+($C410-AF$402)^2+($D410-AF$403)^2)</f>
        <v>2.10056134812643</v>
      </c>
      <c r="AG410" s="17" t="n">
        <f aca="false">SQRT(($B410-AG$401)^2+($C410-AG$402)^2+($D410-AG$403)^2)</f>
        <v>5.85443588543</v>
      </c>
      <c r="AH410" s="17" t="n">
        <f aca="false">SQRT(($B410-AH$401)^2+($C410-AH$402)^2+($D410-AH$403)^2)</f>
        <v>2.58729772537277</v>
      </c>
      <c r="AI410" s="17" t="n">
        <f aca="false">SQRT(($B410-AI$401)^2+($C410-AI$402)^2+($D410-AI$403)^2)</f>
        <v>4.83413485344606</v>
      </c>
      <c r="AJ410" s="17" t="n">
        <f aca="false">SQRT(($B410-AJ$401)^2+($C410-AJ$402)^2+($D410-AJ$403)^2)</f>
        <v>0.688704566711563</v>
      </c>
      <c r="AK410" s="17" t="n">
        <f aca="false">SQRT(($B410-AK$401)^2+($C410-AK$402)^2+($D410-AK$403)^2)</f>
        <v>4.35411249730162</v>
      </c>
      <c r="AL410" s="63" t="n">
        <f aca="false">MATCH(MIN(AF410:AK410),AF410:AK410,0)</f>
        <v>5</v>
      </c>
      <c r="AN410" s="17" t="n">
        <f aca="false">SQRT(($B410-AN$401)^2+($C410-AN$402)^2+($D410-AN$403)^2)</f>
        <v>2.10056134812643</v>
      </c>
      <c r="AO410" s="17" t="n">
        <f aca="false">SQRT(($B410-AO$401)^2+($C410-AO$402)^2+($D410-AO$403)^2)</f>
        <v>5.81566815652618</v>
      </c>
      <c r="AP410" s="17" t="n">
        <f aca="false">SQRT(($B410-AP$401)^2+($C410-AP$402)^2+($D410-AP$403)^2)</f>
        <v>2.61848650859198</v>
      </c>
      <c r="AQ410" s="17" t="n">
        <f aca="false">SQRT(($B410-AQ$401)^2+($C410-AQ$402)^2+($D410-AQ$403)^2)</f>
        <v>4.85845089678473</v>
      </c>
      <c r="AR410" s="17" t="n">
        <f aca="false">SQRT(($B410-AR$401)^2+($C410-AR$402)^2+($D410-AR$403)^2)</f>
        <v>0.688704566711563</v>
      </c>
      <c r="AS410" s="17" t="n">
        <f aca="false">SQRT(($B410-AS$401)^2+($C410-AS$402)^2+($D410-AS$403)^2)</f>
        <v>4.31552172354994</v>
      </c>
      <c r="AT410" s="63" t="n">
        <f aca="false">MATCH(MIN(AN410:AS410),AN410:AS410,0)</f>
        <v>5</v>
      </c>
      <c r="AV410" s="17" t="n">
        <f aca="false">SQRT(($B410-AV$401)^2+($C410-AV$402)^2+($D410-AV$403)^2)</f>
        <v>2.10056134812643</v>
      </c>
      <c r="AW410" s="17" t="n">
        <f aca="false">SQRT(($B410-AW$401)^2+($C410-AW$402)^2+($D410-AW$403)^2)</f>
        <v>5.78890091245534</v>
      </c>
      <c r="AX410" s="17" t="n">
        <f aca="false">SQRT(($B410-AX$401)^2+($C410-AX$402)^2+($D410-AX$403)^2)</f>
        <v>2.61848650859198</v>
      </c>
      <c r="AY410" s="17" t="n">
        <f aca="false">SQRT(($B410-AY$401)^2+($C410-AY$402)^2+($D410-AY$403)^2)</f>
        <v>4.85845089678473</v>
      </c>
      <c r="AZ410" s="17" t="n">
        <f aca="false">SQRT(($B410-AZ$401)^2+($C410-AZ$402)^2+($D410-AZ$403)^2)</f>
        <v>0.688704566711563</v>
      </c>
      <c r="BA410" s="17" t="n">
        <f aca="false">SQRT(($B410-BA$401)^2+($C410-BA$402)^2+($D410-BA$403)^2)</f>
        <v>4.29081215613501</v>
      </c>
      <c r="BB410" s="63" t="n">
        <f aca="false">MATCH(MIN(AV410:BA410),AV410:BA410,0)</f>
        <v>5</v>
      </c>
      <c r="BD410" s="17" t="n">
        <f aca="false">SQRT(($B410-BD$401)^2+($C410-BD$402)^2+($D410-BD$403)^2)</f>
        <v>2.10056134812643</v>
      </c>
      <c r="BE410" s="17" t="n">
        <f aca="false">SQRT(($B410-BE$401)^2+($C410-BE$402)^2+($D410-BE$403)^2)</f>
        <v>5.76337160033341</v>
      </c>
      <c r="BF410" s="17" t="n">
        <f aca="false">SQRT(($B410-BF$401)^2+($C410-BF$402)^2+($D410-BF$403)^2)</f>
        <v>2.61848650859198</v>
      </c>
      <c r="BG410" s="17" t="n">
        <f aca="false">SQRT(($B410-BG$401)^2+($C410-BG$402)^2+($D410-BG$403)^2)</f>
        <v>4.85845089678473</v>
      </c>
      <c r="BH410" s="17" t="n">
        <f aca="false">SQRT(($B410-BH$401)^2+($C410-BH$402)^2+($D410-BH$403)^2)</f>
        <v>0.688704566711563</v>
      </c>
      <c r="BI410" s="17" t="n">
        <f aca="false">SQRT(($B410-BI$401)^2+($C410-BI$402)^2+($D410-BI$403)^2)</f>
        <v>4.26505737713983</v>
      </c>
      <c r="BJ410" s="63" t="n">
        <f aca="false">MATCH(MIN(BD410:BI410),BD410:BI410,0)</f>
        <v>5</v>
      </c>
      <c r="BL410" s="17" t="n">
        <f aca="false">SQRT(($B410-BL$401)^2+($C410-BL$402)^2+($D410-BL$403)^2)</f>
        <v>2.10056134812643</v>
      </c>
      <c r="BM410" s="17" t="n">
        <f aca="false">SQRT(($B410-BM$401)^2+($C410-BM$402)^2+($D410-BM$403)^2)</f>
        <v>5.76337160033341</v>
      </c>
      <c r="BN410" s="17" t="n">
        <f aca="false">SQRT(($B410-BN$401)^2+($C410-BN$402)^2+($D410-BN$403)^2)</f>
        <v>2.61848650859198</v>
      </c>
      <c r="BO410" s="17" t="n">
        <f aca="false">SQRT(($B410-BO$401)^2+($C410-BO$402)^2+($D410-BO$403)^2)</f>
        <v>4.85845089678473</v>
      </c>
      <c r="BP410" s="17" t="n">
        <f aca="false">SQRT(($B410-BP$401)^2+($C410-BP$402)^2+($D410-BP$403)^2)</f>
        <v>0.688704566711563</v>
      </c>
      <c r="BQ410" s="17" t="n">
        <f aca="false">SQRT(($B410-BQ$401)^2+($C410-BQ$402)^2+($D410-BQ$403)^2)</f>
        <v>4.26505737713983</v>
      </c>
      <c r="BR410" s="63" t="n">
        <f aca="false">MATCH(MIN(BL410:BQ410),BL410:BQ410,0)</f>
        <v>5</v>
      </c>
      <c r="BT410" s="17" t="n">
        <f aca="false">SQRT(($B410-BT$401)^2+($C410-BT$402)^2+($D410-BT$403)^2)</f>
        <v>2.10056134812643</v>
      </c>
      <c r="BU410" s="17" t="n">
        <f aca="false">SQRT(($B410-BU$401)^2+($C410-BU$402)^2+($D410-BU$403)^2)</f>
        <v>5.76337160033341</v>
      </c>
      <c r="BV410" s="17" t="n">
        <f aca="false">SQRT(($B410-BV$401)^2+($C410-BV$402)^2+($D410-BV$403)^2)</f>
        <v>2.61848650859198</v>
      </c>
      <c r="BW410" s="17" t="n">
        <f aca="false">SQRT(($B410-BW$401)^2+($C410-BW$402)^2+($D410-BW$403)^2)</f>
        <v>4.85845089678473</v>
      </c>
      <c r="BX410" s="17" t="n">
        <f aca="false">SQRT(($B410-BX$401)^2+($C410-BX$402)^2+($D410-BX$403)^2)</f>
        <v>0.688704566711563</v>
      </c>
      <c r="BY410" s="17" t="n">
        <f aca="false">SQRT(($B410-BY$401)^2+($C410-BY$402)^2+($D410-BY$403)^2)</f>
        <v>4.26505737713983</v>
      </c>
      <c r="BZ410" s="63" t="n">
        <f aca="false">MATCH(MIN(BT410:BY410),BT410:BY410,0)</f>
        <v>5</v>
      </c>
      <c r="CB410" s="17" t="n">
        <f aca="false">SQRT(($B410-CB$401)^2+($C410-CB$402)^2+($D410-CB$403)^2)</f>
        <v>2.10056134812643</v>
      </c>
      <c r="CC410" s="17" t="n">
        <f aca="false">SQRT(($B410-CC$401)^2+($C410-CC$402)^2+($D410-CC$403)^2)</f>
        <v>5.76337160033341</v>
      </c>
      <c r="CD410" s="17" t="n">
        <f aca="false">SQRT(($B410-CD$401)^2+($C410-CD$402)^2+($D410-CD$403)^2)</f>
        <v>2.61848650859198</v>
      </c>
      <c r="CE410" s="17" t="n">
        <f aca="false">SQRT(($B410-CE$401)^2+($C410-CE$402)^2+($D410-CE$403)^2)</f>
        <v>4.85845089678473</v>
      </c>
      <c r="CF410" s="17" t="n">
        <f aca="false">SQRT(($B410-CF$401)^2+($C410-CF$402)^2+($D410-CF$403)^2)</f>
        <v>0.688704566711563</v>
      </c>
      <c r="CG410" s="17" t="n">
        <f aca="false">SQRT(($B410-CG$401)^2+($C410-CG$402)^2+($D410-CG$403)^2)</f>
        <v>4.26505737713983</v>
      </c>
      <c r="CH410" s="63" t="n">
        <f aca="false">MATCH(MIN(CB410:CG410),CB410:CG410,0)</f>
        <v>5</v>
      </c>
      <c r="CJ410" s="17" t="n">
        <f aca="false">SQRT(($B410-CJ$401)^2+($C410-CJ$402)^2+($D410-CJ$403)^2)</f>
        <v>2.10056134812643</v>
      </c>
      <c r="CK410" s="17" t="n">
        <f aca="false">SQRT(($B410-CK$401)^2+($C410-CK$402)^2+($D410-CK$403)^2)</f>
        <v>5.76337160033341</v>
      </c>
      <c r="CL410" s="17" t="n">
        <f aca="false">SQRT(($B410-CL$401)^2+($C410-CL$402)^2+($D410-CL$403)^2)</f>
        <v>2.61848650859198</v>
      </c>
      <c r="CM410" s="17" t="n">
        <f aca="false">SQRT(($B410-CM$401)^2+($C410-CM$402)^2+($D410-CM$403)^2)</f>
        <v>4.85845089678473</v>
      </c>
      <c r="CN410" s="17" t="n">
        <f aca="false">SQRT(($B410-CN$401)^2+($C410-CN$402)^2+($D410-CN$403)^2)</f>
        <v>0.688704566711563</v>
      </c>
      <c r="CO410" s="17" t="n">
        <f aca="false">SQRT(($B410-CO$401)^2+($C410-CO$402)^2+($D410-CO$403)^2)</f>
        <v>4.26505737713983</v>
      </c>
      <c r="CP410" s="63" t="n">
        <f aca="false">MATCH(MIN(CJ410:CO410),CJ410:CO410,0)</f>
        <v>5</v>
      </c>
      <c r="CR410" s="17" t="n">
        <f aca="false">SQRT(($B410-CR$401)^2+($C410-CR$402)^2+($D410-CR$403)^2)</f>
        <v>2.10056134812643</v>
      </c>
      <c r="CS410" s="17" t="n">
        <f aca="false">SQRT(($B410-CS$401)^2+($C410-CS$402)^2+($D410-CS$403)^2)</f>
        <v>5.76337160033341</v>
      </c>
      <c r="CT410" s="17" t="n">
        <f aca="false">SQRT(($B410-CT$401)^2+($C410-CT$402)^2+($D410-CT$403)^2)</f>
        <v>2.61848650859198</v>
      </c>
      <c r="CU410" s="17" t="n">
        <f aca="false">SQRT(($B410-CU$401)^2+($C410-CU$402)^2+($D410-CU$403)^2)</f>
        <v>4.85845089678473</v>
      </c>
      <c r="CV410" s="17" t="n">
        <f aca="false">SQRT(($B410-CV$401)^2+($C410-CV$402)^2+($D410-CV$403)^2)</f>
        <v>0.688704566711563</v>
      </c>
      <c r="CW410" s="17" t="n">
        <f aca="false">SQRT(($B410-CW$401)^2+($C410-CW$402)^2+($D410-CW$403)^2)</f>
        <v>4.26505737713983</v>
      </c>
      <c r="CX410" s="63" t="n">
        <f aca="false">MATCH(MIN(CR410:CW410),CR410:CW410,0)</f>
        <v>5</v>
      </c>
      <c r="CZ410" s="17" t="n">
        <f aca="false">SQRT(($B410-CZ$401)^2+($C410-CZ$402)^2+($D410-CZ$403)^2)</f>
        <v>2.10056134812643</v>
      </c>
      <c r="DA410" s="17" t="n">
        <f aca="false">SQRT(($B410-DA$401)^2+($C410-DA$402)^2+($D410-DA$403)^2)</f>
        <v>5.76337160033341</v>
      </c>
      <c r="DB410" s="17" t="n">
        <f aca="false">SQRT(($B410-DB$401)^2+($C410-DB$402)^2+($D410-DB$403)^2)</f>
        <v>2.61848650859198</v>
      </c>
      <c r="DC410" s="17" t="n">
        <f aca="false">SQRT(($B410-DC$401)^2+($C410-DC$402)^2+($D410-DC$403)^2)</f>
        <v>4.85845089678473</v>
      </c>
      <c r="DD410" s="17" t="n">
        <f aca="false">SQRT(($B410-DD$401)^2+($C410-DD$402)^2+($D410-DD$403)^2)</f>
        <v>0.688704566711563</v>
      </c>
      <c r="DE410" s="17" t="n">
        <f aca="false">SQRT(($B410-DE$401)^2+($C410-DE$402)^2+($D410-DE$403)^2)</f>
        <v>4.26505737713983</v>
      </c>
      <c r="DF410" s="63" t="n">
        <f aca="false">MATCH(MIN(CZ410:DE410),CZ410:DE410,0)</f>
        <v>5</v>
      </c>
      <c r="DH410" s="17" t="n">
        <f aca="false">SQRT(($B410-DH$401)^2+($C410-DH$402)^2+($D410-DH$403)^2)</f>
        <v>2.10056134812643</v>
      </c>
      <c r="DI410" s="17" t="n">
        <f aca="false">SQRT(($B410-DI$401)^2+($C410-DI$402)^2+($D410-DI$403)^2)</f>
        <v>5.76337160033341</v>
      </c>
      <c r="DJ410" s="17" t="n">
        <f aca="false">SQRT(($B410-DJ$401)^2+($C410-DJ$402)^2+($D410-DJ$403)^2)</f>
        <v>2.61848650859198</v>
      </c>
      <c r="DK410" s="17" t="n">
        <f aca="false">SQRT(($B410-DK$401)^2+($C410-DK$402)^2+($D410-DK$403)^2)</f>
        <v>4.85845089678473</v>
      </c>
      <c r="DL410" s="17" t="n">
        <f aca="false">SQRT(($B410-DL$401)^2+($C410-DL$402)^2+($D410-DL$403)^2)</f>
        <v>0.688704566711563</v>
      </c>
      <c r="DM410" s="17" t="n">
        <f aca="false">SQRT(($B410-DM$401)^2+($C410-DM$402)^2+($D410-DM$403)^2)</f>
        <v>4.26505737713983</v>
      </c>
      <c r="DN410" s="63" t="n">
        <f aca="false">MATCH(MIN(DH410:DM410),DH410:DM410,0)</f>
        <v>5</v>
      </c>
    </row>
    <row r="411" customFormat="false" ht="15" hidden="false" customHeight="false" outlineLevel="0" collapsed="false">
      <c r="A411" s="36" t="str">
        <f aca="false">KMeans_Data!A8</f>
        <v>Peshawar</v>
      </c>
      <c r="B411" s="17" t="n">
        <f aca="false">KMeans_Data!H8</f>
        <v>2.345233823008</v>
      </c>
      <c r="C411" s="17" t="n">
        <f aca="false">KMeans_Data!I8</f>
        <v>3.56174892105073</v>
      </c>
      <c r="D411" s="17" t="n">
        <f aca="false">KMeans_Data!J8</f>
        <v>1.6399224296702</v>
      </c>
      <c r="E411" s="63" t="n">
        <f aca="false">DN411</f>
        <v>5</v>
      </c>
      <c r="F411" s="38" t="n">
        <f aca="false">($B411-INDEX($L$401:$Q$401,E411))^2+($C411-INDEX($L$402:$Q$402,E411))^2+($D411-INDEX($L$403:$Q$403,E411))^2</f>
        <v>1.13299565223576</v>
      </c>
      <c r="G411" s="17" t="n">
        <f aca="false">IF(COUNTIF(Distance_Matrix!$E$12:$DQ$12,$E411)&lt;=1,0,SUMIF(Distance_Matrix!$E$12:$DQ$12,$E411,Distance_Matrix!$E$17:$DQ$17)/(COUNTIF(Distance_Matrix!$E$12:$DQ$12,$E411)-1))</f>
        <v>1.52111382912925</v>
      </c>
      <c r="H411" s="17" t="n">
        <f aca="false">MIN(IF(1=$E411,1E+099,IF(COUNTIF(Distance_Matrix!$E$12:$DQ$12,1)=0,1E+099,SUMIF(Distance_Matrix!$E$12:$DQ$12,1,Distance_Matrix!$E$17:$DQ$17)/COUNTIF(Distance_Matrix!$E$12:$DQ$12,1))),IF(2=$E411,1E+099,IF(COUNTIF(Distance_Matrix!$E$12:$DQ$12,2)=0,1E+099,SUMIF(Distance_Matrix!$E$12:$DQ$12,2,Distance_Matrix!$E$17:$DQ$17)/COUNTIF(Distance_Matrix!$E$12:$DQ$12,2))),IF(3=$E411,1E+099,IF(COUNTIF(Distance_Matrix!$E$12:$DQ$12,3)=0,1E+099,SUMIF(Distance_Matrix!$E$12:$DQ$12,3,Distance_Matrix!$E$17:$DQ$17)/COUNTIF(Distance_Matrix!$E$12:$DQ$12,3))),IF(4=$E411,1E+099,IF(COUNTIF(Distance_Matrix!$E$12:$DQ$12,4)=0,1E+099,SUMIF(Distance_Matrix!$E$12:$DQ$12,4,Distance_Matrix!$E$17:$DQ$17)/COUNTIF(Distance_Matrix!$E$12:$DQ$12,4))),IF(5=$E411,1E+099,IF(COUNTIF(Distance_Matrix!$E$12:$DQ$12,5)=0,1E+099,SUMIF(Distance_Matrix!$E$12:$DQ$12,5,Distance_Matrix!$E$17:$DQ$17)/COUNTIF(Distance_Matrix!$E$12:$DQ$12,5))),IF(6=$E411,1E+099,IF(COUNTIF(Distance_Matrix!$E$12:$DQ$12,6)=0,1E+099,SUMIF(Distance_Matrix!$E$12:$DQ$12,6,Distance_Matrix!$E$17:$DQ$17)/COUNTIF(Distance_Matrix!$E$12:$DQ$12,6))))</f>
        <v>1.71168846097721</v>
      </c>
      <c r="I411" s="17" t="n">
        <f aca="false">IF(COUNTIF(Distance_Matrix!$E$12:$DQ$12,$E411)&lt;=1,0,(H411-G411)/MAX(G411,H411))</f>
        <v>0.111337218303826</v>
      </c>
      <c r="X411" s="17" t="n">
        <f aca="false">SQRT(($B411-X$401)^2+($C411-X$402)^2+($D411-X$403)^2)</f>
        <v>1.92143186127921</v>
      </c>
      <c r="Y411" s="17" t="n">
        <f aca="false">SQRT(($B411-Y$401)^2+($C411-Y$402)^2+($D411-Y$403)^2)</f>
        <v>6.7282906668016</v>
      </c>
      <c r="Z411" s="17" t="n">
        <f aca="false">SQRT(($B411-Z$401)^2+($C411-Z$402)^2+($D411-Z$403)^2)</f>
        <v>3.44546531545124</v>
      </c>
      <c r="AA411" s="17" t="n">
        <f aca="false">SQRT(($B411-AA$401)^2+($C411-AA$402)^2+($D411-AA$403)^2)</f>
        <v>4.93989688451137</v>
      </c>
      <c r="AB411" s="17" t="n">
        <f aca="false">SQRT(($B411-AB$401)^2+($C411-AB$402)^2+($D411-AB$403)^2)</f>
        <v>1.46412473729863</v>
      </c>
      <c r="AC411" s="17" t="n">
        <f aca="false">SQRT(($B411-AC$401)^2+($C411-AC$402)^2+($D411-AC$403)^2)</f>
        <v>4.90803577982371</v>
      </c>
      <c r="AD411" s="63" t="n">
        <f aca="false">MATCH(MIN(X411:AC411),X411:AC411,0)</f>
        <v>5</v>
      </c>
      <c r="AF411" s="17" t="n">
        <f aca="false">SQRT(($B411-AF$401)^2+($C411-AF$402)^2+($D411-AF$403)^2)</f>
        <v>1.69952647012515</v>
      </c>
      <c r="AG411" s="17" t="n">
        <f aca="false">SQRT(($B411-AG$401)^2+($C411-AG$402)^2+($D411-AG$403)^2)</f>
        <v>6.21766017277636</v>
      </c>
      <c r="AH411" s="17" t="n">
        <f aca="false">SQRT(($B411-AH$401)^2+($C411-AH$402)^2+($D411-AH$403)^2)</f>
        <v>3.2206677403152</v>
      </c>
      <c r="AI411" s="17" t="n">
        <f aca="false">SQRT(($B411-AI$401)^2+($C411-AI$402)^2+($D411-AI$403)^2)</f>
        <v>5.27989514714308</v>
      </c>
      <c r="AJ411" s="17" t="n">
        <f aca="false">SQRT(($B411-AJ$401)^2+($C411-AJ$402)^2+($D411-AJ$403)^2)</f>
        <v>1.06442268494981</v>
      </c>
      <c r="AK411" s="17" t="n">
        <f aca="false">SQRT(($B411-AK$401)^2+($C411-AK$402)^2+($D411-AK$403)^2)</f>
        <v>4.95782122884082</v>
      </c>
      <c r="AL411" s="63" t="n">
        <f aca="false">MATCH(MIN(AF411:AK411),AF411:AK411,0)</f>
        <v>5</v>
      </c>
      <c r="AN411" s="17" t="n">
        <f aca="false">SQRT(($B411-AN$401)^2+($C411-AN$402)^2+($D411-AN$403)^2)</f>
        <v>1.69952647012515</v>
      </c>
      <c r="AO411" s="17" t="n">
        <f aca="false">SQRT(($B411-AO$401)^2+($C411-AO$402)^2+($D411-AO$403)^2)</f>
        <v>6.18424884082263</v>
      </c>
      <c r="AP411" s="17" t="n">
        <f aca="false">SQRT(($B411-AP$401)^2+($C411-AP$402)^2+($D411-AP$403)^2)</f>
        <v>3.24609262404163</v>
      </c>
      <c r="AQ411" s="17" t="n">
        <f aca="false">SQRT(($B411-AQ$401)^2+($C411-AQ$402)^2+($D411-AQ$403)^2)</f>
        <v>5.30859095436259</v>
      </c>
      <c r="AR411" s="17" t="n">
        <f aca="false">SQRT(($B411-AR$401)^2+($C411-AR$402)^2+($D411-AR$403)^2)</f>
        <v>1.06442268494981</v>
      </c>
      <c r="AS411" s="17" t="n">
        <f aca="false">SQRT(($B411-AS$401)^2+($C411-AS$402)^2+($D411-AS$403)^2)</f>
        <v>4.92612822883273</v>
      </c>
      <c r="AT411" s="63" t="n">
        <f aca="false">MATCH(MIN(AN411:AS411),AN411:AS411,0)</f>
        <v>5</v>
      </c>
      <c r="AV411" s="17" t="n">
        <f aca="false">SQRT(($B411-AV$401)^2+($C411-AV$402)^2+($D411-AV$403)^2)</f>
        <v>1.69952647012515</v>
      </c>
      <c r="AW411" s="17" t="n">
        <f aca="false">SQRT(($B411-AW$401)^2+($C411-AW$402)^2+($D411-AW$403)^2)</f>
        <v>6.1623913926909</v>
      </c>
      <c r="AX411" s="17" t="n">
        <f aca="false">SQRT(($B411-AX$401)^2+($C411-AX$402)^2+($D411-AX$403)^2)</f>
        <v>3.24609262404163</v>
      </c>
      <c r="AY411" s="17" t="n">
        <f aca="false">SQRT(($B411-AY$401)^2+($C411-AY$402)^2+($D411-AY$403)^2)</f>
        <v>5.30859095436259</v>
      </c>
      <c r="AZ411" s="17" t="n">
        <f aca="false">SQRT(($B411-AZ$401)^2+($C411-AZ$402)^2+($D411-AZ$403)^2)</f>
        <v>1.06442268494981</v>
      </c>
      <c r="BA411" s="17" t="n">
        <f aca="false">SQRT(($B411-BA$401)^2+($C411-BA$402)^2+($D411-BA$403)^2)</f>
        <v>4.90499148482811</v>
      </c>
      <c r="BB411" s="63" t="n">
        <f aca="false">MATCH(MIN(AV411:BA411),AV411:BA411,0)</f>
        <v>5</v>
      </c>
      <c r="BD411" s="17" t="n">
        <f aca="false">SQRT(($B411-BD$401)^2+($C411-BD$402)^2+($D411-BD$403)^2)</f>
        <v>1.69952647012515</v>
      </c>
      <c r="BE411" s="17" t="n">
        <f aca="false">SQRT(($B411-BE$401)^2+($C411-BE$402)^2+($D411-BE$403)^2)</f>
        <v>6.14185659281483</v>
      </c>
      <c r="BF411" s="17" t="n">
        <f aca="false">SQRT(($B411-BF$401)^2+($C411-BF$402)^2+($D411-BF$403)^2)</f>
        <v>3.24609262404163</v>
      </c>
      <c r="BG411" s="17" t="n">
        <f aca="false">SQRT(($B411-BG$401)^2+($C411-BG$402)^2+($D411-BG$403)^2)</f>
        <v>5.30859095436259</v>
      </c>
      <c r="BH411" s="17" t="n">
        <f aca="false">SQRT(($B411-BH$401)^2+($C411-BH$402)^2+($D411-BH$403)^2)</f>
        <v>1.06442268494981</v>
      </c>
      <c r="BI411" s="17" t="n">
        <f aca="false">SQRT(($B411-BI$401)^2+($C411-BI$402)^2+($D411-BI$403)^2)</f>
        <v>4.8826159755791</v>
      </c>
      <c r="BJ411" s="63" t="n">
        <f aca="false">MATCH(MIN(BD411:BI411),BD411:BI411,0)</f>
        <v>5</v>
      </c>
      <c r="BL411" s="17" t="n">
        <f aca="false">SQRT(($B411-BL$401)^2+($C411-BL$402)^2+($D411-BL$403)^2)</f>
        <v>1.69952647012515</v>
      </c>
      <c r="BM411" s="17" t="n">
        <f aca="false">SQRT(($B411-BM$401)^2+($C411-BM$402)^2+($D411-BM$403)^2)</f>
        <v>6.14185659281483</v>
      </c>
      <c r="BN411" s="17" t="n">
        <f aca="false">SQRT(($B411-BN$401)^2+($C411-BN$402)^2+($D411-BN$403)^2)</f>
        <v>3.24609262404163</v>
      </c>
      <c r="BO411" s="17" t="n">
        <f aca="false">SQRT(($B411-BO$401)^2+($C411-BO$402)^2+($D411-BO$403)^2)</f>
        <v>5.30859095436259</v>
      </c>
      <c r="BP411" s="17" t="n">
        <f aca="false">SQRT(($B411-BP$401)^2+($C411-BP$402)^2+($D411-BP$403)^2)</f>
        <v>1.06442268494981</v>
      </c>
      <c r="BQ411" s="17" t="n">
        <f aca="false">SQRT(($B411-BQ$401)^2+($C411-BQ$402)^2+($D411-BQ$403)^2)</f>
        <v>4.8826159755791</v>
      </c>
      <c r="BR411" s="63" t="n">
        <f aca="false">MATCH(MIN(BL411:BQ411),BL411:BQ411,0)</f>
        <v>5</v>
      </c>
      <c r="BT411" s="17" t="n">
        <f aca="false">SQRT(($B411-BT$401)^2+($C411-BT$402)^2+($D411-BT$403)^2)</f>
        <v>1.69952647012515</v>
      </c>
      <c r="BU411" s="17" t="n">
        <f aca="false">SQRT(($B411-BU$401)^2+($C411-BU$402)^2+($D411-BU$403)^2)</f>
        <v>6.14185659281483</v>
      </c>
      <c r="BV411" s="17" t="n">
        <f aca="false">SQRT(($B411-BV$401)^2+($C411-BV$402)^2+($D411-BV$403)^2)</f>
        <v>3.24609262404163</v>
      </c>
      <c r="BW411" s="17" t="n">
        <f aca="false">SQRT(($B411-BW$401)^2+($C411-BW$402)^2+($D411-BW$403)^2)</f>
        <v>5.30859095436259</v>
      </c>
      <c r="BX411" s="17" t="n">
        <f aca="false">SQRT(($B411-BX$401)^2+($C411-BX$402)^2+($D411-BX$403)^2)</f>
        <v>1.06442268494981</v>
      </c>
      <c r="BY411" s="17" t="n">
        <f aca="false">SQRT(($B411-BY$401)^2+($C411-BY$402)^2+($D411-BY$403)^2)</f>
        <v>4.8826159755791</v>
      </c>
      <c r="BZ411" s="63" t="n">
        <f aca="false">MATCH(MIN(BT411:BY411),BT411:BY411,0)</f>
        <v>5</v>
      </c>
      <c r="CB411" s="17" t="n">
        <f aca="false">SQRT(($B411-CB$401)^2+($C411-CB$402)^2+($D411-CB$403)^2)</f>
        <v>1.69952647012515</v>
      </c>
      <c r="CC411" s="17" t="n">
        <f aca="false">SQRT(($B411-CC$401)^2+($C411-CC$402)^2+($D411-CC$403)^2)</f>
        <v>6.14185659281483</v>
      </c>
      <c r="CD411" s="17" t="n">
        <f aca="false">SQRT(($B411-CD$401)^2+($C411-CD$402)^2+($D411-CD$403)^2)</f>
        <v>3.24609262404163</v>
      </c>
      <c r="CE411" s="17" t="n">
        <f aca="false">SQRT(($B411-CE$401)^2+($C411-CE$402)^2+($D411-CE$403)^2)</f>
        <v>5.30859095436259</v>
      </c>
      <c r="CF411" s="17" t="n">
        <f aca="false">SQRT(($B411-CF$401)^2+($C411-CF$402)^2+($D411-CF$403)^2)</f>
        <v>1.06442268494981</v>
      </c>
      <c r="CG411" s="17" t="n">
        <f aca="false">SQRT(($B411-CG$401)^2+($C411-CG$402)^2+($D411-CG$403)^2)</f>
        <v>4.8826159755791</v>
      </c>
      <c r="CH411" s="63" t="n">
        <f aca="false">MATCH(MIN(CB411:CG411),CB411:CG411,0)</f>
        <v>5</v>
      </c>
      <c r="CJ411" s="17" t="n">
        <f aca="false">SQRT(($B411-CJ$401)^2+($C411-CJ$402)^2+($D411-CJ$403)^2)</f>
        <v>1.69952647012515</v>
      </c>
      <c r="CK411" s="17" t="n">
        <f aca="false">SQRT(($B411-CK$401)^2+($C411-CK$402)^2+($D411-CK$403)^2)</f>
        <v>6.14185659281483</v>
      </c>
      <c r="CL411" s="17" t="n">
        <f aca="false">SQRT(($B411-CL$401)^2+($C411-CL$402)^2+($D411-CL$403)^2)</f>
        <v>3.24609262404163</v>
      </c>
      <c r="CM411" s="17" t="n">
        <f aca="false">SQRT(($B411-CM$401)^2+($C411-CM$402)^2+($D411-CM$403)^2)</f>
        <v>5.30859095436259</v>
      </c>
      <c r="CN411" s="17" t="n">
        <f aca="false">SQRT(($B411-CN$401)^2+($C411-CN$402)^2+($D411-CN$403)^2)</f>
        <v>1.06442268494981</v>
      </c>
      <c r="CO411" s="17" t="n">
        <f aca="false">SQRT(($B411-CO$401)^2+($C411-CO$402)^2+($D411-CO$403)^2)</f>
        <v>4.8826159755791</v>
      </c>
      <c r="CP411" s="63" t="n">
        <f aca="false">MATCH(MIN(CJ411:CO411),CJ411:CO411,0)</f>
        <v>5</v>
      </c>
      <c r="CR411" s="17" t="n">
        <f aca="false">SQRT(($B411-CR$401)^2+($C411-CR$402)^2+($D411-CR$403)^2)</f>
        <v>1.69952647012515</v>
      </c>
      <c r="CS411" s="17" t="n">
        <f aca="false">SQRT(($B411-CS$401)^2+($C411-CS$402)^2+($D411-CS$403)^2)</f>
        <v>6.14185659281483</v>
      </c>
      <c r="CT411" s="17" t="n">
        <f aca="false">SQRT(($B411-CT$401)^2+($C411-CT$402)^2+($D411-CT$403)^2)</f>
        <v>3.24609262404163</v>
      </c>
      <c r="CU411" s="17" t="n">
        <f aca="false">SQRT(($B411-CU$401)^2+($C411-CU$402)^2+($D411-CU$403)^2)</f>
        <v>5.30859095436259</v>
      </c>
      <c r="CV411" s="17" t="n">
        <f aca="false">SQRT(($B411-CV$401)^2+($C411-CV$402)^2+($D411-CV$403)^2)</f>
        <v>1.06442268494981</v>
      </c>
      <c r="CW411" s="17" t="n">
        <f aca="false">SQRT(($B411-CW$401)^2+($C411-CW$402)^2+($D411-CW$403)^2)</f>
        <v>4.8826159755791</v>
      </c>
      <c r="CX411" s="63" t="n">
        <f aca="false">MATCH(MIN(CR411:CW411),CR411:CW411,0)</f>
        <v>5</v>
      </c>
      <c r="CZ411" s="17" t="n">
        <f aca="false">SQRT(($B411-CZ$401)^2+($C411-CZ$402)^2+($D411-CZ$403)^2)</f>
        <v>1.69952647012515</v>
      </c>
      <c r="DA411" s="17" t="n">
        <f aca="false">SQRT(($B411-DA$401)^2+($C411-DA$402)^2+($D411-DA$403)^2)</f>
        <v>6.14185659281483</v>
      </c>
      <c r="DB411" s="17" t="n">
        <f aca="false">SQRT(($B411-DB$401)^2+($C411-DB$402)^2+($D411-DB$403)^2)</f>
        <v>3.24609262404163</v>
      </c>
      <c r="DC411" s="17" t="n">
        <f aca="false">SQRT(($B411-DC$401)^2+($C411-DC$402)^2+($D411-DC$403)^2)</f>
        <v>5.30859095436259</v>
      </c>
      <c r="DD411" s="17" t="n">
        <f aca="false">SQRT(($B411-DD$401)^2+($C411-DD$402)^2+($D411-DD$403)^2)</f>
        <v>1.06442268494981</v>
      </c>
      <c r="DE411" s="17" t="n">
        <f aca="false">SQRT(($B411-DE$401)^2+($C411-DE$402)^2+($D411-DE$403)^2)</f>
        <v>4.8826159755791</v>
      </c>
      <c r="DF411" s="63" t="n">
        <f aca="false">MATCH(MIN(CZ411:DE411),CZ411:DE411,0)</f>
        <v>5</v>
      </c>
      <c r="DH411" s="17" t="n">
        <f aca="false">SQRT(($B411-DH$401)^2+($C411-DH$402)^2+($D411-DH$403)^2)</f>
        <v>1.69952647012515</v>
      </c>
      <c r="DI411" s="17" t="n">
        <f aca="false">SQRT(($B411-DI$401)^2+($C411-DI$402)^2+($D411-DI$403)^2)</f>
        <v>6.14185659281483</v>
      </c>
      <c r="DJ411" s="17" t="n">
        <f aca="false">SQRT(($B411-DJ$401)^2+($C411-DJ$402)^2+($D411-DJ$403)^2)</f>
        <v>3.24609262404163</v>
      </c>
      <c r="DK411" s="17" t="n">
        <f aca="false">SQRT(($B411-DK$401)^2+($C411-DK$402)^2+($D411-DK$403)^2)</f>
        <v>5.30859095436259</v>
      </c>
      <c r="DL411" s="17" t="n">
        <f aca="false">SQRT(($B411-DL$401)^2+($C411-DL$402)^2+($D411-DL$403)^2)</f>
        <v>1.06442268494981</v>
      </c>
      <c r="DM411" s="17" t="n">
        <f aca="false">SQRT(($B411-DM$401)^2+($C411-DM$402)^2+($D411-DM$403)^2)</f>
        <v>4.8826159755791</v>
      </c>
      <c r="DN411" s="63" t="n">
        <f aca="false">MATCH(MIN(DH411:DM411),DH411:DM411,0)</f>
        <v>5</v>
      </c>
    </row>
    <row r="412" customFormat="false" ht="15" hidden="false" customHeight="false" outlineLevel="0" collapsed="false">
      <c r="A412" s="36" t="str">
        <f aca="false">KMeans_Data!A9</f>
        <v>Islamabad</v>
      </c>
      <c r="B412" s="17" t="n">
        <f aca="false">KMeans_Data!H9</f>
        <v>2.1711238504828</v>
      </c>
      <c r="C412" s="17" t="n">
        <f aca="false">KMeans_Data!I9</f>
        <v>2.06578932043694</v>
      </c>
      <c r="D412" s="17" t="n">
        <f aca="false">KMeans_Data!J9</f>
        <v>1.69651676359603</v>
      </c>
      <c r="E412" s="63" t="n">
        <f aca="false">DN412</f>
        <v>5</v>
      </c>
      <c r="F412" s="38" t="n">
        <f aca="false">($B412-INDEX($L$401:$Q$401,E412))^2+($C412-INDEX($L$402:$Q$402,E412))^2+($D412-INDEX($L$403:$Q$403,E412))^2</f>
        <v>0.23750136942052</v>
      </c>
      <c r="G412" s="17" t="n">
        <f aca="false">IF(COUNTIF(Distance_Matrix!$E$12:$DQ$12,$E412)&lt;=1,0,SUMIF(Distance_Matrix!$E$12:$DQ$12,$E412,Distance_Matrix!$E$18:$DQ$18)/(COUNTIF(Distance_Matrix!$E$12:$DQ$12,$E412)-1))</f>
        <v>0.995988545203325</v>
      </c>
      <c r="H412" s="17" t="n">
        <f aca="false">MIN(IF(1=$E412,1E+099,IF(COUNTIF(Distance_Matrix!$E$12:$DQ$12,1)=0,1E+099,SUMIF(Distance_Matrix!$E$12:$DQ$12,1,Distance_Matrix!$E$18:$DQ$18)/COUNTIF(Distance_Matrix!$E$12:$DQ$12,1))),IF(2=$E412,1E+099,IF(COUNTIF(Distance_Matrix!$E$12:$DQ$12,2)=0,1E+099,SUMIF(Distance_Matrix!$E$12:$DQ$12,2,Distance_Matrix!$E$18:$DQ$18)/COUNTIF(Distance_Matrix!$E$12:$DQ$12,2))),IF(3=$E412,1E+099,IF(COUNTIF(Distance_Matrix!$E$12:$DQ$12,3)=0,1E+099,SUMIF(Distance_Matrix!$E$12:$DQ$12,3,Distance_Matrix!$E$18:$DQ$18)/COUNTIF(Distance_Matrix!$E$12:$DQ$12,3))),IF(4=$E412,1E+099,IF(COUNTIF(Distance_Matrix!$E$12:$DQ$12,4)=0,1E+099,SUMIF(Distance_Matrix!$E$12:$DQ$12,4,Distance_Matrix!$E$18:$DQ$18)/COUNTIF(Distance_Matrix!$E$12:$DQ$12,4))),IF(5=$E412,1E+099,IF(COUNTIF(Distance_Matrix!$E$12:$DQ$12,5)=0,1E+099,SUMIF(Distance_Matrix!$E$12:$DQ$12,5,Distance_Matrix!$E$18:$DQ$18)/COUNTIF(Distance_Matrix!$E$12:$DQ$12,5))),IF(6=$E412,1E+099,IF(COUNTIF(Distance_Matrix!$E$12:$DQ$12,6)=0,1E+099,SUMIF(Distance_Matrix!$E$12:$DQ$12,6,Distance_Matrix!$E$18:$DQ$18)/COUNTIF(Distance_Matrix!$E$12:$DQ$12,6))))</f>
        <v>2.10412888521062</v>
      </c>
      <c r="I412" s="17" t="n">
        <f aca="false">IF(COUNTIF(Distance_Matrix!$E$12:$DQ$12,$E412)&lt;=1,0,(H412-G412)/MAX(G412,H412))</f>
        <v>0.526650409961161</v>
      </c>
      <c r="X412" s="17" t="n">
        <f aca="false">SQRT(($B412-X$401)^2+($C412-X$402)^2+($D412-X$403)^2)</f>
        <v>2.74440135734622</v>
      </c>
      <c r="Y412" s="17" t="n">
        <f aca="false">SQRT(($B412-Y$401)^2+($C412-Y$402)^2+($D412-Y$403)^2)</f>
        <v>5.80058252965424</v>
      </c>
      <c r="Z412" s="17" t="n">
        <f aca="false">SQRT(($B412-Z$401)^2+($C412-Z$402)^2+($D412-Z$403)^2)</f>
        <v>2.04521955558325</v>
      </c>
      <c r="AA412" s="17" t="n">
        <f aca="false">SQRT(($B412-AA$401)^2+($C412-AA$402)^2+($D412-AA$403)^2)</f>
        <v>3.9116800125412</v>
      </c>
      <c r="AB412" s="17" t="n">
        <f aca="false">SQRT(($B412-AB$401)^2+($C412-AB$402)^2+($D412-AB$403)^2)</f>
        <v>0.73912727718985</v>
      </c>
      <c r="AC412" s="17" t="n">
        <f aca="false">SQRT(($B412-AC$401)^2+($C412-AC$402)^2+($D412-AC$403)^2)</f>
        <v>3.78363780881503</v>
      </c>
      <c r="AD412" s="63" t="n">
        <f aca="false">MATCH(MIN(X412:AC412),X412:AC412,0)</f>
        <v>5</v>
      </c>
      <c r="AF412" s="17" t="n">
        <f aca="false">SQRT(($B412-AF$401)^2+($C412-AF$402)^2+($D412-AF$403)^2)</f>
        <v>2.63304253791242</v>
      </c>
      <c r="AG412" s="17" t="n">
        <f aca="false">SQRT(($B412-AG$401)^2+($C412-AG$402)^2+($D412-AG$403)^2)</f>
        <v>5.23098263764366</v>
      </c>
      <c r="AH412" s="17" t="n">
        <f aca="false">SQRT(($B412-AH$401)^2+($C412-AH$402)^2+($D412-AH$403)^2)</f>
        <v>2.00760414866254</v>
      </c>
      <c r="AI412" s="17" t="n">
        <f aca="false">SQRT(($B412-AI$401)^2+($C412-AI$402)^2+($D412-AI$403)^2)</f>
        <v>4.17132148187898</v>
      </c>
      <c r="AJ412" s="17" t="n">
        <f aca="false">SQRT(($B412-AJ$401)^2+($C412-AJ$402)^2+($D412-AJ$403)^2)</f>
        <v>0.487341122234232</v>
      </c>
      <c r="AK412" s="17" t="n">
        <f aca="false">SQRT(($B412-AK$401)^2+($C412-AK$402)^2+($D412-AK$403)^2)</f>
        <v>3.77984465830003</v>
      </c>
      <c r="AL412" s="63" t="n">
        <f aca="false">MATCH(MIN(AF412:AK412),AF412:AK412,0)</f>
        <v>5</v>
      </c>
      <c r="AN412" s="17" t="n">
        <f aca="false">SQRT(($B412-AN$401)^2+($C412-AN$402)^2+($D412-AN$403)^2)</f>
        <v>2.63304253791242</v>
      </c>
      <c r="AO412" s="17" t="n">
        <f aca="false">SQRT(($B412-AO$401)^2+($C412-AO$402)^2+($D412-AO$403)^2)</f>
        <v>5.19189501348661</v>
      </c>
      <c r="AP412" s="17" t="n">
        <f aca="false">SQRT(($B412-AP$401)^2+($C412-AP$402)^2+($D412-AP$403)^2)</f>
        <v>2.03883729520031</v>
      </c>
      <c r="AQ412" s="17" t="n">
        <f aca="false">SQRT(($B412-AQ$401)^2+($C412-AQ$402)^2+($D412-AQ$403)^2)</f>
        <v>4.196625022215</v>
      </c>
      <c r="AR412" s="17" t="n">
        <f aca="false">SQRT(($B412-AR$401)^2+($C412-AR$402)^2+($D412-AR$403)^2)</f>
        <v>0.487341122234232</v>
      </c>
      <c r="AS412" s="17" t="n">
        <f aca="false">SQRT(($B412-AS$401)^2+($C412-AS$402)^2+($D412-AS$403)^2)</f>
        <v>3.74179147873206</v>
      </c>
      <c r="AT412" s="63" t="n">
        <f aca="false">MATCH(MIN(AN412:AS412),AN412:AS412,0)</f>
        <v>5</v>
      </c>
      <c r="AV412" s="17" t="n">
        <f aca="false">SQRT(($B412-AV$401)^2+($C412-AV$402)^2+($D412-AV$403)^2)</f>
        <v>2.63304253791242</v>
      </c>
      <c r="AW412" s="17" t="n">
        <f aca="false">SQRT(($B412-AW$401)^2+($C412-AW$402)^2+($D412-AW$403)^2)</f>
        <v>5.16595946951316</v>
      </c>
      <c r="AX412" s="17" t="n">
        <f aca="false">SQRT(($B412-AX$401)^2+($C412-AX$402)^2+($D412-AX$403)^2)</f>
        <v>2.03883729520031</v>
      </c>
      <c r="AY412" s="17" t="n">
        <f aca="false">SQRT(($B412-AY$401)^2+($C412-AY$402)^2+($D412-AY$403)^2)</f>
        <v>4.196625022215</v>
      </c>
      <c r="AZ412" s="17" t="n">
        <f aca="false">SQRT(($B412-AZ$401)^2+($C412-AZ$402)^2+($D412-AZ$403)^2)</f>
        <v>0.487341122234232</v>
      </c>
      <c r="BA412" s="17" t="n">
        <f aca="false">SQRT(($B412-BA$401)^2+($C412-BA$402)^2+($D412-BA$403)^2)</f>
        <v>3.7179631245237</v>
      </c>
      <c r="BB412" s="63" t="n">
        <f aca="false">MATCH(MIN(AV412:BA412),AV412:BA412,0)</f>
        <v>5</v>
      </c>
      <c r="BD412" s="17" t="n">
        <f aca="false">SQRT(($B412-BD$401)^2+($C412-BD$402)^2+($D412-BD$403)^2)</f>
        <v>2.63304253791242</v>
      </c>
      <c r="BE412" s="17" t="n">
        <f aca="false">SQRT(($B412-BE$401)^2+($C412-BE$402)^2+($D412-BE$403)^2)</f>
        <v>5.14146594966856</v>
      </c>
      <c r="BF412" s="17" t="n">
        <f aca="false">SQRT(($B412-BF$401)^2+($C412-BF$402)^2+($D412-BF$403)^2)</f>
        <v>2.03883729520031</v>
      </c>
      <c r="BG412" s="17" t="n">
        <f aca="false">SQRT(($B412-BG$401)^2+($C412-BG$402)^2+($D412-BG$403)^2)</f>
        <v>4.196625022215</v>
      </c>
      <c r="BH412" s="17" t="n">
        <f aca="false">SQRT(($B412-BH$401)^2+($C412-BH$402)^2+($D412-BH$403)^2)</f>
        <v>0.487341122234232</v>
      </c>
      <c r="BI412" s="17" t="n">
        <f aca="false">SQRT(($B412-BI$401)^2+($C412-BI$402)^2+($D412-BI$403)^2)</f>
        <v>3.69282556947125</v>
      </c>
      <c r="BJ412" s="63" t="n">
        <f aca="false">MATCH(MIN(BD412:BI412),BD412:BI412,0)</f>
        <v>5</v>
      </c>
      <c r="BL412" s="17" t="n">
        <f aca="false">SQRT(($B412-BL$401)^2+($C412-BL$402)^2+($D412-BL$403)^2)</f>
        <v>2.63304253791242</v>
      </c>
      <c r="BM412" s="17" t="n">
        <f aca="false">SQRT(($B412-BM$401)^2+($C412-BM$402)^2+($D412-BM$403)^2)</f>
        <v>5.14146594966856</v>
      </c>
      <c r="BN412" s="17" t="n">
        <f aca="false">SQRT(($B412-BN$401)^2+($C412-BN$402)^2+($D412-BN$403)^2)</f>
        <v>2.03883729520031</v>
      </c>
      <c r="BO412" s="17" t="n">
        <f aca="false">SQRT(($B412-BO$401)^2+($C412-BO$402)^2+($D412-BO$403)^2)</f>
        <v>4.196625022215</v>
      </c>
      <c r="BP412" s="17" t="n">
        <f aca="false">SQRT(($B412-BP$401)^2+($C412-BP$402)^2+($D412-BP$403)^2)</f>
        <v>0.487341122234232</v>
      </c>
      <c r="BQ412" s="17" t="n">
        <f aca="false">SQRT(($B412-BQ$401)^2+($C412-BQ$402)^2+($D412-BQ$403)^2)</f>
        <v>3.69282556947125</v>
      </c>
      <c r="BR412" s="63" t="n">
        <f aca="false">MATCH(MIN(BL412:BQ412),BL412:BQ412,0)</f>
        <v>5</v>
      </c>
      <c r="BT412" s="17" t="n">
        <f aca="false">SQRT(($B412-BT$401)^2+($C412-BT$402)^2+($D412-BT$403)^2)</f>
        <v>2.63304253791242</v>
      </c>
      <c r="BU412" s="17" t="n">
        <f aca="false">SQRT(($B412-BU$401)^2+($C412-BU$402)^2+($D412-BU$403)^2)</f>
        <v>5.14146594966856</v>
      </c>
      <c r="BV412" s="17" t="n">
        <f aca="false">SQRT(($B412-BV$401)^2+($C412-BV$402)^2+($D412-BV$403)^2)</f>
        <v>2.03883729520031</v>
      </c>
      <c r="BW412" s="17" t="n">
        <f aca="false">SQRT(($B412-BW$401)^2+($C412-BW$402)^2+($D412-BW$403)^2)</f>
        <v>4.196625022215</v>
      </c>
      <c r="BX412" s="17" t="n">
        <f aca="false">SQRT(($B412-BX$401)^2+($C412-BX$402)^2+($D412-BX$403)^2)</f>
        <v>0.487341122234232</v>
      </c>
      <c r="BY412" s="17" t="n">
        <f aca="false">SQRT(($B412-BY$401)^2+($C412-BY$402)^2+($D412-BY$403)^2)</f>
        <v>3.69282556947125</v>
      </c>
      <c r="BZ412" s="63" t="n">
        <f aca="false">MATCH(MIN(BT412:BY412),BT412:BY412,0)</f>
        <v>5</v>
      </c>
      <c r="CB412" s="17" t="n">
        <f aca="false">SQRT(($B412-CB$401)^2+($C412-CB$402)^2+($D412-CB$403)^2)</f>
        <v>2.63304253791242</v>
      </c>
      <c r="CC412" s="17" t="n">
        <f aca="false">SQRT(($B412-CC$401)^2+($C412-CC$402)^2+($D412-CC$403)^2)</f>
        <v>5.14146594966856</v>
      </c>
      <c r="CD412" s="17" t="n">
        <f aca="false">SQRT(($B412-CD$401)^2+($C412-CD$402)^2+($D412-CD$403)^2)</f>
        <v>2.03883729520031</v>
      </c>
      <c r="CE412" s="17" t="n">
        <f aca="false">SQRT(($B412-CE$401)^2+($C412-CE$402)^2+($D412-CE$403)^2)</f>
        <v>4.196625022215</v>
      </c>
      <c r="CF412" s="17" t="n">
        <f aca="false">SQRT(($B412-CF$401)^2+($C412-CF$402)^2+($D412-CF$403)^2)</f>
        <v>0.487341122234232</v>
      </c>
      <c r="CG412" s="17" t="n">
        <f aca="false">SQRT(($B412-CG$401)^2+($C412-CG$402)^2+($D412-CG$403)^2)</f>
        <v>3.69282556947125</v>
      </c>
      <c r="CH412" s="63" t="n">
        <f aca="false">MATCH(MIN(CB412:CG412),CB412:CG412,0)</f>
        <v>5</v>
      </c>
      <c r="CJ412" s="17" t="n">
        <f aca="false">SQRT(($B412-CJ$401)^2+($C412-CJ$402)^2+($D412-CJ$403)^2)</f>
        <v>2.63304253791242</v>
      </c>
      <c r="CK412" s="17" t="n">
        <f aca="false">SQRT(($B412-CK$401)^2+($C412-CK$402)^2+($D412-CK$403)^2)</f>
        <v>5.14146594966856</v>
      </c>
      <c r="CL412" s="17" t="n">
        <f aca="false">SQRT(($B412-CL$401)^2+($C412-CL$402)^2+($D412-CL$403)^2)</f>
        <v>2.03883729520031</v>
      </c>
      <c r="CM412" s="17" t="n">
        <f aca="false">SQRT(($B412-CM$401)^2+($C412-CM$402)^2+($D412-CM$403)^2)</f>
        <v>4.196625022215</v>
      </c>
      <c r="CN412" s="17" t="n">
        <f aca="false">SQRT(($B412-CN$401)^2+($C412-CN$402)^2+($D412-CN$403)^2)</f>
        <v>0.487341122234232</v>
      </c>
      <c r="CO412" s="17" t="n">
        <f aca="false">SQRT(($B412-CO$401)^2+($C412-CO$402)^2+($D412-CO$403)^2)</f>
        <v>3.69282556947125</v>
      </c>
      <c r="CP412" s="63" t="n">
        <f aca="false">MATCH(MIN(CJ412:CO412),CJ412:CO412,0)</f>
        <v>5</v>
      </c>
      <c r="CR412" s="17" t="n">
        <f aca="false">SQRT(($B412-CR$401)^2+($C412-CR$402)^2+($D412-CR$403)^2)</f>
        <v>2.63304253791242</v>
      </c>
      <c r="CS412" s="17" t="n">
        <f aca="false">SQRT(($B412-CS$401)^2+($C412-CS$402)^2+($D412-CS$403)^2)</f>
        <v>5.14146594966856</v>
      </c>
      <c r="CT412" s="17" t="n">
        <f aca="false">SQRT(($B412-CT$401)^2+($C412-CT$402)^2+($D412-CT$403)^2)</f>
        <v>2.03883729520031</v>
      </c>
      <c r="CU412" s="17" t="n">
        <f aca="false">SQRT(($B412-CU$401)^2+($C412-CU$402)^2+($D412-CU$403)^2)</f>
        <v>4.196625022215</v>
      </c>
      <c r="CV412" s="17" t="n">
        <f aca="false">SQRT(($B412-CV$401)^2+($C412-CV$402)^2+($D412-CV$403)^2)</f>
        <v>0.487341122234232</v>
      </c>
      <c r="CW412" s="17" t="n">
        <f aca="false">SQRT(($B412-CW$401)^2+($C412-CW$402)^2+($D412-CW$403)^2)</f>
        <v>3.69282556947125</v>
      </c>
      <c r="CX412" s="63" t="n">
        <f aca="false">MATCH(MIN(CR412:CW412),CR412:CW412,0)</f>
        <v>5</v>
      </c>
      <c r="CZ412" s="17" t="n">
        <f aca="false">SQRT(($B412-CZ$401)^2+($C412-CZ$402)^2+($D412-CZ$403)^2)</f>
        <v>2.63304253791242</v>
      </c>
      <c r="DA412" s="17" t="n">
        <f aca="false">SQRT(($B412-DA$401)^2+($C412-DA$402)^2+($D412-DA$403)^2)</f>
        <v>5.14146594966856</v>
      </c>
      <c r="DB412" s="17" t="n">
        <f aca="false">SQRT(($B412-DB$401)^2+($C412-DB$402)^2+($D412-DB$403)^2)</f>
        <v>2.03883729520031</v>
      </c>
      <c r="DC412" s="17" t="n">
        <f aca="false">SQRT(($B412-DC$401)^2+($C412-DC$402)^2+($D412-DC$403)^2)</f>
        <v>4.196625022215</v>
      </c>
      <c r="DD412" s="17" t="n">
        <f aca="false">SQRT(($B412-DD$401)^2+($C412-DD$402)^2+($D412-DD$403)^2)</f>
        <v>0.487341122234232</v>
      </c>
      <c r="DE412" s="17" t="n">
        <f aca="false">SQRT(($B412-DE$401)^2+($C412-DE$402)^2+($D412-DE$403)^2)</f>
        <v>3.69282556947125</v>
      </c>
      <c r="DF412" s="63" t="n">
        <f aca="false">MATCH(MIN(CZ412:DE412),CZ412:DE412,0)</f>
        <v>5</v>
      </c>
      <c r="DH412" s="17" t="n">
        <f aca="false">SQRT(($B412-DH$401)^2+($C412-DH$402)^2+($D412-DH$403)^2)</f>
        <v>2.63304253791242</v>
      </c>
      <c r="DI412" s="17" t="n">
        <f aca="false">SQRT(($B412-DI$401)^2+($C412-DI$402)^2+($D412-DI$403)^2)</f>
        <v>5.14146594966856</v>
      </c>
      <c r="DJ412" s="17" t="n">
        <f aca="false">SQRT(($B412-DJ$401)^2+($C412-DJ$402)^2+($D412-DJ$403)^2)</f>
        <v>2.03883729520031</v>
      </c>
      <c r="DK412" s="17" t="n">
        <f aca="false">SQRT(($B412-DK$401)^2+($C412-DK$402)^2+($D412-DK$403)^2)</f>
        <v>4.196625022215</v>
      </c>
      <c r="DL412" s="17" t="n">
        <f aca="false">SQRT(($B412-DL$401)^2+($C412-DL$402)^2+($D412-DL$403)^2)</f>
        <v>0.487341122234232</v>
      </c>
      <c r="DM412" s="17" t="n">
        <f aca="false">SQRT(($B412-DM$401)^2+($C412-DM$402)^2+($D412-DM$403)^2)</f>
        <v>3.69282556947125</v>
      </c>
      <c r="DN412" s="63" t="n">
        <f aca="false">MATCH(MIN(DH412:DM412),DH412:DM412,0)</f>
        <v>5</v>
      </c>
    </row>
    <row r="413" customFormat="false" ht="15" hidden="false" customHeight="false" outlineLevel="0" collapsed="false">
      <c r="A413" s="36" t="str">
        <f aca="false">KMeans_Data!A10</f>
        <v>Swat</v>
      </c>
      <c r="B413" s="17" t="n">
        <f aca="false">KMeans_Data!H10</f>
        <v>1.49375246664447</v>
      </c>
      <c r="C413" s="17" t="n">
        <f aca="false">KMeans_Data!I10</f>
        <v>2.23090597008422</v>
      </c>
      <c r="D413" s="17" t="n">
        <f aca="false">KMeans_Data!J10</f>
        <v>1.44343610510691</v>
      </c>
      <c r="E413" s="63" t="n">
        <f aca="false">DN413</f>
        <v>5</v>
      </c>
      <c r="F413" s="38" t="n">
        <f aca="false">($B413-INDEX($L$401:$Q$401,E413))^2+($C413-INDEX($L$402:$Q$402,E413))^2+($D413-INDEX($L$403:$Q$403,E413))^2</f>
        <v>0.573050299507253</v>
      </c>
      <c r="G413" s="17" t="n">
        <f aca="false">IF(COUNTIF(Distance_Matrix!$E$12:$DQ$12,$E413)&lt;=1,0,SUMIF(Distance_Matrix!$E$12:$DQ$12,$E413,Distance_Matrix!$E$19:$DQ$19)/(COUNTIF(Distance_Matrix!$E$12:$DQ$12,$E413)-1))</f>
        <v>1.20287549957758</v>
      </c>
      <c r="H413" s="17" t="n">
        <f aca="false">MIN(IF(1=$E413,1E+099,IF(COUNTIF(Distance_Matrix!$E$12:$DQ$12,1)=0,1E+099,SUMIF(Distance_Matrix!$E$12:$DQ$12,1,Distance_Matrix!$E$19:$DQ$19)/COUNTIF(Distance_Matrix!$E$12:$DQ$12,1))),IF(2=$E413,1E+099,IF(COUNTIF(Distance_Matrix!$E$12:$DQ$12,2)=0,1E+099,SUMIF(Distance_Matrix!$E$12:$DQ$12,2,Distance_Matrix!$E$19:$DQ$19)/COUNTIF(Distance_Matrix!$E$12:$DQ$12,2))),IF(3=$E413,1E+099,IF(COUNTIF(Distance_Matrix!$E$12:$DQ$12,3)=0,1E+099,SUMIF(Distance_Matrix!$E$12:$DQ$12,3,Distance_Matrix!$E$19:$DQ$19)/COUNTIF(Distance_Matrix!$E$12:$DQ$12,3))),IF(4=$E413,1E+099,IF(COUNTIF(Distance_Matrix!$E$12:$DQ$12,4)=0,1E+099,SUMIF(Distance_Matrix!$E$12:$DQ$12,4,Distance_Matrix!$E$19:$DQ$19)/COUNTIF(Distance_Matrix!$E$12:$DQ$12,4))),IF(5=$E413,1E+099,IF(COUNTIF(Distance_Matrix!$E$12:$DQ$12,5)=0,1E+099,SUMIF(Distance_Matrix!$E$12:$DQ$12,5,Distance_Matrix!$E$19:$DQ$19)/COUNTIF(Distance_Matrix!$E$12:$DQ$12,5))),IF(6=$E413,1E+099,IF(COUNTIF(Distance_Matrix!$E$12:$DQ$12,6)=0,1E+099,SUMIF(Distance_Matrix!$E$12:$DQ$12,6,Distance_Matrix!$E$19:$DQ$19)/COUNTIF(Distance_Matrix!$E$12:$DQ$12,6))))</f>
        <v>1.74452945535658</v>
      </c>
      <c r="I413" s="17" t="n">
        <f aca="false">IF(COUNTIF(Distance_Matrix!$E$12:$DQ$12,$E413)&lt;=1,0,(H413-G413)/MAX(G413,H413))</f>
        <v>0.310487136869973</v>
      </c>
      <c r="X413" s="17" t="n">
        <f aca="false">SQRT(($B413-X$401)^2+($C413-X$402)^2+($D413-X$403)^2)</f>
        <v>3.11649342466592</v>
      </c>
      <c r="Y413" s="17" t="n">
        <f aca="false">SQRT(($B413-Y$401)^2+($C413-Y$402)^2+($D413-Y$403)^2)</f>
        <v>5.28240577925859</v>
      </c>
      <c r="Z413" s="17" t="n">
        <f aca="false">SQRT(($B413-Z$401)^2+($C413-Z$402)^2+($D413-Z$403)^2)</f>
        <v>1.90781752145149</v>
      </c>
      <c r="AA413" s="17" t="n">
        <f aca="false">SQRT(($B413-AA$401)^2+($C413-AA$402)^2+($D413-AA$403)^2)</f>
        <v>3.61620404102272</v>
      </c>
      <c r="AB413" s="17" t="n">
        <f aca="false">SQRT(($B413-AB$401)^2+($C413-AB$402)^2+($D413-AB$403)^2)</f>
        <v>1.2748124740347</v>
      </c>
      <c r="AC413" s="17" t="n">
        <f aca="false">SQRT(($B413-AC$401)^2+($C413-AC$402)^2+($D413-AC$403)^2)</f>
        <v>3.3403880745959</v>
      </c>
      <c r="AD413" s="63" t="n">
        <f aca="false">MATCH(MIN(X413:AC413),X413:AC413,0)</f>
        <v>5</v>
      </c>
      <c r="AF413" s="17" t="n">
        <f aca="false">SQRT(($B413-AF$401)^2+($C413-AF$402)^2+($D413-AF$403)^2)</f>
        <v>2.98882037131718</v>
      </c>
      <c r="AG413" s="17" t="n">
        <f aca="false">SQRT(($B413-AG$401)^2+($C413-AG$402)^2+($D413-AG$403)^2)</f>
        <v>4.76091369551321</v>
      </c>
      <c r="AH413" s="17" t="n">
        <f aca="false">SQRT(($B413-AH$401)^2+($C413-AH$402)^2+($D413-AH$403)^2)</f>
        <v>1.64531447303203</v>
      </c>
      <c r="AI413" s="17" t="n">
        <f aca="false">SQRT(($B413-AI$401)^2+($C413-AI$402)^2+($D413-AI$403)^2)</f>
        <v>3.84337778805644</v>
      </c>
      <c r="AJ413" s="17" t="n">
        <f aca="false">SQRT(($B413-AJ$401)^2+($C413-AJ$402)^2+($D413-AJ$403)^2)</f>
        <v>0.757000858326629</v>
      </c>
      <c r="AK413" s="17" t="n">
        <f aca="false">SQRT(($B413-AK$401)^2+($C413-AK$402)^2+($D413-AK$403)^2)</f>
        <v>3.40238041230623</v>
      </c>
      <c r="AL413" s="63" t="n">
        <f aca="false">MATCH(MIN(AF413:AK413),AF413:AK413,0)</f>
        <v>5</v>
      </c>
      <c r="AN413" s="17" t="n">
        <f aca="false">SQRT(($B413-AN$401)^2+($C413-AN$402)^2+($D413-AN$403)^2)</f>
        <v>2.98882037131718</v>
      </c>
      <c r="AO413" s="17" t="n">
        <f aca="false">SQRT(($B413-AO$401)^2+($C413-AO$402)^2+($D413-AO$403)^2)</f>
        <v>4.72529192823733</v>
      </c>
      <c r="AP413" s="17" t="n">
        <f aca="false">SQRT(($B413-AP$401)^2+($C413-AP$402)^2+($D413-AP$403)^2)</f>
        <v>1.67077815968878</v>
      </c>
      <c r="AQ413" s="17" t="n">
        <f aca="false">SQRT(($B413-AQ$401)^2+($C413-AQ$402)^2+($D413-AQ$403)^2)</f>
        <v>3.8707497094031</v>
      </c>
      <c r="AR413" s="17" t="n">
        <f aca="false">SQRT(($B413-AR$401)^2+($C413-AR$402)^2+($D413-AR$403)^2)</f>
        <v>0.757000858326629</v>
      </c>
      <c r="AS413" s="17" t="n">
        <f aca="false">SQRT(($B413-AS$401)^2+($C413-AS$402)^2+($D413-AS$403)^2)</f>
        <v>3.36949269836116</v>
      </c>
      <c r="AT413" s="63" t="n">
        <f aca="false">MATCH(MIN(AN413:AS413),AN413:AS413,0)</f>
        <v>5</v>
      </c>
      <c r="AV413" s="17" t="n">
        <f aca="false">SQRT(($B413-AV$401)^2+($C413-AV$402)^2+($D413-AV$403)^2)</f>
        <v>2.98882037131718</v>
      </c>
      <c r="AW413" s="17" t="n">
        <f aca="false">SQRT(($B413-AW$401)^2+($C413-AW$402)^2+($D413-AW$403)^2)</f>
        <v>4.70093067894458</v>
      </c>
      <c r="AX413" s="17" t="n">
        <f aca="false">SQRT(($B413-AX$401)^2+($C413-AX$402)^2+($D413-AX$403)^2)</f>
        <v>1.67077815968878</v>
      </c>
      <c r="AY413" s="17" t="n">
        <f aca="false">SQRT(($B413-AY$401)^2+($C413-AY$402)^2+($D413-AY$403)^2)</f>
        <v>3.8707497094031</v>
      </c>
      <c r="AZ413" s="17" t="n">
        <f aca="false">SQRT(($B413-AZ$401)^2+($C413-AZ$402)^2+($D413-AZ$403)^2)</f>
        <v>0.757000858326629</v>
      </c>
      <c r="BA413" s="17" t="n">
        <f aca="false">SQRT(($B413-BA$401)^2+($C413-BA$402)^2+($D413-BA$403)^2)</f>
        <v>3.34738621670074</v>
      </c>
      <c r="BB413" s="63" t="n">
        <f aca="false">MATCH(MIN(AV413:BA413),AV413:BA413,0)</f>
        <v>5</v>
      </c>
      <c r="BD413" s="17" t="n">
        <f aca="false">SQRT(($B413-BD$401)^2+($C413-BD$402)^2+($D413-BD$403)^2)</f>
        <v>2.98882037131718</v>
      </c>
      <c r="BE413" s="17" t="n">
        <f aca="false">SQRT(($B413-BE$401)^2+($C413-BE$402)^2+($D413-BE$403)^2)</f>
        <v>4.67778886372691</v>
      </c>
      <c r="BF413" s="17" t="n">
        <f aca="false">SQRT(($B413-BF$401)^2+($C413-BF$402)^2+($D413-BF$403)^2)</f>
        <v>1.67077815968878</v>
      </c>
      <c r="BG413" s="17" t="n">
        <f aca="false">SQRT(($B413-BG$401)^2+($C413-BG$402)^2+($D413-BG$403)^2)</f>
        <v>3.8707497094031</v>
      </c>
      <c r="BH413" s="17" t="n">
        <f aca="false">SQRT(($B413-BH$401)^2+($C413-BH$402)^2+($D413-BH$403)^2)</f>
        <v>0.757000858326629</v>
      </c>
      <c r="BI413" s="17" t="n">
        <f aca="false">SQRT(($B413-BI$401)^2+($C413-BI$402)^2+($D413-BI$403)^2)</f>
        <v>3.3242115712366</v>
      </c>
      <c r="BJ413" s="63" t="n">
        <f aca="false">MATCH(MIN(BD413:BI413),BD413:BI413,0)</f>
        <v>5</v>
      </c>
      <c r="BL413" s="17" t="n">
        <f aca="false">SQRT(($B413-BL$401)^2+($C413-BL$402)^2+($D413-BL$403)^2)</f>
        <v>2.98882037131718</v>
      </c>
      <c r="BM413" s="17" t="n">
        <f aca="false">SQRT(($B413-BM$401)^2+($C413-BM$402)^2+($D413-BM$403)^2)</f>
        <v>4.67778886372691</v>
      </c>
      <c r="BN413" s="17" t="n">
        <f aca="false">SQRT(($B413-BN$401)^2+($C413-BN$402)^2+($D413-BN$403)^2)</f>
        <v>1.67077815968878</v>
      </c>
      <c r="BO413" s="17" t="n">
        <f aca="false">SQRT(($B413-BO$401)^2+($C413-BO$402)^2+($D413-BO$403)^2)</f>
        <v>3.8707497094031</v>
      </c>
      <c r="BP413" s="17" t="n">
        <f aca="false">SQRT(($B413-BP$401)^2+($C413-BP$402)^2+($D413-BP$403)^2)</f>
        <v>0.757000858326629</v>
      </c>
      <c r="BQ413" s="17" t="n">
        <f aca="false">SQRT(($B413-BQ$401)^2+($C413-BQ$402)^2+($D413-BQ$403)^2)</f>
        <v>3.3242115712366</v>
      </c>
      <c r="BR413" s="63" t="n">
        <f aca="false">MATCH(MIN(BL413:BQ413),BL413:BQ413,0)</f>
        <v>5</v>
      </c>
      <c r="BT413" s="17" t="n">
        <f aca="false">SQRT(($B413-BT$401)^2+($C413-BT$402)^2+($D413-BT$403)^2)</f>
        <v>2.98882037131718</v>
      </c>
      <c r="BU413" s="17" t="n">
        <f aca="false">SQRT(($B413-BU$401)^2+($C413-BU$402)^2+($D413-BU$403)^2)</f>
        <v>4.67778886372691</v>
      </c>
      <c r="BV413" s="17" t="n">
        <f aca="false">SQRT(($B413-BV$401)^2+($C413-BV$402)^2+($D413-BV$403)^2)</f>
        <v>1.67077815968878</v>
      </c>
      <c r="BW413" s="17" t="n">
        <f aca="false">SQRT(($B413-BW$401)^2+($C413-BW$402)^2+($D413-BW$403)^2)</f>
        <v>3.8707497094031</v>
      </c>
      <c r="BX413" s="17" t="n">
        <f aca="false">SQRT(($B413-BX$401)^2+($C413-BX$402)^2+($D413-BX$403)^2)</f>
        <v>0.757000858326629</v>
      </c>
      <c r="BY413" s="17" t="n">
        <f aca="false">SQRT(($B413-BY$401)^2+($C413-BY$402)^2+($D413-BY$403)^2)</f>
        <v>3.3242115712366</v>
      </c>
      <c r="BZ413" s="63" t="n">
        <f aca="false">MATCH(MIN(BT413:BY413),BT413:BY413,0)</f>
        <v>5</v>
      </c>
      <c r="CB413" s="17" t="n">
        <f aca="false">SQRT(($B413-CB$401)^2+($C413-CB$402)^2+($D413-CB$403)^2)</f>
        <v>2.98882037131718</v>
      </c>
      <c r="CC413" s="17" t="n">
        <f aca="false">SQRT(($B413-CC$401)^2+($C413-CC$402)^2+($D413-CC$403)^2)</f>
        <v>4.67778886372691</v>
      </c>
      <c r="CD413" s="17" t="n">
        <f aca="false">SQRT(($B413-CD$401)^2+($C413-CD$402)^2+($D413-CD$403)^2)</f>
        <v>1.67077815968878</v>
      </c>
      <c r="CE413" s="17" t="n">
        <f aca="false">SQRT(($B413-CE$401)^2+($C413-CE$402)^2+($D413-CE$403)^2)</f>
        <v>3.8707497094031</v>
      </c>
      <c r="CF413" s="17" t="n">
        <f aca="false">SQRT(($B413-CF$401)^2+($C413-CF$402)^2+($D413-CF$403)^2)</f>
        <v>0.757000858326629</v>
      </c>
      <c r="CG413" s="17" t="n">
        <f aca="false">SQRT(($B413-CG$401)^2+($C413-CG$402)^2+($D413-CG$403)^2)</f>
        <v>3.3242115712366</v>
      </c>
      <c r="CH413" s="63" t="n">
        <f aca="false">MATCH(MIN(CB413:CG413),CB413:CG413,0)</f>
        <v>5</v>
      </c>
      <c r="CJ413" s="17" t="n">
        <f aca="false">SQRT(($B413-CJ$401)^2+($C413-CJ$402)^2+($D413-CJ$403)^2)</f>
        <v>2.98882037131718</v>
      </c>
      <c r="CK413" s="17" t="n">
        <f aca="false">SQRT(($B413-CK$401)^2+($C413-CK$402)^2+($D413-CK$403)^2)</f>
        <v>4.67778886372691</v>
      </c>
      <c r="CL413" s="17" t="n">
        <f aca="false">SQRT(($B413-CL$401)^2+($C413-CL$402)^2+($D413-CL$403)^2)</f>
        <v>1.67077815968878</v>
      </c>
      <c r="CM413" s="17" t="n">
        <f aca="false">SQRT(($B413-CM$401)^2+($C413-CM$402)^2+($D413-CM$403)^2)</f>
        <v>3.8707497094031</v>
      </c>
      <c r="CN413" s="17" t="n">
        <f aca="false">SQRT(($B413-CN$401)^2+($C413-CN$402)^2+($D413-CN$403)^2)</f>
        <v>0.757000858326629</v>
      </c>
      <c r="CO413" s="17" t="n">
        <f aca="false">SQRT(($B413-CO$401)^2+($C413-CO$402)^2+($D413-CO$403)^2)</f>
        <v>3.3242115712366</v>
      </c>
      <c r="CP413" s="63" t="n">
        <f aca="false">MATCH(MIN(CJ413:CO413),CJ413:CO413,0)</f>
        <v>5</v>
      </c>
      <c r="CR413" s="17" t="n">
        <f aca="false">SQRT(($B413-CR$401)^2+($C413-CR$402)^2+($D413-CR$403)^2)</f>
        <v>2.98882037131718</v>
      </c>
      <c r="CS413" s="17" t="n">
        <f aca="false">SQRT(($B413-CS$401)^2+($C413-CS$402)^2+($D413-CS$403)^2)</f>
        <v>4.67778886372691</v>
      </c>
      <c r="CT413" s="17" t="n">
        <f aca="false">SQRT(($B413-CT$401)^2+($C413-CT$402)^2+($D413-CT$403)^2)</f>
        <v>1.67077815968878</v>
      </c>
      <c r="CU413" s="17" t="n">
        <f aca="false">SQRT(($B413-CU$401)^2+($C413-CU$402)^2+($D413-CU$403)^2)</f>
        <v>3.8707497094031</v>
      </c>
      <c r="CV413" s="17" t="n">
        <f aca="false">SQRT(($B413-CV$401)^2+($C413-CV$402)^2+($D413-CV$403)^2)</f>
        <v>0.757000858326629</v>
      </c>
      <c r="CW413" s="17" t="n">
        <f aca="false">SQRT(($B413-CW$401)^2+($C413-CW$402)^2+($D413-CW$403)^2)</f>
        <v>3.3242115712366</v>
      </c>
      <c r="CX413" s="63" t="n">
        <f aca="false">MATCH(MIN(CR413:CW413),CR413:CW413,0)</f>
        <v>5</v>
      </c>
      <c r="CZ413" s="17" t="n">
        <f aca="false">SQRT(($B413-CZ$401)^2+($C413-CZ$402)^2+($D413-CZ$403)^2)</f>
        <v>2.98882037131718</v>
      </c>
      <c r="DA413" s="17" t="n">
        <f aca="false">SQRT(($B413-DA$401)^2+($C413-DA$402)^2+($D413-DA$403)^2)</f>
        <v>4.67778886372691</v>
      </c>
      <c r="DB413" s="17" t="n">
        <f aca="false">SQRT(($B413-DB$401)^2+($C413-DB$402)^2+($D413-DB$403)^2)</f>
        <v>1.67077815968878</v>
      </c>
      <c r="DC413" s="17" t="n">
        <f aca="false">SQRT(($B413-DC$401)^2+($C413-DC$402)^2+($D413-DC$403)^2)</f>
        <v>3.8707497094031</v>
      </c>
      <c r="DD413" s="17" t="n">
        <f aca="false">SQRT(($B413-DD$401)^2+($C413-DD$402)^2+($D413-DD$403)^2)</f>
        <v>0.757000858326629</v>
      </c>
      <c r="DE413" s="17" t="n">
        <f aca="false">SQRT(($B413-DE$401)^2+($C413-DE$402)^2+($D413-DE$403)^2)</f>
        <v>3.3242115712366</v>
      </c>
      <c r="DF413" s="63" t="n">
        <f aca="false">MATCH(MIN(CZ413:DE413),CZ413:DE413,0)</f>
        <v>5</v>
      </c>
      <c r="DH413" s="17" t="n">
        <f aca="false">SQRT(($B413-DH$401)^2+($C413-DH$402)^2+($D413-DH$403)^2)</f>
        <v>2.98882037131718</v>
      </c>
      <c r="DI413" s="17" t="n">
        <f aca="false">SQRT(($B413-DI$401)^2+($C413-DI$402)^2+($D413-DI$403)^2)</f>
        <v>4.67778886372691</v>
      </c>
      <c r="DJ413" s="17" t="n">
        <f aca="false">SQRT(($B413-DJ$401)^2+($C413-DJ$402)^2+($D413-DJ$403)^2)</f>
        <v>1.67077815968878</v>
      </c>
      <c r="DK413" s="17" t="n">
        <f aca="false">SQRT(($B413-DK$401)^2+($C413-DK$402)^2+($D413-DK$403)^2)</f>
        <v>3.8707497094031</v>
      </c>
      <c r="DL413" s="17" t="n">
        <f aca="false">SQRT(($B413-DL$401)^2+($C413-DL$402)^2+($D413-DL$403)^2)</f>
        <v>0.757000858326629</v>
      </c>
      <c r="DM413" s="17" t="n">
        <f aca="false">SQRT(($B413-DM$401)^2+($C413-DM$402)^2+($D413-DM$403)^2)</f>
        <v>3.3242115712366</v>
      </c>
      <c r="DN413" s="63" t="n">
        <f aca="false">MATCH(MIN(DH413:DM413),DH413:DM413,0)</f>
        <v>5</v>
      </c>
    </row>
    <row r="414" customFormat="false" ht="15" hidden="false" customHeight="false" outlineLevel="0" collapsed="false">
      <c r="A414" s="36" t="str">
        <f aca="false">KMeans_Data!A11</f>
        <v>Multan</v>
      </c>
      <c r="B414" s="17" t="n">
        <f aca="false">KMeans_Data!H11</f>
        <v>1.339480128572</v>
      </c>
      <c r="C414" s="17" t="n">
        <f aca="false">KMeans_Data!I11</f>
        <v>0.160512589624996</v>
      </c>
      <c r="D414" s="17" t="n">
        <f aca="false">KMeans_Data!J11</f>
        <v>-0.824446015898766</v>
      </c>
      <c r="E414" s="63" t="n">
        <f aca="false">DN414</f>
        <v>4</v>
      </c>
      <c r="F414" s="38" t="n">
        <f aca="false">($B414-INDEX($L$401:$Q$401,E414))^2+($C414-INDEX($L$402:$Q$402,E414))^2+($D414-INDEX($L$403:$Q$403,E414))^2</f>
        <v>1.97504313113823</v>
      </c>
      <c r="G414" s="17" t="n">
        <f aca="false">IF(COUNTIF(Distance_Matrix!$E$12:$DQ$12,$E414)&lt;=1,0,SUMIF(Distance_Matrix!$E$12:$DQ$12,$E414,Distance_Matrix!$E$20:$DQ$20)/(COUNTIF(Distance_Matrix!$E$12:$DQ$12,$E414)-1))</f>
        <v>1.51727313626052</v>
      </c>
      <c r="H414" s="17" t="n">
        <f aca="false">MIN(IF(1=$E414,1E+099,IF(COUNTIF(Distance_Matrix!$E$12:$DQ$12,1)=0,1E+099,SUMIF(Distance_Matrix!$E$12:$DQ$12,1,Distance_Matrix!$E$20:$DQ$20)/COUNTIF(Distance_Matrix!$E$12:$DQ$12,1))),IF(2=$E414,1E+099,IF(COUNTIF(Distance_Matrix!$E$12:$DQ$12,2)=0,1E+099,SUMIF(Distance_Matrix!$E$12:$DQ$12,2,Distance_Matrix!$E$20:$DQ$20)/COUNTIF(Distance_Matrix!$E$12:$DQ$12,2))),IF(3=$E414,1E+099,IF(COUNTIF(Distance_Matrix!$E$12:$DQ$12,3)=0,1E+099,SUMIF(Distance_Matrix!$E$12:$DQ$12,3,Distance_Matrix!$E$20:$DQ$20)/COUNTIF(Distance_Matrix!$E$12:$DQ$12,3))),IF(4=$E414,1E+099,IF(COUNTIF(Distance_Matrix!$E$12:$DQ$12,4)=0,1E+099,SUMIF(Distance_Matrix!$E$12:$DQ$12,4,Distance_Matrix!$E$20:$DQ$20)/COUNTIF(Distance_Matrix!$E$12:$DQ$12,4))),IF(5=$E414,1E+099,IF(COUNTIF(Distance_Matrix!$E$12:$DQ$12,5)=0,1E+099,SUMIF(Distance_Matrix!$E$12:$DQ$12,5,Distance_Matrix!$E$20:$DQ$20)/COUNTIF(Distance_Matrix!$E$12:$DQ$12,5))),IF(6=$E414,1E+099,IF(COUNTIF(Distance_Matrix!$E$12:$DQ$12,6)=0,1E+099,SUMIF(Distance_Matrix!$E$12:$DQ$12,6,Distance_Matrix!$E$20:$DQ$20)/COUNTIF(Distance_Matrix!$E$12:$DQ$12,6))))</f>
        <v>2.01403230204928</v>
      </c>
      <c r="I414" s="17" t="n">
        <f aca="false">IF(COUNTIF(Distance_Matrix!$E$12:$DQ$12,$E414)&lt;=1,0,(H414-G414)/MAX(G414,H414))</f>
        <v>0.246649055868323</v>
      </c>
      <c r="X414" s="17" t="n">
        <f aca="false">SQRT(($B414-X$401)^2+($C414-X$402)^2+($D414-X$403)^2)</f>
        <v>5.95048749318587</v>
      </c>
      <c r="Y414" s="17" t="n">
        <f aca="false">SQRT(($B414-Y$401)^2+($C414-Y$402)^2+($D414-Y$403)^2)</f>
        <v>3.53389042212498</v>
      </c>
      <c r="Z414" s="17" t="n">
        <f aca="false">SQRT(($B414-Z$401)^2+($C414-Z$402)^2+($D414-Z$403)^2)</f>
        <v>2.32491482972725</v>
      </c>
      <c r="AA414" s="17" t="n">
        <f aca="false">SQRT(($B414-AA$401)^2+($C414-AA$402)^2+($D414-AA$403)^2)</f>
        <v>0.824069226463199</v>
      </c>
      <c r="AB414" s="17" t="n">
        <f aca="false">SQRT(($B414-AB$401)^2+($C414-AB$402)^2+($D414-AB$403)^2)</f>
        <v>3.97776828808309</v>
      </c>
      <c r="AC414" s="17" t="n">
        <f aca="false">SQRT(($B414-AC$401)^2+($C414-AC$402)^2+($D414-AC$403)^2)</f>
        <v>2.52792446280106</v>
      </c>
      <c r="AD414" s="63" t="n">
        <f aca="false">MATCH(MIN(X414:AC414),X414:AC414,0)</f>
        <v>4</v>
      </c>
      <c r="AF414" s="17" t="n">
        <f aca="false">SQRT(($B414-AF$401)^2+($C414-AF$402)^2+($D414-AF$403)^2)</f>
        <v>5.79410844029472</v>
      </c>
      <c r="AG414" s="17" t="n">
        <f aca="false">SQRT(($B414-AG$401)^2+($C414-AG$402)^2+($D414-AG$403)^2)</f>
        <v>2.79406148002263</v>
      </c>
      <c r="AH414" s="17" t="n">
        <f aca="false">SQRT(($B414-AH$401)^2+($C414-AH$402)^2+($D414-AH$403)^2)</f>
        <v>1.97930440712711</v>
      </c>
      <c r="AI414" s="17" t="n">
        <f aca="false">SQRT(($B414-AI$401)^2+($C414-AI$402)^2+($D414-AI$403)^2)</f>
        <v>1.38485318629569</v>
      </c>
      <c r="AJ414" s="17" t="n">
        <f aca="false">SQRT(($B414-AJ$401)^2+($C414-AJ$402)^2+($D414-AJ$403)^2)</f>
        <v>3.61207773378394</v>
      </c>
      <c r="AK414" s="17" t="n">
        <f aca="false">SQRT(($B414-AK$401)^2+($C414-AK$402)^2+($D414-AK$403)^2)</f>
        <v>1.96680929146651</v>
      </c>
      <c r="AL414" s="63" t="n">
        <f aca="false">MATCH(MIN(AF414:AK414),AF414:AK414,0)</f>
        <v>4</v>
      </c>
      <c r="AN414" s="17" t="n">
        <f aca="false">SQRT(($B414-AN$401)^2+($C414-AN$402)^2+($D414-AN$403)^2)</f>
        <v>5.79410844029472</v>
      </c>
      <c r="AO414" s="17" t="n">
        <f aca="false">SQRT(($B414-AO$401)^2+($C414-AO$402)^2+($D414-AO$403)^2)</f>
        <v>2.7518839779431</v>
      </c>
      <c r="AP414" s="17" t="n">
        <f aca="false">SQRT(($B414-AP$401)^2+($C414-AP$402)^2+($D414-AP$403)^2)</f>
        <v>1.97040789295744</v>
      </c>
      <c r="AQ414" s="17" t="n">
        <f aca="false">SQRT(($B414-AQ$401)^2+($C414-AQ$402)^2+($D414-AQ$403)^2)</f>
        <v>1.40536227754207</v>
      </c>
      <c r="AR414" s="17" t="n">
        <f aca="false">SQRT(($B414-AR$401)^2+($C414-AR$402)^2+($D414-AR$403)^2)</f>
        <v>3.61207773378394</v>
      </c>
      <c r="AS414" s="17" t="n">
        <f aca="false">SQRT(($B414-AS$401)^2+($C414-AS$402)^2+($D414-AS$403)^2)</f>
        <v>1.94481498180566</v>
      </c>
      <c r="AT414" s="63" t="n">
        <f aca="false">MATCH(MIN(AN414:AS414),AN414:AS414,0)</f>
        <v>4</v>
      </c>
      <c r="AV414" s="17" t="n">
        <f aca="false">SQRT(($B414-AV$401)^2+($C414-AV$402)^2+($D414-AV$403)^2)</f>
        <v>5.79410844029472</v>
      </c>
      <c r="AW414" s="17" t="n">
        <f aca="false">SQRT(($B414-AW$401)^2+($C414-AW$402)^2+($D414-AW$403)^2)</f>
        <v>2.73190484720224</v>
      </c>
      <c r="AX414" s="17" t="n">
        <f aca="false">SQRT(($B414-AX$401)^2+($C414-AX$402)^2+($D414-AX$403)^2)</f>
        <v>1.97040789295744</v>
      </c>
      <c r="AY414" s="17" t="n">
        <f aca="false">SQRT(($B414-AY$401)^2+($C414-AY$402)^2+($D414-AY$403)^2)</f>
        <v>1.40536227754207</v>
      </c>
      <c r="AZ414" s="17" t="n">
        <f aca="false">SQRT(($B414-AZ$401)^2+($C414-AZ$402)^2+($D414-AZ$403)^2)</f>
        <v>3.61207773378394</v>
      </c>
      <c r="BA414" s="17" t="n">
        <f aca="false">SQRT(($B414-BA$401)^2+($C414-BA$402)^2+($D414-BA$403)^2)</f>
        <v>1.93827834919669</v>
      </c>
      <c r="BB414" s="63" t="n">
        <f aca="false">MATCH(MIN(AV414:BA414),AV414:BA414,0)</f>
        <v>4</v>
      </c>
      <c r="BD414" s="17" t="n">
        <f aca="false">SQRT(($B414-BD$401)^2+($C414-BD$402)^2+($D414-BD$403)^2)</f>
        <v>5.79410844029472</v>
      </c>
      <c r="BE414" s="17" t="n">
        <f aca="false">SQRT(($B414-BE$401)^2+($C414-BE$402)^2+($D414-BE$403)^2)</f>
        <v>2.71498026301073</v>
      </c>
      <c r="BF414" s="17" t="n">
        <f aca="false">SQRT(($B414-BF$401)^2+($C414-BF$402)^2+($D414-BF$403)^2)</f>
        <v>1.97040789295744</v>
      </c>
      <c r="BG414" s="17" t="n">
        <f aca="false">SQRT(($B414-BG$401)^2+($C414-BG$402)^2+($D414-BG$403)^2)</f>
        <v>1.40536227754207</v>
      </c>
      <c r="BH414" s="17" t="n">
        <f aca="false">SQRT(($B414-BH$401)^2+($C414-BH$402)^2+($D414-BH$403)^2)</f>
        <v>3.61207773378394</v>
      </c>
      <c r="BI414" s="17" t="n">
        <f aca="false">SQRT(($B414-BI$401)^2+($C414-BI$402)^2+($D414-BI$403)^2)</f>
        <v>1.92913727644416</v>
      </c>
      <c r="BJ414" s="63" t="n">
        <f aca="false">MATCH(MIN(BD414:BI414),BD414:BI414,0)</f>
        <v>4</v>
      </c>
      <c r="BL414" s="17" t="n">
        <f aca="false">SQRT(($B414-BL$401)^2+($C414-BL$402)^2+($D414-BL$403)^2)</f>
        <v>5.79410844029472</v>
      </c>
      <c r="BM414" s="17" t="n">
        <f aca="false">SQRT(($B414-BM$401)^2+($C414-BM$402)^2+($D414-BM$403)^2)</f>
        <v>2.71498026301073</v>
      </c>
      <c r="BN414" s="17" t="n">
        <f aca="false">SQRT(($B414-BN$401)^2+($C414-BN$402)^2+($D414-BN$403)^2)</f>
        <v>1.97040789295744</v>
      </c>
      <c r="BO414" s="17" t="n">
        <f aca="false">SQRT(($B414-BO$401)^2+($C414-BO$402)^2+($D414-BO$403)^2)</f>
        <v>1.40536227754207</v>
      </c>
      <c r="BP414" s="17" t="n">
        <f aca="false">SQRT(($B414-BP$401)^2+($C414-BP$402)^2+($D414-BP$403)^2)</f>
        <v>3.61207773378394</v>
      </c>
      <c r="BQ414" s="17" t="n">
        <f aca="false">SQRT(($B414-BQ$401)^2+($C414-BQ$402)^2+($D414-BQ$403)^2)</f>
        <v>1.92913727644416</v>
      </c>
      <c r="BR414" s="63" t="n">
        <f aca="false">MATCH(MIN(BL414:BQ414),BL414:BQ414,0)</f>
        <v>4</v>
      </c>
      <c r="BT414" s="17" t="n">
        <f aca="false">SQRT(($B414-BT$401)^2+($C414-BT$402)^2+($D414-BT$403)^2)</f>
        <v>5.79410844029472</v>
      </c>
      <c r="BU414" s="17" t="n">
        <f aca="false">SQRT(($B414-BU$401)^2+($C414-BU$402)^2+($D414-BU$403)^2)</f>
        <v>2.71498026301073</v>
      </c>
      <c r="BV414" s="17" t="n">
        <f aca="false">SQRT(($B414-BV$401)^2+($C414-BV$402)^2+($D414-BV$403)^2)</f>
        <v>1.97040789295744</v>
      </c>
      <c r="BW414" s="17" t="n">
        <f aca="false">SQRT(($B414-BW$401)^2+($C414-BW$402)^2+($D414-BW$403)^2)</f>
        <v>1.40536227754207</v>
      </c>
      <c r="BX414" s="17" t="n">
        <f aca="false">SQRT(($B414-BX$401)^2+($C414-BX$402)^2+($D414-BX$403)^2)</f>
        <v>3.61207773378394</v>
      </c>
      <c r="BY414" s="17" t="n">
        <f aca="false">SQRT(($B414-BY$401)^2+($C414-BY$402)^2+($D414-BY$403)^2)</f>
        <v>1.92913727644416</v>
      </c>
      <c r="BZ414" s="63" t="n">
        <f aca="false">MATCH(MIN(BT414:BY414),BT414:BY414,0)</f>
        <v>4</v>
      </c>
      <c r="CB414" s="17" t="n">
        <f aca="false">SQRT(($B414-CB$401)^2+($C414-CB$402)^2+($D414-CB$403)^2)</f>
        <v>5.79410844029472</v>
      </c>
      <c r="CC414" s="17" t="n">
        <f aca="false">SQRT(($B414-CC$401)^2+($C414-CC$402)^2+($D414-CC$403)^2)</f>
        <v>2.71498026301073</v>
      </c>
      <c r="CD414" s="17" t="n">
        <f aca="false">SQRT(($B414-CD$401)^2+($C414-CD$402)^2+($D414-CD$403)^2)</f>
        <v>1.97040789295744</v>
      </c>
      <c r="CE414" s="17" t="n">
        <f aca="false">SQRT(($B414-CE$401)^2+($C414-CE$402)^2+($D414-CE$403)^2)</f>
        <v>1.40536227754207</v>
      </c>
      <c r="CF414" s="17" t="n">
        <f aca="false">SQRT(($B414-CF$401)^2+($C414-CF$402)^2+($D414-CF$403)^2)</f>
        <v>3.61207773378394</v>
      </c>
      <c r="CG414" s="17" t="n">
        <f aca="false">SQRT(($B414-CG$401)^2+($C414-CG$402)^2+($D414-CG$403)^2)</f>
        <v>1.92913727644416</v>
      </c>
      <c r="CH414" s="63" t="n">
        <f aca="false">MATCH(MIN(CB414:CG414),CB414:CG414,0)</f>
        <v>4</v>
      </c>
      <c r="CJ414" s="17" t="n">
        <f aca="false">SQRT(($B414-CJ$401)^2+($C414-CJ$402)^2+($D414-CJ$403)^2)</f>
        <v>5.79410844029472</v>
      </c>
      <c r="CK414" s="17" t="n">
        <f aca="false">SQRT(($B414-CK$401)^2+($C414-CK$402)^2+($D414-CK$403)^2)</f>
        <v>2.71498026301073</v>
      </c>
      <c r="CL414" s="17" t="n">
        <f aca="false">SQRT(($B414-CL$401)^2+($C414-CL$402)^2+($D414-CL$403)^2)</f>
        <v>1.97040789295744</v>
      </c>
      <c r="CM414" s="17" t="n">
        <f aca="false">SQRT(($B414-CM$401)^2+($C414-CM$402)^2+($D414-CM$403)^2)</f>
        <v>1.40536227754207</v>
      </c>
      <c r="CN414" s="17" t="n">
        <f aca="false">SQRT(($B414-CN$401)^2+($C414-CN$402)^2+($D414-CN$403)^2)</f>
        <v>3.61207773378394</v>
      </c>
      <c r="CO414" s="17" t="n">
        <f aca="false">SQRT(($B414-CO$401)^2+($C414-CO$402)^2+($D414-CO$403)^2)</f>
        <v>1.92913727644416</v>
      </c>
      <c r="CP414" s="63" t="n">
        <f aca="false">MATCH(MIN(CJ414:CO414),CJ414:CO414,0)</f>
        <v>4</v>
      </c>
      <c r="CR414" s="17" t="n">
        <f aca="false">SQRT(($B414-CR$401)^2+($C414-CR$402)^2+($D414-CR$403)^2)</f>
        <v>5.79410844029472</v>
      </c>
      <c r="CS414" s="17" t="n">
        <f aca="false">SQRT(($B414-CS$401)^2+($C414-CS$402)^2+($D414-CS$403)^2)</f>
        <v>2.71498026301073</v>
      </c>
      <c r="CT414" s="17" t="n">
        <f aca="false">SQRT(($B414-CT$401)^2+($C414-CT$402)^2+($D414-CT$403)^2)</f>
        <v>1.97040789295744</v>
      </c>
      <c r="CU414" s="17" t="n">
        <f aca="false">SQRT(($B414-CU$401)^2+($C414-CU$402)^2+($D414-CU$403)^2)</f>
        <v>1.40536227754207</v>
      </c>
      <c r="CV414" s="17" t="n">
        <f aca="false">SQRT(($B414-CV$401)^2+($C414-CV$402)^2+($D414-CV$403)^2)</f>
        <v>3.61207773378394</v>
      </c>
      <c r="CW414" s="17" t="n">
        <f aca="false">SQRT(($B414-CW$401)^2+($C414-CW$402)^2+($D414-CW$403)^2)</f>
        <v>1.92913727644416</v>
      </c>
      <c r="CX414" s="63" t="n">
        <f aca="false">MATCH(MIN(CR414:CW414),CR414:CW414,0)</f>
        <v>4</v>
      </c>
      <c r="CZ414" s="17" t="n">
        <f aca="false">SQRT(($B414-CZ$401)^2+($C414-CZ$402)^2+($D414-CZ$403)^2)</f>
        <v>5.79410844029472</v>
      </c>
      <c r="DA414" s="17" t="n">
        <f aca="false">SQRT(($B414-DA$401)^2+($C414-DA$402)^2+($D414-DA$403)^2)</f>
        <v>2.71498026301073</v>
      </c>
      <c r="DB414" s="17" t="n">
        <f aca="false">SQRT(($B414-DB$401)^2+($C414-DB$402)^2+($D414-DB$403)^2)</f>
        <v>1.97040789295744</v>
      </c>
      <c r="DC414" s="17" t="n">
        <f aca="false">SQRT(($B414-DC$401)^2+($C414-DC$402)^2+($D414-DC$403)^2)</f>
        <v>1.40536227754207</v>
      </c>
      <c r="DD414" s="17" t="n">
        <f aca="false">SQRT(($B414-DD$401)^2+($C414-DD$402)^2+($D414-DD$403)^2)</f>
        <v>3.61207773378394</v>
      </c>
      <c r="DE414" s="17" t="n">
        <f aca="false">SQRT(($B414-DE$401)^2+($C414-DE$402)^2+($D414-DE$403)^2)</f>
        <v>1.92913727644416</v>
      </c>
      <c r="DF414" s="63" t="n">
        <f aca="false">MATCH(MIN(CZ414:DE414),CZ414:DE414,0)</f>
        <v>4</v>
      </c>
      <c r="DH414" s="17" t="n">
        <f aca="false">SQRT(($B414-DH$401)^2+($C414-DH$402)^2+($D414-DH$403)^2)</f>
        <v>5.79410844029472</v>
      </c>
      <c r="DI414" s="17" t="n">
        <f aca="false">SQRT(($B414-DI$401)^2+($C414-DI$402)^2+($D414-DI$403)^2)</f>
        <v>2.71498026301073</v>
      </c>
      <c r="DJ414" s="17" t="n">
        <f aca="false">SQRT(($B414-DJ$401)^2+($C414-DJ$402)^2+($D414-DJ$403)^2)</f>
        <v>1.97040789295744</v>
      </c>
      <c r="DK414" s="17" t="n">
        <f aca="false">SQRT(($B414-DK$401)^2+($C414-DK$402)^2+($D414-DK$403)^2)</f>
        <v>1.40536227754207</v>
      </c>
      <c r="DL414" s="17" t="n">
        <f aca="false">SQRT(($B414-DL$401)^2+($C414-DL$402)^2+($D414-DL$403)^2)</f>
        <v>3.61207773378394</v>
      </c>
      <c r="DM414" s="17" t="n">
        <f aca="false">SQRT(($B414-DM$401)^2+($C414-DM$402)^2+($D414-DM$403)^2)</f>
        <v>1.92913727644416</v>
      </c>
      <c r="DN414" s="63" t="n">
        <f aca="false">MATCH(MIN(DH414:DM414),DH414:DM414,0)</f>
        <v>4</v>
      </c>
    </row>
    <row r="415" customFormat="false" ht="15" hidden="false" customHeight="false" outlineLevel="0" collapsed="false">
      <c r="A415" s="36" t="str">
        <f aca="false">KMeans_Data!A12</f>
        <v>Sukkur</v>
      </c>
      <c r="B415" s="17" t="n">
        <f aca="false">KMeans_Data!H12</f>
        <v>1.31634431892529</v>
      </c>
      <c r="C415" s="17" t="n">
        <f aca="false">KMeans_Data!I12</f>
        <v>0.686180001083741</v>
      </c>
      <c r="D415" s="17" t="n">
        <f aca="false">KMeans_Data!J12</f>
        <v>1.72384035190912</v>
      </c>
      <c r="E415" s="63" t="n">
        <f aca="false">DN415</f>
        <v>3</v>
      </c>
      <c r="F415" s="38" t="n">
        <f aca="false">($B415-INDEX($L$401:$Q$401,E415))^2+($C415-INDEX($L$402:$Q$402,E415))^2+($D415-INDEX($L$403:$Q$403,E415))^2</f>
        <v>0.980366709292972</v>
      </c>
      <c r="G415" s="17" t="n">
        <f aca="false">IF(COUNTIF(Distance_Matrix!$E$12:$DQ$12,$E415)&lt;=1,0,SUMIF(Distance_Matrix!$E$12:$DQ$12,$E415,Distance_Matrix!$E$21:$DQ$21)/(COUNTIF(Distance_Matrix!$E$12:$DQ$12,$E415)-1))</f>
        <v>1.16445246645395</v>
      </c>
      <c r="H415" s="17" t="n">
        <f aca="false">MIN(IF(1=$E415,1E+099,IF(COUNTIF(Distance_Matrix!$E$12:$DQ$12,1)=0,1E+099,SUMIF(Distance_Matrix!$E$12:$DQ$12,1,Distance_Matrix!$E$21:$DQ$21)/COUNTIF(Distance_Matrix!$E$12:$DQ$12,1))),IF(2=$E415,1E+099,IF(COUNTIF(Distance_Matrix!$E$12:$DQ$12,2)=0,1E+099,SUMIF(Distance_Matrix!$E$12:$DQ$12,2,Distance_Matrix!$E$21:$DQ$21)/COUNTIF(Distance_Matrix!$E$12:$DQ$12,2))),IF(3=$E415,1E+099,IF(COUNTIF(Distance_Matrix!$E$12:$DQ$12,3)=0,1E+099,SUMIF(Distance_Matrix!$E$12:$DQ$12,3,Distance_Matrix!$E$21:$DQ$21)/COUNTIF(Distance_Matrix!$E$12:$DQ$12,3))),IF(4=$E415,1E+099,IF(COUNTIF(Distance_Matrix!$E$12:$DQ$12,4)=0,1E+099,SUMIF(Distance_Matrix!$E$12:$DQ$12,4,Distance_Matrix!$E$21:$DQ$21)/COUNTIF(Distance_Matrix!$E$12:$DQ$12,4))),IF(5=$E415,1E+099,IF(COUNTIF(Distance_Matrix!$E$12:$DQ$12,5)=0,1E+099,SUMIF(Distance_Matrix!$E$12:$DQ$12,5,Distance_Matrix!$E$21:$DQ$21)/COUNTIF(Distance_Matrix!$E$12:$DQ$12,5))),IF(6=$E415,1E+099,IF(COUNTIF(Distance_Matrix!$E$12:$DQ$12,6)=0,1E+099,SUMIF(Distance_Matrix!$E$12:$DQ$12,6,Distance_Matrix!$E$21:$DQ$21)/COUNTIF(Distance_Matrix!$E$12:$DQ$12,6))))</f>
        <v>2.07110620623087</v>
      </c>
      <c r="I415" s="17" t="n">
        <f aca="false">IF(COUNTIF(Distance_Matrix!$E$12:$DQ$12,$E415)&lt;=1,0,(H415-G415)/MAX(G415,H415))</f>
        <v>0.437763035545583</v>
      </c>
      <c r="X415" s="17" t="n">
        <f aca="false">SQRT(($B415-X$401)^2+($C415-X$402)^2+($D415-X$403)^2)</f>
        <v>4.17270705171046</v>
      </c>
      <c r="Y415" s="17" t="n">
        <f aca="false">SQRT(($B415-Y$401)^2+($C415-Y$402)^2+($D415-Y$403)^2)</f>
        <v>4.64905759921659</v>
      </c>
      <c r="Z415" s="17" t="n">
        <f aca="false">SQRT(($B415-Z$401)^2+($C415-Z$402)^2+($D415-Z$403)^2)</f>
        <v>0.486444689008236</v>
      </c>
      <c r="AA415" s="17" t="n">
        <f aca="false">SQRT(($B415-AA$401)^2+($C415-AA$402)^2+($D415-AA$403)^2)</f>
        <v>3.06233601395942</v>
      </c>
      <c r="AB415" s="17" t="n">
        <f aca="false">SQRT(($B415-AB$401)^2+($C415-AB$402)^2+($D415-AB$403)^2)</f>
        <v>2.02603230868873</v>
      </c>
      <c r="AC415" s="17" t="n">
        <f aca="false">SQRT(($B415-AC$401)^2+($C415-AC$402)^2+($D415-AC$403)^2)</f>
        <v>2.44633149416531</v>
      </c>
      <c r="AD415" s="63" t="n">
        <f aca="false">MATCH(MIN(X415:AC415),X415:AC415,0)</f>
        <v>3</v>
      </c>
      <c r="AF415" s="17" t="n">
        <f aca="false">SQRT(($B415-AF$401)^2+($C415-AF$402)^2+($D415-AF$403)^2)</f>
        <v>4.11951729106561</v>
      </c>
      <c r="AG415" s="17" t="n">
        <f aca="false">SQRT(($B415-AG$401)^2+($C415-AG$402)^2+($D415-AG$403)^2)</f>
        <v>4.08510341556187</v>
      </c>
      <c r="AH415" s="17" t="n">
        <f aca="false">SQRT(($B415-AH$401)^2+($C415-AH$402)^2+($D415-AH$403)^2)</f>
        <v>0.963473424906914</v>
      </c>
      <c r="AI415" s="17" t="n">
        <f aca="false">SQRT(($B415-AI$401)^2+($C415-AI$402)^2+($D415-AI$403)^2)</f>
        <v>3.08629510839842</v>
      </c>
      <c r="AJ415" s="17" t="n">
        <f aca="false">SQRT(($B415-AJ$401)^2+($C415-AJ$402)^2+($D415-AJ$403)^2)</f>
        <v>2.00950821528197</v>
      </c>
      <c r="AK415" s="17" t="n">
        <f aca="false">SQRT(($B415-AK$401)^2+($C415-AK$402)^2+($D415-AK$403)^2)</f>
        <v>2.46301974177205</v>
      </c>
      <c r="AL415" s="63" t="n">
        <f aca="false">MATCH(MIN(AF415:AK415),AF415:AK415,0)</f>
        <v>3</v>
      </c>
      <c r="AN415" s="17" t="n">
        <f aca="false">SQRT(($B415-AN$401)^2+($C415-AN$402)^2+($D415-AN$403)^2)</f>
        <v>4.11951729106561</v>
      </c>
      <c r="AO415" s="17" t="n">
        <f aca="false">SQRT(($B415-AO$401)^2+($C415-AO$402)^2+($D415-AO$403)^2)</f>
        <v>4.04320513016364</v>
      </c>
      <c r="AP415" s="17" t="n">
        <f aca="false">SQRT(($B415-AP$401)^2+($C415-AP$402)^2+($D415-AP$403)^2)</f>
        <v>0.990134692500456</v>
      </c>
      <c r="AQ415" s="17" t="n">
        <f aca="false">SQRT(($B415-AQ$401)^2+($C415-AQ$402)^2+($D415-AQ$403)^2)</f>
        <v>3.10545985243083</v>
      </c>
      <c r="AR415" s="17" t="n">
        <f aca="false">SQRT(($B415-AR$401)^2+($C415-AR$402)^2+($D415-AR$403)^2)</f>
        <v>2.00950821528197</v>
      </c>
      <c r="AS415" s="17" t="n">
        <f aca="false">SQRT(($B415-AS$401)^2+($C415-AS$402)^2+($D415-AS$403)^2)</f>
        <v>2.42103988428136</v>
      </c>
      <c r="AT415" s="63" t="n">
        <f aca="false">MATCH(MIN(AN415:AS415),AN415:AS415,0)</f>
        <v>3</v>
      </c>
      <c r="AV415" s="17" t="n">
        <f aca="false">SQRT(($B415-AV$401)^2+($C415-AV$402)^2+($D415-AV$403)^2)</f>
        <v>4.11951729106561</v>
      </c>
      <c r="AW415" s="17" t="n">
        <f aca="false">SQRT(($B415-AW$401)^2+($C415-AW$402)^2+($D415-AW$403)^2)</f>
        <v>4.01342048911387</v>
      </c>
      <c r="AX415" s="17" t="n">
        <f aca="false">SQRT(($B415-AX$401)^2+($C415-AX$402)^2+($D415-AX$403)^2)</f>
        <v>0.990134692500456</v>
      </c>
      <c r="AY415" s="17" t="n">
        <f aca="false">SQRT(($B415-AY$401)^2+($C415-AY$402)^2+($D415-AY$403)^2)</f>
        <v>3.10545985243083</v>
      </c>
      <c r="AZ415" s="17" t="n">
        <f aca="false">SQRT(($B415-AZ$401)^2+($C415-AZ$402)^2+($D415-AZ$403)^2)</f>
        <v>2.00950821528197</v>
      </c>
      <c r="BA415" s="17" t="n">
        <f aca="false">SQRT(($B415-BA$401)^2+($C415-BA$402)^2+($D415-BA$403)^2)</f>
        <v>2.39497362793014</v>
      </c>
      <c r="BB415" s="63" t="n">
        <f aca="false">MATCH(MIN(AV415:BA415),AV415:BA415,0)</f>
        <v>3</v>
      </c>
      <c r="BD415" s="17" t="n">
        <f aca="false">SQRT(($B415-BD$401)^2+($C415-BD$402)^2+($D415-BD$403)^2)</f>
        <v>4.11951729106561</v>
      </c>
      <c r="BE415" s="17" t="n">
        <f aca="false">SQRT(($B415-BE$401)^2+($C415-BE$402)^2+($D415-BE$403)^2)</f>
        <v>3.98479478033392</v>
      </c>
      <c r="BF415" s="17" t="n">
        <f aca="false">SQRT(($B415-BF$401)^2+($C415-BF$402)^2+($D415-BF$403)^2)</f>
        <v>0.990134692500456</v>
      </c>
      <c r="BG415" s="17" t="n">
        <f aca="false">SQRT(($B415-BG$401)^2+($C415-BG$402)^2+($D415-BG$403)^2)</f>
        <v>3.10545985243083</v>
      </c>
      <c r="BH415" s="17" t="n">
        <f aca="false">SQRT(($B415-BH$401)^2+($C415-BH$402)^2+($D415-BH$403)^2)</f>
        <v>2.00950821528197</v>
      </c>
      <c r="BI415" s="17" t="n">
        <f aca="false">SQRT(($B415-BI$401)^2+($C415-BI$402)^2+($D415-BI$403)^2)</f>
        <v>2.36804879816818</v>
      </c>
      <c r="BJ415" s="63" t="n">
        <f aca="false">MATCH(MIN(BD415:BI415),BD415:BI415,0)</f>
        <v>3</v>
      </c>
      <c r="BL415" s="17" t="n">
        <f aca="false">SQRT(($B415-BL$401)^2+($C415-BL$402)^2+($D415-BL$403)^2)</f>
        <v>4.11951729106561</v>
      </c>
      <c r="BM415" s="17" t="n">
        <f aca="false">SQRT(($B415-BM$401)^2+($C415-BM$402)^2+($D415-BM$403)^2)</f>
        <v>3.98479478033392</v>
      </c>
      <c r="BN415" s="17" t="n">
        <f aca="false">SQRT(($B415-BN$401)^2+($C415-BN$402)^2+($D415-BN$403)^2)</f>
        <v>0.990134692500456</v>
      </c>
      <c r="BO415" s="17" t="n">
        <f aca="false">SQRT(($B415-BO$401)^2+($C415-BO$402)^2+($D415-BO$403)^2)</f>
        <v>3.10545985243083</v>
      </c>
      <c r="BP415" s="17" t="n">
        <f aca="false">SQRT(($B415-BP$401)^2+($C415-BP$402)^2+($D415-BP$403)^2)</f>
        <v>2.00950821528197</v>
      </c>
      <c r="BQ415" s="17" t="n">
        <f aca="false">SQRT(($B415-BQ$401)^2+($C415-BQ$402)^2+($D415-BQ$403)^2)</f>
        <v>2.36804879816818</v>
      </c>
      <c r="BR415" s="63" t="n">
        <f aca="false">MATCH(MIN(BL415:BQ415),BL415:BQ415,0)</f>
        <v>3</v>
      </c>
      <c r="BT415" s="17" t="n">
        <f aca="false">SQRT(($B415-BT$401)^2+($C415-BT$402)^2+($D415-BT$403)^2)</f>
        <v>4.11951729106561</v>
      </c>
      <c r="BU415" s="17" t="n">
        <f aca="false">SQRT(($B415-BU$401)^2+($C415-BU$402)^2+($D415-BU$403)^2)</f>
        <v>3.98479478033392</v>
      </c>
      <c r="BV415" s="17" t="n">
        <f aca="false">SQRT(($B415-BV$401)^2+($C415-BV$402)^2+($D415-BV$403)^2)</f>
        <v>0.990134692500456</v>
      </c>
      <c r="BW415" s="17" t="n">
        <f aca="false">SQRT(($B415-BW$401)^2+($C415-BW$402)^2+($D415-BW$403)^2)</f>
        <v>3.10545985243083</v>
      </c>
      <c r="BX415" s="17" t="n">
        <f aca="false">SQRT(($B415-BX$401)^2+($C415-BX$402)^2+($D415-BX$403)^2)</f>
        <v>2.00950821528197</v>
      </c>
      <c r="BY415" s="17" t="n">
        <f aca="false">SQRT(($B415-BY$401)^2+($C415-BY$402)^2+($D415-BY$403)^2)</f>
        <v>2.36804879816818</v>
      </c>
      <c r="BZ415" s="63" t="n">
        <f aca="false">MATCH(MIN(BT415:BY415),BT415:BY415,0)</f>
        <v>3</v>
      </c>
      <c r="CB415" s="17" t="n">
        <f aca="false">SQRT(($B415-CB$401)^2+($C415-CB$402)^2+($D415-CB$403)^2)</f>
        <v>4.11951729106561</v>
      </c>
      <c r="CC415" s="17" t="n">
        <f aca="false">SQRT(($B415-CC$401)^2+($C415-CC$402)^2+($D415-CC$403)^2)</f>
        <v>3.98479478033392</v>
      </c>
      <c r="CD415" s="17" t="n">
        <f aca="false">SQRT(($B415-CD$401)^2+($C415-CD$402)^2+($D415-CD$403)^2)</f>
        <v>0.990134692500456</v>
      </c>
      <c r="CE415" s="17" t="n">
        <f aca="false">SQRT(($B415-CE$401)^2+($C415-CE$402)^2+($D415-CE$403)^2)</f>
        <v>3.10545985243083</v>
      </c>
      <c r="CF415" s="17" t="n">
        <f aca="false">SQRT(($B415-CF$401)^2+($C415-CF$402)^2+($D415-CF$403)^2)</f>
        <v>2.00950821528197</v>
      </c>
      <c r="CG415" s="17" t="n">
        <f aca="false">SQRT(($B415-CG$401)^2+($C415-CG$402)^2+($D415-CG$403)^2)</f>
        <v>2.36804879816818</v>
      </c>
      <c r="CH415" s="63" t="n">
        <f aca="false">MATCH(MIN(CB415:CG415),CB415:CG415,0)</f>
        <v>3</v>
      </c>
      <c r="CJ415" s="17" t="n">
        <f aca="false">SQRT(($B415-CJ$401)^2+($C415-CJ$402)^2+($D415-CJ$403)^2)</f>
        <v>4.11951729106561</v>
      </c>
      <c r="CK415" s="17" t="n">
        <f aca="false">SQRT(($B415-CK$401)^2+($C415-CK$402)^2+($D415-CK$403)^2)</f>
        <v>3.98479478033392</v>
      </c>
      <c r="CL415" s="17" t="n">
        <f aca="false">SQRT(($B415-CL$401)^2+($C415-CL$402)^2+($D415-CL$403)^2)</f>
        <v>0.990134692500456</v>
      </c>
      <c r="CM415" s="17" t="n">
        <f aca="false">SQRT(($B415-CM$401)^2+($C415-CM$402)^2+($D415-CM$403)^2)</f>
        <v>3.10545985243083</v>
      </c>
      <c r="CN415" s="17" t="n">
        <f aca="false">SQRT(($B415-CN$401)^2+($C415-CN$402)^2+($D415-CN$403)^2)</f>
        <v>2.00950821528197</v>
      </c>
      <c r="CO415" s="17" t="n">
        <f aca="false">SQRT(($B415-CO$401)^2+($C415-CO$402)^2+($D415-CO$403)^2)</f>
        <v>2.36804879816818</v>
      </c>
      <c r="CP415" s="63" t="n">
        <f aca="false">MATCH(MIN(CJ415:CO415),CJ415:CO415,0)</f>
        <v>3</v>
      </c>
      <c r="CR415" s="17" t="n">
        <f aca="false">SQRT(($B415-CR$401)^2+($C415-CR$402)^2+($D415-CR$403)^2)</f>
        <v>4.11951729106561</v>
      </c>
      <c r="CS415" s="17" t="n">
        <f aca="false">SQRT(($B415-CS$401)^2+($C415-CS$402)^2+($D415-CS$403)^2)</f>
        <v>3.98479478033392</v>
      </c>
      <c r="CT415" s="17" t="n">
        <f aca="false">SQRT(($B415-CT$401)^2+($C415-CT$402)^2+($D415-CT$403)^2)</f>
        <v>0.990134692500456</v>
      </c>
      <c r="CU415" s="17" t="n">
        <f aca="false">SQRT(($B415-CU$401)^2+($C415-CU$402)^2+($D415-CU$403)^2)</f>
        <v>3.10545985243083</v>
      </c>
      <c r="CV415" s="17" t="n">
        <f aca="false">SQRT(($B415-CV$401)^2+($C415-CV$402)^2+($D415-CV$403)^2)</f>
        <v>2.00950821528197</v>
      </c>
      <c r="CW415" s="17" t="n">
        <f aca="false">SQRT(($B415-CW$401)^2+($C415-CW$402)^2+($D415-CW$403)^2)</f>
        <v>2.36804879816818</v>
      </c>
      <c r="CX415" s="63" t="n">
        <f aca="false">MATCH(MIN(CR415:CW415),CR415:CW415,0)</f>
        <v>3</v>
      </c>
      <c r="CZ415" s="17" t="n">
        <f aca="false">SQRT(($B415-CZ$401)^2+($C415-CZ$402)^2+($D415-CZ$403)^2)</f>
        <v>4.11951729106561</v>
      </c>
      <c r="DA415" s="17" t="n">
        <f aca="false">SQRT(($B415-DA$401)^2+($C415-DA$402)^2+($D415-DA$403)^2)</f>
        <v>3.98479478033392</v>
      </c>
      <c r="DB415" s="17" t="n">
        <f aca="false">SQRT(($B415-DB$401)^2+($C415-DB$402)^2+($D415-DB$403)^2)</f>
        <v>0.990134692500456</v>
      </c>
      <c r="DC415" s="17" t="n">
        <f aca="false">SQRT(($B415-DC$401)^2+($C415-DC$402)^2+($D415-DC$403)^2)</f>
        <v>3.10545985243083</v>
      </c>
      <c r="DD415" s="17" t="n">
        <f aca="false">SQRT(($B415-DD$401)^2+($C415-DD$402)^2+($D415-DD$403)^2)</f>
        <v>2.00950821528197</v>
      </c>
      <c r="DE415" s="17" t="n">
        <f aca="false">SQRT(($B415-DE$401)^2+($C415-DE$402)^2+($D415-DE$403)^2)</f>
        <v>2.36804879816818</v>
      </c>
      <c r="DF415" s="63" t="n">
        <f aca="false">MATCH(MIN(CZ415:DE415),CZ415:DE415,0)</f>
        <v>3</v>
      </c>
      <c r="DH415" s="17" t="n">
        <f aca="false">SQRT(($B415-DH$401)^2+($C415-DH$402)^2+($D415-DH$403)^2)</f>
        <v>4.11951729106561</v>
      </c>
      <c r="DI415" s="17" t="n">
        <f aca="false">SQRT(($B415-DI$401)^2+($C415-DI$402)^2+($D415-DI$403)^2)</f>
        <v>3.98479478033392</v>
      </c>
      <c r="DJ415" s="17" t="n">
        <f aca="false">SQRT(($B415-DJ$401)^2+($C415-DJ$402)^2+($D415-DJ$403)^2)</f>
        <v>0.990134692500456</v>
      </c>
      <c r="DK415" s="17" t="n">
        <f aca="false">SQRT(($B415-DK$401)^2+($C415-DK$402)^2+($D415-DK$403)^2)</f>
        <v>3.10545985243083</v>
      </c>
      <c r="DL415" s="17" t="n">
        <f aca="false">SQRT(($B415-DL$401)^2+($C415-DL$402)^2+($D415-DL$403)^2)</f>
        <v>2.00950821528197</v>
      </c>
      <c r="DM415" s="17" t="n">
        <f aca="false">SQRT(($B415-DM$401)^2+($C415-DM$402)^2+($D415-DM$403)^2)</f>
        <v>2.36804879816818</v>
      </c>
      <c r="DN415" s="63" t="n">
        <f aca="false">MATCH(MIN(DH415:DM415),DH415:DM415,0)</f>
        <v>3</v>
      </c>
    </row>
    <row r="416" customFormat="false" ht="15" hidden="false" customHeight="false" outlineLevel="0" collapsed="false">
      <c r="A416" s="36" t="str">
        <f aca="false">KMeans_Data!A13</f>
        <v>Hyderabad</v>
      </c>
      <c r="B416" s="17" t="n">
        <f aca="false">KMeans_Data!H13</f>
        <v>1.25912764531491</v>
      </c>
      <c r="C416" s="17" t="n">
        <f aca="false">KMeans_Data!I13</f>
        <v>1.21184741254249</v>
      </c>
      <c r="D416" s="17" t="n">
        <f aca="false">KMeans_Data!J13</f>
        <v>1.69551048544459</v>
      </c>
      <c r="E416" s="63" t="n">
        <f aca="false">DN416</f>
        <v>3</v>
      </c>
      <c r="F416" s="38" t="n">
        <f aca="false">($B416-INDEX($L$401:$Q$401,E416))^2+($C416-INDEX($L$402:$Q$402,E416))^2+($D416-INDEX($L$403:$Q$403,E416))^2</f>
        <v>0.999137889303205</v>
      </c>
      <c r="G416" s="17" t="n">
        <f aca="false">IF(COUNTIF(Distance_Matrix!$E$12:$DQ$12,$E416)&lt;=1,0,SUMIF(Distance_Matrix!$E$12:$DQ$12,$E416,Distance_Matrix!$E$22:$DQ$22)/(COUNTIF(Distance_Matrix!$E$12:$DQ$12,$E416)-1))</f>
        <v>1.17568890147839</v>
      </c>
      <c r="H416" s="17" t="n">
        <f aca="false">MIN(IF(1=$E416,1E+099,IF(COUNTIF(Distance_Matrix!$E$12:$DQ$12,1)=0,1E+099,SUMIF(Distance_Matrix!$E$12:$DQ$12,1,Distance_Matrix!$E$22:$DQ$22)/COUNTIF(Distance_Matrix!$E$12:$DQ$12,1))),IF(2=$E416,1E+099,IF(COUNTIF(Distance_Matrix!$E$12:$DQ$12,2)=0,1E+099,SUMIF(Distance_Matrix!$E$12:$DQ$12,2,Distance_Matrix!$E$22:$DQ$22)/COUNTIF(Distance_Matrix!$E$12:$DQ$12,2))),IF(3=$E416,1E+099,IF(COUNTIF(Distance_Matrix!$E$12:$DQ$12,3)=0,1E+099,SUMIF(Distance_Matrix!$E$12:$DQ$12,3,Distance_Matrix!$E$22:$DQ$22)/COUNTIF(Distance_Matrix!$E$12:$DQ$12,3))),IF(4=$E416,1E+099,IF(COUNTIF(Distance_Matrix!$E$12:$DQ$12,4)=0,1E+099,SUMIF(Distance_Matrix!$E$12:$DQ$12,4,Distance_Matrix!$E$22:$DQ$22)/COUNTIF(Distance_Matrix!$E$12:$DQ$12,4))),IF(5=$E416,1E+099,IF(COUNTIF(Distance_Matrix!$E$12:$DQ$12,5)=0,1E+099,SUMIF(Distance_Matrix!$E$12:$DQ$12,5,Distance_Matrix!$E$22:$DQ$22)/COUNTIF(Distance_Matrix!$E$12:$DQ$12,5))),IF(6=$E416,1E+099,IF(COUNTIF(Distance_Matrix!$E$12:$DQ$12,6)=0,1E+099,SUMIF(Distance_Matrix!$E$12:$DQ$12,6,Distance_Matrix!$E$22:$DQ$22)/COUNTIF(Distance_Matrix!$E$12:$DQ$12,6))))</f>
        <v>1.65075395438926</v>
      </c>
      <c r="I416" s="17" t="n">
        <f aca="false">IF(COUNTIF(Distance_Matrix!$E$12:$DQ$12,$E416)&lt;=1,0,(H416-G416)/MAX(G416,H416))</f>
        <v>0.28778671203404</v>
      </c>
      <c r="X416" s="17" t="n">
        <f aca="false">SQRT(($B416-X$401)^2+($C416-X$402)^2+($D416-X$403)^2)</f>
        <v>3.80496885952581</v>
      </c>
      <c r="Y416" s="17" t="n">
        <f aca="false">SQRT(($B416-Y$401)^2+($C416-Y$402)^2+($D416-Y$403)^2)</f>
        <v>4.77195093233386</v>
      </c>
      <c r="Z416" s="17" t="n">
        <f aca="false">SQRT(($B416-Z$401)^2+($C416-Z$402)^2+($D416-Z$403)^2)</f>
        <v>0.891080579009539</v>
      </c>
      <c r="AA416" s="17" t="n">
        <f aca="false">SQRT(($B416-AA$401)^2+($C416-AA$402)^2+($D416-AA$403)^2)</f>
        <v>3.2085676641039</v>
      </c>
      <c r="AB416" s="17" t="n">
        <f aca="false">SQRT(($B416-AB$401)^2+($C416-AB$402)^2+($D416-AB$403)^2)</f>
        <v>1.68860791169486</v>
      </c>
      <c r="AC416" s="17" t="n">
        <f aca="false">SQRT(($B416-AC$401)^2+($C416-AC$402)^2+($D416-AC$403)^2)</f>
        <v>2.61674754400597</v>
      </c>
      <c r="AD416" s="63" t="n">
        <f aca="false">MATCH(MIN(X416:AC416),X416:AC416,0)</f>
        <v>3</v>
      </c>
      <c r="AF416" s="17" t="n">
        <f aca="false">SQRT(($B416-AF$401)^2+($C416-AF$402)^2+($D416-AF$403)^2)</f>
        <v>3.73592169912103</v>
      </c>
      <c r="AG416" s="17" t="n">
        <f aca="false">SQRT(($B416-AG$401)^2+($C416-AG$402)^2+($D416-AG$403)^2)</f>
        <v>4.23219969370015</v>
      </c>
      <c r="AH416" s="17" t="n">
        <f aca="false">SQRT(($B416-AH$401)^2+($C416-AH$402)^2+($D416-AH$403)^2)</f>
        <v>0.969796546461791</v>
      </c>
      <c r="AI416" s="17" t="n">
        <f aca="false">SQRT(($B416-AI$401)^2+($C416-AI$402)^2+($D416-AI$403)^2)</f>
        <v>3.28813153178933</v>
      </c>
      <c r="AJ416" s="17" t="n">
        <f aca="false">SQRT(($B416-AJ$401)^2+($C416-AJ$402)^2+($D416-AJ$403)^2)</f>
        <v>1.5697384061941</v>
      </c>
      <c r="AK416" s="17" t="n">
        <f aca="false">SQRT(($B416-AK$401)^2+($C416-AK$402)^2+($D416-AK$403)^2)</f>
        <v>2.68491445643534</v>
      </c>
      <c r="AL416" s="63" t="n">
        <f aca="false">MATCH(MIN(AF416:AK416),AF416:AK416,0)</f>
        <v>3</v>
      </c>
      <c r="AN416" s="17" t="n">
        <f aca="false">SQRT(($B416-AN$401)^2+($C416-AN$402)^2+($D416-AN$403)^2)</f>
        <v>3.73592169912103</v>
      </c>
      <c r="AO416" s="17" t="n">
        <f aca="false">SQRT(($B416-AO$401)^2+($C416-AO$402)^2+($D416-AO$403)^2)</f>
        <v>4.19273117074739</v>
      </c>
      <c r="AP416" s="17" t="n">
        <f aca="false">SQRT(($B416-AP$401)^2+($C416-AP$402)^2+($D416-AP$403)^2)</f>
        <v>0.999568851707177</v>
      </c>
      <c r="AQ416" s="17" t="n">
        <f aca="false">SQRT(($B416-AQ$401)^2+($C416-AQ$402)^2+($D416-AQ$403)^2)</f>
        <v>3.31080076154416</v>
      </c>
      <c r="AR416" s="17" t="n">
        <f aca="false">SQRT(($B416-AR$401)^2+($C416-AR$402)^2+($D416-AR$403)^2)</f>
        <v>1.5697384061941</v>
      </c>
      <c r="AS416" s="17" t="n">
        <f aca="false">SQRT(($B416-AS$401)^2+($C416-AS$402)^2+($D416-AS$403)^2)</f>
        <v>2.64651111968633</v>
      </c>
      <c r="AT416" s="63" t="n">
        <f aca="false">MATCH(MIN(AN416:AS416),AN416:AS416,0)</f>
        <v>3</v>
      </c>
      <c r="AV416" s="17" t="n">
        <f aca="false">SQRT(($B416-AV$401)^2+($C416-AV$402)^2+($D416-AV$403)^2)</f>
        <v>3.73592169912103</v>
      </c>
      <c r="AW416" s="17" t="n">
        <f aca="false">SQRT(($B416-AW$401)^2+($C416-AW$402)^2+($D416-AW$403)^2)</f>
        <v>4.16455442716602</v>
      </c>
      <c r="AX416" s="17" t="n">
        <f aca="false">SQRT(($B416-AX$401)^2+($C416-AX$402)^2+($D416-AX$403)^2)</f>
        <v>0.999568851707177</v>
      </c>
      <c r="AY416" s="17" t="n">
        <f aca="false">SQRT(($B416-AY$401)^2+($C416-AY$402)^2+($D416-AY$403)^2)</f>
        <v>3.31080076154416</v>
      </c>
      <c r="AZ416" s="17" t="n">
        <f aca="false">SQRT(($B416-AZ$401)^2+($C416-AZ$402)^2+($D416-AZ$403)^2)</f>
        <v>1.5697384061941</v>
      </c>
      <c r="BA416" s="17" t="n">
        <f aca="false">SQRT(($B416-BA$401)^2+($C416-BA$402)^2+($D416-BA$403)^2)</f>
        <v>2.62149956575152</v>
      </c>
      <c r="BB416" s="63" t="n">
        <f aca="false">MATCH(MIN(AV416:BA416),AV416:BA416,0)</f>
        <v>3</v>
      </c>
      <c r="BD416" s="17" t="n">
        <f aca="false">SQRT(($B416-BD$401)^2+($C416-BD$402)^2+($D416-BD$403)^2)</f>
        <v>3.73592169912103</v>
      </c>
      <c r="BE416" s="17" t="n">
        <f aca="false">SQRT(($B416-BE$401)^2+($C416-BE$402)^2+($D416-BE$403)^2)</f>
        <v>4.13747446113731</v>
      </c>
      <c r="BF416" s="17" t="n">
        <f aca="false">SQRT(($B416-BF$401)^2+($C416-BF$402)^2+($D416-BF$403)^2)</f>
        <v>0.999568851707177</v>
      </c>
      <c r="BG416" s="17" t="n">
        <f aca="false">SQRT(($B416-BG$401)^2+($C416-BG$402)^2+($D416-BG$403)^2)</f>
        <v>3.31080076154416</v>
      </c>
      <c r="BH416" s="17" t="n">
        <f aca="false">SQRT(($B416-BH$401)^2+($C416-BH$402)^2+($D416-BH$403)^2)</f>
        <v>1.5697384061941</v>
      </c>
      <c r="BI416" s="17" t="n">
        <f aca="false">SQRT(($B416-BI$401)^2+($C416-BI$402)^2+($D416-BI$403)^2)</f>
        <v>2.59565289743709</v>
      </c>
      <c r="BJ416" s="63" t="n">
        <f aca="false">MATCH(MIN(BD416:BI416),BD416:BI416,0)</f>
        <v>3</v>
      </c>
      <c r="BL416" s="17" t="n">
        <f aca="false">SQRT(($B416-BL$401)^2+($C416-BL$402)^2+($D416-BL$403)^2)</f>
        <v>3.73592169912103</v>
      </c>
      <c r="BM416" s="17" t="n">
        <f aca="false">SQRT(($B416-BM$401)^2+($C416-BM$402)^2+($D416-BM$403)^2)</f>
        <v>4.13747446113731</v>
      </c>
      <c r="BN416" s="17" t="n">
        <f aca="false">SQRT(($B416-BN$401)^2+($C416-BN$402)^2+($D416-BN$403)^2)</f>
        <v>0.999568851707177</v>
      </c>
      <c r="BO416" s="17" t="n">
        <f aca="false">SQRT(($B416-BO$401)^2+($C416-BO$402)^2+($D416-BO$403)^2)</f>
        <v>3.31080076154416</v>
      </c>
      <c r="BP416" s="17" t="n">
        <f aca="false">SQRT(($B416-BP$401)^2+($C416-BP$402)^2+($D416-BP$403)^2)</f>
        <v>1.5697384061941</v>
      </c>
      <c r="BQ416" s="17" t="n">
        <f aca="false">SQRT(($B416-BQ$401)^2+($C416-BQ$402)^2+($D416-BQ$403)^2)</f>
        <v>2.59565289743709</v>
      </c>
      <c r="BR416" s="63" t="n">
        <f aca="false">MATCH(MIN(BL416:BQ416),BL416:BQ416,0)</f>
        <v>3</v>
      </c>
      <c r="BT416" s="17" t="n">
        <f aca="false">SQRT(($B416-BT$401)^2+($C416-BT$402)^2+($D416-BT$403)^2)</f>
        <v>3.73592169912103</v>
      </c>
      <c r="BU416" s="17" t="n">
        <f aca="false">SQRT(($B416-BU$401)^2+($C416-BU$402)^2+($D416-BU$403)^2)</f>
        <v>4.13747446113731</v>
      </c>
      <c r="BV416" s="17" t="n">
        <f aca="false">SQRT(($B416-BV$401)^2+($C416-BV$402)^2+($D416-BV$403)^2)</f>
        <v>0.999568851707177</v>
      </c>
      <c r="BW416" s="17" t="n">
        <f aca="false">SQRT(($B416-BW$401)^2+($C416-BW$402)^2+($D416-BW$403)^2)</f>
        <v>3.31080076154416</v>
      </c>
      <c r="BX416" s="17" t="n">
        <f aca="false">SQRT(($B416-BX$401)^2+($C416-BX$402)^2+($D416-BX$403)^2)</f>
        <v>1.5697384061941</v>
      </c>
      <c r="BY416" s="17" t="n">
        <f aca="false">SQRT(($B416-BY$401)^2+($C416-BY$402)^2+($D416-BY$403)^2)</f>
        <v>2.59565289743709</v>
      </c>
      <c r="BZ416" s="63" t="n">
        <f aca="false">MATCH(MIN(BT416:BY416),BT416:BY416,0)</f>
        <v>3</v>
      </c>
      <c r="CB416" s="17" t="n">
        <f aca="false">SQRT(($B416-CB$401)^2+($C416-CB$402)^2+($D416-CB$403)^2)</f>
        <v>3.73592169912103</v>
      </c>
      <c r="CC416" s="17" t="n">
        <f aca="false">SQRT(($B416-CC$401)^2+($C416-CC$402)^2+($D416-CC$403)^2)</f>
        <v>4.13747446113731</v>
      </c>
      <c r="CD416" s="17" t="n">
        <f aca="false">SQRT(($B416-CD$401)^2+($C416-CD$402)^2+($D416-CD$403)^2)</f>
        <v>0.999568851707177</v>
      </c>
      <c r="CE416" s="17" t="n">
        <f aca="false">SQRT(($B416-CE$401)^2+($C416-CE$402)^2+($D416-CE$403)^2)</f>
        <v>3.31080076154416</v>
      </c>
      <c r="CF416" s="17" t="n">
        <f aca="false">SQRT(($B416-CF$401)^2+($C416-CF$402)^2+($D416-CF$403)^2)</f>
        <v>1.5697384061941</v>
      </c>
      <c r="CG416" s="17" t="n">
        <f aca="false">SQRT(($B416-CG$401)^2+($C416-CG$402)^2+($D416-CG$403)^2)</f>
        <v>2.59565289743709</v>
      </c>
      <c r="CH416" s="63" t="n">
        <f aca="false">MATCH(MIN(CB416:CG416),CB416:CG416,0)</f>
        <v>3</v>
      </c>
      <c r="CJ416" s="17" t="n">
        <f aca="false">SQRT(($B416-CJ$401)^2+($C416-CJ$402)^2+($D416-CJ$403)^2)</f>
        <v>3.73592169912103</v>
      </c>
      <c r="CK416" s="17" t="n">
        <f aca="false">SQRT(($B416-CK$401)^2+($C416-CK$402)^2+($D416-CK$403)^2)</f>
        <v>4.13747446113731</v>
      </c>
      <c r="CL416" s="17" t="n">
        <f aca="false">SQRT(($B416-CL$401)^2+($C416-CL$402)^2+($D416-CL$403)^2)</f>
        <v>0.999568851707177</v>
      </c>
      <c r="CM416" s="17" t="n">
        <f aca="false">SQRT(($B416-CM$401)^2+($C416-CM$402)^2+($D416-CM$403)^2)</f>
        <v>3.31080076154416</v>
      </c>
      <c r="CN416" s="17" t="n">
        <f aca="false">SQRT(($B416-CN$401)^2+($C416-CN$402)^2+($D416-CN$403)^2)</f>
        <v>1.5697384061941</v>
      </c>
      <c r="CO416" s="17" t="n">
        <f aca="false">SQRT(($B416-CO$401)^2+($C416-CO$402)^2+($D416-CO$403)^2)</f>
        <v>2.59565289743709</v>
      </c>
      <c r="CP416" s="63" t="n">
        <f aca="false">MATCH(MIN(CJ416:CO416),CJ416:CO416,0)</f>
        <v>3</v>
      </c>
      <c r="CR416" s="17" t="n">
        <f aca="false">SQRT(($B416-CR$401)^2+($C416-CR$402)^2+($D416-CR$403)^2)</f>
        <v>3.73592169912103</v>
      </c>
      <c r="CS416" s="17" t="n">
        <f aca="false">SQRT(($B416-CS$401)^2+($C416-CS$402)^2+($D416-CS$403)^2)</f>
        <v>4.13747446113731</v>
      </c>
      <c r="CT416" s="17" t="n">
        <f aca="false">SQRT(($B416-CT$401)^2+($C416-CT$402)^2+($D416-CT$403)^2)</f>
        <v>0.999568851707177</v>
      </c>
      <c r="CU416" s="17" t="n">
        <f aca="false">SQRT(($B416-CU$401)^2+($C416-CU$402)^2+($D416-CU$403)^2)</f>
        <v>3.31080076154416</v>
      </c>
      <c r="CV416" s="17" t="n">
        <f aca="false">SQRT(($B416-CV$401)^2+($C416-CV$402)^2+($D416-CV$403)^2)</f>
        <v>1.5697384061941</v>
      </c>
      <c r="CW416" s="17" t="n">
        <f aca="false">SQRT(($B416-CW$401)^2+($C416-CW$402)^2+($D416-CW$403)^2)</f>
        <v>2.59565289743709</v>
      </c>
      <c r="CX416" s="63" t="n">
        <f aca="false">MATCH(MIN(CR416:CW416),CR416:CW416,0)</f>
        <v>3</v>
      </c>
      <c r="CZ416" s="17" t="n">
        <f aca="false">SQRT(($B416-CZ$401)^2+($C416-CZ$402)^2+($D416-CZ$403)^2)</f>
        <v>3.73592169912103</v>
      </c>
      <c r="DA416" s="17" t="n">
        <f aca="false">SQRT(($B416-DA$401)^2+($C416-DA$402)^2+($D416-DA$403)^2)</f>
        <v>4.13747446113731</v>
      </c>
      <c r="DB416" s="17" t="n">
        <f aca="false">SQRT(($B416-DB$401)^2+($C416-DB$402)^2+($D416-DB$403)^2)</f>
        <v>0.999568851707177</v>
      </c>
      <c r="DC416" s="17" t="n">
        <f aca="false">SQRT(($B416-DC$401)^2+($C416-DC$402)^2+($D416-DC$403)^2)</f>
        <v>3.31080076154416</v>
      </c>
      <c r="DD416" s="17" t="n">
        <f aca="false">SQRT(($B416-DD$401)^2+($C416-DD$402)^2+($D416-DD$403)^2)</f>
        <v>1.5697384061941</v>
      </c>
      <c r="DE416" s="17" t="n">
        <f aca="false">SQRT(($B416-DE$401)^2+($C416-DE$402)^2+($D416-DE$403)^2)</f>
        <v>2.59565289743709</v>
      </c>
      <c r="DF416" s="63" t="n">
        <f aca="false">MATCH(MIN(CZ416:DE416),CZ416:DE416,0)</f>
        <v>3</v>
      </c>
      <c r="DH416" s="17" t="n">
        <f aca="false">SQRT(($B416-DH$401)^2+($C416-DH$402)^2+($D416-DH$403)^2)</f>
        <v>3.73592169912103</v>
      </c>
      <c r="DI416" s="17" t="n">
        <f aca="false">SQRT(($B416-DI$401)^2+($C416-DI$402)^2+($D416-DI$403)^2)</f>
        <v>4.13747446113731</v>
      </c>
      <c r="DJ416" s="17" t="n">
        <f aca="false">SQRT(($B416-DJ$401)^2+($C416-DJ$402)^2+($D416-DJ$403)^2)</f>
        <v>0.999568851707177</v>
      </c>
      <c r="DK416" s="17" t="n">
        <f aca="false">SQRT(($B416-DK$401)^2+($C416-DK$402)^2+($D416-DK$403)^2)</f>
        <v>3.31080076154416</v>
      </c>
      <c r="DL416" s="17" t="n">
        <f aca="false">SQRT(($B416-DL$401)^2+($C416-DL$402)^2+($D416-DL$403)^2)</f>
        <v>1.5697384061941</v>
      </c>
      <c r="DM416" s="17" t="n">
        <f aca="false">SQRT(($B416-DM$401)^2+($C416-DM$402)^2+($D416-DM$403)^2)</f>
        <v>2.59565289743709</v>
      </c>
      <c r="DN416" s="63" t="n">
        <f aca="false">MATCH(MIN(DH416:DM416),DH416:DM416,0)</f>
        <v>3</v>
      </c>
    </row>
    <row r="417" customFormat="false" ht="15" hidden="false" customHeight="false" outlineLevel="0" collapsed="false">
      <c r="A417" s="36" t="str">
        <f aca="false">KMeans_Data!A14</f>
        <v>Raiwind</v>
      </c>
      <c r="B417" s="17" t="n">
        <f aca="false">KMeans_Data!H14</f>
        <v>1.20153859722623</v>
      </c>
      <c r="C417" s="17" t="n">
        <f aca="false">KMeans_Data!I14</f>
        <v>-0.146983133929529</v>
      </c>
      <c r="D417" s="17" t="n">
        <f aca="false">KMeans_Data!J14</f>
        <v>-0.824446015898766</v>
      </c>
      <c r="E417" s="63" t="n">
        <f aca="false">DN417</f>
        <v>4</v>
      </c>
      <c r="F417" s="38" t="n">
        <f aca="false">($B417-INDEX($L$401:$Q$401,E417))^2+($C417-INDEX($L$402:$Q$402,E417))^2+($D417-INDEX($L$403:$Q$403,E417))^2</f>
        <v>1.30925918741854</v>
      </c>
      <c r="G417" s="17" t="n">
        <f aca="false">IF(COUNTIF(Distance_Matrix!$E$12:$DQ$12,$E417)&lt;=1,0,SUMIF(Distance_Matrix!$E$12:$DQ$12,$E417,Distance_Matrix!$E$23:$DQ$23)/(COUNTIF(Distance_Matrix!$E$12:$DQ$12,$E417)-1))</f>
        <v>1.2770509573371</v>
      </c>
      <c r="H417" s="17" t="n">
        <f aca="false">MIN(IF(1=$E417,1E+099,IF(COUNTIF(Distance_Matrix!$E$12:$DQ$12,1)=0,1E+099,SUMIF(Distance_Matrix!$E$12:$DQ$12,1,Distance_Matrix!$E$23:$DQ$23)/COUNTIF(Distance_Matrix!$E$12:$DQ$12,1))),IF(2=$E417,1E+099,IF(COUNTIF(Distance_Matrix!$E$12:$DQ$12,2)=0,1E+099,SUMIF(Distance_Matrix!$E$12:$DQ$12,2,Distance_Matrix!$E$23:$DQ$23)/COUNTIF(Distance_Matrix!$E$12:$DQ$12,2))),IF(3=$E417,1E+099,IF(COUNTIF(Distance_Matrix!$E$12:$DQ$12,3)=0,1E+099,SUMIF(Distance_Matrix!$E$12:$DQ$12,3,Distance_Matrix!$E$23:$DQ$23)/COUNTIF(Distance_Matrix!$E$12:$DQ$12,3))),IF(4=$E417,1E+099,IF(COUNTIF(Distance_Matrix!$E$12:$DQ$12,4)=0,1E+099,SUMIF(Distance_Matrix!$E$12:$DQ$12,4,Distance_Matrix!$E$23:$DQ$23)/COUNTIF(Distance_Matrix!$E$12:$DQ$12,4))),IF(5=$E417,1E+099,IF(COUNTIF(Distance_Matrix!$E$12:$DQ$12,5)=0,1E+099,SUMIF(Distance_Matrix!$E$12:$DQ$12,5,Distance_Matrix!$E$23:$DQ$23)/COUNTIF(Distance_Matrix!$E$12:$DQ$12,5))),IF(6=$E417,1E+099,IF(COUNTIF(Distance_Matrix!$E$12:$DQ$12,6)=0,1E+099,SUMIF(Distance_Matrix!$E$12:$DQ$12,6,Distance_Matrix!$E$23:$DQ$23)/COUNTIF(Distance_Matrix!$E$12:$DQ$12,6))))</f>
        <v>1.85499450822763</v>
      </c>
      <c r="I417" s="17" t="n">
        <f aca="false">IF(COUNTIF(Distance_Matrix!$E$12:$DQ$12,$E417)&lt;=1,0,(H417-G417)/MAX(G417,H417))</f>
        <v>0.311560788092427</v>
      </c>
      <c r="X417" s="17" t="n">
        <f aca="false">SQRT(($B417-X$401)^2+($C417-X$402)^2+($D417-X$403)^2)</f>
        <v>6.20006570834277</v>
      </c>
      <c r="Y417" s="17" t="n">
        <f aca="false">SQRT(($B417-Y$401)^2+($C417-Y$402)^2+($D417-Y$403)^2)</f>
        <v>3.33860306644569</v>
      </c>
      <c r="Z417" s="17" t="n">
        <f aca="false">SQRT(($B417-Z$401)^2+($C417-Z$402)^2+($D417-Z$403)^2)</f>
        <v>2.36000592513328</v>
      </c>
      <c r="AA417" s="17" t="n">
        <f aca="false">SQRT(($B417-AA$401)^2+($C417-AA$402)^2+($D417-AA$403)^2)</f>
        <v>0.641992769976189</v>
      </c>
      <c r="AB417" s="17" t="n">
        <f aca="false">SQRT(($B417-AB$401)^2+($C417-AB$402)^2+($D417-AB$403)^2)</f>
        <v>4.18702513988167</v>
      </c>
      <c r="AC417" s="17" t="n">
        <f aca="false">SQRT(($B417-AC$401)^2+($C417-AC$402)^2+($D417-AC$403)^2)</f>
        <v>2.39802235423193</v>
      </c>
      <c r="AD417" s="63" t="n">
        <f aca="false">MATCH(MIN(X417:AC417),X417:AC417,0)</f>
        <v>4</v>
      </c>
      <c r="AF417" s="17" t="n">
        <f aca="false">SQRT(($B417-AF$401)^2+($C417-AF$402)^2+($D417-AF$403)^2)</f>
        <v>6.05286336204624</v>
      </c>
      <c r="AG417" s="17" t="n">
        <f aca="false">SQRT(($B417-AG$401)^2+($C417-AG$402)^2+($D417-AG$403)^2)</f>
        <v>2.58614080332524</v>
      </c>
      <c r="AH417" s="17" t="n">
        <f aca="false">SQRT(($B417-AH$401)^2+($C417-AH$402)^2+($D417-AH$403)^2)</f>
        <v>2.07168962498349</v>
      </c>
      <c r="AI417" s="17" t="n">
        <f aca="false">SQRT(($B417-AI$401)^2+($C417-AI$402)^2+($D417-AI$403)^2)</f>
        <v>1.12794365322946</v>
      </c>
      <c r="AJ417" s="17" t="n">
        <f aca="false">SQRT(($B417-AJ$401)^2+($C417-AJ$402)^2+($D417-AJ$403)^2)</f>
        <v>3.85110075063731</v>
      </c>
      <c r="AK417" s="17" t="n">
        <f aca="false">SQRT(($B417-AK$401)^2+($C417-AK$402)^2+($D417-AK$403)^2)</f>
        <v>1.78916975771435</v>
      </c>
      <c r="AL417" s="63" t="n">
        <f aca="false">MATCH(MIN(AF417:AK417),AF417:AK417,0)</f>
        <v>4</v>
      </c>
      <c r="AN417" s="17" t="n">
        <f aca="false">SQRT(($B417-AN$401)^2+($C417-AN$402)^2+($D417-AN$403)^2)</f>
        <v>6.05286336204624</v>
      </c>
      <c r="AO417" s="17" t="n">
        <f aca="false">SQRT(($B417-AO$401)^2+($C417-AO$402)^2+($D417-AO$403)^2)</f>
        <v>2.54261244778151</v>
      </c>
      <c r="AP417" s="17" t="n">
        <f aca="false">SQRT(($B417-AP$401)^2+($C417-AP$402)^2+($D417-AP$403)^2)</f>
        <v>2.05983641939888</v>
      </c>
      <c r="AQ417" s="17" t="n">
        <f aca="false">SQRT(($B417-AQ$401)^2+($C417-AQ$402)^2+($D417-AQ$403)^2)</f>
        <v>1.14422864298117</v>
      </c>
      <c r="AR417" s="17" t="n">
        <f aca="false">SQRT(($B417-AR$401)^2+($C417-AR$402)^2+($D417-AR$403)^2)</f>
        <v>3.85110075063731</v>
      </c>
      <c r="AS417" s="17" t="n">
        <f aca="false">SQRT(($B417-AS$401)^2+($C417-AS$402)^2+($D417-AS$403)^2)</f>
        <v>1.76898013927078</v>
      </c>
      <c r="AT417" s="63" t="n">
        <f aca="false">MATCH(MIN(AN417:AS417),AN417:AS417,0)</f>
        <v>4</v>
      </c>
      <c r="AV417" s="17" t="n">
        <f aca="false">SQRT(($B417-AV$401)^2+($C417-AV$402)^2+($D417-AV$403)^2)</f>
        <v>6.05286336204624</v>
      </c>
      <c r="AW417" s="17" t="n">
        <f aca="false">SQRT(($B417-AW$401)^2+($C417-AW$402)^2+($D417-AW$403)^2)</f>
        <v>2.52191102810876</v>
      </c>
      <c r="AX417" s="17" t="n">
        <f aca="false">SQRT(($B417-AX$401)^2+($C417-AX$402)^2+($D417-AX$403)^2)</f>
        <v>2.05983641939888</v>
      </c>
      <c r="AY417" s="17" t="n">
        <f aca="false">SQRT(($B417-AY$401)^2+($C417-AY$402)^2+($D417-AY$403)^2)</f>
        <v>1.14422864298117</v>
      </c>
      <c r="AZ417" s="17" t="n">
        <f aca="false">SQRT(($B417-AZ$401)^2+($C417-AZ$402)^2+($D417-AZ$403)^2)</f>
        <v>3.85110075063731</v>
      </c>
      <c r="BA417" s="17" t="n">
        <f aca="false">SQRT(($B417-BA$401)^2+($C417-BA$402)^2+($D417-BA$403)^2)</f>
        <v>1.76464665598648</v>
      </c>
      <c r="BB417" s="63" t="n">
        <f aca="false">MATCH(MIN(AV417:BA417),AV417:BA417,0)</f>
        <v>4</v>
      </c>
      <c r="BD417" s="17" t="n">
        <f aca="false">SQRT(($B417-BD$401)^2+($C417-BD$402)^2+($D417-BD$403)^2)</f>
        <v>6.05286336204624</v>
      </c>
      <c r="BE417" s="17" t="n">
        <f aca="false">SQRT(($B417-BE$401)^2+($C417-BE$402)^2+($D417-BE$403)^2)</f>
        <v>2.50434726449954</v>
      </c>
      <c r="BF417" s="17" t="n">
        <f aca="false">SQRT(($B417-BF$401)^2+($C417-BF$402)^2+($D417-BF$403)^2)</f>
        <v>2.05983641939888</v>
      </c>
      <c r="BG417" s="17" t="n">
        <f aca="false">SQRT(($B417-BG$401)^2+($C417-BG$402)^2+($D417-BG$403)^2)</f>
        <v>1.14422864298117</v>
      </c>
      <c r="BH417" s="17" t="n">
        <f aca="false">SQRT(($B417-BH$401)^2+($C417-BH$402)^2+($D417-BH$403)^2)</f>
        <v>3.85110075063731</v>
      </c>
      <c r="BI417" s="17" t="n">
        <f aca="false">SQRT(($B417-BI$401)^2+($C417-BI$402)^2+($D417-BI$403)^2)</f>
        <v>1.75775843280929</v>
      </c>
      <c r="BJ417" s="63" t="n">
        <f aca="false">MATCH(MIN(BD417:BI417),BD417:BI417,0)</f>
        <v>4</v>
      </c>
      <c r="BL417" s="17" t="n">
        <f aca="false">SQRT(($B417-BL$401)^2+($C417-BL$402)^2+($D417-BL$403)^2)</f>
        <v>6.05286336204624</v>
      </c>
      <c r="BM417" s="17" t="n">
        <f aca="false">SQRT(($B417-BM$401)^2+($C417-BM$402)^2+($D417-BM$403)^2)</f>
        <v>2.50434726449954</v>
      </c>
      <c r="BN417" s="17" t="n">
        <f aca="false">SQRT(($B417-BN$401)^2+($C417-BN$402)^2+($D417-BN$403)^2)</f>
        <v>2.05983641939888</v>
      </c>
      <c r="BO417" s="17" t="n">
        <f aca="false">SQRT(($B417-BO$401)^2+($C417-BO$402)^2+($D417-BO$403)^2)</f>
        <v>1.14422864298117</v>
      </c>
      <c r="BP417" s="17" t="n">
        <f aca="false">SQRT(($B417-BP$401)^2+($C417-BP$402)^2+($D417-BP$403)^2)</f>
        <v>3.85110075063731</v>
      </c>
      <c r="BQ417" s="17" t="n">
        <f aca="false">SQRT(($B417-BQ$401)^2+($C417-BQ$402)^2+($D417-BQ$403)^2)</f>
        <v>1.75775843280929</v>
      </c>
      <c r="BR417" s="63" t="n">
        <f aca="false">MATCH(MIN(BL417:BQ417),BL417:BQ417,0)</f>
        <v>4</v>
      </c>
      <c r="BT417" s="17" t="n">
        <f aca="false">SQRT(($B417-BT$401)^2+($C417-BT$402)^2+($D417-BT$403)^2)</f>
        <v>6.05286336204624</v>
      </c>
      <c r="BU417" s="17" t="n">
        <f aca="false">SQRT(($B417-BU$401)^2+($C417-BU$402)^2+($D417-BU$403)^2)</f>
        <v>2.50434726449954</v>
      </c>
      <c r="BV417" s="17" t="n">
        <f aca="false">SQRT(($B417-BV$401)^2+($C417-BV$402)^2+($D417-BV$403)^2)</f>
        <v>2.05983641939888</v>
      </c>
      <c r="BW417" s="17" t="n">
        <f aca="false">SQRT(($B417-BW$401)^2+($C417-BW$402)^2+($D417-BW$403)^2)</f>
        <v>1.14422864298117</v>
      </c>
      <c r="BX417" s="17" t="n">
        <f aca="false">SQRT(($B417-BX$401)^2+($C417-BX$402)^2+($D417-BX$403)^2)</f>
        <v>3.85110075063731</v>
      </c>
      <c r="BY417" s="17" t="n">
        <f aca="false">SQRT(($B417-BY$401)^2+($C417-BY$402)^2+($D417-BY$403)^2)</f>
        <v>1.75775843280929</v>
      </c>
      <c r="BZ417" s="63" t="n">
        <f aca="false">MATCH(MIN(BT417:BY417),BT417:BY417,0)</f>
        <v>4</v>
      </c>
      <c r="CB417" s="17" t="n">
        <f aca="false">SQRT(($B417-CB$401)^2+($C417-CB$402)^2+($D417-CB$403)^2)</f>
        <v>6.05286336204624</v>
      </c>
      <c r="CC417" s="17" t="n">
        <f aca="false">SQRT(($B417-CC$401)^2+($C417-CC$402)^2+($D417-CC$403)^2)</f>
        <v>2.50434726449954</v>
      </c>
      <c r="CD417" s="17" t="n">
        <f aca="false">SQRT(($B417-CD$401)^2+($C417-CD$402)^2+($D417-CD$403)^2)</f>
        <v>2.05983641939888</v>
      </c>
      <c r="CE417" s="17" t="n">
        <f aca="false">SQRT(($B417-CE$401)^2+($C417-CE$402)^2+($D417-CE$403)^2)</f>
        <v>1.14422864298117</v>
      </c>
      <c r="CF417" s="17" t="n">
        <f aca="false">SQRT(($B417-CF$401)^2+($C417-CF$402)^2+($D417-CF$403)^2)</f>
        <v>3.85110075063731</v>
      </c>
      <c r="CG417" s="17" t="n">
        <f aca="false">SQRT(($B417-CG$401)^2+($C417-CG$402)^2+($D417-CG$403)^2)</f>
        <v>1.75775843280929</v>
      </c>
      <c r="CH417" s="63" t="n">
        <f aca="false">MATCH(MIN(CB417:CG417),CB417:CG417,0)</f>
        <v>4</v>
      </c>
      <c r="CJ417" s="17" t="n">
        <f aca="false">SQRT(($B417-CJ$401)^2+($C417-CJ$402)^2+($D417-CJ$403)^2)</f>
        <v>6.05286336204624</v>
      </c>
      <c r="CK417" s="17" t="n">
        <f aca="false">SQRT(($B417-CK$401)^2+($C417-CK$402)^2+($D417-CK$403)^2)</f>
        <v>2.50434726449954</v>
      </c>
      <c r="CL417" s="17" t="n">
        <f aca="false">SQRT(($B417-CL$401)^2+($C417-CL$402)^2+($D417-CL$403)^2)</f>
        <v>2.05983641939888</v>
      </c>
      <c r="CM417" s="17" t="n">
        <f aca="false">SQRT(($B417-CM$401)^2+($C417-CM$402)^2+($D417-CM$403)^2)</f>
        <v>1.14422864298117</v>
      </c>
      <c r="CN417" s="17" t="n">
        <f aca="false">SQRT(($B417-CN$401)^2+($C417-CN$402)^2+($D417-CN$403)^2)</f>
        <v>3.85110075063731</v>
      </c>
      <c r="CO417" s="17" t="n">
        <f aca="false">SQRT(($B417-CO$401)^2+($C417-CO$402)^2+($D417-CO$403)^2)</f>
        <v>1.75775843280929</v>
      </c>
      <c r="CP417" s="63" t="n">
        <f aca="false">MATCH(MIN(CJ417:CO417),CJ417:CO417,0)</f>
        <v>4</v>
      </c>
      <c r="CR417" s="17" t="n">
        <f aca="false">SQRT(($B417-CR$401)^2+($C417-CR$402)^2+($D417-CR$403)^2)</f>
        <v>6.05286336204624</v>
      </c>
      <c r="CS417" s="17" t="n">
        <f aca="false">SQRT(($B417-CS$401)^2+($C417-CS$402)^2+($D417-CS$403)^2)</f>
        <v>2.50434726449954</v>
      </c>
      <c r="CT417" s="17" t="n">
        <f aca="false">SQRT(($B417-CT$401)^2+($C417-CT$402)^2+($D417-CT$403)^2)</f>
        <v>2.05983641939888</v>
      </c>
      <c r="CU417" s="17" t="n">
        <f aca="false">SQRT(($B417-CU$401)^2+($C417-CU$402)^2+($D417-CU$403)^2)</f>
        <v>1.14422864298117</v>
      </c>
      <c r="CV417" s="17" t="n">
        <f aca="false">SQRT(($B417-CV$401)^2+($C417-CV$402)^2+($D417-CV$403)^2)</f>
        <v>3.85110075063731</v>
      </c>
      <c r="CW417" s="17" t="n">
        <f aca="false">SQRT(($B417-CW$401)^2+($C417-CW$402)^2+($D417-CW$403)^2)</f>
        <v>1.75775843280929</v>
      </c>
      <c r="CX417" s="63" t="n">
        <f aca="false">MATCH(MIN(CR417:CW417),CR417:CW417,0)</f>
        <v>4</v>
      </c>
      <c r="CZ417" s="17" t="n">
        <f aca="false">SQRT(($B417-CZ$401)^2+($C417-CZ$402)^2+($D417-CZ$403)^2)</f>
        <v>6.05286336204624</v>
      </c>
      <c r="DA417" s="17" t="n">
        <f aca="false">SQRT(($B417-DA$401)^2+($C417-DA$402)^2+($D417-DA$403)^2)</f>
        <v>2.50434726449954</v>
      </c>
      <c r="DB417" s="17" t="n">
        <f aca="false">SQRT(($B417-DB$401)^2+($C417-DB$402)^2+($D417-DB$403)^2)</f>
        <v>2.05983641939888</v>
      </c>
      <c r="DC417" s="17" t="n">
        <f aca="false">SQRT(($B417-DC$401)^2+($C417-DC$402)^2+($D417-DC$403)^2)</f>
        <v>1.14422864298117</v>
      </c>
      <c r="DD417" s="17" t="n">
        <f aca="false">SQRT(($B417-DD$401)^2+($C417-DD$402)^2+($D417-DD$403)^2)</f>
        <v>3.85110075063731</v>
      </c>
      <c r="DE417" s="17" t="n">
        <f aca="false">SQRT(($B417-DE$401)^2+($C417-DE$402)^2+($D417-DE$403)^2)</f>
        <v>1.75775843280929</v>
      </c>
      <c r="DF417" s="63" t="n">
        <f aca="false">MATCH(MIN(CZ417:DE417),CZ417:DE417,0)</f>
        <v>4</v>
      </c>
      <c r="DH417" s="17" t="n">
        <f aca="false">SQRT(($B417-DH$401)^2+($C417-DH$402)^2+($D417-DH$403)^2)</f>
        <v>6.05286336204624</v>
      </c>
      <c r="DI417" s="17" t="n">
        <f aca="false">SQRT(($B417-DI$401)^2+($C417-DI$402)^2+($D417-DI$403)^2)</f>
        <v>2.50434726449954</v>
      </c>
      <c r="DJ417" s="17" t="n">
        <f aca="false">SQRT(($B417-DJ$401)^2+($C417-DJ$402)^2+($D417-DJ$403)^2)</f>
        <v>2.05983641939888</v>
      </c>
      <c r="DK417" s="17" t="n">
        <f aca="false">SQRT(($B417-DK$401)^2+($C417-DK$402)^2+($D417-DK$403)^2)</f>
        <v>1.14422864298117</v>
      </c>
      <c r="DL417" s="17" t="n">
        <f aca="false">SQRT(($B417-DL$401)^2+($C417-DL$402)^2+($D417-DL$403)^2)</f>
        <v>3.85110075063731</v>
      </c>
      <c r="DM417" s="17" t="n">
        <f aca="false">SQRT(($B417-DM$401)^2+($C417-DM$402)^2+($D417-DM$403)^2)</f>
        <v>1.75775843280929</v>
      </c>
      <c r="DN417" s="63" t="n">
        <f aca="false">MATCH(MIN(DH417:DM417),DH417:DM417,0)</f>
        <v>4</v>
      </c>
    </row>
    <row r="418" customFormat="false" ht="15" hidden="false" customHeight="false" outlineLevel="0" collapsed="false">
      <c r="A418" s="36" t="str">
        <f aca="false">KMeans_Data!A15</f>
        <v>Malakand</v>
      </c>
      <c r="B418" s="17" t="n">
        <f aca="false">KMeans_Data!H15</f>
        <v>1.14106795512792</v>
      </c>
      <c r="C418" s="17" t="n">
        <f aca="false">KMeans_Data!I15</f>
        <v>1.4759954658056</v>
      </c>
      <c r="D418" s="17" t="n">
        <f aca="false">KMeans_Data!J15</f>
        <v>0.988349871383994</v>
      </c>
      <c r="E418" s="63" t="n">
        <f aca="false">DN418</f>
        <v>3</v>
      </c>
      <c r="F418" s="38" t="n">
        <f aca="false">($B418-INDEX($L$401:$Q$401,E418))^2+($C418-INDEX($L$402:$Q$402,E418))^2+($D418-INDEX($L$403:$Q$403,E418))^2</f>
        <v>0.580026778592983</v>
      </c>
      <c r="G418" s="17" t="n">
        <f aca="false">IF(COUNTIF(Distance_Matrix!$E$12:$DQ$12,$E418)&lt;=1,0,SUMIF(Distance_Matrix!$E$12:$DQ$12,$E418,Distance_Matrix!$E$24:$DQ$24)/(COUNTIF(Distance_Matrix!$E$12:$DQ$12,$E418)-1))</f>
        <v>0.970981236185377</v>
      </c>
      <c r="H418" s="17" t="n">
        <f aca="false">MIN(IF(1=$E418,1E+099,IF(COUNTIF(Distance_Matrix!$E$12:$DQ$12,1)=0,1E+099,SUMIF(Distance_Matrix!$E$12:$DQ$12,1,Distance_Matrix!$E$24:$DQ$24)/COUNTIF(Distance_Matrix!$E$12:$DQ$12,1))),IF(2=$E418,1E+099,IF(COUNTIF(Distance_Matrix!$E$12:$DQ$12,2)=0,1E+099,SUMIF(Distance_Matrix!$E$12:$DQ$12,2,Distance_Matrix!$E$24:$DQ$24)/COUNTIF(Distance_Matrix!$E$12:$DQ$12,2))),IF(3=$E418,1E+099,IF(COUNTIF(Distance_Matrix!$E$12:$DQ$12,3)=0,1E+099,SUMIF(Distance_Matrix!$E$12:$DQ$12,3,Distance_Matrix!$E$24:$DQ$24)/COUNTIF(Distance_Matrix!$E$12:$DQ$12,3))),IF(4=$E418,1E+099,IF(COUNTIF(Distance_Matrix!$E$12:$DQ$12,4)=0,1E+099,SUMIF(Distance_Matrix!$E$12:$DQ$12,4,Distance_Matrix!$E$24:$DQ$24)/COUNTIF(Distance_Matrix!$E$12:$DQ$12,4))),IF(5=$E418,1E+099,IF(COUNTIF(Distance_Matrix!$E$12:$DQ$12,5)=0,1E+099,SUMIF(Distance_Matrix!$E$12:$DQ$12,5,Distance_Matrix!$E$24:$DQ$24)/COUNTIF(Distance_Matrix!$E$12:$DQ$12,5))),IF(6=$E418,1E+099,IF(COUNTIF(Distance_Matrix!$E$12:$DQ$12,6)=0,1E+099,SUMIF(Distance_Matrix!$E$12:$DQ$12,6,Distance_Matrix!$E$24:$DQ$24)/COUNTIF(Distance_Matrix!$E$12:$DQ$12,6))))</f>
        <v>1.71171860256316</v>
      </c>
      <c r="I418" s="17" t="n">
        <f aca="false">IF(COUNTIF(Distance_Matrix!$E$12:$DQ$12,$E418)&lt;=1,0,(H418-G418)/MAX(G418,H418))</f>
        <v>0.432744824569056</v>
      </c>
      <c r="X418" s="17" t="n">
        <f aca="false">SQRT(($B418-X$401)^2+($C418-X$402)^2+($D418-X$403)^2)</f>
        <v>4.03066852095808</v>
      </c>
      <c r="Y418" s="17" t="n">
        <f aca="false">SQRT(($B418-Y$401)^2+($C418-Y$402)^2+($D418-Y$403)^2)</f>
        <v>4.42088236717576</v>
      </c>
      <c r="Z418" s="17" t="n">
        <f aca="false">SQRT(($B418-Z$401)^2+($C418-Z$402)^2+($D418-Z$403)^2)</f>
        <v>1.2030082216667</v>
      </c>
      <c r="AA418" s="17" t="n">
        <f aca="false">SQRT(($B418-AA$401)^2+($C418-AA$402)^2+($D418-AA$403)^2)</f>
        <v>2.72642732862461</v>
      </c>
      <c r="AB418" s="17" t="n">
        <f aca="false">SQRT(($B418-AB$401)^2+($C418-AB$402)^2+($D418-AB$403)^2)</f>
        <v>2.02032113545334</v>
      </c>
      <c r="AC418" s="17" t="n">
        <f aca="false">SQRT(($B418-AC$401)^2+($C418-AC$402)^2+($D418-AC$403)^2)</f>
        <v>2.48513489746401</v>
      </c>
      <c r="AD418" s="63" t="n">
        <f aca="false">MATCH(MIN(X418:AC418),X418:AC418,0)</f>
        <v>3</v>
      </c>
      <c r="AF418" s="17" t="n">
        <f aca="false">SQRT(($B418-AF$401)^2+($C418-AF$402)^2+($D418-AF$403)^2)</f>
        <v>3.90985367105557</v>
      </c>
      <c r="AG418" s="17" t="n">
        <f aca="false">SQRT(($B418-AG$401)^2+($C418-AG$402)^2+($D418-AG$403)^2)</f>
        <v>3.86292003613283</v>
      </c>
      <c r="AH418" s="17" t="n">
        <f aca="false">SQRT(($B418-AH$401)^2+($C418-AH$402)^2+($D418-AH$403)^2)</f>
        <v>0.737726947902228</v>
      </c>
      <c r="AI418" s="17" t="n">
        <f aca="false">SQRT(($B418-AI$401)^2+($C418-AI$402)^2+($D418-AI$403)^2)</f>
        <v>2.90662848680741</v>
      </c>
      <c r="AJ418" s="17" t="n">
        <f aca="false">SQRT(($B418-AJ$401)^2+($C418-AJ$402)^2+($D418-AJ$403)^2)</f>
        <v>1.63558230464964</v>
      </c>
      <c r="AK418" s="17" t="n">
        <f aca="false">SQRT(($B418-AK$401)^2+($C418-AK$402)^2+($D418-AK$403)^2)</f>
        <v>2.47453813661914</v>
      </c>
      <c r="AL418" s="63" t="n">
        <f aca="false">MATCH(MIN(AF418:AK418),AF418:AK418,0)</f>
        <v>3</v>
      </c>
      <c r="AN418" s="17" t="n">
        <f aca="false">SQRT(($B418-AN$401)^2+($C418-AN$402)^2+($D418-AN$403)^2)</f>
        <v>3.90985367105557</v>
      </c>
      <c r="AO418" s="17" t="n">
        <f aca="false">SQRT(($B418-AO$401)^2+($C418-AO$402)^2+($D418-AO$403)^2)</f>
        <v>3.82509710903262</v>
      </c>
      <c r="AP418" s="17" t="n">
        <f aca="false">SQRT(($B418-AP$401)^2+($C418-AP$402)^2+($D418-AP$403)^2)</f>
        <v>0.761594891391075</v>
      </c>
      <c r="AQ418" s="17" t="n">
        <f aca="false">SQRT(($B418-AQ$401)^2+($C418-AQ$402)^2+($D418-AQ$403)^2)</f>
        <v>2.93334514902073</v>
      </c>
      <c r="AR418" s="17" t="n">
        <f aca="false">SQRT(($B418-AR$401)^2+($C418-AR$402)^2+($D418-AR$403)^2)</f>
        <v>1.63558230464964</v>
      </c>
      <c r="AS418" s="17" t="n">
        <f aca="false">SQRT(($B418-AS$401)^2+($C418-AS$402)^2+($D418-AS$403)^2)</f>
        <v>2.44073425828846</v>
      </c>
      <c r="AT418" s="63" t="n">
        <f aca="false">MATCH(MIN(AN418:AS418),AN418:AS418,0)</f>
        <v>3</v>
      </c>
      <c r="AV418" s="17" t="n">
        <f aca="false">SQRT(($B418-AV$401)^2+($C418-AV$402)^2+($D418-AV$403)^2)</f>
        <v>3.90985367105557</v>
      </c>
      <c r="AW418" s="17" t="n">
        <f aca="false">SQRT(($B418-AW$401)^2+($C418-AW$402)^2+($D418-AW$403)^2)</f>
        <v>3.79966367828335</v>
      </c>
      <c r="AX418" s="17" t="n">
        <f aca="false">SQRT(($B418-AX$401)^2+($C418-AX$402)^2+($D418-AX$403)^2)</f>
        <v>0.761594891391075</v>
      </c>
      <c r="AY418" s="17" t="n">
        <f aca="false">SQRT(($B418-AY$401)^2+($C418-AY$402)^2+($D418-AY$403)^2)</f>
        <v>2.93334514902073</v>
      </c>
      <c r="AZ418" s="17" t="n">
        <f aca="false">SQRT(($B418-AZ$401)^2+($C418-AZ$402)^2+($D418-AZ$403)^2)</f>
        <v>1.63558230464964</v>
      </c>
      <c r="BA418" s="17" t="n">
        <f aca="false">SQRT(($B418-BA$401)^2+($C418-BA$402)^2+($D418-BA$403)^2)</f>
        <v>2.41873524281482</v>
      </c>
      <c r="BB418" s="63" t="n">
        <f aca="false">MATCH(MIN(AV418:BA418),AV418:BA418,0)</f>
        <v>3</v>
      </c>
      <c r="BD418" s="17" t="n">
        <f aca="false">SQRT(($B418-BD$401)^2+($C418-BD$402)^2+($D418-BD$403)^2)</f>
        <v>3.90985367105557</v>
      </c>
      <c r="BE418" s="17" t="n">
        <f aca="false">SQRT(($B418-BE$401)^2+($C418-BE$402)^2+($D418-BE$403)^2)</f>
        <v>3.77559715743181</v>
      </c>
      <c r="BF418" s="17" t="n">
        <f aca="false">SQRT(($B418-BF$401)^2+($C418-BF$402)^2+($D418-BF$403)^2)</f>
        <v>0.761594891391075</v>
      </c>
      <c r="BG418" s="17" t="n">
        <f aca="false">SQRT(($B418-BG$401)^2+($C418-BG$402)^2+($D418-BG$403)^2)</f>
        <v>2.93334514902073</v>
      </c>
      <c r="BH418" s="17" t="n">
        <f aca="false">SQRT(($B418-BH$401)^2+($C418-BH$402)^2+($D418-BH$403)^2)</f>
        <v>1.63558230464964</v>
      </c>
      <c r="BI418" s="17" t="n">
        <f aca="false">SQRT(($B418-BI$401)^2+($C418-BI$402)^2+($D418-BI$403)^2)</f>
        <v>2.39550525626067</v>
      </c>
      <c r="BJ418" s="63" t="n">
        <f aca="false">MATCH(MIN(BD418:BI418),BD418:BI418,0)</f>
        <v>3</v>
      </c>
      <c r="BL418" s="17" t="n">
        <f aca="false">SQRT(($B418-BL$401)^2+($C418-BL$402)^2+($D418-BL$403)^2)</f>
        <v>3.90985367105557</v>
      </c>
      <c r="BM418" s="17" t="n">
        <f aca="false">SQRT(($B418-BM$401)^2+($C418-BM$402)^2+($D418-BM$403)^2)</f>
        <v>3.77559715743181</v>
      </c>
      <c r="BN418" s="17" t="n">
        <f aca="false">SQRT(($B418-BN$401)^2+($C418-BN$402)^2+($D418-BN$403)^2)</f>
        <v>0.761594891391075</v>
      </c>
      <c r="BO418" s="17" t="n">
        <f aca="false">SQRT(($B418-BO$401)^2+($C418-BO$402)^2+($D418-BO$403)^2)</f>
        <v>2.93334514902073</v>
      </c>
      <c r="BP418" s="17" t="n">
        <f aca="false">SQRT(($B418-BP$401)^2+($C418-BP$402)^2+($D418-BP$403)^2)</f>
        <v>1.63558230464964</v>
      </c>
      <c r="BQ418" s="17" t="n">
        <f aca="false">SQRT(($B418-BQ$401)^2+($C418-BQ$402)^2+($D418-BQ$403)^2)</f>
        <v>2.39550525626067</v>
      </c>
      <c r="BR418" s="63" t="n">
        <f aca="false">MATCH(MIN(BL418:BQ418),BL418:BQ418,0)</f>
        <v>3</v>
      </c>
      <c r="BT418" s="17" t="n">
        <f aca="false">SQRT(($B418-BT$401)^2+($C418-BT$402)^2+($D418-BT$403)^2)</f>
        <v>3.90985367105557</v>
      </c>
      <c r="BU418" s="17" t="n">
        <f aca="false">SQRT(($B418-BU$401)^2+($C418-BU$402)^2+($D418-BU$403)^2)</f>
        <v>3.77559715743181</v>
      </c>
      <c r="BV418" s="17" t="n">
        <f aca="false">SQRT(($B418-BV$401)^2+($C418-BV$402)^2+($D418-BV$403)^2)</f>
        <v>0.761594891391075</v>
      </c>
      <c r="BW418" s="17" t="n">
        <f aca="false">SQRT(($B418-BW$401)^2+($C418-BW$402)^2+($D418-BW$403)^2)</f>
        <v>2.93334514902073</v>
      </c>
      <c r="BX418" s="17" t="n">
        <f aca="false">SQRT(($B418-BX$401)^2+($C418-BX$402)^2+($D418-BX$403)^2)</f>
        <v>1.63558230464964</v>
      </c>
      <c r="BY418" s="17" t="n">
        <f aca="false">SQRT(($B418-BY$401)^2+($C418-BY$402)^2+($D418-BY$403)^2)</f>
        <v>2.39550525626067</v>
      </c>
      <c r="BZ418" s="63" t="n">
        <f aca="false">MATCH(MIN(BT418:BY418),BT418:BY418,0)</f>
        <v>3</v>
      </c>
      <c r="CB418" s="17" t="n">
        <f aca="false">SQRT(($B418-CB$401)^2+($C418-CB$402)^2+($D418-CB$403)^2)</f>
        <v>3.90985367105557</v>
      </c>
      <c r="CC418" s="17" t="n">
        <f aca="false">SQRT(($B418-CC$401)^2+($C418-CC$402)^2+($D418-CC$403)^2)</f>
        <v>3.77559715743181</v>
      </c>
      <c r="CD418" s="17" t="n">
        <f aca="false">SQRT(($B418-CD$401)^2+($C418-CD$402)^2+($D418-CD$403)^2)</f>
        <v>0.761594891391075</v>
      </c>
      <c r="CE418" s="17" t="n">
        <f aca="false">SQRT(($B418-CE$401)^2+($C418-CE$402)^2+($D418-CE$403)^2)</f>
        <v>2.93334514902073</v>
      </c>
      <c r="CF418" s="17" t="n">
        <f aca="false">SQRT(($B418-CF$401)^2+($C418-CF$402)^2+($D418-CF$403)^2)</f>
        <v>1.63558230464964</v>
      </c>
      <c r="CG418" s="17" t="n">
        <f aca="false">SQRT(($B418-CG$401)^2+($C418-CG$402)^2+($D418-CG$403)^2)</f>
        <v>2.39550525626067</v>
      </c>
      <c r="CH418" s="63" t="n">
        <f aca="false">MATCH(MIN(CB418:CG418),CB418:CG418,0)</f>
        <v>3</v>
      </c>
      <c r="CJ418" s="17" t="n">
        <f aca="false">SQRT(($B418-CJ$401)^2+($C418-CJ$402)^2+($D418-CJ$403)^2)</f>
        <v>3.90985367105557</v>
      </c>
      <c r="CK418" s="17" t="n">
        <f aca="false">SQRT(($B418-CK$401)^2+($C418-CK$402)^2+($D418-CK$403)^2)</f>
        <v>3.77559715743181</v>
      </c>
      <c r="CL418" s="17" t="n">
        <f aca="false">SQRT(($B418-CL$401)^2+($C418-CL$402)^2+($D418-CL$403)^2)</f>
        <v>0.761594891391075</v>
      </c>
      <c r="CM418" s="17" t="n">
        <f aca="false">SQRT(($B418-CM$401)^2+($C418-CM$402)^2+($D418-CM$403)^2)</f>
        <v>2.93334514902073</v>
      </c>
      <c r="CN418" s="17" t="n">
        <f aca="false">SQRT(($B418-CN$401)^2+($C418-CN$402)^2+($D418-CN$403)^2)</f>
        <v>1.63558230464964</v>
      </c>
      <c r="CO418" s="17" t="n">
        <f aca="false">SQRT(($B418-CO$401)^2+($C418-CO$402)^2+($D418-CO$403)^2)</f>
        <v>2.39550525626067</v>
      </c>
      <c r="CP418" s="63" t="n">
        <f aca="false">MATCH(MIN(CJ418:CO418),CJ418:CO418,0)</f>
        <v>3</v>
      </c>
      <c r="CR418" s="17" t="n">
        <f aca="false">SQRT(($B418-CR$401)^2+($C418-CR$402)^2+($D418-CR$403)^2)</f>
        <v>3.90985367105557</v>
      </c>
      <c r="CS418" s="17" t="n">
        <f aca="false">SQRT(($B418-CS$401)^2+($C418-CS$402)^2+($D418-CS$403)^2)</f>
        <v>3.77559715743181</v>
      </c>
      <c r="CT418" s="17" t="n">
        <f aca="false">SQRT(($B418-CT$401)^2+($C418-CT$402)^2+($D418-CT$403)^2)</f>
        <v>0.761594891391075</v>
      </c>
      <c r="CU418" s="17" t="n">
        <f aca="false">SQRT(($B418-CU$401)^2+($C418-CU$402)^2+($D418-CU$403)^2)</f>
        <v>2.93334514902073</v>
      </c>
      <c r="CV418" s="17" t="n">
        <f aca="false">SQRT(($B418-CV$401)^2+($C418-CV$402)^2+($D418-CV$403)^2)</f>
        <v>1.63558230464964</v>
      </c>
      <c r="CW418" s="17" t="n">
        <f aca="false">SQRT(($B418-CW$401)^2+($C418-CW$402)^2+($D418-CW$403)^2)</f>
        <v>2.39550525626067</v>
      </c>
      <c r="CX418" s="63" t="n">
        <f aca="false">MATCH(MIN(CR418:CW418),CR418:CW418,0)</f>
        <v>3</v>
      </c>
      <c r="CZ418" s="17" t="n">
        <f aca="false">SQRT(($B418-CZ$401)^2+($C418-CZ$402)^2+($D418-CZ$403)^2)</f>
        <v>3.90985367105557</v>
      </c>
      <c r="DA418" s="17" t="n">
        <f aca="false">SQRT(($B418-DA$401)^2+($C418-DA$402)^2+($D418-DA$403)^2)</f>
        <v>3.77559715743181</v>
      </c>
      <c r="DB418" s="17" t="n">
        <f aca="false">SQRT(($B418-DB$401)^2+($C418-DB$402)^2+($D418-DB$403)^2)</f>
        <v>0.761594891391075</v>
      </c>
      <c r="DC418" s="17" t="n">
        <f aca="false">SQRT(($B418-DC$401)^2+($C418-DC$402)^2+($D418-DC$403)^2)</f>
        <v>2.93334514902073</v>
      </c>
      <c r="DD418" s="17" t="n">
        <f aca="false">SQRT(($B418-DD$401)^2+($C418-DD$402)^2+($D418-DD$403)^2)</f>
        <v>1.63558230464964</v>
      </c>
      <c r="DE418" s="17" t="n">
        <f aca="false">SQRT(($B418-DE$401)^2+($C418-DE$402)^2+($D418-DE$403)^2)</f>
        <v>2.39550525626067</v>
      </c>
      <c r="DF418" s="63" t="n">
        <f aca="false">MATCH(MIN(CZ418:DE418),CZ418:DE418,0)</f>
        <v>3</v>
      </c>
      <c r="DH418" s="17" t="n">
        <f aca="false">SQRT(($B418-DH$401)^2+($C418-DH$402)^2+($D418-DH$403)^2)</f>
        <v>3.90985367105557</v>
      </c>
      <c r="DI418" s="17" t="n">
        <f aca="false">SQRT(($B418-DI$401)^2+($C418-DI$402)^2+($D418-DI$403)^2)</f>
        <v>3.77559715743181</v>
      </c>
      <c r="DJ418" s="17" t="n">
        <f aca="false">SQRT(($B418-DJ$401)^2+($C418-DJ$402)^2+($D418-DJ$403)^2)</f>
        <v>0.761594891391075</v>
      </c>
      <c r="DK418" s="17" t="n">
        <f aca="false">SQRT(($B418-DK$401)^2+($C418-DK$402)^2+($D418-DK$403)^2)</f>
        <v>2.93334514902073</v>
      </c>
      <c r="DL418" s="17" t="n">
        <f aca="false">SQRT(($B418-DL$401)^2+($C418-DL$402)^2+($D418-DL$403)^2)</f>
        <v>1.63558230464964</v>
      </c>
      <c r="DM418" s="17" t="n">
        <f aca="false">SQRT(($B418-DM$401)^2+($C418-DM$402)^2+($D418-DM$403)^2)</f>
        <v>2.39550525626067</v>
      </c>
      <c r="DN418" s="63" t="n">
        <f aca="false">MATCH(MIN(DH418:DM418),DH418:DM418,0)</f>
        <v>3</v>
      </c>
    </row>
    <row r="419" customFormat="false" ht="15" hidden="false" customHeight="false" outlineLevel="0" collapsed="false">
      <c r="A419" s="36" t="str">
        <f aca="false">KMeans_Data!A16</f>
        <v>Mardan</v>
      </c>
      <c r="B419" s="17" t="n">
        <f aca="false">KMeans_Data!H16</f>
        <v>1.1269857012341</v>
      </c>
      <c r="C419" s="17" t="n">
        <f aca="false">KMeans_Data!I16</f>
        <v>1.76847331707728</v>
      </c>
      <c r="D419" s="17" t="n">
        <f aca="false">KMeans_Data!J16</f>
        <v>1.16687696458076</v>
      </c>
      <c r="E419" s="63" t="n">
        <f aca="false">DN419</f>
        <v>3</v>
      </c>
      <c r="F419" s="38" t="n">
        <f aca="false">($B419-INDEX($L$401:$Q$401,E419))^2+($C419-INDEX($L$402:$Q$402,E419))^2+($D419-INDEX($L$403:$Q$403,E419))^2</f>
        <v>1.0852663560814</v>
      </c>
      <c r="G419" s="17" t="n">
        <f aca="false">IF(COUNTIF(Distance_Matrix!$E$12:$DQ$12,$E419)&lt;=1,0,SUMIF(Distance_Matrix!$E$12:$DQ$12,$E419,Distance_Matrix!$E$25:$DQ$25)/(COUNTIF(Distance_Matrix!$E$12:$DQ$12,$E419)-1))</f>
        <v>1.19936829248706</v>
      </c>
      <c r="H419" s="17" t="n">
        <f aca="false">MIN(IF(1=$E419,1E+099,IF(COUNTIF(Distance_Matrix!$E$12:$DQ$12,1)=0,1E+099,SUMIF(Distance_Matrix!$E$12:$DQ$12,1,Distance_Matrix!$E$25:$DQ$25)/COUNTIF(Distance_Matrix!$E$12:$DQ$12,1))),IF(2=$E419,1E+099,IF(COUNTIF(Distance_Matrix!$E$12:$DQ$12,2)=0,1E+099,SUMIF(Distance_Matrix!$E$12:$DQ$12,2,Distance_Matrix!$E$25:$DQ$25)/COUNTIF(Distance_Matrix!$E$12:$DQ$12,2))),IF(3=$E419,1E+099,IF(COUNTIF(Distance_Matrix!$E$12:$DQ$12,3)=0,1E+099,SUMIF(Distance_Matrix!$E$12:$DQ$12,3,Distance_Matrix!$E$25:$DQ$25)/COUNTIF(Distance_Matrix!$E$12:$DQ$12,3))),IF(4=$E419,1E+099,IF(COUNTIF(Distance_Matrix!$E$12:$DQ$12,4)=0,1E+099,SUMIF(Distance_Matrix!$E$12:$DQ$12,4,Distance_Matrix!$E$25:$DQ$25)/COUNTIF(Distance_Matrix!$E$12:$DQ$12,4))),IF(5=$E419,1E+099,IF(COUNTIF(Distance_Matrix!$E$12:$DQ$12,5)=0,1E+099,SUMIF(Distance_Matrix!$E$12:$DQ$12,5,Distance_Matrix!$E$25:$DQ$25)/COUNTIF(Distance_Matrix!$E$12:$DQ$12,5))),IF(6=$E419,1E+099,IF(COUNTIF(Distance_Matrix!$E$12:$DQ$12,6)=0,1E+099,SUMIF(Distance_Matrix!$E$12:$DQ$12,6,Distance_Matrix!$E$25:$DQ$25)/COUNTIF(Distance_Matrix!$E$12:$DQ$12,6))))</f>
        <v>1.471132980832</v>
      </c>
      <c r="I419" s="17" t="n">
        <f aca="false">IF(COUNTIF(Distance_Matrix!$E$12:$DQ$12,$E419)&lt;=1,0,(H419-G419)/MAX(G419,H419))</f>
        <v>0.184731558523857</v>
      </c>
      <c r="X419" s="17" t="n">
        <f aca="false">SQRT(($B419-X$401)^2+($C419-X$402)^2+($D419-X$403)^2)</f>
        <v>3.7571699748409</v>
      </c>
      <c r="Y419" s="17" t="n">
        <f aca="false">SQRT(($B419-Y$401)^2+($C419-Y$402)^2+($D419-Y$403)^2)</f>
        <v>4.64649504905847</v>
      </c>
      <c r="Z419" s="17" t="n">
        <f aca="false">SQRT(($B419-Z$401)^2+($C419-Z$402)^2+($D419-Z$403)^2)</f>
        <v>1.42536996486005</v>
      </c>
      <c r="AA419" s="17" t="n">
        <f aca="false">SQRT(($B419-AA$401)^2+($C419-AA$402)^2+($D419-AA$403)^2)</f>
        <v>3.04111641100597</v>
      </c>
      <c r="AB419" s="17" t="n">
        <f aca="false">SQRT(($B419-AB$401)^2+($C419-AB$402)^2+($D419-AB$403)^2)</f>
        <v>1.80583097558529</v>
      </c>
      <c r="AC419" s="17" t="n">
        <f aca="false">SQRT(($B419-AC$401)^2+($C419-AC$402)^2+($D419-AC$403)^2)</f>
        <v>2.70542669640651</v>
      </c>
      <c r="AD419" s="63" t="n">
        <f aca="false">MATCH(MIN(X419:AC419),X419:AC419,0)</f>
        <v>3</v>
      </c>
      <c r="AF419" s="17" t="n">
        <f aca="false">SQRT(($B419-AF$401)^2+($C419-AF$402)^2+($D419-AF$403)^2)</f>
        <v>3.63652265068799</v>
      </c>
      <c r="AG419" s="17" t="n">
        <f aca="false">SQRT(($B419-AG$401)^2+($C419-AG$402)^2+($D419-AG$403)^2)</f>
        <v>4.11800909907914</v>
      </c>
      <c r="AH419" s="17" t="n">
        <f aca="false">SQRT(($B419-AH$401)^2+($C419-AH$402)^2+($D419-AH$403)^2)</f>
        <v>1.01927097827172</v>
      </c>
      <c r="AI419" s="17" t="n">
        <f aca="false">SQRT(($B419-AI$401)^2+($C419-AI$402)^2+($D419-AI$403)^2)</f>
        <v>3.22089747947482</v>
      </c>
      <c r="AJ419" s="17" t="n">
        <f aca="false">SQRT(($B419-AJ$401)^2+($C419-AJ$402)^2+($D419-AJ$403)^2)</f>
        <v>1.38301197349486</v>
      </c>
      <c r="AK419" s="17" t="n">
        <f aca="false">SQRT(($B419-AK$401)^2+($C419-AK$402)^2+($D419-AK$403)^2)</f>
        <v>2.75393369113342</v>
      </c>
      <c r="AL419" s="63" t="n">
        <f aca="false">MATCH(MIN(AF419:AK419),AF419:AK419,0)</f>
        <v>3</v>
      </c>
      <c r="AN419" s="17" t="n">
        <f aca="false">SQRT(($B419-AN$401)^2+($C419-AN$402)^2+($D419-AN$403)^2)</f>
        <v>3.63652265068799</v>
      </c>
      <c r="AO419" s="17" t="n">
        <f aca="false">SQRT(($B419-AO$401)^2+($C419-AO$402)^2+($D419-AO$403)^2)</f>
        <v>4.08187999364002</v>
      </c>
      <c r="AP419" s="17" t="n">
        <f aca="false">SQRT(($B419-AP$401)^2+($C419-AP$402)^2+($D419-AP$403)^2)</f>
        <v>1.04176117996468</v>
      </c>
      <c r="AQ419" s="17" t="n">
        <f aca="false">SQRT(($B419-AQ$401)^2+($C419-AQ$402)^2+($D419-AQ$403)^2)</f>
        <v>3.24805881984837</v>
      </c>
      <c r="AR419" s="17" t="n">
        <f aca="false">SQRT(($B419-AR$401)^2+($C419-AR$402)^2+($D419-AR$403)^2)</f>
        <v>1.38301197349486</v>
      </c>
      <c r="AS419" s="17" t="n">
        <f aca="false">SQRT(($B419-AS$401)^2+($C419-AS$402)^2+($D419-AS$403)^2)</f>
        <v>2.72175584099151</v>
      </c>
      <c r="AT419" s="63" t="n">
        <f aca="false">MATCH(MIN(AN419:AS419),AN419:AS419,0)</f>
        <v>3</v>
      </c>
      <c r="AV419" s="17" t="n">
        <f aca="false">SQRT(($B419-AV$401)^2+($C419-AV$402)^2+($D419-AV$403)^2)</f>
        <v>3.63652265068799</v>
      </c>
      <c r="AW419" s="17" t="n">
        <f aca="false">SQRT(($B419-AW$401)^2+($C419-AW$402)^2+($D419-AW$403)^2)</f>
        <v>4.05703949430624</v>
      </c>
      <c r="AX419" s="17" t="n">
        <f aca="false">SQRT(($B419-AX$401)^2+($C419-AX$402)^2+($D419-AX$403)^2)</f>
        <v>1.04176117996468</v>
      </c>
      <c r="AY419" s="17" t="n">
        <f aca="false">SQRT(($B419-AY$401)^2+($C419-AY$402)^2+($D419-AY$403)^2)</f>
        <v>3.24805881984837</v>
      </c>
      <c r="AZ419" s="17" t="n">
        <f aca="false">SQRT(($B419-AZ$401)^2+($C419-AZ$402)^2+($D419-AZ$403)^2)</f>
        <v>1.38301197349486</v>
      </c>
      <c r="BA419" s="17" t="n">
        <f aca="false">SQRT(($B419-BA$401)^2+($C419-BA$402)^2+($D419-BA$403)^2)</f>
        <v>2.69999783417871</v>
      </c>
      <c r="BB419" s="63" t="n">
        <f aca="false">MATCH(MIN(AV419:BA419),AV419:BA419,0)</f>
        <v>3</v>
      </c>
      <c r="BD419" s="17" t="n">
        <f aca="false">SQRT(($B419-BD$401)^2+($C419-BD$402)^2+($D419-BD$403)^2)</f>
        <v>3.63652265068799</v>
      </c>
      <c r="BE419" s="17" t="n">
        <f aca="false">SQRT(($B419-BE$401)^2+($C419-BE$402)^2+($D419-BE$403)^2)</f>
        <v>4.03341728162097</v>
      </c>
      <c r="BF419" s="17" t="n">
        <f aca="false">SQRT(($B419-BF$401)^2+($C419-BF$402)^2+($D419-BF$403)^2)</f>
        <v>1.04176117996468</v>
      </c>
      <c r="BG419" s="17" t="n">
        <f aca="false">SQRT(($B419-BG$401)^2+($C419-BG$402)^2+($D419-BG$403)^2)</f>
        <v>3.24805881984837</v>
      </c>
      <c r="BH419" s="17" t="n">
        <f aca="false">SQRT(($B419-BH$401)^2+($C419-BH$402)^2+($D419-BH$403)^2)</f>
        <v>1.38301197349486</v>
      </c>
      <c r="BI419" s="17" t="n">
        <f aca="false">SQRT(($B419-BI$401)^2+($C419-BI$402)^2+($D419-BI$403)^2)</f>
        <v>2.67719660583207</v>
      </c>
      <c r="BJ419" s="63" t="n">
        <f aca="false">MATCH(MIN(BD419:BI419),BD419:BI419,0)</f>
        <v>3</v>
      </c>
      <c r="BL419" s="17" t="n">
        <f aca="false">SQRT(($B419-BL$401)^2+($C419-BL$402)^2+($D419-BL$403)^2)</f>
        <v>3.63652265068799</v>
      </c>
      <c r="BM419" s="17" t="n">
        <f aca="false">SQRT(($B419-BM$401)^2+($C419-BM$402)^2+($D419-BM$403)^2)</f>
        <v>4.03341728162097</v>
      </c>
      <c r="BN419" s="17" t="n">
        <f aca="false">SQRT(($B419-BN$401)^2+($C419-BN$402)^2+($D419-BN$403)^2)</f>
        <v>1.04176117996468</v>
      </c>
      <c r="BO419" s="17" t="n">
        <f aca="false">SQRT(($B419-BO$401)^2+($C419-BO$402)^2+($D419-BO$403)^2)</f>
        <v>3.24805881984837</v>
      </c>
      <c r="BP419" s="17" t="n">
        <f aca="false">SQRT(($B419-BP$401)^2+($C419-BP$402)^2+($D419-BP$403)^2)</f>
        <v>1.38301197349486</v>
      </c>
      <c r="BQ419" s="17" t="n">
        <f aca="false">SQRT(($B419-BQ$401)^2+($C419-BQ$402)^2+($D419-BQ$403)^2)</f>
        <v>2.67719660583207</v>
      </c>
      <c r="BR419" s="63" t="n">
        <f aca="false">MATCH(MIN(BL419:BQ419),BL419:BQ419,0)</f>
        <v>3</v>
      </c>
      <c r="BT419" s="17" t="n">
        <f aca="false">SQRT(($B419-BT$401)^2+($C419-BT$402)^2+($D419-BT$403)^2)</f>
        <v>3.63652265068799</v>
      </c>
      <c r="BU419" s="17" t="n">
        <f aca="false">SQRT(($B419-BU$401)^2+($C419-BU$402)^2+($D419-BU$403)^2)</f>
        <v>4.03341728162097</v>
      </c>
      <c r="BV419" s="17" t="n">
        <f aca="false">SQRT(($B419-BV$401)^2+($C419-BV$402)^2+($D419-BV$403)^2)</f>
        <v>1.04176117996468</v>
      </c>
      <c r="BW419" s="17" t="n">
        <f aca="false">SQRT(($B419-BW$401)^2+($C419-BW$402)^2+($D419-BW$403)^2)</f>
        <v>3.24805881984837</v>
      </c>
      <c r="BX419" s="17" t="n">
        <f aca="false">SQRT(($B419-BX$401)^2+($C419-BX$402)^2+($D419-BX$403)^2)</f>
        <v>1.38301197349486</v>
      </c>
      <c r="BY419" s="17" t="n">
        <f aca="false">SQRT(($B419-BY$401)^2+($C419-BY$402)^2+($D419-BY$403)^2)</f>
        <v>2.67719660583207</v>
      </c>
      <c r="BZ419" s="63" t="n">
        <f aca="false">MATCH(MIN(BT419:BY419),BT419:BY419,0)</f>
        <v>3</v>
      </c>
      <c r="CB419" s="17" t="n">
        <f aca="false">SQRT(($B419-CB$401)^2+($C419-CB$402)^2+($D419-CB$403)^2)</f>
        <v>3.63652265068799</v>
      </c>
      <c r="CC419" s="17" t="n">
        <f aca="false">SQRT(($B419-CC$401)^2+($C419-CC$402)^2+($D419-CC$403)^2)</f>
        <v>4.03341728162097</v>
      </c>
      <c r="CD419" s="17" t="n">
        <f aca="false">SQRT(($B419-CD$401)^2+($C419-CD$402)^2+($D419-CD$403)^2)</f>
        <v>1.04176117996468</v>
      </c>
      <c r="CE419" s="17" t="n">
        <f aca="false">SQRT(($B419-CE$401)^2+($C419-CE$402)^2+($D419-CE$403)^2)</f>
        <v>3.24805881984837</v>
      </c>
      <c r="CF419" s="17" t="n">
        <f aca="false">SQRT(($B419-CF$401)^2+($C419-CF$402)^2+($D419-CF$403)^2)</f>
        <v>1.38301197349486</v>
      </c>
      <c r="CG419" s="17" t="n">
        <f aca="false">SQRT(($B419-CG$401)^2+($C419-CG$402)^2+($D419-CG$403)^2)</f>
        <v>2.67719660583207</v>
      </c>
      <c r="CH419" s="63" t="n">
        <f aca="false">MATCH(MIN(CB419:CG419),CB419:CG419,0)</f>
        <v>3</v>
      </c>
      <c r="CJ419" s="17" t="n">
        <f aca="false">SQRT(($B419-CJ$401)^2+($C419-CJ$402)^2+($D419-CJ$403)^2)</f>
        <v>3.63652265068799</v>
      </c>
      <c r="CK419" s="17" t="n">
        <f aca="false">SQRT(($B419-CK$401)^2+($C419-CK$402)^2+($D419-CK$403)^2)</f>
        <v>4.03341728162097</v>
      </c>
      <c r="CL419" s="17" t="n">
        <f aca="false">SQRT(($B419-CL$401)^2+($C419-CL$402)^2+($D419-CL$403)^2)</f>
        <v>1.04176117996468</v>
      </c>
      <c r="CM419" s="17" t="n">
        <f aca="false">SQRT(($B419-CM$401)^2+($C419-CM$402)^2+($D419-CM$403)^2)</f>
        <v>3.24805881984837</v>
      </c>
      <c r="CN419" s="17" t="n">
        <f aca="false">SQRT(($B419-CN$401)^2+($C419-CN$402)^2+($D419-CN$403)^2)</f>
        <v>1.38301197349486</v>
      </c>
      <c r="CO419" s="17" t="n">
        <f aca="false">SQRT(($B419-CO$401)^2+($C419-CO$402)^2+($D419-CO$403)^2)</f>
        <v>2.67719660583207</v>
      </c>
      <c r="CP419" s="63" t="n">
        <f aca="false">MATCH(MIN(CJ419:CO419),CJ419:CO419,0)</f>
        <v>3</v>
      </c>
      <c r="CR419" s="17" t="n">
        <f aca="false">SQRT(($B419-CR$401)^2+($C419-CR$402)^2+($D419-CR$403)^2)</f>
        <v>3.63652265068799</v>
      </c>
      <c r="CS419" s="17" t="n">
        <f aca="false">SQRT(($B419-CS$401)^2+($C419-CS$402)^2+($D419-CS$403)^2)</f>
        <v>4.03341728162097</v>
      </c>
      <c r="CT419" s="17" t="n">
        <f aca="false">SQRT(($B419-CT$401)^2+($C419-CT$402)^2+($D419-CT$403)^2)</f>
        <v>1.04176117996468</v>
      </c>
      <c r="CU419" s="17" t="n">
        <f aca="false">SQRT(($B419-CU$401)^2+($C419-CU$402)^2+($D419-CU$403)^2)</f>
        <v>3.24805881984837</v>
      </c>
      <c r="CV419" s="17" t="n">
        <f aca="false">SQRT(($B419-CV$401)^2+($C419-CV$402)^2+($D419-CV$403)^2)</f>
        <v>1.38301197349486</v>
      </c>
      <c r="CW419" s="17" t="n">
        <f aca="false">SQRT(($B419-CW$401)^2+($C419-CW$402)^2+($D419-CW$403)^2)</f>
        <v>2.67719660583207</v>
      </c>
      <c r="CX419" s="63" t="n">
        <f aca="false">MATCH(MIN(CR419:CW419),CR419:CW419,0)</f>
        <v>3</v>
      </c>
      <c r="CZ419" s="17" t="n">
        <f aca="false">SQRT(($B419-CZ$401)^2+($C419-CZ$402)^2+($D419-CZ$403)^2)</f>
        <v>3.63652265068799</v>
      </c>
      <c r="DA419" s="17" t="n">
        <f aca="false">SQRT(($B419-DA$401)^2+($C419-DA$402)^2+($D419-DA$403)^2)</f>
        <v>4.03341728162097</v>
      </c>
      <c r="DB419" s="17" t="n">
        <f aca="false">SQRT(($B419-DB$401)^2+($C419-DB$402)^2+($D419-DB$403)^2)</f>
        <v>1.04176117996468</v>
      </c>
      <c r="DC419" s="17" t="n">
        <f aca="false">SQRT(($B419-DC$401)^2+($C419-DC$402)^2+($D419-DC$403)^2)</f>
        <v>3.24805881984837</v>
      </c>
      <c r="DD419" s="17" t="n">
        <f aca="false">SQRT(($B419-DD$401)^2+($C419-DD$402)^2+($D419-DD$403)^2)</f>
        <v>1.38301197349486</v>
      </c>
      <c r="DE419" s="17" t="n">
        <f aca="false">SQRT(($B419-DE$401)^2+($C419-DE$402)^2+($D419-DE$403)^2)</f>
        <v>2.67719660583207</v>
      </c>
      <c r="DF419" s="63" t="n">
        <f aca="false">MATCH(MIN(CZ419:DE419),CZ419:DE419,0)</f>
        <v>3</v>
      </c>
      <c r="DH419" s="17" t="n">
        <f aca="false">SQRT(($B419-DH$401)^2+($C419-DH$402)^2+($D419-DH$403)^2)</f>
        <v>3.63652265068799</v>
      </c>
      <c r="DI419" s="17" t="n">
        <f aca="false">SQRT(($B419-DI$401)^2+($C419-DI$402)^2+($D419-DI$403)^2)</f>
        <v>4.03341728162097</v>
      </c>
      <c r="DJ419" s="17" t="n">
        <f aca="false">SQRT(($B419-DJ$401)^2+($C419-DJ$402)^2+($D419-DJ$403)^2)</f>
        <v>1.04176117996468</v>
      </c>
      <c r="DK419" s="17" t="n">
        <f aca="false">SQRT(($B419-DK$401)^2+($C419-DK$402)^2+($D419-DK$403)^2)</f>
        <v>3.24805881984837</v>
      </c>
      <c r="DL419" s="17" t="n">
        <f aca="false">SQRT(($B419-DL$401)^2+($C419-DL$402)^2+($D419-DL$403)^2)</f>
        <v>1.38301197349486</v>
      </c>
      <c r="DM419" s="17" t="n">
        <f aca="false">SQRT(($B419-DM$401)^2+($C419-DM$402)^2+($D419-DM$403)^2)</f>
        <v>2.67719660583207</v>
      </c>
      <c r="DN419" s="63" t="n">
        <f aca="false">MATCH(MIN(DH419:DM419),DH419:DM419,0)</f>
        <v>3</v>
      </c>
    </row>
    <row r="420" customFormat="false" ht="15" hidden="false" customHeight="false" outlineLevel="0" collapsed="false">
      <c r="A420" s="36" t="str">
        <f aca="false">KMeans_Data!A17</f>
        <v>Gilgit</v>
      </c>
      <c r="B420" s="17" t="n">
        <f aca="false">KMeans_Data!H17</f>
        <v>1.04252863605511</v>
      </c>
      <c r="C420" s="17" t="n">
        <f aca="false">KMeans_Data!I17</f>
        <v>0.993675724638266</v>
      </c>
      <c r="D420" s="17" t="n">
        <f aca="false">KMeans_Data!J17</f>
        <v>1.0804955511041</v>
      </c>
      <c r="E420" s="63" t="n">
        <f aca="false">DN420</f>
        <v>3</v>
      </c>
      <c r="F420" s="38" t="n">
        <f aca="false">($B420-INDEX($L$401:$Q$401,E420))^2+($C420-INDEX($L$402:$Q$402,E420))^2+($D420-INDEX($L$403:$Q$403,E420))^2</f>
        <v>0.139656670921726</v>
      </c>
      <c r="G420" s="17" t="n">
        <f aca="false">IF(COUNTIF(Distance_Matrix!$E$12:$DQ$12,$E420)&lt;=1,0,SUMIF(Distance_Matrix!$E$12:$DQ$12,$E420,Distance_Matrix!$E$26:$DQ$26)/(COUNTIF(Distance_Matrix!$E$12:$DQ$12,$E420)-1))</f>
        <v>0.740686422724924</v>
      </c>
      <c r="H420" s="17" t="n">
        <f aca="false">MIN(IF(1=$E420,1E+099,IF(COUNTIF(Distance_Matrix!$E$12:$DQ$12,1)=0,1E+099,SUMIF(Distance_Matrix!$E$12:$DQ$12,1,Distance_Matrix!$E$26:$DQ$26)/COUNTIF(Distance_Matrix!$E$12:$DQ$12,1))),IF(2=$E420,1E+099,IF(COUNTIF(Distance_Matrix!$E$12:$DQ$12,2)=0,1E+099,SUMIF(Distance_Matrix!$E$12:$DQ$12,2,Distance_Matrix!$E$26:$DQ$26)/COUNTIF(Distance_Matrix!$E$12:$DQ$12,2))),IF(3=$E420,1E+099,IF(COUNTIF(Distance_Matrix!$E$12:$DQ$12,3)=0,1E+099,SUMIF(Distance_Matrix!$E$12:$DQ$12,3,Distance_Matrix!$E$26:$DQ$26)/COUNTIF(Distance_Matrix!$E$12:$DQ$12,3))),IF(4=$E420,1E+099,IF(COUNTIF(Distance_Matrix!$E$12:$DQ$12,4)=0,1E+099,SUMIF(Distance_Matrix!$E$12:$DQ$12,4,Distance_Matrix!$E$26:$DQ$26)/COUNTIF(Distance_Matrix!$E$12:$DQ$12,4))),IF(5=$E420,1E+099,IF(COUNTIF(Distance_Matrix!$E$12:$DQ$12,5)=0,1E+099,SUMIF(Distance_Matrix!$E$12:$DQ$12,5,Distance_Matrix!$E$26:$DQ$26)/COUNTIF(Distance_Matrix!$E$12:$DQ$12,5))),IF(6=$E420,1E+099,IF(COUNTIF(Distance_Matrix!$E$12:$DQ$12,6)=0,1E+099,SUMIF(Distance_Matrix!$E$12:$DQ$12,6,Distance_Matrix!$E$26:$DQ$26)/COUNTIF(Distance_Matrix!$E$12:$DQ$12,6))))</f>
        <v>2.05840541074937</v>
      </c>
      <c r="I420" s="17" t="n">
        <f aca="false">IF(COUNTIF(Distance_Matrix!$E$12:$DQ$12,$E420)&lt;=1,0,(H420-G420)/MAX(G420,H420))</f>
        <v>0.640164945711412</v>
      </c>
      <c r="X420" s="17" t="n">
        <f aca="false">SQRT(($B420-X$401)^2+($C420-X$402)^2+($D420-X$403)^2)</f>
        <v>4.35573965586675</v>
      </c>
      <c r="Y420" s="17" t="n">
        <f aca="false">SQRT(($B420-Y$401)^2+($C420-Y$402)^2+($D420-Y$403)^2)</f>
        <v>4.18101541376173</v>
      </c>
      <c r="Z420" s="17" t="n">
        <f aca="false">SQRT(($B420-Z$401)^2+($C420-Z$402)^2+($D420-Z$403)^2)</f>
        <v>0.72819676736314</v>
      </c>
      <c r="AA420" s="17" t="n">
        <f aca="false">SQRT(($B420-AA$401)^2+($C420-AA$402)^2+($D420-AA$403)^2)</f>
        <v>2.53264581019291</v>
      </c>
      <c r="AB420" s="17" t="n">
        <f aca="false">SQRT(($B420-AB$401)^2+($C420-AB$402)^2+($D420-AB$403)^2)</f>
        <v>2.26004517408375</v>
      </c>
      <c r="AC420" s="17" t="n">
        <f aca="false">SQRT(($B420-AC$401)^2+($C420-AC$402)^2+($D420-AC$403)^2)</f>
        <v>2.13621147649097</v>
      </c>
      <c r="AD420" s="63" t="n">
        <f aca="false">MATCH(MIN(X420:AC420),X420:AC420,0)</f>
        <v>3</v>
      </c>
      <c r="AF420" s="17" t="n">
        <f aca="false">SQRT(($B420-AF$401)^2+($C420-AF$402)^2+($D420-AF$403)^2)</f>
        <v>4.25680499847455</v>
      </c>
      <c r="AG420" s="17" t="n">
        <f aca="false">SQRT(($B420-AG$401)^2+($C420-AG$402)^2+($D420-AG$403)^2)</f>
        <v>3.60849647654703</v>
      </c>
      <c r="AH420" s="17" t="n">
        <f aca="false">SQRT(($B420-AH$401)^2+($C420-AH$402)^2+($D420-AH$403)^2)</f>
        <v>0.340915092332557</v>
      </c>
      <c r="AI420" s="17" t="n">
        <f aca="false">SQRT(($B420-AI$401)^2+($C420-AI$402)^2+($D420-AI$403)^2)</f>
        <v>2.62683858374072</v>
      </c>
      <c r="AJ420" s="17" t="n">
        <f aca="false">SQRT(($B420-AJ$401)^2+($C420-AJ$402)^2+($D420-AJ$403)^2)</f>
        <v>1.99772660742643</v>
      </c>
      <c r="AK420" s="17" t="n">
        <f aca="false">SQRT(($B420-AK$401)^2+($C420-AK$402)^2+($D420-AK$403)^2)</f>
        <v>2.10907360664522</v>
      </c>
      <c r="AL420" s="63" t="n">
        <f aca="false">MATCH(MIN(AF420:AK420),AF420:AK420,0)</f>
        <v>3</v>
      </c>
      <c r="AN420" s="17" t="n">
        <f aca="false">SQRT(($B420-AN$401)^2+($C420-AN$402)^2+($D420-AN$403)^2)</f>
        <v>4.25680499847455</v>
      </c>
      <c r="AO420" s="17" t="n">
        <f aca="false">SQRT(($B420-AO$401)^2+($C420-AO$402)^2+($D420-AO$403)^2)</f>
        <v>3.56835064228065</v>
      </c>
      <c r="AP420" s="17" t="n">
        <f aca="false">SQRT(($B420-AP$401)^2+($C420-AP$402)^2+($D420-AP$403)^2)</f>
        <v>0.373706664272563</v>
      </c>
      <c r="AQ420" s="17" t="n">
        <f aca="false">SQRT(($B420-AQ$401)^2+($C420-AQ$402)^2+($D420-AQ$403)^2)</f>
        <v>2.65084779567048</v>
      </c>
      <c r="AR420" s="17" t="n">
        <f aca="false">SQRT(($B420-AR$401)^2+($C420-AR$402)^2+($D420-AR$403)^2)</f>
        <v>1.99772660742643</v>
      </c>
      <c r="AS420" s="17" t="n">
        <f aca="false">SQRT(($B420-AS$401)^2+($C420-AS$402)^2+($D420-AS$403)^2)</f>
        <v>2.07141868124421</v>
      </c>
      <c r="AT420" s="63" t="n">
        <f aca="false">MATCH(MIN(AN420:AS420),AN420:AS420,0)</f>
        <v>3</v>
      </c>
      <c r="AV420" s="17" t="n">
        <f aca="false">SQRT(($B420-AV$401)^2+($C420-AV$402)^2+($D420-AV$403)^2)</f>
        <v>4.25680499847455</v>
      </c>
      <c r="AW420" s="17" t="n">
        <f aca="false">SQRT(($B420-AW$401)^2+($C420-AW$402)^2+($D420-AW$403)^2)</f>
        <v>3.54081496708472</v>
      </c>
      <c r="AX420" s="17" t="n">
        <f aca="false">SQRT(($B420-AX$401)^2+($C420-AX$402)^2+($D420-AX$403)^2)</f>
        <v>0.373706664272563</v>
      </c>
      <c r="AY420" s="17" t="n">
        <f aca="false">SQRT(($B420-AY$401)^2+($C420-AY$402)^2+($D420-AY$403)^2)</f>
        <v>2.65084779567048</v>
      </c>
      <c r="AZ420" s="17" t="n">
        <f aca="false">SQRT(($B420-AZ$401)^2+($C420-AZ$402)^2+($D420-AZ$403)^2)</f>
        <v>1.99772660742643</v>
      </c>
      <c r="BA420" s="17" t="n">
        <f aca="false">SQRT(($B420-BA$401)^2+($C420-BA$402)^2+($D420-BA$403)^2)</f>
        <v>2.04752053295397</v>
      </c>
      <c r="BB420" s="63" t="n">
        <f aca="false">MATCH(MIN(AV420:BA420),AV420:BA420,0)</f>
        <v>3</v>
      </c>
      <c r="BD420" s="17" t="n">
        <f aca="false">SQRT(($B420-BD$401)^2+($C420-BD$402)^2+($D420-BD$403)^2)</f>
        <v>4.25680499847455</v>
      </c>
      <c r="BE420" s="17" t="n">
        <f aca="false">SQRT(($B420-BE$401)^2+($C420-BE$402)^2+($D420-BE$403)^2)</f>
        <v>3.51460624737571</v>
      </c>
      <c r="BF420" s="17" t="n">
        <f aca="false">SQRT(($B420-BF$401)^2+($C420-BF$402)^2+($D420-BF$403)^2)</f>
        <v>0.373706664272563</v>
      </c>
      <c r="BG420" s="17" t="n">
        <f aca="false">SQRT(($B420-BG$401)^2+($C420-BG$402)^2+($D420-BG$403)^2)</f>
        <v>2.65084779567048</v>
      </c>
      <c r="BH420" s="17" t="n">
        <f aca="false">SQRT(($B420-BH$401)^2+($C420-BH$402)^2+($D420-BH$403)^2)</f>
        <v>1.99772660742643</v>
      </c>
      <c r="BI420" s="17" t="n">
        <f aca="false">SQRT(($B420-BI$401)^2+($C420-BI$402)^2+($D420-BI$403)^2)</f>
        <v>2.02244131461237</v>
      </c>
      <c r="BJ420" s="63" t="n">
        <f aca="false">MATCH(MIN(BD420:BI420),BD420:BI420,0)</f>
        <v>3</v>
      </c>
      <c r="BL420" s="17" t="n">
        <f aca="false">SQRT(($B420-BL$401)^2+($C420-BL$402)^2+($D420-BL$403)^2)</f>
        <v>4.25680499847455</v>
      </c>
      <c r="BM420" s="17" t="n">
        <f aca="false">SQRT(($B420-BM$401)^2+($C420-BM$402)^2+($D420-BM$403)^2)</f>
        <v>3.51460624737571</v>
      </c>
      <c r="BN420" s="17" t="n">
        <f aca="false">SQRT(($B420-BN$401)^2+($C420-BN$402)^2+($D420-BN$403)^2)</f>
        <v>0.373706664272563</v>
      </c>
      <c r="BO420" s="17" t="n">
        <f aca="false">SQRT(($B420-BO$401)^2+($C420-BO$402)^2+($D420-BO$403)^2)</f>
        <v>2.65084779567048</v>
      </c>
      <c r="BP420" s="17" t="n">
        <f aca="false">SQRT(($B420-BP$401)^2+($C420-BP$402)^2+($D420-BP$403)^2)</f>
        <v>1.99772660742643</v>
      </c>
      <c r="BQ420" s="17" t="n">
        <f aca="false">SQRT(($B420-BQ$401)^2+($C420-BQ$402)^2+($D420-BQ$403)^2)</f>
        <v>2.02244131461237</v>
      </c>
      <c r="BR420" s="63" t="n">
        <f aca="false">MATCH(MIN(BL420:BQ420),BL420:BQ420,0)</f>
        <v>3</v>
      </c>
      <c r="BT420" s="17" t="n">
        <f aca="false">SQRT(($B420-BT$401)^2+($C420-BT$402)^2+($D420-BT$403)^2)</f>
        <v>4.25680499847455</v>
      </c>
      <c r="BU420" s="17" t="n">
        <f aca="false">SQRT(($B420-BU$401)^2+($C420-BU$402)^2+($D420-BU$403)^2)</f>
        <v>3.51460624737571</v>
      </c>
      <c r="BV420" s="17" t="n">
        <f aca="false">SQRT(($B420-BV$401)^2+($C420-BV$402)^2+($D420-BV$403)^2)</f>
        <v>0.373706664272563</v>
      </c>
      <c r="BW420" s="17" t="n">
        <f aca="false">SQRT(($B420-BW$401)^2+($C420-BW$402)^2+($D420-BW$403)^2)</f>
        <v>2.65084779567048</v>
      </c>
      <c r="BX420" s="17" t="n">
        <f aca="false">SQRT(($B420-BX$401)^2+($C420-BX$402)^2+($D420-BX$403)^2)</f>
        <v>1.99772660742643</v>
      </c>
      <c r="BY420" s="17" t="n">
        <f aca="false">SQRT(($B420-BY$401)^2+($C420-BY$402)^2+($D420-BY$403)^2)</f>
        <v>2.02244131461237</v>
      </c>
      <c r="BZ420" s="63" t="n">
        <f aca="false">MATCH(MIN(BT420:BY420),BT420:BY420,0)</f>
        <v>3</v>
      </c>
      <c r="CB420" s="17" t="n">
        <f aca="false">SQRT(($B420-CB$401)^2+($C420-CB$402)^2+($D420-CB$403)^2)</f>
        <v>4.25680499847455</v>
      </c>
      <c r="CC420" s="17" t="n">
        <f aca="false">SQRT(($B420-CC$401)^2+($C420-CC$402)^2+($D420-CC$403)^2)</f>
        <v>3.51460624737571</v>
      </c>
      <c r="CD420" s="17" t="n">
        <f aca="false">SQRT(($B420-CD$401)^2+($C420-CD$402)^2+($D420-CD$403)^2)</f>
        <v>0.373706664272563</v>
      </c>
      <c r="CE420" s="17" t="n">
        <f aca="false">SQRT(($B420-CE$401)^2+($C420-CE$402)^2+($D420-CE$403)^2)</f>
        <v>2.65084779567048</v>
      </c>
      <c r="CF420" s="17" t="n">
        <f aca="false">SQRT(($B420-CF$401)^2+($C420-CF$402)^2+($D420-CF$403)^2)</f>
        <v>1.99772660742643</v>
      </c>
      <c r="CG420" s="17" t="n">
        <f aca="false">SQRT(($B420-CG$401)^2+($C420-CG$402)^2+($D420-CG$403)^2)</f>
        <v>2.02244131461237</v>
      </c>
      <c r="CH420" s="63" t="n">
        <f aca="false">MATCH(MIN(CB420:CG420),CB420:CG420,0)</f>
        <v>3</v>
      </c>
      <c r="CJ420" s="17" t="n">
        <f aca="false">SQRT(($B420-CJ$401)^2+($C420-CJ$402)^2+($D420-CJ$403)^2)</f>
        <v>4.25680499847455</v>
      </c>
      <c r="CK420" s="17" t="n">
        <f aca="false">SQRT(($B420-CK$401)^2+($C420-CK$402)^2+($D420-CK$403)^2)</f>
        <v>3.51460624737571</v>
      </c>
      <c r="CL420" s="17" t="n">
        <f aca="false">SQRT(($B420-CL$401)^2+($C420-CL$402)^2+($D420-CL$403)^2)</f>
        <v>0.373706664272563</v>
      </c>
      <c r="CM420" s="17" t="n">
        <f aca="false">SQRT(($B420-CM$401)^2+($C420-CM$402)^2+($D420-CM$403)^2)</f>
        <v>2.65084779567048</v>
      </c>
      <c r="CN420" s="17" t="n">
        <f aca="false">SQRT(($B420-CN$401)^2+($C420-CN$402)^2+($D420-CN$403)^2)</f>
        <v>1.99772660742643</v>
      </c>
      <c r="CO420" s="17" t="n">
        <f aca="false">SQRT(($B420-CO$401)^2+($C420-CO$402)^2+($D420-CO$403)^2)</f>
        <v>2.02244131461237</v>
      </c>
      <c r="CP420" s="63" t="n">
        <f aca="false">MATCH(MIN(CJ420:CO420),CJ420:CO420,0)</f>
        <v>3</v>
      </c>
      <c r="CR420" s="17" t="n">
        <f aca="false">SQRT(($B420-CR$401)^2+($C420-CR$402)^2+($D420-CR$403)^2)</f>
        <v>4.25680499847455</v>
      </c>
      <c r="CS420" s="17" t="n">
        <f aca="false">SQRT(($B420-CS$401)^2+($C420-CS$402)^2+($D420-CS$403)^2)</f>
        <v>3.51460624737571</v>
      </c>
      <c r="CT420" s="17" t="n">
        <f aca="false">SQRT(($B420-CT$401)^2+($C420-CT$402)^2+($D420-CT$403)^2)</f>
        <v>0.373706664272563</v>
      </c>
      <c r="CU420" s="17" t="n">
        <f aca="false">SQRT(($B420-CU$401)^2+($C420-CU$402)^2+($D420-CU$403)^2)</f>
        <v>2.65084779567048</v>
      </c>
      <c r="CV420" s="17" t="n">
        <f aca="false">SQRT(($B420-CV$401)^2+($C420-CV$402)^2+($D420-CV$403)^2)</f>
        <v>1.99772660742643</v>
      </c>
      <c r="CW420" s="17" t="n">
        <f aca="false">SQRT(($B420-CW$401)^2+($C420-CW$402)^2+($D420-CW$403)^2)</f>
        <v>2.02244131461237</v>
      </c>
      <c r="CX420" s="63" t="n">
        <f aca="false">MATCH(MIN(CR420:CW420),CR420:CW420,0)</f>
        <v>3</v>
      </c>
      <c r="CZ420" s="17" t="n">
        <f aca="false">SQRT(($B420-CZ$401)^2+($C420-CZ$402)^2+($D420-CZ$403)^2)</f>
        <v>4.25680499847455</v>
      </c>
      <c r="DA420" s="17" t="n">
        <f aca="false">SQRT(($B420-DA$401)^2+($C420-DA$402)^2+($D420-DA$403)^2)</f>
        <v>3.51460624737571</v>
      </c>
      <c r="DB420" s="17" t="n">
        <f aca="false">SQRT(($B420-DB$401)^2+($C420-DB$402)^2+($D420-DB$403)^2)</f>
        <v>0.373706664272563</v>
      </c>
      <c r="DC420" s="17" t="n">
        <f aca="false">SQRT(($B420-DC$401)^2+($C420-DC$402)^2+($D420-DC$403)^2)</f>
        <v>2.65084779567048</v>
      </c>
      <c r="DD420" s="17" t="n">
        <f aca="false">SQRT(($B420-DD$401)^2+($C420-DD$402)^2+($D420-DD$403)^2)</f>
        <v>1.99772660742643</v>
      </c>
      <c r="DE420" s="17" t="n">
        <f aca="false">SQRT(($B420-DE$401)^2+($C420-DE$402)^2+($D420-DE$403)^2)</f>
        <v>2.02244131461237</v>
      </c>
      <c r="DF420" s="63" t="n">
        <f aca="false">MATCH(MIN(CZ420:DE420),CZ420:DE420,0)</f>
        <v>3</v>
      </c>
      <c r="DH420" s="17" t="n">
        <f aca="false">SQRT(($B420-DH$401)^2+($C420-DH$402)^2+($D420-DH$403)^2)</f>
        <v>4.25680499847455</v>
      </c>
      <c r="DI420" s="17" t="n">
        <f aca="false">SQRT(($B420-DI$401)^2+($C420-DI$402)^2+($D420-DI$403)^2)</f>
        <v>3.51460624737571</v>
      </c>
      <c r="DJ420" s="17" t="n">
        <f aca="false">SQRT(($B420-DJ$401)^2+($C420-DJ$402)^2+($D420-DJ$403)^2)</f>
        <v>0.373706664272563</v>
      </c>
      <c r="DK420" s="17" t="n">
        <f aca="false">SQRT(($B420-DK$401)^2+($C420-DK$402)^2+($D420-DK$403)^2)</f>
        <v>2.65084779567048</v>
      </c>
      <c r="DL420" s="17" t="n">
        <f aca="false">SQRT(($B420-DL$401)^2+($C420-DL$402)^2+($D420-DL$403)^2)</f>
        <v>1.99772660742643</v>
      </c>
      <c r="DM420" s="17" t="n">
        <f aca="false">SQRT(($B420-DM$401)^2+($C420-DM$402)^2+($D420-DM$403)^2)</f>
        <v>2.02244131461237</v>
      </c>
      <c r="DN420" s="63" t="n">
        <f aca="false">MATCH(MIN(DH420:DM420),DH420:DM420,0)</f>
        <v>3</v>
      </c>
    </row>
    <row r="421" customFormat="false" ht="15" hidden="false" customHeight="false" outlineLevel="0" collapsed="false">
      <c r="A421" s="36" t="str">
        <f aca="false">KMeans_Data!A18</f>
        <v>Larkana</v>
      </c>
      <c r="B421" s="17" t="n">
        <f aca="false">KMeans_Data!H18</f>
        <v>1.03733687213202</v>
      </c>
      <c r="C421" s="17" t="n">
        <f aca="false">KMeans_Data!I18</f>
        <v>0.378684277529216</v>
      </c>
      <c r="D421" s="17" t="n">
        <f aca="false">KMeans_Data!J18</f>
        <v>1.47040463995458</v>
      </c>
      <c r="E421" s="63" t="n">
        <f aca="false">DN421</f>
        <v>3</v>
      </c>
      <c r="F421" s="38" t="n">
        <f aca="false">($B421-INDEX($L$401:$Q$401,E421))^2+($C421-INDEX($L$402:$Q$402,E421))^2+($D421-INDEX($L$403:$Q$403,E421))^2</f>
        <v>0.58259024782137</v>
      </c>
      <c r="G421" s="17" t="n">
        <f aca="false">IF(COUNTIF(Distance_Matrix!$E$12:$DQ$12,$E421)&lt;=1,0,SUMIF(Distance_Matrix!$E$12:$DQ$12,$E421,Distance_Matrix!$E$27:$DQ$27)/(COUNTIF(Distance_Matrix!$E$12:$DQ$12,$E421)-1))</f>
        <v>0.97564216293638</v>
      </c>
      <c r="H421" s="17" t="n">
        <f aca="false">MIN(IF(1=$E421,1E+099,IF(COUNTIF(Distance_Matrix!$E$12:$DQ$12,1)=0,1E+099,SUMIF(Distance_Matrix!$E$12:$DQ$12,1,Distance_Matrix!$E$27:$DQ$27)/COUNTIF(Distance_Matrix!$E$12:$DQ$12,1))),IF(2=$E421,1E+099,IF(COUNTIF(Distance_Matrix!$E$12:$DQ$12,2)=0,1E+099,SUMIF(Distance_Matrix!$E$12:$DQ$12,2,Distance_Matrix!$E$27:$DQ$27)/COUNTIF(Distance_Matrix!$E$12:$DQ$12,2))),IF(3=$E421,1E+099,IF(COUNTIF(Distance_Matrix!$E$12:$DQ$12,3)=0,1E+099,SUMIF(Distance_Matrix!$E$12:$DQ$12,3,Distance_Matrix!$E$27:$DQ$27)/COUNTIF(Distance_Matrix!$E$12:$DQ$12,3))),IF(4=$E421,1E+099,IF(COUNTIF(Distance_Matrix!$E$12:$DQ$12,4)=0,1E+099,SUMIF(Distance_Matrix!$E$12:$DQ$12,4,Distance_Matrix!$E$27:$DQ$27)/COUNTIF(Distance_Matrix!$E$12:$DQ$12,4))),IF(5=$E421,1E+099,IF(COUNTIF(Distance_Matrix!$E$12:$DQ$12,5)=0,1E+099,SUMIF(Distance_Matrix!$E$12:$DQ$12,5,Distance_Matrix!$E$27:$DQ$27)/COUNTIF(Distance_Matrix!$E$12:$DQ$12,5))),IF(6=$E421,1E+099,IF(COUNTIF(Distance_Matrix!$E$12:$DQ$12,6)=0,1E+099,SUMIF(Distance_Matrix!$E$12:$DQ$12,6,Distance_Matrix!$E$27:$DQ$27)/COUNTIF(Distance_Matrix!$E$12:$DQ$12,6))))</f>
        <v>1.94848050832308</v>
      </c>
      <c r="I421" s="17" t="n">
        <f aca="false">IF(COUNTIF(Distance_Matrix!$E$12:$DQ$12,$E421)&lt;=1,0,(H421-G421)/MAX(G421,H421))</f>
        <v>0.49928051177887</v>
      </c>
      <c r="X421" s="17" t="n">
        <f aca="false">SQRT(($B421-X$401)^2+($C421-X$402)^2+($D421-X$403)^2)</f>
        <v>4.64515792720078</v>
      </c>
      <c r="Y421" s="17" t="n">
        <f aca="false">SQRT(($B421-Y$401)^2+($C421-Y$402)^2+($D421-Y$403)^2)</f>
        <v>4.20299555676564</v>
      </c>
      <c r="Z421" s="17" t="n">
        <f aca="false">SQRT(($B421-Z$401)^2+($C421-Z$402)^2+($D421-Z$403)^2)</f>
        <v>0</v>
      </c>
      <c r="AA421" s="17" t="n">
        <f aca="false">SQRT(($B421-AA$401)^2+($C421-AA$402)^2+($D421-AA$403)^2)</f>
        <v>2.6969311940684</v>
      </c>
      <c r="AB421" s="17" t="n">
        <f aca="false">SQRT(($B421-AB$401)^2+($C421-AB$402)^2+($D421-AB$403)^2)</f>
        <v>2.49878681858911</v>
      </c>
      <c r="AC421" s="17" t="n">
        <f aca="false">SQRT(($B421-AC$401)^2+($C421-AC$402)^2+($D421-AC$403)^2)</f>
        <v>2.00623655151962</v>
      </c>
      <c r="AD421" s="63" t="n">
        <f aca="false">MATCH(MIN(X421:AC421),X421:AC421,0)</f>
        <v>3</v>
      </c>
      <c r="AF421" s="17" t="n">
        <f aca="false">SQRT(($B421-AF$401)^2+($C421-AF$402)^2+($D421-AF$403)^2)</f>
        <v>4.58486160461463</v>
      </c>
      <c r="AG421" s="17" t="n">
        <f aca="false">SQRT(($B421-AG$401)^2+($C421-AG$402)^2+($D421-AG$403)^2)</f>
        <v>3.63352171509773</v>
      </c>
      <c r="AH421" s="17" t="n">
        <f aca="false">SQRT(($B421-AH$401)^2+($C421-AH$402)^2+($D421-AH$403)^2)</f>
        <v>0.74826662907653</v>
      </c>
      <c r="AI421" s="17" t="n">
        <f aca="false">SQRT(($B421-AI$401)^2+($C421-AI$402)^2+($D421-AI$403)^2)</f>
        <v>2.65473267238155</v>
      </c>
      <c r="AJ421" s="17" t="n">
        <f aca="false">SQRT(($B421-AJ$401)^2+($C421-AJ$402)^2+($D421-AJ$403)^2)</f>
        <v>2.42487093620757</v>
      </c>
      <c r="AK421" s="17" t="n">
        <f aca="false">SQRT(($B421-AK$401)^2+($C421-AK$402)^2+($D421-AK$403)^2)</f>
        <v>1.99311651815476</v>
      </c>
      <c r="AL421" s="63" t="n">
        <f aca="false">MATCH(MIN(AF421:AK421),AF421:AK421,0)</f>
        <v>3</v>
      </c>
      <c r="AN421" s="17" t="n">
        <f aca="false">SQRT(($B421-AN$401)^2+($C421-AN$402)^2+($D421-AN$403)^2)</f>
        <v>4.58486160461463</v>
      </c>
      <c r="AO421" s="17" t="n">
        <f aca="false">SQRT(($B421-AO$401)^2+($C421-AO$402)^2+($D421-AO$403)^2)</f>
        <v>3.59104993968845</v>
      </c>
      <c r="AP421" s="17" t="n">
        <f aca="false">SQRT(($B421-AP$401)^2+($C421-AP$402)^2+($D421-AP$403)^2)</f>
        <v>0.763275997147408</v>
      </c>
      <c r="AQ421" s="17" t="n">
        <f aca="false">SQRT(($B421-AQ$401)^2+($C421-AQ$402)^2+($D421-AQ$403)^2)</f>
        <v>2.67235663551146</v>
      </c>
      <c r="AR421" s="17" t="n">
        <f aca="false">SQRT(($B421-AR$401)^2+($C421-AR$402)^2+($D421-AR$403)^2)</f>
        <v>2.42487093620757</v>
      </c>
      <c r="AS421" s="17" t="n">
        <f aca="false">SQRT(($B421-AS$401)^2+($C421-AS$402)^2+($D421-AS$403)^2)</f>
        <v>1.95047376878846</v>
      </c>
      <c r="AT421" s="63" t="n">
        <f aca="false">MATCH(MIN(AN421:AS421),AN421:AS421,0)</f>
        <v>3</v>
      </c>
      <c r="AV421" s="17" t="n">
        <f aca="false">SQRT(($B421-AV$401)^2+($C421-AV$402)^2+($D421-AV$403)^2)</f>
        <v>4.58486160461463</v>
      </c>
      <c r="AW421" s="17" t="n">
        <f aca="false">SQRT(($B421-AW$401)^2+($C421-AW$402)^2+($D421-AW$403)^2)</f>
        <v>3.56073995081383</v>
      </c>
      <c r="AX421" s="17" t="n">
        <f aca="false">SQRT(($B421-AX$401)^2+($C421-AX$402)^2+($D421-AX$403)^2)</f>
        <v>0.763275997147408</v>
      </c>
      <c r="AY421" s="17" t="n">
        <f aca="false">SQRT(($B421-AY$401)^2+($C421-AY$402)^2+($D421-AY$403)^2)</f>
        <v>2.67235663551146</v>
      </c>
      <c r="AZ421" s="17" t="n">
        <f aca="false">SQRT(($B421-AZ$401)^2+($C421-AZ$402)^2+($D421-AZ$403)^2)</f>
        <v>2.42487093620757</v>
      </c>
      <c r="BA421" s="17" t="n">
        <f aca="false">SQRT(($B421-BA$401)^2+($C421-BA$402)^2+($D421-BA$403)^2)</f>
        <v>1.92426747110083</v>
      </c>
      <c r="BB421" s="63" t="n">
        <f aca="false">MATCH(MIN(AV421:BA421),AV421:BA421,0)</f>
        <v>3</v>
      </c>
      <c r="BD421" s="17" t="n">
        <f aca="false">SQRT(($B421-BD$401)^2+($C421-BD$402)^2+($D421-BD$403)^2)</f>
        <v>4.58486160461463</v>
      </c>
      <c r="BE421" s="17" t="n">
        <f aca="false">SQRT(($B421-BE$401)^2+($C421-BE$402)^2+($D421-BE$403)^2)</f>
        <v>3.53157748768964</v>
      </c>
      <c r="BF421" s="17" t="n">
        <f aca="false">SQRT(($B421-BF$401)^2+($C421-BF$402)^2+($D421-BF$403)^2)</f>
        <v>0.763275997147408</v>
      </c>
      <c r="BG421" s="17" t="n">
        <f aca="false">SQRT(($B421-BG$401)^2+($C421-BG$402)^2+($D421-BG$403)^2)</f>
        <v>2.67235663551146</v>
      </c>
      <c r="BH421" s="17" t="n">
        <f aca="false">SQRT(($B421-BH$401)^2+($C421-BH$402)^2+($D421-BH$403)^2)</f>
        <v>2.42487093620757</v>
      </c>
      <c r="BI421" s="17" t="n">
        <f aca="false">SQRT(($B421-BI$401)^2+($C421-BI$402)^2+($D421-BI$403)^2)</f>
        <v>1.89723629944261</v>
      </c>
      <c r="BJ421" s="63" t="n">
        <f aca="false">MATCH(MIN(BD421:BI421),BD421:BI421,0)</f>
        <v>3</v>
      </c>
      <c r="BL421" s="17" t="n">
        <f aca="false">SQRT(($B421-BL$401)^2+($C421-BL$402)^2+($D421-BL$403)^2)</f>
        <v>4.58486160461463</v>
      </c>
      <c r="BM421" s="17" t="n">
        <f aca="false">SQRT(($B421-BM$401)^2+($C421-BM$402)^2+($D421-BM$403)^2)</f>
        <v>3.53157748768964</v>
      </c>
      <c r="BN421" s="17" t="n">
        <f aca="false">SQRT(($B421-BN$401)^2+($C421-BN$402)^2+($D421-BN$403)^2)</f>
        <v>0.763275997147408</v>
      </c>
      <c r="BO421" s="17" t="n">
        <f aca="false">SQRT(($B421-BO$401)^2+($C421-BO$402)^2+($D421-BO$403)^2)</f>
        <v>2.67235663551146</v>
      </c>
      <c r="BP421" s="17" t="n">
        <f aca="false">SQRT(($B421-BP$401)^2+($C421-BP$402)^2+($D421-BP$403)^2)</f>
        <v>2.42487093620757</v>
      </c>
      <c r="BQ421" s="17" t="n">
        <f aca="false">SQRT(($B421-BQ$401)^2+($C421-BQ$402)^2+($D421-BQ$403)^2)</f>
        <v>1.89723629944261</v>
      </c>
      <c r="BR421" s="63" t="n">
        <f aca="false">MATCH(MIN(BL421:BQ421),BL421:BQ421,0)</f>
        <v>3</v>
      </c>
      <c r="BT421" s="17" t="n">
        <f aca="false">SQRT(($B421-BT$401)^2+($C421-BT$402)^2+($D421-BT$403)^2)</f>
        <v>4.58486160461463</v>
      </c>
      <c r="BU421" s="17" t="n">
        <f aca="false">SQRT(($B421-BU$401)^2+($C421-BU$402)^2+($D421-BU$403)^2)</f>
        <v>3.53157748768964</v>
      </c>
      <c r="BV421" s="17" t="n">
        <f aca="false">SQRT(($B421-BV$401)^2+($C421-BV$402)^2+($D421-BV$403)^2)</f>
        <v>0.763275997147408</v>
      </c>
      <c r="BW421" s="17" t="n">
        <f aca="false">SQRT(($B421-BW$401)^2+($C421-BW$402)^2+($D421-BW$403)^2)</f>
        <v>2.67235663551146</v>
      </c>
      <c r="BX421" s="17" t="n">
        <f aca="false">SQRT(($B421-BX$401)^2+($C421-BX$402)^2+($D421-BX$403)^2)</f>
        <v>2.42487093620757</v>
      </c>
      <c r="BY421" s="17" t="n">
        <f aca="false">SQRT(($B421-BY$401)^2+($C421-BY$402)^2+($D421-BY$403)^2)</f>
        <v>1.89723629944261</v>
      </c>
      <c r="BZ421" s="63" t="n">
        <f aca="false">MATCH(MIN(BT421:BY421),BT421:BY421,0)</f>
        <v>3</v>
      </c>
      <c r="CB421" s="17" t="n">
        <f aca="false">SQRT(($B421-CB$401)^2+($C421-CB$402)^2+($D421-CB$403)^2)</f>
        <v>4.58486160461463</v>
      </c>
      <c r="CC421" s="17" t="n">
        <f aca="false">SQRT(($B421-CC$401)^2+($C421-CC$402)^2+($D421-CC$403)^2)</f>
        <v>3.53157748768964</v>
      </c>
      <c r="CD421" s="17" t="n">
        <f aca="false">SQRT(($B421-CD$401)^2+($C421-CD$402)^2+($D421-CD$403)^2)</f>
        <v>0.763275997147408</v>
      </c>
      <c r="CE421" s="17" t="n">
        <f aca="false">SQRT(($B421-CE$401)^2+($C421-CE$402)^2+($D421-CE$403)^2)</f>
        <v>2.67235663551146</v>
      </c>
      <c r="CF421" s="17" t="n">
        <f aca="false">SQRT(($B421-CF$401)^2+($C421-CF$402)^2+($D421-CF$403)^2)</f>
        <v>2.42487093620757</v>
      </c>
      <c r="CG421" s="17" t="n">
        <f aca="false">SQRT(($B421-CG$401)^2+($C421-CG$402)^2+($D421-CG$403)^2)</f>
        <v>1.89723629944261</v>
      </c>
      <c r="CH421" s="63" t="n">
        <f aca="false">MATCH(MIN(CB421:CG421),CB421:CG421,0)</f>
        <v>3</v>
      </c>
      <c r="CJ421" s="17" t="n">
        <f aca="false">SQRT(($B421-CJ$401)^2+($C421-CJ$402)^2+($D421-CJ$403)^2)</f>
        <v>4.58486160461463</v>
      </c>
      <c r="CK421" s="17" t="n">
        <f aca="false">SQRT(($B421-CK$401)^2+($C421-CK$402)^2+($D421-CK$403)^2)</f>
        <v>3.53157748768964</v>
      </c>
      <c r="CL421" s="17" t="n">
        <f aca="false">SQRT(($B421-CL$401)^2+($C421-CL$402)^2+($D421-CL$403)^2)</f>
        <v>0.763275997147408</v>
      </c>
      <c r="CM421" s="17" t="n">
        <f aca="false">SQRT(($B421-CM$401)^2+($C421-CM$402)^2+($D421-CM$403)^2)</f>
        <v>2.67235663551146</v>
      </c>
      <c r="CN421" s="17" t="n">
        <f aca="false">SQRT(($B421-CN$401)^2+($C421-CN$402)^2+($D421-CN$403)^2)</f>
        <v>2.42487093620757</v>
      </c>
      <c r="CO421" s="17" t="n">
        <f aca="false">SQRT(($B421-CO$401)^2+($C421-CO$402)^2+($D421-CO$403)^2)</f>
        <v>1.89723629944261</v>
      </c>
      <c r="CP421" s="63" t="n">
        <f aca="false">MATCH(MIN(CJ421:CO421),CJ421:CO421,0)</f>
        <v>3</v>
      </c>
      <c r="CR421" s="17" t="n">
        <f aca="false">SQRT(($B421-CR$401)^2+($C421-CR$402)^2+($D421-CR$403)^2)</f>
        <v>4.58486160461463</v>
      </c>
      <c r="CS421" s="17" t="n">
        <f aca="false">SQRT(($B421-CS$401)^2+($C421-CS$402)^2+($D421-CS$403)^2)</f>
        <v>3.53157748768964</v>
      </c>
      <c r="CT421" s="17" t="n">
        <f aca="false">SQRT(($B421-CT$401)^2+($C421-CT$402)^2+($D421-CT$403)^2)</f>
        <v>0.763275997147408</v>
      </c>
      <c r="CU421" s="17" t="n">
        <f aca="false">SQRT(($B421-CU$401)^2+($C421-CU$402)^2+($D421-CU$403)^2)</f>
        <v>2.67235663551146</v>
      </c>
      <c r="CV421" s="17" t="n">
        <f aca="false">SQRT(($B421-CV$401)^2+($C421-CV$402)^2+($D421-CV$403)^2)</f>
        <v>2.42487093620757</v>
      </c>
      <c r="CW421" s="17" t="n">
        <f aca="false">SQRT(($B421-CW$401)^2+($C421-CW$402)^2+($D421-CW$403)^2)</f>
        <v>1.89723629944261</v>
      </c>
      <c r="CX421" s="63" t="n">
        <f aca="false">MATCH(MIN(CR421:CW421),CR421:CW421,0)</f>
        <v>3</v>
      </c>
      <c r="CZ421" s="17" t="n">
        <f aca="false">SQRT(($B421-CZ$401)^2+($C421-CZ$402)^2+($D421-CZ$403)^2)</f>
        <v>4.58486160461463</v>
      </c>
      <c r="DA421" s="17" t="n">
        <f aca="false">SQRT(($B421-DA$401)^2+($C421-DA$402)^2+($D421-DA$403)^2)</f>
        <v>3.53157748768964</v>
      </c>
      <c r="DB421" s="17" t="n">
        <f aca="false">SQRT(($B421-DB$401)^2+($C421-DB$402)^2+($D421-DB$403)^2)</f>
        <v>0.763275997147408</v>
      </c>
      <c r="DC421" s="17" t="n">
        <f aca="false">SQRT(($B421-DC$401)^2+($C421-DC$402)^2+($D421-DC$403)^2)</f>
        <v>2.67235663551146</v>
      </c>
      <c r="DD421" s="17" t="n">
        <f aca="false">SQRT(($B421-DD$401)^2+($C421-DD$402)^2+($D421-DD$403)^2)</f>
        <v>2.42487093620757</v>
      </c>
      <c r="DE421" s="17" t="n">
        <f aca="false">SQRT(($B421-DE$401)^2+($C421-DE$402)^2+($D421-DE$403)^2)</f>
        <v>1.89723629944261</v>
      </c>
      <c r="DF421" s="63" t="n">
        <f aca="false">MATCH(MIN(CZ421:DE421),CZ421:DE421,0)</f>
        <v>3</v>
      </c>
      <c r="DH421" s="17" t="n">
        <f aca="false">SQRT(($B421-DH$401)^2+($C421-DH$402)^2+($D421-DH$403)^2)</f>
        <v>4.58486160461463</v>
      </c>
      <c r="DI421" s="17" t="n">
        <f aca="false">SQRT(($B421-DI$401)^2+($C421-DI$402)^2+($D421-DI$403)^2)</f>
        <v>3.53157748768964</v>
      </c>
      <c r="DJ421" s="17" t="n">
        <f aca="false">SQRT(($B421-DJ$401)^2+($C421-DJ$402)^2+($D421-DJ$403)^2)</f>
        <v>0.763275997147408</v>
      </c>
      <c r="DK421" s="17" t="n">
        <f aca="false">SQRT(($B421-DK$401)^2+($C421-DK$402)^2+($D421-DK$403)^2)</f>
        <v>2.67235663551146</v>
      </c>
      <c r="DL421" s="17" t="n">
        <f aca="false">SQRT(($B421-DL$401)^2+($C421-DL$402)^2+($D421-DL$403)^2)</f>
        <v>2.42487093620757</v>
      </c>
      <c r="DM421" s="17" t="n">
        <f aca="false">SQRT(($B421-DM$401)^2+($C421-DM$402)^2+($D421-DM$403)^2)</f>
        <v>1.89723629944261</v>
      </c>
      <c r="DN421" s="63" t="n">
        <f aca="false">MATCH(MIN(DH421:DM421),DH421:DM421,0)</f>
        <v>3</v>
      </c>
    </row>
    <row r="422" customFormat="false" ht="15" hidden="false" customHeight="false" outlineLevel="0" collapsed="false">
      <c r="A422" s="36" t="str">
        <f aca="false">KMeans_Data!A19</f>
        <v>Ghotki</v>
      </c>
      <c r="B422" s="17" t="n">
        <f aca="false">KMeans_Data!H19</f>
        <v>1.00781777519734</v>
      </c>
      <c r="C422" s="17" t="n">
        <f aca="false">KMeans_Data!I19</f>
        <v>-0.146983133929529</v>
      </c>
      <c r="D422" s="17" t="n">
        <f aca="false">KMeans_Data!J19</f>
        <v>1.16687696458076</v>
      </c>
      <c r="E422" s="63" t="n">
        <f aca="false">DN422</f>
        <v>3</v>
      </c>
      <c r="F422" s="38" t="n">
        <f aca="false">($B422-INDEX($L$401:$Q$401,E422))^2+($C422-INDEX($L$402:$Q$402,E422))^2+($D422-INDEX($L$403:$Q$403,E422))^2</f>
        <v>1.08066889882244</v>
      </c>
      <c r="G422" s="17" t="n">
        <f aca="false">IF(COUNTIF(Distance_Matrix!$E$12:$DQ$12,$E422)&lt;=1,0,SUMIF(Distance_Matrix!$E$12:$DQ$12,$E422,Distance_Matrix!$E$28:$DQ$28)/(COUNTIF(Distance_Matrix!$E$12:$DQ$12,$E422)-1))</f>
        <v>1.20195890060417</v>
      </c>
      <c r="H422" s="17" t="n">
        <f aca="false">MIN(IF(1=$E422,1E+099,IF(COUNTIF(Distance_Matrix!$E$12:$DQ$12,1)=0,1E+099,SUMIF(Distance_Matrix!$E$12:$DQ$12,1,Distance_Matrix!$E$28:$DQ$28)/COUNTIF(Distance_Matrix!$E$12:$DQ$12,1))),IF(2=$E422,1E+099,IF(COUNTIF(Distance_Matrix!$E$12:$DQ$12,2)=0,1E+099,SUMIF(Distance_Matrix!$E$12:$DQ$12,2,Distance_Matrix!$E$28:$DQ$28)/COUNTIF(Distance_Matrix!$E$12:$DQ$12,2))),IF(3=$E422,1E+099,IF(COUNTIF(Distance_Matrix!$E$12:$DQ$12,3)=0,1E+099,SUMIF(Distance_Matrix!$E$12:$DQ$12,3,Distance_Matrix!$E$28:$DQ$28)/COUNTIF(Distance_Matrix!$E$12:$DQ$12,3))),IF(4=$E422,1E+099,IF(COUNTIF(Distance_Matrix!$E$12:$DQ$12,4)=0,1E+099,SUMIF(Distance_Matrix!$E$12:$DQ$12,4,Distance_Matrix!$E$28:$DQ$28)/COUNTIF(Distance_Matrix!$E$12:$DQ$12,4))),IF(5=$E422,1E+099,IF(COUNTIF(Distance_Matrix!$E$12:$DQ$12,5)=0,1E+099,SUMIF(Distance_Matrix!$E$12:$DQ$12,5,Distance_Matrix!$E$28:$DQ$28)/COUNTIF(Distance_Matrix!$E$12:$DQ$12,5))),IF(6=$E422,1E+099,IF(COUNTIF(Distance_Matrix!$E$12:$DQ$12,6)=0,1E+099,SUMIF(Distance_Matrix!$E$12:$DQ$12,6,Distance_Matrix!$E$28:$DQ$28)/COUNTIF(Distance_Matrix!$E$12:$DQ$12,6))))</f>
        <v>1.60080313828601</v>
      </c>
      <c r="I422" s="17" t="n">
        <f aca="false">IF(COUNTIF(Distance_Matrix!$E$12:$DQ$12,$E422)&lt;=1,0,(H422-G422)/MAX(G422,H422))</f>
        <v>0.249152583564322</v>
      </c>
      <c r="X422" s="17" t="n">
        <f aca="false">SQRT(($B422-X$401)^2+($C422-X$402)^2+($D422-X$403)^2)</f>
        <v>5.19700942044935</v>
      </c>
      <c r="Y422" s="17" t="n">
        <f aca="false">SQRT(($B422-Y$401)^2+($C422-Y$402)^2+($D422-Y$403)^2)</f>
        <v>3.89320954094829</v>
      </c>
      <c r="Z422" s="17" t="n">
        <f aca="false">SQRT(($B422-Z$401)^2+($C422-Z$402)^2+($D422-Z$403)^2)</f>
        <v>0.607722514204808</v>
      </c>
      <c r="AA422" s="17" t="n">
        <f aca="false">SQRT(($B422-AA$401)^2+($C422-AA$402)^2+($D422-AA$403)^2)</f>
        <v>2.34070556572108</v>
      </c>
      <c r="AB422" s="17" t="n">
        <f aca="false">SQRT(($B422-AB$401)^2+($C422-AB$402)^2+($D422-AB$403)^2)</f>
        <v>3.04186416890981</v>
      </c>
      <c r="AC422" s="17" t="n">
        <f aca="false">SQRT(($B422-AC$401)^2+($C422-AC$402)^2+($D422-AC$403)^2)</f>
        <v>1.79656623255479</v>
      </c>
      <c r="AD422" s="63" t="n">
        <f aca="false">MATCH(MIN(X422:AC422),X422:AC422,0)</f>
        <v>3</v>
      </c>
      <c r="AF422" s="17" t="n">
        <f aca="false">SQRT(($B422-AF$401)^2+($C422-AF$402)^2+($D422-AF$403)^2)</f>
        <v>5.13225117774733</v>
      </c>
      <c r="AG422" s="17" t="n">
        <f aca="false">SQRT(($B422-AG$401)^2+($C422-AG$402)^2+($D422-AG$403)^2)</f>
        <v>3.28536455204633</v>
      </c>
      <c r="AH422" s="17" t="n">
        <f aca="false">SQRT(($B422-AH$401)^2+($C422-AH$402)^2+($D422-AH$403)^2)</f>
        <v>1.03898106512318</v>
      </c>
      <c r="AI422" s="17" t="n">
        <f aca="false">SQRT(($B422-AI$401)^2+($C422-AI$402)^2+($D422-AI$403)^2)</f>
        <v>2.2336073266855</v>
      </c>
      <c r="AJ422" s="17" t="n">
        <f aca="false">SQRT(($B422-AJ$401)^2+($C422-AJ$402)^2+($D422-AJ$403)^2)</f>
        <v>2.96223559255478</v>
      </c>
      <c r="AK422" s="17" t="n">
        <f aca="false">SQRT(($B422-AK$401)^2+($C422-AK$402)^2+($D422-AK$403)^2)</f>
        <v>1.63370954069927</v>
      </c>
      <c r="AL422" s="63" t="n">
        <f aca="false">MATCH(MIN(AF422:AK422),AF422:AK422,0)</f>
        <v>3</v>
      </c>
      <c r="AN422" s="17" t="n">
        <f aca="false">SQRT(($B422-AN$401)^2+($C422-AN$402)^2+($D422-AN$403)^2)</f>
        <v>5.13225117774733</v>
      </c>
      <c r="AO422" s="17" t="n">
        <f aca="false">SQRT(($B422-AO$401)^2+($C422-AO$402)^2+($D422-AO$403)^2)</f>
        <v>3.24045499459421</v>
      </c>
      <c r="AP422" s="17" t="n">
        <f aca="false">SQRT(($B422-AP$401)^2+($C422-AP$402)^2+($D422-AP$403)^2)</f>
        <v>1.03955225882225</v>
      </c>
      <c r="AQ422" s="17" t="n">
        <f aca="false">SQRT(($B422-AQ$401)^2+($C422-AQ$402)^2+($D422-AQ$403)^2)</f>
        <v>2.24657453787043</v>
      </c>
      <c r="AR422" s="17" t="n">
        <f aca="false">SQRT(($B422-AR$401)^2+($C422-AR$402)^2+($D422-AR$403)^2)</f>
        <v>2.96223559255478</v>
      </c>
      <c r="AS422" s="17" t="n">
        <f aca="false">SQRT(($B422-AS$401)^2+($C422-AS$402)^2+($D422-AS$403)^2)</f>
        <v>1.58822467380203</v>
      </c>
      <c r="AT422" s="63" t="n">
        <f aca="false">MATCH(MIN(AN422:AS422),AN422:AS422,0)</f>
        <v>3</v>
      </c>
      <c r="AV422" s="17" t="n">
        <f aca="false">SQRT(($B422-AV$401)^2+($C422-AV$402)^2+($D422-AV$403)^2)</f>
        <v>5.13225117774733</v>
      </c>
      <c r="AW422" s="17" t="n">
        <f aca="false">SQRT(($B422-AW$401)^2+($C422-AW$402)^2+($D422-AW$403)^2)</f>
        <v>3.20932728289458</v>
      </c>
      <c r="AX422" s="17" t="n">
        <f aca="false">SQRT(($B422-AX$401)^2+($C422-AX$402)^2+($D422-AX$403)^2)</f>
        <v>1.03955225882225</v>
      </c>
      <c r="AY422" s="17" t="n">
        <f aca="false">SQRT(($B422-AY$401)^2+($C422-AY$402)^2+($D422-AY$403)^2)</f>
        <v>2.24657453787043</v>
      </c>
      <c r="AZ422" s="17" t="n">
        <f aca="false">SQRT(($B422-AZ$401)^2+($C422-AZ$402)^2+($D422-AZ$403)^2)</f>
        <v>2.96223559255478</v>
      </c>
      <c r="BA422" s="17" t="n">
        <f aca="false">SQRT(($B422-BA$401)^2+($C422-BA$402)^2+($D422-BA$403)^2)</f>
        <v>1.56270258420073</v>
      </c>
      <c r="BB422" s="63" t="n">
        <f aca="false">MATCH(MIN(AV422:BA422),AV422:BA422,0)</f>
        <v>3</v>
      </c>
      <c r="BD422" s="17" t="n">
        <f aca="false">SQRT(($B422-BD$401)^2+($C422-BD$402)^2+($D422-BD$403)^2)</f>
        <v>5.13225117774733</v>
      </c>
      <c r="BE422" s="17" t="n">
        <f aca="false">SQRT(($B422-BE$401)^2+($C422-BE$402)^2+($D422-BE$403)^2)</f>
        <v>3.17955514730103</v>
      </c>
      <c r="BF422" s="17" t="n">
        <f aca="false">SQRT(($B422-BF$401)^2+($C422-BF$402)^2+($D422-BF$403)^2)</f>
        <v>1.03955225882225</v>
      </c>
      <c r="BG422" s="17" t="n">
        <f aca="false">SQRT(($B422-BG$401)^2+($C422-BG$402)^2+($D422-BG$403)^2)</f>
        <v>2.24657453787043</v>
      </c>
      <c r="BH422" s="17" t="n">
        <f aca="false">SQRT(($B422-BH$401)^2+($C422-BH$402)^2+($D422-BH$403)^2)</f>
        <v>2.96223559255478</v>
      </c>
      <c r="BI422" s="17" t="n">
        <f aca="false">SQRT(($B422-BI$401)^2+($C422-BI$402)^2+($D422-BI$403)^2)</f>
        <v>1.53612014473</v>
      </c>
      <c r="BJ422" s="63" t="n">
        <f aca="false">MATCH(MIN(BD422:BI422),BD422:BI422,0)</f>
        <v>3</v>
      </c>
      <c r="BL422" s="17" t="n">
        <f aca="false">SQRT(($B422-BL$401)^2+($C422-BL$402)^2+($D422-BL$403)^2)</f>
        <v>5.13225117774733</v>
      </c>
      <c r="BM422" s="17" t="n">
        <f aca="false">SQRT(($B422-BM$401)^2+($C422-BM$402)^2+($D422-BM$403)^2)</f>
        <v>3.17955514730103</v>
      </c>
      <c r="BN422" s="17" t="n">
        <f aca="false">SQRT(($B422-BN$401)^2+($C422-BN$402)^2+($D422-BN$403)^2)</f>
        <v>1.03955225882225</v>
      </c>
      <c r="BO422" s="17" t="n">
        <f aca="false">SQRT(($B422-BO$401)^2+($C422-BO$402)^2+($D422-BO$403)^2)</f>
        <v>2.24657453787043</v>
      </c>
      <c r="BP422" s="17" t="n">
        <f aca="false">SQRT(($B422-BP$401)^2+($C422-BP$402)^2+($D422-BP$403)^2)</f>
        <v>2.96223559255478</v>
      </c>
      <c r="BQ422" s="17" t="n">
        <f aca="false">SQRT(($B422-BQ$401)^2+($C422-BQ$402)^2+($D422-BQ$403)^2)</f>
        <v>1.53612014473</v>
      </c>
      <c r="BR422" s="63" t="n">
        <f aca="false">MATCH(MIN(BL422:BQ422),BL422:BQ422,0)</f>
        <v>3</v>
      </c>
      <c r="BT422" s="17" t="n">
        <f aca="false">SQRT(($B422-BT$401)^2+($C422-BT$402)^2+($D422-BT$403)^2)</f>
        <v>5.13225117774733</v>
      </c>
      <c r="BU422" s="17" t="n">
        <f aca="false">SQRT(($B422-BU$401)^2+($C422-BU$402)^2+($D422-BU$403)^2)</f>
        <v>3.17955514730103</v>
      </c>
      <c r="BV422" s="17" t="n">
        <f aca="false">SQRT(($B422-BV$401)^2+($C422-BV$402)^2+($D422-BV$403)^2)</f>
        <v>1.03955225882225</v>
      </c>
      <c r="BW422" s="17" t="n">
        <f aca="false">SQRT(($B422-BW$401)^2+($C422-BW$402)^2+($D422-BW$403)^2)</f>
        <v>2.24657453787043</v>
      </c>
      <c r="BX422" s="17" t="n">
        <f aca="false">SQRT(($B422-BX$401)^2+($C422-BX$402)^2+($D422-BX$403)^2)</f>
        <v>2.96223559255478</v>
      </c>
      <c r="BY422" s="17" t="n">
        <f aca="false">SQRT(($B422-BY$401)^2+($C422-BY$402)^2+($D422-BY$403)^2)</f>
        <v>1.53612014473</v>
      </c>
      <c r="BZ422" s="63" t="n">
        <f aca="false">MATCH(MIN(BT422:BY422),BT422:BY422,0)</f>
        <v>3</v>
      </c>
      <c r="CB422" s="17" t="n">
        <f aca="false">SQRT(($B422-CB$401)^2+($C422-CB$402)^2+($D422-CB$403)^2)</f>
        <v>5.13225117774733</v>
      </c>
      <c r="CC422" s="17" t="n">
        <f aca="false">SQRT(($B422-CC$401)^2+($C422-CC$402)^2+($D422-CC$403)^2)</f>
        <v>3.17955514730103</v>
      </c>
      <c r="CD422" s="17" t="n">
        <f aca="false">SQRT(($B422-CD$401)^2+($C422-CD$402)^2+($D422-CD$403)^2)</f>
        <v>1.03955225882225</v>
      </c>
      <c r="CE422" s="17" t="n">
        <f aca="false">SQRT(($B422-CE$401)^2+($C422-CE$402)^2+($D422-CE$403)^2)</f>
        <v>2.24657453787043</v>
      </c>
      <c r="CF422" s="17" t="n">
        <f aca="false">SQRT(($B422-CF$401)^2+($C422-CF$402)^2+($D422-CF$403)^2)</f>
        <v>2.96223559255478</v>
      </c>
      <c r="CG422" s="17" t="n">
        <f aca="false">SQRT(($B422-CG$401)^2+($C422-CG$402)^2+($D422-CG$403)^2)</f>
        <v>1.53612014473</v>
      </c>
      <c r="CH422" s="63" t="n">
        <f aca="false">MATCH(MIN(CB422:CG422),CB422:CG422,0)</f>
        <v>3</v>
      </c>
      <c r="CJ422" s="17" t="n">
        <f aca="false">SQRT(($B422-CJ$401)^2+($C422-CJ$402)^2+($D422-CJ$403)^2)</f>
        <v>5.13225117774733</v>
      </c>
      <c r="CK422" s="17" t="n">
        <f aca="false">SQRT(($B422-CK$401)^2+($C422-CK$402)^2+($D422-CK$403)^2)</f>
        <v>3.17955514730103</v>
      </c>
      <c r="CL422" s="17" t="n">
        <f aca="false">SQRT(($B422-CL$401)^2+($C422-CL$402)^2+($D422-CL$403)^2)</f>
        <v>1.03955225882225</v>
      </c>
      <c r="CM422" s="17" t="n">
        <f aca="false">SQRT(($B422-CM$401)^2+($C422-CM$402)^2+($D422-CM$403)^2)</f>
        <v>2.24657453787043</v>
      </c>
      <c r="CN422" s="17" t="n">
        <f aca="false">SQRT(($B422-CN$401)^2+($C422-CN$402)^2+($D422-CN$403)^2)</f>
        <v>2.96223559255478</v>
      </c>
      <c r="CO422" s="17" t="n">
        <f aca="false">SQRT(($B422-CO$401)^2+($C422-CO$402)^2+($D422-CO$403)^2)</f>
        <v>1.53612014473</v>
      </c>
      <c r="CP422" s="63" t="n">
        <f aca="false">MATCH(MIN(CJ422:CO422),CJ422:CO422,0)</f>
        <v>3</v>
      </c>
      <c r="CR422" s="17" t="n">
        <f aca="false">SQRT(($B422-CR$401)^2+($C422-CR$402)^2+($D422-CR$403)^2)</f>
        <v>5.13225117774733</v>
      </c>
      <c r="CS422" s="17" t="n">
        <f aca="false">SQRT(($B422-CS$401)^2+($C422-CS$402)^2+($D422-CS$403)^2)</f>
        <v>3.17955514730103</v>
      </c>
      <c r="CT422" s="17" t="n">
        <f aca="false">SQRT(($B422-CT$401)^2+($C422-CT$402)^2+($D422-CT$403)^2)</f>
        <v>1.03955225882225</v>
      </c>
      <c r="CU422" s="17" t="n">
        <f aca="false">SQRT(($B422-CU$401)^2+($C422-CU$402)^2+($D422-CU$403)^2)</f>
        <v>2.24657453787043</v>
      </c>
      <c r="CV422" s="17" t="n">
        <f aca="false">SQRT(($B422-CV$401)^2+($C422-CV$402)^2+($D422-CV$403)^2)</f>
        <v>2.96223559255478</v>
      </c>
      <c r="CW422" s="17" t="n">
        <f aca="false">SQRT(($B422-CW$401)^2+($C422-CW$402)^2+($D422-CW$403)^2)</f>
        <v>1.53612014473</v>
      </c>
      <c r="CX422" s="63" t="n">
        <f aca="false">MATCH(MIN(CR422:CW422),CR422:CW422,0)</f>
        <v>3</v>
      </c>
      <c r="CZ422" s="17" t="n">
        <f aca="false">SQRT(($B422-CZ$401)^2+($C422-CZ$402)^2+($D422-CZ$403)^2)</f>
        <v>5.13225117774733</v>
      </c>
      <c r="DA422" s="17" t="n">
        <f aca="false">SQRT(($B422-DA$401)^2+($C422-DA$402)^2+($D422-DA$403)^2)</f>
        <v>3.17955514730103</v>
      </c>
      <c r="DB422" s="17" t="n">
        <f aca="false">SQRT(($B422-DB$401)^2+($C422-DB$402)^2+($D422-DB$403)^2)</f>
        <v>1.03955225882225</v>
      </c>
      <c r="DC422" s="17" t="n">
        <f aca="false">SQRT(($B422-DC$401)^2+($C422-DC$402)^2+($D422-DC$403)^2)</f>
        <v>2.24657453787043</v>
      </c>
      <c r="DD422" s="17" t="n">
        <f aca="false">SQRT(($B422-DD$401)^2+($C422-DD$402)^2+($D422-DD$403)^2)</f>
        <v>2.96223559255478</v>
      </c>
      <c r="DE422" s="17" t="n">
        <f aca="false">SQRT(($B422-DE$401)^2+($C422-DE$402)^2+($D422-DE$403)^2)</f>
        <v>1.53612014473</v>
      </c>
      <c r="DF422" s="63" t="n">
        <f aca="false">MATCH(MIN(CZ422:DE422),CZ422:DE422,0)</f>
        <v>3</v>
      </c>
      <c r="DH422" s="17" t="n">
        <f aca="false">SQRT(($B422-DH$401)^2+($C422-DH$402)^2+($D422-DH$403)^2)</f>
        <v>5.13225117774733</v>
      </c>
      <c r="DI422" s="17" t="n">
        <f aca="false">SQRT(($B422-DI$401)^2+($C422-DI$402)^2+($D422-DI$403)^2)</f>
        <v>3.17955514730103</v>
      </c>
      <c r="DJ422" s="17" t="n">
        <f aca="false">SQRT(($B422-DJ$401)^2+($C422-DJ$402)^2+($D422-DJ$403)^2)</f>
        <v>1.03955225882225</v>
      </c>
      <c r="DK422" s="17" t="n">
        <f aca="false">SQRT(($B422-DK$401)^2+($C422-DK$402)^2+($D422-DK$403)^2)</f>
        <v>2.24657453787043</v>
      </c>
      <c r="DL422" s="17" t="n">
        <f aca="false">SQRT(($B422-DL$401)^2+($C422-DL$402)^2+($D422-DL$403)^2)</f>
        <v>2.96223559255478</v>
      </c>
      <c r="DM422" s="17" t="n">
        <f aca="false">SQRT(($B422-DM$401)^2+($C422-DM$402)^2+($D422-DM$403)^2)</f>
        <v>1.53612014473</v>
      </c>
      <c r="DN422" s="63" t="n">
        <f aca="false">MATCH(MIN(DH422:DM422),DH422:DM422,0)</f>
        <v>3</v>
      </c>
    </row>
    <row r="423" customFormat="false" ht="15" hidden="false" customHeight="false" outlineLevel="0" collapsed="false">
      <c r="A423" s="36" t="str">
        <f aca="false">KMeans_Data!A20</f>
        <v>Dir Lower</v>
      </c>
      <c r="B423" s="17" t="n">
        <f aca="false">KMeans_Data!H20</f>
        <v>0.970625526957299</v>
      </c>
      <c r="C423" s="17" t="n">
        <f aca="false">KMeans_Data!I20</f>
        <v>0.993675724638266</v>
      </c>
      <c r="D423" s="17" t="n">
        <f aca="false">KMeans_Data!J20</f>
        <v>0.997526228800629</v>
      </c>
      <c r="E423" s="63" t="n">
        <f aca="false">DN423</f>
        <v>3</v>
      </c>
      <c r="F423" s="38" t="n">
        <f aca="false">($B423-INDEX($L$401:$Q$401,E423))^2+($C423-INDEX($L$402:$Q$402,E423))^2+($D423-INDEX($L$403:$Q$403,E423))^2</f>
        <v>0.0835588908516079</v>
      </c>
      <c r="G423" s="17" t="n">
        <f aca="false">IF(COUNTIF(Distance_Matrix!$E$12:$DQ$12,$E423)&lt;=1,0,SUMIF(Distance_Matrix!$E$12:$DQ$12,$E423,Distance_Matrix!$E$29:$DQ$29)/(COUNTIF(Distance_Matrix!$E$12:$DQ$12,$E423)-1))</f>
        <v>0.704073502427222</v>
      </c>
      <c r="H423" s="17" t="n">
        <f aca="false">MIN(IF(1=$E423,1E+099,IF(COUNTIF(Distance_Matrix!$E$12:$DQ$12,1)=0,1E+099,SUMIF(Distance_Matrix!$E$12:$DQ$12,1,Distance_Matrix!$E$29:$DQ$29)/COUNTIF(Distance_Matrix!$E$12:$DQ$12,1))),IF(2=$E423,1E+099,IF(COUNTIF(Distance_Matrix!$E$12:$DQ$12,2)=0,1E+099,SUMIF(Distance_Matrix!$E$12:$DQ$12,2,Distance_Matrix!$E$29:$DQ$29)/COUNTIF(Distance_Matrix!$E$12:$DQ$12,2))),IF(3=$E423,1E+099,IF(COUNTIF(Distance_Matrix!$E$12:$DQ$12,3)=0,1E+099,SUMIF(Distance_Matrix!$E$12:$DQ$12,3,Distance_Matrix!$E$29:$DQ$29)/COUNTIF(Distance_Matrix!$E$12:$DQ$12,3))),IF(4=$E423,1E+099,IF(COUNTIF(Distance_Matrix!$E$12:$DQ$12,4)=0,1E+099,SUMIF(Distance_Matrix!$E$12:$DQ$12,4,Distance_Matrix!$E$29:$DQ$29)/COUNTIF(Distance_Matrix!$E$12:$DQ$12,4))),IF(5=$E423,1E+099,IF(COUNTIF(Distance_Matrix!$E$12:$DQ$12,5)=0,1E+099,SUMIF(Distance_Matrix!$E$12:$DQ$12,5,Distance_Matrix!$E$29:$DQ$29)/COUNTIF(Distance_Matrix!$E$12:$DQ$12,5))),IF(6=$E423,1E+099,IF(COUNTIF(Distance_Matrix!$E$12:$DQ$12,6)=0,1E+099,SUMIF(Distance_Matrix!$E$12:$DQ$12,6,Distance_Matrix!$E$29:$DQ$29)/COUNTIF(Distance_Matrix!$E$12:$DQ$12,6))))</f>
        <v>2.00078227628211</v>
      </c>
      <c r="I423" s="17" t="n">
        <f aca="false">IF(COUNTIF(Distance_Matrix!$E$12:$DQ$12,$E423)&lt;=1,0,(H423-G423)/MAX(G423,H423))</f>
        <v>0.648100889950132</v>
      </c>
      <c r="X423" s="17" t="n">
        <f aca="false">SQRT(($B423-X$401)^2+($C423-X$402)^2+($D423-X$403)^2)</f>
        <v>4.43462744470065</v>
      </c>
      <c r="Y423" s="17" t="n">
        <f aca="false">SQRT(($B423-Y$401)^2+($C423-Y$402)^2+($D423-Y$403)^2)</f>
        <v>4.08344706124881</v>
      </c>
      <c r="Z423" s="17" t="n">
        <f aca="false">SQRT(($B423-Z$401)^2+($C423-Z$402)^2+($D423-Z$403)^2)</f>
        <v>0.778639117517089</v>
      </c>
      <c r="AA423" s="17" t="n">
        <f aca="false">SQRT(($B423-AA$401)^2+($C423-AA$402)^2+($D423-AA$403)^2)</f>
        <v>2.44946440401815</v>
      </c>
      <c r="AB423" s="17" t="n">
        <f aca="false">SQRT(($B423-AB$401)^2+($C423-AB$402)^2+($D423-AB$403)^2)</f>
        <v>2.35039144528428</v>
      </c>
      <c r="AC423" s="17" t="n">
        <f aca="false">SQRT(($B423-AC$401)^2+($C423-AC$402)^2+($D423-AC$403)^2)</f>
        <v>2.06130440616152</v>
      </c>
      <c r="AD423" s="63" t="n">
        <f aca="false">MATCH(MIN(X423:AC423),X423:AC423,0)</f>
        <v>3</v>
      </c>
      <c r="AF423" s="17" t="n">
        <f aca="false">SQRT(($B423-AF$401)^2+($C423-AF$402)^2+($D423-AF$403)^2)</f>
        <v>4.33181594539649</v>
      </c>
      <c r="AG423" s="17" t="n">
        <f aca="false">SQRT(($B423-AG$401)^2+($C423-AG$402)^2+($D423-AG$403)^2)</f>
        <v>3.51174542208274</v>
      </c>
      <c r="AH423" s="17" t="n">
        <f aca="false">SQRT(($B423-AH$401)^2+($C423-AH$402)^2+($D423-AH$403)^2)</f>
        <v>0.258159000060368</v>
      </c>
      <c r="AI423" s="17" t="n">
        <f aca="false">SQRT(($B423-AI$401)^2+($C423-AI$402)^2+($D423-AI$403)^2)</f>
        <v>2.54201467860175</v>
      </c>
      <c r="AJ423" s="17" t="n">
        <f aca="false">SQRT(($B423-AJ$401)^2+($C423-AJ$402)^2+($D423-AJ$403)^2)</f>
        <v>2.06676964616074</v>
      </c>
      <c r="AK423" s="17" t="n">
        <f aca="false">SQRT(($B423-AK$401)^2+($C423-AK$402)^2+($D423-AK$403)^2)</f>
        <v>2.03012708191086</v>
      </c>
      <c r="AL423" s="63" t="n">
        <f aca="false">MATCH(MIN(AF423:AK423),AF423:AK423,0)</f>
        <v>3</v>
      </c>
      <c r="AN423" s="17" t="n">
        <f aca="false">SQRT(($B423-AN$401)^2+($C423-AN$402)^2+($D423-AN$403)^2)</f>
        <v>4.33181594539649</v>
      </c>
      <c r="AO423" s="17" t="n">
        <f aca="false">SQRT(($B423-AO$401)^2+($C423-AO$402)^2+($D423-AO$403)^2)</f>
        <v>3.47188444399479</v>
      </c>
      <c r="AP423" s="17" t="n">
        <f aca="false">SQRT(($B423-AP$401)^2+($C423-AP$402)^2+($D423-AP$403)^2)</f>
        <v>0.289065547673202</v>
      </c>
      <c r="AQ423" s="17" t="n">
        <f aca="false">SQRT(($B423-AQ$401)^2+($C423-AQ$402)^2+($D423-AQ$403)^2)</f>
        <v>2.56647023684865</v>
      </c>
      <c r="AR423" s="17" t="n">
        <f aca="false">SQRT(($B423-AR$401)^2+($C423-AR$402)^2+($D423-AR$403)^2)</f>
        <v>2.06676964616074</v>
      </c>
      <c r="AS423" s="17" t="n">
        <f aca="false">SQRT(($B423-AS$401)^2+($C423-AS$402)^2+($D423-AS$403)^2)</f>
        <v>1.99335512687046</v>
      </c>
      <c r="AT423" s="63" t="n">
        <f aca="false">MATCH(MIN(AN423:AS423),AN423:AS423,0)</f>
        <v>3</v>
      </c>
      <c r="AV423" s="17" t="n">
        <f aca="false">SQRT(($B423-AV$401)^2+($C423-AV$402)^2+($D423-AV$403)^2)</f>
        <v>4.33181594539649</v>
      </c>
      <c r="AW423" s="17" t="n">
        <f aca="false">SQRT(($B423-AW$401)^2+($C423-AW$402)^2+($D423-AW$403)^2)</f>
        <v>3.44459673204331</v>
      </c>
      <c r="AX423" s="17" t="n">
        <f aca="false">SQRT(($B423-AX$401)^2+($C423-AX$402)^2+($D423-AX$403)^2)</f>
        <v>0.289065547673202</v>
      </c>
      <c r="AY423" s="17" t="n">
        <f aca="false">SQRT(($B423-AY$401)^2+($C423-AY$402)^2+($D423-AY$403)^2)</f>
        <v>2.56647023684865</v>
      </c>
      <c r="AZ423" s="17" t="n">
        <f aca="false">SQRT(($B423-AZ$401)^2+($C423-AZ$402)^2+($D423-AZ$403)^2)</f>
        <v>2.06676964616074</v>
      </c>
      <c r="BA423" s="17" t="n">
        <f aca="false">SQRT(($B423-BA$401)^2+($C423-BA$402)^2+($D423-BA$403)^2)</f>
        <v>1.96988903888337</v>
      </c>
      <c r="BB423" s="63" t="n">
        <f aca="false">MATCH(MIN(AV423:BA423),AV423:BA423,0)</f>
        <v>3</v>
      </c>
      <c r="BD423" s="17" t="n">
        <f aca="false">SQRT(($B423-BD$401)^2+($C423-BD$402)^2+($D423-BD$403)^2)</f>
        <v>4.33181594539649</v>
      </c>
      <c r="BE423" s="17" t="n">
        <f aca="false">SQRT(($B423-BE$401)^2+($C423-BE$402)^2+($D423-BE$403)^2)</f>
        <v>3.41864180650583</v>
      </c>
      <c r="BF423" s="17" t="n">
        <f aca="false">SQRT(($B423-BF$401)^2+($C423-BF$402)^2+($D423-BF$403)^2)</f>
        <v>0.289065547673202</v>
      </c>
      <c r="BG423" s="17" t="n">
        <f aca="false">SQRT(($B423-BG$401)^2+($C423-BG$402)^2+($D423-BG$403)^2)</f>
        <v>2.56647023684865</v>
      </c>
      <c r="BH423" s="17" t="n">
        <f aca="false">SQRT(($B423-BH$401)^2+($C423-BH$402)^2+($D423-BH$403)^2)</f>
        <v>2.06676964616074</v>
      </c>
      <c r="BI423" s="17" t="n">
        <f aca="false">SQRT(($B423-BI$401)^2+($C423-BI$402)^2+($D423-BI$403)^2)</f>
        <v>1.94523251258338</v>
      </c>
      <c r="BJ423" s="63" t="n">
        <f aca="false">MATCH(MIN(BD423:BI423),BD423:BI423,0)</f>
        <v>3</v>
      </c>
      <c r="BL423" s="17" t="n">
        <f aca="false">SQRT(($B423-BL$401)^2+($C423-BL$402)^2+($D423-BL$403)^2)</f>
        <v>4.33181594539649</v>
      </c>
      <c r="BM423" s="17" t="n">
        <f aca="false">SQRT(($B423-BM$401)^2+($C423-BM$402)^2+($D423-BM$403)^2)</f>
        <v>3.41864180650583</v>
      </c>
      <c r="BN423" s="17" t="n">
        <f aca="false">SQRT(($B423-BN$401)^2+($C423-BN$402)^2+($D423-BN$403)^2)</f>
        <v>0.289065547673202</v>
      </c>
      <c r="BO423" s="17" t="n">
        <f aca="false">SQRT(($B423-BO$401)^2+($C423-BO$402)^2+($D423-BO$403)^2)</f>
        <v>2.56647023684865</v>
      </c>
      <c r="BP423" s="17" t="n">
        <f aca="false">SQRT(($B423-BP$401)^2+($C423-BP$402)^2+($D423-BP$403)^2)</f>
        <v>2.06676964616074</v>
      </c>
      <c r="BQ423" s="17" t="n">
        <f aca="false">SQRT(($B423-BQ$401)^2+($C423-BQ$402)^2+($D423-BQ$403)^2)</f>
        <v>1.94523251258338</v>
      </c>
      <c r="BR423" s="63" t="n">
        <f aca="false">MATCH(MIN(BL423:BQ423),BL423:BQ423,0)</f>
        <v>3</v>
      </c>
      <c r="BT423" s="17" t="n">
        <f aca="false">SQRT(($B423-BT$401)^2+($C423-BT$402)^2+($D423-BT$403)^2)</f>
        <v>4.33181594539649</v>
      </c>
      <c r="BU423" s="17" t="n">
        <f aca="false">SQRT(($B423-BU$401)^2+($C423-BU$402)^2+($D423-BU$403)^2)</f>
        <v>3.41864180650583</v>
      </c>
      <c r="BV423" s="17" t="n">
        <f aca="false">SQRT(($B423-BV$401)^2+($C423-BV$402)^2+($D423-BV$403)^2)</f>
        <v>0.289065547673202</v>
      </c>
      <c r="BW423" s="17" t="n">
        <f aca="false">SQRT(($B423-BW$401)^2+($C423-BW$402)^2+($D423-BW$403)^2)</f>
        <v>2.56647023684865</v>
      </c>
      <c r="BX423" s="17" t="n">
        <f aca="false">SQRT(($B423-BX$401)^2+($C423-BX$402)^2+($D423-BX$403)^2)</f>
        <v>2.06676964616074</v>
      </c>
      <c r="BY423" s="17" t="n">
        <f aca="false">SQRT(($B423-BY$401)^2+($C423-BY$402)^2+($D423-BY$403)^2)</f>
        <v>1.94523251258338</v>
      </c>
      <c r="BZ423" s="63" t="n">
        <f aca="false">MATCH(MIN(BT423:BY423),BT423:BY423,0)</f>
        <v>3</v>
      </c>
      <c r="CB423" s="17" t="n">
        <f aca="false">SQRT(($B423-CB$401)^2+($C423-CB$402)^2+($D423-CB$403)^2)</f>
        <v>4.33181594539649</v>
      </c>
      <c r="CC423" s="17" t="n">
        <f aca="false">SQRT(($B423-CC$401)^2+($C423-CC$402)^2+($D423-CC$403)^2)</f>
        <v>3.41864180650583</v>
      </c>
      <c r="CD423" s="17" t="n">
        <f aca="false">SQRT(($B423-CD$401)^2+($C423-CD$402)^2+($D423-CD$403)^2)</f>
        <v>0.289065547673202</v>
      </c>
      <c r="CE423" s="17" t="n">
        <f aca="false">SQRT(($B423-CE$401)^2+($C423-CE$402)^2+($D423-CE$403)^2)</f>
        <v>2.56647023684865</v>
      </c>
      <c r="CF423" s="17" t="n">
        <f aca="false">SQRT(($B423-CF$401)^2+($C423-CF$402)^2+($D423-CF$403)^2)</f>
        <v>2.06676964616074</v>
      </c>
      <c r="CG423" s="17" t="n">
        <f aca="false">SQRT(($B423-CG$401)^2+($C423-CG$402)^2+($D423-CG$403)^2)</f>
        <v>1.94523251258338</v>
      </c>
      <c r="CH423" s="63" t="n">
        <f aca="false">MATCH(MIN(CB423:CG423),CB423:CG423,0)</f>
        <v>3</v>
      </c>
      <c r="CJ423" s="17" t="n">
        <f aca="false">SQRT(($B423-CJ$401)^2+($C423-CJ$402)^2+($D423-CJ$403)^2)</f>
        <v>4.33181594539649</v>
      </c>
      <c r="CK423" s="17" t="n">
        <f aca="false">SQRT(($B423-CK$401)^2+($C423-CK$402)^2+($D423-CK$403)^2)</f>
        <v>3.41864180650583</v>
      </c>
      <c r="CL423" s="17" t="n">
        <f aca="false">SQRT(($B423-CL$401)^2+($C423-CL$402)^2+($D423-CL$403)^2)</f>
        <v>0.289065547673202</v>
      </c>
      <c r="CM423" s="17" t="n">
        <f aca="false">SQRT(($B423-CM$401)^2+($C423-CM$402)^2+($D423-CM$403)^2)</f>
        <v>2.56647023684865</v>
      </c>
      <c r="CN423" s="17" t="n">
        <f aca="false">SQRT(($B423-CN$401)^2+($C423-CN$402)^2+($D423-CN$403)^2)</f>
        <v>2.06676964616074</v>
      </c>
      <c r="CO423" s="17" t="n">
        <f aca="false">SQRT(($B423-CO$401)^2+($C423-CO$402)^2+($D423-CO$403)^2)</f>
        <v>1.94523251258338</v>
      </c>
      <c r="CP423" s="63" t="n">
        <f aca="false">MATCH(MIN(CJ423:CO423),CJ423:CO423,0)</f>
        <v>3</v>
      </c>
      <c r="CR423" s="17" t="n">
        <f aca="false">SQRT(($B423-CR$401)^2+($C423-CR$402)^2+($D423-CR$403)^2)</f>
        <v>4.33181594539649</v>
      </c>
      <c r="CS423" s="17" t="n">
        <f aca="false">SQRT(($B423-CS$401)^2+($C423-CS$402)^2+($D423-CS$403)^2)</f>
        <v>3.41864180650583</v>
      </c>
      <c r="CT423" s="17" t="n">
        <f aca="false">SQRT(($B423-CT$401)^2+($C423-CT$402)^2+($D423-CT$403)^2)</f>
        <v>0.289065547673202</v>
      </c>
      <c r="CU423" s="17" t="n">
        <f aca="false">SQRT(($B423-CU$401)^2+($C423-CU$402)^2+($D423-CU$403)^2)</f>
        <v>2.56647023684865</v>
      </c>
      <c r="CV423" s="17" t="n">
        <f aca="false">SQRT(($B423-CV$401)^2+($C423-CV$402)^2+($D423-CV$403)^2)</f>
        <v>2.06676964616074</v>
      </c>
      <c r="CW423" s="17" t="n">
        <f aca="false">SQRT(($B423-CW$401)^2+($C423-CW$402)^2+($D423-CW$403)^2)</f>
        <v>1.94523251258338</v>
      </c>
      <c r="CX423" s="63" t="n">
        <f aca="false">MATCH(MIN(CR423:CW423),CR423:CW423,0)</f>
        <v>3</v>
      </c>
      <c r="CZ423" s="17" t="n">
        <f aca="false">SQRT(($B423-CZ$401)^2+($C423-CZ$402)^2+($D423-CZ$403)^2)</f>
        <v>4.33181594539649</v>
      </c>
      <c r="DA423" s="17" t="n">
        <f aca="false">SQRT(($B423-DA$401)^2+($C423-DA$402)^2+($D423-DA$403)^2)</f>
        <v>3.41864180650583</v>
      </c>
      <c r="DB423" s="17" t="n">
        <f aca="false">SQRT(($B423-DB$401)^2+($C423-DB$402)^2+($D423-DB$403)^2)</f>
        <v>0.289065547673202</v>
      </c>
      <c r="DC423" s="17" t="n">
        <f aca="false">SQRT(($B423-DC$401)^2+($C423-DC$402)^2+($D423-DC$403)^2)</f>
        <v>2.56647023684865</v>
      </c>
      <c r="DD423" s="17" t="n">
        <f aca="false">SQRT(($B423-DD$401)^2+($C423-DD$402)^2+($D423-DD$403)^2)</f>
        <v>2.06676964616074</v>
      </c>
      <c r="DE423" s="17" t="n">
        <f aca="false">SQRT(($B423-DE$401)^2+($C423-DE$402)^2+($D423-DE$403)^2)</f>
        <v>1.94523251258338</v>
      </c>
      <c r="DF423" s="63" t="n">
        <f aca="false">MATCH(MIN(CZ423:DE423),CZ423:DE423,0)</f>
        <v>3</v>
      </c>
      <c r="DH423" s="17" t="n">
        <f aca="false">SQRT(($B423-DH$401)^2+($C423-DH$402)^2+($D423-DH$403)^2)</f>
        <v>4.33181594539649</v>
      </c>
      <c r="DI423" s="17" t="n">
        <f aca="false">SQRT(($B423-DI$401)^2+($C423-DI$402)^2+($D423-DI$403)^2)</f>
        <v>3.41864180650583</v>
      </c>
      <c r="DJ423" s="17" t="n">
        <f aca="false">SQRT(($B423-DJ$401)^2+($C423-DJ$402)^2+($D423-DJ$403)^2)</f>
        <v>0.289065547673202</v>
      </c>
      <c r="DK423" s="17" t="n">
        <f aca="false">SQRT(($B423-DK$401)^2+($C423-DK$402)^2+($D423-DK$403)^2)</f>
        <v>2.56647023684865</v>
      </c>
      <c r="DL423" s="17" t="n">
        <f aca="false">SQRT(($B423-DL$401)^2+($C423-DL$402)^2+($D423-DL$403)^2)</f>
        <v>2.06676964616074</v>
      </c>
      <c r="DM423" s="17" t="n">
        <f aca="false">SQRT(($B423-DM$401)^2+($C423-DM$402)^2+($D423-DM$403)^2)</f>
        <v>1.94523251258338</v>
      </c>
      <c r="DN423" s="63" t="n">
        <f aca="false">MATCH(MIN(DH423:DM423),DH423:DM423,0)</f>
        <v>3</v>
      </c>
    </row>
    <row r="424" customFormat="false" ht="15" hidden="false" customHeight="false" outlineLevel="0" collapsed="false">
      <c r="A424" s="36" t="str">
        <f aca="false">KMeans_Data!A21</f>
        <v>Khairpur</v>
      </c>
      <c r="B424" s="17" t="n">
        <f aca="false">KMeans_Data!H21</f>
        <v>0.88016218188859</v>
      </c>
      <c r="C424" s="17" t="n">
        <f aca="false">KMeans_Data!I21</f>
        <v>0.378684277529216</v>
      </c>
      <c r="D424" s="17" t="n">
        <f aca="false">KMeans_Data!J21</f>
        <v>1.58320837987195</v>
      </c>
      <c r="E424" s="63" t="n">
        <f aca="false">DN424</f>
        <v>3</v>
      </c>
      <c r="F424" s="38" t="n">
        <f aca="false">($B424-INDEX($L$401:$Q$401,E424))^2+($C424-INDEX($L$402:$Q$402,E424))^2+($D424-INDEX($L$403:$Q$403,E424))^2</f>
        <v>0.649201277338842</v>
      </c>
      <c r="G424" s="17" t="n">
        <f aca="false">IF(COUNTIF(Distance_Matrix!$E$12:$DQ$12,$E424)&lt;=1,0,SUMIF(Distance_Matrix!$E$12:$DQ$12,$E424,Distance_Matrix!$E$30:$DQ$30)/(COUNTIF(Distance_Matrix!$E$12:$DQ$12,$E424)-1))</f>
        <v>1.01079966262096</v>
      </c>
      <c r="H424" s="17" t="n">
        <f aca="false">MIN(IF(1=$E424,1E+099,IF(COUNTIF(Distance_Matrix!$E$12:$DQ$12,1)=0,1E+099,SUMIF(Distance_Matrix!$E$12:$DQ$12,1,Distance_Matrix!$E$30:$DQ$30)/COUNTIF(Distance_Matrix!$E$12:$DQ$12,1))),IF(2=$E424,1E+099,IF(COUNTIF(Distance_Matrix!$E$12:$DQ$12,2)=0,1E+099,SUMIF(Distance_Matrix!$E$12:$DQ$12,2,Distance_Matrix!$E$30:$DQ$30)/COUNTIF(Distance_Matrix!$E$12:$DQ$12,2))),IF(3=$E424,1E+099,IF(COUNTIF(Distance_Matrix!$E$12:$DQ$12,3)=0,1E+099,SUMIF(Distance_Matrix!$E$12:$DQ$12,3,Distance_Matrix!$E$30:$DQ$30)/COUNTIF(Distance_Matrix!$E$12:$DQ$12,3))),IF(4=$E424,1E+099,IF(COUNTIF(Distance_Matrix!$E$12:$DQ$12,4)=0,1E+099,SUMIF(Distance_Matrix!$E$12:$DQ$12,4,Distance_Matrix!$E$30:$DQ$30)/COUNTIF(Distance_Matrix!$E$12:$DQ$12,4))),IF(5=$E424,1E+099,IF(COUNTIF(Distance_Matrix!$E$12:$DQ$12,5)=0,1E+099,SUMIF(Distance_Matrix!$E$12:$DQ$12,5,Distance_Matrix!$E$30:$DQ$30)/COUNTIF(Distance_Matrix!$E$12:$DQ$12,5))),IF(6=$E424,1E+099,IF(COUNTIF(Distance_Matrix!$E$12:$DQ$12,6)=0,1E+099,SUMIF(Distance_Matrix!$E$12:$DQ$12,6,Distance_Matrix!$E$30:$DQ$30)/COUNTIF(Distance_Matrix!$E$12:$DQ$12,6))))</f>
        <v>1.93181279663688</v>
      </c>
      <c r="I424" s="17" t="n">
        <f aca="false">IF(COUNTIF(Distance_Matrix!$E$12:$DQ$12,$E424)&lt;=1,0,(H424-G424)/MAX(G424,H424))</f>
        <v>0.476761068991431</v>
      </c>
      <c r="X424" s="17" t="n">
        <f aca="false">SQRT(($B424-X$401)^2+($C424-X$402)^2+($D424-X$403)^2)</f>
        <v>4.68145377022651</v>
      </c>
      <c r="Y424" s="17" t="n">
        <f aca="false">SQRT(($B424-Y$401)^2+($C424-Y$402)^2+($D424-Y$403)^2)</f>
        <v>4.16088329984745</v>
      </c>
      <c r="Z424" s="17" t="n">
        <f aca="false">SQRT(($B424-Z$401)^2+($C424-Z$402)^2+($D424-Z$403)^2)</f>
        <v>0.193464640160583</v>
      </c>
      <c r="AA424" s="17" t="n">
        <f aca="false">SQRT(($B424-AA$401)^2+($C424-AA$402)^2+($D424-AA$403)^2)</f>
        <v>2.78889715164164</v>
      </c>
      <c r="AB424" s="17" t="n">
        <f aca="false">SQRT(($B424-AB$401)^2+($C424-AB$402)^2+($D424-AB$403)^2)</f>
        <v>2.54854472098449</v>
      </c>
      <c r="AC424" s="17" t="n">
        <f aca="false">SQRT(($B424-AC$401)^2+($C424-AC$402)^2+($D424-AC$403)^2)</f>
        <v>1.92464924537687</v>
      </c>
      <c r="AD424" s="63" t="n">
        <f aca="false">MATCH(MIN(X424:AC424),X424:AC424,0)</f>
        <v>3</v>
      </c>
      <c r="AF424" s="17" t="n">
        <f aca="false">SQRT(($B424-AF$401)^2+($C424-AF$402)^2+($D424-AF$403)^2)</f>
        <v>4.62819862733972</v>
      </c>
      <c r="AG424" s="17" t="n">
        <f aca="false">SQRT(($B424-AG$401)^2+($C424-AG$402)^2+($D424-AG$403)^2)</f>
        <v>3.61629091940658</v>
      </c>
      <c r="AH424" s="17" t="n">
        <f aca="false">SQRT(($B424-AH$401)^2+($C424-AH$402)^2+($D424-AH$403)^2)</f>
        <v>0.794841233102145</v>
      </c>
      <c r="AI424" s="17" t="n">
        <f aca="false">SQRT(($B424-AI$401)^2+($C424-AI$402)^2+($D424-AI$403)^2)</f>
        <v>2.70719342521821</v>
      </c>
      <c r="AJ424" s="17" t="n">
        <f aca="false">SQRT(($B424-AJ$401)^2+($C424-AJ$402)^2+($D424-AJ$403)^2)</f>
        <v>2.48552155419623</v>
      </c>
      <c r="AK424" s="17" t="n">
        <f aca="false">SQRT(($B424-AK$401)^2+($C424-AK$402)^2+($D424-AK$403)^2)</f>
        <v>1.9732269151831</v>
      </c>
      <c r="AL424" s="63" t="n">
        <f aca="false">MATCH(MIN(AF424:AK424),AF424:AK424,0)</f>
        <v>3</v>
      </c>
      <c r="AN424" s="17" t="n">
        <f aca="false">SQRT(($B424-AN$401)^2+($C424-AN$402)^2+($D424-AN$403)^2)</f>
        <v>4.62819862733972</v>
      </c>
      <c r="AO424" s="17" t="n">
        <f aca="false">SQRT(($B424-AO$401)^2+($C424-AO$402)^2+($D424-AO$403)^2)</f>
        <v>3.57480945560549</v>
      </c>
      <c r="AP424" s="17" t="n">
        <f aca="false">SQRT(($B424-AP$401)^2+($C424-AP$402)^2+($D424-AP$403)^2)</f>
        <v>0.80573027579882</v>
      </c>
      <c r="AQ424" s="17" t="n">
        <f aca="false">SQRT(($B424-AQ$401)^2+($C424-AQ$402)^2+($D424-AQ$403)^2)</f>
        <v>2.72439425826124</v>
      </c>
      <c r="AR424" s="17" t="n">
        <f aca="false">SQRT(($B424-AR$401)^2+($C424-AR$402)^2+($D424-AR$403)^2)</f>
        <v>2.48552155419623</v>
      </c>
      <c r="AS424" s="17" t="n">
        <f aca="false">SQRT(($B424-AS$401)^2+($C424-AS$402)^2+($D424-AS$403)^2)</f>
        <v>1.93205553849373</v>
      </c>
      <c r="AT424" s="63" t="n">
        <f aca="false">MATCH(MIN(AN424:AS424),AN424:AS424,0)</f>
        <v>3</v>
      </c>
      <c r="AV424" s="17" t="n">
        <f aca="false">SQRT(($B424-AV$401)^2+($C424-AV$402)^2+($D424-AV$403)^2)</f>
        <v>4.62819862733972</v>
      </c>
      <c r="AW424" s="17" t="n">
        <f aca="false">SQRT(($B424-AW$401)^2+($C424-AW$402)^2+($D424-AW$403)^2)</f>
        <v>3.54437388864187</v>
      </c>
      <c r="AX424" s="17" t="n">
        <f aca="false">SQRT(($B424-AX$401)^2+($C424-AX$402)^2+($D424-AX$403)^2)</f>
        <v>0.80573027579882</v>
      </c>
      <c r="AY424" s="17" t="n">
        <f aca="false">SQRT(($B424-AY$401)^2+($C424-AY$402)^2+($D424-AY$403)^2)</f>
        <v>2.72439425826124</v>
      </c>
      <c r="AZ424" s="17" t="n">
        <f aca="false">SQRT(($B424-AZ$401)^2+($C424-AZ$402)^2+($D424-AZ$403)^2)</f>
        <v>2.48552155419623</v>
      </c>
      <c r="BA424" s="17" t="n">
        <f aca="false">SQRT(($B424-BA$401)^2+($C424-BA$402)^2+($D424-BA$403)^2)</f>
        <v>1.9059331885785</v>
      </c>
      <c r="BB424" s="63" t="n">
        <f aca="false">MATCH(MIN(AV424:BA424),AV424:BA424,0)</f>
        <v>3</v>
      </c>
      <c r="BD424" s="17" t="n">
        <f aca="false">SQRT(($B424-BD$401)^2+($C424-BD$402)^2+($D424-BD$403)^2)</f>
        <v>4.62819862733972</v>
      </c>
      <c r="BE424" s="17" t="n">
        <f aca="false">SQRT(($B424-BE$401)^2+($C424-BE$402)^2+($D424-BE$403)^2)</f>
        <v>3.51491264697066</v>
      </c>
      <c r="BF424" s="17" t="n">
        <f aca="false">SQRT(($B424-BF$401)^2+($C424-BF$402)^2+($D424-BF$403)^2)</f>
        <v>0.80573027579882</v>
      </c>
      <c r="BG424" s="17" t="n">
        <f aca="false">SQRT(($B424-BG$401)^2+($C424-BG$402)^2+($D424-BG$403)^2)</f>
        <v>2.72439425826124</v>
      </c>
      <c r="BH424" s="17" t="n">
        <f aca="false">SQRT(($B424-BH$401)^2+($C424-BH$402)^2+($D424-BH$403)^2)</f>
        <v>2.48552155419623</v>
      </c>
      <c r="BI424" s="17" t="n">
        <f aca="false">SQRT(($B424-BI$401)^2+($C424-BI$402)^2+($D424-BI$403)^2)</f>
        <v>1.87927852774435</v>
      </c>
      <c r="BJ424" s="63" t="n">
        <f aca="false">MATCH(MIN(BD424:BI424),BD424:BI424,0)</f>
        <v>3</v>
      </c>
      <c r="BL424" s="17" t="n">
        <f aca="false">SQRT(($B424-BL$401)^2+($C424-BL$402)^2+($D424-BL$403)^2)</f>
        <v>4.62819862733972</v>
      </c>
      <c r="BM424" s="17" t="n">
        <f aca="false">SQRT(($B424-BM$401)^2+($C424-BM$402)^2+($D424-BM$403)^2)</f>
        <v>3.51491264697066</v>
      </c>
      <c r="BN424" s="17" t="n">
        <f aca="false">SQRT(($B424-BN$401)^2+($C424-BN$402)^2+($D424-BN$403)^2)</f>
        <v>0.80573027579882</v>
      </c>
      <c r="BO424" s="17" t="n">
        <f aca="false">SQRT(($B424-BO$401)^2+($C424-BO$402)^2+($D424-BO$403)^2)</f>
        <v>2.72439425826124</v>
      </c>
      <c r="BP424" s="17" t="n">
        <f aca="false">SQRT(($B424-BP$401)^2+($C424-BP$402)^2+($D424-BP$403)^2)</f>
        <v>2.48552155419623</v>
      </c>
      <c r="BQ424" s="17" t="n">
        <f aca="false">SQRT(($B424-BQ$401)^2+($C424-BQ$402)^2+($D424-BQ$403)^2)</f>
        <v>1.87927852774435</v>
      </c>
      <c r="BR424" s="63" t="n">
        <f aca="false">MATCH(MIN(BL424:BQ424),BL424:BQ424,0)</f>
        <v>3</v>
      </c>
      <c r="BT424" s="17" t="n">
        <f aca="false">SQRT(($B424-BT$401)^2+($C424-BT$402)^2+($D424-BT$403)^2)</f>
        <v>4.62819862733972</v>
      </c>
      <c r="BU424" s="17" t="n">
        <f aca="false">SQRT(($B424-BU$401)^2+($C424-BU$402)^2+($D424-BU$403)^2)</f>
        <v>3.51491264697066</v>
      </c>
      <c r="BV424" s="17" t="n">
        <f aca="false">SQRT(($B424-BV$401)^2+($C424-BV$402)^2+($D424-BV$403)^2)</f>
        <v>0.80573027579882</v>
      </c>
      <c r="BW424" s="17" t="n">
        <f aca="false">SQRT(($B424-BW$401)^2+($C424-BW$402)^2+($D424-BW$403)^2)</f>
        <v>2.72439425826124</v>
      </c>
      <c r="BX424" s="17" t="n">
        <f aca="false">SQRT(($B424-BX$401)^2+($C424-BX$402)^2+($D424-BX$403)^2)</f>
        <v>2.48552155419623</v>
      </c>
      <c r="BY424" s="17" t="n">
        <f aca="false">SQRT(($B424-BY$401)^2+($C424-BY$402)^2+($D424-BY$403)^2)</f>
        <v>1.87927852774435</v>
      </c>
      <c r="BZ424" s="63" t="n">
        <f aca="false">MATCH(MIN(BT424:BY424),BT424:BY424,0)</f>
        <v>3</v>
      </c>
      <c r="CB424" s="17" t="n">
        <f aca="false">SQRT(($B424-CB$401)^2+($C424-CB$402)^2+($D424-CB$403)^2)</f>
        <v>4.62819862733972</v>
      </c>
      <c r="CC424" s="17" t="n">
        <f aca="false">SQRT(($B424-CC$401)^2+($C424-CC$402)^2+($D424-CC$403)^2)</f>
        <v>3.51491264697066</v>
      </c>
      <c r="CD424" s="17" t="n">
        <f aca="false">SQRT(($B424-CD$401)^2+($C424-CD$402)^2+($D424-CD$403)^2)</f>
        <v>0.80573027579882</v>
      </c>
      <c r="CE424" s="17" t="n">
        <f aca="false">SQRT(($B424-CE$401)^2+($C424-CE$402)^2+($D424-CE$403)^2)</f>
        <v>2.72439425826124</v>
      </c>
      <c r="CF424" s="17" t="n">
        <f aca="false">SQRT(($B424-CF$401)^2+($C424-CF$402)^2+($D424-CF$403)^2)</f>
        <v>2.48552155419623</v>
      </c>
      <c r="CG424" s="17" t="n">
        <f aca="false">SQRT(($B424-CG$401)^2+($C424-CG$402)^2+($D424-CG$403)^2)</f>
        <v>1.87927852774435</v>
      </c>
      <c r="CH424" s="63" t="n">
        <f aca="false">MATCH(MIN(CB424:CG424),CB424:CG424,0)</f>
        <v>3</v>
      </c>
      <c r="CJ424" s="17" t="n">
        <f aca="false">SQRT(($B424-CJ$401)^2+($C424-CJ$402)^2+($D424-CJ$403)^2)</f>
        <v>4.62819862733972</v>
      </c>
      <c r="CK424" s="17" t="n">
        <f aca="false">SQRT(($B424-CK$401)^2+($C424-CK$402)^2+($D424-CK$403)^2)</f>
        <v>3.51491264697066</v>
      </c>
      <c r="CL424" s="17" t="n">
        <f aca="false">SQRT(($B424-CL$401)^2+($C424-CL$402)^2+($D424-CL$403)^2)</f>
        <v>0.80573027579882</v>
      </c>
      <c r="CM424" s="17" t="n">
        <f aca="false">SQRT(($B424-CM$401)^2+($C424-CM$402)^2+($D424-CM$403)^2)</f>
        <v>2.72439425826124</v>
      </c>
      <c r="CN424" s="17" t="n">
        <f aca="false">SQRT(($B424-CN$401)^2+($C424-CN$402)^2+($D424-CN$403)^2)</f>
        <v>2.48552155419623</v>
      </c>
      <c r="CO424" s="17" t="n">
        <f aca="false">SQRT(($B424-CO$401)^2+($C424-CO$402)^2+($D424-CO$403)^2)</f>
        <v>1.87927852774435</v>
      </c>
      <c r="CP424" s="63" t="n">
        <f aca="false">MATCH(MIN(CJ424:CO424),CJ424:CO424,0)</f>
        <v>3</v>
      </c>
      <c r="CR424" s="17" t="n">
        <f aca="false">SQRT(($B424-CR$401)^2+($C424-CR$402)^2+($D424-CR$403)^2)</f>
        <v>4.62819862733972</v>
      </c>
      <c r="CS424" s="17" t="n">
        <f aca="false">SQRT(($B424-CS$401)^2+($C424-CS$402)^2+($D424-CS$403)^2)</f>
        <v>3.51491264697066</v>
      </c>
      <c r="CT424" s="17" t="n">
        <f aca="false">SQRT(($B424-CT$401)^2+($C424-CT$402)^2+($D424-CT$403)^2)</f>
        <v>0.80573027579882</v>
      </c>
      <c r="CU424" s="17" t="n">
        <f aca="false">SQRT(($B424-CU$401)^2+($C424-CU$402)^2+($D424-CU$403)^2)</f>
        <v>2.72439425826124</v>
      </c>
      <c r="CV424" s="17" t="n">
        <f aca="false">SQRT(($B424-CV$401)^2+($C424-CV$402)^2+($D424-CV$403)^2)</f>
        <v>2.48552155419623</v>
      </c>
      <c r="CW424" s="17" t="n">
        <f aca="false">SQRT(($B424-CW$401)^2+($C424-CW$402)^2+($D424-CW$403)^2)</f>
        <v>1.87927852774435</v>
      </c>
      <c r="CX424" s="63" t="n">
        <f aca="false">MATCH(MIN(CR424:CW424),CR424:CW424,0)</f>
        <v>3</v>
      </c>
      <c r="CZ424" s="17" t="n">
        <f aca="false">SQRT(($B424-CZ$401)^2+($C424-CZ$402)^2+($D424-CZ$403)^2)</f>
        <v>4.62819862733972</v>
      </c>
      <c r="DA424" s="17" t="n">
        <f aca="false">SQRT(($B424-DA$401)^2+($C424-DA$402)^2+($D424-DA$403)^2)</f>
        <v>3.51491264697066</v>
      </c>
      <c r="DB424" s="17" t="n">
        <f aca="false">SQRT(($B424-DB$401)^2+($C424-DB$402)^2+($D424-DB$403)^2)</f>
        <v>0.80573027579882</v>
      </c>
      <c r="DC424" s="17" t="n">
        <f aca="false">SQRT(($B424-DC$401)^2+($C424-DC$402)^2+($D424-DC$403)^2)</f>
        <v>2.72439425826124</v>
      </c>
      <c r="DD424" s="17" t="n">
        <f aca="false">SQRT(($B424-DD$401)^2+($C424-DD$402)^2+($D424-DD$403)^2)</f>
        <v>2.48552155419623</v>
      </c>
      <c r="DE424" s="17" t="n">
        <f aca="false">SQRT(($B424-DE$401)^2+($C424-DE$402)^2+($D424-DE$403)^2)</f>
        <v>1.87927852774435</v>
      </c>
      <c r="DF424" s="63" t="n">
        <f aca="false">MATCH(MIN(CZ424:DE424),CZ424:DE424,0)</f>
        <v>3</v>
      </c>
      <c r="DH424" s="17" t="n">
        <f aca="false">SQRT(($B424-DH$401)^2+($C424-DH$402)^2+($D424-DH$403)^2)</f>
        <v>4.62819862733972</v>
      </c>
      <c r="DI424" s="17" t="n">
        <f aca="false">SQRT(($B424-DI$401)^2+($C424-DI$402)^2+($D424-DI$403)^2)</f>
        <v>3.51491264697066</v>
      </c>
      <c r="DJ424" s="17" t="n">
        <f aca="false">SQRT(($B424-DJ$401)^2+($C424-DJ$402)^2+($D424-DJ$403)^2)</f>
        <v>0.80573027579882</v>
      </c>
      <c r="DK424" s="17" t="n">
        <f aca="false">SQRT(($B424-DK$401)^2+($C424-DK$402)^2+($D424-DK$403)^2)</f>
        <v>2.72439425826124</v>
      </c>
      <c r="DL424" s="17" t="n">
        <f aca="false">SQRT(($B424-DL$401)^2+($C424-DL$402)^2+($D424-DL$403)^2)</f>
        <v>2.48552155419623</v>
      </c>
      <c r="DM424" s="17" t="n">
        <f aca="false">SQRT(($B424-DM$401)^2+($C424-DM$402)^2+($D424-DM$403)^2)</f>
        <v>1.87927852774435</v>
      </c>
      <c r="DN424" s="63" t="n">
        <f aca="false">MATCH(MIN(DH424:DM424),DH424:DM424,0)</f>
        <v>3</v>
      </c>
    </row>
    <row r="425" customFormat="false" ht="15" hidden="false" customHeight="false" outlineLevel="0" collapsed="false">
      <c r="A425" s="36" t="str">
        <f aca="false">KMeans_Data!A22</f>
        <v>Abbottabad</v>
      </c>
      <c r="B425" s="17" t="n">
        <f aca="false">KMeans_Data!H22</f>
        <v>0.853001062018471</v>
      </c>
      <c r="C425" s="17" t="n">
        <f aca="false">KMeans_Data!I22</f>
        <v>1.38107452085777</v>
      </c>
      <c r="D425" s="17" t="n">
        <f aca="false">KMeans_Data!J22</f>
        <v>0.618328666074444</v>
      </c>
      <c r="E425" s="63" t="n">
        <f aca="false">DN425</f>
        <v>3</v>
      </c>
      <c r="F425" s="38" t="n">
        <f aca="false">($B425-INDEX($L$401:$Q$401,E425))^2+($C425-INDEX($L$402:$Q$402,E425))^2+($D425-INDEX($L$403:$Q$403,E425))^2</f>
        <v>0.413311334066831</v>
      </c>
      <c r="G425" s="17" t="n">
        <f aca="false">IF(COUNTIF(Distance_Matrix!$E$12:$DQ$12,$E425)&lt;=1,0,SUMIF(Distance_Matrix!$E$12:$DQ$12,$E425,Distance_Matrix!$E$31:$DQ$31)/(COUNTIF(Distance_Matrix!$E$12:$DQ$12,$E425)-1))</f>
        <v>0.879798476581688</v>
      </c>
      <c r="H425" s="17" t="n">
        <f aca="false">MIN(IF(1=$E425,1E+099,IF(COUNTIF(Distance_Matrix!$E$12:$DQ$12,1)=0,1E+099,SUMIF(Distance_Matrix!$E$12:$DQ$12,1,Distance_Matrix!$E$31:$DQ$31)/COUNTIF(Distance_Matrix!$E$12:$DQ$12,1))),IF(2=$E425,1E+099,IF(COUNTIF(Distance_Matrix!$E$12:$DQ$12,2)=0,1E+099,SUMIF(Distance_Matrix!$E$12:$DQ$12,2,Distance_Matrix!$E$31:$DQ$31)/COUNTIF(Distance_Matrix!$E$12:$DQ$12,2))),IF(3=$E425,1E+099,IF(COUNTIF(Distance_Matrix!$E$12:$DQ$12,3)=0,1E+099,SUMIF(Distance_Matrix!$E$12:$DQ$12,3,Distance_Matrix!$E$31:$DQ$31)/COUNTIF(Distance_Matrix!$E$12:$DQ$12,3))),IF(4=$E425,1E+099,IF(COUNTIF(Distance_Matrix!$E$12:$DQ$12,4)=0,1E+099,SUMIF(Distance_Matrix!$E$12:$DQ$12,4,Distance_Matrix!$E$31:$DQ$31)/COUNTIF(Distance_Matrix!$E$12:$DQ$12,4))),IF(5=$E425,1E+099,IF(COUNTIF(Distance_Matrix!$E$12:$DQ$12,5)=0,1E+099,SUMIF(Distance_Matrix!$E$12:$DQ$12,5,Distance_Matrix!$E$31:$DQ$31)/COUNTIF(Distance_Matrix!$E$12:$DQ$12,5))),IF(6=$E425,1E+099,IF(COUNTIF(Distance_Matrix!$E$12:$DQ$12,6)=0,1E+099,SUMIF(Distance_Matrix!$E$12:$DQ$12,6,Distance_Matrix!$E$31:$DQ$31)/COUNTIF(Distance_Matrix!$E$12:$DQ$12,6))))</f>
        <v>2.12601746072517</v>
      </c>
      <c r="I425" s="17" t="n">
        <f aca="false">IF(COUNTIF(Distance_Matrix!$E$12:$DQ$12,$E425)&lt;=1,0,(H425-G425)/MAX(G425,H425))</f>
        <v>0.586175328832157</v>
      </c>
      <c r="X425" s="17" t="n">
        <f aca="false">SQRT(($B425-X$401)^2+($C425-X$402)^2+($D425-X$403)^2)</f>
        <v>4.45718422157071</v>
      </c>
      <c r="Y425" s="17" t="n">
        <f aca="false">SQRT(($B425-Y$401)^2+($C425-Y$402)^2+($D425-Y$403)^2)</f>
        <v>3.99128361858191</v>
      </c>
      <c r="Z425" s="17" t="n">
        <f aca="false">SQRT(($B425-Z$401)^2+($C425-Z$402)^2+($D425-Z$403)^2)</f>
        <v>1.32845751007486</v>
      </c>
      <c r="AA425" s="17" t="n">
        <f aca="false">SQRT(($B425-AA$401)^2+($C425-AA$402)^2+($D425-AA$403)^2)</f>
        <v>2.34297782200597</v>
      </c>
      <c r="AB425" s="17" t="n">
        <f aca="false">SQRT(($B425-AB$401)^2+($C425-AB$402)^2+($D425-AB$403)^2)</f>
        <v>2.48898087164454</v>
      </c>
      <c r="AC425" s="17" t="n">
        <f aca="false">SQRT(($B425-AC$401)^2+($C425-AC$402)^2+($D425-AC$403)^2)</f>
        <v>2.18314766604525</v>
      </c>
      <c r="AD425" s="63" t="n">
        <f aca="false">MATCH(MIN(X425:AC425),X425:AC425,0)</f>
        <v>3</v>
      </c>
      <c r="AF425" s="17" t="n">
        <f aca="false">SQRT(($B425-AF$401)^2+($C425-AF$402)^2+($D425-AF$403)^2)</f>
        <v>4.32431182701261</v>
      </c>
      <c r="AG425" s="17" t="n">
        <f aca="false">SQRT(($B425-AG$401)^2+($C425-AG$402)^2+($D425-AG$403)^2)</f>
        <v>3.43321708883841</v>
      </c>
      <c r="AH425" s="17" t="n">
        <f aca="false">SQRT(($B425-AH$401)^2+($C425-AH$402)^2+($D425-AH$403)^2)</f>
        <v>0.637739124766686</v>
      </c>
      <c r="AI425" s="17" t="n">
        <f aca="false">SQRT(($B425-AI$401)^2+($C425-AI$402)^2+($D425-AI$403)^2)</f>
        <v>2.52112568559316</v>
      </c>
      <c r="AJ425" s="17" t="n">
        <f aca="false">SQRT(($B425-AJ$401)^2+($C425-AJ$402)^2+($D425-AJ$403)^2)</f>
        <v>2.0606593304647</v>
      </c>
      <c r="AK425" s="17" t="n">
        <f aca="false">SQRT(($B425-AK$401)^2+($C425-AK$402)^2+($D425-AK$403)^2)</f>
        <v>2.14095634792035</v>
      </c>
      <c r="AL425" s="63" t="n">
        <f aca="false">MATCH(MIN(AF425:AK425),AF425:AK425,0)</f>
        <v>3</v>
      </c>
      <c r="AN425" s="17" t="n">
        <f aca="false">SQRT(($B425-AN$401)^2+($C425-AN$402)^2+($D425-AN$403)^2)</f>
        <v>4.32431182701261</v>
      </c>
      <c r="AO425" s="17" t="n">
        <f aca="false">SQRT(($B425-AO$401)^2+($C425-AO$402)^2+($D425-AO$403)^2)</f>
        <v>3.396546413144</v>
      </c>
      <c r="AP425" s="17" t="n">
        <f aca="false">SQRT(($B425-AP$401)^2+($C425-AP$402)^2+($D425-AP$403)^2)</f>
        <v>0.642892941372692</v>
      </c>
      <c r="AQ425" s="17" t="n">
        <f aca="false">SQRT(($B425-AQ$401)^2+($C425-AQ$402)^2+($D425-AQ$403)^2)</f>
        <v>2.54926612638632</v>
      </c>
      <c r="AR425" s="17" t="n">
        <f aca="false">SQRT(($B425-AR$401)^2+($C425-AR$402)^2+($D425-AR$403)^2)</f>
        <v>2.0606593304647</v>
      </c>
      <c r="AS425" s="17" t="n">
        <f aca="false">SQRT(($B425-AS$401)^2+($C425-AS$402)^2+($D425-AS$403)^2)</f>
        <v>2.11143556030256</v>
      </c>
      <c r="AT425" s="63" t="n">
        <f aca="false">MATCH(MIN(AN425:AS425),AN425:AS425,0)</f>
        <v>3</v>
      </c>
      <c r="AV425" s="17" t="n">
        <f aca="false">SQRT(($B425-AV$401)^2+($C425-AV$402)^2+($D425-AV$403)^2)</f>
        <v>4.32431182701261</v>
      </c>
      <c r="AW425" s="17" t="n">
        <f aca="false">SQRT(($B425-AW$401)^2+($C425-AW$402)^2+($D425-AW$403)^2)</f>
        <v>3.37231790114027</v>
      </c>
      <c r="AX425" s="17" t="n">
        <f aca="false">SQRT(($B425-AX$401)^2+($C425-AX$402)^2+($D425-AX$403)^2)</f>
        <v>0.642892941372692</v>
      </c>
      <c r="AY425" s="17" t="n">
        <f aca="false">SQRT(($B425-AY$401)^2+($C425-AY$402)^2+($D425-AY$403)^2)</f>
        <v>2.54926612638632</v>
      </c>
      <c r="AZ425" s="17" t="n">
        <f aca="false">SQRT(($B425-AZ$401)^2+($C425-AZ$402)^2+($D425-AZ$403)^2)</f>
        <v>2.0606593304647</v>
      </c>
      <c r="BA425" s="17" t="n">
        <f aca="false">SQRT(($B425-BA$401)^2+($C425-BA$402)^2+($D425-BA$403)^2)</f>
        <v>2.09189816461274</v>
      </c>
      <c r="BB425" s="63" t="n">
        <f aca="false">MATCH(MIN(AV425:BA425),AV425:BA425,0)</f>
        <v>3</v>
      </c>
      <c r="BD425" s="17" t="n">
        <f aca="false">SQRT(($B425-BD$401)^2+($C425-BD$402)^2+($D425-BD$403)^2)</f>
        <v>4.32431182701261</v>
      </c>
      <c r="BE425" s="17" t="n">
        <f aca="false">SQRT(($B425-BE$401)^2+($C425-BE$402)^2+($D425-BE$403)^2)</f>
        <v>3.34951860552173</v>
      </c>
      <c r="BF425" s="17" t="n">
        <f aca="false">SQRT(($B425-BF$401)^2+($C425-BF$402)^2+($D425-BF$403)^2)</f>
        <v>0.642892941372692</v>
      </c>
      <c r="BG425" s="17" t="n">
        <f aca="false">SQRT(($B425-BG$401)^2+($C425-BG$402)^2+($D425-BG$403)^2)</f>
        <v>2.54926612638632</v>
      </c>
      <c r="BH425" s="17" t="n">
        <f aca="false">SQRT(($B425-BH$401)^2+($C425-BH$402)^2+($D425-BH$403)^2)</f>
        <v>2.0606593304647</v>
      </c>
      <c r="BI425" s="17" t="n">
        <f aca="false">SQRT(($B425-BI$401)^2+($C425-BI$402)^2+($D425-BI$403)^2)</f>
        <v>2.07108543323266</v>
      </c>
      <c r="BJ425" s="63" t="n">
        <f aca="false">MATCH(MIN(BD425:BI425),BD425:BI425,0)</f>
        <v>3</v>
      </c>
      <c r="BL425" s="17" t="n">
        <f aca="false">SQRT(($B425-BL$401)^2+($C425-BL$402)^2+($D425-BL$403)^2)</f>
        <v>4.32431182701261</v>
      </c>
      <c r="BM425" s="17" t="n">
        <f aca="false">SQRT(($B425-BM$401)^2+($C425-BM$402)^2+($D425-BM$403)^2)</f>
        <v>3.34951860552173</v>
      </c>
      <c r="BN425" s="17" t="n">
        <f aca="false">SQRT(($B425-BN$401)^2+($C425-BN$402)^2+($D425-BN$403)^2)</f>
        <v>0.642892941372692</v>
      </c>
      <c r="BO425" s="17" t="n">
        <f aca="false">SQRT(($B425-BO$401)^2+($C425-BO$402)^2+($D425-BO$403)^2)</f>
        <v>2.54926612638632</v>
      </c>
      <c r="BP425" s="17" t="n">
        <f aca="false">SQRT(($B425-BP$401)^2+($C425-BP$402)^2+($D425-BP$403)^2)</f>
        <v>2.0606593304647</v>
      </c>
      <c r="BQ425" s="17" t="n">
        <f aca="false">SQRT(($B425-BQ$401)^2+($C425-BQ$402)^2+($D425-BQ$403)^2)</f>
        <v>2.07108543323266</v>
      </c>
      <c r="BR425" s="63" t="n">
        <f aca="false">MATCH(MIN(BL425:BQ425),BL425:BQ425,0)</f>
        <v>3</v>
      </c>
      <c r="BT425" s="17" t="n">
        <f aca="false">SQRT(($B425-BT$401)^2+($C425-BT$402)^2+($D425-BT$403)^2)</f>
        <v>4.32431182701261</v>
      </c>
      <c r="BU425" s="17" t="n">
        <f aca="false">SQRT(($B425-BU$401)^2+($C425-BU$402)^2+($D425-BU$403)^2)</f>
        <v>3.34951860552173</v>
      </c>
      <c r="BV425" s="17" t="n">
        <f aca="false">SQRT(($B425-BV$401)^2+($C425-BV$402)^2+($D425-BV$403)^2)</f>
        <v>0.642892941372692</v>
      </c>
      <c r="BW425" s="17" t="n">
        <f aca="false">SQRT(($B425-BW$401)^2+($C425-BW$402)^2+($D425-BW$403)^2)</f>
        <v>2.54926612638632</v>
      </c>
      <c r="BX425" s="17" t="n">
        <f aca="false">SQRT(($B425-BX$401)^2+($C425-BX$402)^2+($D425-BX$403)^2)</f>
        <v>2.0606593304647</v>
      </c>
      <c r="BY425" s="17" t="n">
        <f aca="false">SQRT(($B425-BY$401)^2+($C425-BY$402)^2+($D425-BY$403)^2)</f>
        <v>2.07108543323266</v>
      </c>
      <c r="BZ425" s="63" t="n">
        <f aca="false">MATCH(MIN(BT425:BY425),BT425:BY425,0)</f>
        <v>3</v>
      </c>
      <c r="CB425" s="17" t="n">
        <f aca="false">SQRT(($B425-CB$401)^2+($C425-CB$402)^2+($D425-CB$403)^2)</f>
        <v>4.32431182701261</v>
      </c>
      <c r="CC425" s="17" t="n">
        <f aca="false">SQRT(($B425-CC$401)^2+($C425-CC$402)^2+($D425-CC$403)^2)</f>
        <v>3.34951860552173</v>
      </c>
      <c r="CD425" s="17" t="n">
        <f aca="false">SQRT(($B425-CD$401)^2+($C425-CD$402)^2+($D425-CD$403)^2)</f>
        <v>0.642892941372692</v>
      </c>
      <c r="CE425" s="17" t="n">
        <f aca="false">SQRT(($B425-CE$401)^2+($C425-CE$402)^2+($D425-CE$403)^2)</f>
        <v>2.54926612638632</v>
      </c>
      <c r="CF425" s="17" t="n">
        <f aca="false">SQRT(($B425-CF$401)^2+($C425-CF$402)^2+($D425-CF$403)^2)</f>
        <v>2.0606593304647</v>
      </c>
      <c r="CG425" s="17" t="n">
        <f aca="false">SQRT(($B425-CG$401)^2+($C425-CG$402)^2+($D425-CG$403)^2)</f>
        <v>2.07108543323266</v>
      </c>
      <c r="CH425" s="63" t="n">
        <f aca="false">MATCH(MIN(CB425:CG425),CB425:CG425,0)</f>
        <v>3</v>
      </c>
      <c r="CJ425" s="17" t="n">
        <f aca="false">SQRT(($B425-CJ$401)^2+($C425-CJ$402)^2+($D425-CJ$403)^2)</f>
        <v>4.32431182701261</v>
      </c>
      <c r="CK425" s="17" t="n">
        <f aca="false">SQRT(($B425-CK$401)^2+($C425-CK$402)^2+($D425-CK$403)^2)</f>
        <v>3.34951860552173</v>
      </c>
      <c r="CL425" s="17" t="n">
        <f aca="false">SQRT(($B425-CL$401)^2+($C425-CL$402)^2+($D425-CL$403)^2)</f>
        <v>0.642892941372692</v>
      </c>
      <c r="CM425" s="17" t="n">
        <f aca="false">SQRT(($B425-CM$401)^2+($C425-CM$402)^2+($D425-CM$403)^2)</f>
        <v>2.54926612638632</v>
      </c>
      <c r="CN425" s="17" t="n">
        <f aca="false">SQRT(($B425-CN$401)^2+($C425-CN$402)^2+($D425-CN$403)^2)</f>
        <v>2.0606593304647</v>
      </c>
      <c r="CO425" s="17" t="n">
        <f aca="false">SQRT(($B425-CO$401)^2+($C425-CO$402)^2+($D425-CO$403)^2)</f>
        <v>2.07108543323266</v>
      </c>
      <c r="CP425" s="63" t="n">
        <f aca="false">MATCH(MIN(CJ425:CO425),CJ425:CO425,0)</f>
        <v>3</v>
      </c>
      <c r="CR425" s="17" t="n">
        <f aca="false">SQRT(($B425-CR$401)^2+($C425-CR$402)^2+($D425-CR$403)^2)</f>
        <v>4.32431182701261</v>
      </c>
      <c r="CS425" s="17" t="n">
        <f aca="false">SQRT(($B425-CS$401)^2+($C425-CS$402)^2+($D425-CS$403)^2)</f>
        <v>3.34951860552173</v>
      </c>
      <c r="CT425" s="17" t="n">
        <f aca="false">SQRT(($B425-CT$401)^2+($C425-CT$402)^2+($D425-CT$403)^2)</f>
        <v>0.642892941372692</v>
      </c>
      <c r="CU425" s="17" t="n">
        <f aca="false">SQRT(($B425-CU$401)^2+($C425-CU$402)^2+($D425-CU$403)^2)</f>
        <v>2.54926612638632</v>
      </c>
      <c r="CV425" s="17" t="n">
        <f aca="false">SQRT(($B425-CV$401)^2+($C425-CV$402)^2+($D425-CV$403)^2)</f>
        <v>2.0606593304647</v>
      </c>
      <c r="CW425" s="17" t="n">
        <f aca="false">SQRT(($B425-CW$401)^2+($C425-CW$402)^2+($D425-CW$403)^2)</f>
        <v>2.07108543323266</v>
      </c>
      <c r="CX425" s="63" t="n">
        <f aca="false">MATCH(MIN(CR425:CW425),CR425:CW425,0)</f>
        <v>3</v>
      </c>
      <c r="CZ425" s="17" t="n">
        <f aca="false">SQRT(($B425-CZ$401)^2+($C425-CZ$402)^2+($D425-CZ$403)^2)</f>
        <v>4.32431182701261</v>
      </c>
      <c r="DA425" s="17" t="n">
        <f aca="false">SQRT(($B425-DA$401)^2+($C425-DA$402)^2+($D425-DA$403)^2)</f>
        <v>3.34951860552173</v>
      </c>
      <c r="DB425" s="17" t="n">
        <f aca="false">SQRT(($B425-DB$401)^2+($C425-DB$402)^2+($D425-DB$403)^2)</f>
        <v>0.642892941372692</v>
      </c>
      <c r="DC425" s="17" t="n">
        <f aca="false">SQRT(($B425-DC$401)^2+($C425-DC$402)^2+($D425-DC$403)^2)</f>
        <v>2.54926612638632</v>
      </c>
      <c r="DD425" s="17" t="n">
        <f aca="false">SQRT(($B425-DD$401)^2+($C425-DD$402)^2+($D425-DD$403)^2)</f>
        <v>2.0606593304647</v>
      </c>
      <c r="DE425" s="17" t="n">
        <f aca="false">SQRT(($B425-DE$401)^2+($C425-DE$402)^2+($D425-DE$403)^2)</f>
        <v>2.07108543323266</v>
      </c>
      <c r="DF425" s="63" t="n">
        <f aca="false">MATCH(MIN(CZ425:DE425),CZ425:DE425,0)</f>
        <v>3</v>
      </c>
      <c r="DH425" s="17" t="n">
        <f aca="false">SQRT(($B425-DH$401)^2+($C425-DH$402)^2+($D425-DH$403)^2)</f>
        <v>4.32431182701261</v>
      </c>
      <c r="DI425" s="17" t="n">
        <f aca="false">SQRT(($B425-DI$401)^2+($C425-DI$402)^2+($D425-DI$403)^2)</f>
        <v>3.34951860552173</v>
      </c>
      <c r="DJ425" s="17" t="n">
        <f aca="false">SQRT(($B425-DJ$401)^2+($C425-DJ$402)^2+($D425-DJ$403)^2)</f>
        <v>0.642892941372692</v>
      </c>
      <c r="DK425" s="17" t="n">
        <f aca="false">SQRT(($B425-DK$401)^2+($C425-DK$402)^2+($D425-DK$403)^2)</f>
        <v>2.54926612638632</v>
      </c>
      <c r="DL425" s="17" t="n">
        <f aca="false">SQRT(($B425-DL$401)^2+($C425-DL$402)^2+($D425-DL$403)^2)</f>
        <v>2.0606593304647</v>
      </c>
      <c r="DM425" s="17" t="n">
        <f aca="false">SQRT(($B425-DM$401)^2+($C425-DM$402)^2+($D425-DM$403)^2)</f>
        <v>2.07108543323266</v>
      </c>
      <c r="DN425" s="63" t="n">
        <f aca="false">MATCH(MIN(DH425:DM425),DH425:DM425,0)</f>
        <v>3</v>
      </c>
    </row>
    <row r="426" customFormat="false" ht="15" hidden="false" customHeight="false" outlineLevel="0" collapsed="false">
      <c r="A426" s="36" t="str">
        <f aca="false">KMeans_Data!A23</f>
        <v>Nowshera</v>
      </c>
      <c r="B426" s="17" t="n">
        <f aca="false">KMeans_Data!H23</f>
        <v>0.851138913278639</v>
      </c>
      <c r="C426" s="17" t="n">
        <f aca="false">KMeans_Data!I23</f>
        <v>1.38107452085777</v>
      </c>
      <c r="D426" s="17" t="n">
        <f aca="false">KMeans_Data!J23</f>
        <v>0.934349160614903</v>
      </c>
      <c r="E426" s="63" t="n">
        <f aca="false">DN426</f>
        <v>3</v>
      </c>
      <c r="F426" s="38" t="n">
        <f aca="false">($B426-INDEX($L$401:$Q$401,E426))^2+($C426-INDEX($L$402:$Q$402,E426))^2+($D426-INDEX($L$403:$Q$403,E426))^2</f>
        <v>0.315800130664803</v>
      </c>
      <c r="G426" s="17" t="n">
        <f aca="false">IF(COUNTIF(Distance_Matrix!$E$12:$DQ$12,$E426)&lt;=1,0,SUMIF(Distance_Matrix!$E$12:$DQ$12,$E426,Distance_Matrix!$E$32:$DQ$32)/(COUNTIF(Distance_Matrix!$E$12:$DQ$12,$E426)-1))</f>
        <v>0.827569486036322</v>
      </c>
      <c r="H426" s="17" t="n">
        <f aca="false">MIN(IF(1=$E426,1E+099,IF(COUNTIF(Distance_Matrix!$E$12:$DQ$12,1)=0,1E+099,SUMIF(Distance_Matrix!$E$12:$DQ$12,1,Distance_Matrix!$E$32:$DQ$32)/COUNTIF(Distance_Matrix!$E$12:$DQ$12,1))),IF(2=$E426,1E+099,IF(COUNTIF(Distance_Matrix!$E$12:$DQ$12,2)=0,1E+099,SUMIF(Distance_Matrix!$E$12:$DQ$12,2,Distance_Matrix!$E$32:$DQ$32)/COUNTIF(Distance_Matrix!$E$12:$DQ$12,2))),IF(3=$E426,1E+099,IF(COUNTIF(Distance_Matrix!$E$12:$DQ$12,3)=0,1E+099,SUMIF(Distance_Matrix!$E$12:$DQ$12,3,Distance_Matrix!$E$32:$DQ$32)/COUNTIF(Distance_Matrix!$E$12:$DQ$12,3))),IF(4=$E426,1E+099,IF(COUNTIF(Distance_Matrix!$E$12:$DQ$12,4)=0,1E+099,SUMIF(Distance_Matrix!$E$12:$DQ$12,4,Distance_Matrix!$E$32:$DQ$32)/COUNTIF(Distance_Matrix!$E$12:$DQ$12,4))),IF(5=$E426,1E+099,IF(COUNTIF(Distance_Matrix!$E$12:$DQ$12,5)=0,1E+099,SUMIF(Distance_Matrix!$E$12:$DQ$12,5,Distance_Matrix!$E$32:$DQ$32)/COUNTIF(Distance_Matrix!$E$12:$DQ$12,5))),IF(6=$E426,1E+099,IF(COUNTIF(Distance_Matrix!$E$12:$DQ$12,6)=0,1E+099,SUMIF(Distance_Matrix!$E$12:$DQ$12,6,Distance_Matrix!$E$32:$DQ$32)/COUNTIF(Distance_Matrix!$E$12:$DQ$12,6))))</f>
        <v>1.96657882462606</v>
      </c>
      <c r="I426" s="17" t="n">
        <f aca="false">IF(COUNTIF(Distance_Matrix!$E$12:$DQ$12,$E426)&lt;=1,0,(H426-G426)/MAX(G426,H426))</f>
        <v>0.579183160281571</v>
      </c>
      <c r="X426" s="17" t="n">
        <f aca="false">SQRT(($B426-X$401)^2+($C426-X$402)^2+($D426-X$403)^2)</f>
        <v>4.2790585979296</v>
      </c>
      <c r="Y426" s="17" t="n">
        <f aca="false">SQRT(($B426-Y$401)^2+($C426-Y$402)^2+($D426-Y$403)^2)</f>
        <v>4.13934753964962</v>
      </c>
      <c r="Z426" s="17" t="n">
        <f aca="false">SQRT(($B426-Z$401)^2+($C426-Z$402)^2+($D426-Z$403)^2)</f>
        <v>1.15187297768961</v>
      </c>
      <c r="AA426" s="17" t="n">
        <f aca="false">SQRT(($B426-AA$401)^2+($C426-AA$402)^2+($D426-AA$403)^2)</f>
        <v>2.58912117250698</v>
      </c>
      <c r="AB426" s="17" t="n">
        <f aca="false">SQRT(($B426-AB$401)^2+($C426-AB$402)^2+($D426-AB$403)^2)</f>
        <v>2.27857646202546</v>
      </c>
      <c r="AC426" s="17" t="n">
        <f aca="false">SQRT(($B426-AC$401)^2+($C426-AC$402)^2+($D426-AC$403)^2)</f>
        <v>2.20312551664903</v>
      </c>
      <c r="AD426" s="63" t="n">
        <f aca="false">MATCH(MIN(X426:AC426),X426:AC426,0)</f>
        <v>3</v>
      </c>
      <c r="AF426" s="17" t="n">
        <f aca="false">SQRT(($B426-AF$401)^2+($C426-AF$402)^2+($D426-AF$403)^2)</f>
        <v>4.16224771087463</v>
      </c>
      <c r="AG426" s="17" t="n">
        <f aca="false">SQRT(($B426-AG$401)^2+($C426-AG$402)^2+($D426-AG$403)^2)</f>
        <v>3.6002800877067</v>
      </c>
      <c r="AH426" s="17" t="n">
        <f aca="false">SQRT(($B426-AH$401)^2+($C426-AH$402)^2+($D426-AH$403)^2)</f>
        <v>0.547393549727432</v>
      </c>
      <c r="AI426" s="17" t="n">
        <f aca="false">SQRT(($B426-AI$401)^2+($C426-AI$402)^2+($D426-AI$403)^2)</f>
        <v>2.71750303436342</v>
      </c>
      <c r="AJ426" s="17" t="n">
        <f aca="false">SQRT(($B426-AJ$401)^2+($C426-AJ$402)^2+($D426-AJ$403)^2)</f>
        <v>1.90039290037769</v>
      </c>
      <c r="AK426" s="17" t="n">
        <f aca="false">SQRT(($B426-AK$401)^2+($C426-AK$402)^2+($D426-AK$403)^2)</f>
        <v>2.22750018728296</v>
      </c>
      <c r="AL426" s="63" t="n">
        <f aca="false">MATCH(MIN(AF426:AK426),AF426:AK426,0)</f>
        <v>3</v>
      </c>
      <c r="AN426" s="17" t="n">
        <f aca="false">SQRT(($B426-AN$401)^2+($C426-AN$402)^2+($D426-AN$403)^2)</f>
        <v>4.16224771087463</v>
      </c>
      <c r="AO426" s="17" t="n">
        <f aca="false">SQRT(($B426-AO$401)^2+($C426-AO$402)^2+($D426-AO$403)^2)</f>
        <v>3.56342734663022</v>
      </c>
      <c r="AP426" s="17" t="n">
        <f aca="false">SQRT(($B426-AP$401)^2+($C426-AP$402)^2+($D426-AP$403)^2)</f>
        <v>0.561960968986996</v>
      </c>
      <c r="AQ426" s="17" t="n">
        <f aca="false">SQRT(($B426-AQ$401)^2+($C426-AQ$402)^2+($D426-AQ$403)^2)</f>
        <v>2.74429945508092</v>
      </c>
      <c r="AR426" s="17" t="n">
        <f aca="false">SQRT(($B426-AR$401)^2+($C426-AR$402)^2+($D426-AR$403)^2)</f>
        <v>1.90039290037769</v>
      </c>
      <c r="AS426" s="17" t="n">
        <f aca="false">SQRT(($B426-AS$401)^2+($C426-AS$402)^2+($D426-AS$403)^2)</f>
        <v>2.19592181788947</v>
      </c>
      <c r="AT426" s="63" t="n">
        <f aca="false">MATCH(MIN(AN426:AS426),AN426:AS426,0)</f>
        <v>3</v>
      </c>
      <c r="AV426" s="17" t="n">
        <f aca="false">SQRT(($B426-AV$401)^2+($C426-AV$402)^2+($D426-AV$403)^2)</f>
        <v>4.16224771087463</v>
      </c>
      <c r="AW426" s="17" t="n">
        <f aca="false">SQRT(($B426-AW$401)^2+($C426-AW$402)^2+($D426-AW$403)^2)</f>
        <v>3.53803615672102</v>
      </c>
      <c r="AX426" s="17" t="n">
        <f aca="false">SQRT(($B426-AX$401)^2+($C426-AX$402)^2+($D426-AX$403)^2)</f>
        <v>0.561960968986996</v>
      </c>
      <c r="AY426" s="17" t="n">
        <f aca="false">SQRT(($B426-AY$401)^2+($C426-AY$402)^2+($D426-AY$403)^2)</f>
        <v>2.74429945508092</v>
      </c>
      <c r="AZ426" s="17" t="n">
        <f aca="false">SQRT(($B426-AZ$401)^2+($C426-AZ$402)^2+($D426-AZ$403)^2)</f>
        <v>1.90039290037769</v>
      </c>
      <c r="BA426" s="17" t="n">
        <f aca="false">SQRT(($B426-BA$401)^2+($C426-BA$402)^2+($D426-BA$403)^2)</f>
        <v>2.17454267243338</v>
      </c>
      <c r="BB426" s="63" t="n">
        <f aca="false">MATCH(MIN(AV426:BA426),AV426:BA426,0)</f>
        <v>3</v>
      </c>
      <c r="BD426" s="17" t="n">
        <f aca="false">SQRT(($B426-BD$401)^2+($C426-BD$402)^2+($D426-BD$403)^2)</f>
        <v>4.16224771087463</v>
      </c>
      <c r="BE426" s="17" t="n">
        <f aca="false">SQRT(($B426-BE$401)^2+($C426-BE$402)^2+($D426-BE$403)^2)</f>
        <v>3.51388049875496</v>
      </c>
      <c r="BF426" s="17" t="n">
        <f aca="false">SQRT(($B426-BF$401)^2+($C426-BF$402)^2+($D426-BF$403)^2)</f>
        <v>0.561960968986996</v>
      </c>
      <c r="BG426" s="17" t="n">
        <f aca="false">SQRT(($B426-BG$401)^2+($C426-BG$402)^2+($D426-BG$403)^2)</f>
        <v>2.74429945508092</v>
      </c>
      <c r="BH426" s="17" t="n">
        <f aca="false">SQRT(($B426-BH$401)^2+($C426-BH$402)^2+($D426-BH$403)^2)</f>
        <v>1.90039290037769</v>
      </c>
      <c r="BI426" s="17" t="n">
        <f aca="false">SQRT(($B426-BI$401)^2+($C426-BI$402)^2+($D426-BI$403)^2)</f>
        <v>2.15212569121609</v>
      </c>
      <c r="BJ426" s="63" t="n">
        <f aca="false">MATCH(MIN(BD426:BI426),BD426:BI426,0)</f>
        <v>3</v>
      </c>
      <c r="BL426" s="17" t="n">
        <f aca="false">SQRT(($B426-BL$401)^2+($C426-BL$402)^2+($D426-BL$403)^2)</f>
        <v>4.16224771087463</v>
      </c>
      <c r="BM426" s="17" t="n">
        <f aca="false">SQRT(($B426-BM$401)^2+($C426-BM$402)^2+($D426-BM$403)^2)</f>
        <v>3.51388049875496</v>
      </c>
      <c r="BN426" s="17" t="n">
        <f aca="false">SQRT(($B426-BN$401)^2+($C426-BN$402)^2+($D426-BN$403)^2)</f>
        <v>0.561960968986996</v>
      </c>
      <c r="BO426" s="17" t="n">
        <f aca="false">SQRT(($B426-BO$401)^2+($C426-BO$402)^2+($D426-BO$403)^2)</f>
        <v>2.74429945508092</v>
      </c>
      <c r="BP426" s="17" t="n">
        <f aca="false">SQRT(($B426-BP$401)^2+($C426-BP$402)^2+($D426-BP$403)^2)</f>
        <v>1.90039290037769</v>
      </c>
      <c r="BQ426" s="17" t="n">
        <f aca="false">SQRT(($B426-BQ$401)^2+($C426-BQ$402)^2+($D426-BQ$403)^2)</f>
        <v>2.15212569121609</v>
      </c>
      <c r="BR426" s="63" t="n">
        <f aca="false">MATCH(MIN(BL426:BQ426),BL426:BQ426,0)</f>
        <v>3</v>
      </c>
      <c r="BT426" s="17" t="n">
        <f aca="false">SQRT(($B426-BT$401)^2+($C426-BT$402)^2+($D426-BT$403)^2)</f>
        <v>4.16224771087463</v>
      </c>
      <c r="BU426" s="17" t="n">
        <f aca="false">SQRT(($B426-BU$401)^2+($C426-BU$402)^2+($D426-BU$403)^2)</f>
        <v>3.51388049875496</v>
      </c>
      <c r="BV426" s="17" t="n">
        <f aca="false">SQRT(($B426-BV$401)^2+($C426-BV$402)^2+($D426-BV$403)^2)</f>
        <v>0.561960968986996</v>
      </c>
      <c r="BW426" s="17" t="n">
        <f aca="false">SQRT(($B426-BW$401)^2+($C426-BW$402)^2+($D426-BW$403)^2)</f>
        <v>2.74429945508092</v>
      </c>
      <c r="BX426" s="17" t="n">
        <f aca="false">SQRT(($B426-BX$401)^2+($C426-BX$402)^2+($D426-BX$403)^2)</f>
        <v>1.90039290037769</v>
      </c>
      <c r="BY426" s="17" t="n">
        <f aca="false">SQRT(($B426-BY$401)^2+($C426-BY$402)^2+($D426-BY$403)^2)</f>
        <v>2.15212569121609</v>
      </c>
      <c r="BZ426" s="63" t="n">
        <f aca="false">MATCH(MIN(BT426:BY426),BT426:BY426,0)</f>
        <v>3</v>
      </c>
      <c r="CB426" s="17" t="n">
        <f aca="false">SQRT(($B426-CB$401)^2+($C426-CB$402)^2+($D426-CB$403)^2)</f>
        <v>4.16224771087463</v>
      </c>
      <c r="CC426" s="17" t="n">
        <f aca="false">SQRT(($B426-CC$401)^2+($C426-CC$402)^2+($D426-CC$403)^2)</f>
        <v>3.51388049875496</v>
      </c>
      <c r="CD426" s="17" t="n">
        <f aca="false">SQRT(($B426-CD$401)^2+($C426-CD$402)^2+($D426-CD$403)^2)</f>
        <v>0.561960968986996</v>
      </c>
      <c r="CE426" s="17" t="n">
        <f aca="false">SQRT(($B426-CE$401)^2+($C426-CE$402)^2+($D426-CE$403)^2)</f>
        <v>2.74429945508092</v>
      </c>
      <c r="CF426" s="17" t="n">
        <f aca="false">SQRT(($B426-CF$401)^2+($C426-CF$402)^2+($D426-CF$403)^2)</f>
        <v>1.90039290037769</v>
      </c>
      <c r="CG426" s="17" t="n">
        <f aca="false">SQRT(($B426-CG$401)^2+($C426-CG$402)^2+($D426-CG$403)^2)</f>
        <v>2.15212569121609</v>
      </c>
      <c r="CH426" s="63" t="n">
        <f aca="false">MATCH(MIN(CB426:CG426),CB426:CG426,0)</f>
        <v>3</v>
      </c>
      <c r="CJ426" s="17" t="n">
        <f aca="false">SQRT(($B426-CJ$401)^2+($C426-CJ$402)^2+($D426-CJ$403)^2)</f>
        <v>4.16224771087463</v>
      </c>
      <c r="CK426" s="17" t="n">
        <f aca="false">SQRT(($B426-CK$401)^2+($C426-CK$402)^2+($D426-CK$403)^2)</f>
        <v>3.51388049875496</v>
      </c>
      <c r="CL426" s="17" t="n">
        <f aca="false">SQRT(($B426-CL$401)^2+($C426-CL$402)^2+($D426-CL$403)^2)</f>
        <v>0.561960968986996</v>
      </c>
      <c r="CM426" s="17" t="n">
        <f aca="false">SQRT(($B426-CM$401)^2+($C426-CM$402)^2+($D426-CM$403)^2)</f>
        <v>2.74429945508092</v>
      </c>
      <c r="CN426" s="17" t="n">
        <f aca="false">SQRT(($B426-CN$401)^2+($C426-CN$402)^2+($D426-CN$403)^2)</f>
        <v>1.90039290037769</v>
      </c>
      <c r="CO426" s="17" t="n">
        <f aca="false">SQRT(($B426-CO$401)^2+($C426-CO$402)^2+($D426-CO$403)^2)</f>
        <v>2.15212569121609</v>
      </c>
      <c r="CP426" s="63" t="n">
        <f aca="false">MATCH(MIN(CJ426:CO426),CJ426:CO426,0)</f>
        <v>3</v>
      </c>
      <c r="CR426" s="17" t="n">
        <f aca="false">SQRT(($B426-CR$401)^2+($C426-CR$402)^2+($D426-CR$403)^2)</f>
        <v>4.16224771087463</v>
      </c>
      <c r="CS426" s="17" t="n">
        <f aca="false">SQRT(($B426-CS$401)^2+($C426-CS$402)^2+($D426-CS$403)^2)</f>
        <v>3.51388049875496</v>
      </c>
      <c r="CT426" s="17" t="n">
        <f aca="false">SQRT(($B426-CT$401)^2+($C426-CT$402)^2+($D426-CT$403)^2)</f>
        <v>0.561960968986996</v>
      </c>
      <c r="CU426" s="17" t="n">
        <f aca="false">SQRT(($B426-CU$401)^2+($C426-CU$402)^2+($D426-CU$403)^2)</f>
        <v>2.74429945508092</v>
      </c>
      <c r="CV426" s="17" t="n">
        <f aca="false">SQRT(($B426-CV$401)^2+($C426-CV$402)^2+($D426-CV$403)^2)</f>
        <v>1.90039290037769</v>
      </c>
      <c r="CW426" s="17" t="n">
        <f aca="false">SQRT(($B426-CW$401)^2+($C426-CW$402)^2+($D426-CW$403)^2)</f>
        <v>2.15212569121609</v>
      </c>
      <c r="CX426" s="63" t="n">
        <f aca="false">MATCH(MIN(CR426:CW426),CR426:CW426,0)</f>
        <v>3</v>
      </c>
      <c r="CZ426" s="17" t="n">
        <f aca="false">SQRT(($B426-CZ$401)^2+($C426-CZ$402)^2+($D426-CZ$403)^2)</f>
        <v>4.16224771087463</v>
      </c>
      <c r="DA426" s="17" t="n">
        <f aca="false">SQRT(($B426-DA$401)^2+($C426-DA$402)^2+($D426-DA$403)^2)</f>
        <v>3.51388049875496</v>
      </c>
      <c r="DB426" s="17" t="n">
        <f aca="false">SQRT(($B426-DB$401)^2+($C426-DB$402)^2+($D426-DB$403)^2)</f>
        <v>0.561960968986996</v>
      </c>
      <c r="DC426" s="17" t="n">
        <f aca="false">SQRT(($B426-DC$401)^2+($C426-DC$402)^2+($D426-DC$403)^2)</f>
        <v>2.74429945508092</v>
      </c>
      <c r="DD426" s="17" t="n">
        <f aca="false">SQRT(($B426-DD$401)^2+($C426-DD$402)^2+($D426-DD$403)^2)</f>
        <v>1.90039290037769</v>
      </c>
      <c r="DE426" s="17" t="n">
        <f aca="false">SQRT(($B426-DE$401)^2+($C426-DE$402)^2+($D426-DE$403)^2)</f>
        <v>2.15212569121609</v>
      </c>
      <c r="DF426" s="63" t="n">
        <f aca="false">MATCH(MIN(CZ426:DE426),CZ426:DE426,0)</f>
        <v>3</v>
      </c>
      <c r="DH426" s="17" t="n">
        <f aca="false">SQRT(($B426-DH$401)^2+($C426-DH$402)^2+($D426-DH$403)^2)</f>
        <v>4.16224771087463</v>
      </c>
      <c r="DI426" s="17" t="n">
        <f aca="false">SQRT(($B426-DI$401)^2+($C426-DI$402)^2+($D426-DI$403)^2)</f>
        <v>3.51388049875496</v>
      </c>
      <c r="DJ426" s="17" t="n">
        <f aca="false">SQRT(($B426-DJ$401)^2+($C426-DJ$402)^2+($D426-DJ$403)^2)</f>
        <v>0.561960968986996</v>
      </c>
      <c r="DK426" s="17" t="n">
        <f aca="false">SQRT(($B426-DK$401)^2+($C426-DK$402)^2+($D426-DK$403)^2)</f>
        <v>2.74429945508092</v>
      </c>
      <c r="DL426" s="17" t="n">
        <f aca="false">SQRT(($B426-DL$401)^2+($C426-DL$402)^2+($D426-DL$403)^2)</f>
        <v>1.90039290037769</v>
      </c>
      <c r="DM426" s="17" t="n">
        <f aca="false">SQRT(($B426-DM$401)^2+($C426-DM$402)^2+($D426-DM$403)^2)</f>
        <v>2.15212569121609</v>
      </c>
      <c r="DN426" s="63" t="n">
        <f aca="false">MATCH(MIN(DH426:DM426),DH426:DM426,0)</f>
        <v>3</v>
      </c>
    </row>
    <row r="427" customFormat="false" ht="15" hidden="false" customHeight="false" outlineLevel="0" collapsed="false">
      <c r="A427" s="36" t="str">
        <f aca="false">KMeans_Data!A24</f>
        <v>Muzaffarabad</v>
      </c>
      <c r="B427" s="17" t="n">
        <f aca="false">KMeans_Data!H24</f>
        <v>0.841726902407959</v>
      </c>
      <c r="C427" s="17" t="n">
        <f aca="false">KMeans_Data!I24</f>
        <v>0.803084449535714</v>
      </c>
      <c r="D427" s="17" t="n">
        <f aca="false">KMeans_Data!J24</f>
        <v>1.03670935350208</v>
      </c>
      <c r="E427" s="63" t="n">
        <f aca="false">DN427</f>
        <v>3</v>
      </c>
      <c r="F427" s="38" t="n">
        <f aca="false">($B427-INDEX($L$401:$Q$401,E427))^2+($C427-INDEX($L$402:$Q$402,E427))^2+($D427-INDEX($L$403:$Q$403,E427))^2</f>
        <v>0.0219897878993115</v>
      </c>
      <c r="G427" s="17" t="n">
        <f aca="false">IF(COUNTIF(Distance_Matrix!$E$12:$DQ$12,$E427)&lt;=1,0,SUMIF(Distance_Matrix!$E$12:$DQ$12,$E427,Distance_Matrix!$E$33:$DQ$33)/(COUNTIF(Distance_Matrix!$E$12:$DQ$12,$E427)-1))</f>
        <v>0.664729153579978</v>
      </c>
      <c r="H427" s="17" t="n">
        <f aca="false">MIN(IF(1=$E427,1E+099,IF(COUNTIF(Distance_Matrix!$E$12:$DQ$12,1)=0,1E+099,SUMIF(Distance_Matrix!$E$12:$DQ$12,1,Distance_Matrix!$E$33:$DQ$33)/COUNTIF(Distance_Matrix!$E$12:$DQ$12,1))),IF(2=$E427,1E+099,IF(COUNTIF(Distance_Matrix!$E$12:$DQ$12,2)=0,1E+099,SUMIF(Distance_Matrix!$E$12:$DQ$12,2,Distance_Matrix!$E$33:$DQ$33)/COUNTIF(Distance_Matrix!$E$12:$DQ$12,2))),IF(3=$E427,1E+099,IF(COUNTIF(Distance_Matrix!$E$12:$DQ$12,3)=0,1E+099,SUMIF(Distance_Matrix!$E$12:$DQ$12,3,Distance_Matrix!$E$33:$DQ$33)/COUNTIF(Distance_Matrix!$E$12:$DQ$12,3))),IF(4=$E427,1E+099,IF(COUNTIF(Distance_Matrix!$E$12:$DQ$12,4)=0,1E+099,SUMIF(Distance_Matrix!$E$12:$DQ$12,4,Distance_Matrix!$E$33:$DQ$33)/COUNTIF(Distance_Matrix!$E$12:$DQ$12,4))),IF(5=$E427,1E+099,IF(COUNTIF(Distance_Matrix!$E$12:$DQ$12,5)=0,1E+099,SUMIF(Distance_Matrix!$E$12:$DQ$12,5,Distance_Matrix!$E$33:$DQ$33)/COUNTIF(Distance_Matrix!$E$12:$DQ$12,5))),IF(6=$E427,1E+099,IF(COUNTIF(Distance_Matrix!$E$12:$DQ$12,6)=0,1E+099,SUMIF(Distance_Matrix!$E$12:$DQ$12,6,Distance_Matrix!$E$33:$DQ$33)/COUNTIF(Distance_Matrix!$E$12:$DQ$12,6))))</f>
        <v>1.81662443379277</v>
      </c>
      <c r="I427" s="17" t="n">
        <f aca="false">IF(COUNTIF(Distance_Matrix!$E$12:$DQ$12,$E427)&lt;=1,0,(H427-G427)/MAX(G427,H427))</f>
        <v>0.634085537321465</v>
      </c>
      <c r="X427" s="17" t="n">
        <f aca="false">SQRT(($B427-X$401)^2+($C427-X$402)^2+($D427-X$403)^2)</f>
        <v>4.61500990770194</v>
      </c>
      <c r="Y427" s="17" t="n">
        <f aca="false">SQRT(($B427-Y$401)^2+($C427-Y$402)^2+($D427-Y$403)^2)</f>
        <v>3.93388071911523</v>
      </c>
      <c r="Z427" s="17" t="n">
        <f aca="false">SQRT(($B427-Z$401)^2+($C427-Z$402)^2+($D427-Z$403)^2)</f>
        <v>0.637550286444693</v>
      </c>
      <c r="AA427" s="17" t="n">
        <f aca="false">SQRT(($B427-AA$401)^2+($C427-AA$402)^2+($D427-AA$403)^2)</f>
        <v>2.38824877056561</v>
      </c>
      <c r="AB427" s="17" t="n">
        <f aca="false">SQRT(($B427-AB$401)^2+($C427-AB$402)^2+($D427-AB$403)^2)</f>
        <v>2.5151808548031</v>
      </c>
      <c r="AC427" s="17" t="n">
        <f aca="false">SQRT(($B427-AC$401)^2+($C427-AC$402)^2+($D427-AC$403)^2)</f>
        <v>1.86152950521931</v>
      </c>
      <c r="AD427" s="63" t="n">
        <f aca="false">MATCH(MIN(X427:AC427),X427:AC427,0)</f>
        <v>3</v>
      </c>
      <c r="AF427" s="17" t="n">
        <f aca="false">SQRT(($B427-AF$401)^2+($C427-AF$402)^2+($D427-AF$403)^2)</f>
        <v>4.52093128774509</v>
      </c>
      <c r="AG427" s="17" t="n">
        <f aca="false">SQRT(($B427-AG$401)^2+($C427-AG$402)^2+($D427-AG$403)^2)</f>
        <v>3.36655532522749</v>
      </c>
      <c r="AH427" s="17" t="n">
        <f aca="false">SQRT(($B427-AH$401)^2+($C427-AH$402)^2+($D427-AH$403)^2)</f>
        <v>0.121890681854937</v>
      </c>
      <c r="AI427" s="17" t="n">
        <f aca="false">SQRT(($B427-AI$401)^2+($C427-AI$402)^2+($D427-AI$403)^2)</f>
        <v>2.42171768663202</v>
      </c>
      <c r="AJ427" s="17" t="n">
        <f aca="false">SQRT(($B427-AJ$401)^2+($C427-AJ$402)^2+($D427-AJ$403)^2)</f>
        <v>2.26766433303854</v>
      </c>
      <c r="AK427" s="17" t="n">
        <f aca="false">SQRT(($B427-AK$401)^2+($C427-AK$402)^2+($D427-AK$403)^2)</f>
        <v>1.84252952214227</v>
      </c>
      <c r="AL427" s="63" t="n">
        <f aca="false">MATCH(MIN(AF427:AK427),AF427:AK427,0)</f>
        <v>3</v>
      </c>
      <c r="AN427" s="17" t="n">
        <f aca="false">SQRT(($B427-AN$401)^2+($C427-AN$402)^2+($D427-AN$403)^2)</f>
        <v>4.52093128774509</v>
      </c>
      <c r="AO427" s="17" t="n">
        <f aca="false">SQRT(($B427-AO$401)^2+($C427-AO$402)^2+($D427-AO$403)^2)</f>
        <v>3.32625059027566</v>
      </c>
      <c r="AP427" s="17" t="n">
        <f aca="false">SQRT(($B427-AP$401)^2+($C427-AP$402)^2+($D427-AP$403)^2)</f>
        <v>0.148289540761685</v>
      </c>
      <c r="AQ427" s="17" t="n">
        <f aca="false">SQRT(($B427-AQ$401)^2+($C427-AQ$402)^2+($D427-AQ$403)^2)</f>
        <v>2.44480694901559</v>
      </c>
      <c r="AR427" s="17" t="n">
        <f aca="false">SQRT(($B427-AR$401)^2+($C427-AR$402)^2+($D427-AR$403)^2)</f>
        <v>2.26766433303854</v>
      </c>
      <c r="AS427" s="17" t="n">
        <f aca="false">SQRT(($B427-AS$401)^2+($C427-AS$402)^2+($D427-AS$403)^2)</f>
        <v>1.8048370301577</v>
      </c>
      <c r="AT427" s="63" t="n">
        <f aca="false">MATCH(MIN(AN427:AS427),AN427:AS427,0)</f>
        <v>3</v>
      </c>
      <c r="AV427" s="17" t="n">
        <f aca="false">SQRT(($B427-AV$401)^2+($C427-AV$402)^2+($D427-AV$403)^2)</f>
        <v>4.52093128774509</v>
      </c>
      <c r="AW427" s="17" t="n">
        <f aca="false">SQRT(($B427-AW$401)^2+($C427-AW$402)^2+($D427-AW$403)^2)</f>
        <v>3.29814221635293</v>
      </c>
      <c r="AX427" s="17" t="n">
        <f aca="false">SQRT(($B427-AX$401)^2+($C427-AX$402)^2+($D427-AX$403)^2)</f>
        <v>0.148289540761685</v>
      </c>
      <c r="AY427" s="17" t="n">
        <f aca="false">SQRT(($B427-AY$401)^2+($C427-AY$402)^2+($D427-AY$403)^2)</f>
        <v>2.44480694901559</v>
      </c>
      <c r="AZ427" s="17" t="n">
        <f aca="false">SQRT(($B427-AZ$401)^2+($C427-AZ$402)^2+($D427-AZ$403)^2)</f>
        <v>2.26766433303854</v>
      </c>
      <c r="BA427" s="17" t="n">
        <f aca="false">SQRT(($B427-BA$401)^2+($C427-BA$402)^2+($D427-BA$403)^2)</f>
        <v>1.78065766188139</v>
      </c>
      <c r="BB427" s="63" t="n">
        <f aca="false">MATCH(MIN(AV427:BA427),AV427:BA427,0)</f>
        <v>3</v>
      </c>
      <c r="BD427" s="17" t="n">
        <f aca="false">SQRT(($B427-BD$401)^2+($C427-BD$402)^2+($D427-BD$403)^2)</f>
        <v>4.52093128774509</v>
      </c>
      <c r="BE427" s="17" t="n">
        <f aca="false">SQRT(($B427-BE$401)^2+($C427-BE$402)^2+($D427-BE$403)^2)</f>
        <v>3.2712804749832</v>
      </c>
      <c r="BF427" s="17" t="n">
        <f aca="false">SQRT(($B427-BF$401)^2+($C427-BF$402)^2+($D427-BF$403)^2)</f>
        <v>0.148289540761685</v>
      </c>
      <c r="BG427" s="17" t="n">
        <f aca="false">SQRT(($B427-BG$401)^2+($C427-BG$402)^2+($D427-BG$403)^2)</f>
        <v>2.44480694901559</v>
      </c>
      <c r="BH427" s="17" t="n">
        <f aca="false">SQRT(($B427-BH$401)^2+($C427-BH$402)^2+($D427-BH$403)^2)</f>
        <v>2.26766433303854</v>
      </c>
      <c r="BI427" s="17" t="n">
        <f aca="false">SQRT(($B427-BI$401)^2+($C427-BI$402)^2+($D427-BI$403)^2)</f>
        <v>1.75541481378316</v>
      </c>
      <c r="BJ427" s="63" t="n">
        <f aca="false">MATCH(MIN(BD427:BI427),BD427:BI427,0)</f>
        <v>3</v>
      </c>
      <c r="BL427" s="17" t="n">
        <f aca="false">SQRT(($B427-BL$401)^2+($C427-BL$402)^2+($D427-BL$403)^2)</f>
        <v>4.52093128774509</v>
      </c>
      <c r="BM427" s="17" t="n">
        <f aca="false">SQRT(($B427-BM$401)^2+($C427-BM$402)^2+($D427-BM$403)^2)</f>
        <v>3.2712804749832</v>
      </c>
      <c r="BN427" s="17" t="n">
        <f aca="false">SQRT(($B427-BN$401)^2+($C427-BN$402)^2+($D427-BN$403)^2)</f>
        <v>0.148289540761685</v>
      </c>
      <c r="BO427" s="17" t="n">
        <f aca="false">SQRT(($B427-BO$401)^2+($C427-BO$402)^2+($D427-BO$403)^2)</f>
        <v>2.44480694901559</v>
      </c>
      <c r="BP427" s="17" t="n">
        <f aca="false">SQRT(($B427-BP$401)^2+($C427-BP$402)^2+($D427-BP$403)^2)</f>
        <v>2.26766433303854</v>
      </c>
      <c r="BQ427" s="17" t="n">
        <f aca="false">SQRT(($B427-BQ$401)^2+($C427-BQ$402)^2+($D427-BQ$403)^2)</f>
        <v>1.75541481378316</v>
      </c>
      <c r="BR427" s="63" t="n">
        <f aca="false">MATCH(MIN(BL427:BQ427),BL427:BQ427,0)</f>
        <v>3</v>
      </c>
      <c r="BT427" s="17" t="n">
        <f aca="false">SQRT(($B427-BT$401)^2+($C427-BT$402)^2+($D427-BT$403)^2)</f>
        <v>4.52093128774509</v>
      </c>
      <c r="BU427" s="17" t="n">
        <f aca="false">SQRT(($B427-BU$401)^2+($C427-BU$402)^2+($D427-BU$403)^2)</f>
        <v>3.2712804749832</v>
      </c>
      <c r="BV427" s="17" t="n">
        <f aca="false">SQRT(($B427-BV$401)^2+($C427-BV$402)^2+($D427-BV$403)^2)</f>
        <v>0.148289540761685</v>
      </c>
      <c r="BW427" s="17" t="n">
        <f aca="false">SQRT(($B427-BW$401)^2+($C427-BW$402)^2+($D427-BW$403)^2)</f>
        <v>2.44480694901559</v>
      </c>
      <c r="BX427" s="17" t="n">
        <f aca="false">SQRT(($B427-BX$401)^2+($C427-BX$402)^2+($D427-BX$403)^2)</f>
        <v>2.26766433303854</v>
      </c>
      <c r="BY427" s="17" t="n">
        <f aca="false">SQRT(($B427-BY$401)^2+($C427-BY$402)^2+($D427-BY$403)^2)</f>
        <v>1.75541481378316</v>
      </c>
      <c r="BZ427" s="63" t="n">
        <f aca="false">MATCH(MIN(BT427:BY427),BT427:BY427,0)</f>
        <v>3</v>
      </c>
      <c r="CB427" s="17" t="n">
        <f aca="false">SQRT(($B427-CB$401)^2+($C427-CB$402)^2+($D427-CB$403)^2)</f>
        <v>4.52093128774509</v>
      </c>
      <c r="CC427" s="17" t="n">
        <f aca="false">SQRT(($B427-CC$401)^2+($C427-CC$402)^2+($D427-CC$403)^2)</f>
        <v>3.2712804749832</v>
      </c>
      <c r="CD427" s="17" t="n">
        <f aca="false">SQRT(($B427-CD$401)^2+($C427-CD$402)^2+($D427-CD$403)^2)</f>
        <v>0.148289540761685</v>
      </c>
      <c r="CE427" s="17" t="n">
        <f aca="false">SQRT(($B427-CE$401)^2+($C427-CE$402)^2+($D427-CE$403)^2)</f>
        <v>2.44480694901559</v>
      </c>
      <c r="CF427" s="17" t="n">
        <f aca="false">SQRT(($B427-CF$401)^2+($C427-CF$402)^2+($D427-CF$403)^2)</f>
        <v>2.26766433303854</v>
      </c>
      <c r="CG427" s="17" t="n">
        <f aca="false">SQRT(($B427-CG$401)^2+($C427-CG$402)^2+($D427-CG$403)^2)</f>
        <v>1.75541481378316</v>
      </c>
      <c r="CH427" s="63" t="n">
        <f aca="false">MATCH(MIN(CB427:CG427),CB427:CG427,0)</f>
        <v>3</v>
      </c>
      <c r="CJ427" s="17" t="n">
        <f aca="false">SQRT(($B427-CJ$401)^2+($C427-CJ$402)^2+($D427-CJ$403)^2)</f>
        <v>4.52093128774509</v>
      </c>
      <c r="CK427" s="17" t="n">
        <f aca="false">SQRT(($B427-CK$401)^2+($C427-CK$402)^2+($D427-CK$403)^2)</f>
        <v>3.2712804749832</v>
      </c>
      <c r="CL427" s="17" t="n">
        <f aca="false">SQRT(($B427-CL$401)^2+($C427-CL$402)^2+($D427-CL$403)^2)</f>
        <v>0.148289540761685</v>
      </c>
      <c r="CM427" s="17" t="n">
        <f aca="false">SQRT(($B427-CM$401)^2+($C427-CM$402)^2+($D427-CM$403)^2)</f>
        <v>2.44480694901559</v>
      </c>
      <c r="CN427" s="17" t="n">
        <f aca="false">SQRT(($B427-CN$401)^2+($C427-CN$402)^2+($D427-CN$403)^2)</f>
        <v>2.26766433303854</v>
      </c>
      <c r="CO427" s="17" t="n">
        <f aca="false">SQRT(($B427-CO$401)^2+($C427-CO$402)^2+($D427-CO$403)^2)</f>
        <v>1.75541481378316</v>
      </c>
      <c r="CP427" s="63" t="n">
        <f aca="false">MATCH(MIN(CJ427:CO427),CJ427:CO427,0)</f>
        <v>3</v>
      </c>
      <c r="CR427" s="17" t="n">
        <f aca="false">SQRT(($B427-CR$401)^2+($C427-CR$402)^2+($D427-CR$403)^2)</f>
        <v>4.52093128774509</v>
      </c>
      <c r="CS427" s="17" t="n">
        <f aca="false">SQRT(($B427-CS$401)^2+($C427-CS$402)^2+($D427-CS$403)^2)</f>
        <v>3.2712804749832</v>
      </c>
      <c r="CT427" s="17" t="n">
        <f aca="false">SQRT(($B427-CT$401)^2+($C427-CT$402)^2+($D427-CT$403)^2)</f>
        <v>0.148289540761685</v>
      </c>
      <c r="CU427" s="17" t="n">
        <f aca="false">SQRT(($B427-CU$401)^2+($C427-CU$402)^2+($D427-CU$403)^2)</f>
        <v>2.44480694901559</v>
      </c>
      <c r="CV427" s="17" t="n">
        <f aca="false">SQRT(($B427-CV$401)^2+($C427-CV$402)^2+($D427-CV$403)^2)</f>
        <v>2.26766433303854</v>
      </c>
      <c r="CW427" s="17" t="n">
        <f aca="false">SQRT(($B427-CW$401)^2+($C427-CW$402)^2+($D427-CW$403)^2)</f>
        <v>1.75541481378316</v>
      </c>
      <c r="CX427" s="63" t="n">
        <f aca="false">MATCH(MIN(CR427:CW427),CR427:CW427,0)</f>
        <v>3</v>
      </c>
      <c r="CZ427" s="17" t="n">
        <f aca="false">SQRT(($B427-CZ$401)^2+($C427-CZ$402)^2+($D427-CZ$403)^2)</f>
        <v>4.52093128774509</v>
      </c>
      <c r="DA427" s="17" t="n">
        <f aca="false">SQRT(($B427-DA$401)^2+($C427-DA$402)^2+($D427-DA$403)^2)</f>
        <v>3.2712804749832</v>
      </c>
      <c r="DB427" s="17" t="n">
        <f aca="false">SQRT(($B427-DB$401)^2+($C427-DB$402)^2+($D427-DB$403)^2)</f>
        <v>0.148289540761685</v>
      </c>
      <c r="DC427" s="17" t="n">
        <f aca="false">SQRT(($B427-DC$401)^2+($C427-DC$402)^2+($D427-DC$403)^2)</f>
        <v>2.44480694901559</v>
      </c>
      <c r="DD427" s="17" t="n">
        <f aca="false">SQRT(($B427-DD$401)^2+($C427-DD$402)^2+($D427-DD$403)^2)</f>
        <v>2.26766433303854</v>
      </c>
      <c r="DE427" s="17" t="n">
        <f aca="false">SQRT(($B427-DE$401)^2+($C427-DE$402)^2+($D427-DE$403)^2)</f>
        <v>1.75541481378316</v>
      </c>
      <c r="DF427" s="63" t="n">
        <f aca="false">MATCH(MIN(CZ427:DE427),CZ427:DE427,0)</f>
        <v>3</v>
      </c>
      <c r="DH427" s="17" t="n">
        <f aca="false">SQRT(($B427-DH$401)^2+($C427-DH$402)^2+($D427-DH$403)^2)</f>
        <v>4.52093128774509</v>
      </c>
      <c r="DI427" s="17" t="n">
        <f aca="false">SQRT(($B427-DI$401)^2+($C427-DI$402)^2+($D427-DI$403)^2)</f>
        <v>3.2712804749832</v>
      </c>
      <c r="DJ427" s="17" t="n">
        <f aca="false">SQRT(($B427-DJ$401)^2+($C427-DJ$402)^2+($D427-DJ$403)^2)</f>
        <v>0.148289540761685</v>
      </c>
      <c r="DK427" s="17" t="n">
        <f aca="false">SQRT(($B427-DK$401)^2+($C427-DK$402)^2+($D427-DK$403)^2)</f>
        <v>2.44480694901559</v>
      </c>
      <c r="DL427" s="17" t="n">
        <f aca="false">SQRT(($B427-DL$401)^2+($C427-DL$402)^2+($D427-DL$403)^2)</f>
        <v>2.26766433303854</v>
      </c>
      <c r="DM427" s="17" t="n">
        <f aca="false">SQRT(($B427-DM$401)^2+($C427-DM$402)^2+($D427-DM$403)^2)</f>
        <v>1.75541481378316</v>
      </c>
      <c r="DN427" s="63" t="n">
        <f aca="false">MATCH(MIN(DH427:DM427),DH427:DM427,0)</f>
        <v>3</v>
      </c>
    </row>
    <row r="428" customFormat="false" ht="15" hidden="false" customHeight="false" outlineLevel="0" collapsed="false">
      <c r="A428" s="36" t="str">
        <f aca="false">KMeans_Data!A25</f>
        <v>Dera Ghazi Khan</v>
      </c>
      <c r="B428" s="17" t="n">
        <f aca="false">KMeans_Data!H25</f>
        <v>0.789836374639921</v>
      </c>
      <c r="C428" s="17" t="n">
        <f aca="false">KMeans_Data!I25</f>
        <v>0.803084449535714</v>
      </c>
      <c r="D428" s="17" t="n">
        <f aca="false">KMeans_Data!J25</f>
        <v>1.26838439516132</v>
      </c>
      <c r="E428" s="63" t="n">
        <f aca="false">DN428</f>
        <v>3</v>
      </c>
      <c r="F428" s="38" t="n">
        <f aca="false">($B428-INDEX($L$401:$Q$401,E428))^2+($C428-INDEX($L$402:$Q$402,E428))^2+($D428-INDEX($L$403:$Q$403,E428))^2</f>
        <v>0.117494361297997</v>
      </c>
      <c r="G428" s="17" t="n">
        <f aca="false">IF(COUNTIF(Distance_Matrix!$E$12:$DQ$12,$E428)&lt;=1,0,SUMIF(Distance_Matrix!$E$12:$DQ$12,$E428,Distance_Matrix!$E$34:$DQ$34)/(COUNTIF(Distance_Matrix!$E$12:$DQ$12,$E428)-1))</f>
        <v>0.726671000336859</v>
      </c>
      <c r="H428" s="17" t="n">
        <f aca="false">MIN(IF(1=$E428,1E+099,IF(COUNTIF(Distance_Matrix!$E$12:$DQ$12,1)=0,1E+099,SUMIF(Distance_Matrix!$E$12:$DQ$12,1,Distance_Matrix!$E$34:$DQ$34)/COUNTIF(Distance_Matrix!$E$12:$DQ$12,1))),IF(2=$E428,1E+099,IF(COUNTIF(Distance_Matrix!$E$12:$DQ$12,2)=0,1E+099,SUMIF(Distance_Matrix!$E$12:$DQ$12,2,Distance_Matrix!$E$34:$DQ$34)/COUNTIF(Distance_Matrix!$E$12:$DQ$12,2))),IF(3=$E428,1E+099,IF(COUNTIF(Distance_Matrix!$E$12:$DQ$12,3)=0,1E+099,SUMIF(Distance_Matrix!$E$12:$DQ$12,3,Distance_Matrix!$E$34:$DQ$34)/COUNTIF(Distance_Matrix!$E$12:$DQ$12,3))),IF(4=$E428,1E+099,IF(COUNTIF(Distance_Matrix!$E$12:$DQ$12,4)=0,1E+099,SUMIF(Distance_Matrix!$E$12:$DQ$12,4,Distance_Matrix!$E$34:$DQ$34)/COUNTIF(Distance_Matrix!$E$12:$DQ$12,4))),IF(5=$E428,1E+099,IF(COUNTIF(Distance_Matrix!$E$12:$DQ$12,5)=0,1E+099,SUMIF(Distance_Matrix!$E$12:$DQ$12,5,Distance_Matrix!$E$34:$DQ$34)/COUNTIF(Distance_Matrix!$E$12:$DQ$12,5))),IF(6=$E428,1E+099,IF(COUNTIF(Distance_Matrix!$E$12:$DQ$12,6)=0,1E+099,SUMIF(Distance_Matrix!$E$12:$DQ$12,6,Distance_Matrix!$E$34:$DQ$34)/COUNTIF(Distance_Matrix!$E$12:$DQ$12,6))))</f>
        <v>1.903103884755</v>
      </c>
      <c r="I428" s="17" t="n">
        <f aca="false">IF(COUNTIF(Distance_Matrix!$E$12:$DQ$12,$E428)&lt;=1,0,(H428-G428)/MAX(G428,H428))</f>
        <v>0.618165352843885</v>
      </c>
      <c r="X428" s="17" t="n">
        <f aca="false">SQRT(($B428-X$401)^2+($C428-X$402)^2+($D428-X$403)^2)</f>
        <v>4.53655738479708</v>
      </c>
      <c r="Y428" s="17" t="n">
        <f aca="false">SQRT(($B428-Y$401)^2+($C428-Y$402)^2+($D428-Y$403)^2)</f>
        <v>4.02986158778563</v>
      </c>
      <c r="Z428" s="17" t="n">
        <f aca="false">SQRT(($B428-Z$401)^2+($C428-Z$402)^2+($D428-Z$403)^2)</f>
        <v>0.53121011056296</v>
      </c>
      <c r="AA428" s="17" t="n">
        <f aca="false">SQRT(($B428-AA$401)^2+($C428-AA$402)^2+($D428-AA$403)^2)</f>
        <v>2.59825809517442</v>
      </c>
      <c r="AB428" s="17" t="n">
        <f aca="false">SQRT(($B428-AB$401)^2+($C428-AB$402)^2+($D428-AB$403)^2)</f>
        <v>2.4334475978012</v>
      </c>
      <c r="AC428" s="17" t="n">
        <f aca="false">SQRT(($B428-AC$401)^2+($C428-AC$402)^2+($D428-AC$403)^2)</f>
        <v>1.88418455013131</v>
      </c>
      <c r="AD428" s="63" t="n">
        <f aca="false">MATCH(MIN(X428:AC428),X428:AC428,0)</f>
        <v>3</v>
      </c>
      <c r="AF428" s="17" t="n">
        <f aca="false">SQRT(($B428-AF$401)^2+($C428-AF$402)^2+($D428-AF$403)^2)</f>
        <v>4.45557707556801</v>
      </c>
      <c r="AG428" s="17" t="n">
        <f aca="false">SQRT(($B428-AG$401)^2+($C428-AG$402)^2+($D428-AG$403)^2)</f>
        <v>3.4862065231248</v>
      </c>
      <c r="AH428" s="17" t="n">
        <f aca="false">SQRT(($B428-AH$401)^2+($C428-AH$402)^2+($D428-AH$403)^2)</f>
        <v>0.325810559415448</v>
      </c>
      <c r="AI428" s="17" t="n">
        <f aca="false">SQRT(($B428-AI$401)^2+($C428-AI$402)^2+($D428-AI$403)^2)</f>
        <v>2.59333865141934</v>
      </c>
      <c r="AJ428" s="17" t="n">
        <f aca="false">SQRT(($B428-AJ$401)^2+($C428-AJ$402)^2+($D428-AJ$403)^2)</f>
        <v>2.23169378370143</v>
      </c>
      <c r="AK428" s="17" t="n">
        <f aca="false">SQRT(($B428-AK$401)^2+($C428-AK$402)^2+($D428-AK$403)^2)</f>
        <v>1.93320741140834</v>
      </c>
      <c r="AL428" s="63" t="n">
        <f aca="false">MATCH(MIN(AF428:AK428),AF428:AK428,0)</f>
        <v>3</v>
      </c>
      <c r="AN428" s="17" t="n">
        <f aca="false">SQRT(($B428-AN$401)^2+($C428-AN$402)^2+($D428-AN$403)^2)</f>
        <v>4.45557707556801</v>
      </c>
      <c r="AO428" s="17" t="n">
        <f aca="false">SQRT(($B428-AO$401)^2+($C428-AO$402)^2+($D428-AO$403)^2)</f>
        <v>3.44648658832986</v>
      </c>
      <c r="AP428" s="17" t="n">
        <f aca="false">SQRT(($B428-AP$401)^2+($C428-AP$402)^2+($D428-AP$403)^2)</f>
        <v>0.342774505029177</v>
      </c>
      <c r="AQ428" s="17" t="n">
        <f aca="false">SQRT(($B428-AQ$401)^2+($C428-AQ$402)^2+($D428-AQ$403)^2)</f>
        <v>2.61531877357529</v>
      </c>
      <c r="AR428" s="17" t="n">
        <f aca="false">SQRT(($B428-AR$401)^2+($C428-AR$402)^2+($D428-AR$403)^2)</f>
        <v>2.23169378370143</v>
      </c>
      <c r="AS428" s="17" t="n">
        <f aca="false">SQRT(($B428-AS$401)^2+($C428-AS$402)^2+($D428-AS$403)^2)</f>
        <v>1.89564019803235</v>
      </c>
      <c r="AT428" s="63" t="n">
        <f aca="false">MATCH(MIN(AN428:AS428),AN428:AS428,0)</f>
        <v>3</v>
      </c>
      <c r="AV428" s="17" t="n">
        <f aca="false">SQRT(($B428-AV$401)^2+($C428-AV$402)^2+($D428-AV$403)^2)</f>
        <v>4.45557707556801</v>
      </c>
      <c r="AW428" s="17" t="n">
        <f aca="false">SQRT(($B428-AW$401)^2+($C428-AW$402)^2+($D428-AW$403)^2)</f>
        <v>3.41789683079875</v>
      </c>
      <c r="AX428" s="17" t="n">
        <f aca="false">SQRT(($B428-AX$401)^2+($C428-AX$402)^2+($D428-AX$403)^2)</f>
        <v>0.342774505029177</v>
      </c>
      <c r="AY428" s="17" t="n">
        <f aca="false">SQRT(($B428-AY$401)^2+($C428-AY$402)^2+($D428-AY$403)^2)</f>
        <v>2.61531877357529</v>
      </c>
      <c r="AZ428" s="17" t="n">
        <f aca="false">SQRT(($B428-AZ$401)^2+($C428-AZ$402)^2+($D428-AZ$403)^2)</f>
        <v>2.23169378370143</v>
      </c>
      <c r="BA428" s="17" t="n">
        <f aca="false">SQRT(($B428-BA$401)^2+($C428-BA$402)^2+($D428-BA$403)^2)</f>
        <v>1.87087700453724</v>
      </c>
      <c r="BB428" s="63" t="n">
        <f aca="false">MATCH(MIN(AV428:BA428),AV428:BA428,0)</f>
        <v>3</v>
      </c>
      <c r="BD428" s="17" t="n">
        <f aca="false">SQRT(($B428-BD$401)^2+($C428-BD$402)^2+($D428-BD$403)^2)</f>
        <v>4.45557707556801</v>
      </c>
      <c r="BE428" s="17" t="n">
        <f aca="false">SQRT(($B428-BE$401)^2+($C428-BE$402)^2+($D428-BE$403)^2)</f>
        <v>3.39037209951729</v>
      </c>
      <c r="BF428" s="17" t="n">
        <f aca="false">SQRT(($B428-BF$401)^2+($C428-BF$402)^2+($D428-BF$403)^2)</f>
        <v>0.342774505029177</v>
      </c>
      <c r="BG428" s="17" t="n">
        <f aca="false">SQRT(($B428-BG$401)^2+($C428-BG$402)^2+($D428-BG$403)^2)</f>
        <v>2.61531877357529</v>
      </c>
      <c r="BH428" s="17" t="n">
        <f aca="false">SQRT(($B428-BH$401)^2+($C428-BH$402)^2+($D428-BH$403)^2)</f>
        <v>2.23169378370143</v>
      </c>
      <c r="BI428" s="17" t="n">
        <f aca="false">SQRT(($B428-BI$401)^2+($C428-BI$402)^2+($D428-BI$403)^2)</f>
        <v>1.84534642649725</v>
      </c>
      <c r="BJ428" s="63" t="n">
        <f aca="false">MATCH(MIN(BD428:BI428),BD428:BI428,0)</f>
        <v>3</v>
      </c>
      <c r="BL428" s="17" t="n">
        <f aca="false">SQRT(($B428-BL$401)^2+($C428-BL$402)^2+($D428-BL$403)^2)</f>
        <v>4.45557707556801</v>
      </c>
      <c r="BM428" s="17" t="n">
        <f aca="false">SQRT(($B428-BM$401)^2+($C428-BM$402)^2+($D428-BM$403)^2)</f>
        <v>3.39037209951729</v>
      </c>
      <c r="BN428" s="17" t="n">
        <f aca="false">SQRT(($B428-BN$401)^2+($C428-BN$402)^2+($D428-BN$403)^2)</f>
        <v>0.342774505029177</v>
      </c>
      <c r="BO428" s="17" t="n">
        <f aca="false">SQRT(($B428-BO$401)^2+($C428-BO$402)^2+($D428-BO$403)^2)</f>
        <v>2.61531877357529</v>
      </c>
      <c r="BP428" s="17" t="n">
        <f aca="false">SQRT(($B428-BP$401)^2+($C428-BP$402)^2+($D428-BP$403)^2)</f>
        <v>2.23169378370143</v>
      </c>
      <c r="BQ428" s="17" t="n">
        <f aca="false">SQRT(($B428-BQ$401)^2+($C428-BQ$402)^2+($D428-BQ$403)^2)</f>
        <v>1.84534642649725</v>
      </c>
      <c r="BR428" s="63" t="n">
        <f aca="false">MATCH(MIN(BL428:BQ428),BL428:BQ428,0)</f>
        <v>3</v>
      </c>
      <c r="BT428" s="17" t="n">
        <f aca="false">SQRT(($B428-BT$401)^2+($C428-BT$402)^2+($D428-BT$403)^2)</f>
        <v>4.45557707556801</v>
      </c>
      <c r="BU428" s="17" t="n">
        <f aca="false">SQRT(($B428-BU$401)^2+($C428-BU$402)^2+($D428-BU$403)^2)</f>
        <v>3.39037209951729</v>
      </c>
      <c r="BV428" s="17" t="n">
        <f aca="false">SQRT(($B428-BV$401)^2+($C428-BV$402)^2+($D428-BV$403)^2)</f>
        <v>0.342774505029177</v>
      </c>
      <c r="BW428" s="17" t="n">
        <f aca="false">SQRT(($B428-BW$401)^2+($C428-BW$402)^2+($D428-BW$403)^2)</f>
        <v>2.61531877357529</v>
      </c>
      <c r="BX428" s="17" t="n">
        <f aca="false">SQRT(($B428-BX$401)^2+($C428-BX$402)^2+($D428-BX$403)^2)</f>
        <v>2.23169378370143</v>
      </c>
      <c r="BY428" s="17" t="n">
        <f aca="false">SQRT(($B428-BY$401)^2+($C428-BY$402)^2+($D428-BY$403)^2)</f>
        <v>1.84534642649725</v>
      </c>
      <c r="BZ428" s="63" t="n">
        <f aca="false">MATCH(MIN(BT428:BY428),BT428:BY428,0)</f>
        <v>3</v>
      </c>
      <c r="CB428" s="17" t="n">
        <f aca="false">SQRT(($B428-CB$401)^2+($C428-CB$402)^2+($D428-CB$403)^2)</f>
        <v>4.45557707556801</v>
      </c>
      <c r="CC428" s="17" t="n">
        <f aca="false">SQRT(($B428-CC$401)^2+($C428-CC$402)^2+($D428-CC$403)^2)</f>
        <v>3.39037209951729</v>
      </c>
      <c r="CD428" s="17" t="n">
        <f aca="false">SQRT(($B428-CD$401)^2+($C428-CD$402)^2+($D428-CD$403)^2)</f>
        <v>0.342774505029177</v>
      </c>
      <c r="CE428" s="17" t="n">
        <f aca="false">SQRT(($B428-CE$401)^2+($C428-CE$402)^2+($D428-CE$403)^2)</f>
        <v>2.61531877357529</v>
      </c>
      <c r="CF428" s="17" t="n">
        <f aca="false">SQRT(($B428-CF$401)^2+($C428-CF$402)^2+($D428-CF$403)^2)</f>
        <v>2.23169378370143</v>
      </c>
      <c r="CG428" s="17" t="n">
        <f aca="false">SQRT(($B428-CG$401)^2+($C428-CG$402)^2+($D428-CG$403)^2)</f>
        <v>1.84534642649725</v>
      </c>
      <c r="CH428" s="63" t="n">
        <f aca="false">MATCH(MIN(CB428:CG428),CB428:CG428,0)</f>
        <v>3</v>
      </c>
      <c r="CJ428" s="17" t="n">
        <f aca="false">SQRT(($B428-CJ$401)^2+($C428-CJ$402)^2+($D428-CJ$403)^2)</f>
        <v>4.45557707556801</v>
      </c>
      <c r="CK428" s="17" t="n">
        <f aca="false">SQRT(($B428-CK$401)^2+($C428-CK$402)^2+($D428-CK$403)^2)</f>
        <v>3.39037209951729</v>
      </c>
      <c r="CL428" s="17" t="n">
        <f aca="false">SQRT(($B428-CL$401)^2+($C428-CL$402)^2+($D428-CL$403)^2)</f>
        <v>0.342774505029177</v>
      </c>
      <c r="CM428" s="17" t="n">
        <f aca="false">SQRT(($B428-CM$401)^2+($C428-CM$402)^2+($D428-CM$403)^2)</f>
        <v>2.61531877357529</v>
      </c>
      <c r="CN428" s="17" t="n">
        <f aca="false">SQRT(($B428-CN$401)^2+($C428-CN$402)^2+($D428-CN$403)^2)</f>
        <v>2.23169378370143</v>
      </c>
      <c r="CO428" s="17" t="n">
        <f aca="false">SQRT(($B428-CO$401)^2+($C428-CO$402)^2+($D428-CO$403)^2)</f>
        <v>1.84534642649725</v>
      </c>
      <c r="CP428" s="63" t="n">
        <f aca="false">MATCH(MIN(CJ428:CO428),CJ428:CO428,0)</f>
        <v>3</v>
      </c>
      <c r="CR428" s="17" t="n">
        <f aca="false">SQRT(($B428-CR$401)^2+($C428-CR$402)^2+($D428-CR$403)^2)</f>
        <v>4.45557707556801</v>
      </c>
      <c r="CS428" s="17" t="n">
        <f aca="false">SQRT(($B428-CS$401)^2+($C428-CS$402)^2+($D428-CS$403)^2)</f>
        <v>3.39037209951729</v>
      </c>
      <c r="CT428" s="17" t="n">
        <f aca="false">SQRT(($B428-CT$401)^2+($C428-CT$402)^2+($D428-CT$403)^2)</f>
        <v>0.342774505029177</v>
      </c>
      <c r="CU428" s="17" t="n">
        <f aca="false">SQRT(($B428-CU$401)^2+($C428-CU$402)^2+($D428-CU$403)^2)</f>
        <v>2.61531877357529</v>
      </c>
      <c r="CV428" s="17" t="n">
        <f aca="false">SQRT(($B428-CV$401)^2+($C428-CV$402)^2+($D428-CV$403)^2)</f>
        <v>2.23169378370143</v>
      </c>
      <c r="CW428" s="17" t="n">
        <f aca="false">SQRT(($B428-CW$401)^2+($C428-CW$402)^2+($D428-CW$403)^2)</f>
        <v>1.84534642649725</v>
      </c>
      <c r="CX428" s="63" t="n">
        <f aca="false">MATCH(MIN(CR428:CW428),CR428:CW428,0)</f>
        <v>3</v>
      </c>
      <c r="CZ428" s="17" t="n">
        <f aca="false">SQRT(($B428-CZ$401)^2+($C428-CZ$402)^2+($D428-CZ$403)^2)</f>
        <v>4.45557707556801</v>
      </c>
      <c r="DA428" s="17" t="n">
        <f aca="false">SQRT(($B428-DA$401)^2+($C428-DA$402)^2+($D428-DA$403)^2)</f>
        <v>3.39037209951729</v>
      </c>
      <c r="DB428" s="17" t="n">
        <f aca="false">SQRT(($B428-DB$401)^2+($C428-DB$402)^2+($D428-DB$403)^2)</f>
        <v>0.342774505029177</v>
      </c>
      <c r="DC428" s="17" t="n">
        <f aca="false">SQRT(($B428-DC$401)^2+($C428-DC$402)^2+($D428-DC$403)^2)</f>
        <v>2.61531877357529</v>
      </c>
      <c r="DD428" s="17" t="n">
        <f aca="false">SQRT(($B428-DD$401)^2+($C428-DD$402)^2+($D428-DD$403)^2)</f>
        <v>2.23169378370143</v>
      </c>
      <c r="DE428" s="17" t="n">
        <f aca="false">SQRT(($B428-DE$401)^2+($C428-DE$402)^2+($D428-DE$403)^2)</f>
        <v>1.84534642649725</v>
      </c>
      <c r="DF428" s="63" t="n">
        <f aca="false">MATCH(MIN(CZ428:DE428),CZ428:DE428,0)</f>
        <v>3</v>
      </c>
      <c r="DH428" s="17" t="n">
        <f aca="false">SQRT(($B428-DH$401)^2+($C428-DH$402)^2+($D428-DH$403)^2)</f>
        <v>4.45557707556801</v>
      </c>
      <c r="DI428" s="17" t="n">
        <f aca="false">SQRT(($B428-DI$401)^2+($C428-DI$402)^2+($D428-DI$403)^2)</f>
        <v>3.39037209951729</v>
      </c>
      <c r="DJ428" s="17" t="n">
        <f aca="false">SQRT(($B428-DJ$401)^2+($C428-DJ$402)^2+($D428-DJ$403)^2)</f>
        <v>0.342774505029177</v>
      </c>
      <c r="DK428" s="17" t="n">
        <f aca="false">SQRT(($B428-DK$401)^2+($C428-DK$402)^2+($D428-DK$403)^2)</f>
        <v>2.61531877357529</v>
      </c>
      <c r="DL428" s="17" t="n">
        <f aca="false">SQRT(($B428-DL$401)^2+($C428-DL$402)^2+($D428-DL$403)^2)</f>
        <v>2.23169378370143</v>
      </c>
      <c r="DM428" s="17" t="n">
        <f aca="false">SQRT(($B428-DM$401)^2+($C428-DM$402)^2+($D428-DM$403)^2)</f>
        <v>1.84534642649725</v>
      </c>
      <c r="DN428" s="63" t="n">
        <f aca="false">MATCH(MIN(DH428:DM428),DH428:DM428,0)</f>
        <v>3</v>
      </c>
    </row>
    <row r="429" customFormat="false" ht="15" hidden="false" customHeight="false" outlineLevel="0" collapsed="false">
      <c r="A429" s="36" t="str">
        <f aca="false">KMeans_Data!A26</f>
        <v>Charsadda</v>
      </c>
      <c r="B429" s="17" t="n">
        <f aca="false">KMeans_Data!H26</f>
        <v>0.7856220194878</v>
      </c>
      <c r="C429" s="17" t="n">
        <f aca="false">KMeans_Data!I26</f>
        <v>0.803084449535714</v>
      </c>
      <c r="D429" s="17" t="n">
        <f aca="false">KMeans_Data!J26</f>
        <v>0.618328666074444</v>
      </c>
      <c r="E429" s="63" t="n">
        <f aca="false">DN429</f>
        <v>3</v>
      </c>
      <c r="F429" s="38" t="n">
        <f aca="false">($B429-INDEX($L$401:$Q$401,E429))^2+($C429-INDEX($L$402:$Q$402,E429))^2+($D429-INDEX($L$403:$Q$403,E429))^2</f>
        <v>0.099710102908032</v>
      </c>
      <c r="G429" s="17" t="n">
        <f aca="false">IF(COUNTIF(Distance_Matrix!$E$12:$DQ$12,$E429)&lt;=1,0,SUMIF(Distance_Matrix!$E$12:$DQ$12,$E429,Distance_Matrix!$E$35:$DQ$35)/(COUNTIF(Distance_Matrix!$E$12:$DQ$12,$E429)-1))</f>
        <v>0.719690292511441</v>
      </c>
      <c r="H429" s="17" t="n">
        <f aca="false">MIN(IF(1=$E429,1E+099,IF(COUNTIF(Distance_Matrix!$E$12:$DQ$12,1)=0,1E+099,SUMIF(Distance_Matrix!$E$12:$DQ$12,1,Distance_Matrix!$E$35:$DQ$35)/COUNTIF(Distance_Matrix!$E$12:$DQ$12,1))),IF(2=$E429,1E+099,IF(COUNTIF(Distance_Matrix!$E$12:$DQ$12,2)=0,1E+099,SUMIF(Distance_Matrix!$E$12:$DQ$12,2,Distance_Matrix!$E$35:$DQ$35)/COUNTIF(Distance_Matrix!$E$12:$DQ$12,2))),IF(3=$E429,1E+099,IF(COUNTIF(Distance_Matrix!$E$12:$DQ$12,3)=0,1E+099,SUMIF(Distance_Matrix!$E$12:$DQ$12,3,Distance_Matrix!$E$35:$DQ$35)/COUNTIF(Distance_Matrix!$E$12:$DQ$12,3))),IF(4=$E429,1E+099,IF(COUNTIF(Distance_Matrix!$E$12:$DQ$12,4)=0,1E+099,SUMIF(Distance_Matrix!$E$12:$DQ$12,4,Distance_Matrix!$E$35:$DQ$35)/COUNTIF(Distance_Matrix!$E$12:$DQ$12,4))),IF(5=$E429,1E+099,IF(COUNTIF(Distance_Matrix!$E$12:$DQ$12,5)=0,1E+099,SUMIF(Distance_Matrix!$E$12:$DQ$12,5,Distance_Matrix!$E$35:$DQ$35)/COUNTIF(Distance_Matrix!$E$12:$DQ$12,5))),IF(6=$E429,1E+099,IF(COUNTIF(Distance_Matrix!$E$12:$DQ$12,6)=0,1E+099,SUMIF(Distance_Matrix!$E$12:$DQ$12,6,Distance_Matrix!$E$35:$DQ$35)/COUNTIF(Distance_Matrix!$E$12:$DQ$12,6))))</f>
        <v>1.64334065266647</v>
      </c>
      <c r="I429" s="17" t="n">
        <f aca="false">IF(COUNTIF(Distance_Matrix!$E$12:$DQ$12,$E429)&lt;=1,0,(H429-G429)/MAX(G429,H429))</f>
        <v>0.562056539316009</v>
      </c>
      <c r="X429" s="17" t="n">
        <f aca="false">SQRT(($B429-X$401)^2+($C429-X$402)^2+($D429-X$403)^2)</f>
        <v>4.85836723486541</v>
      </c>
      <c r="Y429" s="17" t="n">
        <f aca="false">SQRT(($B429-Y$401)^2+($C429-Y$402)^2+($D429-Y$403)^2)</f>
        <v>3.67419129732225</v>
      </c>
      <c r="Z429" s="17" t="n">
        <f aca="false">SQRT(($B429-Z$401)^2+($C429-Z$402)^2+($D429-Z$403)^2)</f>
        <v>0.984636652935809</v>
      </c>
      <c r="AA429" s="17" t="n">
        <f aca="false">SQRT(($B429-AA$401)^2+($C429-AA$402)^2+($D429-AA$403)^2)</f>
        <v>2.00843573506045</v>
      </c>
      <c r="AB429" s="17" t="n">
        <f aca="false">SQRT(($B429-AB$401)^2+($C429-AB$402)^2+($D429-AB$403)^2)</f>
        <v>2.79156150661578</v>
      </c>
      <c r="AC429" s="17" t="n">
        <f aca="false">SQRT(($B429-AC$401)^2+($C429-AC$402)^2+($D429-AC$403)^2)</f>
        <v>1.76867989841929</v>
      </c>
      <c r="AD429" s="63" t="n">
        <f aca="false">MATCH(MIN(X429:AC429),X429:AC429,0)</f>
        <v>3</v>
      </c>
      <c r="AF429" s="17" t="n">
        <f aca="false">SQRT(($B429-AF$401)^2+($C429-AF$402)^2+($D429-AF$403)^2)</f>
        <v>4.7437835837132</v>
      </c>
      <c r="AG429" s="17" t="n">
        <f aca="false">SQRT(($B429-AG$401)^2+($C429-AG$402)^2+($D429-AG$403)^2)</f>
        <v>3.07977598919079</v>
      </c>
      <c r="AH429" s="17" t="n">
        <f aca="false">SQRT(($B429-AH$401)^2+($C429-AH$402)^2+($D429-AH$403)^2)</f>
        <v>0.329362313629302</v>
      </c>
      <c r="AI429" s="17" t="n">
        <f aca="false">SQRT(($B429-AI$401)^2+($C429-AI$402)^2+($D429-AI$403)^2)</f>
        <v>2.09314853930539</v>
      </c>
      <c r="AJ429" s="17" t="n">
        <f aca="false">SQRT(($B429-AJ$401)^2+($C429-AJ$402)^2+($D429-AJ$403)^2)</f>
        <v>2.46772570420349</v>
      </c>
      <c r="AK429" s="17" t="n">
        <f aca="false">SQRT(($B429-AK$401)^2+($C429-AK$402)^2+($D429-AK$403)^2)</f>
        <v>1.65077059643001</v>
      </c>
      <c r="AL429" s="63" t="n">
        <f aca="false">MATCH(MIN(AF429:AK429),AF429:AK429,0)</f>
        <v>3</v>
      </c>
      <c r="AN429" s="17" t="n">
        <f aca="false">SQRT(($B429-AN$401)^2+($C429-AN$402)^2+($D429-AN$403)^2)</f>
        <v>4.7437835837132</v>
      </c>
      <c r="AO429" s="17" t="n">
        <f aca="false">SQRT(($B429-AO$401)^2+($C429-AO$402)^2+($D429-AO$403)^2)</f>
        <v>3.03944314257629</v>
      </c>
      <c r="AP429" s="17" t="n">
        <f aca="false">SQRT(($B429-AP$401)^2+($C429-AP$402)^2+($D429-AP$403)^2)</f>
        <v>0.315769065787059</v>
      </c>
      <c r="AQ429" s="17" t="n">
        <f aca="false">SQRT(($B429-AQ$401)^2+($C429-AQ$402)^2+($D429-AQ$403)^2)</f>
        <v>2.11851600139504</v>
      </c>
      <c r="AR429" s="17" t="n">
        <f aca="false">SQRT(($B429-AR$401)^2+($C429-AR$402)^2+($D429-AR$403)^2)</f>
        <v>2.46772570420349</v>
      </c>
      <c r="AS429" s="17" t="n">
        <f aca="false">SQRT(($B429-AS$401)^2+($C429-AS$402)^2+($D429-AS$403)^2)</f>
        <v>1.615843748744</v>
      </c>
      <c r="AT429" s="63" t="n">
        <f aca="false">MATCH(MIN(AN429:AS429),AN429:AS429,0)</f>
        <v>3</v>
      </c>
      <c r="AV429" s="17" t="n">
        <f aca="false">SQRT(($B429-AV$401)^2+($C429-AV$402)^2+($D429-AV$403)^2)</f>
        <v>4.7437835837132</v>
      </c>
      <c r="AW429" s="17" t="n">
        <f aca="false">SQRT(($B429-AW$401)^2+($C429-AW$402)^2+($D429-AW$403)^2)</f>
        <v>3.01261148983006</v>
      </c>
      <c r="AX429" s="17" t="n">
        <f aca="false">SQRT(($B429-AX$401)^2+($C429-AX$402)^2+($D429-AX$403)^2)</f>
        <v>0.315769065787059</v>
      </c>
      <c r="AY429" s="17" t="n">
        <f aca="false">SQRT(($B429-AY$401)^2+($C429-AY$402)^2+($D429-AY$403)^2)</f>
        <v>2.11851600139504</v>
      </c>
      <c r="AZ429" s="17" t="n">
        <f aca="false">SQRT(($B429-AZ$401)^2+($C429-AZ$402)^2+($D429-AZ$403)^2)</f>
        <v>2.46772570420349</v>
      </c>
      <c r="BA429" s="17" t="n">
        <f aca="false">SQRT(($B429-BA$401)^2+($C429-BA$402)^2+($D429-BA$403)^2)</f>
        <v>1.59412291973159</v>
      </c>
      <c r="BB429" s="63" t="n">
        <f aca="false">MATCH(MIN(AV429:BA429),AV429:BA429,0)</f>
        <v>3</v>
      </c>
      <c r="BD429" s="17" t="n">
        <f aca="false">SQRT(($B429-BD$401)^2+($C429-BD$402)^2+($D429-BD$403)^2)</f>
        <v>4.7437835837132</v>
      </c>
      <c r="BE429" s="17" t="n">
        <f aca="false">SQRT(($B429-BE$401)^2+($C429-BE$402)^2+($D429-BE$403)^2)</f>
        <v>2.98728007257273</v>
      </c>
      <c r="BF429" s="17" t="n">
        <f aca="false">SQRT(($B429-BF$401)^2+($C429-BF$402)^2+($D429-BF$403)^2)</f>
        <v>0.315769065787059</v>
      </c>
      <c r="BG429" s="17" t="n">
        <f aca="false">SQRT(($B429-BG$401)^2+($C429-BG$402)^2+($D429-BG$403)^2)</f>
        <v>2.11851600139504</v>
      </c>
      <c r="BH429" s="17" t="n">
        <f aca="false">SQRT(($B429-BH$401)^2+($C429-BH$402)^2+($D429-BH$403)^2)</f>
        <v>2.46772570420349</v>
      </c>
      <c r="BI429" s="17" t="n">
        <f aca="false">SQRT(($B429-BI$401)^2+($C429-BI$402)^2+($D429-BI$403)^2)</f>
        <v>1.57097088876832</v>
      </c>
      <c r="BJ429" s="63" t="n">
        <f aca="false">MATCH(MIN(BD429:BI429),BD429:BI429,0)</f>
        <v>3</v>
      </c>
      <c r="BL429" s="17" t="n">
        <f aca="false">SQRT(($B429-BL$401)^2+($C429-BL$402)^2+($D429-BL$403)^2)</f>
        <v>4.7437835837132</v>
      </c>
      <c r="BM429" s="17" t="n">
        <f aca="false">SQRT(($B429-BM$401)^2+($C429-BM$402)^2+($D429-BM$403)^2)</f>
        <v>2.98728007257273</v>
      </c>
      <c r="BN429" s="17" t="n">
        <f aca="false">SQRT(($B429-BN$401)^2+($C429-BN$402)^2+($D429-BN$403)^2)</f>
        <v>0.315769065787059</v>
      </c>
      <c r="BO429" s="17" t="n">
        <f aca="false">SQRT(($B429-BO$401)^2+($C429-BO$402)^2+($D429-BO$403)^2)</f>
        <v>2.11851600139504</v>
      </c>
      <c r="BP429" s="17" t="n">
        <f aca="false">SQRT(($B429-BP$401)^2+($C429-BP$402)^2+($D429-BP$403)^2)</f>
        <v>2.46772570420349</v>
      </c>
      <c r="BQ429" s="17" t="n">
        <f aca="false">SQRT(($B429-BQ$401)^2+($C429-BQ$402)^2+($D429-BQ$403)^2)</f>
        <v>1.57097088876832</v>
      </c>
      <c r="BR429" s="63" t="n">
        <f aca="false">MATCH(MIN(BL429:BQ429),BL429:BQ429,0)</f>
        <v>3</v>
      </c>
      <c r="BT429" s="17" t="n">
        <f aca="false">SQRT(($B429-BT$401)^2+($C429-BT$402)^2+($D429-BT$403)^2)</f>
        <v>4.7437835837132</v>
      </c>
      <c r="BU429" s="17" t="n">
        <f aca="false">SQRT(($B429-BU$401)^2+($C429-BU$402)^2+($D429-BU$403)^2)</f>
        <v>2.98728007257273</v>
      </c>
      <c r="BV429" s="17" t="n">
        <f aca="false">SQRT(($B429-BV$401)^2+($C429-BV$402)^2+($D429-BV$403)^2)</f>
        <v>0.315769065787059</v>
      </c>
      <c r="BW429" s="17" t="n">
        <f aca="false">SQRT(($B429-BW$401)^2+($C429-BW$402)^2+($D429-BW$403)^2)</f>
        <v>2.11851600139504</v>
      </c>
      <c r="BX429" s="17" t="n">
        <f aca="false">SQRT(($B429-BX$401)^2+($C429-BX$402)^2+($D429-BX$403)^2)</f>
        <v>2.46772570420349</v>
      </c>
      <c r="BY429" s="17" t="n">
        <f aca="false">SQRT(($B429-BY$401)^2+($C429-BY$402)^2+($D429-BY$403)^2)</f>
        <v>1.57097088876832</v>
      </c>
      <c r="BZ429" s="63" t="n">
        <f aca="false">MATCH(MIN(BT429:BY429),BT429:BY429,0)</f>
        <v>3</v>
      </c>
      <c r="CB429" s="17" t="n">
        <f aca="false">SQRT(($B429-CB$401)^2+($C429-CB$402)^2+($D429-CB$403)^2)</f>
        <v>4.7437835837132</v>
      </c>
      <c r="CC429" s="17" t="n">
        <f aca="false">SQRT(($B429-CC$401)^2+($C429-CC$402)^2+($D429-CC$403)^2)</f>
        <v>2.98728007257273</v>
      </c>
      <c r="CD429" s="17" t="n">
        <f aca="false">SQRT(($B429-CD$401)^2+($C429-CD$402)^2+($D429-CD$403)^2)</f>
        <v>0.315769065787059</v>
      </c>
      <c r="CE429" s="17" t="n">
        <f aca="false">SQRT(($B429-CE$401)^2+($C429-CE$402)^2+($D429-CE$403)^2)</f>
        <v>2.11851600139504</v>
      </c>
      <c r="CF429" s="17" t="n">
        <f aca="false">SQRT(($B429-CF$401)^2+($C429-CF$402)^2+($D429-CF$403)^2)</f>
        <v>2.46772570420349</v>
      </c>
      <c r="CG429" s="17" t="n">
        <f aca="false">SQRT(($B429-CG$401)^2+($C429-CG$402)^2+($D429-CG$403)^2)</f>
        <v>1.57097088876832</v>
      </c>
      <c r="CH429" s="63" t="n">
        <f aca="false">MATCH(MIN(CB429:CG429),CB429:CG429,0)</f>
        <v>3</v>
      </c>
      <c r="CJ429" s="17" t="n">
        <f aca="false">SQRT(($B429-CJ$401)^2+($C429-CJ$402)^2+($D429-CJ$403)^2)</f>
        <v>4.7437835837132</v>
      </c>
      <c r="CK429" s="17" t="n">
        <f aca="false">SQRT(($B429-CK$401)^2+($C429-CK$402)^2+($D429-CK$403)^2)</f>
        <v>2.98728007257273</v>
      </c>
      <c r="CL429" s="17" t="n">
        <f aca="false">SQRT(($B429-CL$401)^2+($C429-CL$402)^2+($D429-CL$403)^2)</f>
        <v>0.315769065787059</v>
      </c>
      <c r="CM429" s="17" t="n">
        <f aca="false">SQRT(($B429-CM$401)^2+($C429-CM$402)^2+($D429-CM$403)^2)</f>
        <v>2.11851600139504</v>
      </c>
      <c r="CN429" s="17" t="n">
        <f aca="false">SQRT(($B429-CN$401)^2+($C429-CN$402)^2+($D429-CN$403)^2)</f>
        <v>2.46772570420349</v>
      </c>
      <c r="CO429" s="17" t="n">
        <f aca="false">SQRT(($B429-CO$401)^2+($C429-CO$402)^2+($D429-CO$403)^2)</f>
        <v>1.57097088876832</v>
      </c>
      <c r="CP429" s="63" t="n">
        <f aca="false">MATCH(MIN(CJ429:CO429),CJ429:CO429,0)</f>
        <v>3</v>
      </c>
      <c r="CR429" s="17" t="n">
        <f aca="false">SQRT(($B429-CR$401)^2+($C429-CR$402)^2+($D429-CR$403)^2)</f>
        <v>4.7437835837132</v>
      </c>
      <c r="CS429" s="17" t="n">
        <f aca="false">SQRT(($B429-CS$401)^2+($C429-CS$402)^2+($D429-CS$403)^2)</f>
        <v>2.98728007257273</v>
      </c>
      <c r="CT429" s="17" t="n">
        <f aca="false">SQRT(($B429-CT$401)^2+($C429-CT$402)^2+($D429-CT$403)^2)</f>
        <v>0.315769065787059</v>
      </c>
      <c r="CU429" s="17" t="n">
        <f aca="false">SQRT(($B429-CU$401)^2+($C429-CU$402)^2+($D429-CU$403)^2)</f>
        <v>2.11851600139504</v>
      </c>
      <c r="CV429" s="17" t="n">
        <f aca="false">SQRT(($B429-CV$401)^2+($C429-CV$402)^2+($D429-CV$403)^2)</f>
        <v>2.46772570420349</v>
      </c>
      <c r="CW429" s="17" t="n">
        <f aca="false">SQRT(($B429-CW$401)^2+($C429-CW$402)^2+($D429-CW$403)^2)</f>
        <v>1.57097088876832</v>
      </c>
      <c r="CX429" s="63" t="n">
        <f aca="false">MATCH(MIN(CR429:CW429),CR429:CW429,0)</f>
        <v>3</v>
      </c>
      <c r="CZ429" s="17" t="n">
        <f aca="false">SQRT(($B429-CZ$401)^2+($C429-CZ$402)^2+($D429-CZ$403)^2)</f>
        <v>4.7437835837132</v>
      </c>
      <c r="DA429" s="17" t="n">
        <f aca="false">SQRT(($B429-DA$401)^2+($C429-DA$402)^2+($D429-DA$403)^2)</f>
        <v>2.98728007257273</v>
      </c>
      <c r="DB429" s="17" t="n">
        <f aca="false">SQRT(($B429-DB$401)^2+($C429-DB$402)^2+($D429-DB$403)^2)</f>
        <v>0.315769065787059</v>
      </c>
      <c r="DC429" s="17" t="n">
        <f aca="false">SQRT(($B429-DC$401)^2+($C429-DC$402)^2+($D429-DC$403)^2)</f>
        <v>2.11851600139504</v>
      </c>
      <c r="DD429" s="17" t="n">
        <f aca="false">SQRT(($B429-DD$401)^2+($C429-DD$402)^2+($D429-DD$403)^2)</f>
        <v>2.46772570420349</v>
      </c>
      <c r="DE429" s="17" t="n">
        <f aca="false">SQRT(($B429-DE$401)^2+($C429-DE$402)^2+($D429-DE$403)^2)</f>
        <v>1.57097088876832</v>
      </c>
      <c r="DF429" s="63" t="n">
        <f aca="false">MATCH(MIN(CZ429:DE429),CZ429:DE429,0)</f>
        <v>3</v>
      </c>
      <c r="DH429" s="17" t="n">
        <f aca="false">SQRT(($B429-DH$401)^2+($C429-DH$402)^2+($D429-DH$403)^2)</f>
        <v>4.7437835837132</v>
      </c>
      <c r="DI429" s="17" t="n">
        <f aca="false">SQRT(($B429-DI$401)^2+($C429-DI$402)^2+($D429-DI$403)^2)</f>
        <v>2.98728007257273</v>
      </c>
      <c r="DJ429" s="17" t="n">
        <f aca="false">SQRT(($B429-DJ$401)^2+($C429-DJ$402)^2+($D429-DJ$403)^2)</f>
        <v>0.315769065787059</v>
      </c>
      <c r="DK429" s="17" t="n">
        <f aca="false">SQRT(($B429-DK$401)^2+($C429-DK$402)^2+($D429-DK$403)^2)</f>
        <v>2.11851600139504</v>
      </c>
      <c r="DL429" s="17" t="n">
        <f aca="false">SQRT(($B429-DL$401)^2+($C429-DL$402)^2+($D429-DL$403)^2)</f>
        <v>2.46772570420349</v>
      </c>
      <c r="DM429" s="17" t="n">
        <f aca="false">SQRT(($B429-DM$401)^2+($C429-DM$402)^2+($D429-DM$403)^2)</f>
        <v>1.57097088876832</v>
      </c>
      <c r="DN429" s="63" t="n">
        <f aca="false">MATCH(MIN(DH429:DM429),DH429:DM429,0)</f>
        <v>3</v>
      </c>
    </row>
    <row r="430" customFormat="false" ht="15" hidden="false" customHeight="false" outlineLevel="0" collapsed="false">
      <c r="A430" s="36" t="str">
        <f aca="false">KMeans_Data!A27</f>
        <v>Dir Upper</v>
      </c>
      <c r="B430" s="17" t="n">
        <f aca="false">KMeans_Data!H27</f>
        <v>0.783501975751688</v>
      </c>
      <c r="C430" s="17" t="n">
        <f aca="false">KMeans_Data!I27</f>
        <v>0.160512589624996</v>
      </c>
      <c r="D430" s="17" t="n">
        <f aca="false">KMeans_Data!J27</f>
        <v>0.959677371956339</v>
      </c>
      <c r="E430" s="63" t="n">
        <f aca="false">DN430</f>
        <v>3</v>
      </c>
      <c r="F430" s="38" t="n">
        <f aca="false">($B430-INDEX($L$401:$Q$401,E430))^2+($C430-INDEX($L$402:$Q$402,E430))^2+($D430-INDEX($L$403:$Q$403,E430))^2</f>
        <v>0.450485826511055</v>
      </c>
      <c r="G430" s="17" t="n">
        <f aca="false">IF(COUNTIF(Distance_Matrix!$E$12:$DQ$12,$E430)&lt;=1,0,SUMIF(Distance_Matrix!$E$12:$DQ$12,$E430,Distance_Matrix!$E$36:$DQ$36)/(COUNTIF(Distance_Matrix!$E$12:$DQ$12,$E430)-1))</f>
        <v>0.90509691758032</v>
      </c>
      <c r="H430" s="17" t="n">
        <f aca="false">MIN(IF(1=$E430,1E+099,IF(COUNTIF(Distance_Matrix!$E$12:$DQ$12,1)=0,1E+099,SUMIF(Distance_Matrix!$E$12:$DQ$12,1,Distance_Matrix!$E$36:$DQ$36)/COUNTIF(Distance_Matrix!$E$12:$DQ$12,1))),IF(2=$E430,1E+099,IF(COUNTIF(Distance_Matrix!$E$12:$DQ$12,2)=0,1E+099,SUMIF(Distance_Matrix!$E$12:$DQ$12,2,Distance_Matrix!$E$36:$DQ$36)/COUNTIF(Distance_Matrix!$E$12:$DQ$12,2))),IF(3=$E430,1E+099,IF(COUNTIF(Distance_Matrix!$E$12:$DQ$12,3)=0,1E+099,SUMIF(Distance_Matrix!$E$12:$DQ$12,3,Distance_Matrix!$E$36:$DQ$36)/COUNTIF(Distance_Matrix!$E$12:$DQ$12,3))),IF(4=$E430,1E+099,IF(COUNTIF(Distance_Matrix!$E$12:$DQ$12,4)=0,1E+099,SUMIF(Distance_Matrix!$E$12:$DQ$12,4,Distance_Matrix!$E$36:$DQ$36)/COUNTIF(Distance_Matrix!$E$12:$DQ$12,4))),IF(5=$E430,1E+099,IF(COUNTIF(Distance_Matrix!$E$12:$DQ$12,5)=0,1E+099,SUMIF(Distance_Matrix!$E$12:$DQ$12,5,Distance_Matrix!$E$36:$DQ$36)/COUNTIF(Distance_Matrix!$E$12:$DQ$12,5))),IF(6=$E430,1E+099,IF(COUNTIF(Distance_Matrix!$E$12:$DQ$12,6)=0,1E+099,SUMIF(Distance_Matrix!$E$12:$DQ$12,6,Distance_Matrix!$E$36:$DQ$36)/COUNTIF(Distance_Matrix!$E$12:$DQ$12,6))))</f>
        <v>1.40305710445367</v>
      </c>
      <c r="I430" s="17" t="n">
        <f aca="false">IF(COUNTIF(Distance_Matrix!$E$12:$DQ$12,$E430)&lt;=1,0,(H430-G430)/MAX(G430,H430))</f>
        <v>0.354910848099262</v>
      </c>
      <c r="X430" s="17" t="n">
        <f aca="false">SQRT(($B430-X$401)^2+($C430-X$402)^2+($D430-X$403)^2)</f>
        <v>5.14816911939323</v>
      </c>
      <c r="Y430" s="17" t="n">
        <f aca="false">SQRT(($B430-Y$401)^2+($C430-Y$402)^2+($D430-Y$403)^2)</f>
        <v>3.65029895120111</v>
      </c>
      <c r="Z430" s="17" t="n">
        <f aca="false">SQRT(($B430-Z$401)^2+($C430-Z$402)^2+($D430-Z$403)^2)</f>
        <v>0.61063359087127</v>
      </c>
      <c r="AA430" s="17" t="n">
        <f aca="false">SQRT(($B430-AA$401)^2+($C430-AA$402)^2+($D430-AA$403)^2)</f>
        <v>2.13211842997744</v>
      </c>
      <c r="AB430" s="17" t="n">
        <f aca="false">SQRT(($B430-AB$401)^2+($C430-AB$402)^2+($D430-AB$403)^2)</f>
        <v>3.0079368972061</v>
      </c>
      <c r="AC430" s="17" t="n">
        <f aca="false">SQRT(($B430-AC$401)^2+($C430-AC$402)^2+($D430-AC$403)^2)</f>
        <v>1.55672690781499</v>
      </c>
      <c r="AD430" s="63" t="n">
        <f aca="false">MATCH(MIN(X430:AC430),X430:AC430,0)</f>
        <v>3</v>
      </c>
      <c r="AF430" s="17" t="n">
        <f aca="false">SQRT(($B430-AF$401)^2+($C430-AF$402)^2+($D430-AF$403)^2)</f>
        <v>5.06699919568682</v>
      </c>
      <c r="AG430" s="17" t="n">
        <f aca="false">SQRT(($B430-AG$401)^2+($C430-AG$402)^2+($D430-AG$403)^2)</f>
        <v>3.05097236772858</v>
      </c>
      <c r="AH430" s="17" t="n">
        <f aca="false">SQRT(($B430-AH$401)^2+($C430-AH$402)^2+($D430-AH$403)^2)</f>
        <v>0.679611303326157</v>
      </c>
      <c r="AI430" s="17" t="n">
        <f aca="false">SQRT(($B430-AI$401)^2+($C430-AI$402)^2+($D430-AI$403)^2)</f>
        <v>2.04726354786561</v>
      </c>
      <c r="AJ430" s="17" t="n">
        <f aca="false">SQRT(($B430-AJ$401)^2+($C430-AJ$402)^2+($D430-AJ$403)^2)</f>
        <v>2.83828665564853</v>
      </c>
      <c r="AK430" s="17" t="n">
        <f aca="false">SQRT(($B430-AK$401)^2+($C430-AK$402)^2+($D430-AK$403)^2)</f>
        <v>1.42214305186919</v>
      </c>
      <c r="AL430" s="63" t="n">
        <f aca="false">MATCH(MIN(AF430:AK430),AF430:AK430,0)</f>
        <v>3</v>
      </c>
      <c r="AN430" s="17" t="n">
        <f aca="false">SQRT(($B430-AN$401)^2+($C430-AN$402)^2+($D430-AN$403)^2)</f>
        <v>5.06699919568682</v>
      </c>
      <c r="AO430" s="17" t="n">
        <f aca="false">SQRT(($B430-AO$401)^2+($C430-AO$402)^2+($D430-AO$403)^2)</f>
        <v>3.00743248568447</v>
      </c>
      <c r="AP430" s="17" t="n">
        <f aca="false">SQRT(($B430-AP$401)^2+($C430-AP$402)^2+($D430-AP$403)^2)</f>
        <v>0.671182409268192</v>
      </c>
      <c r="AQ430" s="17" t="n">
        <f aca="false">SQRT(($B430-AQ$401)^2+($C430-AQ$402)^2+($D430-AQ$403)^2)</f>
        <v>2.06472552595244</v>
      </c>
      <c r="AR430" s="17" t="n">
        <f aca="false">SQRT(($B430-AR$401)^2+($C430-AR$402)^2+($D430-AR$403)^2)</f>
        <v>2.83828665564853</v>
      </c>
      <c r="AS430" s="17" t="n">
        <f aca="false">SQRT(($B430-AS$401)^2+($C430-AS$402)^2+($D430-AS$403)^2)</f>
        <v>1.37836593816157</v>
      </c>
      <c r="AT430" s="63" t="n">
        <f aca="false">MATCH(MIN(AN430:AS430),AN430:AS430,0)</f>
        <v>3</v>
      </c>
      <c r="AV430" s="17" t="n">
        <f aca="false">SQRT(($B430-AV$401)^2+($C430-AV$402)^2+($D430-AV$403)^2)</f>
        <v>5.06699919568682</v>
      </c>
      <c r="AW430" s="17" t="n">
        <f aca="false">SQRT(($B430-AW$401)^2+($C430-AW$402)^2+($D430-AW$403)^2)</f>
        <v>2.97718081501073</v>
      </c>
      <c r="AX430" s="17" t="n">
        <f aca="false">SQRT(($B430-AX$401)^2+($C430-AX$402)^2+($D430-AX$403)^2)</f>
        <v>0.671182409268192</v>
      </c>
      <c r="AY430" s="17" t="n">
        <f aca="false">SQRT(($B430-AY$401)^2+($C430-AY$402)^2+($D430-AY$403)^2)</f>
        <v>2.06472552595244</v>
      </c>
      <c r="AZ430" s="17" t="n">
        <f aca="false">SQRT(($B430-AZ$401)^2+($C430-AZ$402)^2+($D430-AZ$403)^2)</f>
        <v>2.83828665564853</v>
      </c>
      <c r="BA430" s="17" t="n">
        <f aca="false">SQRT(($B430-BA$401)^2+($C430-BA$402)^2+($D430-BA$403)^2)</f>
        <v>1.35247479469518</v>
      </c>
      <c r="BB430" s="63" t="n">
        <f aca="false">MATCH(MIN(AV430:BA430),AV430:BA430,0)</f>
        <v>3</v>
      </c>
      <c r="BD430" s="17" t="n">
        <f aca="false">SQRT(($B430-BD$401)^2+($C430-BD$402)^2+($D430-BD$403)^2)</f>
        <v>5.06699919568682</v>
      </c>
      <c r="BE430" s="17" t="n">
        <f aca="false">SQRT(($B430-BE$401)^2+($C430-BE$402)^2+($D430-BE$403)^2)</f>
        <v>2.94825382943893</v>
      </c>
      <c r="BF430" s="17" t="n">
        <f aca="false">SQRT(($B430-BF$401)^2+($C430-BF$402)^2+($D430-BF$403)^2)</f>
        <v>0.671182409268192</v>
      </c>
      <c r="BG430" s="17" t="n">
        <f aca="false">SQRT(($B430-BG$401)^2+($C430-BG$402)^2+($D430-BG$403)^2)</f>
        <v>2.06472552595244</v>
      </c>
      <c r="BH430" s="17" t="n">
        <f aca="false">SQRT(($B430-BH$401)^2+($C430-BH$402)^2+($D430-BH$403)^2)</f>
        <v>2.83828665564853</v>
      </c>
      <c r="BI430" s="17" t="n">
        <f aca="false">SQRT(($B430-BI$401)^2+($C430-BI$402)^2+($D430-BI$403)^2)</f>
        <v>1.32539631078818</v>
      </c>
      <c r="BJ430" s="63" t="n">
        <f aca="false">MATCH(MIN(BD430:BI430),BD430:BI430,0)</f>
        <v>3</v>
      </c>
      <c r="BL430" s="17" t="n">
        <f aca="false">SQRT(($B430-BL$401)^2+($C430-BL$402)^2+($D430-BL$403)^2)</f>
        <v>5.06699919568682</v>
      </c>
      <c r="BM430" s="17" t="n">
        <f aca="false">SQRT(($B430-BM$401)^2+($C430-BM$402)^2+($D430-BM$403)^2)</f>
        <v>2.94825382943893</v>
      </c>
      <c r="BN430" s="17" t="n">
        <f aca="false">SQRT(($B430-BN$401)^2+($C430-BN$402)^2+($D430-BN$403)^2)</f>
        <v>0.671182409268192</v>
      </c>
      <c r="BO430" s="17" t="n">
        <f aca="false">SQRT(($B430-BO$401)^2+($C430-BO$402)^2+($D430-BO$403)^2)</f>
        <v>2.06472552595244</v>
      </c>
      <c r="BP430" s="17" t="n">
        <f aca="false">SQRT(($B430-BP$401)^2+($C430-BP$402)^2+($D430-BP$403)^2)</f>
        <v>2.83828665564853</v>
      </c>
      <c r="BQ430" s="17" t="n">
        <f aca="false">SQRT(($B430-BQ$401)^2+($C430-BQ$402)^2+($D430-BQ$403)^2)</f>
        <v>1.32539631078818</v>
      </c>
      <c r="BR430" s="63" t="n">
        <f aca="false">MATCH(MIN(BL430:BQ430),BL430:BQ430,0)</f>
        <v>3</v>
      </c>
      <c r="BT430" s="17" t="n">
        <f aca="false">SQRT(($B430-BT$401)^2+($C430-BT$402)^2+($D430-BT$403)^2)</f>
        <v>5.06699919568682</v>
      </c>
      <c r="BU430" s="17" t="n">
        <f aca="false">SQRT(($B430-BU$401)^2+($C430-BU$402)^2+($D430-BU$403)^2)</f>
        <v>2.94825382943893</v>
      </c>
      <c r="BV430" s="17" t="n">
        <f aca="false">SQRT(($B430-BV$401)^2+($C430-BV$402)^2+($D430-BV$403)^2)</f>
        <v>0.671182409268192</v>
      </c>
      <c r="BW430" s="17" t="n">
        <f aca="false">SQRT(($B430-BW$401)^2+($C430-BW$402)^2+($D430-BW$403)^2)</f>
        <v>2.06472552595244</v>
      </c>
      <c r="BX430" s="17" t="n">
        <f aca="false">SQRT(($B430-BX$401)^2+($C430-BX$402)^2+($D430-BX$403)^2)</f>
        <v>2.83828665564853</v>
      </c>
      <c r="BY430" s="17" t="n">
        <f aca="false">SQRT(($B430-BY$401)^2+($C430-BY$402)^2+($D430-BY$403)^2)</f>
        <v>1.32539631078818</v>
      </c>
      <c r="BZ430" s="63" t="n">
        <f aca="false">MATCH(MIN(BT430:BY430),BT430:BY430,0)</f>
        <v>3</v>
      </c>
      <c r="CB430" s="17" t="n">
        <f aca="false">SQRT(($B430-CB$401)^2+($C430-CB$402)^2+($D430-CB$403)^2)</f>
        <v>5.06699919568682</v>
      </c>
      <c r="CC430" s="17" t="n">
        <f aca="false">SQRT(($B430-CC$401)^2+($C430-CC$402)^2+($D430-CC$403)^2)</f>
        <v>2.94825382943893</v>
      </c>
      <c r="CD430" s="17" t="n">
        <f aca="false">SQRT(($B430-CD$401)^2+($C430-CD$402)^2+($D430-CD$403)^2)</f>
        <v>0.671182409268192</v>
      </c>
      <c r="CE430" s="17" t="n">
        <f aca="false">SQRT(($B430-CE$401)^2+($C430-CE$402)^2+($D430-CE$403)^2)</f>
        <v>2.06472552595244</v>
      </c>
      <c r="CF430" s="17" t="n">
        <f aca="false">SQRT(($B430-CF$401)^2+($C430-CF$402)^2+($D430-CF$403)^2)</f>
        <v>2.83828665564853</v>
      </c>
      <c r="CG430" s="17" t="n">
        <f aca="false">SQRT(($B430-CG$401)^2+($C430-CG$402)^2+($D430-CG$403)^2)</f>
        <v>1.32539631078818</v>
      </c>
      <c r="CH430" s="63" t="n">
        <f aca="false">MATCH(MIN(CB430:CG430),CB430:CG430,0)</f>
        <v>3</v>
      </c>
      <c r="CJ430" s="17" t="n">
        <f aca="false">SQRT(($B430-CJ$401)^2+($C430-CJ$402)^2+($D430-CJ$403)^2)</f>
        <v>5.06699919568682</v>
      </c>
      <c r="CK430" s="17" t="n">
        <f aca="false">SQRT(($B430-CK$401)^2+($C430-CK$402)^2+($D430-CK$403)^2)</f>
        <v>2.94825382943893</v>
      </c>
      <c r="CL430" s="17" t="n">
        <f aca="false">SQRT(($B430-CL$401)^2+($C430-CL$402)^2+($D430-CL$403)^2)</f>
        <v>0.671182409268192</v>
      </c>
      <c r="CM430" s="17" t="n">
        <f aca="false">SQRT(($B430-CM$401)^2+($C430-CM$402)^2+($D430-CM$403)^2)</f>
        <v>2.06472552595244</v>
      </c>
      <c r="CN430" s="17" t="n">
        <f aca="false">SQRT(($B430-CN$401)^2+($C430-CN$402)^2+($D430-CN$403)^2)</f>
        <v>2.83828665564853</v>
      </c>
      <c r="CO430" s="17" t="n">
        <f aca="false">SQRT(($B430-CO$401)^2+($C430-CO$402)^2+($D430-CO$403)^2)</f>
        <v>1.32539631078818</v>
      </c>
      <c r="CP430" s="63" t="n">
        <f aca="false">MATCH(MIN(CJ430:CO430),CJ430:CO430,0)</f>
        <v>3</v>
      </c>
      <c r="CR430" s="17" t="n">
        <f aca="false">SQRT(($B430-CR$401)^2+($C430-CR$402)^2+($D430-CR$403)^2)</f>
        <v>5.06699919568682</v>
      </c>
      <c r="CS430" s="17" t="n">
        <f aca="false">SQRT(($B430-CS$401)^2+($C430-CS$402)^2+($D430-CS$403)^2)</f>
        <v>2.94825382943893</v>
      </c>
      <c r="CT430" s="17" t="n">
        <f aca="false">SQRT(($B430-CT$401)^2+($C430-CT$402)^2+($D430-CT$403)^2)</f>
        <v>0.671182409268192</v>
      </c>
      <c r="CU430" s="17" t="n">
        <f aca="false">SQRT(($B430-CU$401)^2+($C430-CU$402)^2+($D430-CU$403)^2)</f>
        <v>2.06472552595244</v>
      </c>
      <c r="CV430" s="17" t="n">
        <f aca="false">SQRT(($B430-CV$401)^2+($C430-CV$402)^2+($D430-CV$403)^2)</f>
        <v>2.83828665564853</v>
      </c>
      <c r="CW430" s="17" t="n">
        <f aca="false">SQRT(($B430-CW$401)^2+($C430-CW$402)^2+($D430-CW$403)^2)</f>
        <v>1.32539631078818</v>
      </c>
      <c r="CX430" s="63" t="n">
        <f aca="false">MATCH(MIN(CR430:CW430),CR430:CW430,0)</f>
        <v>3</v>
      </c>
      <c r="CZ430" s="17" t="n">
        <f aca="false">SQRT(($B430-CZ$401)^2+($C430-CZ$402)^2+($D430-CZ$403)^2)</f>
        <v>5.06699919568682</v>
      </c>
      <c r="DA430" s="17" t="n">
        <f aca="false">SQRT(($B430-DA$401)^2+($C430-DA$402)^2+($D430-DA$403)^2)</f>
        <v>2.94825382943893</v>
      </c>
      <c r="DB430" s="17" t="n">
        <f aca="false">SQRT(($B430-DB$401)^2+($C430-DB$402)^2+($D430-DB$403)^2)</f>
        <v>0.671182409268192</v>
      </c>
      <c r="DC430" s="17" t="n">
        <f aca="false">SQRT(($B430-DC$401)^2+($C430-DC$402)^2+($D430-DC$403)^2)</f>
        <v>2.06472552595244</v>
      </c>
      <c r="DD430" s="17" t="n">
        <f aca="false">SQRT(($B430-DD$401)^2+($C430-DD$402)^2+($D430-DD$403)^2)</f>
        <v>2.83828665564853</v>
      </c>
      <c r="DE430" s="17" t="n">
        <f aca="false">SQRT(($B430-DE$401)^2+($C430-DE$402)^2+($D430-DE$403)^2)</f>
        <v>1.32539631078818</v>
      </c>
      <c r="DF430" s="63" t="n">
        <f aca="false">MATCH(MIN(CZ430:DE430),CZ430:DE430,0)</f>
        <v>3</v>
      </c>
      <c r="DH430" s="17" t="n">
        <f aca="false">SQRT(($B430-DH$401)^2+($C430-DH$402)^2+($D430-DH$403)^2)</f>
        <v>5.06699919568682</v>
      </c>
      <c r="DI430" s="17" t="n">
        <f aca="false">SQRT(($B430-DI$401)^2+($C430-DI$402)^2+($D430-DI$403)^2)</f>
        <v>2.94825382943893</v>
      </c>
      <c r="DJ430" s="17" t="n">
        <f aca="false">SQRT(($B430-DJ$401)^2+($C430-DJ$402)^2+($D430-DJ$403)^2)</f>
        <v>0.671182409268192</v>
      </c>
      <c r="DK430" s="17" t="n">
        <f aca="false">SQRT(($B430-DK$401)^2+($C430-DK$402)^2+($D430-DK$403)^2)</f>
        <v>2.06472552595244</v>
      </c>
      <c r="DL430" s="17" t="n">
        <f aca="false">SQRT(($B430-DL$401)^2+($C430-DL$402)^2+($D430-DL$403)^2)</f>
        <v>2.83828665564853</v>
      </c>
      <c r="DM430" s="17" t="n">
        <f aca="false">SQRT(($B430-DM$401)^2+($C430-DM$402)^2+($D430-DM$403)^2)</f>
        <v>1.32539631078818</v>
      </c>
      <c r="DN430" s="63" t="n">
        <f aca="false">MATCH(MIN(DH430:DM430),DH430:DM430,0)</f>
        <v>3</v>
      </c>
    </row>
    <row r="431" customFormat="false" ht="15" hidden="false" customHeight="false" outlineLevel="0" collapsed="false">
      <c r="A431" s="36" t="str">
        <f aca="false">KMeans_Data!A28</f>
        <v>Khyber</v>
      </c>
      <c r="B431" s="17" t="n">
        <f aca="false">KMeans_Data!H28</f>
        <v>0.783501975751688</v>
      </c>
      <c r="C431" s="17" t="n">
        <f aca="false">KMeans_Data!I28</f>
        <v>0.547911385844501</v>
      </c>
      <c r="D431" s="17" t="n">
        <f aca="false">KMeans_Data!J28</f>
        <v>0.667151770949206</v>
      </c>
      <c r="E431" s="63" t="n">
        <f aca="false">DN431</f>
        <v>3</v>
      </c>
      <c r="F431" s="38" t="n">
        <f aca="false">($B431-INDEX($L$401:$Q$401,E431))^2+($C431-INDEX($L$402:$Q$402,E431))^2+($D431-INDEX($L$403:$Q$403,E431))^2</f>
        <v>0.150216267906309</v>
      </c>
      <c r="G431" s="17" t="n">
        <f aca="false">IF(COUNTIF(Distance_Matrix!$E$12:$DQ$12,$E431)&lt;=1,0,SUMIF(Distance_Matrix!$E$12:$DQ$12,$E431,Distance_Matrix!$E$37:$DQ$37)/(COUNTIF(Distance_Matrix!$E$12:$DQ$12,$E431)-1))</f>
        <v>0.744947827946826</v>
      </c>
      <c r="H431" s="17" t="n">
        <f aca="false">MIN(IF(1=$E431,1E+099,IF(COUNTIF(Distance_Matrix!$E$12:$DQ$12,1)=0,1E+099,SUMIF(Distance_Matrix!$E$12:$DQ$12,1,Distance_Matrix!$E$37:$DQ$37)/COUNTIF(Distance_Matrix!$E$12:$DQ$12,1))),IF(2=$E431,1E+099,IF(COUNTIF(Distance_Matrix!$E$12:$DQ$12,2)=0,1E+099,SUMIF(Distance_Matrix!$E$12:$DQ$12,2,Distance_Matrix!$E$37:$DQ$37)/COUNTIF(Distance_Matrix!$E$12:$DQ$12,2))),IF(3=$E431,1E+099,IF(COUNTIF(Distance_Matrix!$E$12:$DQ$12,3)=0,1E+099,SUMIF(Distance_Matrix!$E$12:$DQ$12,3,Distance_Matrix!$E$37:$DQ$37)/COUNTIF(Distance_Matrix!$E$12:$DQ$12,3))),IF(4=$E431,1E+099,IF(COUNTIF(Distance_Matrix!$E$12:$DQ$12,4)=0,1E+099,SUMIF(Distance_Matrix!$E$12:$DQ$12,4,Distance_Matrix!$E$37:$DQ$37)/COUNTIF(Distance_Matrix!$E$12:$DQ$12,4))),IF(5=$E431,1E+099,IF(COUNTIF(Distance_Matrix!$E$12:$DQ$12,5)=0,1E+099,SUMIF(Distance_Matrix!$E$12:$DQ$12,5,Distance_Matrix!$E$37:$DQ$37)/COUNTIF(Distance_Matrix!$E$12:$DQ$12,5))),IF(6=$E431,1E+099,IF(COUNTIF(Distance_Matrix!$E$12:$DQ$12,6)=0,1E+099,SUMIF(Distance_Matrix!$E$12:$DQ$12,6,Distance_Matrix!$E$37:$DQ$37)/COUNTIF(Distance_Matrix!$E$12:$DQ$12,6))))</f>
        <v>1.4840128820208</v>
      </c>
      <c r="I431" s="17" t="n">
        <f aca="false">IF(COUNTIF(Distance_Matrix!$E$12:$DQ$12,$E431)&lt;=1,0,(H431-G431)/MAX(G431,H431))</f>
        <v>0.498017950536641</v>
      </c>
      <c r="X431" s="17" t="n">
        <f aca="false">SQRT(($B431-X$401)^2+($C431-X$402)^2+($D431-X$403)^2)</f>
        <v>5.00758520888784</v>
      </c>
      <c r="Y431" s="17" t="n">
        <f aca="false">SQRT(($B431-Y$401)^2+($C431-Y$402)^2+($D431-Y$403)^2)</f>
        <v>3.60196382706207</v>
      </c>
      <c r="Z431" s="17" t="n">
        <f aca="false">SQRT(($B431-Z$401)^2+($C431-Z$402)^2+($D431-Z$403)^2)</f>
        <v>0.859235206666101</v>
      </c>
      <c r="AA431" s="17" t="n">
        <f aca="false">SQRT(($B431-AA$401)^2+($C431-AA$402)^2+($D431-AA$403)^2)</f>
        <v>1.94630525174013</v>
      </c>
      <c r="AB431" s="17" t="n">
        <f aca="false">SQRT(($B431-AB$401)^2+($C431-AB$402)^2+($D431-AB$403)^2)</f>
        <v>2.90803929872082</v>
      </c>
      <c r="AC431" s="17" t="n">
        <f aca="false">SQRT(($B431-AC$401)^2+($C431-AC$402)^2+($D431-AC$403)^2)</f>
        <v>1.64424658737459</v>
      </c>
      <c r="AD431" s="63" t="n">
        <f aca="false">MATCH(MIN(X431:AC431),X431:AC431,0)</f>
        <v>3</v>
      </c>
      <c r="AF431" s="17" t="n">
        <f aca="false">SQRT(($B431-AF$401)^2+($C431-AF$402)^2+($D431-AF$403)^2)</f>
        <v>4.90241299407267</v>
      </c>
      <c r="AG431" s="17" t="n">
        <f aca="false">SQRT(($B431-AG$401)^2+($C431-AG$402)^2+($D431-AG$403)^2)</f>
        <v>2.99490827466213</v>
      </c>
      <c r="AH431" s="17" t="n">
        <f aca="false">SQRT(($B431-AH$401)^2+($C431-AH$402)^2+($D431-AH$403)^2)</f>
        <v>0.403419833390159</v>
      </c>
      <c r="AI431" s="17" t="n">
        <f aca="false">SQRT(($B431-AI$401)^2+($C431-AI$402)^2+($D431-AI$403)^2)</f>
        <v>1.97630870782245</v>
      </c>
      <c r="AJ431" s="17" t="n">
        <f aca="false">SQRT(($B431-AJ$401)^2+($C431-AJ$402)^2+($D431-AJ$403)^2)</f>
        <v>2.6332452005485</v>
      </c>
      <c r="AK431" s="17" t="n">
        <f aca="false">SQRT(($B431-AK$401)^2+($C431-AK$402)^2+($D431-AK$403)^2)</f>
        <v>1.49101870535873</v>
      </c>
      <c r="AL431" s="63" t="n">
        <f aca="false">MATCH(MIN(AF431:AK431),AF431:AK431,0)</f>
        <v>3</v>
      </c>
      <c r="AN431" s="17" t="n">
        <f aca="false">SQRT(($B431-AN$401)^2+($C431-AN$402)^2+($D431-AN$403)^2)</f>
        <v>4.90241299407267</v>
      </c>
      <c r="AO431" s="17" t="n">
        <f aca="false">SQRT(($B431-AO$401)^2+($C431-AO$402)^2+($D431-AO$403)^2)</f>
        <v>2.9529307731798</v>
      </c>
      <c r="AP431" s="17" t="n">
        <f aca="false">SQRT(($B431-AP$401)^2+($C431-AP$402)^2+($D431-AP$403)^2)</f>
        <v>0.387577434722804</v>
      </c>
      <c r="AQ431" s="17" t="n">
        <f aca="false">SQRT(($B431-AQ$401)^2+($C431-AQ$402)^2+($D431-AQ$403)^2)</f>
        <v>1.9994233606992</v>
      </c>
      <c r="AR431" s="17" t="n">
        <f aca="false">SQRT(($B431-AR$401)^2+($C431-AR$402)^2+($D431-AR$403)^2)</f>
        <v>2.6332452005485</v>
      </c>
      <c r="AS431" s="17" t="n">
        <f aca="false">SQRT(($B431-AS$401)^2+($C431-AS$402)^2+($D431-AS$403)^2)</f>
        <v>1.45247794933715</v>
      </c>
      <c r="AT431" s="63" t="n">
        <f aca="false">MATCH(MIN(AN431:AS431),AN431:AS431,0)</f>
        <v>3</v>
      </c>
      <c r="AV431" s="17" t="n">
        <f aca="false">SQRT(($B431-AV$401)^2+($C431-AV$402)^2+($D431-AV$403)^2)</f>
        <v>4.90241299407267</v>
      </c>
      <c r="AW431" s="17" t="n">
        <f aca="false">SQRT(($B431-AW$401)^2+($C431-AW$402)^2+($D431-AW$403)^2)</f>
        <v>2.92481614895837</v>
      </c>
      <c r="AX431" s="17" t="n">
        <f aca="false">SQRT(($B431-AX$401)^2+($C431-AX$402)^2+($D431-AX$403)^2)</f>
        <v>0.387577434722804</v>
      </c>
      <c r="AY431" s="17" t="n">
        <f aca="false">SQRT(($B431-AY$401)^2+($C431-AY$402)^2+($D431-AY$403)^2)</f>
        <v>1.9994233606992</v>
      </c>
      <c r="AZ431" s="17" t="n">
        <f aca="false">SQRT(($B431-AZ$401)^2+($C431-AZ$402)^2+($D431-AZ$403)^2)</f>
        <v>2.6332452005485</v>
      </c>
      <c r="BA431" s="17" t="n">
        <f aca="false">SQRT(($B431-BA$401)^2+($C431-BA$402)^2+($D431-BA$403)^2)</f>
        <v>1.4292464527829</v>
      </c>
      <c r="BB431" s="63" t="n">
        <f aca="false">MATCH(MIN(AV431:BA431),AV431:BA431,0)</f>
        <v>3</v>
      </c>
      <c r="BD431" s="17" t="n">
        <f aca="false">SQRT(($B431-BD$401)^2+($C431-BD$402)^2+($D431-BD$403)^2)</f>
        <v>4.90241299407267</v>
      </c>
      <c r="BE431" s="17" t="n">
        <f aca="false">SQRT(($B431-BE$401)^2+($C431-BE$402)^2+($D431-BE$403)^2)</f>
        <v>2.89820620765188</v>
      </c>
      <c r="BF431" s="17" t="n">
        <f aca="false">SQRT(($B431-BF$401)^2+($C431-BF$402)^2+($D431-BF$403)^2)</f>
        <v>0.387577434722804</v>
      </c>
      <c r="BG431" s="17" t="n">
        <f aca="false">SQRT(($B431-BG$401)^2+($C431-BG$402)^2+($D431-BG$403)^2)</f>
        <v>1.9994233606992</v>
      </c>
      <c r="BH431" s="17" t="n">
        <f aca="false">SQRT(($B431-BH$401)^2+($C431-BH$402)^2+($D431-BH$403)^2)</f>
        <v>2.6332452005485</v>
      </c>
      <c r="BI431" s="17" t="n">
        <f aca="false">SQRT(($B431-BI$401)^2+($C431-BI$402)^2+($D431-BI$403)^2)</f>
        <v>1.40452154410851</v>
      </c>
      <c r="BJ431" s="63" t="n">
        <f aca="false">MATCH(MIN(BD431:BI431),BD431:BI431,0)</f>
        <v>3</v>
      </c>
      <c r="BL431" s="17" t="n">
        <f aca="false">SQRT(($B431-BL$401)^2+($C431-BL$402)^2+($D431-BL$403)^2)</f>
        <v>4.90241299407267</v>
      </c>
      <c r="BM431" s="17" t="n">
        <f aca="false">SQRT(($B431-BM$401)^2+($C431-BM$402)^2+($D431-BM$403)^2)</f>
        <v>2.89820620765188</v>
      </c>
      <c r="BN431" s="17" t="n">
        <f aca="false">SQRT(($B431-BN$401)^2+($C431-BN$402)^2+($D431-BN$403)^2)</f>
        <v>0.387577434722804</v>
      </c>
      <c r="BO431" s="17" t="n">
        <f aca="false">SQRT(($B431-BO$401)^2+($C431-BO$402)^2+($D431-BO$403)^2)</f>
        <v>1.9994233606992</v>
      </c>
      <c r="BP431" s="17" t="n">
        <f aca="false">SQRT(($B431-BP$401)^2+($C431-BP$402)^2+($D431-BP$403)^2)</f>
        <v>2.6332452005485</v>
      </c>
      <c r="BQ431" s="17" t="n">
        <f aca="false">SQRT(($B431-BQ$401)^2+($C431-BQ$402)^2+($D431-BQ$403)^2)</f>
        <v>1.40452154410851</v>
      </c>
      <c r="BR431" s="63" t="n">
        <f aca="false">MATCH(MIN(BL431:BQ431),BL431:BQ431,0)</f>
        <v>3</v>
      </c>
      <c r="BT431" s="17" t="n">
        <f aca="false">SQRT(($B431-BT$401)^2+($C431-BT$402)^2+($D431-BT$403)^2)</f>
        <v>4.90241299407267</v>
      </c>
      <c r="BU431" s="17" t="n">
        <f aca="false">SQRT(($B431-BU$401)^2+($C431-BU$402)^2+($D431-BU$403)^2)</f>
        <v>2.89820620765188</v>
      </c>
      <c r="BV431" s="17" t="n">
        <f aca="false">SQRT(($B431-BV$401)^2+($C431-BV$402)^2+($D431-BV$403)^2)</f>
        <v>0.387577434722804</v>
      </c>
      <c r="BW431" s="17" t="n">
        <f aca="false">SQRT(($B431-BW$401)^2+($C431-BW$402)^2+($D431-BW$403)^2)</f>
        <v>1.9994233606992</v>
      </c>
      <c r="BX431" s="17" t="n">
        <f aca="false">SQRT(($B431-BX$401)^2+($C431-BX$402)^2+($D431-BX$403)^2)</f>
        <v>2.6332452005485</v>
      </c>
      <c r="BY431" s="17" t="n">
        <f aca="false">SQRT(($B431-BY$401)^2+($C431-BY$402)^2+($D431-BY$403)^2)</f>
        <v>1.40452154410851</v>
      </c>
      <c r="BZ431" s="63" t="n">
        <f aca="false">MATCH(MIN(BT431:BY431),BT431:BY431,0)</f>
        <v>3</v>
      </c>
      <c r="CB431" s="17" t="n">
        <f aca="false">SQRT(($B431-CB$401)^2+($C431-CB$402)^2+($D431-CB$403)^2)</f>
        <v>4.90241299407267</v>
      </c>
      <c r="CC431" s="17" t="n">
        <f aca="false">SQRT(($B431-CC$401)^2+($C431-CC$402)^2+($D431-CC$403)^2)</f>
        <v>2.89820620765188</v>
      </c>
      <c r="CD431" s="17" t="n">
        <f aca="false">SQRT(($B431-CD$401)^2+($C431-CD$402)^2+($D431-CD$403)^2)</f>
        <v>0.387577434722804</v>
      </c>
      <c r="CE431" s="17" t="n">
        <f aca="false">SQRT(($B431-CE$401)^2+($C431-CE$402)^2+($D431-CE$403)^2)</f>
        <v>1.9994233606992</v>
      </c>
      <c r="CF431" s="17" t="n">
        <f aca="false">SQRT(($B431-CF$401)^2+($C431-CF$402)^2+($D431-CF$403)^2)</f>
        <v>2.6332452005485</v>
      </c>
      <c r="CG431" s="17" t="n">
        <f aca="false">SQRT(($B431-CG$401)^2+($C431-CG$402)^2+($D431-CG$403)^2)</f>
        <v>1.40452154410851</v>
      </c>
      <c r="CH431" s="63" t="n">
        <f aca="false">MATCH(MIN(CB431:CG431),CB431:CG431,0)</f>
        <v>3</v>
      </c>
      <c r="CJ431" s="17" t="n">
        <f aca="false">SQRT(($B431-CJ$401)^2+($C431-CJ$402)^2+($D431-CJ$403)^2)</f>
        <v>4.90241299407267</v>
      </c>
      <c r="CK431" s="17" t="n">
        <f aca="false">SQRT(($B431-CK$401)^2+($C431-CK$402)^2+($D431-CK$403)^2)</f>
        <v>2.89820620765188</v>
      </c>
      <c r="CL431" s="17" t="n">
        <f aca="false">SQRT(($B431-CL$401)^2+($C431-CL$402)^2+($D431-CL$403)^2)</f>
        <v>0.387577434722804</v>
      </c>
      <c r="CM431" s="17" t="n">
        <f aca="false">SQRT(($B431-CM$401)^2+($C431-CM$402)^2+($D431-CM$403)^2)</f>
        <v>1.9994233606992</v>
      </c>
      <c r="CN431" s="17" t="n">
        <f aca="false">SQRT(($B431-CN$401)^2+($C431-CN$402)^2+($D431-CN$403)^2)</f>
        <v>2.6332452005485</v>
      </c>
      <c r="CO431" s="17" t="n">
        <f aca="false">SQRT(($B431-CO$401)^2+($C431-CO$402)^2+($D431-CO$403)^2)</f>
        <v>1.40452154410851</v>
      </c>
      <c r="CP431" s="63" t="n">
        <f aca="false">MATCH(MIN(CJ431:CO431),CJ431:CO431,0)</f>
        <v>3</v>
      </c>
      <c r="CR431" s="17" t="n">
        <f aca="false">SQRT(($B431-CR$401)^2+($C431-CR$402)^2+($D431-CR$403)^2)</f>
        <v>4.90241299407267</v>
      </c>
      <c r="CS431" s="17" t="n">
        <f aca="false">SQRT(($B431-CS$401)^2+($C431-CS$402)^2+($D431-CS$403)^2)</f>
        <v>2.89820620765188</v>
      </c>
      <c r="CT431" s="17" t="n">
        <f aca="false">SQRT(($B431-CT$401)^2+($C431-CT$402)^2+($D431-CT$403)^2)</f>
        <v>0.387577434722804</v>
      </c>
      <c r="CU431" s="17" t="n">
        <f aca="false">SQRT(($B431-CU$401)^2+($C431-CU$402)^2+($D431-CU$403)^2)</f>
        <v>1.9994233606992</v>
      </c>
      <c r="CV431" s="17" t="n">
        <f aca="false">SQRT(($B431-CV$401)^2+($C431-CV$402)^2+($D431-CV$403)^2)</f>
        <v>2.6332452005485</v>
      </c>
      <c r="CW431" s="17" t="n">
        <f aca="false">SQRT(($B431-CW$401)^2+($C431-CW$402)^2+($D431-CW$403)^2)</f>
        <v>1.40452154410851</v>
      </c>
      <c r="CX431" s="63" t="n">
        <f aca="false">MATCH(MIN(CR431:CW431),CR431:CW431,0)</f>
        <v>3</v>
      </c>
      <c r="CZ431" s="17" t="n">
        <f aca="false">SQRT(($B431-CZ$401)^2+($C431-CZ$402)^2+($D431-CZ$403)^2)</f>
        <v>4.90241299407267</v>
      </c>
      <c r="DA431" s="17" t="n">
        <f aca="false">SQRT(($B431-DA$401)^2+($C431-DA$402)^2+($D431-DA$403)^2)</f>
        <v>2.89820620765188</v>
      </c>
      <c r="DB431" s="17" t="n">
        <f aca="false">SQRT(($B431-DB$401)^2+($C431-DB$402)^2+($D431-DB$403)^2)</f>
        <v>0.387577434722804</v>
      </c>
      <c r="DC431" s="17" t="n">
        <f aca="false">SQRT(($B431-DC$401)^2+($C431-DC$402)^2+($D431-DC$403)^2)</f>
        <v>1.9994233606992</v>
      </c>
      <c r="DD431" s="17" t="n">
        <f aca="false">SQRT(($B431-DD$401)^2+($C431-DD$402)^2+($D431-DD$403)^2)</f>
        <v>2.6332452005485</v>
      </c>
      <c r="DE431" s="17" t="n">
        <f aca="false">SQRT(($B431-DE$401)^2+($C431-DE$402)^2+($D431-DE$403)^2)</f>
        <v>1.40452154410851</v>
      </c>
      <c r="DF431" s="63" t="n">
        <f aca="false">MATCH(MIN(CZ431:DE431),CZ431:DE431,0)</f>
        <v>3</v>
      </c>
      <c r="DH431" s="17" t="n">
        <f aca="false">SQRT(($B431-DH$401)^2+($C431-DH$402)^2+($D431-DH$403)^2)</f>
        <v>4.90241299407267</v>
      </c>
      <c r="DI431" s="17" t="n">
        <f aca="false">SQRT(($B431-DI$401)^2+($C431-DI$402)^2+($D431-DI$403)^2)</f>
        <v>2.89820620765188</v>
      </c>
      <c r="DJ431" s="17" t="n">
        <f aca="false">SQRT(($B431-DJ$401)^2+($C431-DJ$402)^2+($D431-DJ$403)^2)</f>
        <v>0.387577434722804</v>
      </c>
      <c r="DK431" s="17" t="n">
        <f aca="false">SQRT(($B431-DK$401)^2+($C431-DK$402)^2+($D431-DK$403)^2)</f>
        <v>1.9994233606992</v>
      </c>
      <c r="DL431" s="17" t="n">
        <f aca="false">SQRT(($B431-DL$401)^2+($C431-DL$402)^2+($D431-DL$403)^2)</f>
        <v>2.6332452005485</v>
      </c>
      <c r="DM431" s="17" t="n">
        <f aca="false">SQRT(($B431-DM$401)^2+($C431-DM$402)^2+($D431-DM$403)^2)</f>
        <v>1.40452154410851</v>
      </c>
      <c r="DN431" s="63" t="n">
        <f aca="false">MATCH(MIN(DH431:DM431),DH431:DM431,0)</f>
        <v>3</v>
      </c>
    </row>
    <row r="432" customFormat="false" ht="15" hidden="false" customHeight="false" outlineLevel="0" collapsed="false">
      <c r="A432" s="36" t="str">
        <f aca="false">KMeans_Data!A29</f>
        <v>Bajaur</v>
      </c>
      <c r="B432" s="17" t="n">
        <f aca="false">KMeans_Data!H29</f>
        <v>0.761812586723473</v>
      </c>
      <c r="C432" s="17" t="n">
        <f aca="false">KMeans_Data!I29</f>
        <v>1.38107452085777</v>
      </c>
      <c r="D432" s="17" t="n">
        <f aca="false">KMeans_Data!J29</f>
        <v>0.727869076261203</v>
      </c>
      <c r="E432" s="63" t="n">
        <f aca="false">DN432</f>
        <v>3</v>
      </c>
      <c r="F432" s="38" t="n">
        <f aca="false">($B432-INDEX($L$401:$Q$401,E432))^2+($C432-INDEX($L$402:$Q$402,E432))^2+($D432-INDEX($L$403:$Q$403,E432))^2</f>
        <v>0.345162230147073</v>
      </c>
      <c r="G432" s="17" t="n">
        <f aca="false">IF(COUNTIF(Distance_Matrix!$E$12:$DQ$12,$E432)&lt;=1,0,SUMIF(Distance_Matrix!$E$12:$DQ$12,$E432,Distance_Matrix!$E$38:$DQ$38)/(COUNTIF(Distance_Matrix!$E$12:$DQ$12,$E432)-1))</f>
        <v>0.838011507437347</v>
      </c>
      <c r="H432" s="17" t="n">
        <f aca="false">MIN(IF(1=$E432,1E+099,IF(COUNTIF(Distance_Matrix!$E$12:$DQ$12,1)=0,1E+099,SUMIF(Distance_Matrix!$E$12:$DQ$12,1,Distance_Matrix!$E$38:$DQ$38)/COUNTIF(Distance_Matrix!$E$12:$DQ$12,1))),IF(2=$E432,1E+099,IF(COUNTIF(Distance_Matrix!$E$12:$DQ$12,2)=0,1E+099,SUMIF(Distance_Matrix!$E$12:$DQ$12,2,Distance_Matrix!$E$38:$DQ$38)/COUNTIF(Distance_Matrix!$E$12:$DQ$12,2))),IF(3=$E432,1E+099,IF(COUNTIF(Distance_Matrix!$E$12:$DQ$12,3)=0,1E+099,SUMIF(Distance_Matrix!$E$12:$DQ$12,3,Distance_Matrix!$E$38:$DQ$38)/COUNTIF(Distance_Matrix!$E$12:$DQ$12,3))),IF(4=$E432,1E+099,IF(COUNTIF(Distance_Matrix!$E$12:$DQ$12,4)=0,1E+099,SUMIF(Distance_Matrix!$E$12:$DQ$12,4,Distance_Matrix!$E$38:$DQ$38)/COUNTIF(Distance_Matrix!$E$12:$DQ$12,4))),IF(5=$E432,1E+099,IF(COUNTIF(Distance_Matrix!$E$12:$DQ$12,5)=0,1E+099,SUMIF(Distance_Matrix!$E$12:$DQ$12,5,Distance_Matrix!$E$38:$DQ$38)/COUNTIF(Distance_Matrix!$E$12:$DQ$12,5))),IF(6=$E432,1E+099,IF(COUNTIF(Distance_Matrix!$E$12:$DQ$12,6)=0,1E+099,SUMIF(Distance_Matrix!$E$12:$DQ$12,6,Distance_Matrix!$E$38:$DQ$38)/COUNTIF(Distance_Matrix!$E$12:$DQ$12,6))))</f>
        <v>2.10773886356472</v>
      </c>
      <c r="I432" s="17" t="n">
        <f aca="false">IF(COUNTIF(Distance_Matrix!$E$12:$DQ$12,$E432)&lt;=1,0,(H432-G432)/MAX(G432,H432))</f>
        <v>0.602412081532692</v>
      </c>
      <c r="X432" s="17" t="n">
        <f aca="false">SQRT(($B432-X$401)^2+($C432-X$402)^2+($D432-X$403)^2)</f>
        <v>4.44423821278105</v>
      </c>
      <c r="Y432" s="17" t="n">
        <f aca="false">SQRT(($B432-Y$401)^2+($C432-Y$402)^2+($D432-Y$403)^2)</f>
        <v>3.97520414117928</v>
      </c>
      <c r="Z432" s="17" t="n">
        <f aca="false">SQRT(($B432-Z$401)^2+($C432-Z$402)^2+($D432-Z$403)^2)</f>
        <v>1.27752060457733</v>
      </c>
      <c r="AA432" s="17" t="n">
        <f aca="false">SQRT(($B432-AA$401)^2+($C432-AA$402)^2+($D432-AA$403)^2)</f>
        <v>2.42043390101077</v>
      </c>
      <c r="AB432" s="17" t="n">
        <f aca="false">SQRT(($B432-AB$401)^2+($C432-AB$402)^2+($D432-AB$403)^2)</f>
        <v>2.47118088243736</v>
      </c>
      <c r="AC432" s="17" t="n">
        <f aca="false">SQRT(($B432-AC$401)^2+($C432-AC$402)^2+($D432-AC$403)^2)</f>
        <v>2.12128658301489</v>
      </c>
      <c r="AD432" s="63" t="n">
        <f aca="false">MATCH(MIN(X432:AC432),X432:AC432,0)</f>
        <v>3</v>
      </c>
      <c r="AF432" s="17" t="n">
        <f aca="false">SQRT(($B432-AF$401)^2+($C432-AF$402)^2+($D432-AF$403)^2)</f>
        <v>4.31797533894505</v>
      </c>
      <c r="AG432" s="17" t="n">
        <f aca="false">SQRT(($B432-AG$401)^2+($C432-AG$402)^2+($D432-AG$403)^2)</f>
        <v>3.43312419777347</v>
      </c>
      <c r="AH432" s="17" t="n">
        <f aca="false">SQRT(($B432-AH$401)^2+($C432-AH$402)^2+($D432-AH$403)^2)</f>
        <v>0.583322066774324</v>
      </c>
      <c r="AI432" s="17" t="n">
        <f aca="false">SQRT(($B432-AI$401)^2+($C432-AI$402)^2+($D432-AI$403)^2)</f>
        <v>2.5631887043248</v>
      </c>
      <c r="AJ432" s="17" t="n">
        <f aca="false">SQRT(($B432-AJ$401)^2+($C432-AJ$402)^2+($D432-AJ$403)^2)</f>
        <v>2.05830848105758</v>
      </c>
      <c r="AK432" s="17" t="n">
        <f aca="false">SQRT(($B432-AK$401)^2+($C432-AK$402)^2+($D432-AK$403)^2)</f>
        <v>2.12085140578524</v>
      </c>
      <c r="AL432" s="63" t="n">
        <f aca="false">MATCH(MIN(AF432:AK432),AF432:AK432,0)</f>
        <v>3</v>
      </c>
      <c r="AN432" s="17" t="n">
        <f aca="false">SQRT(($B432-AN$401)^2+($C432-AN$402)^2+($D432-AN$403)^2)</f>
        <v>4.31797533894505</v>
      </c>
      <c r="AO432" s="17" t="n">
        <f aca="false">SQRT(($B432-AO$401)^2+($C432-AO$402)^2+($D432-AO$403)^2)</f>
        <v>3.39690053553883</v>
      </c>
      <c r="AP432" s="17" t="n">
        <f aca="false">SQRT(($B432-AP$401)^2+($C432-AP$402)^2+($D432-AP$403)^2)</f>
        <v>0.587505089464826</v>
      </c>
      <c r="AQ432" s="17" t="n">
        <f aca="false">SQRT(($B432-AQ$401)^2+($C432-AQ$402)^2+($D432-AQ$403)^2)</f>
        <v>2.59092069014853</v>
      </c>
      <c r="AR432" s="17" t="n">
        <f aca="false">SQRT(($B432-AR$401)^2+($C432-AR$402)^2+($D432-AR$403)^2)</f>
        <v>2.05830848105758</v>
      </c>
      <c r="AS432" s="17" t="n">
        <f aca="false">SQRT(($B432-AS$401)^2+($C432-AS$402)^2+($D432-AS$403)^2)</f>
        <v>2.0915934454385</v>
      </c>
      <c r="AT432" s="63" t="n">
        <f aca="false">MATCH(MIN(AN432:AS432),AN432:AS432,0)</f>
        <v>3</v>
      </c>
      <c r="AV432" s="17" t="n">
        <f aca="false">SQRT(($B432-AV$401)^2+($C432-AV$402)^2+($D432-AV$403)^2)</f>
        <v>4.31797533894505</v>
      </c>
      <c r="AW432" s="17" t="n">
        <f aca="false">SQRT(($B432-AW$401)^2+($C432-AW$402)^2+($D432-AW$403)^2)</f>
        <v>3.37234371784836</v>
      </c>
      <c r="AX432" s="17" t="n">
        <f aca="false">SQRT(($B432-AX$401)^2+($C432-AX$402)^2+($D432-AX$403)^2)</f>
        <v>0.587505089464826</v>
      </c>
      <c r="AY432" s="17" t="n">
        <f aca="false">SQRT(($B432-AY$401)^2+($C432-AY$402)^2+($D432-AY$403)^2)</f>
        <v>2.59092069014853</v>
      </c>
      <c r="AZ432" s="17" t="n">
        <f aca="false">SQRT(($B432-AZ$401)^2+($C432-AZ$402)^2+($D432-AZ$403)^2)</f>
        <v>2.05830848105758</v>
      </c>
      <c r="BA432" s="17" t="n">
        <f aca="false">SQRT(($B432-BA$401)^2+($C432-BA$402)^2+($D432-BA$403)^2)</f>
        <v>2.07166577539951</v>
      </c>
      <c r="BB432" s="63" t="n">
        <f aca="false">MATCH(MIN(AV432:BA432),AV432:BA432,0)</f>
        <v>3</v>
      </c>
      <c r="BD432" s="17" t="n">
        <f aca="false">SQRT(($B432-BD$401)^2+($C432-BD$402)^2+($D432-BD$403)^2)</f>
        <v>4.31797533894505</v>
      </c>
      <c r="BE432" s="17" t="n">
        <f aca="false">SQRT(($B432-BE$401)^2+($C432-BE$402)^2+($D432-BE$403)^2)</f>
        <v>3.34908812981937</v>
      </c>
      <c r="BF432" s="17" t="n">
        <f aca="false">SQRT(($B432-BF$401)^2+($C432-BF$402)^2+($D432-BF$403)^2)</f>
        <v>0.587505089464826</v>
      </c>
      <c r="BG432" s="17" t="n">
        <f aca="false">SQRT(($B432-BG$401)^2+($C432-BG$402)^2+($D432-BG$403)^2)</f>
        <v>2.59092069014853</v>
      </c>
      <c r="BH432" s="17" t="n">
        <f aca="false">SQRT(($B432-BH$401)^2+($C432-BH$402)^2+($D432-BH$403)^2)</f>
        <v>2.05830848105758</v>
      </c>
      <c r="BI432" s="17" t="n">
        <f aca="false">SQRT(($B432-BI$401)^2+($C432-BI$402)^2+($D432-BI$403)^2)</f>
        <v>2.05063357650505</v>
      </c>
      <c r="BJ432" s="63" t="n">
        <f aca="false">MATCH(MIN(BD432:BI432),BD432:BI432,0)</f>
        <v>3</v>
      </c>
      <c r="BL432" s="17" t="n">
        <f aca="false">SQRT(($B432-BL$401)^2+($C432-BL$402)^2+($D432-BL$403)^2)</f>
        <v>4.31797533894505</v>
      </c>
      <c r="BM432" s="17" t="n">
        <f aca="false">SQRT(($B432-BM$401)^2+($C432-BM$402)^2+($D432-BM$403)^2)</f>
        <v>3.34908812981937</v>
      </c>
      <c r="BN432" s="17" t="n">
        <f aca="false">SQRT(($B432-BN$401)^2+($C432-BN$402)^2+($D432-BN$403)^2)</f>
        <v>0.587505089464826</v>
      </c>
      <c r="BO432" s="17" t="n">
        <f aca="false">SQRT(($B432-BO$401)^2+($C432-BO$402)^2+($D432-BO$403)^2)</f>
        <v>2.59092069014853</v>
      </c>
      <c r="BP432" s="17" t="n">
        <f aca="false">SQRT(($B432-BP$401)^2+($C432-BP$402)^2+($D432-BP$403)^2)</f>
        <v>2.05830848105758</v>
      </c>
      <c r="BQ432" s="17" t="n">
        <f aca="false">SQRT(($B432-BQ$401)^2+($C432-BQ$402)^2+($D432-BQ$403)^2)</f>
        <v>2.05063357650505</v>
      </c>
      <c r="BR432" s="63" t="n">
        <f aca="false">MATCH(MIN(BL432:BQ432),BL432:BQ432,0)</f>
        <v>3</v>
      </c>
      <c r="BT432" s="17" t="n">
        <f aca="false">SQRT(($B432-BT$401)^2+($C432-BT$402)^2+($D432-BT$403)^2)</f>
        <v>4.31797533894505</v>
      </c>
      <c r="BU432" s="17" t="n">
        <f aca="false">SQRT(($B432-BU$401)^2+($C432-BU$402)^2+($D432-BU$403)^2)</f>
        <v>3.34908812981937</v>
      </c>
      <c r="BV432" s="17" t="n">
        <f aca="false">SQRT(($B432-BV$401)^2+($C432-BV$402)^2+($D432-BV$403)^2)</f>
        <v>0.587505089464826</v>
      </c>
      <c r="BW432" s="17" t="n">
        <f aca="false">SQRT(($B432-BW$401)^2+($C432-BW$402)^2+($D432-BW$403)^2)</f>
        <v>2.59092069014853</v>
      </c>
      <c r="BX432" s="17" t="n">
        <f aca="false">SQRT(($B432-BX$401)^2+($C432-BX$402)^2+($D432-BX$403)^2)</f>
        <v>2.05830848105758</v>
      </c>
      <c r="BY432" s="17" t="n">
        <f aca="false">SQRT(($B432-BY$401)^2+($C432-BY$402)^2+($D432-BY$403)^2)</f>
        <v>2.05063357650505</v>
      </c>
      <c r="BZ432" s="63" t="n">
        <f aca="false">MATCH(MIN(BT432:BY432),BT432:BY432,0)</f>
        <v>3</v>
      </c>
      <c r="CB432" s="17" t="n">
        <f aca="false">SQRT(($B432-CB$401)^2+($C432-CB$402)^2+($D432-CB$403)^2)</f>
        <v>4.31797533894505</v>
      </c>
      <c r="CC432" s="17" t="n">
        <f aca="false">SQRT(($B432-CC$401)^2+($C432-CC$402)^2+($D432-CC$403)^2)</f>
        <v>3.34908812981937</v>
      </c>
      <c r="CD432" s="17" t="n">
        <f aca="false">SQRT(($B432-CD$401)^2+($C432-CD$402)^2+($D432-CD$403)^2)</f>
        <v>0.587505089464826</v>
      </c>
      <c r="CE432" s="17" t="n">
        <f aca="false">SQRT(($B432-CE$401)^2+($C432-CE$402)^2+($D432-CE$403)^2)</f>
        <v>2.59092069014853</v>
      </c>
      <c r="CF432" s="17" t="n">
        <f aca="false">SQRT(($B432-CF$401)^2+($C432-CF$402)^2+($D432-CF$403)^2)</f>
        <v>2.05830848105758</v>
      </c>
      <c r="CG432" s="17" t="n">
        <f aca="false">SQRT(($B432-CG$401)^2+($C432-CG$402)^2+($D432-CG$403)^2)</f>
        <v>2.05063357650505</v>
      </c>
      <c r="CH432" s="63" t="n">
        <f aca="false">MATCH(MIN(CB432:CG432),CB432:CG432,0)</f>
        <v>3</v>
      </c>
      <c r="CJ432" s="17" t="n">
        <f aca="false">SQRT(($B432-CJ$401)^2+($C432-CJ$402)^2+($D432-CJ$403)^2)</f>
        <v>4.31797533894505</v>
      </c>
      <c r="CK432" s="17" t="n">
        <f aca="false">SQRT(($B432-CK$401)^2+($C432-CK$402)^2+($D432-CK$403)^2)</f>
        <v>3.34908812981937</v>
      </c>
      <c r="CL432" s="17" t="n">
        <f aca="false">SQRT(($B432-CL$401)^2+($C432-CL$402)^2+($D432-CL$403)^2)</f>
        <v>0.587505089464826</v>
      </c>
      <c r="CM432" s="17" t="n">
        <f aca="false">SQRT(($B432-CM$401)^2+($C432-CM$402)^2+($D432-CM$403)^2)</f>
        <v>2.59092069014853</v>
      </c>
      <c r="CN432" s="17" t="n">
        <f aca="false">SQRT(($B432-CN$401)^2+($C432-CN$402)^2+($D432-CN$403)^2)</f>
        <v>2.05830848105758</v>
      </c>
      <c r="CO432" s="17" t="n">
        <f aca="false">SQRT(($B432-CO$401)^2+($C432-CO$402)^2+($D432-CO$403)^2)</f>
        <v>2.05063357650505</v>
      </c>
      <c r="CP432" s="63" t="n">
        <f aca="false">MATCH(MIN(CJ432:CO432),CJ432:CO432,0)</f>
        <v>3</v>
      </c>
      <c r="CR432" s="17" t="n">
        <f aca="false">SQRT(($B432-CR$401)^2+($C432-CR$402)^2+($D432-CR$403)^2)</f>
        <v>4.31797533894505</v>
      </c>
      <c r="CS432" s="17" t="n">
        <f aca="false">SQRT(($B432-CS$401)^2+($C432-CS$402)^2+($D432-CS$403)^2)</f>
        <v>3.34908812981937</v>
      </c>
      <c r="CT432" s="17" t="n">
        <f aca="false">SQRT(($B432-CT$401)^2+($C432-CT$402)^2+($D432-CT$403)^2)</f>
        <v>0.587505089464826</v>
      </c>
      <c r="CU432" s="17" t="n">
        <f aca="false">SQRT(($B432-CU$401)^2+($C432-CU$402)^2+($D432-CU$403)^2)</f>
        <v>2.59092069014853</v>
      </c>
      <c r="CV432" s="17" t="n">
        <f aca="false">SQRT(($B432-CV$401)^2+($C432-CV$402)^2+($D432-CV$403)^2)</f>
        <v>2.05830848105758</v>
      </c>
      <c r="CW432" s="17" t="n">
        <f aca="false">SQRT(($B432-CW$401)^2+($C432-CW$402)^2+($D432-CW$403)^2)</f>
        <v>2.05063357650505</v>
      </c>
      <c r="CX432" s="63" t="n">
        <f aca="false">MATCH(MIN(CR432:CW432),CR432:CW432,0)</f>
        <v>3</v>
      </c>
      <c r="CZ432" s="17" t="n">
        <f aca="false">SQRT(($B432-CZ$401)^2+($C432-CZ$402)^2+($D432-CZ$403)^2)</f>
        <v>4.31797533894505</v>
      </c>
      <c r="DA432" s="17" t="n">
        <f aca="false">SQRT(($B432-DA$401)^2+($C432-DA$402)^2+($D432-DA$403)^2)</f>
        <v>3.34908812981937</v>
      </c>
      <c r="DB432" s="17" t="n">
        <f aca="false">SQRT(($B432-DB$401)^2+($C432-DB$402)^2+($D432-DB$403)^2)</f>
        <v>0.587505089464826</v>
      </c>
      <c r="DC432" s="17" t="n">
        <f aca="false">SQRT(($B432-DC$401)^2+($C432-DC$402)^2+($D432-DC$403)^2)</f>
        <v>2.59092069014853</v>
      </c>
      <c r="DD432" s="17" t="n">
        <f aca="false">SQRT(($B432-DD$401)^2+($C432-DD$402)^2+($D432-DD$403)^2)</f>
        <v>2.05830848105758</v>
      </c>
      <c r="DE432" s="17" t="n">
        <f aca="false">SQRT(($B432-DE$401)^2+($C432-DE$402)^2+($D432-DE$403)^2)</f>
        <v>2.05063357650505</v>
      </c>
      <c r="DF432" s="63" t="n">
        <f aca="false">MATCH(MIN(CZ432:DE432),CZ432:DE432,0)</f>
        <v>3</v>
      </c>
      <c r="DH432" s="17" t="n">
        <f aca="false">SQRT(($B432-DH$401)^2+($C432-DH$402)^2+($D432-DH$403)^2)</f>
        <v>4.31797533894505</v>
      </c>
      <c r="DI432" s="17" t="n">
        <f aca="false">SQRT(($B432-DI$401)^2+($C432-DI$402)^2+($D432-DI$403)^2)</f>
        <v>3.34908812981937</v>
      </c>
      <c r="DJ432" s="17" t="n">
        <f aca="false">SQRT(($B432-DJ$401)^2+($C432-DJ$402)^2+($D432-DJ$403)^2)</f>
        <v>0.587505089464826</v>
      </c>
      <c r="DK432" s="17" t="n">
        <f aca="false">SQRT(($B432-DK$401)^2+($C432-DK$402)^2+($D432-DK$403)^2)</f>
        <v>2.59092069014853</v>
      </c>
      <c r="DL432" s="17" t="n">
        <f aca="false">SQRT(($B432-DL$401)^2+($C432-DL$402)^2+($D432-DL$403)^2)</f>
        <v>2.05830848105758</v>
      </c>
      <c r="DM432" s="17" t="n">
        <f aca="false">SQRT(($B432-DM$401)^2+($C432-DM$402)^2+($D432-DM$403)^2)</f>
        <v>2.05063357650505</v>
      </c>
      <c r="DN432" s="63" t="n">
        <f aca="false">MATCH(MIN(DH432:DM432),DH432:DM432,0)</f>
        <v>3</v>
      </c>
    </row>
    <row r="433" customFormat="false" ht="15" hidden="false" customHeight="false" outlineLevel="0" collapsed="false">
      <c r="A433" s="36" t="str">
        <f aca="false">KMeans_Data!A30</f>
        <v>Shikarpur</v>
      </c>
      <c r="B433" s="17" t="n">
        <f aca="false">KMeans_Data!H30</f>
        <v>0.708204570744665</v>
      </c>
      <c r="C433" s="17" t="n">
        <f aca="false">KMeans_Data!I30</f>
        <v>0.803084449535714</v>
      </c>
      <c r="D433" s="17" t="n">
        <f aca="false">KMeans_Data!J30</f>
        <v>1.27840404836418</v>
      </c>
      <c r="E433" s="63" t="n">
        <f aca="false">DN433</f>
        <v>3</v>
      </c>
      <c r="F433" s="38" t="n">
        <f aca="false">($B433-INDEX($L$401:$Q$401,E433))^2+($C433-INDEX($L$402:$Q$402,E433))^2+($D433-INDEX($L$403:$Q$403,E433))^2</f>
        <v>0.123279861157733</v>
      </c>
      <c r="G433" s="17" t="n">
        <f aca="false">IF(COUNTIF(Distance_Matrix!$E$12:$DQ$12,$E433)&lt;=1,0,SUMIF(Distance_Matrix!$E$12:$DQ$12,$E433,Distance_Matrix!$E$39:$DQ$39)/(COUNTIF(Distance_Matrix!$E$12:$DQ$12,$E433)-1))</f>
        <v>0.734460735017798</v>
      </c>
      <c r="H433" s="17" t="n">
        <f aca="false">MIN(IF(1=$E433,1E+099,IF(COUNTIF(Distance_Matrix!$E$12:$DQ$12,1)=0,1E+099,SUMIF(Distance_Matrix!$E$12:$DQ$12,1,Distance_Matrix!$E$39:$DQ$39)/COUNTIF(Distance_Matrix!$E$12:$DQ$12,1))),IF(2=$E433,1E+099,IF(COUNTIF(Distance_Matrix!$E$12:$DQ$12,2)=0,1E+099,SUMIF(Distance_Matrix!$E$12:$DQ$12,2,Distance_Matrix!$E$39:$DQ$39)/COUNTIF(Distance_Matrix!$E$12:$DQ$12,2))),IF(3=$E433,1E+099,IF(COUNTIF(Distance_Matrix!$E$12:$DQ$12,3)=0,1E+099,SUMIF(Distance_Matrix!$E$12:$DQ$12,3,Distance_Matrix!$E$39:$DQ$39)/COUNTIF(Distance_Matrix!$E$12:$DQ$12,3))),IF(4=$E433,1E+099,IF(COUNTIF(Distance_Matrix!$E$12:$DQ$12,4)=0,1E+099,SUMIF(Distance_Matrix!$E$12:$DQ$12,4,Distance_Matrix!$E$39:$DQ$39)/COUNTIF(Distance_Matrix!$E$12:$DQ$12,4))),IF(5=$E433,1E+099,IF(COUNTIF(Distance_Matrix!$E$12:$DQ$12,5)=0,1E+099,SUMIF(Distance_Matrix!$E$12:$DQ$12,5,Distance_Matrix!$E$39:$DQ$39)/COUNTIF(Distance_Matrix!$E$12:$DQ$12,5))),IF(6=$E433,1E+099,IF(COUNTIF(Distance_Matrix!$E$12:$DQ$12,6)=0,1E+099,SUMIF(Distance_Matrix!$E$12:$DQ$12,6,Distance_Matrix!$E$39:$DQ$39)/COUNTIF(Distance_Matrix!$E$12:$DQ$12,6))))</f>
        <v>1.86905329529549</v>
      </c>
      <c r="I433" s="17" t="n">
        <f aca="false">IF(COUNTIF(Distance_Matrix!$E$12:$DQ$12,$E433)&lt;=1,0,(H433-G433)/MAX(G433,H433))</f>
        <v>0.607041309701292</v>
      </c>
      <c r="X433" s="17" t="n">
        <f aca="false">SQRT(($B433-X$401)^2+($C433-X$402)^2+($D433-X$403)^2)</f>
        <v>4.57744212550846</v>
      </c>
      <c r="Y433" s="17" t="n">
        <f aca="false">SQRT(($B433-Y$401)^2+($C433-Y$402)^2+($D433-Y$403)^2)</f>
        <v>3.97824420521485</v>
      </c>
      <c r="Z433" s="17" t="n">
        <f aca="false">SQRT(($B433-Z$401)^2+($C433-Z$402)^2+($D433-Z$403)^2)</f>
        <v>0.570357611491903</v>
      </c>
      <c r="AA433" s="17" t="n">
        <f aca="false">SQRT(($B433-AA$401)^2+($C433-AA$402)^2+($D433-AA$403)^2)</f>
        <v>2.60433256477183</v>
      </c>
      <c r="AB433" s="17" t="n">
        <f aca="false">SQRT(($B433-AB$401)^2+($C433-AB$402)^2+($D433-AB$403)^2)</f>
        <v>2.48261938568445</v>
      </c>
      <c r="AC433" s="17" t="n">
        <f aca="false">SQRT(($B433-AC$401)^2+($C433-AC$402)^2+($D433-AC$403)^2)</f>
        <v>1.82359311091912</v>
      </c>
      <c r="AD433" s="63" t="n">
        <f aca="false">MATCH(MIN(X433:AC433),X433:AC433,0)</f>
        <v>3</v>
      </c>
      <c r="AF433" s="17" t="n">
        <f aca="false">SQRT(($B433-AF$401)^2+($C433-AF$402)^2+($D433-AF$403)^2)</f>
        <v>4.49761623725738</v>
      </c>
      <c r="AG433" s="17" t="n">
        <f aca="false">SQRT(($B433-AG$401)^2+($C433-AG$402)^2+($D433-AG$403)^2)</f>
        <v>3.44429893415224</v>
      </c>
      <c r="AH433" s="17" t="n">
        <f aca="false">SQRT(($B433-AH$401)^2+($C433-AH$402)^2+($D433-AH$403)^2)</f>
        <v>0.340814172014267</v>
      </c>
      <c r="AI433" s="17" t="n">
        <f aca="false">SQRT(($B433-AI$401)^2+($C433-AI$402)^2+($D433-AI$403)^2)</f>
        <v>2.58249079690115</v>
      </c>
      <c r="AJ433" s="17" t="n">
        <f aca="false">SQRT(($B433-AJ$401)^2+($C433-AJ$402)^2+($D433-AJ$403)^2)</f>
        <v>2.27808569393818</v>
      </c>
      <c r="AK433" s="17" t="n">
        <f aca="false">SQRT(($B433-AK$401)^2+($C433-AK$402)^2+($D433-AK$403)^2)</f>
        <v>1.89574354292424</v>
      </c>
      <c r="AL433" s="63" t="n">
        <f aca="false">MATCH(MIN(AF433:AK433),AF433:AK433,0)</f>
        <v>3</v>
      </c>
      <c r="AN433" s="17" t="n">
        <f aca="false">SQRT(($B433-AN$401)^2+($C433-AN$402)^2+($D433-AN$403)^2)</f>
        <v>4.49761623725738</v>
      </c>
      <c r="AO433" s="17" t="n">
        <f aca="false">SQRT(($B433-AO$401)^2+($C433-AO$402)^2+($D433-AO$403)^2)</f>
        <v>3.40505109021689</v>
      </c>
      <c r="AP433" s="17" t="n">
        <f aca="false">SQRT(($B433-AP$401)^2+($C433-AP$402)^2+($D433-AP$403)^2)</f>
        <v>0.351112319860374</v>
      </c>
      <c r="AQ433" s="17" t="n">
        <f aca="false">SQRT(($B433-AQ$401)^2+($C433-AQ$402)^2+($D433-AQ$403)^2)</f>
        <v>2.60440793307936</v>
      </c>
      <c r="AR433" s="17" t="n">
        <f aca="false">SQRT(($B433-AR$401)^2+($C433-AR$402)^2+($D433-AR$403)^2)</f>
        <v>2.27808569393818</v>
      </c>
      <c r="AS433" s="17" t="n">
        <f aca="false">SQRT(($B433-AS$401)^2+($C433-AS$402)^2+($D433-AS$403)^2)</f>
        <v>1.85904132786857</v>
      </c>
      <c r="AT433" s="63" t="n">
        <f aca="false">MATCH(MIN(AN433:AS433),AN433:AS433,0)</f>
        <v>3</v>
      </c>
      <c r="AV433" s="17" t="n">
        <f aca="false">SQRT(($B433-AV$401)^2+($C433-AV$402)^2+($D433-AV$403)^2)</f>
        <v>4.49761623725738</v>
      </c>
      <c r="AW433" s="17" t="n">
        <f aca="false">SQRT(($B433-AW$401)^2+($C433-AW$402)^2+($D433-AW$403)^2)</f>
        <v>3.37649063788829</v>
      </c>
      <c r="AX433" s="17" t="n">
        <f aca="false">SQRT(($B433-AX$401)^2+($C433-AX$402)^2+($D433-AX$403)^2)</f>
        <v>0.351112319860374</v>
      </c>
      <c r="AY433" s="17" t="n">
        <f aca="false">SQRT(($B433-AY$401)^2+($C433-AY$402)^2+($D433-AY$403)^2)</f>
        <v>2.60440793307936</v>
      </c>
      <c r="AZ433" s="17" t="n">
        <f aca="false">SQRT(($B433-AZ$401)^2+($C433-AZ$402)^2+($D433-AZ$403)^2)</f>
        <v>2.27808569393818</v>
      </c>
      <c r="BA433" s="17" t="n">
        <f aca="false">SQRT(($B433-BA$401)^2+($C433-BA$402)^2+($D433-BA$403)^2)</f>
        <v>1.83444264993758</v>
      </c>
      <c r="BB433" s="63" t="n">
        <f aca="false">MATCH(MIN(AV433:BA433),AV433:BA433,0)</f>
        <v>3</v>
      </c>
      <c r="BD433" s="17" t="n">
        <f aca="false">SQRT(($B433-BD$401)^2+($C433-BD$402)^2+($D433-BD$403)^2)</f>
        <v>4.49761623725738</v>
      </c>
      <c r="BE433" s="17" t="n">
        <f aca="false">SQRT(($B433-BE$401)^2+($C433-BE$402)^2+($D433-BE$403)^2)</f>
        <v>3.34893023333491</v>
      </c>
      <c r="BF433" s="17" t="n">
        <f aca="false">SQRT(($B433-BF$401)^2+($C433-BF$402)^2+($D433-BF$403)^2)</f>
        <v>0.351112319860374</v>
      </c>
      <c r="BG433" s="17" t="n">
        <f aca="false">SQRT(($B433-BG$401)^2+($C433-BG$402)^2+($D433-BG$403)^2)</f>
        <v>2.60440793307936</v>
      </c>
      <c r="BH433" s="17" t="n">
        <f aca="false">SQRT(($B433-BH$401)^2+($C433-BH$402)^2+($D433-BH$403)^2)</f>
        <v>2.27808569393818</v>
      </c>
      <c r="BI433" s="17" t="n">
        <f aca="false">SQRT(($B433-BI$401)^2+($C433-BI$402)^2+($D433-BI$403)^2)</f>
        <v>1.80918590702266</v>
      </c>
      <c r="BJ433" s="63" t="n">
        <f aca="false">MATCH(MIN(BD433:BI433),BD433:BI433,0)</f>
        <v>3</v>
      </c>
      <c r="BL433" s="17" t="n">
        <f aca="false">SQRT(($B433-BL$401)^2+($C433-BL$402)^2+($D433-BL$403)^2)</f>
        <v>4.49761623725738</v>
      </c>
      <c r="BM433" s="17" t="n">
        <f aca="false">SQRT(($B433-BM$401)^2+($C433-BM$402)^2+($D433-BM$403)^2)</f>
        <v>3.34893023333491</v>
      </c>
      <c r="BN433" s="17" t="n">
        <f aca="false">SQRT(($B433-BN$401)^2+($C433-BN$402)^2+($D433-BN$403)^2)</f>
        <v>0.351112319860374</v>
      </c>
      <c r="BO433" s="17" t="n">
        <f aca="false">SQRT(($B433-BO$401)^2+($C433-BO$402)^2+($D433-BO$403)^2)</f>
        <v>2.60440793307936</v>
      </c>
      <c r="BP433" s="17" t="n">
        <f aca="false">SQRT(($B433-BP$401)^2+($C433-BP$402)^2+($D433-BP$403)^2)</f>
        <v>2.27808569393818</v>
      </c>
      <c r="BQ433" s="17" t="n">
        <f aca="false">SQRT(($B433-BQ$401)^2+($C433-BQ$402)^2+($D433-BQ$403)^2)</f>
        <v>1.80918590702266</v>
      </c>
      <c r="BR433" s="63" t="n">
        <f aca="false">MATCH(MIN(BL433:BQ433),BL433:BQ433,0)</f>
        <v>3</v>
      </c>
      <c r="BT433" s="17" t="n">
        <f aca="false">SQRT(($B433-BT$401)^2+($C433-BT$402)^2+($D433-BT$403)^2)</f>
        <v>4.49761623725738</v>
      </c>
      <c r="BU433" s="17" t="n">
        <f aca="false">SQRT(($B433-BU$401)^2+($C433-BU$402)^2+($D433-BU$403)^2)</f>
        <v>3.34893023333491</v>
      </c>
      <c r="BV433" s="17" t="n">
        <f aca="false">SQRT(($B433-BV$401)^2+($C433-BV$402)^2+($D433-BV$403)^2)</f>
        <v>0.351112319860374</v>
      </c>
      <c r="BW433" s="17" t="n">
        <f aca="false">SQRT(($B433-BW$401)^2+($C433-BW$402)^2+($D433-BW$403)^2)</f>
        <v>2.60440793307936</v>
      </c>
      <c r="BX433" s="17" t="n">
        <f aca="false">SQRT(($B433-BX$401)^2+($C433-BX$402)^2+($D433-BX$403)^2)</f>
        <v>2.27808569393818</v>
      </c>
      <c r="BY433" s="17" t="n">
        <f aca="false">SQRT(($B433-BY$401)^2+($C433-BY$402)^2+($D433-BY$403)^2)</f>
        <v>1.80918590702266</v>
      </c>
      <c r="BZ433" s="63" t="n">
        <f aca="false">MATCH(MIN(BT433:BY433),BT433:BY433,0)</f>
        <v>3</v>
      </c>
      <c r="CB433" s="17" t="n">
        <f aca="false">SQRT(($B433-CB$401)^2+($C433-CB$402)^2+($D433-CB$403)^2)</f>
        <v>4.49761623725738</v>
      </c>
      <c r="CC433" s="17" t="n">
        <f aca="false">SQRT(($B433-CC$401)^2+($C433-CC$402)^2+($D433-CC$403)^2)</f>
        <v>3.34893023333491</v>
      </c>
      <c r="CD433" s="17" t="n">
        <f aca="false">SQRT(($B433-CD$401)^2+($C433-CD$402)^2+($D433-CD$403)^2)</f>
        <v>0.351112319860374</v>
      </c>
      <c r="CE433" s="17" t="n">
        <f aca="false">SQRT(($B433-CE$401)^2+($C433-CE$402)^2+($D433-CE$403)^2)</f>
        <v>2.60440793307936</v>
      </c>
      <c r="CF433" s="17" t="n">
        <f aca="false">SQRT(($B433-CF$401)^2+($C433-CF$402)^2+($D433-CF$403)^2)</f>
        <v>2.27808569393818</v>
      </c>
      <c r="CG433" s="17" t="n">
        <f aca="false">SQRT(($B433-CG$401)^2+($C433-CG$402)^2+($D433-CG$403)^2)</f>
        <v>1.80918590702266</v>
      </c>
      <c r="CH433" s="63" t="n">
        <f aca="false">MATCH(MIN(CB433:CG433),CB433:CG433,0)</f>
        <v>3</v>
      </c>
      <c r="CJ433" s="17" t="n">
        <f aca="false">SQRT(($B433-CJ$401)^2+($C433-CJ$402)^2+($D433-CJ$403)^2)</f>
        <v>4.49761623725738</v>
      </c>
      <c r="CK433" s="17" t="n">
        <f aca="false">SQRT(($B433-CK$401)^2+($C433-CK$402)^2+($D433-CK$403)^2)</f>
        <v>3.34893023333491</v>
      </c>
      <c r="CL433" s="17" t="n">
        <f aca="false">SQRT(($B433-CL$401)^2+($C433-CL$402)^2+($D433-CL$403)^2)</f>
        <v>0.351112319860374</v>
      </c>
      <c r="CM433" s="17" t="n">
        <f aca="false">SQRT(($B433-CM$401)^2+($C433-CM$402)^2+($D433-CM$403)^2)</f>
        <v>2.60440793307936</v>
      </c>
      <c r="CN433" s="17" t="n">
        <f aca="false">SQRT(($B433-CN$401)^2+($C433-CN$402)^2+($D433-CN$403)^2)</f>
        <v>2.27808569393818</v>
      </c>
      <c r="CO433" s="17" t="n">
        <f aca="false">SQRT(($B433-CO$401)^2+($C433-CO$402)^2+($D433-CO$403)^2)</f>
        <v>1.80918590702266</v>
      </c>
      <c r="CP433" s="63" t="n">
        <f aca="false">MATCH(MIN(CJ433:CO433),CJ433:CO433,0)</f>
        <v>3</v>
      </c>
      <c r="CR433" s="17" t="n">
        <f aca="false">SQRT(($B433-CR$401)^2+($C433-CR$402)^2+($D433-CR$403)^2)</f>
        <v>4.49761623725738</v>
      </c>
      <c r="CS433" s="17" t="n">
        <f aca="false">SQRT(($B433-CS$401)^2+($C433-CS$402)^2+($D433-CS$403)^2)</f>
        <v>3.34893023333491</v>
      </c>
      <c r="CT433" s="17" t="n">
        <f aca="false">SQRT(($B433-CT$401)^2+($C433-CT$402)^2+($D433-CT$403)^2)</f>
        <v>0.351112319860374</v>
      </c>
      <c r="CU433" s="17" t="n">
        <f aca="false">SQRT(($B433-CU$401)^2+($C433-CU$402)^2+($D433-CU$403)^2)</f>
        <v>2.60440793307936</v>
      </c>
      <c r="CV433" s="17" t="n">
        <f aca="false">SQRT(($B433-CV$401)^2+($C433-CV$402)^2+($D433-CV$403)^2)</f>
        <v>2.27808569393818</v>
      </c>
      <c r="CW433" s="17" t="n">
        <f aca="false">SQRT(($B433-CW$401)^2+($C433-CW$402)^2+($D433-CW$403)^2)</f>
        <v>1.80918590702266</v>
      </c>
      <c r="CX433" s="63" t="n">
        <f aca="false">MATCH(MIN(CR433:CW433),CR433:CW433,0)</f>
        <v>3</v>
      </c>
      <c r="CZ433" s="17" t="n">
        <f aca="false">SQRT(($B433-CZ$401)^2+($C433-CZ$402)^2+($D433-CZ$403)^2)</f>
        <v>4.49761623725738</v>
      </c>
      <c r="DA433" s="17" t="n">
        <f aca="false">SQRT(($B433-DA$401)^2+($C433-DA$402)^2+($D433-DA$403)^2)</f>
        <v>3.34893023333491</v>
      </c>
      <c r="DB433" s="17" t="n">
        <f aca="false">SQRT(($B433-DB$401)^2+($C433-DB$402)^2+($D433-DB$403)^2)</f>
        <v>0.351112319860374</v>
      </c>
      <c r="DC433" s="17" t="n">
        <f aca="false">SQRT(($B433-DC$401)^2+($C433-DC$402)^2+($D433-DC$403)^2)</f>
        <v>2.60440793307936</v>
      </c>
      <c r="DD433" s="17" t="n">
        <f aca="false">SQRT(($B433-DD$401)^2+($C433-DD$402)^2+($D433-DD$403)^2)</f>
        <v>2.27808569393818</v>
      </c>
      <c r="DE433" s="17" t="n">
        <f aca="false">SQRT(($B433-DE$401)^2+($C433-DE$402)^2+($D433-DE$403)^2)</f>
        <v>1.80918590702266</v>
      </c>
      <c r="DF433" s="63" t="n">
        <f aca="false">MATCH(MIN(CZ433:DE433),CZ433:DE433,0)</f>
        <v>3</v>
      </c>
      <c r="DH433" s="17" t="n">
        <f aca="false">SQRT(($B433-DH$401)^2+($C433-DH$402)^2+($D433-DH$403)^2)</f>
        <v>4.49761623725738</v>
      </c>
      <c r="DI433" s="17" t="n">
        <f aca="false">SQRT(($B433-DI$401)^2+($C433-DI$402)^2+($D433-DI$403)^2)</f>
        <v>3.34893023333491</v>
      </c>
      <c r="DJ433" s="17" t="n">
        <f aca="false">SQRT(($B433-DJ$401)^2+($C433-DJ$402)^2+($D433-DJ$403)^2)</f>
        <v>0.351112319860374</v>
      </c>
      <c r="DK433" s="17" t="n">
        <f aca="false">SQRT(($B433-DK$401)^2+($C433-DK$402)^2+($D433-DK$403)^2)</f>
        <v>2.60440793307936</v>
      </c>
      <c r="DL433" s="17" t="n">
        <f aca="false">SQRT(($B433-DL$401)^2+($C433-DL$402)^2+($D433-DL$403)^2)</f>
        <v>2.27808569393818</v>
      </c>
      <c r="DM433" s="17" t="n">
        <f aca="false">SQRT(($B433-DM$401)^2+($C433-DM$402)^2+($D433-DM$403)^2)</f>
        <v>1.80918590702266</v>
      </c>
      <c r="DN433" s="63" t="n">
        <f aca="false">MATCH(MIN(DH433:DM433),DH433:DM433,0)</f>
        <v>3</v>
      </c>
    </row>
    <row r="434" customFormat="false" ht="15" hidden="false" customHeight="false" outlineLevel="0" collapsed="false">
      <c r="A434" s="36" t="str">
        <f aca="false">KMeans_Data!A31</f>
        <v>Rawalpindi</v>
      </c>
      <c r="B434" s="17" t="n">
        <f aca="false">KMeans_Data!H31</f>
        <v>0.645673058648075</v>
      </c>
      <c r="C434" s="17" t="n">
        <f aca="false">KMeans_Data!I31</f>
        <v>-0.146983133929529</v>
      </c>
      <c r="D434" s="17" t="n">
        <f aca="false">KMeans_Data!J31</f>
        <v>-1.14564411633355</v>
      </c>
      <c r="E434" s="63" t="n">
        <f aca="false">DN434</f>
        <v>4</v>
      </c>
      <c r="F434" s="38" t="n">
        <f aca="false">($B434-INDEX($L$401:$Q$401,E434))^2+($C434-INDEX($L$402:$Q$402,E434))^2+($D434-INDEX($L$403:$Q$403,E434))^2</f>
        <v>0.515529335008412</v>
      </c>
      <c r="G434" s="17" t="n">
        <f aca="false">IF(COUNTIF(Distance_Matrix!$E$12:$DQ$12,$E434)&lt;=1,0,SUMIF(Distance_Matrix!$E$12:$DQ$12,$E434,Distance_Matrix!$E$40:$DQ$40)/(COUNTIF(Distance_Matrix!$E$12:$DQ$12,$E434)-1))</f>
        <v>0.942387124448679</v>
      </c>
      <c r="H434" s="17" t="n">
        <f aca="false">MIN(IF(1=$E434,1E+099,IF(COUNTIF(Distance_Matrix!$E$12:$DQ$12,1)=0,1E+099,SUMIF(Distance_Matrix!$E$12:$DQ$12,1,Distance_Matrix!$E$40:$DQ$40)/COUNTIF(Distance_Matrix!$E$12:$DQ$12,1))),IF(2=$E434,1E+099,IF(COUNTIF(Distance_Matrix!$E$12:$DQ$12,2)=0,1E+099,SUMIF(Distance_Matrix!$E$12:$DQ$12,2,Distance_Matrix!$E$40:$DQ$40)/COUNTIF(Distance_Matrix!$E$12:$DQ$12,2))),IF(3=$E434,1E+099,IF(COUNTIF(Distance_Matrix!$E$12:$DQ$12,3)=0,1E+099,SUMIF(Distance_Matrix!$E$12:$DQ$12,3,Distance_Matrix!$E$40:$DQ$40)/COUNTIF(Distance_Matrix!$E$12:$DQ$12,3))),IF(4=$E434,1E+099,IF(COUNTIF(Distance_Matrix!$E$12:$DQ$12,4)=0,1E+099,SUMIF(Distance_Matrix!$E$12:$DQ$12,4,Distance_Matrix!$E$40:$DQ$40)/COUNTIF(Distance_Matrix!$E$12:$DQ$12,4))),IF(5=$E434,1E+099,IF(COUNTIF(Distance_Matrix!$E$12:$DQ$12,5)=0,1E+099,SUMIF(Distance_Matrix!$E$12:$DQ$12,5,Distance_Matrix!$E$40:$DQ$40)/COUNTIF(Distance_Matrix!$E$12:$DQ$12,5))),IF(6=$E434,1E+099,IF(COUNTIF(Distance_Matrix!$E$12:$DQ$12,6)=0,1E+099,SUMIF(Distance_Matrix!$E$12:$DQ$12,6,Distance_Matrix!$E$40:$DQ$40)/COUNTIF(Distance_Matrix!$E$12:$DQ$12,6))))</f>
        <v>1.72520449786783</v>
      </c>
      <c r="I434" s="17" t="n">
        <f aca="false">IF(COUNTIF(Distance_Matrix!$E$12:$DQ$12,$E434)&lt;=1,0,(H434-G434)/MAX(G434,H434))</f>
        <v>0.45375338076537</v>
      </c>
      <c r="X434" s="17" t="n">
        <f aca="false">SQRT(($B434-X$401)^2+($C434-X$402)^2+($D434-X$403)^2)</f>
        <v>6.61637996962902</v>
      </c>
      <c r="Y434" s="17" t="n">
        <f aca="false">SQRT(($B434-Y$401)^2+($C434-Y$402)^2+($D434-Y$403)^2)</f>
        <v>2.77564255027266</v>
      </c>
      <c r="Z434" s="17" t="n">
        <f aca="false">SQRT(($B434-Z$401)^2+($C434-Z$402)^2+($D434-Z$403)^2)</f>
        <v>2.6969311940684</v>
      </c>
      <c r="AA434" s="17" t="n">
        <f aca="false">SQRT(($B434-AA$401)^2+($C434-AA$402)^2+($D434-AA$403)^2)</f>
        <v>0</v>
      </c>
      <c r="AB434" s="17" t="n">
        <f aca="false">SQRT(($B434-AB$401)^2+($C434-AB$402)^2+($D434-AB$403)^2)</f>
        <v>4.61409614564319</v>
      </c>
      <c r="AC434" s="17" t="n">
        <f aca="false">SQRT(($B434-AC$401)^2+($C434-AC$402)^2+($D434-AC$403)^2)</f>
        <v>2.23050732117871</v>
      </c>
      <c r="AD434" s="63" t="n">
        <f aca="false">MATCH(MIN(X434:AC434),X434:AC434,0)</f>
        <v>4</v>
      </c>
      <c r="AF434" s="17" t="n">
        <f aca="false">SQRT(($B434-AF$401)^2+($C434-AF$402)^2+($D434-AF$403)^2)</f>
        <v>6.46340515499828</v>
      </c>
      <c r="AG434" s="17" t="n">
        <f aca="false">SQRT(($B434-AG$401)^2+($C434-AG$402)^2+($D434-AG$403)^2)</f>
        <v>2.03027831126059</v>
      </c>
      <c r="AH434" s="17" t="n">
        <f aca="false">SQRT(($B434-AH$401)^2+($C434-AH$402)^2+($D434-AH$403)^2)</f>
        <v>2.31541745841982</v>
      </c>
      <c r="AI434" s="17" t="n">
        <f aca="false">SQRT(($B434-AI$401)^2+($C434-AI$402)^2+($D434-AI$403)^2)</f>
        <v>0.69897160123482</v>
      </c>
      <c r="AJ434" s="17" t="n">
        <f aca="false">SQRT(($B434-AJ$401)^2+($C434-AJ$402)^2+($D434-AJ$403)^2)</f>
        <v>4.23239811916055</v>
      </c>
      <c r="AK434" s="17" t="n">
        <f aca="false">SQRT(($B434-AK$401)^2+($C434-AK$402)^2+($D434-AK$403)^2)</f>
        <v>1.61954225944252</v>
      </c>
      <c r="AL434" s="63" t="n">
        <f aca="false">MATCH(MIN(AF434:AK434),AF434:AK434,0)</f>
        <v>4</v>
      </c>
      <c r="AN434" s="17" t="n">
        <f aca="false">SQRT(($B434-AN$401)^2+($C434-AN$402)^2+($D434-AN$403)^2)</f>
        <v>6.46340515499828</v>
      </c>
      <c r="AO434" s="17" t="n">
        <f aca="false">SQRT(($B434-AO$401)^2+($C434-AO$402)^2+($D434-AO$403)^2)</f>
        <v>1.99003463306123</v>
      </c>
      <c r="AP434" s="17" t="n">
        <f aca="false">SQRT(($B434-AP$401)^2+($C434-AP$402)^2+($D434-AP$403)^2)</f>
        <v>2.29598947008009</v>
      </c>
      <c r="AQ434" s="17" t="n">
        <f aca="false">SQRT(($B434-AQ$401)^2+($C434-AQ$402)^2+($D434-AQ$403)^2)</f>
        <v>0.718003715177305</v>
      </c>
      <c r="AR434" s="17" t="n">
        <f aca="false">SQRT(($B434-AR$401)^2+($C434-AR$402)^2+($D434-AR$403)^2)</f>
        <v>4.23239811916055</v>
      </c>
      <c r="AS434" s="17" t="n">
        <f aca="false">SQRT(($B434-AS$401)^2+($C434-AS$402)^2+($D434-AS$403)^2)</f>
        <v>1.61547558479817</v>
      </c>
      <c r="AT434" s="63" t="n">
        <f aca="false">MATCH(MIN(AN434:AS434),AN434:AS434,0)</f>
        <v>4</v>
      </c>
      <c r="AV434" s="17" t="n">
        <f aca="false">SQRT(($B434-AV$401)^2+($C434-AV$402)^2+($D434-AV$403)^2)</f>
        <v>6.46340515499828</v>
      </c>
      <c r="AW434" s="17" t="n">
        <f aca="false">SQRT(($B434-AW$401)^2+($C434-AW$402)^2+($D434-AW$403)^2)</f>
        <v>1.97308576649851</v>
      </c>
      <c r="AX434" s="17" t="n">
        <f aca="false">SQRT(($B434-AX$401)^2+($C434-AX$402)^2+($D434-AX$403)^2)</f>
        <v>2.29598947008009</v>
      </c>
      <c r="AY434" s="17" t="n">
        <f aca="false">SQRT(($B434-AY$401)^2+($C434-AY$402)^2+($D434-AY$403)^2)</f>
        <v>0.718003715177305</v>
      </c>
      <c r="AZ434" s="17" t="n">
        <f aca="false">SQRT(($B434-AZ$401)^2+($C434-AZ$402)^2+($D434-AZ$403)^2)</f>
        <v>4.23239811916055</v>
      </c>
      <c r="BA434" s="17" t="n">
        <f aca="false">SQRT(($B434-BA$401)^2+($C434-BA$402)^2+($D434-BA$403)^2)</f>
        <v>1.62016110942721</v>
      </c>
      <c r="BB434" s="63" t="n">
        <f aca="false">MATCH(MIN(AV434:BA434),AV434:BA434,0)</f>
        <v>4</v>
      </c>
      <c r="BD434" s="17" t="n">
        <f aca="false">SQRT(($B434-BD$401)^2+($C434-BD$402)^2+($D434-BD$403)^2)</f>
        <v>6.46340515499828</v>
      </c>
      <c r="BE434" s="17" t="n">
        <f aca="false">SQRT(($B434-BE$401)^2+($C434-BE$402)^2+($D434-BE$403)^2)</f>
        <v>1.95954452472666</v>
      </c>
      <c r="BF434" s="17" t="n">
        <f aca="false">SQRT(($B434-BF$401)^2+($C434-BF$402)^2+($D434-BF$403)^2)</f>
        <v>2.29598947008009</v>
      </c>
      <c r="BG434" s="17" t="n">
        <f aca="false">SQRT(($B434-BG$401)^2+($C434-BG$402)^2+($D434-BG$403)^2)</f>
        <v>0.718003715177305</v>
      </c>
      <c r="BH434" s="17" t="n">
        <f aca="false">SQRT(($B434-BH$401)^2+($C434-BH$402)^2+($D434-BH$403)^2)</f>
        <v>4.23239811916055</v>
      </c>
      <c r="BI434" s="17" t="n">
        <f aca="false">SQRT(($B434-BI$401)^2+($C434-BI$402)^2+($D434-BI$403)^2)</f>
        <v>1.62262576119973</v>
      </c>
      <c r="BJ434" s="63" t="n">
        <f aca="false">MATCH(MIN(BD434:BI434),BD434:BI434,0)</f>
        <v>4</v>
      </c>
      <c r="BL434" s="17" t="n">
        <f aca="false">SQRT(($B434-BL$401)^2+($C434-BL$402)^2+($D434-BL$403)^2)</f>
        <v>6.46340515499828</v>
      </c>
      <c r="BM434" s="17" t="n">
        <f aca="false">SQRT(($B434-BM$401)^2+($C434-BM$402)^2+($D434-BM$403)^2)</f>
        <v>1.95954452472666</v>
      </c>
      <c r="BN434" s="17" t="n">
        <f aca="false">SQRT(($B434-BN$401)^2+($C434-BN$402)^2+($D434-BN$403)^2)</f>
        <v>2.29598947008009</v>
      </c>
      <c r="BO434" s="17" t="n">
        <f aca="false">SQRT(($B434-BO$401)^2+($C434-BO$402)^2+($D434-BO$403)^2)</f>
        <v>0.718003715177305</v>
      </c>
      <c r="BP434" s="17" t="n">
        <f aca="false">SQRT(($B434-BP$401)^2+($C434-BP$402)^2+($D434-BP$403)^2)</f>
        <v>4.23239811916055</v>
      </c>
      <c r="BQ434" s="17" t="n">
        <f aca="false">SQRT(($B434-BQ$401)^2+($C434-BQ$402)^2+($D434-BQ$403)^2)</f>
        <v>1.62262576119973</v>
      </c>
      <c r="BR434" s="63" t="n">
        <f aca="false">MATCH(MIN(BL434:BQ434),BL434:BQ434,0)</f>
        <v>4</v>
      </c>
      <c r="BT434" s="17" t="n">
        <f aca="false">SQRT(($B434-BT$401)^2+($C434-BT$402)^2+($D434-BT$403)^2)</f>
        <v>6.46340515499828</v>
      </c>
      <c r="BU434" s="17" t="n">
        <f aca="false">SQRT(($B434-BU$401)^2+($C434-BU$402)^2+($D434-BU$403)^2)</f>
        <v>1.95954452472666</v>
      </c>
      <c r="BV434" s="17" t="n">
        <f aca="false">SQRT(($B434-BV$401)^2+($C434-BV$402)^2+($D434-BV$403)^2)</f>
        <v>2.29598947008009</v>
      </c>
      <c r="BW434" s="17" t="n">
        <f aca="false">SQRT(($B434-BW$401)^2+($C434-BW$402)^2+($D434-BW$403)^2)</f>
        <v>0.718003715177305</v>
      </c>
      <c r="BX434" s="17" t="n">
        <f aca="false">SQRT(($B434-BX$401)^2+($C434-BX$402)^2+($D434-BX$403)^2)</f>
        <v>4.23239811916055</v>
      </c>
      <c r="BY434" s="17" t="n">
        <f aca="false">SQRT(($B434-BY$401)^2+($C434-BY$402)^2+($D434-BY$403)^2)</f>
        <v>1.62262576119973</v>
      </c>
      <c r="BZ434" s="63" t="n">
        <f aca="false">MATCH(MIN(BT434:BY434),BT434:BY434,0)</f>
        <v>4</v>
      </c>
      <c r="CB434" s="17" t="n">
        <f aca="false">SQRT(($B434-CB$401)^2+($C434-CB$402)^2+($D434-CB$403)^2)</f>
        <v>6.46340515499828</v>
      </c>
      <c r="CC434" s="17" t="n">
        <f aca="false">SQRT(($B434-CC$401)^2+($C434-CC$402)^2+($D434-CC$403)^2)</f>
        <v>1.95954452472666</v>
      </c>
      <c r="CD434" s="17" t="n">
        <f aca="false">SQRT(($B434-CD$401)^2+($C434-CD$402)^2+($D434-CD$403)^2)</f>
        <v>2.29598947008009</v>
      </c>
      <c r="CE434" s="17" t="n">
        <f aca="false">SQRT(($B434-CE$401)^2+($C434-CE$402)^2+($D434-CE$403)^2)</f>
        <v>0.718003715177305</v>
      </c>
      <c r="CF434" s="17" t="n">
        <f aca="false">SQRT(($B434-CF$401)^2+($C434-CF$402)^2+($D434-CF$403)^2)</f>
        <v>4.23239811916055</v>
      </c>
      <c r="CG434" s="17" t="n">
        <f aca="false">SQRT(($B434-CG$401)^2+($C434-CG$402)^2+($D434-CG$403)^2)</f>
        <v>1.62262576119973</v>
      </c>
      <c r="CH434" s="63" t="n">
        <f aca="false">MATCH(MIN(CB434:CG434),CB434:CG434,0)</f>
        <v>4</v>
      </c>
      <c r="CJ434" s="17" t="n">
        <f aca="false">SQRT(($B434-CJ$401)^2+($C434-CJ$402)^2+($D434-CJ$403)^2)</f>
        <v>6.46340515499828</v>
      </c>
      <c r="CK434" s="17" t="n">
        <f aca="false">SQRT(($B434-CK$401)^2+($C434-CK$402)^2+($D434-CK$403)^2)</f>
        <v>1.95954452472666</v>
      </c>
      <c r="CL434" s="17" t="n">
        <f aca="false">SQRT(($B434-CL$401)^2+($C434-CL$402)^2+($D434-CL$403)^2)</f>
        <v>2.29598947008009</v>
      </c>
      <c r="CM434" s="17" t="n">
        <f aca="false">SQRT(($B434-CM$401)^2+($C434-CM$402)^2+($D434-CM$403)^2)</f>
        <v>0.718003715177305</v>
      </c>
      <c r="CN434" s="17" t="n">
        <f aca="false">SQRT(($B434-CN$401)^2+($C434-CN$402)^2+($D434-CN$403)^2)</f>
        <v>4.23239811916055</v>
      </c>
      <c r="CO434" s="17" t="n">
        <f aca="false">SQRT(($B434-CO$401)^2+($C434-CO$402)^2+($D434-CO$403)^2)</f>
        <v>1.62262576119973</v>
      </c>
      <c r="CP434" s="63" t="n">
        <f aca="false">MATCH(MIN(CJ434:CO434),CJ434:CO434,0)</f>
        <v>4</v>
      </c>
      <c r="CR434" s="17" t="n">
        <f aca="false">SQRT(($B434-CR$401)^2+($C434-CR$402)^2+($D434-CR$403)^2)</f>
        <v>6.46340515499828</v>
      </c>
      <c r="CS434" s="17" t="n">
        <f aca="false">SQRT(($B434-CS$401)^2+($C434-CS$402)^2+($D434-CS$403)^2)</f>
        <v>1.95954452472666</v>
      </c>
      <c r="CT434" s="17" t="n">
        <f aca="false">SQRT(($B434-CT$401)^2+($C434-CT$402)^2+($D434-CT$403)^2)</f>
        <v>2.29598947008009</v>
      </c>
      <c r="CU434" s="17" t="n">
        <f aca="false">SQRT(($B434-CU$401)^2+($C434-CU$402)^2+($D434-CU$403)^2)</f>
        <v>0.718003715177305</v>
      </c>
      <c r="CV434" s="17" t="n">
        <f aca="false">SQRT(($B434-CV$401)^2+($C434-CV$402)^2+($D434-CV$403)^2)</f>
        <v>4.23239811916055</v>
      </c>
      <c r="CW434" s="17" t="n">
        <f aca="false">SQRT(($B434-CW$401)^2+($C434-CW$402)^2+($D434-CW$403)^2)</f>
        <v>1.62262576119973</v>
      </c>
      <c r="CX434" s="63" t="n">
        <f aca="false">MATCH(MIN(CR434:CW434),CR434:CW434,0)</f>
        <v>4</v>
      </c>
      <c r="CZ434" s="17" t="n">
        <f aca="false">SQRT(($B434-CZ$401)^2+($C434-CZ$402)^2+($D434-CZ$403)^2)</f>
        <v>6.46340515499828</v>
      </c>
      <c r="DA434" s="17" t="n">
        <f aca="false">SQRT(($B434-DA$401)^2+($C434-DA$402)^2+($D434-DA$403)^2)</f>
        <v>1.95954452472666</v>
      </c>
      <c r="DB434" s="17" t="n">
        <f aca="false">SQRT(($B434-DB$401)^2+($C434-DB$402)^2+($D434-DB$403)^2)</f>
        <v>2.29598947008009</v>
      </c>
      <c r="DC434" s="17" t="n">
        <f aca="false">SQRT(($B434-DC$401)^2+($C434-DC$402)^2+($D434-DC$403)^2)</f>
        <v>0.718003715177305</v>
      </c>
      <c r="DD434" s="17" t="n">
        <f aca="false">SQRT(($B434-DD$401)^2+($C434-DD$402)^2+($D434-DD$403)^2)</f>
        <v>4.23239811916055</v>
      </c>
      <c r="DE434" s="17" t="n">
        <f aca="false">SQRT(($B434-DE$401)^2+($C434-DE$402)^2+($D434-DE$403)^2)</f>
        <v>1.62262576119973</v>
      </c>
      <c r="DF434" s="63" t="n">
        <f aca="false">MATCH(MIN(CZ434:DE434),CZ434:DE434,0)</f>
        <v>4</v>
      </c>
      <c r="DH434" s="17" t="n">
        <f aca="false">SQRT(($B434-DH$401)^2+($C434-DH$402)^2+($D434-DH$403)^2)</f>
        <v>6.46340515499828</v>
      </c>
      <c r="DI434" s="17" t="n">
        <f aca="false">SQRT(($B434-DI$401)^2+($C434-DI$402)^2+($D434-DI$403)^2)</f>
        <v>1.95954452472666</v>
      </c>
      <c r="DJ434" s="17" t="n">
        <f aca="false">SQRT(($B434-DJ$401)^2+($C434-DJ$402)^2+($D434-DJ$403)^2)</f>
        <v>2.29598947008009</v>
      </c>
      <c r="DK434" s="17" t="n">
        <f aca="false">SQRT(($B434-DK$401)^2+($C434-DK$402)^2+($D434-DK$403)^2)</f>
        <v>0.718003715177305</v>
      </c>
      <c r="DL434" s="17" t="n">
        <f aca="false">SQRT(($B434-DL$401)^2+($C434-DL$402)^2+($D434-DL$403)^2)</f>
        <v>4.23239811916055</v>
      </c>
      <c r="DM434" s="17" t="n">
        <f aca="false">SQRT(($B434-DM$401)^2+($C434-DM$402)^2+($D434-DM$403)^2)</f>
        <v>1.62262576119973</v>
      </c>
      <c r="DN434" s="63" t="n">
        <f aca="false">MATCH(MIN(DH434:DM434),DH434:DM434,0)</f>
        <v>4</v>
      </c>
    </row>
    <row r="435" customFormat="false" ht="15" hidden="false" customHeight="false" outlineLevel="0" collapsed="false">
      <c r="A435" s="36" t="str">
        <f aca="false">KMeans_Data!A32</f>
        <v>Buner</v>
      </c>
      <c r="B435" s="17" t="n">
        <f aca="false">KMeans_Data!H32</f>
        <v>0.602395784980437</v>
      </c>
      <c r="C435" s="17" t="n">
        <f aca="false">KMeans_Data!I32</f>
        <v>0.686180001083741</v>
      </c>
      <c r="D435" s="17" t="n">
        <f aca="false">KMeans_Data!J32</f>
        <v>0.8732151368336</v>
      </c>
      <c r="E435" s="63" t="n">
        <f aca="false">DN435</f>
        <v>3</v>
      </c>
      <c r="F435" s="38" t="n">
        <f aca="false">($B435-INDEX($L$401:$Q$401,E435))^2+($C435-INDEX($L$402:$Q$402,E435))^2+($D435-INDEX($L$403:$Q$403,E435))^2</f>
        <v>0.0434140839258678</v>
      </c>
      <c r="G435" s="17" t="n">
        <f aca="false">IF(COUNTIF(Distance_Matrix!$E$12:$DQ$12,$E435)&lt;=1,0,SUMIF(Distance_Matrix!$E$12:$DQ$12,$E435,Distance_Matrix!$E$41:$DQ$41)/(COUNTIF(Distance_Matrix!$E$12:$DQ$12,$E435)-1))</f>
        <v>0.678005676298328</v>
      </c>
      <c r="H435" s="17" t="n">
        <f aca="false">MIN(IF(1=$E435,1E+099,IF(COUNTIF(Distance_Matrix!$E$12:$DQ$12,1)=0,1E+099,SUMIF(Distance_Matrix!$E$12:$DQ$12,1,Distance_Matrix!$E$41:$DQ$41)/COUNTIF(Distance_Matrix!$E$12:$DQ$12,1))),IF(2=$E435,1E+099,IF(COUNTIF(Distance_Matrix!$E$12:$DQ$12,2)=0,1E+099,SUMIF(Distance_Matrix!$E$12:$DQ$12,2,Distance_Matrix!$E$41:$DQ$41)/COUNTIF(Distance_Matrix!$E$12:$DQ$12,2))),IF(3=$E435,1E+099,IF(COUNTIF(Distance_Matrix!$E$12:$DQ$12,3)=0,1E+099,SUMIF(Distance_Matrix!$E$12:$DQ$12,3,Distance_Matrix!$E$41:$DQ$41)/COUNTIF(Distance_Matrix!$E$12:$DQ$12,3))),IF(4=$E435,1E+099,IF(COUNTIF(Distance_Matrix!$E$12:$DQ$12,4)=0,1E+099,SUMIF(Distance_Matrix!$E$12:$DQ$12,4,Distance_Matrix!$E$41:$DQ$41)/COUNTIF(Distance_Matrix!$E$12:$DQ$12,4))),IF(5=$E435,1E+099,IF(COUNTIF(Distance_Matrix!$E$12:$DQ$12,5)=0,1E+099,SUMIF(Distance_Matrix!$E$12:$DQ$12,5,Distance_Matrix!$E$41:$DQ$41)/COUNTIF(Distance_Matrix!$E$12:$DQ$12,5))),IF(6=$E435,1E+099,IF(COUNTIF(Distance_Matrix!$E$12:$DQ$12,6)=0,1E+099,SUMIF(Distance_Matrix!$E$12:$DQ$12,6,Distance_Matrix!$E$41:$DQ$41)/COUNTIF(Distance_Matrix!$E$12:$DQ$12,6))))</f>
        <v>1.54230015340926</v>
      </c>
      <c r="I435" s="17" t="n">
        <f aca="false">IF(COUNTIF(Distance_Matrix!$E$12:$DQ$12,$E435)&lt;=1,0,(H435-G435)/MAX(G435,H435))</f>
        <v>0.560393173274611</v>
      </c>
      <c r="X435" s="17" t="n">
        <f aca="false">SQRT(($B435-X$401)^2+($C435-X$402)^2+($D435-X$403)^2)</f>
        <v>4.90321696714872</v>
      </c>
      <c r="Y435" s="17" t="n">
        <f aca="false">SQRT(($B435-Y$401)^2+($C435-Y$402)^2+($D435-Y$403)^2)</f>
        <v>3.62160940481517</v>
      </c>
      <c r="Z435" s="17" t="n">
        <f aca="false">SQRT(($B435-Z$401)^2+($C435-Z$402)^2+($D435-Z$403)^2)</f>
        <v>0.800226637856308</v>
      </c>
      <c r="AA435" s="17" t="n">
        <f aca="false">SQRT(($B435-AA$401)^2+($C435-AA$402)^2+($D435-AA$403)^2)</f>
        <v>2.18445105600008</v>
      </c>
      <c r="AB435" s="17" t="n">
        <f aca="false">SQRT(($B435-AB$401)^2+($C435-AB$402)^2+($D435-AB$403)^2)</f>
        <v>2.81746046306955</v>
      </c>
      <c r="AC435" s="17" t="n">
        <f aca="false">SQRT(($B435-AC$401)^2+($C435-AC$402)^2+($D435-AC$403)^2)</f>
        <v>1.57048738212444</v>
      </c>
      <c r="AD435" s="63" t="n">
        <f aca="false">MATCH(MIN(X435:AC435),X435:AC435,0)</f>
        <v>3</v>
      </c>
      <c r="AF435" s="17" t="n">
        <f aca="false">SQRT(($B435-AF$401)^2+($C435-AF$402)^2+($D435-AF$403)^2)</f>
        <v>4.80588185005512</v>
      </c>
      <c r="AG435" s="17" t="n">
        <f aca="false">SQRT(($B435-AG$401)^2+($C435-AG$402)^2+($D435-AG$403)^2)</f>
        <v>3.05930698008976</v>
      </c>
      <c r="AH435" s="17" t="n">
        <f aca="false">SQRT(($B435-AH$401)^2+($C435-AH$402)^2+($D435-AH$403)^2)</f>
        <v>0.238525444520681</v>
      </c>
      <c r="AI435" s="17" t="n">
        <f aca="false">SQRT(($B435-AI$401)^2+($C435-AI$402)^2+($D435-AI$403)^2)</f>
        <v>2.16706170930581</v>
      </c>
      <c r="AJ435" s="17" t="n">
        <f aca="false">SQRT(($B435-AJ$401)^2+($C435-AJ$402)^2+($D435-AJ$403)^2)</f>
        <v>2.54766292240716</v>
      </c>
      <c r="AK435" s="17" t="n">
        <f aca="false">SQRT(($B435-AK$401)^2+($C435-AK$402)^2+($D435-AK$403)^2)</f>
        <v>1.54958878642471</v>
      </c>
      <c r="AL435" s="63" t="n">
        <f aca="false">MATCH(MIN(AF435:AK435),AF435:AK435,0)</f>
        <v>3</v>
      </c>
      <c r="AN435" s="17" t="n">
        <f aca="false">SQRT(($B435-AN$401)^2+($C435-AN$402)^2+($D435-AN$403)^2)</f>
        <v>4.80588185005512</v>
      </c>
      <c r="AO435" s="17" t="n">
        <f aca="false">SQRT(($B435-AO$401)^2+($C435-AO$402)^2+($D435-AO$403)^2)</f>
        <v>3.01939274456177</v>
      </c>
      <c r="AP435" s="17" t="n">
        <f aca="false">SQRT(($B435-AP$401)^2+($C435-AP$402)^2+($D435-AP$403)^2)</f>
        <v>0.208360466321872</v>
      </c>
      <c r="AQ435" s="17" t="n">
        <f aca="false">SQRT(($B435-AQ$401)^2+($C435-AQ$402)^2+($D435-AQ$403)^2)</f>
        <v>2.19016212510113</v>
      </c>
      <c r="AR435" s="17" t="n">
        <f aca="false">SQRT(($B435-AR$401)^2+($C435-AR$402)^2+($D435-AR$403)^2)</f>
        <v>2.54766292240716</v>
      </c>
      <c r="AS435" s="17" t="n">
        <f aca="false">SQRT(($B435-AS$401)^2+($C435-AS$402)^2+($D435-AS$403)^2)</f>
        <v>1.51373209511812</v>
      </c>
      <c r="AT435" s="63" t="n">
        <f aca="false">MATCH(MIN(AN435:AS435),AN435:AS435,0)</f>
        <v>3</v>
      </c>
      <c r="AV435" s="17" t="n">
        <f aca="false">SQRT(($B435-AV$401)^2+($C435-AV$402)^2+($D435-AV$403)^2)</f>
        <v>4.80588185005512</v>
      </c>
      <c r="AW435" s="17" t="n">
        <f aca="false">SQRT(($B435-AW$401)^2+($C435-AW$402)^2+($D435-AW$403)^2)</f>
        <v>2.99129892621427</v>
      </c>
      <c r="AX435" s="17" t="n">
        <f aca="false">SQRT(($B435-AX$401)^2+($C435-AX$402)^2+($D435-AX$403)^2)</f>
        <v>0.208360466321872</v>
      </c>
      <c r="AY435" s="17" t="n">
        <f aca="false">SQRT(($B435-AY$401)^2+($C435-AY$402)^2+($D435-AY$403)^2)</f>
        <v>2.19016212510113</v>
      </c>
      <c r="AZ435" s="17" t="n">
        <f aca="false">SQRT(($B435-AZ$401)^2+($C435-AZ$402)^2+($D435-AZ$403)^2)</f>
        <v>2.54766292240716</v>
      </c>
      <c r="BA435" s="17" t="n">
        <f aca="false">SQRT(($B435-BA$401)^2+($C435-BA$402)^2+($D435-BA$403)^2)</f>
        <v>1.49022212666677</v>
      </c>
      <c r="BB435" s="63" t="n">
        <f aca="false">MATCH(MIN(AV435:BA435),AV435:BA435,0)</f>
        <v>3</v>
      </c>
      <c r="BD435" s="17" t="n">
        <f aca="false">SQRT(($B435-BD$401)^2+($C435-BD$402)^2+($D435-BD$403)^2)</f>
        <v>4.80588185005512</v>
      </c>
      <c r="BE435" s="17" t="n">
        <f aca="false">SQRT(($B435-BE$401)^2+($C435-BE$402)^2+($D435-BE$403)^2)</f>
        <v>2.96440159623639</v>
      </c>
      <c r="BF435" s="17" t="n">
        <f aca="false">SQRT(($B435-BF$401)^2+($C435-BF$402)^2+($D435-BF$403)^2)</f>
        <v>0.208360466321872</v>
      </c>
      <c r="BG435" s="17" t="n">
        <f aca="false">SQRT(($B435-BG$401)^2+($C435-BG$402)^2+($D435-BG$403)^2)</f>
        <v>2.19016212510113</v>
      </c>
      <c r="BH435" s="17" t="n">
        <f aca="false">SQRT(($B435-BH$401)^2+($C435-BH$402)^2+($D435-BH$403)^2)</f>
        <v>2.54766292240716</v>
      </c>
      <c r="BI435" s="17" t="n">
        <f aca="false">SQRT(($B435-BI$401)^2+($C435-BI$402)^2+($D435-BI$403)^2)</f>
        <v>1.46573946480718</v>
      </c>
      <c r="BJ435" s="63" t="n">
        <f aca="false">MATCH(MIN(BD435:BI435),BD435:BI435,0)</f>
        <v>3</v>
      </c>
      <c r="BL435" s="17" t="n">
        <f aca="false">SQRT(($B435-BL$401)^2+($C435-BL$402)^2+($D435-BL$403)^2)</f>
        <v>4.80588185005512</v>
      </c>
      <c r="BM435" s="17" t="n">
        <f aca="false">SQRT(($B435-BM$401)^2+($C435-BM$402)^2+($D435-BM$403)^2)</f>
        <v>2.96440159623639</v>
      </c>
      <c r="BN435" s="17" t="n">
        <f aca="false">SQRT(($B435-BN$401)^2+($C435-BN$402)^2+($D435-BN$403)^2)</f>
        <v>0.208360466321872</v>
      </c>
      <c r="BO435" s="17" t="n">
        <f aca="false">SQRT(($B435-BO$401)^2+($C435-BO$402)^2+($D435-BO$403)^2)</f>
        <v>2.19016212510113</v>
      </c>
      <c r="BP435" s="17" t="n">
        <f aca="false">SQRT(($B435-BP$401)^2+($C435-BP$402)^2+($D435-BP$403)^2)</f>
        <v>2.54766292240716</v>
      </c>
      <c r="BQ435" s="17" t="n">
        <f aca="false">SQRT(($B435-BQ$401)^2+($C435-BQ$402)^2+($D435-BQ$403)^2)</f>
        <v>1.46573946480718</v>
      </c>
      <c r="BR435" s="63" t="n">
        <f aca="false">MATCH(MIN(BL435:BQ435),BL435:BQ435,0)</f>
        <v>3</v>
      </c>
      <c r="BT435" s="17" t="n">
        <f aca="false">SQRT(($B435-BT$401)^2+($C435-BT$402)^2+($D435-BT$403)^2)</f>
        <v>4.80588185005512</v>
      </c>
      <c r="BU435" s="17" t="n">
        <f aca="false">SQRT(($B435-BU$401)^2+($C435-BU$402)^2+($D435-BU$403)^2)</f>
        <v>2.96440159623639</v>
      </c>
      <c r="BV435" s="17" t="n">
        <f aca="false">SQRT(($B435-BV$401)^2+($C435-BV$402)^2+($D435-BV$403)^2)</f>
        <v>0.208360466321872</v>
      </c>
      <c r="BW435" s="17" t="n">
        <f aca="false">SQRT(($B435-BW$401)^2+($C435-BW$402)^2+($D435-BW$403)^2)</f>
        <v>2.19016212510113</v>
      </c>
      <c r="BX435" s="17" t="n">
        <f aca="false">SQRT(($B435-BX$401)^2+($C435-BX$402)^2+($D435-BX$403)^2)</f>
        <v>2.54766292240716</v>
      </c>
      <c r="BY435" s="17" t="n">
        <f aca="false">SQRT(($B435-BY$401)^2+($C435-BY$402)^2+($D435-BY$403)^2)</f>
        <v>1.46573946480718</v>
      </c>
      <c r="BZ435" s="63" t="n">
        <f aca="false">MATCH(MIN(BT435:BY435),BT435:BY435,0)</f>
        <v>3</v>
      </c>
      <c r="CB435" s="17" t="n">
        <f aca="false">SQRT(($B435-CB$401)^2+($C435-CB$402)^2+($D435-CB$403)^2)</f>
        <v>4.80588185005512</v>
      </c>
      <c r="CC435" s="17" t="n">
        <f aca="false">SQRT(($B435-CC$401)^2+($C435-CC$402)^2+($D435-CC$403)^2)</f>
        <v>2.96440159623639</v>
      </c>
      <c r="CD435" s="17" t="n">
        <f aca="false">SQRT(($B435-CD$401)^2+($C435-CD$402)^2+($D435-CD$403)^2)</f>
        <v>0.208360466321872</v>
      </c>
      <c r="CE435" s="17" t="n">
        <f aca="false">SQRT(($B435-CE$401)^2+($C435-CE$402)^2+($D435-CE$403)^2)</f>
        <v>2.19016212510113</v>
      </c>
      <c r="CF435" s="17" t="n">
        <f aca="false">SQRT(($B435-CF$401)^2+($C435-CF$402)^2+($D435-CF$403)^2)</f>
        <v>2.54766292240716</v>
      </c>
      <c r="CG435" s="17" t="n">
        <f aca="false">SQRT(($B435-CG$401)^2+($C435-CG$402)^2+($D435-CG$403)^2)</f>
        <v>1.46573946480718</v>
      </c>
      <c r="CH435" s="63" t="n">
        <f aca="false">MATCH(MIN(CB435:CG435),CB435:CG435,0)</f>
        <v>3</v>
      </c>
      <c r="CJ435" s="17" t="n">
        <f aca="false">SQRT(($B435-CJ$401)^2+($C435-CJ$402)^2+($D435-CJ$403)^2)</f>
        <v>4.80588185005512</v>
      </c>
      <c r="CK435" s="17" t="n">
        <f aca="false">SQRT(($B435-CK$401)^2+($C435-CK$402)^2+($D435-CK$403)^2)</f>
        <v>2.96440159623639</v>
      </c>
      <c r="CL435" s="17" t="n">
        <f aca="false">SQRT(($B435-CL$401)^2+($C435-CL$402)^2+($D435-CL$403)^2)</f>
        <v>0.208360466321872</v>
      </c>
      <c r="CM435" s="17" t="n">
        <f aca="false">SQRT(($B435-CM$401)^2+($C435-CM$402)^2+($D435-CM$403)^2)</f>
        <v>2.19016212510113</v>
      </c>
      <c r="CN435" s="17" t="n">
        <f aca="false">SQRT(($B435-CN$401)^2+($C435-CN$402)^2+($D435-CN$403)^2)</f>
        <v>2.54766292240716</v>
      </c>
      <c r="CO435" s="17" t="n">
        <f aca="false">SQRT(($B435-CO$401)^2+($C435-CO$402)^2+($D435-CO$403)^2)</f>
        <v>1.46573946480718</v>
      </c>
      <c r="CP435" s="63" t="n">
        <f aca="false">MATCH(MIN(CJ435:CO435),CJ435:CO435,0)</f>
        <v>3</v>
      </c>
      <c r="CR435" s="17" t="n">
        <f aca="false">SQRT(($B435-CR$401)^2+($C435-CR$402)^2+($D435-CR$403)^2)</f>
        <v>4.80588185005512</v>
      </c>
      <c r="CS435" s="17" t="n">
        <f aca="false">SQRT(($B435-CS$401)^2+($C435-CS$402)^2+($D435-CS$403)^2)</f>
        <v>2.96440159623639</v>
      </c>
      <c r="CT435" s="17" t="n">
        <f aca="false">SQRT(($B435-CT$401)^2+($C435-CT$402)^2+($D435-CT$403)^2)</f>
        <v>0.208360466321872</v>
      </c>
      <c r="CU435" s="17" t="n">
        <f aca="false">SQRT(($B435-CU$401)^2+($C435-CU$402)^2+($D435-CU$403)^2)</f>
        <v>2.19016212510113</v>
      </c>
      <c r="CV435" s="17" t="n">
        <f aca="false">SQRT(($B435-CV$401)^2+($C435-CV$402)^2+($D435-CV$403)^2)</f>
        <v>2.54766292240716</v>
      </c>
      <c r="CW435" s="17" t="n">
        <f aca="false">SQRT(($B435-CW$401)^2+($C435-CW$402)^2+($D435-CW$403)^2)</f>
        <v>1.46573946480718</v>
      </c>
      <c r="CX435" s="63" t="n">
        <f aca="false">MATCH(MIN(CR435:CW435),CR435:CW435,0)</f>
        <v>3</v>
      </c>
      <c r="CZ435" s="17" t="n">
        <f aca="false">SQRT(($B435-CZ$401)^2+($C435-CZ$402)^2+($D435-CZ$403)^2)</f>
        <v>4.80588185005512</v>
      </c>
      <c r="DA435" s="17" t="n">
        <f aca="false">SQRT(($B435-DA$401)^2+($C435-DA$402)^2+($D435-DA$403)^2)</f>
        <v>2.96440159623639</v>
      </c>
      <c r="DB435" s="17" t="n">
        <f aca="false">SQRT(($B435-DB$401)^2+($C435-DB$402)^2+($D435-DB$403)^2)</f>
        <v>0.208360466321872</v>
      </c>
      <c r="DC435" s="17" t="n">
        <f aca="false">SQRT(($B435-DC$401)^2+($C435-DC$402)^2+($D435-DC$403)^2)</f>
        <v>2.19016212510113</v>
      </c>
      <c r="DD435" s="17" t="n">
        <f aca="false">SQRT(($B435-DD$401)^2+($C435-DD$402)^2+($D435-DD$403)^2)</f>
        <v>2.54766292240716</v>
      </c>
      <c r="DE435" s="17" t="n">
        <f aca="false">SQRT(($B435-DE$401)^2+($C435-DE$402)^2+($D435-DE$403)^2)</f>
        <v>1.46573946480718</v>
      </c>
      <c r="DF435" s="63" t="n">
        <f aca="false">MATCH(MIN(CZ435:DE435),CZ435:DE435,0)</f>
        <v>3</v>
      </c>
      <c r="DH435" s="17" t="n">
        <f aca="false">SQRT(($B435-DH$401)^2+($C435-DH$402)^2+($D435-DH$403)^2)</f>
        <v>4.80588185005512</v>
      </c>
      <c r="DI435" s="17" t="n">
        <f aca="false">SQRT(($B435-DI$401)^2+($C435-DI$402)^2+($D435-DI$403)^2)</f>
        <v>2.96440159623639</v>
      </c>
      <c r="DJ435" s="17" t="n">
        <f aca="false">SQRT(($B435-DJ$401)^2+($C435-DJ$402)^2+($D435-DJ$403)^2)</f>
        <v>0.208360466321872</v>
      </c>
      <c r="DK435" s="17" t="n">
        <f aca="false">SQRT(($B435-DK$401)^2+($C435-DK$402)^2+($D435-DK$403)^2)</f>
        <v>2.19016212510113</v>
      </c>
      <c r="DL435" s="17" t="n">
        <f aca="false">SQRT(($B435-DL$401)^2+($C435-DL$402)^2+($D435-DL$403)^2)</f>
        <v>2.54766292240716</v>
      </c>
      <c r="DM435" s="17" t="n">
        <f aca="false">SQRT(($B435-DM$401)^2+($C435-DM$402)^2+($D435-DM$403)^2)</f>
        <v>1.46573946480718</v>
      </c>
      <c r="DN435" s="63" t="n">
        <f aca="false">MATCH(MIN(DH435:DM435),DH435:DM435,0)</f>
        <v>3</v>
      </c>
    </row>
    <row r="436" customFormat="false" ht="15" hidden="false" customHeight="false" outlineLevel="0" collapsed="false">
      <c r="A436" s="36" t="str">
        <f aca="false">KMeans_Data!A33</f>
        <v>Sargodha</v>
      </c>
      <c r="B436" s="17" t="n">
        <f aca="false">KMeans_Data!H33</f>
        <v>0.577753548760862</v>
      </c>
      <c r="C436" s="17" t="n">
        <f aca="false">KMeans_Data!I33</f>
        <v>-0.672650545388274</v>
      </c>
      <c r="D436" s="17" t="n">
        <f aca="false">KMeans_Data!J33</f>
        <v>-0.399845222909568</v>
      </c>
      <c r="E436" s="63" t="n">
        <f aca="false">DN436</f>
        <v>4</v>
      </c>
      <c r="F436" s="38" t="n">
        <f aca="false">($B436-INDEX($L$401:$Q$401,E436))^2+($C436-INDEX($L$402:$Q$402,E436))^2+($D436-INDEX($L$403:$Q$403,E436))^2</f>
        <v>0.417195468070826</v>
      </c>
      <c r="G436" s="17" t="n">
        <f aca="false">IF(COUNTIF(Distance_Matrix!$E$12:$DQ$12,$E436)&lt;=1,0,SUMIF(Distance_Matrix!$E$12:$DQ$12,$E436,Distance_Matrix!$E$42:$DQ$42)/(COUNTIF(Distance_Matrix!$E$12:$DQ$12,$E436)-1))</f>
        <v>0.859633713679392</v>
      </c>
      <c r="H436" s="17" t="n">
        <f aca="false">MIN(IF(1=$E436,1E+099,IF(COUNTIF(Distance_Matrix!$E$12:$DQ$12,1)=0,1E+099,SUMIF(Distance_Matrix!$E$12:$DQ$12,1,Distance_Matrix!$E$42:$DQ$42)/COUNTIF(Distance_Matrix!$E$12:$DQ$12,1))),IF(2=$E436,1E+099,IF(COUNTIF(Distance_Matrix!$E$12:$DQ$12,2)=0,1E+099,SUMIF(Distance_Matrix!$E$12:$DQ$12,2,Distance_Matrix!$E$42:$DQ$42)/COUNTIF(Distance_Matrix!$E$12:$DQ$12,2))),IF(3=$E436,1E+099,IF(COUNTIF(Distance_Matrix!$E$12:$DQ$12,3)=0,1E+099,SUMIF(Distance_Matrix!$E$12:$DQ$12,3,Distance_Matrix!$E$42:$DQ$42)/COUNTIF(Distance_Matrix!$E$12:$DQ$12,3))),IF(4=$E436,1E+099,IF(COUNTIF(Distance_Matrix!$E$12:$DQ$12,4)=0,1E+099,SUMIF(Distance_Matrix!$E$12:$DQ$12,4,Distance_Matrix!$E$42:$DQ$42)/COUNTIF(Distance_Matrix!$E$12:$DQ$12,4))),IF(5=$E436,1E+099,IF(COUNTIF(Distance_Matrix!$E$12:$DQ$12,5)=0,1E+099,SUMIF(Distance_Matrix!$E$12:$DQ$12,5,Distance_Matrix!$E$42:$DQ$42)/COUNTIF(Distance_Matrix!$E$12:$DQ$12,5))),IF(6=$E436,1E+099,IF(COUNTIF(Distance_Matrix!$E$12:$DQ$12,6)=0,1E+099,SUMIF(Distance_Matrix!$E$12:$DQ$12,6,Distance_Matrix!$E$42:$DQ$42)/COUNTIF(Distance_Matrix!$E$12:$DQ$12,6))))</f>
        <v>1.203188917544</v>
      </c>
      <c r="I436" s="17" t="n">
        <f aca="false">IF(COUNTIF(Distance_Matrix!$E$12:$DQ$12,$E436)&lt;=1,0,(H436-G436)/MAX(G436,H436))</f>
        <v>0.285537207711227</v>
      </c>
      <c r="X436" s="17" t="n">
        <f aca="false">SQRT(($B436-X$401)^2+($C436-X$402)^2+($D436-X$403)^2)</f>
        <v>6.54299969229988</v>
      </c>
      <c r="Y436" s="17" t="n">
        <f aca="false">SQRT(($B436-Y$401)^2+($C436-Y$402)^2+($D436-Y$403)^2)</f>
        <v>2.76015891289846</v>
      </c>
      <c r="Z436" s="17" t="n">
        <f aca="false">SQRT(($B436-Z$401)^2+($C436-Z$402)^2+($D436-Z$403)^2)</f>
        <v>2.19416414393801</v>
      </c>
      <c r="AA436" s="17" t="n">
        <f aca="false">SQRT(($B436-AA$401)^2+($C436-AA$402)^2+($D436-AA$403)^2)</f>
        <v>0.914961899056731</v>
      </c>
      <c r="AB436" s="17" t="n">
        <f aca="false">SQRT(($B436-AB$401)^2+($C436-AB$402)^2+($D436-AB$403)^2)</f>
        <v>4.43616102073839</v>
      </c>
      <c r="AC436" s="17" t="n">
        <f aca="false">SQRT(($B436-AC$401)^2+($C436-AC$402)^2+($D436-AC$403)^2)</f>
        <v>1.7269490946838</v>
      </c>
      <c r="AD436" s="63" t="n">
        <f aca="false">MATCH(MIN(X436:AC436),X436:AC436,0)</f>
        <v>4</v>
      </c>
      <c r="AF436" s="17" t="n">
        <f aca="false">SQRT(($B436-AF$401)^2+($C436-AF$402)^2+($D436-AF$403)^2)</f>
        <v>6.42628163925826</v>
      </c>
      <c r="AG436" s="17" t="n">
        <f aca="false">SQRT(($B436-AG$401)^2+($C436-AG$402)^2+($D436-AG$403)^2)</f>
        <v>2.02207125793192</v>
      </c>
      <c r="AH436" s="17" t="n">
        <f aca="false">SQRT(($B436-AH$401)^2+($C436-AH$402)^2+($D436-AH$403)^2)</f>
        <v>2.03319724139273</v>
      </c>
      <c r="AI436" s="17" t="n">
        <f aca="false">SQRT(($B436-AI$401)^2+($C436-AI$402)^2+($D436-AI$403)^2)</f>
        <v>0.643569757544217</v>
      </c>
      <c r="AJ436" s="17" t="n">
        <f aca="false">SQRT(($B436-AJ$401)^2+($C436-AJ$402)^2+($D436-AJ$403)^2)</f>
        <v>4.1706245528765</v>
      </c>
      <c r="AK436" s="17" t="n">
        <f aca="false">SQRT(($B436-AK$401)^2+($C436-AK$402)^2+($D436-AK$403)^2)</f>
        <v>1.05676116614076</v>
      </c>
      <c r="AL436" s="63" t="n">
        <f aca="false">MATCH(MIN(AF436:AK436),AF436:AK436,0)</f>
        <v>4</v>
      </c>
      <c r="AN436" s="17" t="n">
        <f aca="false">SQRT(($B436-AN$401)^2+($C436-AN$402)^2+($D436-AN$403)^2)</f>
        <v>6.42628163925826</v>
      </c>
      <c r="AO436" s="17" t="n">
        <f aca="false">SQRT(($B436-AO$401)^2+($C436-AO$402)^2+($D436-AO$403)^2)</f>
        <v>1.97446455057502</v>
      </c>
      <c r="AP436" s="17" t="n">
        <f aca="false">SQRT(($B436-AP$401)^2+($C436-AP$402)^2+($D436-AP$403)^2)</f>
        <v>2.01314679528183</v>
      </c>
      <c r="AQ436" s="17" t="n">
        <f aca="false">SQRT(($B436-AQ$401)^2+($C436-AQ$402)^2+($D436-AQ$403)^2)</f>
        <v>0.645906702295948</v>
      </c>
      <c r="AR436" s="17" t="n">
        <f aca="false">SQRT(($B436-AR$401)^2+($C436-AR$402)^2+($D436-AR$403)^2)</f>
        <v>4.1706245528765</v>
      </c>
      <c r="AS436" s="17" t="n">
        <f aca="false">SQRT(($B436-AS$401)^2+($C436-AS$402)^2+($D436-AS$403)^2)</f>
        <v>1.03960457273605</v>
      </c>
      <c r="AT436" s="63" t="n">
        <f aca="false">MATCH(MIN(AN436:AS436),AN436:AS436,0)</f>
        <v>4</v>
      </c>
      <c r="AV436" s="17" t="n">
        <f aca="false">SQRT(($B436-AV$401)^2+($C436-AV$402)^2+($D436-AV$403)^2)</f>
        <v>6.42628163925826</v>
      </c>
      <c r="AW436" s="17" t="n">
        <f aca="false">SQRT(($B436-AW$401)^2+($C436-AW$402)^2+($D436-AW$403)^2)</f>
        <v>1.94791901710906</v>
      </c>
      <c r="AX436" s="17" t="n">
        <f aca="false">SQRT(($B436-AX$401)^2+($C436-AX$402)^2+($D436-AX$403)^2)</f>
        <v>2.01314679528183</v>
      </c>
      <c r="AY436" s="17" t="n">
        <f aca="false">SQRT(($B436-AY$401)^2+($C436-AY$402)^2+($D436-AY$403)^2)</f>
        <v>0.645906702295948</v>
      </c>
      <c r="AZ436" s="17" t="n">
        <f aca="false">SQRT(($B436-AZ$401)^2+($C436-AZ$402)^2+($D436-AZ$403)^2)</f>
        <v>4.1706245528765</v>
      </c>
      <c r="BA436" s="17" t="n">
        <f aca="false">SQRT(($B436-BA$401)^2+($C436-BA$402)^2+($D436-BA$403)^2)</f>
        <v>1.03951393135319</v>
      </c>
      <c r="BB436" s="63" t="n">
        <f aca="false">MATCH(MIN(AV436:BA436),AV436:BA436,0)</f>
        <v>4</v>
      </c>
      <c r="BD436" s="17" t="n">
        <f aca="false">SQRT(($B436-BD$401)^2+($C436-BD$402)^2+($D436-BD$403)^2)</f>
        <v>6.42628163925826</v>
      </c>
      <c r="BE436" s="17" t="n">
        <f aca="false">SQRT(($B436-BE$401)^2+($C436-BE$402)^2+($D436-BE$403)^2)</f>
        <v>1.92406505801218</v>
      </c>
      <c r="BF436" s="17" t="n">
        <f aca="false">SQRT(($B436-BF$401)^2+($C436-BF$402)^2+($D436-BF$403)^2)</f>
        <v>2.01314679528183</v>
      </c>
      <c r="BG436" s="17" t="n">
        <f aca="false">SQRT(($B436-BG$401)^2+($C436-BG$402)^2+($D436-BG$403)^2)</f>
        <v>0.645906702295948</v>
      </c>
      <c r="BH436" s="17" t="n">
        <f aca="false">SQRT(($B436-BH$401)^2+($C436-BH$402)^2+($D436-BH$403)^2)</f>
        <v>4.1706245528765</v>
      </c>
      <c r="BI436" s="17" t="n">
        <f aca="false">SQRT(($B436-BI$401)^2+($C436-BI$402)^2+($D436-BI$403)^2)</f>
        <v>1.03749866070549</v>
      </c>
      <c r="BJ436" s="63" t="n">
        <f aca="false">MATCH(MIN(BD436:BI436),BD436:BI436,0)</f>
        <v>4</v>
      </c>
      <c r="BL436" s="17" t="n">
        <f aca="false">SQRT(($B436-BL$401)^2+($C436-BL$402)^2+($D436-BL$403)^2)</f>
        <v>6.42628163925826</v>
      </c>
      <c r="BM436" s="17" t="n">
        <f aca="false">SQRT(($B436-BM$401)^2+($C436-BM$402)^2+($D436-BM$403)^2)</f>
        <v>1.92406505801218</v>
      </c>
      <c r="BN436" s="17" t="n">
        <f aca="false">SQRT(($B436-BN$401)^2+($C436-BN$402)^2+($D436-BN$403)^2)</f>
        <v>2.01314679528183</v>
      </c>
      <c r="BO436" s="17" t="n">
        <f aca="false">SQRT(($B436-BO$401)^2+($C436-BO$402)^2+($D436-BO$403)^2)</f>
        <v>0.645906702295948</v>
      </c>
      <c r="BP436" s="17" t="n">
        <f aca="false">SQRT(($B436-BP$401)^2+($C436-BP$402)^2+($D436-BP$403)^2)</f>
        <v>4.1706245528765</v>
      </c>
      <c r="BQ436" s="17" t="n">
        <f aca="false">SQRT(($B436-BQ$401)^2+($C436-BQ$402)^2+($D436-BQ$403)^2)</f>
        <v>1.03749866070549</v>
      </c>
      <c r="BR436" s="63" t="n">
        <f aca="false">MATCH(MIN(BL436:BQ436),BL436:BQ436,0)</f>
        <v>4</v>
      </c>
      <c r="BT436" s="17" t="n">
        <f aca="false">SQRT(($B436-BT$401)^2+($C436-BT$402)^2+($D436-BT$403)^2)</f>
        <v>6.42628163925826</v>
      </c>
      <c r="BU436" s="17" t="n">
        <f aca="false">SQRT(($B436-BU$401)^2+($C436-BU$402)^2+($D436-BU$403)^2)</f>
        <v>1.92406505801218</v>
      </c>
      <c r="BV436" s="17" t="n">
        <f aca="false">SQRT(($B436-BV$401)^2+($C436-BV$402)^2+($D436-BV$403)^2)</f>
        <v>2.01314679528183</v>
      </c>
      <c r="BW436" s="17" t="n">
        <f aca="false">SQRT(($B436-BW$401)^2+($C436-BW$402)^2+($D436-BW$403)^2)</f>
        <v>0.645906702295948</v>
      </c>
      <c r="BX436" s="17" t="n">
        <f aca="false">SQRT(($B436-BX$401)^2+($C436-BX$402)^2+($D436-BX$403)^2)</f>
        <v>4.1706245528765</v>
      </c>
      <c r="BY436" s="17" t="n">
        <f aca="false">SQRT(($B436-BY$401)^2+($C436-BY$402)^2+($D436-BY$403)^2)</f>
        <v>1.03749866070549</v>
      </c>
      <c r="BZ436" s="63" t="n">
        <f aca="false">MATCH(MIN(BT436:BY436),BT436:BY436,0)</f>
        <v>4</v>
      </c>
      <c r="CB436" s="17" t="n">
        <f aca="false">SQRT(($B436-CB$401)^2+($C436-CB$402)^2+($D436-CB$403)^2)</f>
        <v>6.42628163925826</v>
      </c>
      <c r="CC436" s="17" t="n">
        <f aca="false">SQRT(($B436-CC$401)^2+($C436-CC$402)^2+($D436-CC$403)^2)</f>
        <v>1.92406505801218</v>
      </c>
      <c r="CD436" s="17" t="n">
        <f aca="false">SQRT(($B436-CD$401)^2+($C436-CD$402)^2+($D436-CD$403)^2)</f>
        <v>2.01314679528183</v>
      </c>
      <c r="CE436" s="17" t="n">
        <f aca="false">SQRT(($B436-CE$401)^2+($C436-CE$402)^2+($D436-CE$403)^2)</f>
        <v>0.645906702295948</v>
      </c>
      <c r="CF436" s="17" t="n">
        <f aca="false">SQRT(($B436-CF$401)^2+($C436-CF$402)^2+($D436-CF$403)^2)</f>
        <v>4.1706245528765</v>
      </c>
      <c r="CG436" s="17" t="n">
        <f aca="false">SQRT(($B436-CG$401)^2+($C436-CG$402)^2+($D436-CG$403)^2)</f>
        <v>1.03749866070549</v>
      </c>
      <c r="CH436" s="63" t="n">
        <f aca="false">MATCH(MIN(CB436:CG436),CB436:CG436,0)</f>
        <v>4</v>
      </c>
      <c r="CJ436" s="17" t="n">
        <f aca="false">SQRT(($B436-CJ$401)^2+($C436-CJ$402)^2+($D436-CJ$403)^2)</f>
        <v>6.42628163925826</v>
      </c>
      <c r="CK436" s="17" t="n">
        <f aca="false">SQRT(($B436-CK$401)^2+($C436-CK$402)^2+($D436-CK$403)^2)</f>
        <v>1.92406505801218</v>
      </c>
      <c r="CL436" s="17" t="n">
        <f aca="false">SQRT(($B436-CL$401)^2+($C436-CL$402)^2+($D436-CL$403)^2)</f>
        <v>2.01314679528183</v>
      </c>
      <c r="CM436" s="17" t="n">
        <f aca="false">SQRT(($B436-CM$401)^2+($C436-CM$402)^2+($D436-CM$403)^2)</f>
        <v>0.645906702295948</v>
      </c>
      <c r="CN436" s="17" t="n">
        <f aca="false">SQRT(($B436-CN$401)^2+($C436-CN$402)^2+($D436-CN$403)^2)</f>
        <v>4.1706245528765</v>
      </c>
      <c r="CO436" s="17" t="n">
        <f aca="false">SQRT(($B436-CO$401)^2+($C436-CO$402)^2+($D436-CO$403)^2)</f>
        <v>1.03749866070549</v>
      </c>
      <c r="CP436" s="63" t="n">
        <f aca="false">MATCH(MIN(CJ436:CO436),CJ436:CO436,0)</f>
        <v>4</v>
      </c>
      <c r="CR436" s="17" t="n">
        <f aca="false">SQRT(($B436-CR$401)^2+($C436-CR$402)^2+($D436-CR$403)^2)</f>
        <v>6.42628163925826</v>
      </c>
      <c r="CS436" s="17" t="n">
        <f aca="false">SQRT(($B436-CS$401)^2+($C436-CS$402)^2+($D436-CS$403)^2)</f>
        <v>1.92406505801218</v>
      </c>
      <c r="CT436" s="17" t="n">
        <f aca="false">SQRT(($B436-CT$401)^2+($C436-CT$402)^2+($D436-CT$403)^2)</f>
        <v>2.01314679528183</v>
      </c>
      <c r="CU436" s="17" t="n">
        <f aca="false">SQRT(($B436-CU$401)^2+($C436-CU$402)^2+($D436-CU$403)^2)</f>
        <v>0.645906702295948</v>
      </c>
      <c r="CV436" s="17" t="n">
        <f aca="false">SQRT(($B436-CV$401)^2+($C436-CV$402)^2+($D436-CV$403)^2)</f>
        <v>4.1706245528765</v>
      </c>
      <c r="CW436" s="17" t="n">
        <f aca="false">SQRT(($B436-CW$401)^2+($C436-CW$402)^2+($D436-CW$403)^2)</f>
        <v>1.03749866070549</v>
      </c>
      <c r="CX436" s="63" t="n">
        <f aca="false">MATCH(MIN(CR436:CW436),CR436:CW436,0)</f>
        <v>4</v>
      </c>
      <c r="CZ436" s="17" t="n">
        <f aca="false">SQRT(($B436-CZ$401)^2+($C436-CZ$402)^2+($D436-CZ$403)^2)</f>
        <v>6.42628163925826</v>
      </c>
      <c r="DA436" s="17" t="n">
        <f aca="false">SQRT(($B436-DA$401)^2+($C436-DA$402)^2+($D436-DA$403)^2)</f>
        <v>1.92406505801218</v>
      </c>
      <c r="DB436" s="17" t="n">
        <f aca="false">SQRT(($B436-DB$401)^2+($C436-DB$402)^2+($D436-DB$403)^2)</f>
        <v>2.01314679528183</v>
      </c>
      <c r="DC436" s="17" t="n">
        <f aca="false">SQRT(($B436-DC$401)^2+($C436-DC$402)^2+($D436-DC$403)^2)</f>
        <v>0.645906702295948</v>
      </c>
      <c r="DD436" s="17" t="n">
        <f aca="false">SQRT(($B436-DD$401)^2+($C436-DD$402)^2+($D436-DD$403)^2)</f>
        <v>4.1706245528765</v>
      </c>
      <c r="DE436" s="17" t="n">
        <f aca="false">SQRT(($B436-DE$401)^2+($C436-DE$402)^2+($D436-DE$403)^2)</f>
        <v>1.03749866070549</v>
      </c>
      <c r="DF436" s="63" t="n">
        <f aca="false">MATCH(MIN(CZ436:DE436),CZ436:DE436,0)</f>
        <v>4</v>
      </c>
      <c r="DH436" s="17" t="n">
        <f aca="false">SQRT(($B436-DH$401)^2+($C436-DH$402)^2+($D436-DH$403)^2)</f>
        <v>6.42628163925826</v>
      </c>
      <c r="DI436" s="17" t="n">
        <f aca="false">SQRT(($B436-DI$401)^2+($C436-DI$402)^2+($D436-DI$403)^2)</f>
        <v>1.92406505801218</v>
      </c>
      <c r="DJ436" s="17" t="n">
        <f aca="false">SQRT(($B436-DJ$401)^2+($C436-DJ$402)^2+($D436-DJ$403)^2)</f>
        <v>2.01314679528183</v>
      </c>
      <c r="DK436" s="17" t="n">
        <f aca="false">SQRT(($B436-DK$401)^2+($C436-DK$402)^2+($D436-DK$403)^2)</f>
        <v>0.645906702295948</v>
      </c>
      <c r="DL436" s="17" t="n">
        <f aca="false">SQRT(($B436-DL$401)^2+($C436-DL$402)^2+($D436-DL$403)^2)</f>
        <v>4.1706245528765</v>
      </c>
      <c r="DM436" s="17" t="n">
        <f aca="false">SQRT(($B436-DM$401)^2+($C436-DM$402)^2+($D436-DM$403)^2)</f>
        <v>1.03749866070549</v>
      </c>
      <c r="DN436" s="63" t="n">
        <f aca="false">MATCH(MIN(DH436:DM436),DH436:DM436,0)</f>
        <v>4</v>
      </c>
    </row>
    <row r="437" customFormat="false" ht="15" hidden="false" customHeight="false" outlineLevel="0" collapsed="false">
      <c r="A437" s="36" t="str">
        <f aca="false">KMeans_Data!A34</f>
        <v>Shaheed Benazirabad</v>
      </c>
      <c r="B437" s="17" t="n">
        <f aca="false">KMeans_Data!H34</f>
        <v>0.577753548760862</v>
      </c>
      <c r="C437" s="17" t="n">
        <f aca="false">KMeans_Data!I34</f>
        <v>0.160512589624996</v>
      </c>
      <c r="D437" s="17" t="n">
        <f aca="false">KMeans_Data!J34</f>
        <v>0.781544486275172</v>
      </c>
      <c r="E437" s="63" t="n">
        <f aca="false">DN437</f>
        <v>3</v>
      </c>
      <c r="F437" s="38" t="n">
        <f aca="false">($B437-INDEX($L$401:$Q$401,E437))^2+($C437-INDEX($L$402:$Q$402,E437))^2+($D437-INDEX($L$403:$Q$403,E437))^2</f>
        <v>0.497014002940185</v>
      </c>
      <c r="G437" s="17" t="n">
        <f aca="false">IF(COUNTIF(Distance_Matrix!$E$12:$DQ$12,$E437)&lt;=1,0,SUMIF(Distance_Matrix!$E$12:$DQ$12,$E437,Distance_Matrix!$E$43:$DQ$43)/(COUNTIF(Distance_Matrix!$E$12:$DQ$12,$E437)-1))</f>
        <v>0.92281281451725</v>
      </c>
      <c r="H437" s="17" t="n">
        <f aca="false">MIN(IF(1=$E437,1E+099,IF(COUNTIF(Distance_Matrix!$E$12:$DQ$12,1)=0,1E+099,SUMIF(Distance_Matrix!$E$12:$DQ$12,1,Distance_Matrix!$E$43:$DQ$43)/COUNTIF(Distance_Matrix!$E$12:$DQ$12,1))),IF(2=$E437,1E+099,IF(COUNTIF(Distance_Matrix!$E$12:$DQ$12,2)=0,1E+099,SUMIF(Distance_Matrix!$E$12:$DQ$12,2,Distance_Matrix!$E$43:$DQ$43)/COUNTIF(Distance_Matrix!$E$12:$DQ$12,2))),IF(3=$E437,1E+099,IF(COUNTIF(Distance_Matrix!$E$12:$DQ$12,3)=0,1E+099,SUMIF(Distance_Matrix!$E$12:$DQ$12,3,Distance_Matrix!$E$43:$DQ$43)/COUNTIF(Distance_Matrix!$E$12:$DQ$12,3))),IF(4=$E437,1E+099,IF(COUNTIF(Distance_Matrix!$E$12:$DQ$12,4)=0,1E+099,SUMIF(Distance_Matrix!$E$12:$DQ$12,4,Distance_Matrix!$E$43:$DQ$43)/COUNTIF(Distance_Matrix!$E$12:$DQ$12,4))),IF(5=$E437,1E+099,IF(COUNTIF(Distance_Matrix!$E$12:$DQ$12,5)=0,1E+099,SUMIF(Distance_Matrix!$E$12:$DQ$12,5,Distance_Matrix!$E$43:$DQ$43)/COUNTIF(Distance_Matrix!$E$12:$DQ$12,5))),IF(6=$E437,1E+099,IF(COUNTIF(Distance_Matrix!$E$12:$DQ$12,6)=0,1E+099,SUMIF(Distance_Matrix!$E$12:$DQ$12,6,Distance_Matrix!$E$43:$DQ$43)/COUNTIF(Distance_Matrix!$E$12:$DQ$12,6))))</f>
        <v>1.18183750811447</v>
      </c>
      <c r="I437" s="17" t="n">
        <f aca="false">IF(COUNTIF(Distance_Matrix!$E$12:$DQ$12,$E437)&lt;=1,0,(H437-G437)/MAX(G437,H437))</f>
        <v>0.219171156625819</v>
      </c>
      <c r="X437" s="17" t="n">
        <f aca="false">SQRT(($B437-X$401)^2+($C437-X$402)^2+($D437-X$403)^2)</f>
        <v>5.33100349295761</v>
      </c>
      <c r="Y437" s="17" t="n">
        <f aca="false">SQRT(($B437-Y$401)^2+($C437-Y$402)^2+($D437-Y$403)^2)</f>
        <v>3.38680940629828</v>
      </c>
      <c r="Z437" s="17" t="n">
        <f aca="false">SQRT(($B437-Z$401)^2+($C437-Z$402)^2+($D437-Z$403)^2)</f>
        <v>0.85635508280799</v>
      </c>
      <c r="AA437" s="17" t="n">
        <f aca="false">SQRT(($B437-AA$401)^2+($C437-AA$402)^2+($D437-AA$403)^2)</f>
        <v>1.95274744651033</v>
      </c>
      <c r="AB437" s="17" t="n">
        <f aca="false">SQRT(($B437-AB$401)^2+($C437-AB$402)^2+($D437-AB$403)^2)</f>
        <v>3.2055617057629</v>
      </c>
      <c r="AC437" s="17" t="n">
        <f aca="false">SQRT(($B437-AC$401)^2+($C437-AC$402)^2+($D437-AC$403)^2)</f>
        <v>1.32908893901829</v>
      </c>
      <c r="AD437" s="63" t="n">
        <f aca="false">MATCH(MIN(X437:AC437),X437:AC437,0)</f>
        <v>3</v>
      </c>
      <c r="AF437" s="17" t="n">
        <f aca="false">SQRT(($B437-AF$401)^2+($C437-AF$402)^2+($D437-AF$403)^2)</f>
        <v>5.2424742093381</v>
      </c>
      <c r="AG437" s="17" t="n">
        <f aca="false">SQRT(($B437-AG$401)^2+($C437-AG$402)^2+($D437-AG$403)^2)</f>
        <v>2.79005331614358</v>
      </c>
      <c r="AH437" s="17" t="n">
        <f aca="false">SQRT(($B437-AH$401)^2+($C437-AH$402)^2+($D437-AH$403)^2)</f>
        <v>0.724738490695254</v>
      </c>
      <c r="AI437" s="17" t="n">
        <f aca="false">SQRT(($B437-AI$401)^2+($C437-AI$402)^2+($D437-AI$403)^2)</f>
        <v>1.83178566053527</v>
      </c>
      <c r="AJ437" s="17" t="n">
        <f aca="false">SQRT(($B437-AJ$401)^2+($C437-AJ$402)^2+($D437-AJ$403)^2)</f>
        <v>2.99402480926564</v>
      </c>
      <c r="AK437" s="17" t="n">
        <f aca="false">SQRT(($B437-AK$401)^2+($C437-AK$402)^2+($D437-AK$403)^2)</f>
        <v>1.17660457591247</v>
      </c>
      <c r="AL437" s="63" t="n">
        <f aca="false">MATCH(MIN(AF437:AK437),AF437:AK437,0)</f>
        <v>3</v>
      </c>
      <c r="AN437" s="17" t="n">
        <f aca="false">SQRT(($B437-AN$401)^2+($C437-AN$402)^2+($D437-AN$403)^2)</f>
        <v>5.2424742093381</v>
      </c>
      <c r="AO437" s="17" t="n">
        <f aca="false">SQRT(($B437-AO$401)^2+($C437-AO$402)^2+($D437-AO$403)^2)</f>
        <v>2.74698598594935</v>
      </c>
      <c r="AP437" s="17" t="n">
        <f aca="false">SQRT(($B437-AP$401)^2+($C437-AP$402)^2+($D437-AP$403)^2)</f>
        <v>0.704992200623656</v>
      </c>
      <c r="AQ437" s="17" t="n">
        <f aca="false">SQRT(($B437-AQ$401)^2+($C437-AQ$402)^2+($D437-AQ$403)^2)</f>
        <v>1.85009065381755</v>
      </c>
      <c r="AR437" s="17" t="n">
        <f aca="false">SQRT(($B437-AR$401)^2+($C437-AR$402)^2+($D437-AR$403)^2)</f>
        <v>2.99402480926564</v>
      </c>
      <c r="AS437" s="17" t="n">
        <f aca="false">SQRT(($B437-AS$401)^2+($C437-AS$402)^2+($D437-AS$403)^2)</f>
        <v>1.13410811436628</v>
      </c>
      <c r="AT437" s="63" t="n">
        <f aca="false">MATCH(MIN(AN437:AS437),AN437:AS437,0)</f>
        <v>3</v>
      </c>
      <c r="AV437" s="17" t="n">
        <f aca="false">SQRT(($B437-AV$401)^2+($C437-AV$402)^2+($D437-AV$403)^2)</f>
        <v>5.2424742093381</v>
      </c>
      <c r="AW437" s="17" t="n">
        <f aca="false">SQRT(($B437-AW$401)^2+($C437-AW$402)^2+($D437-AW$403)^2)</f>
        <v>2.71696583470085</v>
      </c>
      <c r="AX437" s="17" t="n">
        <f aca="false">SQRT(($B437-AX$401)^2+($C437-AX$402)^2+($D437-AX$403)^2)</f>
        <v>0.704992200623656</v>
      </c>
      <c r="AY437" s="17" t="n">
        <f aca="false">SQRT(($B437-AY$401)^2+($C437-AY$402)^2+($D437-AY$403)^2)</f>
        <v>1.85009065381755</v>
      </c>
      <c r="AZ437" s="17" t="n">
        <f aca="false">SQRT(($B437-AZ$401)^2+($C437-AZ$402)^2+($D437-AZ$403)^2)</f>
        <v>2.99402480926564</v>
      </c>
      <c r="BA437" s="17" t="n">
        <f aca="false">SQRT(($B437-BA$401)^2+($C437-BA$402)^2+($D437-BA$403)^2)</f>
        <v>1.10856175184326</v>
      </c>
      <c r="BB437" s="63" t="n">
        <f aca="false">MATCH(MIN(AV437:BA437),AV437:BA437,0)</f>
        <v>3</v>
      </c>
      <c r="BD437" s="17" t="n">
        <f aca="false">SQRT(($B437-BD$401)^2+($C437-BD$402)^2+($D437-BD$403)^2)</f>
        <v>5.2424742093381</v>
      </c>
      <c r="BE437" s="17" t="n">
        <f aca="false">SQRT(($B437-BE$401)^2+($C437-BE$402)^2+($D437-BE$403)^2)</f>
        <v>2.68824820963769</v>
      </c>
      <c r="BF437" s="17" t="n">
        <f aca="false">SQRT(($B437-BF$401)^2+($C437-BF$402)^2+($D437-BF$403)^2)</f>
        <v>0.704992200623656</v>
      </c>
      <c r="BG437" s="17" t="n">
        <f aca="false">SQRT(($B437-BG$401)^2+($C437-BG$402)^2+($D437-BG$403)^2)</f>
        <v>1.85009065381755</v>
      </c>
      <c r="BH437" s="17" t="n">
        <f aca="false">SQRT(($B437-BH$401)^2+($C437-BH$402)^2+($D437-BH$403)^2)</f>
        <v>2.99402480926564</v>
      </c>
      <c r="BI437" s="17" t="n">
        <f aca="false">SQRT(($B437-BI$401)^2+($C437-BI$402)^2+($D437-BI$403)^2)</f>
        <v>1.0817989778892</v>
      </c>
      <c r="BJ437" s="63" t="n">
        <f aca="false">MATCH(MIN(BD437:BI437),BD437:BI437,0)</f>
        <v>3</v>
      </c>
      <c r="BL437" s="17" t="n">
        <f aca="false">SQRT(($B437-BL$401)^2+($C437-BL$402)^2+($D437-BL$403)^2)</f>
        <v>5.2424742093381</v>
      </c>
      <c r="BM437" s="17" t="n">
        <f aca="false">SQRT(($B437-BM$401)^2+($C437-BM$402)^2+($D437-BM$403)^2)</f>
        <v>2.68824820963769</v>
      </c>
      <c r="BN437" s="17" t="n">
        <f aca="false">SQRT(($B437-BN$401)^2+($C437-BN$402)^2+($D437-BN$403)^2)</f>
        <v>0.704992200623656</v>
      </c>
      <c r="BO437" s="17" t="n">
        <f aca="false">SQRT(($B437-BO$401)^2+($C437-BO$402)^2+($D437-BO$403)^2)</f>
        <v>1.85009065381755</v>
      </c>
      <c r="BP437" s="17" t="n">
        <f aca="false">SQRT(($B437-BP$401)^2+($C437-BP$402)^2+($D437-BP$403)^2)</f>
        <v>2.99402480926564</v>
      </c>
      <c r="BQ437" s="17" t="n">
        <f aca="false">SQRT(($B437-BQ$401)^2+($C437-BQ$402)^2+($D437-BQ$403)^2)</f>
        <v>1.0817989778892</v>
      </c>
      <c r="BR437" s="63" t="n">
        <f aca="false">MATCH(MIN(BL437:BQ437),BL437:BQ437,0)</f>
        <v>3</v>
      </c>
      <c r="BT437" s="17" t="n">
        <f aca="false">SQRT(($B437-BT$401)^2+($C437-BT$402)^2+($D437-BT$403)^2)</f>
        <v>5.2424742093381</v>
      </c>
      <c r="BU437" s="17" t="n">
        <f aca="false">SQRT(($B437-BU$401)^2+($C437-BU$402)^2+($D437-BU$403)^2)</f>
        <v>2.68824820963769</v>
      </c>
      <c r="BV437" s="17" t="n">
        <f aca="false">SQRT(($B437-BV$401)^2+($C437-BV$402)^2+($D437-BV$403)^2)</f>
        <v>0.704992200623656</v>
      </c>
      <c r="BW437" s="17" t="n">
        <f aca="false">SQRT(($B437-BW$401)^2+($C437-BW$402)^2+($D437-BW$403)^2)</f>
        <v>1.85009065381755</v>
      </c>
      <c r="BX437" s="17" t="n">
        <f aca="false">SQRT(($B437-BX$401)^2+($C437-BX$402)^2+($D437-BX$403)^2)</f>
        <v>2.99402480926564</v>
      </c>
      <c r="BY437" s="17" t="n">
        <f aca="false">SQRT(($B437-BY$401)^2+($C437-BY$402)^2+($D437-BY$403)^2)</f>
        <v>1.0817989778892</v>
      </c>
      <c r="BZ437" s="63" t="n">
        <f aca="false">MATCH(MIN(BT437:BY437),BT437:BY437,0)</f>
        <v>3</v>
      </c>
      <c r="CB437" s="17" t="n">
        <f aca="false">SQRT(($B437-CB$401)^2+($C437-CB$402)^2+($D437-CB$403)^2)</f>
        <v>5.2424742093381</v>
      </c>
      <c r="CC437" s="17" t="n">
        <f aca="false">SQRT(($B437-CC$401)^2+($C437-CC$402)^2+($D437-CC$403)^2)</f>
        <v>2.68824820963769</v>
      </c>
      <c r="CD437" s="17" t="n">
        <f aca="false">SQRT(($B437-CD$401)^2+($C437-CD$402)^2+($D437-CD$403)^2)</f>
        <v>0.704992200623656</v>
      </c>
      <c r="CE437" s="17" t="n">
        <f aca="false">SQRT(($B437-CE$401)^2+($C437-CE$402)^2+($D437-CE$403)^2)</f>
        <v>1.85009065381755</v>
      </c>
      <c r="CF437" s="17" t="n">
        <f aca="false">SQRT(($B437-CF$401)^2+($C437-CF$402)^2+($D437-CF$403)^2)</f>
        <v>2.99402480926564</v>
      </c>
      <c r="CG437" s="17" t="n">
        <f aca="false">SQRT(($B437-CG$401)^2+($C437-CG$402)^2+($D437-CG$403)^2)</f>
        <v>1.0817989778892</v>
      </c>
      <c r="CH437" s="63" t="n">
        <f aca="false">MATCH(MIN(CB437:CG437),CB437:CG437,0)</f>
        <v>3</v>
      </c>
      <c r="CJ437" s="17" t="n">
        <f aca="false">SQRT(($B437-CJ$401)^2+($C437-CJ$402)^2+($D437-CJ$403)^2)</f>
        <v>5.2424742093381</v>
      </c>
      <c r="CK437" s="17" t="n">
        <f aca="false">SQRT(($B437-CK$401)^2+($C437-CK$402)^2+($D437-CK$403)^2)</f>
        <v>2.68824820963769</v>
      </c>
      <c r="CL437" s="17" t="n">
        <f aca="false">SQRT(($B437-CL$401)^2+($C437-CL$402)^2+($D437-CL$403)^2)</f>
        <v>0.704992200623656</v>
      </c>
      <c r="CM437" s="17" t="n">
        <f aca="false">SQRT(($B437-CM$401)^2+($C437-CM$402)^2+($D437-CM$403)^2)</f>
        <v>1.85009065381755</v>
      </c>
      <c r="CN437" s="17" t="n">
        <f aca="false">SQRT(($B437-CN$401)^2+($C437-CN$402)^2+($D437-CN$403)^2)</f>
        <v>2.99402480926564</v>
      </c>
      <c r="CO437" s="17" t="n">
        <f aca="false">SQRT(($B437-CO$401)^2+($C437-CO$402)^2+($D437-CO$403)^2)</f>
        <v>1.0817989778892</v>
      </c>
      <c r="CP437" s="63" t="n">
        <f aca="false">MATCH(MIN(CJ437:CO437),CJ437:CO437,0)</f>
        <v>3</v>
      </c>
      <c r="CR437" s="17" t="n">
        <f aca="false">SQRT(($B437-CR$401)^2+($C437-CR$402)^2+($D437-CR$403)^2)</f>
        <v>5.2424742093381</v>
      </c>
      <c r="CS437" s="17" t="n">
        <f aca="false">SQRT(($B437-CS$401)^2+($C437-CS$402)^2+($D437-CS$403)^2)</f>
        <v>2.68824820963769</v>
      </c>
      <c r="CT437" s="17" t="n">
        <f aca="false">SQRT(($B437-CT$401)^2+($C437-CT$402)^2+($D437-CT$403)^2)</f>
        <v>0.704992200623656</v>
      </c>
      <c r="CU437" s="17" t="n">
        <f aca="false">SQRT(($B437-CU$401)^2+($C437-CU$402)^2+($D437-CU$403)^2)</f>
        <v>1.85009065381755</v>
      </c>
      <c r="CV437" s="17" t="n">
        <f aca="false">SQRT(($B437-CV$401)^2+($C437-CV$402)^2+($D437-CV$403)^2)</f>
        <v>2.99402480926564</v>
      </c>
      <c r="CW437" s="17" t="n">
        <f aca="false">SQRT(($B437-CW$401)^2+($C437-CW$402)^2+($D437-CW$403)^2)</f>
        <v>1.0817989778892</v>
      </c>
      <c r="CX437" s="63" t="n">
        <f aca="false">MATCH(MIN(CR437:CW437),CR437:CW437,0)</f>
        <v>3</v>
      </c>
      <c r="CZ437" s="17" t="n">
        <f aca="false">SQRT(($B437-CZ$401)^2+($C437-CZ$402)^2+($D437-CZ$403)^2)</f>
        <v>5.2424742093381</v>
      </c>
      <c r="DA437" s="17" t="n">
        <f aca="false">SQRT(($B437-DA$401)^2+($C437-DA$402)^2+($D437-DA$403)^2)</f>
        <v>2.68824820963769</v>
      </c>
      <c r="DB437" s="17" t="n">
        <f aca="false">SQRT(($B437-DB$401)^2+($C437-DB$402)^2+($D437-DB$403)^2)</f>
        <v>0.704992200623656</v>
      </c>
      <c r="DC437" s="17" t="n">
        <f aca="false">SQRT(($B437-DC$401)^2+($C437-DC$402)^2+($D437-DC$403)^2)</f>
        <v>1.85009065381755</v>
      </c>
      <c r="DD437" s="17" t="n">
        <f aca="false">SQRT(($B437-DD$401)^2+($C437-DD$402)^2+($D437-DD$403)^2)</f>
        <v>2.99402480926564</v>
      </c>
      <c r="DE437" s="17" t="n">
        <f aca="false">SQRT(($B437-DE$401)^2+($C437-DE$402)^2+($D437-DE$403)^2)</f>
        <v>1.0817989778892</v>
      </c>
      <c r="DF437" s="63" t="n">
        <f aca="false">MATCH(MIN(CZ437:DE437),CZ437:DE437,0)</f>
        <v>3</v>
      </c>
      <c r="DH437" s="17" t="n">
        <f aca="false">SQRT(($B437-DH$401)^2+($C437-DH$402)^2+($D437-DH$403)^2)</f>
        <v>5.2424742093381</v>
      </c>
      <c r="DI437" s="17" t="n">
        <f aca="false">SQRT(($B437-DI$401)^2+($C437-DI$402)^2+($D437-DI$403)^2)</f>
        <v>2.68824820963769</v>
      </c>
      <c r="DJ437" s="17" t="n">
        <f aca="false">SQRT(($B437-DJ$401)^2+($C437-DJ$402)^2+($D437-DJ$403)^2)</f>
        <v>0.704992200623656</v>
      </c>
      <c r="DK437" s="17" t="n">
        <f aca="false">SQRT(($B437-DK$401)^2+($C437-DK$402)^2+($D437-DK$403)^2)</f>
        <v>1.85009065381755</v>
      </c>
      <c r="DL437" s="17" t="n">
        <f aca="false">SQRT(($B437-DL$401)^2+($C437-DL$402)^2+($D437-DL$403)^2)</f>
        <v>2.99402480926564</v>
      </c>
      <c r="DM437" s="17" t="n">
        <f aca="false">SQRT(($B437-DM$401)^2+($C437-DM$402)^2+($D437-DM$403)^2)</f>
        <v>1.0817989778892</v>
      </c>
      <c r="DN437" s="63" t="n">
        <f aca="false">MATCH(MIN(DH437:DM437),DH437:DM437,0)</f>
        <v>3</v>
      </c>
    </row>
    <row r="438" customFormat="false" ht="15" hidden="false" customHeight="false" outlineLevel="0" collapsed="false">
      <c r="A438" s="36" t="str">
        <f aca="false">KMeans_Data!A35</f>
        <v>Gujrat</v>
      </c>
      <c r="B438" s="17" t="n">
        <f aca="false">KMeans_Data!H35</f>
        <v>0.574589587542617</v>
      </c>
      <c r="C438" s="17" t="n">
        <f aca="false">KMeans_Data!I35</f>
        <v>-0.672650545388274</v>
      </c>
      <c r="D438" s="17" t="n">
        <f aca="false">KMeans_Data!J35</f>
        <v>-0.399845222909568</v>
      </c>
      <c r="E438" s="63" t="n">
        <f aca="false">DN438</f>
        <v>4</v>
      </c>
      <c r="F438" s="38" t="n">
        <f aca="false">($B438-INDEX($L$401:$Q$401,E438))^2+($C438-INDEX($L$402:$Q$402,E438))^2+($D438-INDEX($L$403:$Q$403,E438))^2</f>
        <v>0.414423806556827</v>
      </c>
      <c r="G438" s="17" t="n">
        <f aca="false">IF(COUNTIF(Distance_Matrix!$E$12:$DQ$12,$E438)&lt;=1,0,SUMIF(Distance_Matrix!$E$12:$DQ$12,$E438,Distance_Matrix!$E$44:$DQ$44)/(COUNTIF(Distance_Matrix!$E$12:$DQ$12,$E438)-1))</f>
        <v>0.857950732447582</v>
      </c>
      <c r="H438" s="17" t="n">
        <f aca="false">MIN(IF(1=$E438,1E+099,IF(COUNTIF(Distance_Matrix!$E$12:$DQ$12,1)=0,1E+099,SUMIF(Distance_Matrix!$E$12:$DQ$12,1,Distance_Matrix!$E$44:$DQ$44)/COUNTIF(Distance_Matrix!$E$12:$DQ$12,1))),IF(2=$E438,1E+099,IF(COUNTIF(Distance_Matrix!$E$12:$DQ$12,2)=0,1E+099,SUMIF(Distance_Matrix!$E$12:$DQ$12,2,Distance_Matrix!$E$44:$DQ$44)/COUNTIF(Distance_Matrix!$E$12:$DQ$12,2))),IF(3=$E438,1E+099,IF(COUNTIF(Distance_Matrix!$E$12:$DQ$12,3)=0,1E+099,SUMIF(Distance_Matrix!$E$12:$DQ$12,3,Distance_Matrix!$E$44:$DQ$44)/COUNTIF(Distance_Matrix!$E$12:$DQ$12,3))),IF(4=$E438,1E+099,IF(COUNTIF(Distance_Matrix!$E$12:$DQ$12,4)=0,1E+099,SUMIF(Distance_Matrix!$E$12:$DQ$12,4,Distance_Matrix!$E$44:$DQ$44)/COUNTIF(Distance_Matrix!$E$12:$DQ$12,4))),IF(5=$E438,1E+099,IF(COUNTIF(Distance_Matrix!$E$12:$DQ$12,5)=0,1E+099,SUMIF(Distance_Matrix!$E$12:$DQ$12,5,Distance_Matrix!$E$44:$DQ$44)/COUNTIF(Distance_Matrix!$E$12:$DQ$12,5))),IF(6=$E438,1E+099,IF(COUNTIF(Distance_Matrix!$E$12:$DQ$12,6)=0,1E+099,SUMIF(Distance_Matrix!$E$12:$DQ$12,6,Distance_Matrix!$E$44:$DQ$44)/COUNTIF(Distance_Matrix!$E$12:$DQ$12,6))))</f>
        <v>1.20115736323295</v>
      </c>
      <c r="I438" s="17" t="n">
        <f aca="false">IF(COUNTIF(Distance_Matrix!$E$12:$DQ$12,$E438)&lt;=1,0,(H438-G438)/MAX(G438,H438))</f>
        <v>0.285729947874288</v>
      </c>
      <c r="X438" s="17" t="n">
        <f aca="false">SQRT(($B438-X$401)^2+($C438-X$402)^2+($D438-X$403)^2)</f>
        <v>6.54430428513413</v>
      </c>
      <c r="Y438" s="17" t="n">
        <f aca="false">SQRT(($B438-Y$401)^2+($C438-Y$402)^2+($D438-Y$403)^2)</f>
        <v>2.75711277150979</v>
      </c>
      <c r="Z438" s="17" t="n">
        <f aca="false">SQRT(($B438-Z$401)^2+($C438-Z$402)^2+($D438-Z$403)^2)</f>
        <v>2.19482903863084</v>
      </c>
      <c r="AA438" s="17" t="n">
        <f aca="false">SQRT(($B438-AA$401)^2+($C438-AA$402)^2+($D438-AA$403)^2)</f>
        <v>0.915202205398665</v>
      </c>
      <c r="AB438" s="17" t="n">
        <f aca="false">SQRT(($B438-AB$401)^2+($C438-AB$402)^2+($D438-AB$403)^2)</f>
        <v>4.43743633277874</v>
      </c>
      <c r="AC438" s="17" t="n">
        <f aca="false">SQRT(($B438-AC$401)^2+($C438-AC$402)^2+($D438-AC$403)^2)</f>
        <v>1.72459807062986</v>
      </c>
      <c r="AD438" s="63" t="n">
        <f aca="false">MATCH(MIN(X438:AC438),X438:AC438,0)</f>
        <v>4</v>
      </c>
      <c r="AF438" s="17" t="n">
        <f aca="false">SQRT(($B438-AF$401)^2+($C438-AF$402)^2+($D438-AF$403)^2)</f>
        <v>6.42760397636914</v>
      </c>
      <c r="AG438" s="17" t="n">
        <f aca="false">SQRT(($B438-AG$401)^2+($C438-AG$402)^2+($D438-AG$403)^2)</f>
        <v>2.0191009847748</v>
      </c>
      <c r="AH438" s="17" t="n">
        <f aca="false">SQRT(($B438-AH$401)^2+($C438-AH$402)^2+($D438-AH$403)^2)</f>
        <v>2.03349885507476</v>
      </c>
      <c r="AI438" s="17" t="n">
        <f aca="false">SQRT(($B438-AI$401)^2+($C438-AI$402)^2+($D438-AI$403)^2)</f>
        <v>0.641440652829748</v>
      </c>
      <c r="AJ438" s="17" t="n">
        <f aca="false">SQRT(($B438-AJ$401)^2+($C438-AJ$402)^2+($D438-AJ$403)^2)</f>
        <v>4.17177560678882</v>
      </c>
      <c r="AK438" s="17" t="n">
        <f aca="false">SQRT(($B438-AK$401)^2+($C438-AK$402)^2+($D438-AK$403)^2)</f>
        <v>1.05424015439745</v>
      </c>
      <c r="AL438" s="63" t="n">
        <f aca="false">MATCH(MIN(AF438:AK438),AF438:AK438,0)</f>
        <v>4</v>
      </c>
      <c r="AN438" s="17" t="n">
        <f aca="false">SQRT(($B438-AN$401)^2+($C438-AN$402)^2+($D438-AN$403)^2)</f>
        <v>6.42760397636914</v>
      </c>
      <c r="AO438" s="17" t="n">
        <f aca="false">SQRT(($B438-AO$401)^2+($C438-AO$402)^2+($D438-AO$403)^2)</f>
        <v>1.97149115080384</v>
      </c>
      <c r="AP438" s="17" t="n">
        <f aca="false">SQRT(($B438-AP$401)^2+($C438-AP$402)^2+($D438-AP$403)^2)</f>
        <v>2.01340788139036</v>
      </c>
      <c r="AQ438" s="17" t="n">
        <f aca="false">SQRT(($B438-AQ$401)^2+($C438-AQ$402)^2+($D438-AQ$403)^2)</f>
        <v>0.64375756815499</v>
      </c>
      <c r="AR438" s="17" t="n">
        <f aca="false">SQRT(($B438-AR$401)^2+($C438-AR$402)^2+($D438-AR$403)^2)</f>
        <v>4.17177560678882</v>
      </c>
      <c r="AS438" s="17" t="n">
        <f aca="false">SQRT(($B438-AS$401)^2+($C438-AS$402)^2+($D438-AS$403)^2)</f>
        <v>1.03716300750653</v>
      </c>
      <c r="AT438" s="63" t="n">
        <f aca="false">MATCH(MIN(AN438:AS438),AN438:AS438,0)</f>
        <v>4</v>
      </c>
      <c r="AV438" s="17" t="n">
        <f aca="false">SQRT(($B438-AV$401)^2+($C438-AV$402)^2+($D438-AV$403)^2)</f>
        <v>6.42760397636914</v>
      </c>
      <c r="AW438" s="17" t="n">
        <f aca="false">SQRT(($B438-AW$401)^2+($C438-AW$402)^2+($D438-AW$403)^2)</f>
        <v>1.94493579059894</v>
      </c>
      <c r="AX438" s="17" t="n">
        <f aca="false">SQRT(($B438-AX$401)^2+($C438-AX$402)^2+($D438-AX$403)^2)</f>
        <v>2.01340788139036</v>
      </c>
      <c r="AY438" s="17" t="n">
        <f aca="false">SQRT(($B438-AY$401)^2+($C438-AY$402)^2+($D438-AY$403)^2)</f>
        <v>0.64375756815499</v>
      </c>
      <c r="AZ438" s="17" t="n">
        <f aca="false">SQRT(($B438-AZ$401)^2+($C438-AZ$402)^2+($D438-AZ$403)^2)</f>
        <v>4.17177560678882</v>
      </c>
      <c r="BA438" s="17" t="n">
        <f aca="false">SQRT(($B438-BA$401)^2+($C438-BA$402)^2+($D438-BA$403)^2)</f>
        <v>1.03712404287222</v>
      </c>
      <c r="BB438" s="63" t="n">
        <f aca="false">MATCH(MIN(AV438:BA438),AV438:BA438,0)</f>
        <v>4</v>
      </c>
      <c r="BD438" s="17" t="n">
        <f aca="false">SQRT(($B438-BD$401)^2+($C438-BD$402)^2+($D438-BD$403)^2)</f>
        <v>6.42760397636914</v>
      </c>
      <c r="BE438" s="17" t="n">
        <f aca="false">SQRT(($B438-BE$401)^2+($C438-BE$402)^2+($D438-BE$403)^2)</f>
        <v>1.92107085767979</v>
      </c>
      <c r="BF438" s="17" t="n">
        <f aca="false">SQRT(($B438-BF$401)^2+($C438-BF$402)^2+($D438-BF$403)^2)</f>
        <v>2.01340788139036</v>
      </c>
      <c r="BG438" s="17" t="n">
        <f aca="false">SQRT(($B438-BG$401)^2+($C438-BG$402)^2+($D438-BG$403)^2)</f>
        <v>0.64375756815499</v>
      </c>
      <c r="BH438" s="17" t="n">
        <f aca="false">SQRT(($B438-BH$401)^2+($C438-BH$402)^2+($D438-BH$403)^2)</f>
        <v>4.17177560678882</v>
      </c>
      <c r="BI438" s="17" t="n">
        <f aca="false">SQRT(($B438-BI$401)^2+($C438-BI$402)^2+($D438-BI$403)^2)</f>
        <v>1.03516368289544</v>
      </c>
      <c r="BJ438" s="63" t="n">
        <f aca="false">MATCH(MIN(BD438:BI438),BD438:BI438,0)</f>
        <v>4</v>
      </c>
      <c r="BL438" s="17" t="n">
        <f aca="false">SQRT(($B438-BL$401)^2+($C438-BL$402)^2+($D438-BL$403)^2)</f>
        <v>6.42760397636914</v>
      </c>
      <c r="BM438" s="17" t="n">
        <f aca="false">SQRT(($B438-BM$401)^2+($C438-BM$402)^2+($D438-BM$403)^2)</f>
        <v>1.92107085767979</v>
      </c>
      <c r="BN438" s="17" t="n">
        <f aca="false">SQRT(($B438-BN$401)^2+($C438-BN$402)^2+($D438-BN$403)^2)</f>
        <v>2.01340788139036</v>
      </c>
      <c r="BO438" s="17" t="n">
        <f aca="false">SQRT(($B438-BO$401)^2+($C438-BO$402)^2+($D438-BO$403)^2)</f>
        <v>0.64375756815499</v>
      </c>
      <c r="BP438" s="17" t="n">
        <f aca="false">SQRT(($B438-BP$401)^2+($C438-BP$402)^2+($D438-BP$403)^2)</f>
        <v>4.17177560678882</v>
      </c>
      <c r="BQ438" s="17" t="n">
        <f aca="false">SQRT(($B438-BQ$401)^2+($C438-BQ$402)^2+($D438-BQ$403)^2)</f>
        <v>1.03516368289544</v>
      </c>
      <c r="BR438" s="63" t="n">
        <f aca="false">MATCH(MIN(BL438:BQ438),BL438:BQ438,0)</f>
        <v>4</v>
      </c>
      <c r="BT438" s="17" t="n">
        <f aca="false">SQRT(($B438-BT$401)^2+($C438-BT$402)^2+($D438-BT$403)^2)</f>
        <v>6.42760397636914</v>
      </c>
      <c r="BU438" s="17" t="n">
        <f aca="false">SQRT(($B438-BU$401)^2+($C438-BU$402)^2+($D438-BU$403)^2)</f>
        <v>1.92107085767979</v>
      </c>
      <c r="BV438" s="17" t="n">
        <f aca="false">SQRT(($B438-BV$401)^2+($C438-BV$402)^2+($D438-BV$403)^2)</f>
        <v>2.01340788139036</v>
      </c>
      <c r="BW438" s="17" t="n">
        <f aca="false">SQRT(($B438-BW$401)^2+($C438-BW$402)^2+($D438-BW$403)^2)</f>
        <v>0.64375756815499</v>
      </c>
      <c r="BX438" s="17" t="n">
        <f aca="false">SQRT(($B438-BX$401)^2+($C438-BX$402)^2+($D438-BX$403)^2)</f>
        <v>4.17177560678882</v>
      </c>
      <c r="BY438" s="17" t="n">
        <f aca="false">SQRT(($B438-BY$401)^2+($C438-BY$402)^2+($D438-BY$403)^2)</f>
        <v>1.03516368289544</v>
      </c>
      <c r="BZ438" s="63" t="n">
        <f aca="false">MATCH(MIN(BT438:BY438),BT438:BY438,0)</f>
        <v>4</v>
      </c>
      <c r="CB438" s="17" t="n">
        <f aca="false">SQRT(($B438-CB$401)^2+($C438-CB$402)^2+($D438-CB$403)^2)</f>
        <v>6.42760397636914</v>
      </c>
      <c r="CC438" s="17" t="n">
        <f aca="false">SQRT(($B438-CC$401)^2+($C438-CC$402)^2+($D438-CC$403)^2)</f>
        <v>1.92107085767979</v>
      </c>
      <c r="CD438" s="17" t="n">
        <f aca="false">SQRT(($B438-CD$401)^2+($C438-CD$402)^2+($D438-CD$403)^2)</f>
        <v>2.01340788139036</v>
      </c>
      <c r="CE438" s="17" t="n">
        <f aca="false">SQRT(($B438-CE$401)^2+($C438-CE$402)^2+($D438-CE$403)^2)</f>
        <v>0.64375756815499</v>
      </c>
      <c r="CF438" s="17" t="n">
        <f aca="false">SQRT(($B438-CF$401)^2+($C438-CF$402)^2+($D438-CF$403)^2)</f>
        <v>4.17177560678882</v>
      </c>
      <c r="CG438" s="17" t="n">
        <f aca="false">SQRT(($B438-CG$401)^2+($C438-CG$402)^2+($D438-CG$403)^2)</f>
        <v>1.03516368289544</v>
      </c>
      <c r="CH438" s="63" t="n">
        <f aca="false">MATCH(MIN(CB438:CG438),CB438:CG438,0)</f>
        <v>4</v>
      </c>
      <c r="CJ438" s="17" t="n">
        <f aca="false">SQRT(($B438-CJ$401)^2+($C438-CJ$402)^2+($D438-CJ$403)^2)</f>
        <v>6.42760397636914</v>
      </c>
      <c r="CK438" s="17" t="n">
        <f aca="false">SQRT(($B438-CK$401)^2+($C438-CK$402)^2+($D438-CK$403)^2)</f>
        <v>1.92107085767979</v>
      </c>
      <c r="CL438" s="17" t="n">
        <f aca="false">SQRT(($B438-CL$401)^2+($C438-CL$402)^2+($D438-CL$403)^2)</f>
        <v>2.01340788139036</v>
      </c>
      <c r="CM438" s="17" t="n">
        <f aca="false">SQRT(($B438-CM$401)^2+($C438-CM$402)^2+($D438-CM$403)^2)</f>
        <v>0.64375756815499</v>
      </c>
      <c r="CN438" s="17" t="n">
        <f aca="false">SQRT(($B438-CN$401)^2+($C438-CN$402)^2+($D438-CN$403)^2)</f>
        <v>4.17177560678882</v>
      </c>
      <c r="CO438" s="17" t="n">
        <f aca="false">SQRT(($B438-CO$401)^2+($C438-CO$402)^2+($D438-CO$403)^2)</f>
        <v>1.03516368289544</v>
      </c>
      <c r="CP438" s="63" t="n">
        <f aca="false">MATCH(MIN(CJ438:CO438),CJ438:CO438,0)</f>
        <v>4</v>
      </c>
      <c r="CR438" s="17" t="n">
        <f aca="false">SQRT(($B438-CR$401)^2+($C438-CR$402)^2+($D438-CR$403)^2)</f>
        <v>6.42760397636914</v>
      </c>
      <c r="CS438" s="17" t="n">
        <f aca="false">SQRT(($B438-CS$401)^2+($C438-CS$402)^2+($D438-CS$403)^2)</f>
        <v>1.92107085767979</v>
      </c>
      <c r="CT438" s="17" t="n">
        <f aca="false">SQRT(($B438-CT$401)^2+($C438-CT$402)^2+($D438-CT$403)^2)</f>
        <v>2.01340788139036</v>
      </c>
      <c r="CU438" s="17" t="n">
        <f aca="false">SQRT(($B438-CU$401)^2+($C438-CU$402)^2+($D438-CU$403)^2)</f>
        <v>0.64375756815499</v>
      </c>
      <c r="CV438" s="17" t="n">
        <f aca="false">SQRT(($B438-CV$401)^2+($C438-CV$402)^2+($D438-CV$403)^2)</f>
        <v>4.17177560678882</v>
      </c>
      <c r="CW438" s="17" t="n">
        <f aca="false">SQRT(($B438-CW$401)^2+($C438-CW$402)^2+($D438-CW$403)^2)</f>
        <v>1.03516368289544</v>
      </c>
      <c r="CX438" s="63" t="n">
        <f aca="false">MATCH(MIN(CR438:CW438),CR438:CW438,0)</f>
        <v>4</v>
      </c>
      <c r="CZ438" s="17" t="n">
        <f aca="false">SQRT(($B438-CZ$401)^2+($C438-CZ$402)^2+($D438-CZ$403)^2)</f>
        <v>6.42760397636914</v>
      </c>
      <c r="DA438" s="17" t="n">
        <f aca="false">SQRT(($B438-DA$401)^2+($C438-DA$402)^2+($D438-DA$403)^2)</f>
        <v>1.92107085767979</v>
      </c>
      <c r="DB438" s="17" t="n">
        <f aca="false">SQRT(($B438-DB$401)^2+($C438-DB$402)^2+($D438-DB$403)^2)</f>
        <v>2.01340788139036</v>
      </c>
      <c r="DC438" s="17" t="n">
        <f aca="false">SQRT(($B438-DC$401)^2+($C438-DC$402)^2+($D438-DC$403)^2)</f>
        <v>0.64375756815499</v>
      </c>
      <c r="DD438" s="17" t="n">
        <f aca="false">SQRT(($B438-DD$401)^2+($C438-DD$402)^2+($D438-DD$403)^2)</f>
        <v>4.17177560678882</v>
      </c>
      <c r="DE438" s="17" t="n">
        <f aca="false">SQRT(($B438-DE$401)^2+($C438-DE$402)^2+($D438-DE$403)^2)</f>
        <v>1.03516368289544</v>
      </c>
      <c r="DF438" s="63" t="n">
        <f aca="false">MATCH(MIN(CZ438:DE438),CZ438:DE438,0)</f>
        <v>4</v>
      </c>
      <c r="DH438" s="17" t="n">
        <f aca="false">SQRT(($B438-DH$401)^2+($C438-DH$402)^2+($D438-DH$403)^2)</f>
        <v>6.42760397636914</v>
      </c>
      <c r="DI438" s="17" t="n">
        <f aca="false">SQRT(($B438-DI$401)^2+($C438-DI$402)^2+($D438-DI$403)^2)</f>
        <v>1.92107085767979</v>
      </c>
      <c r="DJ438" s="17" t="n">
        <f aca="false">SQRT(($B438-DJ$401)^2+($C438-DJ$402)^2+($D438-DJ$403)^2)</f>
        <v>2.01340788139036</v>
      </c>
      <c r="DK438" s="17" t="n">
        <f aca="false">SQRT(($B438-DK$401)^2+($C438-DK$402)^2+($D438-DK$403)^2)</f>
        <v>0.64375756815499</v>
      </c>
      <c r="DL438" s="17" t="n">
        <f aca="false">SQRT(($B438-DL$401)^2+($C438-DL$402)^2+($D438-DL$403)^2)</f>
        <v>4.17177560678882</v>
      </c>
      <c r="DM438" s="17" t="n">
        <f aca="false">SQRT(($B438-DM$401)^2+($C438-DM$402)^2+($D438-DM$403)^2)</f>
        <v>1.03516368289544</v>
      </c>
      <c r="DN438" s="63" t="n">
        <f aca="false">MATCH(MIN(DH438:DM438),DH438:DM438,0)</f>
        <v>4</v>
      </c>
    </row>
    <row r="439" customFormat="false" ht="15" hidden="false" customHeight="false" outlineLevel="0" collapsed="false">
      <c r="A439" s="36" t="str">
        <f aca="false">KMeans_Data!A36</f>
        <v>Dera Ismail Khan</v>
      </c>
      <c r="B439" s="17" t="n">
        <f aca="false">KMeans_Data!H36</f>
        <v>0.568203372235645</v>
      </c>
      <c r="C439" s="17" t="n">
        <f aca="false">KMeans_Data!I36</f>
        <v>0.547911385844501</v>
      </c>
      <c r="D439" s="17" t="n">
        <f aca="false">KMeans_Data!J36</f>
        <v>1.11347799131462</v>
      </c>
      <c r="E439" s="63" t="n">
        <f aca="false">DN439</f>
        <v>3</v>
      </c>
      <c r="F439" s="38" t="n">
        <f aca="false">($B439-INDEX($L$401:$Q$401,E439))^2+($C439-INDEX($L$402:$Q$402,E439))^2+($D439-INDEX($L$403:$Q$403,E439))^2</f>
        <v>0.143430299859813</v>
      </c>
      <c r="G439" s="17" t="n">
        <f aca="false">IF(COUNTIF(Distance_Matrix!$E$12:$DQ$12,$E439)&lt;=1,0,SUMIF(Distance_Matrix!$E$12:$DQ$12,$E439,Distance_Matrix!$E$45:$DQ$45)/(COUNTIF(Distance_Matrix!$E$12:$DQ$12,$E439)-1))</f>
        <v>0.746156542723262</v>
      </c>
      <c r="H439" s="17" t="n">
        <f aca="false">MIN(IF(1=$E439,1E+099,IF(COUNTIF(Distance_Matrix!$E$12:$DQ$12,1)=0,1E+099,SUMIF(Distance_Matrix!$E$12:$DQ$12,1,Distance_Matrix!$E$45:$DQ$45)/COUNTIF(Distance_Matrix!$E$12:$DQ$12,1))),IF(2=$E439,1E+099,IF(COUNTIF(Distance_Matrix!$E$12:$DQ$12,2)=0,1E+099,SUMIF(Distance_Matrix!$E$12:$DQ$12,2,Distance_Matrix!$E$45:$DQ$45)/COUNTIF(Distance_Matrix!$E$12:$DQ$12,2))),IF(3=$E439,1E+099,IF(COUNTIF(Distance_Matrix!$E$12:$DQ$12,3)=0,1E+099,SUMIF(Distance_Matrix!$E$12:$DQ$12,3,Distance_Matrix!$E$45:$DQ$45)/COUNTIF(Distance_Matrix!$E$12:$DQ$12,3))),IF(4=$E439,1E+099,IF(COUNTIF(Distance_Matrix!$E$12:$DQ$12,4)=0,1E+099,SUMIF(Distance_Matrix!$E$12:$DQ$12,4,Distance_Matrix!$E$45:$DQ$45)/COUNTIF(Distance_Matrix!$E$12:$DQ$12,4))),IF(5=$E439,1E+099,IF(COUNTIF(Distance_Matrix!$E$12:$DQ$12,5)=0,1E+099,SUMIF(Distance_Matrix!$E$12:$DQ$12,5,Distance_Matrix!$E$45:$DQ$45)/COUNTIF(Distance_Matrix!$E$12:$DQ$12,5))),IF(6=$E439,1E+099,IF(COUNTIF(Distance_Matrix!$E$12:$DQ$12,6)=0,1E+099,SUMIF(Distance_Matrix!$E$12:$DQ$12,6,Distance_Matrix!$E$45:$DQ$45)/COUNTIF(Distance_Matrix!$E$12:$DQ$12,6))))</f>
        <v>1.55402691531427</v>
      </c>
      <c r="I439" s="17" t="n">
        <f aca="false">IF(COUNTIF(Distance_Matrix!$E$12:$DQ$12,$E439)&lt;=1,0,(H439-G439)/MAX(G439,H439))</f>
        <v>0.51985610070829</v>
      </c>
      <c r="X439" s="17" t="n">
        <f aca="false">SQRT(($B439-X$401)^2+($C439-X$402)^2+($D439-X$403)^2)</f>
        <v>4.90774869404622</v>
      </c>
      <c r="Y439" s="17" t="n">
        <f aca="false">SQRT(($B439-Y$401)^2+($C439-Y$402)^2+($D439-Y$403)^2)</f>
        <v>3.68849529478745</v>
      </c>
      <c r="Z439" s="17" t="n">
        <f aca="false">SQRT(($B439-Z$401)^2+($C439-Z$402)^2+($D439-Z$403)^2)</f>
        <v>0.613286790517401</v>
      </c>
      <c r="AA439" s="17" t="n">
        <f aca="false">SQRT(($B439-AA$401)^2+($C439-AA$402)^2+($D439-AA$403)^2)</f>
        <v>2.3648493912276</v>
      </c>
      <c r="AB439" s="17" t="n">
        <f aca="false">SQRT(($B439-AB$401)^2+($C439-AB$402)^2+($D439-AB$403)^2)</f>
        <v>2.80372714277684</v>
      </c>
      <c r="AC439" s="17" t="n">
        <f aca="false">SQRT(($B439-AC$401)^2+($C439-AC$402)^2+($D439-AC$403)^2)</f>
        <v>1.53040574212638</v>
      </c>
      <c r="AD439" s="63" t="n">
        <f aca="false">MATCH(MIN(X439:AC439),X439:AC439,0)</f>
        <v>3</v>
      </c>
      <c r="AF439" s="17" t="n">
        <f aca="false">SQRT(($B439-AF$401)^2+($C439-AF$402)^2+($D439-AF$403)^2)</f>
        <v>4.82637830875814</v>
      </c>
      <c r="AG439" s="17" t="n">
        <f aca="false">SQRT(($B439-AG$401)^2+($C439-AG$402)^2+($D439-AG$403)^2)</f>
        <v>3.14363966690053</v>
      </c>
      <c r="AH439" s="17" t="n">
        <f aca="false">SQRT(($B439-AH$401)^2+($C439-AH$402)^2+($D439-AH$403)^2)</f>
        <v>0.392736311570243</v>
      </c>
      <c r="AI439" s="17" t="n">
        <f aca="false">SQRT(($B439-AI$401)^2+($C439-AI$402)^2+($D439-AI$403)^2)</f>
        <v>2.28803479397043</v>
      </c>
      <c r="AJ439" s="17" t="n">
        <f aca="false">SQRT(($B439-AJ$401)^2+($C439-AJ$402)^2+($D439-AJ$403)^2)</f>
        <v>2.59675028620029</v>
      </c>
      <c r="AK439" s="17" t="n">
        <f aca="false">SQRT(($B439-AK$401)^2+($C439-AK$402)^2+($D439-AK$403)^2)</f>
        <v>1.5683251109498</v>
      </c>
      <c r="AL439" s="63" t="n">
        <f aca="false">MATCH(MIN(AF439:AK439),AF439:AK439,0)</f>
        <v>3</v>
      </c>
      <c r="AN439" s="17" t="n">
        <f aca="false">SQRT(($B439-AN$401)^2+($C439-AN$402)^2+($D439-AN$403)^2)</f>
        <v>4.82637830875814</v>
      </c>
      <c r="AO439" s="17" t="n">
        <f aca="false">SQRT(($B439-AO$401)^2+($C439-AO$402)^2+($D439-AO$403)^2)</f>
        <v>3.10352029107294</v>
      </c>
      <c r="AP439" s="17" t="n">
        <f aca="false">SQRT(($B439-AP$401)^2+($C439-AP$402)^2+($D439-AP$403)^2)</f>
        <v>0.3787219294678</v>
      </c>
      <c r="AQ439" s="17" t="n">
        <f aca="false">SQRT(($B439-AQ$401)^2+($C439-AQ$402)^2+($D439-AQ$403)^2)</f>
        <v>2.30863316384616</v>
      </c>
      <c r="AR439" s="17" t="n">
        <f aca="false">SQRT(($B439-AR$401)^2+($C439-AR$402)^2+($D439-AR$403)^2)</f>
        <v>2.59675028620029</v>
      </c>
      <c r="AS439" s="17" t="n">
        <f aca="false">SQRT(($B439-AS$401)^2+($C439-AS$402)^2+($D439-AS$403)^2)</f>
        <v>1.53072039366236</v>
      </c>
      <c r="AT439" s="63" t="n">
        <f aca="false">MATCH(MIN(AN439:AS439),AN439:AS439,0)</f>
        <v>3</v>
      </c>
      <c r="AV439" s="17" t="n">
        <f aca="false">SQRT(($B439-AV$401)^2+($C439-AV$402)^2+($D439-AV$403)^2)</f>
        <v>4.82637830875814</v>
      </c>
      <c r="AW439" s="17" t="n">
        <f aca="false">SQRT(($B439-AW$401)^2+($C439-AW$402)^2+($D439-AW$403)^2)</f>
        <v>3.07434328780824</v>
      </c>
      <c r="AX439" s="17" t="n">
        <f aca="false">SQRT(($B439-AX$401)^2+($C439-AX$402)^2+($D439-AX$403)^2)</f>
        <v>0.3787219294678</v>
      </c>
      <c r="AY439" s="17" t="n">
        <f aca="false">SQRT(($B439-AY$401)^2+($C439-AY$402)^2+($D439-AY$403)^2)</f>
        <v>2.30863316384616</v>
      </c>
      <c r="AZ439" s="17" t="n">
        <f aca="false">SQRT(($B439-AZ$401)^2+($C439-AZ$402)^2+($D439-AZ$403)^2)</f>
        <v>2.59675028620029</v>
      </c>
      <c r="BA439" s="17" t="n">
        <f aca="false">SQRT(($B439-BA$401)^2+($C439-BA$402)^2+($D439-BA$403)^2)</f>
        <v>1.50579302705343</v>
      </c>
      <c r="BB439" s="63" t="n">
        <f aca="false">MATCH(MIN(AV439:BA439),AV439:BA439,0)</f>
        <v>3</v>
      </c>
      <c r="BD439" s="17" t="n">
        <f aca="false">SQRT(($B439-BD$401)^2+($C439-BD$402)^2+($D439-BD$403)^2)</f>
        <v>4.82637830875814</v>
      </c>
      <c r="BE439" s="17" t="n">
        <f aca="false">SQRT(($B439-BE$401)^2+($C439-BE$402)^2+($D439-BE$403)^2)</f>
        <v>3.04618305364255</v>
      </c>
      <c r="BF439" s="17" t="n">
        <f aca="false">SQRT(($B439-BF$401)^2+($C439-BF$402)^2+($D439-BF$403)^2)</f>
        <v>0.3787219294678</v>
      </c>
      <c r="BG439" s="17" t="n">
        <f aca="false">SQRT(($B439-BG$401)^2+($C439-BG$402)^2+($D439-BG$403)^2)</f>
        <v>2.30863316384616</v>
      </c>
      <c r="BH439" s="17" t="n">
        <f aca="false">SQRT(($B439-BH$401)^2+($C439-BH$402)^2+($D439-BH$403)^2)</f>
        <v>2.59675028620029</v>
      </c>
      <c r="BI439" s="17" t="n">
        <f aca="false">SQRT(($B439-BI$401)^2+($C439-BI$402)^2+($D439-BI$403)^2)</f>
        <v>1.48021013335339</v>
      </c>
      <c r="BJ439" s="63" t="n">
        <f aca="false">MATCH(MIN(BD439:BI439),BD439:BI439,0)</f>
        <v>3</v>
      </c>
      <c r="BL439" s="17" t="n">
        <f aca="false">SQRT(($B439-BL$401)^2+($C439-BL$402)^2+($D439-BL$403)^2)</f>
        <v>4.82637830875814</v>
      </c>
      <c r="BM439" s="17" t="n">
        <f aca="false">SQRT(($B439-BM$401)^2+($C439-BM$402)^2+($D439-BM$403)^2)</f>
        <v>3.04618305364255</v>
      </c>
      <c r="BN439" s="17" t="n">
        <f aca="false">SQRT(($B439-BN$401)^2+($C439-BN$402)^2+($D439-BN$403)^2)</f>
        <v>0.3787219294678</v>
      </c>
      <c r="BO439" s="17" t="n">
        <f aca="false">SQRT(($B439-BO$401)^2+($C439-BO$402)^2+($D439-BO$403)^2)</f>
        <v>2.30863316384616</v>
      </c>
      <c r="BP439" s="17" t="n">
        <f aca="false">SQRT(($B439-BP$401)^2+($C439-BP$402)^2+($D439-BP$403)^2)</f>
        <v>2.59675028620029</v>
      </c>
      <c r="BQ439" s="17" t="n">
        <f aca="false">SQRT(($B439-BQ$401)^2+($C439-BQ$402)^2+($D439-BQ$403)^2)</f>
        <v>1.48021013335339</v>
      </c>
      <c r="BR439" s="63" t="n">
        <f aca="false">MATCH(MIN(BL439:BQ439),BL439:BQ439,0)</f>
        <v>3</v>
      </c>
      <c r="BT439" s="17" t="n">
        <f aca="false">SQRT(($B439-BT$401)^2+($C439-BT$402)^2+($D439-BT$403)^2)</f>
        <v>4.82637830875814</v>
      </c>
      <c r="BU439" s="17" t="n">
        <f aca="false">SQRT(($B439-BU$401)^2+($C439-BU$402)^2+($D439-BU$403)^2)</f>
        <v>3.04618305364255</v>
      </c>
      <c r="BV439" s="17" t="n">
        <f aca="false">SQRT(($B439-BV$401)^2+($C439-BV$402)^2+($D439-BV$403)^2)</f>
        <v>0.3787219294678</v>
      </c>
      <c r="BW439" s="17" t="n">
        <f aca="false">SQRT(($B439-BW$401)^2+($C439-BW$402)^2+($D439-BW$403)^2)</f>
        <v>2.30863316384616</v>
      </c>
      <c r="BX439" s="17" t="n">
        <f aca="false">SQRT(($B439-BX$401)^2+($C439-BX$402)^2+($D439-BX$403)^2)</f>
        <v>2.59675028620029</v>
      </c>
      <c r="BY439" s="17" t="n">
        <f aca="false">SQRT(($B439-BY$401)^2+($C439-BY$402)^2+($D439-BY$403)^2)</f>
        <v>1.48021013335339</v>
      </c>
      <c r="BZ439" s="63" t="n">
        <f aca="false">MATCH(MIN(BT439:BY439),BT439:BY439,0)</f>
        <v>3</v>
      </c>
      <c r="CB439" s="17" t="n">
        <f aca="false">SQRT(($B439-CB$401)^2+($C439-CB$402)^2+($D439-CB$403)^2)</f>
        <v>4.82637830875814</v>
      </c>
      <c r="CC439" s="17" t="n">
        <f aca="false">SQRT(($B439-CC$401)^2+($C439-CC$402)^2+($D439-CC$403)^2)</f>
        <v>3.04618305364255</v>
      </c>
      <c r="CD439" s="17" t="n">
        <f aca="false">SQRT(($B439-CD$401)^2+($C439-CD$402)^2+($D439-CD$403)^2)</f>
        <v>0.3787219294678</v>
      </c>
      <c r="CE439" s="17" t="n">
        <f aca="false">SQRT(($B439-CE$401)^2+($C439-CE$402)^2+($D439-CE$403)^2)</f>
        <v>2.30863316384616</v>
      </c>
      <c r="CF439" s="17" t="n">
        <f aca="false">SQRT(($B439-CF$401)^2+($C439-CF$402)^2+($D439-CF$403)^2)</f>
        <v>2.59675028620029</v>
      </c>
      <c r="CG439" s="17" t="n">
        <f aca="false">SQRT(($B439-CG$401)^2+($C439-CG$402)^2+($D439-CG$403)^2)</f>
        <v>1.48021013335339</v>
      </c>
      <c r="CH439" s="63" t="n">
        <f aca="false">MATCH(MIN(CB439:CG439),CB439:CG439,0)</f>
        <v>3</v>
      </c>
      <c r="CJ439" s="17" t="n">
        <f aca="false">SQRT(($B439-CJ$401)^2+($C439-CJ$402)^2+($D439-CJ$403)^2)</f>
        <v>4.82637830875814</v>
      </c>
      <c r="CK439" s="17" t="n">
        <f aca="false">SQRT(($B439-CK$401)^2+($C439-CK$402)^2+($D439-CK$403)^2)</f>
        <v>3.04618305364255</v>
      </c>
      <c r="CL439" s="17" t="n">
        <f aca="false">SQRT(($B439-CL$401)^2+($C439-CL$402)^2+($D439-CL$403)^2)</f>
        <v>0.3787219294678</v>
      </c>
      <c r="CM439" s="17" t="n">
        <f aca="false">SQRT(($B439-CM$401)^2+($C439-CM$402)^2+($D439-CM$403)^2)</f>
        <v>2.30863316384616</v>
      </c>
      <c r="CN439" s="17" t="n">
        <f aca="false">SQRT(($B439-CN$401)^2+($C439-CN$402)^2+($D439-CN$403)^2)</f>
        <v>2.59675028620029</v>
      </c>
      <c r="CO439" s="17" t="n">
        <f aca="false">SQRT(($B439-CO$401)^2+($C439-CO$402)^2+($D439-CO$403)^2)</f>
        <v>1.48021013335339</v>
      </c>
      <c r="CP439" s="63" t="n">
        <f aca="false">MATCH(MIN(CJ439:CO439),CJ439:CO439,0)</f>
        <v>3</v>
      </c>
      <c r="CR439" s="17" t="n">
        <f aca="false">SQRT(($B439-CR$401)^2+($C439-CR$402)^2+($D439-CR$403)^2)</f>
        <v>4.82637830875814</v>
      </c>
      <c r="CS439" s="17" t="n">
        <f aca="false">SQRT(($B439-CS$401)^2+($C439-CS$402)^2+($D439-CS$403)^2)</f>
        <v>3.04618305364255</v>
      </c>
      <c r="CT439" s="17" t="n">
        <f aca="false">SQRT(($B439-CT$401)^2+($C439-CT$402)^2+($D439-CT$403)^2)</f>
        <v>0.3787219294678</v>
      </c>
      <c r="CU439" s="17" t="n">
        <f aca="false">SQRT(($B439-CU$401)^2+($C439-CU$402)^2+($D439-CU$403)^2)</f>
        <v>2.30863316384616</v>
      </c>
      <c r="CV439" s="17" t="n">
        <f aca="false">SQRT(($B439-CV$401)^2+($C439-CV$402)^2+($D439-CV$403)^2)</f>
        <v>2.59675028620029</v>
      </c>
      <c r="CW439" s="17" t="n">
        <f aca="false">SQRT(($B439-CW$401)^2+($C439-CW$402)^2+($D439-CW$403)^2)</f>
        <v>1.48021013335339</v>
      </c>
      <c r="CX439" s="63" t="n">
        <f aca="false">MATCH(MIN(CR439:CW439),CR439:CW439,0)</f>
        <v>3</v>
      </c>
      <c r="CZ439" s="17" t="n">
        <f aca="false">SQRT(($B439-CZ$401)^2+($C439-CZ$402)^2+($D439-CZ$403)^2)</f>
        <v>4.82637830875814</v>
      </c>
      <c r="DA439" s="17" t="n">
        <f aca="false">SQRT(($B439-DA$401)^2+($C439-DA$402)^2+($D439-DA$403)^2)</f>
        <v>3.04618305364255</v>
      </c>
      <c r="DB439" s="17" t="n">
        <f aca="false">SQRT(($B439-DB$401)^2+($C439-DB$402)^2+($D439-DB$403)^2)</f>
        <v>0.3787219294678</v>
      </c>
      <c r="DC439" s="17" t="n">
        <f aca="false">SQRT(($B439-DC$401)^2+($C439-DC$402)^2+($D439-DC$403)^2)</f>
        <v>2.30863316384616</v>
      </c>
      <c r="DD439" s="17" t="n">
        <f aca="false">SQRT(($B439-DD$401)^2+($C439-DD$402)^2+($D439-DD$403)^2)</f>
        <v>2.59675028620029</v>
      </c>
      <c r="DE439" s="17" t="n">
        <f aca="false">SQRT(($B439-DE$401)^2+($C439-DE$402)^2+($D439-DE$403)^2)</f>
        <v>1.48021013335339</v>
      </c>
      <c r="DF439" s="63" t="n">
        <f aca="false">MATCH(MIN(CZ439:DE439),CZ439:DE439,0)</f>
        <v>3</v>
      </c>
      <c r="DH439" s="17" t="n">
        <f aca="false">SQRT(($B439-DH$401)^2+($C439-DH$402)^2+($D439-DH$403)^2)</f>
        <v>4.82637830875814</v>
      </c>
      <c r="DI439" s="17" t="n">
        <f aca="false">SQRT(($B439-DI$401)^2+($C439-DI$402)^2+($D439-DI$403)^2)</f>
        <v>3.04618305364255</v>
      </c>
      <c r="DJ439" s="17" t="n">
        <f aca="false">SQRT(($B439-DJ$401)^2+($C439-DJ$402)^2+($D439-DJ$403)^2)</f>
        <v>0.3787219294678</v>
      </c>
      <c r="DK439" s="17" t="n">
        <f aca="false">SQRT(($B439-DK$401)^2+($C439-DK$402)^2+($D439-DK$403)^2)</f>
        <v>2.30863316384616</v>
      </c>
      <c r="DL439" s="17" t="n">
        <f aca="false">SQRT(($B439-DL$401)^2+($C439-DL$402)^2+($D439-DL$403)^2)</f>
        <v>2.59675028620029</v>
      </c>
      <c r="DM439" s="17" t="n">
        <f aca="false">SQRT(($B439-DM$401)^2+($C439-DM$402)^2+($D439-DM$403)^2)</f>
        <v>1.48021013335339</v>
      </c>
      <c r="DN439" s="63" t="n">
        <f aca="false">MATCH(MIN(DH439:DM439),DH439:DM439,0)</f>
        <v>3</v>
      </c>
    </row>
    <row r="440" customFormat="false" ht="15" hidden="false" customHeight="false" outlineLevel="0" collapsed="false">
      <c r="A440" s="36" t="str">
        <f aca="false">KMeans_Data!A37</f>
        <v>Karak</v>
      </c>
      <c r="B440" s="17" t="n">
        <f aca="false">KMeans_Data!H37</f>
        <v>0.531605743068138</v>
      </c>
      <c r="C440" s="17" t="n">
        <f aca="false">KMeans_Data!I37</f>
        <v>0.378684277529216</v>
      </c>
      <c r="D440" s="17" t="n">
        <f aca="false">KMeans_Data!J37</f>
        <v>0.286716848591577</v>
      </c>
      <c r="E440" s="63" t="n">
        <f aca="false">DN440</f>
        <v>3</v>
      </c>
      <c r="F440" s="38" t="n">
        <f aca="false">($B440-INDEX($L$401:$Q$401,E440))^2+($C440-INDEX($L$402:$Q$402,E440))^2+($D440-INDEX($L$403:$Q$403,E440))^2</f>
        <v>0.661650041927723</v>
      </c>
      <c r="G440" s="17" t="n">
        <f aca="false">IF(COUNTIF(Distance_Matrix!$E$12:$DQ$12,$E440)&lt;=1,0,SUMIF(Distance_Matrix!$E$12:$DQ$12,$E440,Distance_Matrix!$E$46:$DQ$46)/(COUNTIF(Distance_Matrix!$E$12:$DQ$12,$E440)-1))</f>
        <v>1.00575270565104</v>
      </c>
      <c r="H440" s="17" t="n">
        <f aca="false">MIN(IF(1=$E440,1E+099,IF(COUNTIF(Distance_Matrix!$E$12:$DQ$12,1)=0,1E+099,SUMIF(Distance_Matrix!$E$12:$DQ$12,1,Distance_Matrix!$E$46:$DQ$46)/COUNTIF(Distance_Matrix!$E$12:$DQ$12,1))),IF(2=$E440,1E+099,IF(COUNTIF(Distance_Matrix!$E$12:$DQ$12,2)=0,1E+099,SUMIF(Distance_Matrix!$E$12:$DQ$12,2,Distance_Matrix!$E$46:$DQ$46)/COUNTIF(Distance_Matrix!$E$12:$DQ$12,2))),IF(3=$E440,1E+099,IF(COUNTIF(Distance_Matrix!$E$12:$DQ$12,3)=0,1E+099,SUMIF(Distance_Matrix!$E$12:$DQ$12,3,Distance_Matrix!$E$46:$DQ$46)/COUNTIF(Distance_Matrix!$E$12:$DQ$12,3))),IF(4=$E440,1E+099,IF(COUNTIF(Distance_Matrix!$E$12:$DQ$12,4)=0,1E+099,SUMIF(Distance_Matrix!$E$12:$DQ$12,4,Distance_Matrix!$E$46:$DQ$46)/COUNTIF(Distance_Matrix!$E$12:$DQ$12,4))),IF(5=$E440,1E+099,IF(COUNTIF(Distance_Matrix!$E$12:$DQ$12,5)=0,1E+099,SUMIF(Distance_Matrix!$E$12:$DQ$12,5,Distance_Matrix!$E$46:$DQ$46)/COUNTIF(Distance_Matrix!$E$12:$DQ$12,5))),IF(6=$E440,1E+099,IF(COUNTIF(Distance_Matrix!$E$12:$DQ$12,6)=0,1E+099,SUMIF(Distance_Matrix!$E$12:$DQ$12,6,Distance_Matrix!$E$46:$DQ$46)/COUNTIF(Distance_Matrix!$E$12:$DQ$12,6))))</f>
        <v>1.15667562560949</v>
      </c>
      <c r="I440" s="17" t="n">
        <f aca="false">IF(COUNTIF(Distance_Matrix!$E$12:$DQ$12,$E440)&lt;=1,0,(H440-G440)/MAX(G440,H440))</f>
        <v>0.130479899996959</v>
      </c>
      <c r="X440" s="17" t="n">
        <f aca="false">SQRT(($B440-X$401)^2+($C440-X$402)^2+($D440-X$403)^2)</f>
        <v>5.45127311245764</v>
      </c>
      <c r="Y440" s="17" t="n">
        <f aca="false">SQRT(($B440-Y$401)^2+($C440-Y$402)^2+($D440-Y$403)^2)</f>
        <v>3.1584931364728</v>
      </c>
      <c r="Z440" s="17" t="n">
        <f aca="false">SQRT(($B440-Z$401)^2+($C440-Z$402)^2+($D440-Z$403)^2)</f>
        <v>1.2871988045077</v>
      </c>
      <c r="AA440" s="17" t="n">
        <f aca="false">SQRT(($B440-AA$401)^2+($C440-AA$402)^2+($D440-AA$403)^2)</f>
        <v>1.53003121333998</v>
      </c>
      <c r="AB440" s="17" t="n">
        <f aca="false">SQRT(($B440-AB$401)^2+($C440-AB$402)^2+($D440-AB$403)^2)</f>
        <v>3.37320035284465</v>
      </c>
      <c r="AC440" s="17" t="n">
        <f aca="false">SQRT(($B440-AC$401)^2+($C440-AC$402)^2+($D440-AC$403)^2)</f>
        <v>1.38754601594178</v>
      </c>
      <c r="AD440" s="63" t="n">
        <f aca="false">MATCH(MIN(X440:AC440),X440:AC440,0)</f>
        <v>3</v>
      </c>
      <c r="AF440" s="17" t="n">
        <f aca="false">SQRT(($B440-AF$401)^2+($C440-AF$402)^2+($D440-AF$403)^2)</f>
        <v>5.33575852747446</v>
      </c>
      <c r="AG440" s="17" t="n">
        <f aca="false">SQRT(($B440-AG$401)^2+($C440-AG$402)^2+($D440-AG$403)^2)</f>
        <v>2.52974827643585</v>
      </c>
      <c r="AH440" s="17" t="n">
        <f aca="false">SQRT(($B440-AH$401)^2+($C440-AH$402)^2+($D440-AH$403)^2)</f>
        <v>0.838556723202702</v>
      </c>
      <c r="AI440" s="17" t="n">
        <f aca="false">SQRT(($B440-AI$401)^2+($C440-AI$402)^2+($D440-AI$403)^2)</f>
        <v>1.51474246908484</v>
      </c>
      <c r="AJ440" s="17" t="n">
        <f aca="false">SQRT(($B440-AJ$401)^2+($C440-AJ$402)^2+($D440-AJ$403)^2)</f>
        <v>3.05897294063093</v>
      </c>
      <c r="AK440" s="17" t="n">
        <f aca="false">SQRT(($B440-AK$401)^2+($C440-AK$402)^2+($D440-AK$403)^2)</f>
        <v>1.11243948204942</v>
      </c>
      <c r="AL440" s="63" t="n">
        <f aca="false">MATCH(MIN(AF440:AK440),AF440:AK440,0)</f>
        <v>3</v>
      </c>
      <c r="AN440" s="17" t="n">
        <f aca="false">SQRT(($B440-AN$401)^2+($C440-AN$402)^2+($D440-AN$403)^2)</f>
        <v>5.33575852747446</v>
      </c>
      <c r="AO440" s="17" t="n">
        <f aca="false">SQRT(($B440-AO$401)^2+($C440-AO$402)^2+($D440-AO$403)^2)</f>
        <v>2.48744247340016</v>
      </c>
      <c r="AP440" s="17" t="n">
        <f aca="false">SQRT(($B440-AP$401)^2+($C440-AP$402)^2+($D440-AP$403)^2)</f>
        <v>0.813418737138335</v>
      </c>
      <c r="AQ440" s="17" t="n">
        <f aca="false">SQRT(($B440-AQ$401)^2+($C440-AQ$402)^2+($D440-AQ$403)^2)</f>
        <v>1.53908332519484</v>
      </c>
      <c r="AR440" s="17" t="n">
        <f aca="false">SQRT(($B440-AR$401)^2+($C440-AR$402)^2+($D440-AR$403)^2)</f>
        <v>3.05897294063093</v>
      </c>
      <c r="AS440" s="17" t="n">
        <f aca="false">SQRT(($B440-AS$401)^2+($C440-AS$402)^2+($D440-AS$403)^2)</f>
        <v>1.07846167168346</v>
      </c>
      <c r="AT440" s="63" t="n">
        <f aca="false">MATCH(MIN(AN440:AS440),AN440:AS440,0)</f>
        <v>3</v>
      </c>
      <c r="AV440" s="17" t="n">
        <f aca="false">SQRT(($B440-AV$401)^2+($C440-AV$402)^2+($D440-AV$403)^2)</f>
        <v>5.33575852747446</v>
      </c>
      <c r="AW440" s="17" t="n">
        <f aca="false">SQRT(($B440-AW$401)^2+($C440-AW$402)^2+($D440-AW$403)^2)</f>
        <v>2.45989751788013</v>
      </c>
      <c r="AX440" s="17" t="n">
        <f aca="false">SQRT(($B440-AX$401)^2+($C440-AX$402)^2+($D440-AX$403)^2)</f>
        <v>0.813418737138335</v>
      </c>
      <c r="AY440" s="17" t="n">
        <f aca="false">SQRT(($B440-AY$401)^2+($C440-AY$402)^2+($D440-AY$403)^2)</f>
        <v>1.53908332519484</v>
      </c>
      <c r="AZ440" s="17" t="n">
        <f aca="false">SQRT(($B440-AZ$401)^2+($C440-AZ$402)^2+($D440-AZ$403)^2)</f>
        <v>3.05897294063093</v>
      </c>
      <c r="BA440" s="17" t="n">
        <f aca="false">SQRT(($B440-BA$401)^2+($C440-BA$402)^2+($D440-BA$403)^2)</f>
        <v>1.05894192567804</v>
      </c>
      <c r="BB440" s="63" t="n">
        <f aca="false">MATCH(MIN(AV440:BA440),AV440:BA440,0)</f>
        <v>3</v>
      </c>
      <c r="BD440" s="17" t="n">
        <f aca="false">SQRT(($B440-BD$401)^2+($C440-BD$402)^2+($D440-BD$403)^2)</f>
        <v>5.33575852747446</v>
      </c>
      <c r="BE440" s="17" t="n">
        <f aca="false">SQRT(($B440-BE$401)^2+($C440-BE$402)^2+($D440-BE$403)^2)</f>
        <v>2.43403191169856</v>
      </c>
      <c r="BF440" s="17" t="n">
        <f aca="false">SQRT(($B440-BF$401)^2+($C440-BF$402)^2+($D440-BF$403)^2)</f>
        <v>0.813418737138335</v>
      </c>
      <c r="BG440" s="17" t="n">
        <f aca="false">SQRT(($B440-BG$401)^2+($C440-BG$402)^2+($D440-BG$403)^2)</f>
        <v>1.53908332519484</v>
      </c>
      <c r="BH440" s="17" t="n">
        <f aca="false">SQRT(($B440-BH$401)^2+($C440-BH$402)^2+($D440-BH$403)^2)</f>
        <v>3.05897294063093</v>
      </c>
      <c r="BI440" s="17" t="n">
        <f aca="false">SQRT(($B440-BI$401)^2+($C440-BI$402)^2+($D440-BI$403)^2)</f>
        <v>1.03768937927451</v>
      </c>
      <c r="BJ440" s="63" t="n">
        <f aca="false">MATCH(MIN(BD440:BI440),BD440:BI440,0)</f>
        <v>3</v>
      </c>
      <c r="BL440" s="17" t="n">
        <f aca="false">SQRT(($B440-BL$401)^2+($C440-BL$402)^2+($D440-BL$403)^2)</f>
        <v>5.33575852747446</v>
      </c>
      <c r="BM440" s="17" t="n">
        <f aca="false">SQRT(($B440-BM$401)^2+($C440-BM$402)^2+($D440-BM$403)^2)</f>
        <v>2.43403191169856</v>
      </c>
      <c r="BN440" s="17" t="n">
        <f aca="false">SQRT(($B440-BN$401)^2+($C440-BN$402)^2+($D440-BN$403)^2)</f>
        <v>0.813418737138335</v>
      </c>
      <c r="BO440" s="17" t="n">
        <f aca="false">SQRT(($B440-BO$401)^2+($C440-BO$402)^2+($D440-BO$403)^2)</f>
        <v>1.53908332519484</v>
      </c>
      <c r="BP440" s="17" t="n">
        <f aca="false">SQRT(($B440-BP$401)^2+($C440-BP$402)^2+($D440-BP$403)^2)</f>
        <v>3.05897294063093</v>
      </c>
      <c r="BQ440" s="17" t="n">
        <f aca="false">SQRT(($B440-BQ$401)^2+($C440-BQ$402)^2+($D440-BQ$403)^2)</f>
        <v>1.03768937927451</v>
      </c>
      <c r="BR440" s="63" t="n">
        <f aca="false">MATCH(MIN(BL440:BQ440),BL440:BQ440,0)</f>
        <v>3</v>
      </c>
      <c r="BT440" s="17" t="n">
        <f aca="false">SQRT(($B440-BT$401)^2+($C440-BT$402)^2+($D440-BT$403)^2)</f>
        <v>5.33575852747446</v>
      </c>
      <c r="BU440" s="17" t="n">
        <f aca="false">SQRT(($B440-BU$401)^2+($C440-BU$402)^2+($D440-BU$403)^2)</f>
        <v>2.43403191169856</v>
      </c>
      <c r="BV440" s="17" t="n">
        <f aca="false">SQRT(($B440-BV$401)^2+($C440-BV$402)^2+($D440-BV$403)^2)</f>
        <v>0.813418737138335</v>
      </c>
      <c r="BW440" s="17" t="n">
        <f aca="false">SQRT(($B440-BW$401)^2+($C440-BW$402)^2+($D440-BW$403)^2)</f>
        <v>1.53908332519484</v>
      </c>
      <c r="BX440" s="17" t="n">
        <f aca="false">SQRT(($B440-BX$401)^2+($C440-BX$402)^2+($D440-BX$403)^2)</f>
        <v>3.05897294063093</v>
      </c>
      <c r="BY440" s="17" t="n">
        <f aca="false">SQRT(($B440-BY$401)^2+($C440-BY$402)^2+($D440-BY$403)^2)</f>
        <v>1.03768937927451</v>
      </c>
      <c r="BZ440" s="63" t="n">
        <f aca="false">MATCH(MIN(BT440:BY440),BT440:BY440,0)</f>
        <v>3</v>
      </c>
      <c r="CB440" s="17" t="n">
        <f aca="false">SQRT(($B440-CB$401)^2+($C440-CB$402)^2+($D440-CB$403)^2)</f>
        <v>5.33575852747446</v>
      </c>
      <c r="CC440" s="17" t="n">
        <f aca="false">SQRT(($B440-CC$401)^2+($C440-CC$402)^2+($D440-CC$403)^2)</f>
        <v>2.43403191169856</v>
      </c>
      <c r="CD440" s="17" t="n">
        <f aca="false">SQRT(($B440-CD$401)^2+($C440-CD$402)^2+($D440-CD$403)^2)</f>
        <v>0.813418737138335</v>
      </c>
      <c r="CE440" s="17" t="n">
        <f aca="false">SQRT(($B440-CE$401)^2+($C440-CE$402)^2+($D440-CE$403)^2)</f>
        <v>1.53908332519484</v>
      </c>
      <c r="CF440" s="17" t="n">
        <f aca="false">SQRT(($B440-CF$401)^2+($C440-CF$402)^2+($D440-CF$403)^2)</f>
        <v>3.05897294063093</v>
      </c>
      <c r="CG440" s="17" t="n">
        <f aca="false">SQRT(($B440-CG$401)^2+($C440-CG$402)^2+($D440-CG$403)^2)</f>
        <v>1.03768937927451</v>
      </c>
      <c r="CH440" s="63" t="n">
        <f aca="false">MATCH(MIN(CB440:CG440),CB440:CG440,0)</f>
        <v>3</v>
      </c>
      <c r="CJ440" s="17" t="n">
        <f aca="false">SQRT(($B440-CJ$401)^2+($C440-CJ$402)^2+($D440-CJ$403)^2)</f>
        <v>5.33575852747446</v>
      </c>
      <c r="CK440" s="17" t="n">
        <f aca="false">SQRT(($B440-CK$401)^2+($C440-CK$402)^2+($D440-CK$403)^2)</f>
        <v>2.43403191169856</v>
      </c>
      <c r="CL440" s="17" t="n">
        <f aca="false">SQRT(($B440-CL$401)^2+($C440-CL$402)^2+($D440-CL$403)^2)</f>
        <v>0.813418737138335</v>
      </c>
      <c r="CM440" s="17" t="n">
        <f aca="false">SQRT(($B440-CM$401)^2+($C440-CM$402)^2+($D440-CM$403)^2)</f>
        <v>1.53908332519484</v>
      </c>
      <c r="CN440" s="17" t="n">
        <f aca="false">SQRT(($B440-CN$401)^2+($C440-CN$402)^2+($D440-CN$403)^2)</f>
        <v>3.05897294063093</v>
      </c>
      <c r="CO440" s="17" t="n">
        <f aca="false">SQRT(($B440-CO$401)^2+($C440-CO$402)^2+($D440-CO$403)^2)</f>
        <v>1.03768937927451</v>
      </c>
      <c r="CP440" s="63" t="n">
        <f aca="false">MATCH(MIN(CJ440:CO440),CJ440:CO440,0)</f>
        <v>3</v>
      </c>
      <c r="CR440" s="17" t="n">
        <f aca="false">SQRT(($B440-CR$401)^2+($C440-CR$402)^2+($D440-CR$403)^2)</f>
        <v>5.33575852747446</v>
      </c>
      <c r="CS440" s="17" t="n">
        <f aca="false">SQRT(($B440-CS$401)^2+($C440-CS$402)^2+($D440-CS$403)^2)</f>
        <v>2.43403191169856</v>
      </c>
      <c r="CT440" s="17" t="n">
        <f aca="false">SQRT(($B440-CT$401)^2+($C440-CT$402)^2+($D440-CT$403)^2)</f>
        <v>0.813418737138335</v>
      </c>
      <c r="CU440" s="17" t="n">
        <f aca="false">SQRT(($B440-CU$401)^2+($C440-CU$402)^2+($D440-CU$403)^2)</f>
        <v>1.53908332519484</v>
      </c>
      <c r="CV440" s="17" t="n">
        <f aca="false">SQRT(($B440-CV$401)^2+($C440-CV$402)^2+($D440-CV$403)^2)</f>
        <v>3.05897294063093</v>
      </c>
      <c r="CW440" s="17" t="n">
        <f aca="false">SQRT(($B440-CW$401)^2+($C440-CW$402)^2+($D440-CW$403)^2)</f>
        <v>1.03768937927451</v>
      </c>
      <c r="CX440" s="63" t="n">
        <f aca="false">MATCH(MIN(CR440:CW440),CR440:CW440,0)</f>
        <v>3</v>
      </c>
      <c r="CZ440" s="17" t="n">
        <f aca="false">SQRT(($B440-CZ$401)^2+($C440-CZ$402)^2+($D440-CZ$403)^2)</f>
        <v>5.33575852747446</v>
      </c>
      <c r="DA440" s="17" t="n">
        <f aca="false">SQRT(($B440-DA$401)^2+($C440-DA$402)^2+($D440-DA$403)^2)</f>
        <v>2.43403191169856</v>
      </c>
      <c r="DB440" s="17" t="n">
        <f aca="false">SQRT(($B440-DB$401)^2+($C440-DB$402)^2+($D440-DB$403)^2)</f>
        <v>0.813418737138335</v>
      </c>
      <c r="DC440" s="17" t="n">
        <f aca="false">SQRT(($B440-DC$401)^2+($C440-DC$402)^2+($D440-DC$403)^2)</f>
        <v>1.53908332519484</v>
      </c>
      <c r="DD440" s="17" t="n">
        <f aca="false">SQRT(($B440-DD$401)^2+($C440-DD$402)^2+($D440-DD$403)^2)</f>
        <v>3.05897294063093</v>
      </c>
      <c r="DE440" s="17" t="n">
        <f aca="false">SQRT(($B440-DE$401)^2+($C440-DE$402)^2+($D440-DE$403)^2)</f>
        <v>1.03768937927451</v>
      </c>
      <c r="DF440" s="63" t="n">
        <f aca="false">MATCH(MIN(CZ440:DE440),CZ440:DE440,0)</f>
        <v>3</v>
      </c>
      <c r="DH440" s="17" t="n">
        <f aca="false">SQRT(($B440-DH$401)^2+($C440-DH$402)^2+($D440-DH$403)^2)</f>
        <v>5.33575852747446</v>
      </c>
      <c r="DI440" s="17" t="n">
        <f aca="false">SQRT(($B440-DI$401)^2+($C440-DI$402)^2+($D440-DI$403)^2)</f>
        <v>2.43403191169856</v>
      </c>
      <c r="DJ440" s="17" t="n">
        <f aca="false">SQRT(($B440-DJ$401)^2+($C440-DJ$402)^2+($D440-DJ$403)^2)</f>
        <v>0.813418737138335</v>
      </c>
      <c r="DK440" s="17" t="n">
        <f aca="false">SQRT(($B440-DK$401)^2+($C440-DK$402)^2+($D440-DK$403)^2)</f>
        <v>1.53908332519484</v>
      </c>
      <c r="DL440" s="17" t="n">
        <f aca="false">SQRT(($B440-DL$401)^2+($C440-DL$402)^2+($D440-DL$403)^2)</f>
        <v>3.05897294063093</v>
      </c>
      <c r="DM440" s="17" t="n">
        <f aca="false">SQRT(($B440-DM$401)^2+($C440-DM$402)^2+($D440-DM$403)^2)</f>
        <v>1.03768937927451</v>
      </c>
      <c r="DN440" s="63" t="n">
        <f aca="false">MATCH(MIN(DH440:DM440),DH440:DM440,0)</f>
        <v>3</v>
      </c>
    </row>
    <row r="441" customFormat="false" ht="15" hidden="false" customHeight="false" outlineLevel="0" collapsed="false">
      <c r="A441" s="36" t="str">
        <f aca="false">KMeans_Data!A38</f>
        <v>Shangla</v>
      </c>
      <c r="B441" s="17" t="n">
        <f aca="false">KMeans_Data!H38</f>
        <v>0.484749830332174</v>
      </c>
      <c r="C441" s="17" t="n">
        <f aca="false">KMeans_Data!I38</f>
        <v>-0.146983133929529</v>
      </c>
      <c r="D441" s="17" t="n">
        <f aca="false">KMeans_Data!J38</f>
        <v>0.552017036398812</v>
      </c>
      <c r="E441" s="63" t="n">
        <f aca="false">DN441</f>
        <v>6</v>
      </c>
      <c r="F441" s="38" t="n">
        <f aca="false">($B441-INDEX($L$401:$Q$401,E441))^2+($C441-INDEX($L$402:$Q$402,E441))^2+($D441-INDEX($L$403:$Q$403,E441))^2</f>
        <v>0.605981771548492</v>
      </c>
      <c r="G441" s="17" t="n">
        <f aca="false">IF(COUNTIF(Distance_Matrix!$E$12:$DQ$12,$E441)&lt;=1,0,SUMIF(Distance_Matrix!$E$12:$DQ$12,$E441,Distance_Matrix!$E$47:$DQ$47)/(COUNTIF(Distance_Matrix!$E$12:$DQ$12,$E441)-1))</f>
        <v>0.959821057168763</v>
      </c>
      <c r="H441" s="17" t="n">
        <f aca="false">MIN(IF(1=$E441,1E+099,IF(COUNTIF(Distance_Matrix!$E$12:$DQ$12,1)=0,1E+099,SUMIF(Distance_Matrix!$E$12:$DQ$12,1,Distance_Matrix!$E$47:$DQ$47)/COUNTIF(Distance_Matrix!$E$12:$DQ$12,1))),IF(2=$E441,1E+099,IF(COUNTIF(Distance_Matrix!$E$12:$DQ$12,2)=0,1E+099,SUMIF(Distance_Matrix!$E$12:$DQ$12,2,Distance_Matrix!$E$47:$DQ$47)/COUNTIF(Distance_Matrix!$E$12:$DQ$12,2))),IF(3=$E441,1E+099,IF(COUNTIF(Distance_Matrix!$E$12:$DQ$12,3)=0,1E+099,SUMIF(Distance_Matrix!$E$12:$DQ$12,3,Distance_Matrix!$E$47:$DQ$47)/COUNTIF(Distance_Matrix!$E$12:$DQ$12,3))),IF(4=$E441,1E+099,IF(COUNTIF(Distance_Matrix!$E$12:$DQ$12,4)=0,1E+099,SUMIF(Distance_Matrix!$E$12:$DQ$12,4,Distance_Matrix!$E$47:$DQ$47)/COUNTIF(Distance_Matrix!$E$12:$DQ$12,4))),IF(5=$E441,1E+099,IF(COUNTIF(Distance_Matrix!$E$12:$DQ$12,5)=0,1E+099,SUMIF(Distance_Matrix!$E$12:$DQ$12,5,Distance_Matrix!$E$47:$DQ$47)/COUNTIF(Distance_Matrix!$E$12:$DQ$12,5))),IF(6=$E441,1E+099,IF(COUNTIF(Distance_Matrix!$E$12:$DQ$12,6)=0,1E+099,SUMIF(Distance_Matrix!$E$12:$DQ$12,6,Distance_Matrix!$E$47:$DQ$47)/COUNTIF(Distance_Matrix!$E$12:$DQ$12,6))))</f>
        <v>1.196053931259</v>
      </c>
      <c r="I441" s="17" t="n">
        <f aca="false">IF(COUNTIF(Distance_Matrix!$E$12:$DQ$12,$E441)&lt;=1,0,(H441-G441)/MAX(G441,H441))</f>
        <v>0.197510219160078</v>
      </c>
      <c r="X441" s="17" t="n">
        <f aca="false">SQRT(($B441-X$401)^2+($C441-X$402)^2+($D441-X$403)^2)</f>
        <v>5.70934419366739</v>
      </c>
      <c r="Y441" s="17" t="n">
        <f aca="false">SQRT(($B441-Y$401)^2+($C441-Y$402)^2+($D441-Y$403)^2)</f>
        <v>3.12009252355725</v>
      </c>
      <c r="Z441" s="17" t="n">
        <f aca="false">SQRT(($B441-Z$401)^2+($C441-Z$402)^2+($D441-Z$403)^2)</f>
        <v>1.19378157826286</v>
      </c>
      <c r="AA441" s="17" t="n">
        <f aca="false">SQRT(($B441-AA$401)^2+($C441-AA$402)^2+($D441-AA$403)^2)</f>
        <v>1.70527114410237</v>
      </c>
      <c r="AB441" s="17" t="n">
        <f aca="false">SQRT(($B441-AB$401)^2+($C441-AB$402)^2+($D441-AB$403)^2)</f>
        <v>3.5785889331999</v>
      </c>
      <c r="AC441" s="17" t="n">
        <f aca="false">SQRT(($B441-AC$401)^2+($C441-AC$402)^2+($D441-AC$403)^2)</f>
        <v>1.19339183361828</v>
      </c>
      <c r="AD441" s="63" t="n">
        <f aca="false">MATCH(MIN(X441:AC441),X441:AC441,0)</f>
        <v>6</v>
      </c>
      <c r="AF441" s="17" t="n">
        <f aca="false">SQRT(($B441-AF$401)^2+($C441-AF$402)^2+($D441-AF$403)^2)</f>
        <v>5.61811779673699</v>
      </c>
      <c r="AG441" s="17" t="n">
        <f aca="false">SQRT(($B441-AG$401)^2+($C441-AG$402)^2+($D441-AG$403)^2)</f>
        <v>2.49541937520594</v>
      </c>
      <c r="AH441" s="17" t="n">
        <f aca="false">SQRT(($B441-AH$401)^2+($C441-AH$402)^2+($D441-AH$403)^2)</f>
        <v>1.09992097255866</v>
      </c>
      <c r="AI441" s="17" t="n">
        <f aca="false">SQRT(($B441-AI$401)^2+($C441-AI$402)^2+($D441-AI$403)^2)</f>
        <v>1.49994634256222</v>
      </c>
      <c r="AJ441" s="17" t="n">
        <f aca="false">SQRT(($B441-AJ$401)^2+($C441-AJ$402)^2+($D441-AJ$403)^2)</f>
        <v>3.36545834553495</v>
      </c>
      <c r="AK441" s="17" t="n">
        <f aca="false">SQRT(($B441-AK$401)^2+($C441-AK$402)^2+($D441-AK$403)^2)</f>
        <v>0.874853493546474</v>
      </c>
      <c r="AL441" s="63" t="n">
        <f aca="false">MATCH(MIN(AF441:AK441),AF441:AK441,0)</f>
        <v>6</v>
      </c>
      <c r="AN441" s="17" t="n">
        <f aca="false">SQRT(($B441-AN$401)^2+($C441-AN$402)^2+($D441-AN$403)^2)</f>
        <v>5.61811779673699</v>
      </c>
      <c r="AO441" s="17" t="n">
        <f aca="false">SQRT(($B441-AO$401)^2+($C441-AO$402)^2+($D441-AO$403)^2)</f>
        <v>2.45059907969448</v>
      </c>
      <c r="AP441" s="17" t="n">
        <f aca="false">SQRT(($B441-AP$401)^2+($C441-AP$402)^2+($D441-AP$403)^2)</f>
        <v>1.07853242375524</v>
      </c>
      <c r="AQ441" s="17" t="n">
        <f aca="false">SQRT(($B441-AQ$401)^2+($C441-AQ$402)^2+($D441-AQ$403)^2)</f>
        <v>1.51487206712691</v>
      </c>
      <c r="AR441" s="17" t="n">
        <f aca="false">SQRT(($B441-AR$401)^2+($C441-AR$402)^2+($D441-AR$403)^2)</f>
        <v>3.36545834553495</v>
      </c>
      <c r="AS441" s="17" t="n">
        <f aca="false">SQRT(($B441-AS$401)^2+($C441-AS$402)^2+($D441-AS$403)^2)</f>
        <v>0.829568054088547</v>
      </c>
      <c r="AT441" s="63" t="n">
        <f aca="false">MATCH(MIN(AN441:AS441),AN441:AS441,0)</f>
        <v>6</v>
      </c>
      <c r="AV441" s="17" t="n">
        <f aca="false">SQRT(($B441-AV$401)^2+($C441-AV$402)^2+($D441-AV$403)^2)</f>
        <v>5.61811779673699</v>
      </c>
      <c r="AW441" s="17" t="n">
        <f aca="false">SQRT(($B441-AW$401)^2+($C441-AW$402)^2+($D441-AW$403)^2)</f>
        <v>2.41998499793064</v>
      </c>
      <c r="AX441" s="17" t="n">
        <f aca="false">SQRT(($B441-AX$401)^2+($C441-AX$402)^2+($D441-AX$403)^2)</f>
        <v>1.07853242375524</v>
      </c>
      <c r="AY441" s="17" t="n">
        <f aca="false">SQRT(($B441-AY$401)^2+($C441-AY$402)^2+($D441-AY$403)^2)</f>
        <v>1.51487206712691</v>
      </c>
      <c r="AZ441" s="17" t="n">
        <f aca="false">SQRT(($B441-AZ$401)^2+($C441-AZ$402)^2+($D441-AZ$403)^2)</f>
        <v>3.36545834553495</v>
      </c>
      <c r="BA441" s="17" t="n">
        <f aca="false">SQRT(($B441-BA$401)^2+($C441-BA$402)^2+($D441-BA$403)^2)</f>
        <v>0.804795459448428</v>
      </c>
      <c r="BB441" s="63" t="n">
        <f aca="false">MATCH(MIN(AV441:BA441),AV441:BA441,0)</f>
        <v>6</v>
      </c>
      <c r="BD441" s="17" t="n">
        <f aca="false">SQRT(($B441-BD$401)^2+($C441-BD$402)^2+($D441-BD$403)^2)</f>
        <v>5.61811779673699</v>
      </c>
      <c r="BE441" s="17" t="n">
        <f aca="false">SQRT(($B441-BE$401)^2+($C441-BE$402)^2+($D441-BE$403)^2)</f>
        <v>2.39082452906532</v>
      </c>
      <c r="BF441" s="17" t="n">
        <f aca="false">SQRT(($B441-BF$401)^2+($C441-BF$402)^2+($D441-BF$403)^2)</f>
        <v>1.07853242375524</v>
      </c>
      <c r="BG441" s="17" t="n">
        <f aca="false">SQRT(($B441-BG$401)^2+($C441-BG$402)^2+($D441-BG$403)^2)</f>
        <v>1.51487206712691</v>
      </c>
      <c r="BH441" s="17" t="n">
        <f aca="false">SQRT(($B441-BH$401)^2+($C441-BH$402)^2+($D441-BH$403)^2)</f>
        <v>3.36545834553495</v>
      </c>
      <c r="BI441" s="17" t="n">
        <f aca="false">SQRT(($B441-BI$401)^2+($C441-BI$402)^2+($D441-BI$403)^2)</f>
        <v>0.778448310132723</v>
      </c>
      <c r="BJ441" s="63" t="n">
        <f aca="false">MATCH(MIN(BD441:BI441),BD441:BI441,0)</f>
        <v>6</v>
      </c>
      <c r="BL441" s="17" t="n">
        <f aca="false">SQRT(($B441-BL$401)^2+($C441-BL$402)^2+($D441-BL$403)^2)</f>
        <v>5.61811779673699</v>
      </c>
      <c r="BM441" s="17" t="n">
        <f aca="false">SQRT(($B441-BM$401)^2+($C441-BM$402)^2+($D441-BM$403)^2)</f>
        <v>2.39082452906532</v>
      </c>
      <c r="BN441" s="17" t="n">
        <f aca="false">SQRT(($B441-BN$401)^2+($C441-BN$402)^2+($D441-BN$403)^2)</f>
        <v>1.07853242375524</v>
      </c>
      <c r="BO441" s="17" t="n">
        <f aca="false">SQRT(($B441-BO$401)^2+($C441-BO$402)^2+($D441-BO$403)^2)</f>
        <v>1.51487206712691</v>
      </c>
      <c r="BP441" s="17" t="n">
        <f aca="false">SQRT(($B441-BP$401)^2+($C441-BP$402)^2+($D441-BP$403)^2)</f>
        <v>3.36545834553495</v>
      </c>
      <c r="BQ441" s="17" t="n">
        <f aca="false">SQRT(($B441-BQ$401)^2+($C441-BQ$402)^2+($D441-BQ$403)^2)</f>
        <v>0.778448310132723</v>
      </c>
      <c r="BR441" s="63" t="n">
        <f aca="false">MATCH(MIN(BL441:BQ441),BL441:BQ441,0)</f>
        <v>6</v>
      </c>
      <c r="BT441" s="17" t="n">
        <f aca="false">SQRT(($B441-BT$401)^2+($C441-BT$402)^2+($D441-BT$403)^2)</f>
        <v>5.61811779673699</v>
      </c>
      <c r="BU441" s="17" t="n">
        <f aca="false">SQRT(($B441-BU$401)^2+($C441-BU$402)^2+($D441-BU$403)^2)</f>
        <v>2.39082452906532</v>
      </c>
      <c r="BV441" s="17" t="n">
        <f aca="false">SQRT(($B441-BV$401)^2+($C441-BV$402)^2+($D441-BV$403)^2)</f>
        <v>1.07853242375524</v>
      </c>
      <c r="BW441" s="17" t="n">
        <f aca="false">SQRT(($B441-BW$401)^2+($C441-BW$402)^2+($D441-BW$403)^2)</f>
        <v>1.51487206712691</v>
      </c>
      <c r="BX441" s="17" t="n">
        <f aca="false">SQRT(($B441-BX$401)^2+($C441-BX$402)^2+($D441-BX$403)^2)</f>
        <v>3.36545834553495</v>
      </c>
      <c r="BY441" s="17" t="n">
        <f aca="false">SQRT(($B441-BY$401)^2+($C441-BY$402)^2+($D441-BY$403)^2)</f>
        <v>0.778448310132723</v>
      </c>
      <c r="BZ441" s="63" t="n">
        <f aca="false">MATCH(MIN(BT441:BY441),BT441:BY441,0)</f>
        <v>6</v>
      </c>
      <c r="CB441" s="17" t="n">
        <f aca="false">SQRT(($B441-CB$401)^2+($C441-CB$402)^2+($D441-CB$403)^2)</f>
        <v>5.61811779673699</v>
      </c>
      <c r="CC441" s="17" t="n">
        <f aca="false">SQRT(($B441-CC$401)^2+($C441-CC$402)^2+($D441-CC$403)^2)</f>
        <v>2.39082452906532</v>
      </c>
      <c r="CD441" s="17" t="n">
        <f aca="false">SQRT(($B441-CD$401)^2+($C441-CD$402)^2+($D441-CD$403)^2)</f>
        <v>1.07853242375524</v>
      </c>
      <c r="CE441" s="17" t="n">
        <f aca="false">SQRT(($B441-CE$401)^2+($C441-CE$402)^2+($D441-CE$403)^2)</f>
        <v>1.51487206712691</v>
      </c>
      <c r="CF441" s="17" t="n">
        <f aca="false">SQRT(($B441-CF$401)^2+($C441-CF$402)^2+($D441-CF$403)^2)</f>
        <v>3.36545834553495</v>
      </c>
      <c r="CG441" s="17" t="n">
        <f aca="false">SQRT(($B441-CG$401)^2+($C441-CG$402)^2+($D441-CG$403)^2)</f>
        <v>0.778448310132723</v>
      </c>
      <c r="CH441" s="63" t="n">
        <f aca="false">MATCH(MIN(CB441:CG441),CB441:CG441,0)</f>
        <v>6</v>
      </c>
      <c r="CJ441" s="17" t="n">
        <f aca="false">SQRT(($B441-CJ$401)^2+($C441-CJ$402)^2+($D441-CJ$403)^2)</f>
        <v>5.61811779673699</v>
      </c>
      <c r="CK441" s="17" t="n">
        <f aca="false">SQRT(($B441-CK$401)^2+($C441-CK$402)^2+($D441-CK$403)^2)</f>
        <v>2.39082452906532</v>
      </c>
      <c r="CL441" s="17" t="n">
        <f aca="false">SQRT(($B441-CL$401)^2+($C441-CL$402)^2+($D441-CL$403)^2)</f>
        <v>1.07853242375524</v>
      </c>
      <c r="CM441" s="17" t="n">
        <f aca="false">SQRT(($B441-CM$401)^2+($C441-CM$402)^2+($D441-CM$403)^2)</f>
        <v>1.51487206712691</v>
      </c>
      <c r="CN441" s="17" t="n">
        <f aca="false">SQRT(($B441-CN$401)^2+($C441-CN$402)^2+($D441-CN$403)^2)</f>
        <v>3.36545834553495</v>
      </c>
      <c r="CO441" s="17" t="n">
        <f aca="false">SQRT(($B441-CO$401)^2+($C441-CO$402)^2+($D441-CO$403)^2)</f>
        <v>0.778448310132723</v>
      </c>
      <c r="CP441" s="63" t="n">
        <f aca="false">MATCH(MIN(CJ441:CO441),CJ441:CO441,0)</f>
        <v>6</v>
      </c>
      <c r="CR441" s="17" t="n">
        <f aca="false">SQRT(($B441-CR$401)^2+($C441-CR$402)^2+($D441-CR$403)^2)</f>
        <v>5.61811779673699</v>
      </c>
      <c r="CS441" s="17" t="n">
        <f aca="false">SQRT(($B441-CS$401)^2+($C441-CS$402)^2+($D441-CS$403)^2)</f>
        <v>2.39082452906532</v>
      </c>
      <c r="CT441" s="17" t="n">
        <f aca="false">SQRT(($B441-CT$401)^2+($C441-CT$402)^2+($D441-CT$403)^2)</f>
        <v>1.07853242375524</v>
      </c>
      <c r="CU441" s="17" t="n">
        <f aca="false">SQRT(($B441-CU$401)^2+($C441-CU$402)^2+($D441-CU$403)^2)</f>
        <v>1.51487206712691</v>
      </c>
      <c r="CV441" s="17" t="n">
        <f aca="false">SQRT(($B441-CV$401)^2+($C441-CV$402)^2+($D441-CV$403)^2)</f>
        <v>3.36545834553495</v>
      </c>
      <c r="CW441" s="17" t="n">
        <f aca="false">SQRT(($B441-CW$401)^2+($C441-CW$402)^2+($D441-CW$403)^2)</f>
        <v>0.778448310132723</v>
      </c>
      <c r="CX441" s="63" t="n">
        <f aca="false">MATCH(MIN(CR441:CW441),CR441:CW441,0)</f>
        <v>6</v>
      </c>
      <c r="CZ441" s="17" t="n">
        <f aca="false">SQRT(($B441-CZ$401)^2+($C441-CZ$402)^2+($D441-CZ$403)^2)</f>
        <v>5.61811779673699</v>
      </c>
      <c r="DA441" s="17" t="n">
        <f aca="false">SQRT(($B441-DA$401)^2+($C441-DA$402)^2+($D441-DA$403)^2)</f>
        <v>2.39082452906532</v>
      </c>
      <c r="DB441" s="17" t="n">
        <f aca="false">SQRT(($B441-DB$401)^2+($C441-DB$402)^2+($D441-DB$403)^2)</f>
        <v>1.07853242375524</v>
      </c>
      <c r="DC441" s="17" t="n">
        <f aca="false">SQRT(($B441-DC$401)^2+($C441-DC$402)^2+($D441-DC$403)^2)</f>
        <v>1.51487206712691</v>
      </c>
      <c r="DD441" s="17" t="n">
        <f aca="false">SQRT(($B441-DD$401)^2+($C441-DD$402)^2+($D441-DD$403)^2)</f>
        <v>3.36545834553495</v>
      </c>
      <c r="DE441" s="17" t="n">
        <f aca="false">SQRT(($B441-DE$401)^2+($C441-DE$402)^2+($D441-DE$403)^2)</f>
        <v>0.778448310132723</v>
      </c>
      <c r="DF441" s="63" t="n">
        <f aca="false">MATCH(MIN(CZ441:DE441),CZ441:DE441,0)</f>
        <v>6</v>
      </c>
      <c r="DH441" s="17" t="n">
        <f aca="false">SQRT(($B441-DH$401)^2+($C441-DH$402)^2+($D441-DH$403)^2)</f>
        <v>5.61811779673699</v>
      </c>
      <c r="DI441" s="17" t="n">
        <f aca="false">SQRT(($B441-DI$401)^2+($C441-DI$402)^2+($D441-DI$403)^2)</f>
        <v>2.39082452906532</v>
      </c>
      <c r="DJ441" s="17" t="n">
        <f aca="false">SQRT(($B441-DJ$401)^2+($C441-DJ$402)^2+($D441-DJ$403)^2)</f>
        <v>1.07853242375524</v>
      </c>
      <c r="DK441" s="17" t="n">
        <f aca="false">SQRT(($B441-DK$401)^2+($C441-DK$402)^2+($D441-DK$403)^2)</f>
        <v>1.51487206712691</v>
      </c>
      <c r="DL441" s="17" t="n">
        <f aca="false">SQRT(($B441-DL$401)^2+($C441-DL$402)^2+($D441-DL$403)^2)</f>
        <v>3.36545834553495</v>
      </c>
      <c r="DM441" s="17" t="n">
        <f aca="false">SQRT(($B441-DM$401)^2+($C441-DM$402)^2+($D441-DM$403)^2)</f>
        <v>0.778448310132723</v>
      </c>
      <c r="DN441" s="63" t="n">
        <f aca="false">MATCH(MIN(DH441:DM441),DH441:DM441,0)</f>
        <v>6</v>
      </c>
    </row>
    <row r="442" customFormat="false" ht="15" hidden="false" customHeight="false" outlineLevel="0" collapsed="false">
      <c r="A442" s="36" t="str">
        <f aca="false">KMeans_Data!A39</f>
        <v>Mansehra</v>
      </c>
      <c r="B442" s="17" t="n">
        <f aca="false">KMeans_Data!H39</f>
        <v>0.484749830332174</v>
      </c>
      <c r="C442" s="17" t="n">
        <f aca="false">KMeans_Data!I39</f>
        <v>1.38107452085777</v>
      </c>
      <c r="D442" s="17" t="n">
        <f aca="false">KMeans_Data!J39</f>
        <v>0.307315391151031</v>
      </c>
      <c r="E442" s="63" t="n">
        <f aca="false">DN442</f>
        <v>3</v>
      </c>
      <c r="F442" s="38" t="n">
        <f aca="false">($B442-INDEX($L$401:$Q$401,E442))^2+($C442-INDEX($L$402:$Q$402,E442))^2+($D442-INDEX($L$403:$Q$403,E442))^2</f>
        <v>0.757971832687307</v>
      </c>
      <c r="G442" s="17" t="n">
        <f aca="false">IF(COUNTIF(Distance_Matrix!$E$12:$DQ$12,$E442)&lt;=1,0,SUMIF(Distance_Matrix!$E$12:$DQ$12,$E442,Distance_Matrix!$E$48:$DQ$48)/(COUNTIF(Distance_Matrix!$E$12:$DQ$12,$E442)-1))</f>
        <v>1.05416161506932</v>
      </c>
      <c r="H442" s="17" t="n">
        <f aca="false">MIN(IF(1=$E442,1E+099,IF(COUNTIF(Distance_Matrix!$E$12:$DQ$12,1)=0,1E+099,SUMIF(Distance_Matrix!$E$12:$DQ$12,1,Distance_Matrix!$E$48:$DQ$48)/COUNTIF(Distance_Matrix!$E$12:$DQ$12,1))),IF(2=$E442,1E+099,IF(COUNTIF(Distance_Matrix!$E$12:$DQ$12,2)=0,1E+099,SUMIF(Distance_Matrix!$E$12:$DQ$12,2,Distance_Matrix!$E$48:$DQ$48)/COUNTIF(Distance_Matrix!$E$12:$DQ$12,2))),IF(3=$E442,1E+099,IF(COUNTIF(Distance_Matrix!$E$12:$DQ$12,3)=0,1E+099,SUMIF(Distance_Matrix!$E$12:$DQ$12,3,Distance_Matrix!$E$48:$DQ$48)/COUNTIF(Distance_Matrix!$E$12:$DQ$12,3))),IF(4=$E442,1E+099,IF(COUNTIF(Distance_Matrix!$E$12:$DQ$12,4)=0,1E+099,SUMIF(Distance_Matrix!$E$12:$DQ$12,4,Distance_Matrix!$E$48:$DQ$48)/COUNTIF(Distance_Matrix!$E$12:$DQ$12,4))),IF(5=$E442,1E+099,IF(COUNTIF(Distance_Matrix!$E$12:$DQ$12,5)=0,1E+099,SUMIF(Distance_Matrix!$E$12:$DQ$12,5,Distance_Matrix!$E$48:$DQ$48)/COUNTIF(Distance_Matrix!$E$12:$DQ$12,5))),IF(6=$E442,1E+099,IF(COUNTIF(Distance_Matrix!$E$12:$DQ$12,6)=0,1E+099,SUMIF(Distance_Matrix!$E$12:$DQ$12,6,Distance_Matrix!$E$48:$DQ$48)/COUNTIF(Distance_Matrix!$E$12:$DQ$12,6))))</f>
        <v>1.94084290506981</v>
      </c>
      <c r="I442" s="17" t="n">
        <f aca="false">IF(COUNTIF(Distance_Matrix!$E$12:$DQ$12,$E442)&lt;=1,0,(H442-G442)/MAX(G442,H442))</f>
        <v>0.456853714272458</v>
      </c>
      <c r="X442" s="17" t="n">
        <f aca="false">SQRT(($B442-X$401)^2+($C442-X$402)^2+($D442-X$403)^2)</f>
        <v>4.84982323598635</v>
      </c>
      <c r="Y442" s="17" t="n">
        <f aca="false">SQRT(($B442-Y$401)^2+($C442-Y$402)^2+($D442-Y$403)^2)</f>
        <v>3.59241920113851</v>
      </c>
      <c r="Z442" s="17" t="n">
        <f aca="false">SQRT(($B442-Z$401)^2+($C442-Z$402)^2+($D442-Z$403)^2)</f>
        <v>1.63184412226407</v>
      </c>
      <c r="AA442" s="17" t="n">
        <f aca="false">SQRT(($B442-AA$401)^2+($C442-AA$402)^2+($D442-AA$403)^2)</f>
        <v>2.11469804278425</v>
      </c>
      <c r="AB442" s="17" t="n">
        <f aca="false">SQRT(($B442-AB$401)^2+($C442-AB$402)^2+($D442-AB$403)^2)</f>
        <v>2.93796894168663</v>
      </c>
      <c r="AC442" s="17" t="n">
        <f aca="false">SQRT(($B442-AC$401)^2+($C442-AC$402)^2+($D442-AC$403)^2)</f>
        <v>1.96378735533346</v>
      </c>
      <c r="AD442" s="63" t="n">
        <f aca="false">MATCH(MIN(X442:AC442),X442:AC442,0)</f>
        <v>3</v>
      </c>
      <c r="AF442" s="17" t="n">
        <f aca="false">SQRT(($B442-AF$401)^2+($C442-AF$402)^2+($D442-AF$403)^2)</f>
        <v>4.70819596481593</v>
      </c>
      <c r="AG442" s="17" t="n">
        <f aca="false">SQRT(($B442-AG$401)^2+($C442-AG$402)^2+($D442-AG$403)^2)</f>
        <v>3.05814814993863</v>
      </c>
      <c r="AH442" s="17" t="n">
        <f aca="false">SQRT(($B442-AH$401)^2+($C442-AH$402)^2+($D442-AH$403)^2)</f>
        <v>0.88390290471883</v>
      </c>
      <c r="AI442" s="17" t="n">
        <f aca="false">SQRT(($B442-AI$401)^2+($C442-AI$402)^2+($D442-AI$403)^2)</f>
        <v>2.26921528855024</v>
      </c>
      <c r="AJ442" s="17" t="n">
        <f aca="false">SQRT(($B442-AJ$401)^2+($C442-AJ$402)^2+($D442-AJ$403)^2)</f>
        <v>2.47386466289979</v>
      </c>
      <c r="AK442" s="17" t="n">
        <f aca="false">SQRT(($B442-AK$401)^2+($C442-AK$402)^2+($D442-AK$403)^2)</f>
        <v>1.92739702116287</v>
      </c>
      <c r="AL442" s="63" t="n">
        <f aca="false">MATCH(MIN(AF442:AK442),AF442:AK442,0)</f>
        <v>3</v>
      </c>
      <c r="AN442" s="17" t="n">
        <f aca="false">SQRT(($B442-AN$401)^2+($C442-AN$402)^2+($D442-AN$403)^2)</f>
        <v>4.70819596481593</v>
      </c>
      <c r="AO442" s="17" t="n">
        <f aca="false">SQRT(($B442-AO$401)^2+($C442-AO$402)^2+($D442-AO$403)^2)</f>
        <v>3.02436628399836</v>
      </c>
      <c r="AP442" s="17" t="n">
        <f aca="false">SQRT(($B442-AP$401)^2+($C442-AP$402)^2+($D442-AP$403)^2)</f>
        <v>0.870615777876387</v>
      </c>
      <c r="AQ442" s="17" t="n">
        <f aca="false">SQRT(($B442-AQ$401)^2+($C442-AQ$402)^2+($D442-AQ$403)^2)</f>
        <v>2.29874425876576</v>
      </c>
      <c r="AR442" s="17" t="n">
        <f aca="false">SQRT(($B442-AR$401)^2+($C442-AR$402)^2+($D442-AR$403)^2)</f>
        <v>2.47386466289979</v>
      </c>
      <c r="AS442" s="17" t="n">
        <f aca="false">SQRT(($B442-AS$401)^2+($C442-AS$402)^2+($D442-AS$403)^2)</f>
        <v>1.90594996830123</v>
      </c>
      <c r="AT442" s="63" t="n">
        <f aca="false">MATCH(MIN(AN442:AS442),AN442:AS442,0)</f>
        <v>3</v>
      </c>
      <c r="AV442" s="17" t="n">
        <f aca="false">SQRT(($B442-AV$401)^2+($C442-AV$402)^2+($D442-AV$403)^2)</f>
        <v>4.70819596481593</v>
      </c>
      <c r="AW442" s="17" t="n">
        <f aca="false">SQRT(($B442-AW$401)^2+($C442-AW$402)^2+($D442-AW$403)^2)</f>
        <v>3.00213959726898</v>
      </c>
      <c r="AX442" s="17" t="n">
        <f aca="false">SQRT(($B442-AX$401)^2+($C442-AX$402)^2+($D442-AX$403)^2)</f>
        <v>0.870615777876387</v>
      </c>
      <c r="AY442" s="17" t="n">
        <f aca="false">SQRT(($B442-AY$401)^2+($C442-AY$402)^2+($D442-AY$403)^2)</f>
        <v>2.29874425876576</v>
      </c>
      <c r="AZ442" s="17" t="n">
        <f aca="false">SQRT(($B442-AZ$401)^2+($C442-AZ$402)^2+($D442-AZ$403)^2)</f>
        <v>2.47386466289979</v>
      </c>
      <c r="BA442" s="17" t="n">
        <f aca="false">SQRT(($B442-BA$401)^2+($C442-BA$402)^2+($D442-BA$403)^2)</f>
        <v>1.8905681093241</v>
      </c>
      <c r="BB442" s="63" t="n">
        <f aca="false">MATCH(MIN(AV442:BA442),AV442:BA442,0)</f>
        <v>3</v>
      </c>
      <c r="BD442" s="17" t="n">
        <f aca="false">SQRT(($B442-BD$401)^2+($C442-BD$402)^2+($D442-BD$403)^2)</f>
        <v>4.70819596481593</v>
      </c>
      <c r="BE442" s="17" t="n">
        <f aca="false">SQRT(($B442-BE$401)^2+($C442-BE$402)^2+($D442-BE$403)^2)</f>
        <v>2.98129575809011</v>
      </c>
      <c r="BF442" s="17" t="n">
        <f aca="false">SQRT(($B442-BF$401)^2+($C442-BF$402)^2+($D442-BF$403)^2)</f>
        <v>0.870615777876387</v>
      </c>
      <c r="BG442" s="17" t="n">
        <f aca="false">SQRT(($B442-BG$401)^2+($C442-BG$402)^2+($D442-BG$403)^2)</f>
        <v>2.29874425876576</v>
      </c>
      <c r="BH442" s="17" t="n">
        <f aca="false">SQRT(($B442-BH$401)^2+($C442-BH$402)^2+($D442-BH$403)^2)</f>
        <v>2.47386466289979</v>
      </c>
      <c r="BI442" s="17" t="n">
        <f aca="false">SQRT(($B442-BI$401)^2+($C442-BI$402)^2+($D442-BI$403)^2)</f>
        <v>1.87408970871554</v>
      </c>
      <c r="BJ442" s="63" t="n">
        <f aca="false">MATCH(MIN(BD442:BI442),BD442:BI442,0)</f>
        <v>3</v>
      </c>
      <c r="BL442" s="17" t="n">
        <f aca="false">SQRT(($B442-BL$401)^2+($C442-BL$402)^2+($D442-BL$403)^2)</f>
        <v>4.70819596481593</v>
      </c>
      <c r="BM442" s="17" t="n">
        <f aca="false">SQRT(($B442-BM$401)^2+($C442-BM$402)^2+($D442-BM$403)^2)</f>
        <v>2.98129575809011</v>
      </c>
      <c r="BN442" s="17" t="n">
        <f aca="false">SQRT(($B442-BN$401)^2+($C442-BN$402)^2+($D442-BN$403)^2)</f>
        <v>0.870615777876387</v>
      </c>
      <c r="BO442" s="17" t="n">
        <f aca="false">SQRT(($B442-BO$401)^2+($C442-BO$402)^2+($D442-BO$403)^2)</f>
        <v>2.29874425876576</v>
      </c>
      <c r="BP442" s="17" t="n">
        <f aca="false">SQRT(($B442-BP$401)^2+($C442-BP$402)^2+($D442-BP$403)^2)</f>
        <v>2.47386466289979</v>
      </c>
      <c r="BQ442" s="17" t="n">
        <f aca="false">SQRT(($B442-BQ$401)^2+($C442-BQ$402)^2+($D442-BQ$403)^2)</f>
        <v>1.87408970871554</v>
      </c>
      <c r="BR442" s="63" t="n">
        <f aca="false">MATCH(MIN(BL442:BQ442),BL442:BQ442,0)</f>
        <v>3</v>
      </c>
      <c r="BT442" s="17" t="n">
        <f aca="false">SQRT(($B442-BT$401)^2+($C442-BT$402)^2+($D442-BT$403)^2)</f>
        <v>4.70819596481593</v>
      </c>
      <c r="BU442" s="17" t="n">
        <f aca="false">SQRT(($B442-BU$401)^2+($C442-BU$402)^2+($D442-BU$403)^2)</f>
        <v>2.98129575809011</v>
      </c>
      <c r="BV442" s="17" t="n">
        <f aca="false">SQRT(($B442-BV$401)^2+($C442-BV$402)^2+($D442-BV$403)^2)</f>
        <v>0.870615777876387</v>
      </c>
      <c r="BW442" s="17" t="n">
        <f aca="false">SQRT(($B442-BW$401)^2+($C442-BW$402)^2+($D442-BW$403)^2)</f>
        <v>2.29874425876576</v>
      </c>
      <c r="BX442" s="17" t="n">
        <f aca="false">SQRT(($B442-BX$401)^2+($C442-BX$402)^2+($D442-BX$403)^2)</f>
        <v>2.47386466289979</v>
      </c>
      <c r="BY442" s="17" t="n">
        <f aca="false">SQRT(($B442-BY$401)^2+($C442-BY$402)^2+($D442-BY$403)^2)</f>
        <v>1.87408970871554</v>
      </c>
      <c r="BZ442" s="63" t="n">
        <f aca="false">MATCH(MIN(BT442:BY442),BT442:BY442,0)</f>
        <v>3</v>
      </c>
      <c r="CB442" s="17" t="n">
        <f aca="false">SQRT(($B442-CB$401)^2+($C442-CB$402)^2+($D442-CB$403)^2)</f>
        <v>4.70819596481593</v>
      </c>
      <c r="CC442" s="17" t="n">
        <f aca="false">SQRT(($B442-CC$401)^2+($C442-CC$402)^2+($D442-CC$403)^2)</f>
        <v>2.98129575809011</v>
      </c>
      <c r="CD442" s="17" t="n">
        <f aca="false">SQRT(($B442-CD$401)^2+($C442-CD$402)^2+($D442-CD$403)^2)</f>
        <v>0.870615777876387</v>
      </c>
      <c r="CE442" s="17" t="n">
        <f aca="false">SQRT(($B442-CE$401)^2+($C442-CE$402)^2+($D442-CE$403)^2)</f>
        <v>2.29874425876576</v>
      </c>
      <c r="CF442" s="17" t="n">
        <f aca="false">SQRT(($B442-CF$401)^2+($C442-CF$402)^2+($D442-CF$403)^2)</f>
        <v>2.47386466289979</v>
      </c>
      <c r="CG442" s="17" t="n">
        <f aca="false">SQRT(($B442-CG$401)^2+($C442-CG$402)^2+($D442-CG$403)^2)</f>
        <v>1.87408970871554</v>
      </c>
      <c r="CH442" s="63" t="n">
        <f aca="false">MATCH(MIN(CB442:CG442),CB442:CG442,0)</f>
        <v>3</v>
      </c>
      <c r="CJ442" s="17" t="n">
        <f aca="false">SQRT(($B442-CJ$401)^2+($C442-CJ$402)^2+($D442-CJ$403)^2)</f>
        <v>4.70819596481593</v>
      </c>
      <c r="CK442" s="17" t="n">
        <f aca="false">SQRT(($B442-CK$401)^2+($C442-CK$402)^2+($D442-CK$403)^2)</f>
        <v>2.98129575809011</v>
      </c>
      <c r="CL442" s="17" t="n">
        <f aca="false">SQRT(($B442-CL$401)^2+($C442-CL$402)^2+($D442-CL$403)^2)</f>
        <v>0.870615777876387</v>
      </c>
      <c r="CM442" s="17" t="n">
        <f aca="false">SQRT(($B442-CM$401)^2+($C442-CM$402)^2+($D442-CM$403)^2)</f>
        <v>2.29874425876576</v>
      </c>
      <c r="CN442" s="17" t="n">
        <f aca="false">SQRT(($B442-CN$401)^2+($C442-CN$402)^2+($D442-CN$403)^2)</f>
        <v>2.47386466289979</v>
      </c>
      <c r="CO442" s="17" t="n">
        <f aca="false">SQRT(($B442-CO$401)^2+($C442-CO$402)^2+($D442-CO$403)^2)</f>
        <v>1.87408970871554</v>
      </c>
      <c r="CP442" s="63" t="n">
        <f aca="false">MATCH(MIN(CJ442:CO442),CJ442:CO442,0)</f>
        <v>3</v>
      </c>
      <c r="CR442" s="17" t="n">
        <f aca="false">SQRT(($B442-CR$401)^2+($C442-CR$402)^2+($D442-CR$403)^2)</f>
        <v>4.70819596481593</v>
      </c>
      <c r="CS442" s="17" t="n">
        <f aca="false">SQRT(($B442-CS$401)^2+($C442-CS$402)^2+($D442-CS$403)^2)</f>
        <v>2.98129575809011</v>
      </c>
      <c r="CT442" s="17" t="n">
        <f aca="false">SQRT(($B442-CT$401)^2+($C442-CT$402)^2+($D442-CT$403)^2)</f>
        <v>0.870615777876387</v>
      </c>
      <c r="CU442" s="17" t="n">
        <f aca="false">SQRT(($B442-CU$401)^2+($C442-CU$402)^2+($D442-CU$403)^2)</f>
        <v>2.29874425876576</v>
      </c>
      <c r="CV442" s="17" t="n">
        <f aca="false">SQRT(($B442-CV$401)^2+($C442-CV$402)^2+($D442-CV$403)^2)</f>
        <v>2.47386466289979</v>
      </c>
      <c r="CW442" s="17" t="n">
        <f aca="false">SQRT(($B442-CW$401)^2+($C442-CW$402)^2+($D442-CW$403)^2)</f>
        <v>1.87408970871554</v>
      </c>
      <c r="CX442" s="63" t="n">
        <f aca="false">MATCH(MIN(CR442:CW442),CR442:CW442,0)</f>
        <v>3</v>
      </c>
      <c r="CZ442" s="17" t="n">
        <f aca="false">SQRT(($B442-CZ$401)^2+($C442-CZ$402)^2+($D442-CZ$403)^2)</f>
        <v>4.70819596481593</v>
      </c>
      <c r="DA442" s="17" t="n">
        <f aca="false">SQRT(($B442-DA$401)^2+($C442-DA$402)^2+($D442-DA$403)^2)</f>
        <v>2.98129575809011</v>
      </c>
      <c r="DB442" s="17" t="n">
        <f aca="false">SQRT(($B442-DB$401)^2+($C442-DB$402)^2+($D442-DB$403)^2)</f>
        <v>0.870615777876387</v>
      </c>
      <c r="DC442" s="17" t="n">
        <f aca="false">SQRT(($B442-DC$401)^2+($C442-DC$402)^2+($D442-DC$403)^2)</f>
        <v>2.29874425876576</v>
      </c>
      <c r="DD442" s="17" t="n">
        <f aca="false">SQRT(($B442-DD$401)^2+($C442-DD$402)^2+($D442-DD$403)^2)</f>
        <v>2.47386466289979</v>
      </c>
      <c r="DE442" s="17" t="n">
        <f aca="false">SQRT(($B442-DE$401)^2+($C442-DE$402)^2+($D442-DE$403)^2)</f>
        <v>1.87408970871554</v>
      </c>
      <c r="DF442" s="63" t="n">
        <f aca="false">MATCH(MIN(CZ442:DE442),CZ442:DE442,0)</f>
        <v>3</v>
      </c>
      <c r="DH442" s="17" t="n">
        <f aca="false">SQRT(($B442-DH$401)^2+($C442-DH$402)^2+($D442-DH$403)^2)</f>
        <v>4.70819596481593</v>
      </c>
      <c r="DI442" s="17" t="n">
        <f aca="false">SQRT(($B442-DI$401)^2+($C442-DI$402)^2+($D442-DI$403)^2)</f>
        <v>2.98129575809011</v>
      </c>
      <c r="DJ442" s="17" t="n">
        <f aca="false">SQRT(($B442-DJ$401)^2+($C442-DJ$402)^2+($D442-DJ$403)^2)</f>
        <v>0.870615777876387</v>
      </c>
      <c r="DK442" s="17" t="n">
        <f aca="false">SQRT(($B442-DK$401)^2+($C442-DK$402)^2+($D442-DK$403)^2)</f>
        <v>2.29874425876576</v>
      </c>
      <c r="DL442" s="17" t="n">
        <f aca="false">SQRT(($B442-DL$401)^2+($C442-DL$402)^2+($D442-DL$403)^2)</f>
        <v>2.47386466289979</v>
      </c>
      <c r="DM442" s="17" t="n">
        <f aca="false">SQRT(($B442-DM$401)^2+($C442-DM$402)^2+($D442-DM$403)^2)</f>
        <v>1.87408970871554</v>
      </c>
      <c r="DN442" s="63" t="n">
        <f aca="false">MATCH(MIN(DH442:DM442),DH442:DM442,0)</f>
        <v>3</v>
      </c>
    </row>
    <row r="443" customFormat="false" ht="15" hidden="false" customHeight="false" outlineLevel="0" collapsed="false">
      <c r="A443" s="36" t="str">
        <f aca="false">KMeans_Data!A40</f>
        <v>Swabi</v>
      </c>
      <c r="B443" s="17" t="n">
        <f aca="false">KMeans_Data!H40</f>
        <v>0.453667759197148</v>
      </c>
      <c r="C443" s="17" t="n">
        <f aca="false">KMeans_Data!I40</f>
        <v>1.14585991869933</v>
      </c>
      <c r="D443" s="17" t="n">
        <f aca="false">KMeans_Data!J40</f>
        <v>0.719667253181963</v>
      </c>
      <c r="E443" s="63" t="n">
        <f aca="false">DN443</f>
        <v>3</v>
      </c>
      <c r="F443" s="38" t="n">
        <f aca="false">($B443-INDEX($L$401:$Q$401,E443))^2+($C443-INDEX($L$402:$Q$402,E443))^2+($D443-INDEX($L$403:$Q$403,E443))^2</f>
        <v>0.227451857596317</v>
      </c>
      <c r="G443" s="17" t="n">
        <f aca="false">IF(COUNTIF(Distance_Matrix!$E$12:$DQ$12,$E443)&lt;=1,0,SUMIF(Distance_Matrix!$E$12:$DQ$12,$E443,Distance_Matrix!$E$49:$DQ$49)/(COUNTIF(Distance_Matrix!$E$12:$DQ$12,$E443)-1))</f>
        <v>0.783648691112549</v>
      </c>
      <c r="H443" s="17" t="n">
        <f aca="false">MIN(IF(1=$E443,1E+099,IF(COUNTIF(Distance_Matrix!$E$12:$DQ$12,1)=0,1E+099,SUMIF(Distance_Matrix!$E$12:$DQ$12,1,Distance_Matrix!$E$49:$DQ$49)/COUNTIF(Distance_Matrix!$E$12:$DQ$12,1))),IF(2=$E443,1E+099,IF(COUNTIF(Distance_Matrix!$E$12:$DQ$12,2)=0,1E+099,SUMIF(Distance_Matrix!$E$12:$DQ$12,2,Distance_Matrix!$E$49:$DQ$49)/COUNTIF(Distance_Matrix!$E$12:$DQ$12,2))),IF(3=$E443,1E+099,IF(COUNTIF(Distance_Matrix!$E$12:$DQ$12,3)=0,1E+099,SUMIF(Distance_Matrix!$E$12:$DQ$12,3,Distance_Matrix!$E$49:$DQ$49)/COUNTIF(Distance_Matrix!$E$12:$DQ$12,3))),IF(4=$E443,1E+099,IF(COUNTIF(Distance_Matrix!$E$12:$DQ$12,4)=0,1E+099,SUMIF(Distance_Matrix!$E$12:$DQ$12,4,Distance_Matrix!$E$49:$DQ$49)/COUNTIF(Distance_Matrix!$E$12:$DQ$12,4))),IF(5=$E443,1E+099,IF(COUNTIF(Distance_Matrix!$E$12:$DQ$12,5)=0,1E+099,SUMIF(Distance_Matrix!$E$12:$DQ$12,5,Distance_Matrix!$E$49:$DQ$49)/COUNTIF(Distance_Matrix!$E$12:$DQ$12,5))),IF(6=$E443,1E+099,IF(COUNTIF(Distance_Matrix!$E$12:$DQ$12,6)=0,1E+099,SUMIF(Distance_Matrix!$E$12:$DQ$12,6,Distance_Matrix!$E$49:$DQ$49)/COUNTIF(Distance_Matrix!$E$12:$DQ$12,6))))</f>
        <v>1.78533266425961</v>
      </c>
      <c r="I443" s="17" t="n">
        <f aca="false">IF(COUNTIF(Distance_Matrix!$E$12:$DQ$12,$E443)&lt;=1,0,(H443-G443)/MAX(G443,H443))</f>
        <v>0.561062928606904</v>
      </c>
      <c r="X443" s="17" t="n">
        <f aca="false">SQRT(($B443-X$401)^2+($C443-X$402)^2+($D443-X$403)^2)</f>
        <v>4.76882981559524</v>
      </c>
      <c r="Y443" s="17" t="n">
        <f aca="false">SQRT(($B443-Y$401)^2+($C443-Y$402)^2+($D443-Y$403)^2)</f>
        <v>3.6338012413689</v>
      </c>
      <c r="Z443" s="17" t="n">
        <f aca="false">SQRT(($B443-Z$401)^2+($C443-Z$402)^2+($D443-Z$403)^2)</f>
        <v>1.22181615707812</v>
      </c>
      <c r="AA443" s="17" t="n">
        <f aca="false">SQRT(($B443-AA$401)^2+($C443-AA$402)^2+($D443-AA$403)^2)</f>
        <v>2.27765135589093</v>
      </c>
      <c r="AB443" s="17" t="n">
        <f aca="false">SQRT(($B443-AB$401)^2+($C443-AB$402)^2+($D443-AB$403)^2)</f>
        <v>2.77512689651968</v>
      </c>
      <c r="AC443" s="17" t="n">
        <f aca="false">SQRT(($B443-AC$401)^2+($C443-AC$402)^2+($D443-AC$403)^2)</f>
        <v>1.73925760276655</v>
      </c>
      <c r="AD443" s="63" t="n">
        <f aca="false">MATCH(MIN(X443:AC443),X443:AC443,0)</f>
        <v>3</v>
      </c>
      <c r="AF443" s="17" t="n">
        <f aca="false">SQRT(($B443-AF$401)^2+($C443-AF$402)^2+($D443-AF$403)^2)</f>
        <v>4.65306471939811</v>
      </c>
      <c r="AG443" s="17" t="n">
        <f aca="false">SQRT(($B443-AG$401)^2+($C443-AG$402)^2+($D443-AG$403)^2)</f>
        <v>3.10933318719845</v>
      </c>
      <c r="AH443" s="17" t="n">
        <f aca="false">SQRT(($B443-AH$401)^2+($C443-AH$402)^2+($D443-AH$403)^2)</f>
        <v>0.494583470889473</v>
      </c>
      <c r="AI443" s="17" t="n">
        <f aca="false">SQRT(($B443-AI$401)^2+($C443-AI$402)^2+($D443-AI$403)^2)</f>
        <v>2.32613089539531</v>
      </c>
      <c r="AJ443" s="17" t="n">
        <f aca="false">SQRT(($B443-AJ$401)^2+($C443-AJ$402)^2+($D443-AJ$403)^2)</f>
        <v>2.40197743560858</v>
      </c>
      <c r="AK443" s="17" t="n">
        <f aca="false">SQRT(($B443-AK$401)^2+($C443-AK$402)^2+($D443-AK$403)^2)</f>
        <v>1.78147048408194</v>
      </c>
      <c r="AL443" s="63" t="n">
        <f aca="false">MATCH(MIN(AF443:AK443),AF443:AK443,0)</f>
        <v>3</v>
      </c>
      <c r="AN443" s="17" t="n">
        <f aca="false">SQRT(($B443-AN$401)^2+($C443-AN$402)^2+($D443-AN$403)^2)</f>
        <v>4.65306471939811</v>
      </c>
      <c r="AO443" s="17" t="n">
        <f aca="false">SQRT(($B443-AO$401)^2+($C443-AO$402)^2+($D443-AO$403)^2)</f>
        <v>3.07349683686746</v>
      </c>
      <c r="AP443" s="17" t="n">
        <f aca="false">SQRT(($B443-AP$401)^2+($C443-AP$402)^2+($D443-AP$403)^2)</f>
        <v>0.476919131086515</v>
      </c>
      <c r="AQ443" s="17" t="n">
        <f aca="false">SQRT(($B443-AQ$401)^2+($C443-AQ$402)^2+($D443-AQ$403)^2)</f>
        <v>2.35286314160222</v>
      </c>
      <c r="AR443" s="17" t="n">
        <f aca="false">SQRT(($B443-AR$401)^2+($C443-AR$402)^2+($D443-AR$403)^2)</f>
        <v>2.40197743560858</v>
      </c>
      <c r="AS443" s="17" t="n">
        <f aca="false">SQRT(($B443-AS$401)^2+($C443-AS$402)^2+($D443-AS$403)^2)</f>
        <v>1.75434122487684</v>
      </c>
      <c r="AT443" s="63" t="n">
        <f aca="false">MATCH(MIN(AN443:AS443),AN443:AS443,0)</f>
        <v>3</v>
      </c>
      <c r="AV443" s="17" t="n">
        <f aca="false">SQRT(($B443-AV$401)^2+($C443-AV$402)^2+($D443-AV$403)^2)</f>
        <v>4.65306471939811</v>
      </c>
      <c r="AW443" s="17" t="n">
        <f aca="false">SQRT(($B443-AW$401)^2+($C443-AW$402)^2+($D443-AW$403)^2)</f>
        <v>3.04825329285146</v>
      </c>
      <c r="AX443" s="17" t="n">
        <f aca="false">SQRT(($B443-AX$401)^2+($C443-AX$402)^2+($D443-AX$403)^2)</f>
        <v>0.476919131086515</v>
      </c>
      <c r="AY443" s="17" t="n">
        <f aca="false">SQRT(($B443-AY$401)^2+($C443-AY$402)^2+($D443-AY$403)^2)</f>
        <v>2.35286314160222</v>
      </c>
      <c r="AZ443" s="17" t="n">
        <f aca="false">SQRT(($B443-AZ$401)^2+($C443-AZ$402)^2+($D443-AZ$403)^2)</f>
        <v>2.40197743560858</v>
      </c>
      <c r="BA443" s="17" t="n">
        <f aca="false">SQRT(($B443-BA$401)^2+($C443-BA$402)^2+($D443-BA$403)^2)</f>
        <v>1.73483134147882</v>
      </c>
      <c r="BB443" s="63" t="n">
        <f aca="false">MATCH(MIN(AV443:BA443),AV443:BA443,0)</f>
        <v>3</v>
      </c>
      <c r="BD443" s="17" t="n">
        <f aca="false">SQRT(($B443-BD$401)^2+($C443-BD$402)^2+($D443-BD$403)^2)</f>
        <v>4.65306471939811</v>
      </c>
      <c r="BE443" s="17" t="n">
        <f aca="false">SQRT(($B443-BE$401)^2+($C443-BE$402)^2+($D443-BE$403)^2)</f>
        <v>3.02413375138972</v>
      </c>
      <c r="BF443" s="17" t="n">
        <f aca="false">SQRT(($B443-BF$401)^2+($C443-BF$402)^2+($D443-BF$403)^2)</f>
        <v>0.476919131086515</v>
      </c>
      <c r="BG443" s="17" t="n">
        <f aca="false">SQRT(($B443-BG$401)^2+($C443-BG$402)^2+($D443-BG$403)^2)</f>
        <v>2.35286314160222</v>
      </c>
      <c r="BH443" s="17" t="n">
        <f aca="false">SQRT(($B443-BH$401)^2+($C443-BH$402)^2+($D443-BH$403)^2)</f>
        <v>2.40197743560858</v>
      </c>
      <c r="BI443" s="17" t="n">
        <f aca="false">SQRT(($B443-BI$401)^2+($C443-BI$402)^2+($D443-BI$403)^2)</f>
        <v>1.71452296894647</v>
      </c>
      <c r="BJ443" s="63" t="n">
        <f aca="false">MATCH(MIN(BD443:BI443),BD443:BI443,0)</f>
        <v>3</v>
      </c>
      <c r="BL443" s="17" t="n">
        <f aca="false">SQRT(($B443-BL$401)^2+($C443-BL$402)^2+($D443-BL$403)^2)</f>
        <v>4.65306471939811</v>
      </c>
      <c r="BM443" s="17" t="n">
        <f aca="false">SQRT(($B443-BM$401)^2+($C443-BM$402)^2+($D443-BM$403)^2)</f>
        <v>3.02413375138972</v>
      </c>
      <c r="BN443" s="17" t="n">
        <f aca="false">SQRT(($B443-BN$401)^2+($C443-BN$402)^2+($D443-BN$403)^2)</f>
        <v>0.476919131086515</v>
      </c>
      <c r="BO443" s="17" t="n">
        <f aca="false">SQRT(($B443-BO$401)^2+($C443-BO$402)^2+($D443-BO$403)^2)</f>
        <v>2.35286314160222</v>
      </c>
      <c r="BP443" s="17" t="n">
        <f aca="false">SQRT(($B443-BP$401)^2+($C443-BP$402)^2+($D443-BP$403)^2)</f>
        <v>2.40197743560858</v>
      </c>
      <c r="BQ443" s="17" t="n">
        <f aca="false">SQRT(($B443-BQ$401)^2+($C443-BQ$402)^2+($D443-BQ$403)^2)</f>
        <v>1.71452296894647</v>
      </c>
      <c r="BR443" s="63" t="n">
        <f aca="false">MATCH(MIN(BL443:BQ443),BL443:BQ443,0)</f>
        <v>3</v>
      </c>
      <c r="BT443" s="17" t="n">
        <f aca="false">SQRT(($B443-BT$401)^2+($C443-BT$402)^2+($D443-BT$403)^2)</f>
        <v>4.65306471939811</v>
      </c>
      <c r="BU443" s="17" t="n">
        <f aca="false">SQRT(($B443-BU$401)^2+($C443-BU$402)^2+($D443-BU$403)^2)</f>
        <v>3.02413375138972</v>
      </c>
      <c r="BV443" s="17" t="n">
        <f aca="false">SQRT(($B443-BV$401)^2+($C443-BV$402)^2+($D443-BV$403)^2)</f>
        <v>0.476919131086515</v>
      </c>
      <c r="BW443" s="17" t="n">
        <f aca="false">SQRT(($B443-BW$401)^2+($C443-BW$402)^2+($D443-BW$403)^2)</f>
        <v>2.35286314160222</v>
      </c>
      <c r="BX443" s="17" t="n">
        <f aca="false">SQRT(($B443-BX$401)^2+($C443-BX$402)^2+($D443-BX$403)^2)</f>
        <v>2.40197743560858</v>
      </c>
      <c r="BY443" s="17" t="n">
        <f aca="false">SQRT(($B443-BY$401)^2+($C443-BY$402)^2+($D443-BY$403)^2)</f>
        <v>1.71452296894647</v>
      </c>
      <c r="BZ443" s="63" t="n">
        <f aca="false">MATCH(MIN(BT443:BY443),BT443:BY443,0)</f>
        <v>3</v>
      </c>
      <c r="CB443" s="17" t="n">
        <f aca="false">SQRT(($B443-CB$401)^2+($C443-CB$402)^2+($D443-CB$403)^2)</f>
        <v>4.65306471939811</v>
      </c>
      <c r="CC443" s="17" t="n">
        <f aca="false">SQRT(($B443-CC$401)^2+($C443-CC$402)^2+($D443-CC$403)^2)</f>
        <v>3.02413375138972</v>
      </c>
      <c r="CD443" s="17" t="n">
        <f aca="false">SQRT(($B443-CD$401)^2+($C443-CD$402)^2+($D443-CD$403)^2)</f>
        <v>0.476919131086515</v>
      </c>
      <c r="CE443" s="17" t="n">
        <f aca="false">SQRT(($B443-CE$401)^2+($C443-CE$402)^2+($D443-CE$403)^2)</f>
        <v>2.35286314160222</v>
      </c>
      <c r="CF443" s="17" t="n">
        <f aca="false">SQRT(($B443-CF$401)^2+($C443-CF$402)^2+($D443-CF$403)^2)</f>
        <v>2.40197743560858</v>
      </c>
      <c r="CG443" s="17" t="n">
        <f aca="false">SQRT(($B443-CG$401)^2+($C443-CG$402)^2+($D443-CG$403)^2)</f>
        <v>1.71452296894647</v>
      </c>
      <c r="CH443" s="63" t="n">
        <f aca="false">MATCH(MIN(CB443:CG443),CB443:CG443,0)</f>
        <v>3</v>
      </c>
      <c r="CJ443" s="17" t="n">
        <f aca="false">SQRT(($B443-CJ$401)^2+($C443-CJ$402)^2+($D443-CJ$403)^2)</f>
        <v>4.65306471939811</v>
      </c>
      <c r="CK443" s="17" t="n">
        <f aca="false">SQRT(($B443-CK$401)^2+($C443-CK$402)^2+($D443-CK$403)^2)</f>
        <v>3.02413375138972</v>
      </c>
      <c r="CL443" s="17" t="n">
        <f aca="false">SQRT(($B443-CL$401)^2+($C443-CL$402)^2+($D443-CL$403)^2)</f>
        <v>0.476919131086515</v>
      </c>
      <c r="CM443" s="17" t="n">
        <f aca="false">SQRT(($B443-CM$401)^2+($C443-CM$402)^2+($D443-CM$403)^2)</f>
        <v>2.35286314160222</v>
      </c>
      <c r="CN443" s="17" t="n">
        <f aca="false">SQRT(($B443-CN$401)^2+($C443-CN$402)^2+($D443-CN$403)^2)</f>
        <v>2.40197743560858</v>
      </c>
      <c r="CO443" s="17" t="n">
        <f aca="false">SQRT(($B443-CO$401)^2+($C443-CO$402)^2+($D443-CO$403)^2)</f>
        <v>1.71452296894647</v>
      </c>
      <c r="CP443" s="63" t="n">
        <f aca="false">MATCH(MIN(CJ443:CO443),CJ443:CO443,0)</f>
        <v>3</v>
      </c>
      <c r="CR443" s="17" t="n">
        <f aca="false">SQRT(($B443-CR$401)^2+($C443-CR$402)^2+($D443-CR$403)^2)</f>
        <v>4.65306471939811</v>
      </c>
      <c r="CS443" s="17" t="n">
        <f aca="false">SQRT(($B443-CS$401)^2+($C443-CS$402)^2+($D443-CS$403)^2)</f>
        <v>3.02413375138972</v>
      </c>
      <c r="CT443" s="17" t="n">
        <f aca="false">SQRT(($B443-CT$401)^2+($C443-CT$402)^2+($D443-CT$403)^2)</f>
        <v>0.476919131086515</v>
      </c>
      <c r="CU443" s="17" t="n">
        <f aca="false">SQRT(($B443-CU$401)^2+($C443-CU$402)^2+($D443-CU$403)^2)</f>
        <v>2.35286314160222</v>
      </c>
      <c r="CV443" s="17" t="n">
        <f aca="false">SQRT(($B443-CV$401)^2+($C443-CV$402)^2+($D443-CV$403)^2)</f>
        <v>2.40197743560858</v>
      </c>
      <c r="CW443" s="17" t="n">
        <f aca="false">SQRT(($B443-CW$401)^2+($C443-CW$402)^2+($D443-CW$403)^2)</f>
        <v>1.71452296894647</v>
      </c>
      <c r="CX443" s="63" t="n">
        <f aca="false">MATCH(MIN(CR443:CW443),CR443:CW443,0)</f>
        <v>3</v>
      </c>
      <c r="CZ443" s="17" t="n">
        <f aca="false">SQRT(($B443-CZ$401)^2+($C443-CZ$402)^2+($D443-CZ$403)^2)</f>
        <v>4.65306471939811</v>
      </c>
      <c r="DA443" s="17" t="n">
        <f aca="false">SQRT(($B443-DA$401)^2+($C443-DA$402)^2+($D443-DA$403)^2)</f>
        <v>3.02413375138972</v>
      </c>
      <c r="DB443" s="17" t="n">
        <f aca="false">SQRT(($B443-DB$401)^2+($C443-DB$402)^2+($D443-DB$403)^2)</f>
        <v>0.476919131086515</v>
      </c>
      <c r="DC443" s="17" t="n">
        <f aca="false">SQRT(($B443-DC$401)^2+($C443-DC$402)^2+($D443-DC$403)^2)</f>
        <v>2.35286314160222</v>
      </c>
      <c r="DD443" s="17" t="n">
        <f aca="false">SQRT(($B443-DD$401)^2+($C443-DD$402)^2+($D443-DD$403)^2)</f>
        <v>2.40197743560858</v>
      </c>
      <c r="DE443" s="17" t="n">
        <f aca="false">SQRT(($B443-DE$401)^2+($C443-DE$402)^2+($D443-DE$403)^2)</f>
        <v>1.71452296894647</v>
      </c>
      <c r="DF443" s="63" t="n">
        <f aca="false">MATCH(MIN(CZ443:DE443),CZ443:DE443,0)</f>
        <v>3</v>
      </c>
      <c r="DH443" s="17" t="n">
        <f aca="false">SQRT(($B443-DH$401)^2+($C443-DH$402)^2+($D443-DH$403)^2)</f>
        <v>4.65306471939811</v>
      </c>
      <c r="DI443" s="17" t="n">
        <f aca="false">SQRT(($B443-DI$401)^2+($C443-DI$402)^2+($D443-DI$403)^2)</f>
        <v>3.02413375138972</v>
      </c>
      <c r="DJ443" s="17" t="n">
        <f aca="false">SQRT(($B443-DJ$401)^2+($C443-DJ$402)^2+($D443-DJ$403)^2)</f>
        <v>0.476919131086515</v>
      </c>
      <c r="DK443" s="17" t="n">
        <f aca="false">SQRT(($B443-DK$401)^2+($C443-DK$402)^2+($D443-DK$403)^2)</f>
        <v>2.35286314160222</v>
      </c>
      <c r="DL443" s="17" t="n">
        <f aca="false">SQRT(($B443-DL$401)^2+($C443-DL$402)^2+($D443-DL$403)^2)</f>
        <v>2.40197743560858</v>
      </c>
      <c r="DM443" s="17" t="n">
        <f aca="false">SQRT(($B443-DM$401)^2+($C443-DM$402)^2+($D443-DM$403)^2)</f>
        <v>1.71452296894647</v>
      </c>
      <c r="DN443" s="63" t="n">
        <f aca="false">MATCH(MIN(DH443:DM443),DH443:DM443,0)</f>
        <v>3</v>
      </c>
    </row>
    <row r="444" customFormat="false" ht="15" hidden="false" customHeight="false" outlineLevel="0" collapsed="false">
      <c r="A444" s="36" t="str">
        <f aca="false">KMeans_Data!A41</f>
        <v>Haripur</v>
      </c>
      <c r="B444" s="17" t="n">
        <f aca="false">KMeans_Data!H41</f>
        <v>0.433254553932755</v>
      </c>
      <c r="C444" s="17" t="n">
        <f aca="false">KMeans_Data!I41</f>
        <v>0.378684277529216</v>
      </c>
      <c r="D444" s="17" t="n">
        <f aca="false">KMeans_Data!J41</f>
        <v>0.539980232203984</v>
      </c>
      <c r="E444" s="63" t="n">
        <f aca="false">DN444</f>
        <v>3</v>
      </c>
      <c r="F444" s="38" t="n">
        <f aca="false">($B444-INDEX($L$401:$Q$401,E444))^2+($C444-INDEX($L$402:$Q$402,E444))^2+($D444-INDEX($L$403:$Q$403,E444))^2</f>
        <v>0.451084373497094</v>
      </c>
      <c r="G444" s="17" t="n">
        <f aca="false">IF(COUNTIF(Distance_Matrix!$E$12:$DQ$12,$E444)&lt;=1,0,SUMIF(Distance_Matrix!$E$12:$DQ$12,$E444,Distance_Matrix!$E$50:$DQ$50)/(COUNTIF(Distance_Matrix!$E$12:$DQ$12,$E444)-1))</f>
        <v>0.891285467054379</v>
      </c>
      <c r="H444" s="17" t="n">
        <f aca="false">MIN(IF(1=$E444,1E+099,IF(COUNTIF(Distance_Matrix!$E$12:$DQ$12,1)=0,1E+099,SUMIF(Distance_Matrix!$E$12:$DQ$12,1,Distance_Matrix!$E$50:$DQ$50)/COUNTIF(Distance_Matrix!$E$12:$DQ$12,1))),IF(2=$E444,1E+099,IF(COUNTIF(Distance_Matrix!$E$12:$DQ$12,2)=0,1E+099,SUMIF(Distance_Matrix!$E$12:$DQ$12,2,Distance_Matrix!$E$50:$DQ$50)/COUNTIF(Distance_Matrix!$E$12:$DQ$12,2))),IF(3=$E444,1E+099,IF(COUNTIF(Distance_Matrix!$E$12:$DQ$12,3)=0,1E+099,SUMIF(Distance_Matrix!$E$12:$DQ$12,3,Distance_Matrix!$E$50:$DQ$50)/COUNTIF(Distance_Matrix!$E$12:$DQ$12,3))),IF(4=$E444,1E+099,IF(COUNTIF(Distance_Matrix!$E$12:$DQ$12,4)=0,1E+099,SUMIF(Distance_Matrix!$E$12:$DQ$12,4,Distance_Matrix!$E$50:$DQ$50)/COUNTIF(Distance_Matrix!$E$12:$DQ$12,4))),IF(5=$E444,1E+099,IF(COUNTIF(Distance_Matrix!$E$12:$DQ$12,5)=0,1E+099,SUMIF(Distance_Matrix!$E$12:$DQ$12,5,Distance_Matrix!$E$50:$DQ$50)/COUNTIF(Distance_Matrix!$E$12:$DQ$12,5))),IF(6=$E444,1E+099,IF(COUNTIF(Distance_Matrix!$E$12:$DQ$12,6)=0,1E+099,SUMIF(Distance_Matrix!$E$12:$DQ$12,6,Distance_Matrix!$E$50:$DQ$50)/COUNTIF(Distance_Matrix!$E$12:$DQ$12,6))))</f>
        <v>1.13485473906961</v>
      </c>
      <c r="I444" s="17" t="n">
        <f aca="false">IF(COUNTIF(Distance_Matrix!$E$12:$DQ$12,$E444)&lt;=1,0,(H444-G444)/MAX(G444,H444))</f>
        <v>0.214625946061532</v>
      </c>
      <c r="X444" s="17" t="n">
        <f aca="false">SQRT(($B444-X$401)^2+($C444-X$402)^2+($D444-X$403)^2)</f>
        <v>5.36910920761941</v>
      </c>
      <c r="Y444" s="17" t="n">
        <f aca="false">SQRT(($B444-Y$401)^2+($C444-Y$402)^2+($D444-Y$403)^2)</f>
        <v>3.20339910703097</v>
      </c>
      <c r="Z444" s="17" t="n">
        <f aca="false">SQRT(($B444-Z$401)^2+($C444-Z$402)^2+($D444-Z$403)^2)</f>
        <v>1.10932638375685</v>
      </c>
      <c r="AA444" s="17" t="n">
        <f aca="false">SQRT(($B444-AA$401)^2+($C444-AA$402)^2+($D444-AA$403)^2)</f>
        <v>1.77841988658411</v>
      </c>
      <c r="AB444" s="17" t="n">
        <f aca="false">SQRT(($B444-AB$401)^2+($C444-AB$402)^2+($D444-AB$403)^2)</f>
        <v>3.27969587270695</v>
      </c>
      <c r="AC444" s="17" t="n">
        <f aca="false">SQRT(($B444-AC$401)^2+($C444-AC$402)^2+($D444-AC$403)^2)</f>
        <v>1.2579718472064</v>
      </c>
      <c r="AD444" s="63" t="n">
        <f aca="false">MATCH(MIN(X444:AC444),X444:AC444,0)</f>
        <v>3</v>
      </c>
      <c r="AF444" s="17" t="n">
        <f aca="false">SQRT(($B444-AF$401)^2+($C444-AF$402)^2+($D444-AF$403)^2)</f>
        <v>5.2653409757746</v>
      </c>
      <c r="AG444" s="17" t="n">
        <f aca="false">SQRT(($B444-AG$401)^2+($C444-AG$402)^2+($D444-AG$403)^2)</f>
        <v>2.60945489402262</v>
      </c>
      <c r="AH444" s="17" t="n">
        <f aca="false">SQRT(($B444-AH$401)^2+($C444-AH$402)^2+($D444-AH$403)^2)</f>
        <v>0.700225855443313</v>
      </c>
      <c r="AI444" s="17" t="n">
        <f aca="false">SQRT(($B444-AI$401)^2+($C444-AI$402)^2+($D444-AI$403)^2)</f>
        <v>1.69426720180927</v>
      </c>
      <c r="AJ444" s="17" t="n">
        <f aca="false">SQRT(($B444-AJ$401)^2+($C444-AJ$402)^2+($D444-AJ$403)^2)</f>
        <v>2.99631795733178</v>
      </c>
      <c r="AK444" s="17" t="n">
        <f aca="false">SQRT(($B444-AK$401)^2+($C444-AK$402)^2+($D444-AK$403)^2)</f>
        <v>1.10135649997692</v>
      </c>
      <c r="AL444" s="63" t="n">
        <f aca="false">MATCH(MIN(AF444:AK444),AF444:AK444,0)</f>
        <v>3</v>
      </c>
      <c r="AN444" s="17" t="n">
        <f aca="false">SQRT(($B444-AN$401)^2+($C444-AN$402)^2+($D444-AN$403)^2)</f>
        <v>5.2653409757746</v>
      </c>
      <c r="AO444" s="17" t="n">
        <f aca="false">SQRT(($B444-AO$401)^2+($C444-AO$402)^2+($D444-AO$403)^2)</f>
        <v>2.5679601868475</v>
      </c>
      <c r="AP444" s="17" t="n">
        <f aca="false">SQRT(($B444-AP$401)^2+($C444-AP$402)^2+($D444-AP$403)^2)</f>
        <v>0.671628151209502</v>
      </c>
      <c r="AQ444" s="17" t="n">
        <f aca="false">SQRT(($B444-AQ$401)^2+($C444-AQ$402)^2+($D444-AQ$403)^2)</f>
        <v>1.71660249656378</v>
      </c>
      <c r="AR444" s="17" t="n">
        <f aca="false">SQRT(($B444-AR$401)^2+($C444-AR$402)^2+($D444-AR$403)^2)</f>
        <v>2.99631795733178</v>
      </c>
      <c r="AS444" s="17" t="n">
        <f aca="false">SQRT(($B444-AS$401)^2+($C444-AS$402)^2+($D444-AS$403)^2)</f>
        <v>1.06531528484919</v>
      </c>
      <c r="AT444" s="63" t="n">
        <f aca="false">MATCH(MIN(AN444:AS444),AN444:AS444,0)</f>
        <v>3</v>
      </c>
      <c r="AV444" s="17" t="n">
        <f aca="false">SQRT(($B444-AV$401)^2+($C444-AV$402)^2+($D444-AV$403)^2)</f>
        <v>5.2653409757746</v>
      </c>
      <c r="AW444" s="17" t="n">
        <f aca="false">SQRT(($B444-AW$401)^2+($C444-AW$402)^2+($D444-AW$403)^2)</f>
        <v>2.53943547766576</v>
      </c>
      <c r="AX444" s="17" t="n">
        <f aca="false">SQRT(($B444-AX$401)^2+($C444-AX$402)^2+($D444-AX$403)^2)</f>
        <v>0.671628151209502</v>
      </c>
      <c r="AY444" s="17" t="n">
        <f aca="false">SQRT(($B444-AY$401)^2+($C444-AY$402)^2+($D444-AY$403)^2)</f>
        <v>1.71660249656378</v>
      </c>
      <c r="AZ444" s="17" t="n">
        <f aca="false">SQRT(($B444-AZ$401)^2+($C444-AZ$402)^2+($D444-AZ$403)^2)</f>
        <v>2.99631795733178</v>
      </c>
      <c r="BA444" s="17" t="n">
        <f aca="false">SQRT(($B444-BA$401)^2+($C444-BA$402)^2+($D444-BA$403)^2)</f>
        <v>1.04278583609436</v>
      </c>
      <c r="BB444" s="63" t="n">
        <f aca="false">MATCH(MIN(AV444:BA444),AV444:BA444,0)</f>
        <v>3</v>
      </c>
      <c r="BD444" s="17" t="n">
        <f aca="false">SQRT(($B444-BD$401)^2+($C444-BD$402)^2+($D444-BD$403)^2)</f>
        <v>5.2653409757746</v>
      </c>
      <c r="BE444" s="17" t="n">
        <f aca="false">SQRT(($B444-BE$401)^2+($C444-BE$402)^2+($D444-BE$403)^2)</f>
        <v>2.51227341425151</v>
      </c>
      <c r="BF444" s="17" t="n">
        <f aca="false">SQRT(($B444-BF$401)^2+($C444-BF$402)^2+($D444-BF$403)^2)</f>
        <v>0.671628151209502</v>
      </c>
      <c r="BG444" s="17" t="n">
        <f aca="false">SQRT(($B444-BG$401)^2+($C444-BG$402)^2+($D444-BG$403)^2)</f>
        <v>1.71660249656378</v>
      </c>
      <c r="BH444" s="17" t="n">
        <f aca="false">SQRT(($B444-BH$401)^2+($C444-BH$402)^2+($D444-BH$403)^2)</f>
        <v>2.99631795733178</v>
      </c>
      <c r="BI444" s="17" t="n">
        <f aca="false">SQRT(($B444-BI$401)^2+($C444-BI$402)^2+($D444-BI$403)^2)</f>
        <v>1.01898266422704</v>
      </c>
      <c r="BJ444" s="63" t="n">
        <f aca="false">MATCH(MIN(BD444:BI444),BD444:BI444,0)</f>
        <v>3</v>
      </c>
      <c r="BL444" s="17" t="n">
        <f aca="false">SQRT(($B444-BL$401)^2+($C444-BL$402)^2+($D444-BL$403)^2)</f>
        <v>5.2653409757746</v>
      </c>
      <c r="BM444" s="17" t="n">
        <f aca="false">SQRT(($B444-BM$401)^2+($C444-BM$402)^2+($D444-BM$403)^2)</f>
        <v>2.51227341425151</v>
      </c>
      <c r="BN444" s="17" t="n">
        <f aca="false">SQRT(($B444-BN$401)^2+($C444-BN$402)^2+($D444-BN$403)^2)</f>
        <v>0.671628151209502</v>
      </c>
      <c r="BO444" s="17" t="n">
        <f aca="false">SQRT(($B444-BO$401)^2+($C444-BO$402)^2+($D444-BO$403)^2)</f>
        <v>1.71660249656378</v>
      </c>
      <c r="BP444" s="17" t="n">
        <f aca="false">SQRT(($B444-BP$401)^2+($C444-BP$402)^2+($D444-BP$403)^2)</f>
        <v>2.99631795733178</v>
      </c>
      <c r="BQ444" s="17" t="n">
        <f aca="false">SQRT(($B444-BQ$401)^2+($C444-BQ$402)^2+($D444-BQ$403)^2)</f>
        <v>1.01898266422704</v>
      </c>
      <c r="BR444" s="63" t="n">
        <f aca="false">MATCH(MIN(BL444:BQ444),BL444:BQ444,0)</f>
        <v>3</v>
      </c>
      <c r="BT444" s="17" t="n">
        <f aca="false">SQRT(($B444-BT$401)^2+($C444-BT$402)^2+($D444-BT$403)^2)</f>
        <v>5.2653409757746</v>
      </c>
      <c r="BU444" s="17" t="n">
        <f aca="false">SQRT(($B444-BU$401)^2+($C444-BU$402)^2+($D444-BU$403)^2)</f>
        <v>2.51227341425151</v>
      </c>
      <c r="BV444" s="17" t="n">
        <f aca="false">SQRT(($B444-BV$401)^2+($C444-BV$402)^2+($D444-BV$403)^2)</f>
        <v>0.671628151209502</v>
      </c>
      <c r="BW444" s="17" t="n">
        <f aca="false">SQRT(($B444-BW$401)^2+($C444-BW$402)^2+($D444-BW$403)^2)</f>
        <v>1.71660249656378</v>
      </c>
      <c r="BX444" s="17" t="n">
        <f aca="false">SQRT(($B444-BX$401)^2+($C444-BX$402)^2+($D444-BX$403)^2)</f>
        <v>2.99631795733178</v>
      </c>
      <c r="BY444" s="17" t="n">
        <f aca="false">SQRT(($B444-BY$401)^2+($C444-BY$402)^2+($D444-BY$403)^2)</f>
        <v>1.01898266422704</v>
      </c>
      <c r="BZ444" s="63" t="n">
        <f aca="false">MATCH(MIN(BT444:BY444),BT444:BY444,0)</f>
        <v>3</v>
      </c>
      <c r="CB444" s="17" t="n">
        <f aca="false">SQRT(($B444-CB$401)^2+($C444-CB$402)^2+($D444-CB$403)^2)</f>
        <v>5.2653409757746</v>
      </c>
      <c r="CC444" s="17" t="n">
        <f aca="false">SQRT(($B444-CC$401)^2+($C444-CC$402)^2+($D444-CC$403)^2)</f>
        <v>2.51227341425151</v>
      </c>
      <c r="CD444" s="17" t="n">
        <f aca="false">SQRT(($B444-CD$401)^2+($C444-CD$402)^2+($D444-CD$403)^2)</f>
        <v>0.671628151209502</v>
      </c>
      <c r="CE444" s="17" t="n">
        <f aca="false">SQRT(($B444-CE$401)^2+($C444-CE$402)^2+($D444-CE$403)^2)</f>
        <v>1.71660249656378</v>
      </c>
      <c r="CF444" s="17" t="n">
        <f aca="false">SQRT(($B444-CF$401)^2+($C444-CF$402)^2+($D444-CF$403)^2)</f>
        <v>2.99631795733178</v>
      </c>
      <c r="CG444" s="17" t="n">
        <f aca="false">SQRT(($B444-CG$401)^2+($C444-CG$402)^2+($D444-CG$403)^2)</f>
        <v>1.01898266422704</v>
      </c>
      <c r="CH444" s="63" t="n">
        <f aca="false">MATCH(MIN(CB444:CG444),CB444:CG444,0)</f>
        <v>3</v>
      </c>
      <c r="CJ444" s="17" t="n">
        <f aca="false">SQRT(($B444-CJ$401)^2+($C444-CJ$402)^2+($D444-CJ$403)^2)</f>
        <v>5.2653409757746</v>
      </c>
      <c r="CK444" s="17" t="n">
        <f aca="false">SQRT(($B444-CK$401)^2+($C444-CK$402)^2+($D444-CK$403)^2)</f>
        <v>2.51227341425151</v>
      </c>
      <c r="CL444" s="17" t="n">
        <f aca="false">SQRT(($B444-CL$401)^2+($C444-CL$402)^2+($D444-CL$403)^2)</f>
        <v>0.671628151209502</v>
      </c>
      <c r="CM444" s="17" t="n">
        <f aca="false">SQRT(($B444-CM$401)^2+($C444-CM$402)^2+($D444-CM$403)^2)</f>
        <v>1.71660249656378</v>
      </c>
      <c r="CN444" s="17" t="n">
        <f aca="false">SQRT(($B444-CN$401)^2+($C444-CN$402)^2+($D444-CN$403)^2)</f>
        <v>2.99631795733178</v>
      </c>
      <c r="CO444" s="17" t="n">
        <f aca="false">SQRT(($B444-CO$401)^2+($C444-CO$402)^2+($D444-CO$403)^2)</f>
        <v>1.01898266422704</v>
      </c>
      <c r="CP444" s="63" t="n">
        <f aca="false">MATCH(MIN(CJ444:CO444),CJ444:CO444,0)</f>
        <v>3</v>
      </c>
      <c r="CR444" s="17" t="n">
        <f aca="false">SQRT(($B444-CR$401)^2+($C444-CR$402)^2+($D444-CR$403)^2)</f>
        <v>5.2653409757746</v>
      </c>
      <c r="CS444" s="17" t="n">
        <f aca="false">SQRT(($B444-CS$401)^2+($C444-CS$402)^2+($D444-CS$403)^2)</f>
        <v>2.51227341425151</v>
      </c>
      <c r="CT444" s="17" t="n">
        <f aca="false">SQRT(($B444-CT$401)^2+($C444-CT$402)^2+($D444-CT$403)^2)</f>
        <v>0.671628151209502</v>
      </c>
      <c r="CU444" s="17" t="n">
        <f aca="false">SQRT(($B444-CU$401)^2+($C444-CU$402)^2+($D444-CU$403)^2)</f>
        <v>1.71660249656378</v>
      </c>
      <c r="CV444" s="17" t="n">
        <f aca="false">SQRT(($B444-CV$401)^2+($C444-CV$402)^2+($D444-CV$403)^2)</f>
        <v>2.99631795733178</v>
      </c>
      <c r="CW444" s="17" t="n">
        <f aca="false">SQRT(($B444-CW$401)^2+($C444-CW$402)^2+($D444-CW$403)^2)</f>
        <v>1.01898266422704</v>
      </c>
      <c r="CX444" s="63" t="n">
        <f aca="false">MATCH(MIN(CR444:CW444),CR444:CW444,0)</f>
        <v>3</v>
      </c>
      <c r="CZ444" s="17" t="n">
        <f aca="false">SQRT(($B444-CZ$401)^2+($C444-CZ$402)^2+($D444-CZ$403)^2)</f>
        <v>5.2653409757746</v>
      </c>
      <c r="DA444" s="17" t="n">
        <f aca="false">SQRT(($B444-DA$401)^2+($C444-DA$402)^2+($D444-DA$403)^2)</f>
        <v>2.51227341425151</v>
      </c>
      <c r="DB444" s="17" t="n">
        <f aca="false">SQRT(($B444-DB$401)^2+($C444-DB$402)^2+($D444-DB$403)^2)</f>
        <v>0.671628151209502</v>
      </c>
      <c r="DC444" s="17" t="n">
        <f aca="false">SQRT(($B444-DC$401)^2+($C444-DC$402)^2+($D444-DC$403)^2)</f>
        <v>1.71660249656378</v>
      </c>
      <c r="DD444" s="17" t="n">
        <f aca="false">SQRT(($B444-DD$401)^2+($C444-DD$402)^2+($D444-DD$403)^2)</f>
        <v>2.99631795733178</v>
      </c>
      <c r="DE444" s="17" t="n">
        <f aca="false">SQRT(($B444-DE$401)^2+($C444-DE$402)^2+($D444-DE$403)^2)</f>
        <v>1.01898266422704</v>
      </c>
      <c r="DF444" s="63" t="n">
        <f aca="false">MATCH(MIN(CZ444:DE444),CZ444:DE444,0)</f>
        <v>3</v>
      </c>
      <c r="DH444" s="17" t="n">
        <f aca="false">SQRT(($B444-DH$401)^2+($C444-DH$402)^2+($D444-DH$403)^2)</f>
        <v>5.2653409757746</v>
      </c>
      <c r="DI444" s="17" t="n">
        <f aca="false">SQRT(($B444-DI$401)^2+($C444-DI$402)^2+($D444-DI$403)^2)</f>
        <v>2.51227341425151</v>
      </c>
      <c r="DJ444" s="17" t="n">
        <f aca="false">SQRT(($B444-DJ$401)^2+($C444-DJ$402)^2+($D444-DJ$403)^2)</f>
        <v>0.671628151209502</v>
      </c>
      <c r="DK444" s="17" t="n">
        <f aca="false">SQRT(($B444-DK$401)^2+($C444-DK$402)^2+($D444-DK$403)^2)</f>
        <v>1.71660249656378</v>
      </c>
      <c r="DL444" s="17" t="n">
        <f aca="false">SQRT(($B444-DL$401)^2+($C444-DL$402)^2+($D444-DL$403)^2)</f>
        <v>2.99631795733178</v>
      </c>
      <c r="DM444" s="17" t="n">
        <f aca="false">SQRT(($B444-DM$401)^2+($C444-DM$402)^2+($D444-DM$403)^2)</f>
        <v>1.01898266422704</v>
      </c>
      <c r="DN444" s="63" t="n">
        <f aca="false">MATCH(MIN(DH444:DM444),DH444:DM444,0)</f>
        <v>3</v>
      </c>
    </row>
    <row r="445" customFormat="false" ht="15" hidden="false" customHeight="false" outlineLevel="0" collapsed="false">
      <c r="A445" s="36" t="str">
        <f aca="false">KMeans_Data!A42</f>
        <v>Battagram</v>
      </c>
      <c r="B445" s="17" t="n">
        <f aca="false">KMeans_Data!H42</f>
        <v>0.429074049388274</v>
      </c>
      <c r="C445" s="17" t="n">
        <f aca="false">KMeans_Data!I42</f>
        <v>0.378684277529216</v>
      </c>
      <c r="D445" s="17" t="n">
        <f aca="false">KMeans_Data!J42</f>
        <v>0.460346385840384</v>
      </c>
      <c r="E445" s="63" t="n">
        <f aca="false">DN445</f>
        <v>3</v>
      </c>
      <c r="F445" s="38" t="n">
        <f aca="false">($B445-INDEX($L$401:$Q$401,E445))^2+($C445-INDEX($L$402:$Q$402,E445))^2+($D445-INDEX($L$403:$Q$403,E445))^2</f>
        <v>0.522140458789186</v>
      </c>
      <c r="G445" s="17" t="n">
        <f aca="false">IF(COUNTIF(Distance_Matrix!$E$12:$DQ$12,$E445)&lt;=1,0,SUMIF(Distance_Matrix!$E$12:$DQ$12,$E445,Distance_Matrix!$E$51:$DQ$51)/(COUNTIF(Distance_Matrix!$E$12:$DQ$12,$E445)-1))</f>
        <v>0.926991621836688</v>
      </c>
      <c r="H445" s="17" t="n">
        <f aca="false">MIN(IF(1=$E445,1E+099,IF(COUNTIF(Distance_Matrix!$E$12:$DQ$12,1)=0,1E+099,SUMIF(Distance_Matrix!$E$12:$DQ$12,1,Distance_Matrix!$E$51:$DQ$51)/COUNTIF(Distance_Matrix!$E$12:$DQ$12,1))),IF(2=$E445,1E+099,IF(COUNTIF(Distance_Matrix!$E$12:$DQ$12,2)=0,1E+099,SUMIF(Distance_Matrix!$E$12:$DQ$12,2,Distance_Matrix!$E$51:$DQ$51)/COUNTIF(Distance_Matrix!$E$12:$DQ$12,2))),IF(3=$E445,1E+099,IF(COUNTIF(Distance_Matrix!$E$12:$DQ$12,3)=0,1E+099,SUMIF(Distance_Matrix!$E$12:$DQ$12,3,Distance_Matrix!$E$51:$DQ$51)/COUNTIF(Distance_Matrix!$E$12:$DQ$12,3))),IF(4=$E445,1E+099,IF(COUNTIF(Distance_Matrix!$E$12:$DQ$12,4)=0,1E+099,SUMIF(Distance_Matrix!$E$12:$DQ$12,4,Distance_Matrix!$E$51:$DQ$51)/COUNTIF(Distance_Matrix!$E$12:$DQ$12,4))),IF(5=$E445,1E+099,IF(COUNTIF(Distance_Matrix!$E$12:$DQ$12,5)=0,1E+099,SUMIF(Distance_Matrix!$E$12:$DQ$12,5,Distance_Matrix!$E$51:$DQ$51)/COUNTIF(Distance_Matrix!$E$12:$DQ$12,5))),IF(6=$E445,1E+099,IF(COUNTIF(Distance_Matrix!$E$12:$DQ$12,6)=0,1E+099,SUMIF(Distance_Matrix!$E$12:$DQ$12,6,Distance_Matrix!$E$51:$DQ$51)/COUNTIF(Distance_Matrix!$E$12:$DQ$12,6))))</f>
        <v>1.11537305432878</v>
      </c>
      <c r="I445" s="17" t="n">
        <f aca="false">IF(COUNTIF(Distance_Matrix!$E$12:$DQ$12,$E445)&lt;=1,0,(H445-G445)/MAX(G445,H445))</f>
        <v>0.168895448711961</v>
      </c>
      <c r="X445" s="17" t="n">
        <f aca="false">SQRT(($B445-X$401)^2+($C445-X$402)^2+($D445-X$403)^2)</f>
        <v>5.41197722243839</v>
      </c>
      <c r="Y445" s="17" t="n">
        <f aca="false">SQRT(($B445-Y$401)^2+($C445-Y$402)^2+($D445-Y$403)^2)</f>
        <v>3.15889984184424</v>
      </c>
      <c r="Z445" s="17" t="n">
        <f aca="false">SQRT(($B445-Z$401)^2+($C445-Z$402)^2+($D445-Z$403)^2)</f>
        <v>1.179067995595</v>
      </c>
      <c r="AA445" s="17" t="n">
        <f aca="false">SQRT(($B445-AA$401)^2+($C445-AA$402)^2+($D445-AA$403)^2)</f>
        <v>1.70365690541111</v>
      </c>
      <c r="AB445" s="17" t="n">
        <f aca="false">SQRT(($B445-AB$401)^2+($C445-AB$402)^2+($D445-AB$403)^2)</f>
        <v>3.32727360805455</v>
      </c>
      <c r="AC445" s="17" t="n">
        <f aca="false">SQRT(($B445-AC$401)^2+($C445-AC$402)^2+($D445-AC$403)^2)</f>
        <v>1.26230970637873</v>
      </c>
      <c r="AD445" s="63" t="n">
        <f aca="false">MATCH(MIN(X445:AC445),X445:AC445,0)</f>
        <v>3</v>
      </c>
      <c r="AF445" s="17" t="n">
        <f aca="false">SQRT(($B445-AF$401)^2+($C445-AF$402)^2+($D445-AF$403)^2)</f>
        <v>5.30474428132097</v>
      </c>
      <c r="AG445" s="17" t="n">
        <f aca="false">SQRT(($B445-AG$401)^2+($C445-AG$402)^2+($D445-AG$403)^2)</f>
        <v>2.55743172409548</v>
      </c>
      <c r="AH445" s="17" t="n">
        <f aca="false">SQRT(($B445-AH$401)^2+($C445-AH$402)^2+($D445-AH$403)^2)</f>
        <v>0.751025324150621</v>
      </c>
      <c r="AI445" s="17" t="n">
        <f aca="false">SQRT(($B445-AI$401)^2+($C445-AI$402)^2+($D445-AI$403)^2)</f>
        <v>1.62856571354149</v>
      </c>
      <c r="AJ445" s="17" t="n">
        <f aca="false">SQRT(($B445-AJ$401)^2+($C445-AJ$402)^2+($D445-AJ$403)^2)</f>
        <v>3.03264594341083</v>
      </c>
      <c r="AK445" s="17" t="n">
        <f aca="false">SQRT(($B445-AK$401)^2+($C445-AK$402)^2+($D445-AK$403)^2)</f>
        <v>1.07463323044141</v>
      </c>
      <c r="AL445" s="63" t="n">
        <f aca="false">MATCH(MIN(AF445:AK445),AF445:AK445,0)</f>
        <v>3</v>
      </c>
      <c r="AN445" s="17" t="n">
        <f aca="false">SQRT(($B445-AN$401)^2+($C445-AN$402)^2+($D445-AN$403)^2)</f>
        <v>5.30474428132097</v>
      </c>
      <c r="AO445" s="17" t="n">
        <f aca="false">SQRT(($B445-AO$401)^2+($C445-AO$402)^2+($D445-AO$403)^2)</f>
        <v>2.51583658272009</v>
      </c>
      <c r="AP445" s="17" t="n">
        <f aca="false">SQRT(($B445-AP$401)^2+($C445-AP$402)^2+($D445-AP$403)^2)</f>
        <v>0.722592872085787</v>
      </c>
      <c r="AQ445" s="17" t="n">
        <f aca="false">SQRT(($B445-AQ$401)^2+($C445-AQ$402)^2+($D445-AQ$403)^2)</f>
        <v>1.65149350810486</v>
      </c>
      <c r="AR445" s="17" t="n">
        <f aca="false">SQRT(($B445-AR$401)^2+($C445-AR$402)^2+($D445-AR$403)^2)</f>
        <v>3.03264594341083</v>
      </c>
      <c r="AS445" s="17" t="n">
        <f aca="false">SQRT(($B445-AS$401)^2+($C445-AS$402)^2+($D445-AS$403)^2)</f>
        <v>1.0395586445899</v>
      </c>
      <c r="AT445" s="63" t="n">
        <f aca="false">MATCH(MIN(AN445:AS445),AN445:AS445,0)</f>
        <v>3</v>
      </c>
      <c r="AV445" s="17" t="n">
        <f aca="false">SQRT(($B445-AV$401)^2+($C445-AV$402)^2+($D445-AV$403)^2)</f>
        <v>5.30474428132097</v>
      </c>
      <c r="AW445" s="17" t="n">
        <f aca="false">SQRT(($B445-AW$401)^2+($C445-AW$402)^2+($D445-AW$403)^2)</f>
        <v>2.48757588531393</v>
      </c>
      <c r="AX445" s="17" t="n">
        <f aca="false">SQRT(($B445-AX$401)^2+($C445-AX$402)^2+($D445-AX$403)^2)</f>
        <v>0.722592872085787</v>
      </c>
      <c r="AY445" s="17" t="n">
        <f aca="false">SQRT(($B445-AY$401)^2+($C445-AY$402)^2+($D445-AY$403)^2)</f>
        <v>1.65149350810486</v>
      </c>
      <c r="AZ445" s="17" t="n">
        <f aca="false">SQRT(($B445-AZ$401)^2+($C445-AZ$402)^2+($D445-AZ$403)^2)</f>
        <v>3.03264594341083</v>
      </c>
      <c r="BA445" s="17" t="n">
        <f aca="false">SQRT(($B445-BA$401)^2+($C445-BA$402)^2+($D445-BA$403)^2)</f>
        <v>1.01793769622904</v>
      </c>
      <c r="BB445" s="63" t="n">
        <f aca="false">MATCH(MIN(AV445:BA445),AV445:BA445,0)</f>
        <v>3</v>
      </c>
      <c r="BD445" s="17" t="n">
        <f aca="false">SQRT(($B445-BD$401)^2+($C445-BD$402)^2+($D445-BD$403)^2)</f>
        <v>5.30474428132097</v>
      </c>
      <c r="BE445" s="17" t="n">
        <f aca="false">SQRT(($B445-BE$401)^2+($C445-BE$402)^2+($D445-BE$403)^2)</f>
        <v>2.46074638722952</v>
      </c>
      <c r="BF445" s="17" t="n">
        <f aca="false">SQRT(($B445-BF$401)^2+($C445-BF$402)^2+($D445-BF$403)^2)</f>
        <v>0.722592872085787</v>
      </c>
      <c r="BG445" s="17" t="n">
        <f aca="false">SQRT(($B445-BG$401)^2+($C445-BG$402)^2+($D445-BG$403)^2)</f>
        <v>1.65149350810486</v>
      </c>
      <c r="BH445" s="17" t="n">
        <f aca="false">SQRT(($B445-BH$401)^2+($C445-BH$402)^2+($D445-BH$403)^2)</f>
        <v>3.03264594341083</v>
      </c>
      <c r="BI445" s="17" t="n">
        <f aca="false">SQRT(($B445-BI$401)^2+($C445-BI$402)^2+($D445-BI$403)^2)</f>
        <v>0.994941845605483</v>
      </c>
      <c r="BJ445" s="63" t="n">
        <f aca="false">MATCH(MIN(BD445:BI445),BD445:BI445,0)</f>
        <v>3</v>
      </c>
      <c r="BL445" s="17" t="n">
        <f aca="false">SQRT(($B445-BL$401)^2+($C445-BL$402)^2+($D445-BL$403)^2)</f>
        <v>5.30474428132097</v>
      </c>
      <c r="BM445" s="17" t="n">
        <f aca="false">SQRT(($B445-BM$401)^2+($C445-BM$402)^2+($D445-BM$403)^2)</f>
        <v>2.46074638722952</v>
      </c>
      <c r="BN445" s="17" t="n">
        <f aca="false">SQRT(($B445-BN$401)^2+($C445-BN$402)^2+($D445-BN$403)^2)</f>
        <v>0.722592872085787</v>
      </c>
      <c r="BO445" s="17" t="n">
        <f aca="false">SQRT(($B445-BO$401)^2+($C445-BO$402)^2+($D445-BO$403)^2)</f>
        <v>1.65149350810486</v>
      </c>
      <c r="BP445" s="17" t="n">
        <f aca="false">SQRT(($B445-BP$401)^2+($C445-BP$402)^2+($D445-BP$403)^2)</f>
        <v>3.03264594341083</v>
      </c>
      <c r="BQ445" s="17" t="n">
        <f aca="false">SQRT(($B445-BQ$401)^2+($C445-BQ$402)^2+($D445-BQ$403)^2)</f>
        <v>0.994941845605483</v>
      </c>
      <c r="BR445" s="63" t="n">
        <f aca="false">MATCH(MIN(BL445:BQ445),BL445:BQ445,0)</f>
        <v>3</v>
      </c>
      <c r="BT445" s="17" t="n">
        <f aca="false">SQRT(($B445-BT$401)^2+($C445-BT$402)^2+($D445-BT$403)^2)</f>
        <v>5.30474428132097</v>
      </c>
      <c r="BU445" s="17" t="n">
        <f aca="false">SQRT(($B445-BU$401)^2+($C445-BU$402)^2+($D445-BU$403)^2)</f>
        <v>2.46074638722952</v>
      </c>
      <c r="BV445" s="17" t="n">
        <f aca="false">SQRT(($B445-BV$401)^2+($C445-BV$402)^2+($D445-BV$403)^2)</f>
        <v>0.722592872085787</v>
      </c>
      <c r="BW445" s="17" t="n">
        <f aca="false">SQRT(($B445-BW$401)^2+($C445-BW$402)^2+($D445-BW$403)^2)</f>
        <v>1.65149350810486</v>
      </c>
      <c r="BX445" s="17" t="n">
        <f aca="false">SQRT(($B445-BX$401)^2+($C445-BX$402)^2+($D445-BX$403)^2)</f>
        <v>3.03264594341083</v>
      </c>
      <c r="BY445" s="17" t="n">
        <f aca="false">SQRT(($B445-BY$401)^2+($C445-BY$402)^2+($D445-BY$403)^2)</f>
        <v>0.994941845605483</v>
      </c>
      <c r="BZ445" s="63" t="n">
        <f aca="false">MATCH(MIN(BT445:BY445),BT445:BY445,0)</f>
        <v>3</v>
      </c>
      <c r="CB445" s="17" t="n">
        <f aca="false">SQRT(($B445-CB$401)^2+($C445-CB$402)^2+($D445-CB$403)^2)</f>
        <v>5.30474428132097</v>
      </c>
      <c r="CC445" s="17" t="n">
        <f aca="false">SQRT(($B445-CC$401)^2+($C445-CC$402)^2+($D445-CC$403)^2)</f>
        <v>2.46074638722952</v>
      </c>
      <c r="CD445" s="17" t="n">
        <f aca="false">SQRT(($B445-CD$401)^2+($C445-CD$402)^2+($D445-CD$403)^2)</f>
        <v>0.722592872085787</v>
      </c>
      <c r="CE445" s="17" t="n">
        <f aca="false">SQRT(($B445-CE$401)^2+($C445-CE$402)^2+($D445-CE$403)^2)</f>
        <v>1.65149350810486</v>
      </c>
      <c r="CF445" s="17" t="n">
        <f aca="false">SQRT(($B445-CF$401)^2+($C445-CF$402)^2+($D445-CF$403)^2)</f>
        <v>3.03264594341083</v>
      </c>
      <c r="CG445" s="17" t="n">
        <f aca="false">SQRT(($B445-CG$401)^2+($C445-CG$402)^2+($D445-CG$403)^2)</f>
        <v>0.994941845605483</v>
      </c>
      <c r="CH445" s="63" t="n">
        <f aca="false">MATCH(MIN(CB445:CG445),CB445:CG445,0)</f>
        <v>3</v>
      </c>
      <c r="CJ445" s="17" t="n">
        <f aca="false">SQRT(($B445-CJ$401)^2+($C445-CJ$402)^2+($D445-CJ$403)^2)</f>
        <v>5.30474428132097</v>
      </c>
      <c r="CK445" s="17" t="n">
        <f aca="false">SQRT(($B445-CK$401)^2+($C445-CK$402)^2+($D445-CK$403)^2)</f>
        <v>2.46074638722952</v>
      </c>
      <c r="CL445" s="17" t="n">
        <f aca="false">SQRT(($B445-CL$401)^2+($C445-CL$402)^2+($D445-CL$403)^2)</f>
        <v>0.722592872085787</v>
      </c>
      <c r="CM445" s="17" t="n">
        <f aca="false">SQRT(($B445-CM$401)^2+($C445-CM$402)^2+($D445-CM$403)^2)</f>
        <v>1.65149350810486</v>
      </c>
      <c r="CN445" s="17" t="n">
        <f aca="false">SQRT(($B445-CN$401)^2+($C445-CN$402)^2+($D445-CN$403)^2)</f>
        <v>3.03264594341083</v>
      </c>
      <c r="CO445" s="17" t="n">
        <f aca="false">SQRT(($B445-CO$401)^2+($C445-CO$402)^2+($D445-CO$403)^2)</f>
        <v>0.994941845605483</v>
      </c>
      <c r="CP445" s="63" t="n">
        <f aca="false">MATCH(MIN(CJ445:CO445),CJ445:CO445,0)</f>
        <v>3</v>
      </c>
      <c r="CR445" s="17" t="n">
        <f aca="false">SQRT(($B445-CR$401)^2+($C445-CR$402)^2+($D445-CR$403)^2)</f>
        <v>5.30474428132097</v>
      </c>
      <c r="CS445" s="17" t="n">
        <f aca="false">SQRT(($B445-CS$401)^2+($C445-CS$402)^2+($D445-CS$403)^2)</f>
        <v>2.46074638722952</v>
      </c>
      <c r="CT445" s="17" t="n">
        <f aca="false">SQRT(($B445-CT$401)^2+($C445-CT$402)^2+($D445-CT$403)^2)</f>
        <v>0.722592872085787</v>
      </c>
      <c r="CU445" s="17" t="n">
        <f aca="false">SQRT(($B445-CU$401)^2+($C445-CU$402)^2+($D445-CU$403)^2)</f>
        <v>1.65149350810486</v>
      </c>
      <c r="CV445" s="17" t="n">
        <f aca="false">SQRT(($B445-CV$401)^2+($C445-CV$402)^2+($D445-CV$403)^2)</f>
        <v>3.03264594341083</v>
      </c>
      <c r="CW445" s="17" t="n">
        <f aca="false">SQRT(($B445-CW$401)^2+($C445-CW$402)^2+($D445-CW$403)^2)</f>
        <v>0.994941845605483</v>
      </c>
      <c r="CX445" s="63" t="n">
        <f aca="false">MATCH(MIN(CR445:CW445),CR445:CW445,0)</f>
        <v>3</v>
      </c>
      <c r="CZ445" s="17" t="n">
        <f aca="false">SQRT(($B445-CZ$401)^2+($C445-CZ$402)^2+($D445-CZ$403)^2)</f>
        <v>5.30474428132097</v>
      </c>
      <c r="DA445" s="17" t="n">
        <f aca="false">SQRT(($B445-DA$401)^2+($C445-DA$402)^2+($D445-DA$403)^2)</f>
        <v>2.46074638722952</v>
      </c>
      <c r="DB445" s="17" t="n">
        <f aca="false">SQRT(($B445-DB$401)^2+($C445-DB$402)^2+($D445-DB$403)^2)</f>
        <v>0.722592872085787</v>
      </c>
      <c r="DC445" s="17" t="n">
        <f aca="false">SQRT(($B445-DC$401)^2+($C445-DC$402)^2+($D445-DC$403)^2)</f>
        <v>1.65149350810486</v>
      </c>
      <c r="DD445" s="17" t="n">
        <f aca="false">SQRT(($B445-DD$401)^2+($C445-DD$402)^2+($D445-DD$403)^2)</f>
        <v>3.03264594341083</v>
      </c>
      <c r="DE445" s="17" t="n">
        <f aca="false">SQRT(($B445-DE$401)^2+($C445-DE$402)^2+($D445-DE$403)^2)</f>
        <v>0.994941845605483</v>
      </c>
      <c r="DF445" s="63" t="n">
        <f aca="false">MATCH(MIN(CZ445:DE445),CZ445:DE445,0)</f>
        <v>3</v>
      </c>
      <c r="DH445" s="17" t="n">
        <f aca="false">SQRT(($B445-DH$401)^2+($C445-DH$402)^2+($D445-DH$403)^2)</f>
        <v>5.30474428132097</v>
      </c>
      <c r="DI445" s="17" t="n">
        <f aca="false">SQRT(($B445-DI$401)^2+($C445-DI$402)^2+($D445-DI$403)^2)</f>
        <v>2.46074638722952</v>
      </c>
      <c r="DJ445" s="17" t="n">
        <f aca="false">SQRT(($B445-DJ$401)^2+($C445-DJ$402)^2+($D445-DJ$403)^2)</f>
        <v>0.722592872085787</v>
      </c>
      <c r="DK445" s="17" t="n">
        <f aca="false">SQRT(($B445-DK$401)^2+($C445-DK$402)^2+($D445-DK$403)^2)</f>
        <v>1.65149350810486</v>
      </c>
      <c r="DL445" s="17" t="n">
        <f aca="false">SQRT(($B445-DL$401)^2+($C445-DL$402)^2+($D445-DL$403)^2)</f>
        <v>3.03264594341083</v>
      </c>
      <c r="DM445" s="17" t="n">
        <f aca="false">SQRT(($B445-DM$401)^2+($C445-DM$402)^2+($D445-DM$403)^2)</f>
        <v>0.994941845605483</v>
      </c>
      <c r="DN445" s="63" t="n">
        <f aca="false">MATCH(MIN(DH445:DM445),DH445:DM445,0)</f>
        <v>3</v>
      </c>
    </row>
    <row r="446" customFormat="false" ht="15" hidden="false" customHeight="false" outlineLevel="0" collapsed="false">
      <c r="A446" s="36" t="str">
        <f aca="false">KMeans_Data!A43</f>
        <v>Kohat</v>
      </c>
      <c r="B446" s="17" t="n">
        <f aca="false">KMeans_Data!H43</f>
        <v>0.407652506674014</v>
      </c>
      <c r="C446" s="17" t="n">
        <f aca="false">KMeans_Data!I43</f>
        <v>1.27255002250608</v>
      </c>
      <c r="D446" s="17" t="n">
        <f aca="false">KMeans_Data!J43</f>
        <v>0.628513491585819</v>
      </c>
      <c r="E446" s="63" t="n">
        <f aca="false">DN446</f>
        <v>3</v>
      </c>
      <c r="F446" s="38" t="n">
        <f aca="false">($B446-INDEX($L$401:$Q$401,E446))^2+($C446-INDEX($L$402:$Q$402,E446))^2+($D446-INDEX($L$403:$Q$403,E446))^2</f>
        <v>0.39892298362643</v>
      </c>
      <c r="G446" s="17" t="n">
        <f aca="false">IF(COUNTIF(Distance_Matrix!$E$12:$DQ$12,$E446)&lt;=1,0,SUMIF(Distance_Matrix!$E$12:$DQ$12,$E446,Distance_Matrix!$E$52:$DQ$52)/(COUNTIF(Distance_Matrix!$E$12:$DQ$12,$E446)-1))</f>
        <v>0.872094208568815</v>
      </c>
      <c r="H446" s="17" t="n">
        <f aca="false">MIN(IF(1=$E446,1E+099,IF(COUNTIF(Distance_Matrix!$E$12:$DQ$12,1)=0,1E+099,SUMIF(Distance_Matrix!$E$12:$DQ$12,1,Distance_Matrix!$E$52:$DQ$52)/COUNTIF(Distance_Matrix!$E$12:$DQ$12,1))),IF(2=$E446,1E+099,IF(COUNTIF(Distance_Matrix!$E$12:$DQ$12,2)=0,1E+099,SUMIF(Distance_Matrix!$E$12:$DQ$12,2,Distance_Matrix!$E$52:$DQ$52)/COUNTIF(Distance_Matrix!$E$12:$DQ$12,2))),IF(3=$E446,1E+099,IF(COUNTIF(Distance_Matrix!$E$12:$DQ$12,3)=0,1E+099,SUMIF(Distance_Matrix!$E$12:$DQ$12,3,Distance_Matrix!$E$52:$DQ$52)/COUNTIF(Distance_Matrix!$E$12:$DQ$12,3))),IF(4=$E446,1E+099,IF(COUNTIF(Distance_Matrix!$E$12:$DQ$12,4)=0,1E+099,SUMIF(Distance_Matrix!$E$12:$DQ$12,4,Distance_Matrix!$E$52:$DQ$52)/COUNTIF(Distance_Matrix!$E$12:$DQ$12,4))),IF(5=$E446,1E+099,IF(COUNTIF(Distance_Matrix!$E$12:$DQ$12,5)=0,1E+099,SUMIF(Distance_Matrix!$E$12:$DQ$12,5,Distance_Matrix!$E$52:$DQ$52)/COUNTIF(Distance_Matrix!$E$12:$DQ$12,5))),IF(6=$E446,1E+099,IF(COUNTIF(Distance_Matrix!$E$12:$DQ$12,6)=0,1E+099,SUMIF(Distance_Matrix!$E$12:$DQ$12,6,Distance_Matrix!$E$52:$DQ$52)/COUNTIF(Distance_Matrix!$E$12:$DQ$12,6))))</f>
        <v>1.85830461872192</v>
      </c>
      <c r="I446" s="17" t="n">
        <f aca="false">IF(COUNTIF(Distance_Matrix!$E$12:$DQ$12,$E446)&lt;=1,0,(H446-G446)/MAX(G446,H446))</f>
        <v>0.530704385178458</v>
      </c>
      <c r="X446" s="17" t="n">
        <f aca="false">SQRT(($B446-X$401)^2+($C446-X$402)^2+($D446-X$403)^2)</f>
        <v>4.77038426226699</v>
      </c>
      <c r="Y446" s="17" t="n">
        <f aca="false">SQRT(($B446-Y$401)^2+($C446-Y$402)^2+($D446-Y$403)^2)</f>
        <v>3.62195415614862</v>
      </c>
      <c r="Z446" s="17" t="n">
        <f aca="false">SQRT(($B446-Z$401)^2+($C446-Z$402)^2+($D446-Z$403)^2)</f>
        <v>1.37995618620555</v>
      </c>
      <c r="AA446" s="17" t="n">
        <f aca="false">SQRT(($B446-AA$401)^2+($C446-AA$402)^2+($D446-AA$403)^2)</f>
        <v>2.28459260769186</v>
      </c>
      <c r="AB446" s="17" t="n">
        <f aca="false">SQRT(($B446-AB$401)^2+($C446-AB$402)^2+($D446-AB$403)^2)</f>
        <v>2.81318498539692</v>
      </c>
      <c r="AC446" s="17" t="n">
        <f aca="false">SQRT(($B446-AC$401)^2+($C446-AC$402)^2+($D446-AC$403)^2)</f>
        <v>1.80435986921117</v>
      </c>
      <c r="AD446" s="63" t="n">
        <f aca="false">MATCH(MIN(X446:AC446),X446:AC446,0)</f>
        <v>3</v>
      </c>
      <c r="AF446" s="17" t="n">
        <f aca="false">SQRT(($B446-AF$401)^2+($C446-AF$402)^2+($D446-AF$403)^2)</f>
        <v>4.6473241361613</v>
      </c>
      <c r="AG446" s="17" t="n">
        <f aca="false">SQRT(($B446-AG$401)^2+($C446-AG$402)^2+($D446-AG$403)^2)</f>
        <v>3.10727890381122</v>
      </c>
      <c r="AH446" s="17" t="n">
        <f aca="false">SQRT(($B446-AH$401)^2+($C446-AH$402)^2+($D446-AH$403)^2)</f>
        <v>0.647201712244547</v>
      </c>
      <c r="AI446" s="17" t="n">
        <f aca="false">SQRT(($B446-AI$401)^2+($C446-AI$402)^2+($D446-AI$403)^2)</f>
        <v>2.35546492063236</v>
      </c>
      <c r="AJ446" s="17" t="n">
        <f aca="false">SQRT(($B446-AJ$401)^2+($C446-AJ$402)^2+($D446-AJ$403)^2)</f>
        <v>2.40601321275501</v>
      </c>
      <c r="AK446" s="17" t="n">
        <f aca="false">SQRT(($B446-AK$401)^2+($C446-AK$402)^2+($D446-AK$403)^2)</f>
        <v>1.85015517371998</v>
      </c>
      <c r="AL446" s="63" t="n">
        <f aca="false">MATCH(MIN(AF446:AK446),AF446:AK446,0)</f>
        <v>3</v>
      </c>
      <c r="AN446" s="17" t="n">
        <f aca="false">SQRT(($B446-AN$401)^2+($C446-AN$402)^2+($D446-AN$403)^2)</f>
        <v>4.6473241361613</v>
      </c>
      <c r="AO446" s="17" t="n">
        <f aca="false">SQRT(($B446-AO$401)^2+($C446-AO$402)^2+($D446-AO$403)^2)</f>
        <v>3.07277782262198</v>
      </c>
      <c r="AP446" s="17" t="n">
        <f aca="false">SQRT(($B446-AP$401)^2+($C446-AP$402)^2+($D446-AP$403)^2)</f>
        <v>0.631603501911151</v>
      </c>
      <c r="AQ446" s="17" t="n">
        <f aca="false">SQRT(($B446-AQ$401)^2+($C446-AQ$402)^2+($D446-AQ$403)^2)</f>
        <v>2.38314903419865</v>
      </c>
      <c r="AR446" s="17" t="n">
        <f aca="false">SQRT(($B446-AR$401)^2+($C446-AR$402)^2+($D446-AR$403)^2)</f>
        <v>2.40601321275501</v>
      </c>
      <c r="AS446" s="17" t="n">
        <f aca="false">SQRT(($B446-AS$401)^2+($C446-AS$402)^2+($D446-AS$403)^2)</f>
        <v>1.82581334398279</v>
      </c>
      <c r="AT446" s="63" t="n">
        <f aca="false">MATCH(MIN(AN446:AS446),AN446:AS446,0)</f>
        <v>3</v>
      </c>
      <c r="AV446" s="17" t="n">
        <f aca="false">SQRT(($B446-AV$401)^2+($C446-AV$402)^2+($D446-AV$403)^2)</f>
        <v>4.6473241361613</v>
      </c>
      <c r="AW446" s="17" t="n">
        <f aca="false">SQRT(($B446-AW$401)^2+($C446-AW$402)^2+($D446-AW$403)^2)</f>
        <v>3.04862264064105</v>
      </c>
      <c r="AX446" s="17" t="n">
        <f aca="false">SQRT(($B446-AX$401)^2+($C446-AX$402)^2+($D446-AX$403)^2)</f>
        <v>0.631603501911151</v>
      </c>
      <c r="AY446" s="17" t="n">
        <f aca="false">SQRT(($B446-AY$401)^2+($C446-AY$402)^2+($D446-AY$403)^2)</f>
        <v>2.38314903419865</v>
      </c>
      <c r="AZ446" s="17" t="n">
        <f aca="false">SQRT(($B446-AZ$401)^2+($C446-AZ$402)^2+($D446-AZ$403)^2)</f>
        <v>2.40601321275501</v>
      </c>
      <c r="BA446" s="17" t="n">
        <f aca="false">SQRT(($B446-BA$401)^2+($C446-BA$402)^2+($D446-BA$403)^2)</f>
        <v>1.80780332770309</v>
      </c>
      <c r="BB446" s="63" t="n">
        <f aca="false">MATCH(MIN(AV446:BA446),AV446:BA446,0)</f>
        <v>3</v>
      </c>
      <c r="BD446" s="17" t="n">
        <f aca="false">SQRT(($B446-BD$401)^2+($C446-BD$402)^2+($D446-BD$403)^2)</f>
        <v>4.6473241361613</v>
      </c>
      <c r="BE446" s="17" t="n">
        <f aca="false">SQRT(($B446-BE$401)^2+($C446-BE$402)^2+($D446-BE$403)^2)</f>
        <v>3.02559578972962</v>
      </c>
      <c r="BF446" s="17" t="n">
        <f aca="false">SQRT(($B446-BF$401)^2+($C446-BF$402)^2+($D446-BF$403)^2)</f>
        <v>0.631603501911151</v>
      </c>
      <c r="BG446" s="17" t="n">
        <f aca="false">SQRT(($B446-BG$401)^2+($C446-BG$402)^2+($D446-BG$403)^2)</f>
        <v>2.38314903419865</v>
      </c>
      <c r="BH446" s="17" t="n">
        <f aca="false">SQRT(($B446-BH$401)^2+($C446-BH$402)^2+($D446-BH$403)^2)</f>
        <v>2.40601321275501</v>
      </c>
      <c r="BI446" s="17" t="n">
        <f aca="false">SQRT(($B446-BI$401)^2+($C446-BI$402)^2+($D446-BI$403)^2)</f>
        <v>1.78900736739523</v>
      </c>
      <c r="BJ446" s="63" t="n">
        <f aca="false">MATCH(MIN(BD446:BI446),BD446:BI446,0)</f>
        <v>3</v>
      </c>
      <c r="BL446" s="17" t="n">
        <f aca="false">SQRT(($B446-BL$401)^2+($C446-BL$402)^2+($D446-BL$403)^2)</f>
        <v>4.6473241361613</v>
      </c>
      <c r="BM446" s="17" t="n">
        <f aca="false">SQRT(($B446-BM$401)^2+($C446-BM$402)^2+($D446-BM$403)^2)</f>
        <v>3.02559578972962</v>
      </c>
      <c r="BN446" s="17" t="n">
        <f aca="false">SQRT(($B446-BN$401)^2+($C446-BN$402)^2+($D446-BN$403)^2)</f>
        <v>0.631603501911151</v>
      </c>
      <c r="BO446" s="17" t="n">
        <f aca="false">SQRT(($B446-BO$401)^2+($C446-BO$402)^2+($D446-BO$403)^2)</f>
        <v>2.38314903419865</v>
      </c>
      <c r="BP446" s="17" t="n">
        <f aca="false">SQRT(($B446-BP$401)^2+($C446-BP$402)^2+($D446-BP$403)^2)</f>
        <v>2.40601321275501</v>
      </c>
      <c r="BQ446" s="17" t="n">
        <f aca="false">SQRT(($B446-BQ$401)^2+($C446-BQ$402)^2+($D446-BQ$403)^2)</f>
        <v>1.78900736739523</v>
      </c>
      <c r="BR446" s="63" t="n">
        <f aca="false">MATCH(MIN(BL446:BQ446),BL446:BQ446,0)</f>
        <v>3</v>
      </c>
      <c r="BT446" s="17" t="n">
        <f aca="false">SQRT(($B446-BT$401)^2+($C446-BT$402)^2+($D446-BT$403)^2)</f>
        <v>4.6473241361613</v>
      </c>
      <c r="BU446" s="17" t="n">
        <f aca="false">SQRT(($B446-BU$401)^2+($C446-BU$402)^2+($D446-BU$403)^2)</f>
        <v>3.02559578972962</v>
      </c>
      <c r="BV446" s="17" t="n">
        <f aca="false">SQRT(($B446-BV$401)^2+($C446-BV$402)^2+($D446-BV$403)^2)</f>
        <v>0.631603501911151</v>
      </c>
      <c r="BW446" s="17" t="n">
        <f aca="false">SQRT(($B446-BW$401)^2+($C446-BW$402)^2+($D446-BW$403)^2)</f>
        <v>2.38314903419865</v>
      </c>
      <c r="BX446" s="17" t="n">
        <f aca="false">SQRT(($B446-BX$401)^2+($C446-BX$402)^2+($D446-BX$403)^2)</f>
        <v>2.40601321275501</v>
      </c>
      <c r="BY446" s="17" t="n">
        <f aca="false">SQRT(($B446-BY$401)^2+($C446-BY$402)^2+($D446-BY$403)^2)</f>
        <v>1.78900736739523</v>
      </c>
      <c r="BZ446" s="63" t="n">
        <f aca="false">MATCH(MIN(BT446:BY446),BT446:BY446,0)</f>
        <v>3</v>
      </c>
      <c r="CB446" s="17" t="n">
        <f aca="false">SQRT(($B446-CB$401)^2+($C446-CB$402)^2+($D446-CB$403)^2)</f>
        <v>4.6473241361613</v>
      </c>
      <c r="CC446" s="17" t="n">
        <f aca="false">SQRT(($B446-CC$401)^2+($C446-CC$402)^2+($D446-CC$403)^2)</f>
        <v>3.02559578972962</v>
      </c>
      <c r="CD446" s="17" t="n">
        <f aca="false">SQRT(($B446-CD$401)^2+($C446-CD$402)^2+($D446-CD$403)^2)</f>
        <v>0.631603501911151</v>
      </c>
      <c r="CE446" s="17" t="n">
        <f aca="false">SQRT(($B446-CE$401)^2+($C446-CE$402)^2+($D446-CE$403)^2)</f>
        <v>2.38314903419865</v>
      </c>
      <c r="CF446" s="17" t="n">
        <f aca="false">SQRT(($B446-CF$401)^2+($C446-CF$402)^2+($D446-CF$403)^2)</f>
        <v>2.40601321275501</v>
      </c>
      <c r="CG446" s="17" t="n">
        <f aca="false">SQRT(($B446-CG$401)^2+($C446-CG$402)^2+($D446-CG$403)^2)</f>
        <v>1.78900736739523</v>
      </c>
      <c r="CH446" s="63" t="n">
        <f aca="false">MATCH(MIN(CB446:CG446),CB446:CG446,0)</f>
        <v>3</v>
      </c>
      <c r="CJ446" s="17" t="n">
        <f aca="false">SQRT(($B446-CJ$401)^2+($C446-CJ$402)^2+($D446-CJ$403)^2)</f>
        <v>4.6473241361613</v>
      </c>
      <c r="CK446" s="17" t="n">
        <f aca="false">SQRT(($B446-CK$401)^2+($C446-CK$402)^2+($D446-CK$403)^2)</f>
        <v>3.02559578972962</v>
      </c>
      <c r="CL446" s="17" t="n">
        <f aca="false">SQRT(($B446-CL$401)^2+($C446-CL$402)^2+($D446-CL$403)^2)</f>
        <v>0.631603501911151</v>
      </c>
      <c r="CM446" s="17" t="n">
        <f aca="false">SQRT(($B446-CM$401)^2+($C446-CM$402)^2+($D446-CM$403)^2)</f>
        <v>2.38314903419865</v>
      </c>
      <c r="CN446" s="17" t="n">
        <f aca="false">SQRT(($B446-CN$401)^2+($C446-CN$402)^2+($D446-CN$403)^2)</f>
        <v>2.40601321275501</v>
      </c>
      <c r="CO446" s="17" t="n">
        <f aca="false">SQRT(($B446-CO$401)^2+($C446-CO$402)^2+($D446-CO$403)^2)</f>
        <v>1.78900736739523</v>
      </c>
      <c r="CP446" s="63" t="n">
        <f aca="false">MATCH(MIN(CJ446:CO446),CJ446:CO446,0)</f>
        <v>3</v>
      </c>
      <c r="CR446" s="17" t="n">
        <f aca="false">SQRT(($B446-CR$401)^2+($C446-CR$402)^2+($D446-CR$403)^2)</f>
        <v>4.6473241361613</v>
      </c>
      <c r="CS446" s="17" t="n">
        <f aca="false">SQRT(($B446-CS$401)^2+($C446-CS$402)^2+($D446-CS$403)^2)</f>
        <v>3.02559578972962</v>
      </c>
      <c r="CT446" s="17" t="n">
        <f aca="false">SQRT(($B446-CT$401)^2+($C446-CT$402)^2+($D446-CT$403)^2)</f>
        <v>0.631603501911151</v>
      </c>
      <c r="CU446" s="17" t="n">
        <f aca="false">SQRT(($B446-CU$401)^2+($C446-CU$402)^2+($D446-CU$403)^2)</f>
        <v>2.38314903419865</v>
      </c>
      <c r="CV446" s="17" t="n">
        <f aca="false">SQRT(($B446-CV$401)^2+($C446-CV$402)^2+($D446-CV$403)^2)</f>
        <v>2.40601321275501</v>
      </c>
      <c r="CW446" s="17" t="n">
        <f aca="false">SQRT(($B446-CW$401)^2+($C446-CW$402)^2+($D446-CW$403)^2)</f>
        <v>1.78900736739523</v>
      </c>
      <c r="CX446" s="63" t="n">
        <f aca="false">MATCH(MIN(CR446:CW446),CR446:CW446,0)</f>
        <v>3</v>
      </c>
      <c r="CZ446" s="17" t="n">
        <f aca="false">SQRT(($B446-CZ$401)^2+($C446-CZ$402)^2+($D446-CZ$403)^2)</f>
        <v>4.6473241361613</v>
      </c>
      <c r="DA446" s="17" t="n">
        <f aca="false">SQRT(($B446-DA$401)^2+($C446-DA$402)^2+($D446-DA$403)^2)</f>
        <v>3.02559578972962</v>
      </c>
      <c r="DB446" s="17" t="n">
        <f aca="false">SQRT(($B446-DB$401)^2+($C446-DB$402)^2+($D446-DB$403)^2)</f>
        <v>0.631603501911151</v>
      </c>
      <c r="DC446" s="17" t="n">
        <f aca="false">SQRT(($B446-DC$401)^2+($C446-DC$402)^2+($D446-DC$403)^2)</f>
        <v>2.38314903419865</v>
      </c>
      <c r="DD446" s="17" t="n">
        <f aca="false">SQRT(($B446-DD$401)^2+($C446-DD$402)^2+($D446-DD$403)^2)</f>
        <v>2.40601321275501</v>
      </c>
      <c r="DE446" s="17" t="n">
        <f aca="false">SQRT(($B446-DE$401)^2+($C446-DE$402)^2+($D446-DE$403)^2)</f>
        <v>1.78900736739523</v>
      </c>
      <c r="DF446" s="63" t="n">
        <f aca="false">MATCH(MIN(CZ446:DE446),CZ446:DE446,0)</f>
        <v>3</v>
      </c>
      <c r="DH446" s="17" t="n">
        <f aca="false">SQRT(($B446-DH$401)^2+($C446-DH$402)^2+($D446-DH$403)^2)</f>
        <v>4.6473241361613</v>
      </c>
      <c r="DI446" s="17" t="n">
        <f aca="false">SQRT(($B446-DI$401)^2+($C446-DI$402)^2+($D446-DI$403)^2)</f>
        <v>3.02559578972962</v>
      </c>
      <c r="DJ446" s="17" t="n">
        <f aca="false">SQRT(($B446-DJ$401)^2+($C446-DJ$402)^2+($D446-DJ$403)^2)</f>
        <v>0.631603501911151</v>
      </c>
      <c r="DK446" s="17" t="n">
        <f aca="false">SQRT(($B446-DK$401)^2+($C446-DK$402)^2+($D446-DK$403)^2)</f>
        <v>2.38314903419865</v>
      </c>
      <c r="DL446" s="17" t="n">
        <f aca="false">SQRT(($B446-DL$401)^2+($C446-DL$402)^2+($D446-DL$403)^2)</f>
        <v>2.40601321275501</v>
      </c>
      <c r="DM446" s="17" t="n">
        <f aca="false">SQRT(($B446-DM$401)^2+($C446-DM$402)^2+($D446-DM$403)^2)</f>
        <v>1.78900736739523</v>
      </c>
      <c r="DN446" s="63" t="n">
        <f aca="false">MATCH(MIN(DH446:DM446),DH446:DM446,0)</f>
        <v>3</v>
      </c>
    </row>
    <row r="447" customFormat="false" ht="15" hidden="false" customHeight="false" outlineLevel="0" collapsed="false">
      <c r="A447" s="36" t="str">
        <f aca="false">KMeans_Data!A44</f>
        <v>Kurram</v>
      </c>
      <c r="B447" s="17" t="n">
        <f aca="false">KMeans_Data!H44</f>
        <v>0.389856926462388</v>
      </c>
      <c r="C447" s="17" t="n">
        <f aca="false">KMeans_Data!I44</f>
        <v>0.160512589624996</v>
      </c>
      <c r="D447" s="17" t="n">
        <f aca="false">KMeans_Data!J44</f>
        <v>-0.0786471224747799</v>
      </c>
      <c r="E447" s="63" t="n">
        <f aca="false">DN447</f>
        <v>6</v>
      </c>
      <c r="F447" s="38" t="n">
        <f aca="false">($B447-INDEX($L$401:$Q$401,E447))^2+($C447-INDEX($L$402:$Q$402,E447))^2+($D447-INDEX($L$403:$Q$403,E447))^2</f>
        <v>0.706428241329365</v>
      </c>
      <c r="G447" s="17" t="n">
        <f aca="false">IF(COUNTIF(Distance_Matrix!$E$12:$DQ$12,$E447)&lt;=1,0,SUMIF(Distance_Matrix!$E$12:$DQ$12,$E447,Distance_Matrix!$E$53:$DQ$53)/(COUNTIF(Distance_Matrix!$E$12:$DQ$12,$E447)-1))</f>
        <v>1.0366209332086</v>
      </c>
      <c r="H447" s="17" t="n">
        <f aca="false">MIN(IF(1=$E447,1E+099,IF(COUNTIF(Distance_Matrix!$E$12:$DQ$12,1)=0,1E+099,SUMIF(Distance_Matrix!$E$12:$DQ$12,1,Distance_Matrix!$E$53:$DQ$53)/COUNTIF(Distance_Matrix!$E$12:$DQ$12,1))),IF(2=$E447,1E+099,IF(COUNTIF(Distance_Matrix!$E$12:$DQ$12,2)=0,1E+099,SUMIF(Distance_Matrix!$E$12:$DQ$12,2,Distance_Matrix!$E$53:$DQ$53)/COUNTIF(Distance_Matrix!$E$12:$DQ$12,2))),IF(3=$E447,1E+099,IF(COUNTIF(Distance_Matrix!$E$12:$DQ$12,3)=0,1E+099,SUMIF(Distance_Matrix!$E$12:$DQ$12,3,Distance_Matrix!$E$53:$DQ$53)/COUNTIF(Distance_Matrix!$E$12:$DQ$12,3))),IF(4=$E447,1E+099,IF(COUNTIF(Distance_Matrix!$E$12:$DQ$12,4)=0,1E+099,SUMIF(Distance_Matrix!$E$12:$DQ$12,4,Distance_Matrix!$E$53:$DQ$53)/COUNTIF(Distance_Matrix!$E$12:$DQ$12,4))),IF(5=$E447,1E+099,IF(COUNTIF(Distance_Matrix!$E$12:$DQ$12,5)=0,1E+099,SUMIF(Distance_Matrix!$E$12:$DQ$12,5,Distance_Matrix!$E$53:$DQ$53)/COUNTIF(Distance_Matrix!$E$12:$DQ$12,5))),IF(6=$E447,1E+099,IF(COUNTIF(Distance_Matrix!$E$12:$DQ$12,6)=0,1E+099,SUMIF(Distance_Matrix!$E$12:$DQ$12,6,Distance_Matrix!$E$53:$DQ$53)/COUNTIF(Distance_Matrix!$E$12:$DQ$12,6))))</f>
        <v>1.23497202821998</v>
      </c>
      <c r="I447" s="17" t="n">
        <f aca="false">IF(COUNTIF(Distance_Matrix!$E$12:$DQ$12,$E447)&lt;=1,0,(H447-G447)/MAX(G447,H447))</f>
        <v>0.160611811829677</v>
      </c>
      <c r="X447" s="17" t="n">
        <f aca="false">SQRT(($B447-X$401)^2+($C447-X$402)^2+($D447-X$403)^2)</f>
        <v>5.87022459726912</v>
      </c>
      <c r="Y447" s="17" t="n">
        <f aca="false">SQRT(($B447-Y$401)^2+($C447-Y$402)^2+($D447-Y$403)^2)</f>
        <v>2.81629941685552</v>
      </c>
      <c r="Z447" s="17" t="n">
        <f aca="false">SQRT(($B447-Z$401)^2+($C447-Z$402)^2+($D447-Z$403)^2)</f>
        <v>1.69304179751501</v>
      </c>
      <c r="AA447" s="17" t="n">
        <f aca="false">SQRT(($B447-AA$401)^2+($C447-AA$402)^2+($D447-AA$403)^2)</f>
        <v>1.1395078316512</v>
      </c>
      <c r="AB447" s="17" t="n">
        <f aca="false">SQRT(($B447-AB$401)^2+($C447-AB$402)^2+($D447-AB$403)^2)</f>
        <v>3.80251555127206</v>
      </c>
      <c r="AC447" s="17" t="n">
        <f aca="false">SQRT(($B447-AC$401)^2+($C447-AC$402)^2+($D447-AC$403)^2)</f>
        <v>1.34012824919452</v>
      </c>
      <c r="AD447" s="63" t="n">
        <f aca="false">MATCH(MIN(X447:AC447),X447:AC447,0)</f>
        <v>4</v>
      </c>
      <c r="AF447" s="17" t="n">
        <f aca="false">SQRT(($B447-AF$401)^2+($C447-AF$402)^2+($D447-AF$403)^2)</f>
        <v>5.74688904719245</v>
      </c>
      <c r="AG447" s="17" t="n">
        <f aca="false">SQRT(($B447-AG$401)^2+($C447-AG$402)^2+($D447-AG$403)^2)</f>
        <v>2.14867999600058</v>
      </c>
      <c r="AH447" s="17" t="n">
        <f aca="false">SQRT(($B447-AH$401)^2+($C447-AH$402)^2+($D447-AH$403)^2)</f>
        <v>1.28622841906644</v>
      </c>
      <c r="AI447" s="17" t="n">
        <f aca="false">SQRT(($B447-AI$401)^2+($C447-AI$402)^2+($D447-AI$403)^2)</f>
        <v>1.07297122336754</v>
      </c>
      <c r="AJ447" s="17" t="n">
        <f aca="false">SQRT(($B447-AJ$401)^2+($C447-AJ$402)^2+($D447-AJ$403)^2)</f>
        <v>3.46996763222544</v>
      </c>
      <c r="AK447" s="17" t="n">
        <f aca="false">SQRT(($B447-AK$401)^2+($C447-AK$402)^2+($D447-AK$403)^2)</f>
        <v>0.890867946487531</v>
      </c>
      <c r="AL447" s="63" t="n">
        <f aca="false">MATCH(MIN(AF447:AK447),AF447:AK447,0)</f>
        <v>6</v>
      </c>
      <c r="AN447" s="17" t="n">
        <f aca="false">SQRT(($B447-AN$401)^2+($C447-AN$402)^2+($D447-AN$403)^2)</f>
        <v>5.74688904719245</v>
      </c>
      <c r="AO447" s="17" t="n">
        <f aca="false">SQRT(($B447-AO$401)^2+($C447-AO$402)^2+($D447-AO$403)^2)</f>
        <v>2.10516970463941</v>
      </c>
      <c r="AP447" s="17" t="n">
        <f aca="false">SQRT(($B447-AP$401)^2+($C447-AP$402)^2+($D447-AP$403)^2)</f>
        <v>1.26072921291418</v>
      </c>
      <c r="AQ447" s="17" t="n">
        <f aca="false">SQRT(($B447-AQ$401)^2+($C447-AQ$402)^2+($D447-AQ$403)^2)</f>
        <v>1.09840094499353</v>
      </c>
      <c r="AR447" s="17" t="n">
        <f aca="false">SQRT(($B447-AR$401)^2+($C447-AR$402)^2+($D447-AR$403)^2)</f>
        <v>3.46996763222544</v>
      </c>
      <c r="AS447" s="17" t="n">
        <f aca="false">SQRT(($B447-AS$401)^2+($C447-AS$402)^2+($D447-AS$403)^2)</f>
        <v>0.865616344410321</v>
      </c>
      <c r="AT447" s="63" t="n">
        <f aca="false">MATCH(MIN(AN447:AS447),AN447:AS447,0)</f>
        <v>6</v>
      </c>
      <c r="AV447" s="17" t="n">
        <f aca="false">SQRT(($B447-AV$401)^2+($C447-AV$402)^2+($D447-AV$403)^2)</f>
        <v>5.74688904719245</v>
      </c>
      <c r="AW447" s="17" t="n">
        <f aca="false">SQRT(($B447-AW$401)^2+($C447-AW$402)^2+($D447-AW$403)^2)</f>
        <v>2.07832050376524</v>
      </c>
      <c r="AX447" s="17" t="n">
        <f aca="false">SQRT(($B447-AX$401)^2+($C447-AX$402)^2+($D447-AX$403)^2)</f>
        <v>1.26072921291418</v>
      </c>
      <c r="AY447" s="17" t="n">
        <f aca="false">SQRT(($B447-AY$401)^2+($C447-AY$402)^2+($D447-AY$403)^2)</f>
        <v>1.09840094499353</v>
      </c>
      <c r="AZ447" s="17" t="n">
        <f aca="false">SQRT(($B447-AZ$401)^2+($C447-AZ$402)^2+($D447-AZ$403)^2)</f>
        <v>3.46996763222544</v>
      </c>
      <c r="BA447" s="17" t="n">
        <f aca="false">SQRT(($B447-BA$401)^2+($C447-BA$402)^2+($D447-BA$403)^2)</f>
        <v>0.854026685712098</v>
      </c>
      <c r="BB447" s="63" t="n">
        <f aca="false">MATCH(MIN(AV447:BA447),AV447:BA447,0)</f>
        <v>6</v>
      </c>
      <c r="BD447" s="17" t="n">
        <f aca="false">SQRT(($B447-BD$401)^2+($C447-BD$402)^2+($D447-BD$403)^2)</f>
        <v>5.74688904719245</v>
      </c>
      <c r="BE447" s="17" t="n">
        <f aca="false">SQRT(($B447-BE$401)^2+($C447-BE$402)^2+($D447-BE$403)^2)</f>
        <v>2.05348957666872</v>
      </c>
      <c r="BF447" s="17" t="n">
        <f aca="false">SQRT(($B447-BF$401)^2+($C447-BF$402)^2+($D447-BF$403)^2)</f>
        <v>1.26072921291418</v>
      </c>
      <c r="BG447" s="17" t="n">
        <f aca="false">SQRT(($B447-BG$401)^2+($C447-BG$402)^2+($D447-BG$403)^2)</f>
        <v>1.09840094499353</v>
      </c>
      <c r="BH447" s="17" t="n">
        <f aca="false">SQRT(($B447-BH$401)^2+($C447-BH$402)^2+($D447-BH$403)^2)</f>
        <v>3.46996763222544</v>
      </c>
      <c r="BI447" s="17" t="n">
        <f aca="false">SQRT(($B447-BI$401)^2+($C447-BI$402)^2+($D447-BI$403)^2)</f>
        <v>0.840492856203647</v>
      </c>
      <c r="BJ447" s="63" t="n">
        <f aca="false">MATCH(MIN(BD447:BI447),BD447:BI447,0)</f>
        <v>6</v>
      </c>
      <c r="BL447" s="17" t="n">
        <f aca="false">SQRT(($B447-BL$401)^2+($C447-BL$402)^2+($D447-BL$403)^2)</f>
        <v>5.74688904719245</v>
      </c>
      <c r="BM447" s="17" t="n">
        <f aca="false">SQRT(($B447-BM$401)^2+($C447-BM$402)^2+($D447-BM$403)^2)</f>
        <v>2.05348957666872</v>
      </c>
      <c r="BN447" s="17" t="n">
        <f aca="false">SQRT(($B447-BN$401)^2+($C447-BN$402)^2+($D447-BN$403)^2)</f>
        <v>1.26072921291418</v>
      </c>
      <c r="BO447" s="17" t="n">
        <f aca="false">SQRT(($B447-BO$401)^2+($C447-BO$402)^2+($D447-BO$403)^2)</f>
        <v>1.09840094499353</v>
      </c>
      <c r="BP447" s="17" t="n">
        <f aca="false">SQRT(($B447-BP$401)^2+($C447-BP$402)^2+($D447-BP$403)^2)</f>
        <v>3.46996763222544</v>
      </c>
      <c r="BQ447" s="17" t="n">
        <f aca="false">SQRT(($B447-BQ$401)^2+($C447-BQ$402)^2+($D447-BQ$403)^2)</f>
        <v>0.840492856203647</v>
      </c>
      <c r="BR447" s="63" t="n">
        <f aca="false">MATCH(MIN(BL447:BQ447),BL447:BQ447,0)</f>
        <v>6</v>
      </c>
      <c r="BT447" s="17" t="n">
        <f aca="false">SQRT(($B447-BT$401)^2+($C447-BT$402)^2+($D447-BT$403)^2)</f>
        <v>5.74688904719245</v>
      </c>
      <c r="BU447" s="17" t="n">
        <f aca="false">SQRT(($B447-BU$401)^2+($C447-BU$402)^2+($D447-BU$403)^2)</f>
        <v>2.05348957666872</v>
      </c>
      <c r="BV447" s="17" t="n">
        <f aca="false">SQRT(($B447-BV$401)^2+($C447-BV$402)^2+($D447-BV$403)^2)</f>
        <v>1.26072921291418</v>
      </c>
      <c r="BW447" s="17" t="n">
        <f aca="false">SQRT(($B447-BW$401)^2+($C447-BW$402)^2+($D447-BW$403)^2)</f>
        <v>1.09840094499353</v>
      </c>
      <c r="BX447" s="17" t="n">
        <f aca="false">SQRT(($B447-BX$401)^2+($C447-BX$402)^2+($D447-BX$403)^2)</f>
        <v>3.46996763222544</v>
      </c>
      <c r="BY447" s="17" t="n">
        <f aca="false">SQRT(($B447-BY$401)^2+($C447-BY$402)^2+($D447-BY$403)^2)</f>
        <v>0.840492856203647</v>
      </c>
      <c r="BZ447" s="63" t="n">
        <f aca="false">MATCH(MIN(BT447:BY447),BT447:BY447,0)</f>
        <v>6</v>
      </c>
      <c r="CB447" s="17" t="n">
        <f aca="false">SQRT(($B447-CB$401)^2+($C447-CB$402)^2+($D447-CB$403)^2)</f>
        <v>5.74688904719245</v>
      </c>
      <c r="CC447" s="17" t="n">
        <f aca="false">SQRT(($B447-CC$401)^2+($C447-CC$402)^2+($D447-CC$403)^2)</f>
        <v>2.05348957666872</v>
      </c>
      <c r="CD447" s="17" t="n">
        <f aca="false">SQRT(($B447-CD$401)^2+($C447-CD$402)^2+($D447-CD$403)^2)</f>
        <v>1.26072921291418</v>
      </c>
      <c r="CE447" s="17" t="n">
        <f aca="false">SQRT(($B447-CE$401)^2+($C447-CE$402)^2+($D447-CE$403)^2)</f>
        <v>1.09840094499353</v>
      </c>
      <c r="CF447" s="17" t="n">
        <f aca="false">SQRT(($B447-CF$401)^2+($C447-CF$402)^2+($D447-CF$403)^2)</f>
        <v>3.46996763222544</v>
      </c>
      <c r="CG447" s="17" t="n">
        <f aca="false">SQRT(($B447-CG$401)^2+($C447-CG$402)^2+($D447-CG$403)^2)</f>
        <v>0.840492856203647</v>
      </c>
      <c r="CH447" s="63" t="n">
        <f aca="false">MATCH(MIN(CB447:CG447),CB447:CG447,0)</f>
        <v>6</v>
      </c>
      <c r="CJ447" s="17" t="n">
        <f aca="false">SQRT(($B447-CJ$401)^2+($C447-CJ$402)^2+($D447-CJ$403)^2)</f>
        <v>5.74688904719245</v>
      </c>
      <c r="CK447" s="17" t="n">
        <f aca="false">SQRT(($B447-CK$401)^2+($C447-CK$402)^2+($D447-CK$403)^2)</f>
        <v>2.05348957666872</v>
      </c>
      <c r="CL447" s="17" t="n">
        <f aca="false">SQRT(($B447-CL$401)^2+($C447-CL$402)^2+($D447-CL$403)^2)</f>
        <v>1.26072921291418</v>
      </c>
      <c r="CM447" s="17" t="n">
        <f aca="false">SQRT(($B447-CM$401)^2+($C447-CM$402)^2+($D447-CM$403)^2)</f>
        <v>1.09840094499353</v>
      </c>
      <c r="CN447" s="17" t="n">
        <f aca="false">SQRT(($B447-CN$401)^2+($C447-CN$402)^2+($D447-CN$403)^2)</f>
        <v>3.46996763222544</v>
      </c>
      <c r="CO447" s="17" t="n">
        <f aca="false">SQRT(($B447-CO$401)^2+($C447-CO$402)^2+($D447-CO$403)^2)</f>
        <v>0.840492856203647</v>
      </c>
      <c r="CP447" s="63" t="n">
        <f aca="false">MATCH(MIN(CJ447:CO447),CJ447:CO447,0)</f>
        <v>6</v>
      </c>
      <c r="CR447" s="17" t="n">
        <f aca="false">SQRT(($B447-CR$401)^2+($C447-CR$402)^2+($D447-CR$403)^2)</f>
        <v>5.74688904719245</v>
      </c>
      <c r="CS447" s="17" t="n">
        <f aca="false">SQRT(($B447-CS$401)^2+($C447-CS$402)^2+($D447-CS$403)^2)</f>
        <v>2.05348957666872</v>
      </c>
      <c r="CT447" s="17" t="n">
        <f aca="false">SQRT(($B447-CT$401)^2+($C447-CT$402)^2+($D447-CT$403)^2)</f>
        <v>1.26072921291418</v>
      </c>
      <c r="CU447" s="17" t="n">
        <f aca="false">SQRT(($B447-CU$401)^2+($C447-CU$402)^2+($D447-CU$403)^2)</f>
        <v>1.09840094499353</v>
      </c>
      <c r="CV447" s="17" t="n">
        <f aca="false">SQRT(($B447-CV$401)^2+($C447-CV$402)^2+($D447-CV$403)^2)</f>
        <v>3.46996763222544</v>
      </c>
      <c r="CW447" s="17" t="n">
        <f aca="false">SQRT(($B447-CW$401)^2+($C447-CW$402)^2+($D447-CW$403)^2)</f>
        <v>0.840492856203647</v>
      </c>
      <c r="CX447" s="63" t="n">
        <f aca="false">MATCH(MIN(CR447:CW447),CR447:CW447,0)</f>
        <v>6</v>
      </c>
      <c r="CZ447" s="17" t="n">
        <f aca="false">SQRT(($B447-CZ$401)^2+($C447-CZ$402)^2+($D447-CZ$403)^2)</f>
        <v>5.74688904719245</v>
      </c>
      <c r="DA447" s="17" t="n">
        <f aca="false">SQRT(($B447-DA$401)^2+($C447-DA$402)^2+($D447-DA$403)^2)</f>
        <v>2.05348957666872</v>
      </c>
      <c r="DB447" s="17" t="n">
        <f aca="false">SQRT(($B447-DB$401)^2+($C447-DB$402)^2+($D447-DB$403)^2)</f>
        <v>1.26072921291418</v>
      </c>
      <c r="DC447" s="17" t="n">
        <f aca="false">SQRT(($B447-DC$401)^2+($C447-DC$402)^2+($D447-DC$403)^2)</f>
        <v>1.09840094499353</v>
      </c>
      <c r="DD447" s="17" t="n">
        <f aca="false">SQRT(($B447-DD$401)^2+($C447-DD$402)^2+($D447-DD$403)^2)</f>
        <v>3.46996763222544</v>
      </c>
      <c r="DE447" s="17" t="n">
        <f aca="false">SQRT(($B447-DE$401)^2+($C447-DE$402)^2+($D447-DE$403)^2)</f>
        <v>0.840492856203647</v>
      </c>
      <c r="DF447" s="63" t="n">
        <f aca="false">MATCH(MIN(CZ447:DE447),CZ447:DE447,0)</f>
        <v>6</v>
      </c>
      <c r="DH447" s="17" t="n">
        <f aca="false">SQRT(($B447-DH$401)^2+($C447-DH$402)^2+($D447-DH$403)^2)</f>
        <v>5.74688904719245</v>
      </c>
      <c r="DI447" s="17" t="n">
        <f aca="false">SQRT(($B447-DI$401)^2+($C447-DI$402)^2+($D447-DI$403)^2)</f>
        <v>2.05348957666872</v>
      </c>
      <c r="DJ447" s="17" t="n">
        <f aca="false">SQRT(($B447-DJ$401)^2+($C447-DJ$402)^2+($D447-DJ$403)^2)</f>
        <v>1.26072921291418</v>
      </c>
      <c r="DK447" s="17" t="n">
        <f aca="false">SQRT(($B447-DK$401)^2+($C447-DK$402)^2+($D447-DK$403)^2)</f>
        <v>1.09840094499353</v>
      </c>
      <c r="DL447" s="17" t="n">
        <f aca="false">SQRT(($B447-DL$401)^2+($C447-DL$402)^2+($D447-DL$403)^2)</f>
        <v>3.46996763222544</v>
      </c>
      <c r="DM447" s="17" t="n">
        <f aca="false">SQRT(($B447-DM$401)^2+($C447-DM$402)^2+($D447-DM$403)^2)</f>
        <v>0.840492856203647</v>
      </c>
      <c r="DN447" s="63" t="n">
        <f aca="false">MATCH(MIN(DH447:DM447),DH447:DM447,0)</f>
        <v>6</v>
      </c>
    </row>
    <row r="448" customFormat="false" ht="15" hidden="false" customHeight="false" outlineLevel="0" collapsed="false">
      <c r="A448" s="36" t="str">
        <f aca="false">KMeans_Data!A45</f>
        <v>Kambar Shahdadkot</v>
      </c>
      <c r="B448" s="17" t="n">
        <f aca="false">KMeans_Data!H45</f>
        <v>0.317115025857358</v>
      </c>
      <c r="C448" s="17" t="n">
        <f aca="false">KMeans_Data!I45</f>
        <v>-0.672650545388274</v>
      </c>
      <c r="D448" s="17" t="n">
        <f aca="false">KMeans_Data!J45</f>
        <v>1.01095878979359</v>
      </c>
      <c r="E448" s="63" t="n">
        <f aca="false">DN448</f>
        <v>6</v>
      </c>
      <c r="F448" s="38" t="n">
        <f aca="false">($B448-INDEX($L$401:$Q$401,E448))^2+($C448-INDEX($L$402:$Q$402,E448))^2+($D448-INDEX($L$403:$Q$403,E448))^2</f>
        <v>0.961677281842358</v>
      </c>
      <c r="G448" s="17" t="n">
        <f aca="false">IF(COUNTIF(Distance_Matrix!$E$12:$DQ$12,$E448)&lt;=1,0,SUMIF(Distance_Matrix!$E$12:$DQ$12,$E448,Distance_Matrix!$E$54:$DQ$54)/(COUNTIF(Distance_Matrix!$E$12:$DQ$12,$E448)-1))</f>
        <v>1.12249801168068</v>
      </c>
      <c r="H448" s="17" t="n">
        <f aca="false">MIN(IF(1=$E448,1E+099,IF(COUNTIF(Distance_Matrix!$E$12:$DQ$12,1)=0,1E+099,SUMIF(Distance_Matrix!$E$12:$DQ$12,1,Distance_Matrix!$E$54:$DQ$54)/COUNTIF(Distance_Matrix!$E$12:$DQ$12,1))),IF(2=$E448,1E+099,IF(COUNTIF(Distance_Matrix!$E$12:$DQ$12,2)=0,1E+099,SUMIF(Distance_Matrix!$E$12:$DQ$12,2,Distance_Matrix!$E$54:$DQ$54)/COUNTIF(Distance_Matrix!$E$12:$DQ$12,2))),IF(3=$E448,1E+099,IF(COUNTIF(Distance_Matrix!$E$12:$DQ$12,3)=0,1E+099,SUMIF(Distance_Matrix!$E$12:$DQ$12,3,Distance_Matrix!$E$54:$DQ$54)/COUNTIF(Distance_Matrix!$E$12:$DQ$12,3))),IF(4=$E448,1E+099,IF(COUNTIF(Distance_Matrix!$E$12:$DQ$12,4)=0,1E+099,SUMIF(Distance_Matrix!$E$12:$DQ$12,4,Distance_Matrix!$E$54:$DQ$54)/COUNTIF(Distance_Matrix!$E$12:$DQ$12,4))),IF(5=$E448,1E+099,IF(COUNTIF(Distance_Matrix!$E$12:$DQ$12,5)=0,1E+099,SUMIF(Distance_Matrix!$E$12:$DQ$12,5,Distance_Matrix!$E$54:$DQ$54)/COUNTIF(Distance_Matrix!$E$12:$DQ$12,5))),IF(6=$E448,1E+099,IF(COUNTIF(Distance_Matrix!$E$12:$DQ$12,6)=0,1E+099,SUMIF(Distance_Matrix!$E$12:$DQ$12,6,Distance_Matrix!$E$54:$DQ$54)/COUNTIF(Distance_Matrix!$E$12:$DQ$12,6))))</f>
        <v>1.64591314498766</v>
      </c>
      <c r="I448" s="17" t="n">
        <f aca="false">IF(COUNTIF(Distance_Matrix!$E$12:$DQ$12,$E448)&lt;=1,0,(H448-G448)/MAX(G448,H448))</f>
        <v>0.318008963535496</v>
      </c>
      <c r="X448" s="17" t="n">
        <f aca="false">SQRT(($B448-X$401)^2+($C448-X$402)^2+($D448-X$403)^2)</f>
        <v>5.99739197654582</v>
      </c>
      <c r="Y448" s="17" t="n">
        <f aca="false">SQRT(($B448-Y$401)^2+($C448-Y$402)^2+($D448-Y$403)^2)</f>
        <v>3.22425812165343</v>
      </c>
      <c r="Z448" s="17" t="n">
        <f aca="false">SQRT(($B448-Z$401)^2+($C448-Z$402)^2+($D448-Z$403)^2)</f>
        <v>1.35466413068347</v>
      </c>
      <c r="AA448" s="17" t="n">
        <f aca="false">SQRT(($B448-AA$401)^2+($C448-AA$402)^2+($D448-AA$403)^2)</f>
        <v>2.24392796299193</v>
      </c>
      <c r="AB448" s="17" t="n">
        <f aca="false">SQRT(($B448-AB$401)^2+($C448-AB$402)^2+($D448-AB$403)^2)</f>
        <v>3.85320224674437</v>
      </c>
      <c r="AC448" s="17" t="n">
        <f aca="false">SQRT(($B448-AC$401)^2+($C448-AC$402)^2+($D448-AC$403)^2)</f>
        <v>1.21232802474851</v>
      </c>
      <c r="AD448" s="63" t="n">
        <f aca="false">MATCH(MIN(X448:AC448),X448:AC448,0)</f>
        <v>6</v>
      </c>
      <c r="AF448" s="17" t="n">
        <f aca="false">SQRT(($B448-AF$401)^2+($C448-AF$402)^2+($D448-AF$403)^2)</f>
        <v>5.93767015843079</v>
      </c>
      <c r="AG448" s="17" t="n">
        <f aca="false">SQRT(($B448-AG$401)^2+($C448-AG$402)^2+($D448-AG$403)^2)</f>
        <v>2.66843239717588</v>
      </c>
      <c r="AH448" s="17" t="n">
        <f aca="false">SQRT(($B448-AH$401)^2+($C448-AH$402)^2+($D448-AH$403)^2)</f>
        <v>1.58020411756143</v>
      </c>
      <c r="AI448" s="17" t="n">
        <f aca="false">SQRT(($B448-AI$401)^2+($C448-AI$402)^2+($D448-AI$403)^2)</f>
        <v>1.8793468017311</v>
      </c>
      <c r="AJ448" s="17" t="n">
        <f aca="false">SQRT(($B448-AJ$401)^2+($C448-AJ$402)^2+($D448-AJ$403)^2)</f>
        <v>3.75089490321323</v>
      </c>
      <c r="AK448" s="17" t="n">
        <f aca="false">SQRT(($B448-AK$401)^2+($C448-AK$402)^2+($D448-AK$403)^2)</f>
        <v>1.05992370817522</v>
      </c>
      <c r="AL448" s="63" t="n">
        <f aca="false">MATCH(MIN(AF448:AK448),AF448:AK448,0)</f>
        <v>6</v>
      </c>
      <c r="AN448" s="17" t="n">
        <f aca="false">SQRT(($B448-AN$401)^2+($C448-AN$402)^2+($D448-AN$403)^2)</f>
        <v>5.93767015843079</v>
      </c>
      <c r="AO448" s="17" t="n">
        <f aca="false">SQRT(($B448-AO$401)^2+($C448-AO$402)^2+($D448-AO$403)^2)</f>
        <v>2.62513779984078</v>
      </c>
      <c r="AP448" s="17" t="n">
        <f aca="false">SQRT(($B448-AP$401)^2+($C448-AP$402)^2+($D448-AP$403)^2)</f>
        <v>1.56352621298365</v>
      </c>
      <c r="AQ448" s="17" t="n">
        <f aca="false">SQRT(($B448-AQ$401)^2+($C448-AQ$402)^2+($D448-AQ$403)^2)</f>
        <v>1.88374839237155</v>
      </c>
      <c r="AR448" s="17" t="n">
        <f aca="false">SQRT(($B448-AR$401)^2+($C448-AR$402)^2+($D448-AR$403)^2)</f>
        <v>3.75089490321323</v>
      </c>
      <c r="AS448" s="17" t="n">
        <f aca="false">SQRT(($B448-AS$401)^2+($C448-AS$402)^2+($D448-AS$403)^2)</f>
        <v>1.02192992801853</v>
      </c>
      <c r="AT448" s="63" t="n">
        <f aca="false">MATCH(MIN(AN448:AS448),AN448:AS448,0)</f>
        <v>6</v>
      </c>
      <c r="AV448" s="17" t="n">
        <f aca="false">SQRT(($B448-AV$401)^2+($C448-AV$402)^2+($D448-AV$403)^2)</f>
        <v>5.93767015843079</v>
      </c>
      <c r="AW448" s="17" t="n">
        <f aca="false">SQRT(($B448-AW$401)^2+($C448-AW$402)^2+($D448-AW$403)^2)</f>
        <v>2.59305466495956</v>
      </c>
      <c r="AX448" s="17" t="n">
        <f aca="false">SQRT(($B448-AX$401)^2+($C448-AX$402)^2+($D448-AX$403)^2)</f>
        <v>1.56352621298365</v>
      </c>
      <c r="AY448" s="17" t="n">
        <f aca="false">SQRT(($B448-AY$401)^2+($C448-AY$402)^2+($D448-AY$403)^2)</f>
        <v>1.88374839237155</v>
      </c>
      <c r="AZ448" s="17" t="n">
        <f aca="false">SQRT(($B448-AZ$401)^2+($C448-AZ$402)^2+($D448-AZ$403)^2)</f>
        <v>3.75089490321323</v>
      </c>
      <c r="BA448" s="17" t="n">
        <f aca="false">SQRT(($B448-BA$401)^2+($C448-BA$402)^2+($D448-BA$403)^2)</f>
        <v>1.00111151864714</v>
      </c>
      <c r="BB448" s="63" t="n">
        <f aca="false">MATCH(MIN(AV448:BA448),AV448:BA448,0)</f>
        <v>6</v>
      </c>
      <c r="BD448" s="17" t="n">
        <f aca="false">SQRT(($B448-BD$401)^2+($C448-BD$402)^2+($D448-BD$403)^2)</f>
        <v>5.93767015843079</v>
      </c>
      <c r="BE448" s="17" t="n">
        <f aca="false">SQRT(($B448-BE$401)^2+($C448-BE$402)^2+($D448-BE$403)^2)</f>
        <v>2.56188624335186</v>
      </c>
      <c r="BF448" s="17" t="n">
        <f aca="false">SQRT(($B448-BF$401)^2+($C448-BF$402)^2+($D448-BF$403)^2)</f>
        <v>1.56352621298365</v>
      </c>
      <c r="BG448" s="17" t="n">
        <f aca="false">SQRT(($B448-BG$401)^2+($C448-BG$402)^2+($D448-BG$403)^2)</f>
        <v>1.88374839237155</v>
      </c>
      <c r="BH448" s="17" t="n">
        <f aca="false">SQRT(($B448-BH$401)^2+($C448-BH$402)^2+($D448-BH$403)^2)</f>
        <v>3.75089490321323</v>
      </c>
      <c r="BI448" s="17" t="n">
        <f aca="false">SQRT(($B448-BI$401)^2+($C448-BI$402)^2+($D448-BI$403)^2)</f>
        <v>0.980651457880096</v>
      </c>
      <c r="BJ448" s="63" t="n">
        <f aca="false">MATCH(MIN(BD448:BI448),BD448:BI448,0)</f>
        <v>6</v>
      </c>
      <c r="BL448" s="17" t="n">
        <f aca="false">SQRT(($B448-BL$401)^2+($C448-BL$402)^2+($D448-BL$403)^2)</f>
        <v>5.93767015843079</v>
      </c>
      <c r="BM448" s="17" t="n">
        <f aca="false">SQRT(($B448-BM$401)^2+($C448-BM$402)^2+($D448-BM$403)^2)</f>
        <v>2.56188624335186</v>
      </c>
      <c r="BN448" s="17" t="n">
        <f aca="false">SQRT(($B448-BN$401)^2+($C448-BN$402)^2+($D448-BN$403)^2)</f>
        <v>1.56352621298365</v>
      </c>
      <c r="BO448" s="17" t="n">
        <f aca="false">SQRT(($B448-BO$401)^2+($C448-BO$402)^2+($D448-BO$403)^2)</f>
        <v>1.88374839237155</v>
      </c>
      <c r="BP448" s="17" t="n">
        <f aca="false">SQRT(($B448-BP$401)^2+($C448-BP$402)^2+($D448-BP$403)^2)</f>
        <v>3.75089490321323</v>
      </c>
      <c r="BQ448" s="17" t="n">
        <f aca="false">SQRT(($B448-BQ$401)^2+($C448-BQ$402)^2+($D448-BQ$403)^2)</f>
        <v>0.980651457880096</v>
      </c>
      <c r="BR448" s="63" t="n">
        <f aca="false">MATCH(MIN(BL448:BQ448),BL448:BQ448,0)</f>
        <v>6</v>
      </c>
      <c r="BT448" s="17" t="n">
        <f aca="false">SQRT(($B448-BT$401)^2+($C448-BT$402)^2+($D448-BT$403)^2)</f>
        <v>5.93767015843079</v>
      </c>
      <c r="BU448" s="17" t="n">
        <f aca="false">SQRT(($B448-BU$401)^2+($C448-BU$402)^2+($D448-BU$403)^2)</f>
        <v>2.56188624335186</v>
      </c>
      <c r="BV448" s="17" t="n">
        <f aca="false">SQRT(($B448-BV$401)^2+($C448-BV$402)^2+($D448-BV$403)^2)</f>
        <v>1.56352621298365</v>
      </c>
      <c r="BW448" s="17" t="n">
        <f aca="false">SQRT(($B448-BW$401)^2+($C448-BW$402)^2+($D448-BW$403)^2)</f>
        <v>1.88374839237155</v>
      </c>
      <c r="BX448" s="17" t="n">
        <f aca="false">SQRT(($B448-BX$401)^2+($C448-BX$402)^2+($D448-BX$403)^2)</f>
        <v>3.75089490321323</v>
      </c>
      <c r="BY448" s="17" t="n">
        <f aca="false">SQRT(($B448-BY$401)^2+($C448-BY$402)^2+($D448-BY$403)^2)</f>
        <v>0.980651457880096</v>
      </c>
      <c r="BZ448" s="63" t="n">
        <f aca="false">MATCH(MIN(BT448:BY448),BT448:BY448,0)</f>
        <v>6</v>
      </c>
      <c r="CB448" s="17" t="n">
        <f aca="false">SQRT(($B448-CB$401)^2+($C448-CB$402)^2+($D448-CB$403)^2)</f>
        <v>5.93767015843079</v>
      </c>
      <c r="CC448" s="17" t="n">
        <f aca="false">SQRT(($B448-CC$401)^2+($C448-CC$402)^2+($D448-CC$403)^2)</f>
        <v>2.56188624335186</v>
      </c>
      <c r="CD448" s="17" t="n">
        <f aca="false">SQRT(($B448-CD$401)^2+($C448-CD$402)^2+($D448-CD$403)^2)</f>
        <v>1.56352621298365</v>
      </c>
      <c r="CE448" s="17" t="n">
        <f aca="false">SQRT(($B448-CE$401)^2+($C448-CE$402)^2+($D448-CE$403)^2)</f>
        <v>1.88374839237155</v>
      </c>
      <c r="CF448" s="17" t="n">
        <f aca="false">SQRT(($B448-CF$401)^2+($C448-CF$402)^2+($D448-CF$403)^2)</f>
        <v>3.75089490321323</v>
      </c>
      <c r="CG448" s="17" t="n">
        <f aca="false">SQRT(($B448-CG$401)^2+($C448-CG$402)^2+($D448-CG$403)^2)</f>
        <v>0.980651457880096</v>
      </c>
      <c r="CH448" s="63" t="n">
        <f aca="false">MATCH(MIN(CB448:CG448),CB448:CG448,0)</f>
        <v>6</v>
      </c>
      <c r="CJ448" s="17" t="n">
        <f aca="false">SQRT(($B448-CJ$401)^2+($C448-CJ$402)^2+($D448-CJ$403)^2)</f>
        <v>5.93767015843079</v>
      </c>
      <c r="CK448" s="17" t="n">
        <f aca="false">SQRT(($B448-CK$401)^2+($C448-CK$402)^2+($D448-CK$403)^2)</f>
        <v>2.56188624335186</v>
      </c>
      <c r="CL448" s="17" t="n">
        <f aca="false">SQRT(($B448-CL$401)^2+($C448-CL$402)^2+($D448-CL$403)^2)</f>
        <v>1.56352621298365</v>
      </c>
      <c r="CM448" s="17" t="n">
        <f aca="false">SQRT(($B448-CM$401)^2+($C448-CM$402)^2+($D448-CM$403)^2)</f>
        <v>1.88374839237155</v>
      </c>
      <c r="CN448" s="17" t="n">
        <f aca="false">SQRT(($B448-CN$401)^2+($C448-CN$402)^2+($D448-CN$403)^2)</f>
        <v>3.75089490321323</v>
      </c>
      <c r="CO448" s="17" t="n">
        <f aca="false">SQRT(($B448-CO$401)^2+($C448-CO$402)^2+($D448-CO$403)^2)</f>
        <v>0.980651457880096</v>
      </c>
      <c r="CP448" s="63" t="n">
        <f aca="false">MATCH(MIN(CJ448:CO448),CJ448:CO448,0)</f>
        <v>6</v>
      </c>
      <c r="CR448" s="17" t="n">
        <f aca="false">SQRT(($B448-CR$401)^2+($C448-CR$402)^2+($D448-CR$403)^2)</f>
        <v>5.93767015843079</v>
      </c>
      <c r="CS448" s="17" t="n">
        <f aca="false">SQRT(($B448-CS$401)^2+($C448-CS$402)^2+($D448-CS$403)^2)</f>
        <v>2.56188624335186</v>
      </c>
      <c r="CT448" s="17" t="n">
        <f aca="false">SQRT(($B448-CT$401)^2+($C448-CT$402)^2+($D448-CT$403)^2)</f>
        <v>1.56352621298365</v>
      </c>
      <c r="CU448" s="17" t="n">
        <f aca="false">SQRT(($B448-CU$401)^2+($C448-CU$402)^2+($D448-CU$403)^2)</f>
        <v>1.88374839237155</v>
      </c>
      <c r="CV448" s="17" t="n">
        <f aca="false">SQRT(($B448-CV$401)^2+($C448-CV$402)^2+($D448-CV$403)^2)</f>
        <v>3.75089490321323</v>
      </c>
      <c r="CW448" s="17" t="n">
        <f aca="false">SQRT(($B448-CW$401)^2+($C448-CW$402)^2+($D448-CW$403)^2)</f>
        <v>0.980651457880096</v>
      </c>
      <c r="CX448" s="63" t="n">
        <f aca="false">MATCH(MIN(CR448:CW448),CR448:CW448,0)</f>
        <v>6</v>
      </c>
      <c r="CZ448" s="17" t="n">
        <f aca="false">SQRT(($B448-CZ$401)^2+($C448-CZ$402)^2+($D448-CZ$403)^2)</f>
        <v>5.93767015843079</v>
      </c>
      <c r="DA448" s="17" t="n">
        <f aca="false">SQRT(($B448-DA$401)^2+($C448-DA$402)^2+($D448-DA$403)^2)</f>
        <v>2.56188624335186</v>
      </c>
      <c r="DB448" s="17" t="n">
        <f aca="false">SQRT(($B448-DB$401)^2+($C448-DB$402)^2+($D448-DB$403)^2)</f>
        <v>1.56352621298365</v>
      </c>
      <c r="DC448" s="17" t="n">
        <f aca="false">SQRT(($B448-DC$401)^2+($C448-DC$402)^2+($D448-DC$403)^2)</f>
        <v>1.88374839237155</v>
      </c>
      <c r="DD448" s="17" t="n">
        <f aca="false">SQRT(($B448-DD$401)^2+($C448-DD$402)^2+($D448-DD$403)^2)</f>
        <v>3.75089490321323</v>
      </c>
      <c r="DE448" s="17" t="n">
        <f aca="false">SQRT(($B448-DE$401)^2+($C448-DE$402)^2+($D448-DE$403)^2)</f>
        <v>0.980651457880096</v>
      </c>
      <c r="DF448" s="63" t="n">
        <f aca="false">MATCH(MIN(CZ448:DE448),CZ448:DE448,0)</f>
        <v>6</v>
      </c>
      <c r="DH448" s="17" t="n">
        <f aca="false">SQRT(($B448-DH$401)^2+($C448-DH$402)^2+($D448-DH$403)^2)</f>
        <v>5.93767015843079</v>
      </c>
      <c r="DI448" s="17" t="n">
        <f aca="false">SQRT(($B448-DI$401)^2+($C448-DI$402)^2+($D448-DI$403)^2)</f>
        <v>2.56188624335186</v>
      </c>
      <c r="DJ448" s="17" t="n">
        <f aca="false">SQRT(($B448-DJ$401)^2+($C448-DJ$402)^2+($D448-DJ$403)^2)</f>
        <v>1.56352621298365</v>
      </c>
      <c r="DK448" s="17" t="n">
        <f aca="false">SQRT(($B448-DK$401)^2+($C448-DK$402)^2+($D448-DK$403)^2)</f>
        <v>1.88374839237155</v>
      </c>
      <c r="DL448" s="17" t="n">
        <f aca="false">SQRT(($B448-DL$401)^2+($C448-DL$402)^2+($D448-DL$403)^2)</f>
        <v>3.75089490321323</v>
      </c>
      <c r="DM448" s="17" t="n">
        <f aca="false">SQRT(($B448-DM$401)^2+($C448-DM$402)^2+($D448-DM$403)^2)</f>
        <v>0.980651457880096</v>
      </c>
      <c r="DN448" s="63" t="n">
        <f aca="false">MATCH(MIN(DH448:DM448),DH448:DM448,0)</f>
        <v>6</v>
      </c>
    </row>
    <row r="449" customFormat="false" ht="15" hidden="false" customHeight="false" outlineLevel="0" collapsed="false">
      <c r="A449" s="36" t="str">
        <f aca="false">KMeans_Data!A46</f>
        <v>Nagar</v>
      </c>
      <c r="B449" s="17" t="n">
        <f aca="false">KMeans_Data!H46</f>
        <v>0.273717398386991</v>
      </c>
      <c r="C449" s="17" t="n">
        <f aca="false">KMeans_Data!I46</f>
        <v>-0.146983133929529</v>
      </c>
      <c r="D449" s="17" t="n">
        <f aca="false">KMeans_Data!J46</f>
        <v>0.774246840861612</v>
      </c>
      <c r="E449" s="63" t="n">
        <f aca="false">DN449</f>
        <v>6</v>
      </c>
      <c r="F449" s="38" t="n">
        <f aca="false">($B449-INDEX($L$401:$Q$401,E449))^2+($C449-INDEX($L$402:$Q$402,E449))^2+($D449-INDEX($L$403:$Q$403,E449))^2</f>
        <v>0.559389924256625</v>
      </c>
      <c r="G449" s="17" t="n">
        <f aca="false">IF(COUNTIF(Distance_Matrix!$E$12:$DQ$12,$E449)&lt;=1,0,SUMIF(Distance_Matrix!$E$12:$DQ$12,$E449,Distance_Matrix!$E$55:$DQ$55)/(COUNTIF(Distance_Matrix!$E$12:$DQ$12,$E449)-1))</f>
        <v>0.923290491981974</v>
      </c>
      <c r="H449" s="17" t="n">
        <f aca="false">MIN(IF(1=$E449,1E+099,IF(COUNTIF(Distance_Matrix!$E$12:$DQ$12,1)=0,1E+099,SUMIF(Distance_Matrix!$E$12:$DQ$12,1,Distance_Matrix!$E$55:$DQ$55)/COUNTIF(Distance_Matrix!$E$12:$DQ$12,1))),IF(2=$E449,1E+099,IF(COUNTIF(Distance_Matrix!$E$12:$DQ$12,2)=0,1E+099,SUMIF(Distance_Matrix!$E$12:$DQ$12,2,Distance_Matrix!$E$55:$DQ$55)/COUNTIF(Distance_Matrix!$E$12:$DQ$12,2))),IF(3=$E449,1E+099,IF(COUNTIF(Distance_Matrix!$E$12:$DQ$12,3)=0,1E+099,SUMIF(Distance_Matrix!$E$12:$DQ$12,3,Distance_Matrix!$E$55:$DQ$55)/COUNTIF(Distance_Matrix!$E$12:$DQ$12,3))),IF(4=$E449,1E+099,IF(COUNTIF(Distance_Matrix!$E$12:$DQ$12,4)=0,1E+099,SUMIF(Distance_Matrix!$E$12:$DQ$12,4,Distance_Matrix!$E$55:$DQ$55)/COUNTIF(Distance_Matrix!$E$12:$DQ$12,4))),IF(5=$E449,1E+099,IF(COUNTIF(Distance_Matrix!$E$12:$DQ$12,5)=0,1E+099,SUMIF(Distance_Matrix!$E$12:$DQ$12,5,Distance_Matrix!$E$55:$DQ$55)/COUNTIF(Distance_Matrix!$E$12:$DQ$12,5))),IF(6=$E449,1E+099,IF(COUNTIF(Distance_Matrix!$E$12:$DQ$12,6)=0,1E+099,SUMIF(Distance_Matrix!$E$12:$DQ$12,6,Distance_Matrix!$E$55:$DQ$55)/COUNTIF(Distance_Matrix!$E$12:$DQ$12,6))))</f>
        <v>1.21503411308437</v>
      </c>
      <c r="I449" s="17" t="n">
        <f aca="false">IF(COUNTIF(Distance_Matrix!$E$12:$DQ$12,$E449)&lt;=1,0,(H449-G449)/MAX(G449,H449))</f>
        <v>0.240111465152038</v>
      </c>
      <c r="X449" s="17" t="n">
        <f aca="false">SQRT(($B449-X$401)^2+($C449-X$402)^2+($D449-X$403)^2)</f>
        <v>5.71555391045852</v>
      </c>
      <c r="Y449" s="17" t="n">
        <f aca="false">SQRT(($B449-Y$401)^2+($C449-Y$402)^2+($D449-Y$403)^2)</f>
        <v>3.0823789094685</v>
      </c>
      <c r="Z449" s="17" t="n">
        <f aca="false">SQRT(($B449-Z$401)^2+($C449-Z$402)^2+($D449-Z$403)^2)</f>
        <v>1.15934318016295</v>
      </c>
      <c r="AA449" s="17" t="n">
        <f aca="false">SQRT(($B449-AA$401)^2+($C449-AA$402)^2+($D449-AA$403)^2)</f>
        <v>1.95559001345375</v>
      </c>
      <c r="AB449" s="17" t="n">
        <f aca="false">SQRT(($B449-AB$401)^2+($C449-AB$402)^2+($D449-AB$403)^2)</f>
        <v>3.58950449830653</v>
      </c>
      <c r="AC449" s="17" t="n">
        <f aca="false">SQRT(($B449-AC$401)^2+($C449-AC$402)^2+($D449-AC$403)^2)</f>
        <v>0.990682765756894</v>
      </c>
      <c r="AD449" s="63" t="n">
        <f aca="false">MATCH(MIN(X449:AC449),X449:AC449,0)</f>
        <v>6</v>
      </c>
      <c r="AF449" s="17" t="n">
        <f aca="false">SQRT(($B449-AF$401)^2+($C449-AF$402)^2+($D449-AF$403)^2)</f>
        <v>5.63526883599276</v>
      </c>
      <c r="AG449" s="17" t="n">
        <f aca="false">SQRT(($B449-AG$401)^2+($C449-AG$402)^2+($D449-AG$403)^2)</f>
        <v>2.50824704574988</v>
      </c>
      <c r="AH449" s="17" t="n">
        <f aca="false">SQRT(($B449-AH$401)^2+($C449-AH$402)^2+($D449-AH$403)^2)</f>
        <v>1.11774883995767</v>
      </c>
      <c r="AI449" s="17" t="n">
        <f aca="false">SQRT(($B449-AI$401)^2+($C449-AI$402)^2+($D449-AI$403)^2)</f>
        <v>1.68090604842912</v>
      </c>
      <c r="AJ449" s="17" t="n">
        <f aca="false">SQRT(($B449-AJ$401)^2+($C449-AJ$402)^2+($D449-AJ$403)^2)</f>
        <v>3.39851808292772</v>
      </c>
      <c r="AK449" s="17" t="n">
        <f aca="false">SQRT(($B449-AK$401)^2+($C449-AK$402)^2+($D449-AK$403)^2)</f>
        <v>0.843798396595448</v>
      </c>
      <c r="AL449" s="63" t="n">
        <f aca="false">MATCH(MIN(AF449:AK449),AF449:AK449,0)</f>
        <v>6</v>
      </c>
      <c r="AN449" s="17" t="n">
        <f aca="false">SQRT(($B449-AN$401)^2+($C449-AN$402)^2+($D449-AN$403)^2)</f>
        <v>5.63526883599276</v>
      </c>
      <c r="AO449" s="17" t="n">
        <f aca="false">SQRT(($B449-AO$401)^2+($C449-AO$402)^2+($D449-AO$403)^2)</f>
        <v>2.46536435475618</v>
      </c>
      <c r="AP449" s="17" t="n">
        <f aca="false">SQRT(($B449-AP$401)^2+($C449-AP$402)^2+($D449-AP$403)^2)</f>
        <v>1.09447343732186</v>
      </c>
      <c r="AQ449" s="17" t="n">
        <f aca="false">SQRT(($B449-AQ$401)^2+($C449-AQ$402)^2+($D449-AQ$403)^2)</f>
        <v>1.69430158934534</v>
      </c>
      <c r="AR449" s="17" t="n">
        <f aca="false">SQRT(($B449-AR$401)^2+($C449-AR$402)^2+($D449-AR$403)^2)</f>
        <v>3.39851808292772</v>
      </c>
      <c r="AS449" s="17" t="n">
        <f aca="false">SQRT(($B449-AS$401)^2+($C449-AS$402)^2+($D449-AS$403)^2)</f>
        <v>0.800947283114271</v>
      </c>
      <c r="AT449" s="63" t="n">
        <f aca="false">MATCH(MIN(AN449:AS449),AN449:AS449,0)</f>
        <v>6</v>
      </c>
      <c r="AV449" s="17" t="n">
        <f aca="false">SQRT(($B449-AV$401)^2+($C449-AV$402)^2+($D449-AV$403)^2)</f>
        <v>5.63526883599276</v>
      </c>
      <c r="AW449" s="17" t="n">
        <f aca="false">SQRT(($B449-AW$401)^2+($C449-AW$402)^2+($D449-AW$403)^2)</f>
        <v>2.43420829440471</v>
      </c>
      <c r="AX449" s="17" t="n">
        <f aca="false">SQRT(($B449-AX$401)^2+($C449-AX$402)^2+($D449-AX$403)^2)</f>
        <v>1.09447343732186</v>
      </c>
      <c r="AY449" s="17" t="n">
        <f aca="false">SQRT(($B449-AY$401)^2+($C449-AY$402)^2+($D449-AY$403)^2)</f>
        <v>1.69430158934534</v>
      </c>
      <c r="AZ449" s="17" t="n">
        <f aca="false">SQRT(($B449-AZ$401)^2+($C449-AZ$402)^2+($D449-AZ$403)^2)</f>
        <v>3.39851808292772</v>
      </c>
      <c r="BA449" s="17" t="n">
        <f aca="false">SQRT(($B449-BA$401)^2+($C449-BA$402)^2+($D449-BA$403)^2)</f>
        <v>0.77473015741425</v>
      </c>
      <c r="BB449" s="63" t="n">
        <f aca="false">MATCH(MIN(AV449:BA449),AV449:BA449,0)</f>
        <v>6</v>
      </c>
      <c r="BD449" s="17" t="n">
        <f aca="false">SQRT(($B449-BD$401)^2+($C449-BD$402)^2+($D449-BD$403)^2)</f>
        <v>5.63526883599276</v>
      </c>
      <c r="BE449" s="17" t="n">
        <f aca="false">SQRT(($B449-BE$401)^2+($C449-BE$402)^2+($D449-BE$403)^2)</f>
        <v>2.40410178339372</v>
      </c>
      <c r="BF449" s="17" t="n">
        <f aca="false">SQRT(($B449-BF$401)^2+($C449-BF$402)^2+($D449-BF$403)^2)</f>
        <v>1.09447343732186</v>
      </c>
      <c r="BG449" s="17" t="n">
        <f aca="false">SQRT(($B449-BG$401)^2+($C449-BG$402)^2+($D449-BG$403)^2)</f>
        <v>1.69430158934534</v>
      </c>
      <c r="BH449" s="17" t="n">
        <f aca="false">SQRT(($B449-BH$401)^2+($C449-BH$402)^2+($D449-BH$403)^2)</f>
        <v>3.39851808292772</v>
      </c>
      <c r="BI449" s="17" t="n">
        <f aca="false">SQRT(($B449-BI$401)^2+($C449-BI$402)^2+($D449-BI$403)^2)</f>
        <v>0.747923742273653</v>
      </c>
      <c r="BJ449" s="63" t="n">
        <f aca="false">MATCH(MIN(BD449:BI449),BD449:BI449,0)</f>
        <v>6</v>
      </c>
      <c r="BL449" s="17" t="n">
        <f aca="false">SQRT(($B449-BL$401)^2+($C449-BL$402)^2+($D449-BL$403)^2)</f>
        <v>5.63526883599276</v>
      </c>
      <c r="BM449" s="17" t="n">
        <f aca="false">SQRT(($B449-BM$401)^2+($C449-BM$402)^2+($D449-BM$403)^2)</f>
        <v>2.40410178339372</v>
      </c>
      <c r="BN449" s="17" t="n">
        <f aca="false">SQRT(($B449-BN$401)^2+($C449-BN$402)^2+($D449-BN$403)^2)</f>
        <v>1.09447343732186</v>
      </c>
      <c r="BO449" s="17" t="n">
        <f aca="false">SQRT(($B449-BO$401)^2+($C449-BO$402)^2+($D449-BO$403)^2)</f>
        <v>1.69430158934534</v>
      </c>
      <c r="BP449" s="17" t="n">
        <f aca="false">SQRT(($B449-BP$401)^2+($C449-BP$402)^2+($D449-BP$403)^2)</f>
        <v>3.39851808292772</v>
      </c>
      <c r="BQ449" s="17" t="n">
        <f aca="false">SQRT(($B449-BQ$401)^2+($C449-BQ$402)^2+($D449-BQ$403)^2)</f>
        <v>0.747923742273653</v>
      </c>
      <c r="BR449" s="63" t="n">
        <f aca="false">MATCH(MIN(BL449:BQ449),BL449:BQ449,0)</f>
        <v>6</v>
      </c>
      <c r="BT449" s="17" t="n">
        <f aca="false">SQRT(($B449-BT$401)^2+($C449-BT$402)^2+($D449-BT$403)^2)</f>
        <v>5.63526883599276</v>
      </c>
      <c r="BU449" s="17" t="n">
        <f aca="false">SQRT(($B449-BU$401)^2+($C449-BU$402)^2+($D449-BU$403)^2)</f>
        <v>2.40410178339372</v>
      </c>
      <c r="BV449" s="17" t="n">
        <f aca="false">SQRT(($B449-BV$401)^2+($C449-BV$402)^2+($D449-BV$403)^2)</f>
        <v>1.09447343732186</v>
      </c>
      <c r="BW449" s="17" t="n">
        <f aca="false">SQRT(($B449-BW$401)^2+($C449-BW$402)^2+($D449-BW$403)^2)</f>
        <v>1.69430158934534</v>
      </c>
      <c r="BX449" s="17" t="n">
        <f aca="false">SQRT(($B449-BX$401)^2+($C449-BX$402)^2+($D449-BX$403)^2)</f>
        <v>3.39851808292772</v>
      </c>
      <c r="BY449" s="17" t="n">
        <f aca="false">SQRT(($B449-BY$401)^2+($C449-BY$402)^2+($D449-BY$403)^2)</f>
        <v>0.747923742273653</v>
      </c>
      <c r="BZ449" s="63" t="n">
        <f aca="false">MATCH(MIN(BT449:BY449),BT449:BY449,0)</f>
        <v>6</v>
      </c>
      <c r="CB449" s="17" t="n">
        <f aca="false">SQRT(($B449-CB$401)^2+($C449-CB$402)^2+($D449-CB$403)^2)</f>
        <v>5.63526883599276</v>
      </c>
      <c r="CC449" s="17" t="n">
        <f aca="false">SQRT(($B449-CC$401)^2+($C449-CC$402)^2+($D449-CC$403)^2)</f>
        <v>2.40410178339372</v>
      </c>
      <c r="CD449" s="17" t="n">
        <f aca="false">SQRT(($B449-CD$401)^2+($C449-CD$402)^2+($D449-CD$403)^2)</f>
        <v>1.09447343732186</v>
      </c>
      <c r="CE449" s="17" t="n">
        <f aca="false">SQRT(($B449-CE$401)^2+($C449-CE$402)^2+($D449-CE$403)^2)</f>
        <v>1.69430158934534</v>
      </c>
      <c r="CF449" s="17" t="n">
        <f aca="false">SQRT(($B449-CF$401)^2+($C449-CF$402)^2+($D449-CF$403)^2)</f>
        <v>3.39851808292772</v>
      </c>
      <c r="CG449" s="17" t="n">
        <f aca="false">SQRT(($B449-CG$401)^2+($C449-CG$402)^2+($D449-CG$403)^2)</f>
        <v>0.747923742273653</v>
      </c>
      <c r="CH449" s="63" t="n">
        <f aca="false">MATCH(MIN(CB449:CG449),CB449:CG449,0)</f>
        <v>6</v>
      </c>
      <c r="CJ449" s="17" t="n">
        <f aca="false">SQRT(($B449-CJ$401)^2+($C449-CJ$402)^2+($D449-CJ$403)^2)</f>
        <v>5.63526883599276</v>
      </c>
      <c r="CK449" s="17" t="n">
        <f aca="false">SQRT(($B449-CK$401)^2+($C449-CK$402)^2+($D449-CK$403)^2)</f>
        <v>2.40410178339372</v>
      </c>
      <c r="CL449" s="17" t="n">
        <f aca="false">SQRT(($B449-CL$401)^2+($C449-CL$402)^2+($D449-CL$403)^2)</f>
        <v>1.09447343732186</v>
      </c>
      <c r="CM449" s="17" t="n">
        <f aca="false">SQRT(($B449-CM$401)^2+($C449-CM$402)^2+($D449-CM$403)^2)</f>
        <v>1.69430158934534</v>
      </c>
      <c r="CN449" s="17" t="n">
        <f aca="false">SQRT(($B449-CN$401)^2+($C449-CN$402)^2+($D449-CN$403)^2)</f>
        <v>3.39851808292772</v>
      </c>
      <c r="CO449" s="17" t="n">
        <f aca="false">SQRT(($B449-CO$401)^2+($C449-CO$402)^2+($D449-CO$403)^2)</f>
        <v>0.747923742273653</v>
      </c>
      <c r="CP449" s="63" t="n">
        <f aca="false">MATCH(MIN(CJ449:CO449),CJ449:CO449,0)</f>
        <v>6</v>
      </c>
      <c r="CR449" s="17" t="n">
        <f aca="false">SQRT(($B449-CR$401)^2+($C449-CR$402)^2+($D449-CR$403)^2)</f>
        <v>5.63526883599276</v>
      </c>
      <c r="CS449" s="17" t="n">
        <f aca="false">SQRT(($B449-CS$401)^2+($C449-CS$402)^2+($D449-CS$403)^2)</f>
        <v>2.40410178339372</v>
      </c>
      <c r="CT449" s="17" t="n">
        <f aca="false">SQRT(($B449-CT$401)^2+($C449-CT$402)^2+($D449-CT$403)^2)</f>
        <v>1.09447343732186</v>
      </c>
      <c r="CU449" s="17" t="n">
        <f aca="false">SQRT(($B449-CU$401)^2+($C449-CU$402)^2+($D449-CU$403)^2)</f>
        <v>1.69430158934534</v>
      </c>
      <c r="CV449" s="17" t="n">
        <f aca="false">SQRT(($B449-CV$401)^2+($C449-CV$402)^2+($D449-CV$403)^2)</f>
        <v>3.39851808292772</v>
      </c>
      <c r="CW449" s="17" t="n">
        <f aca="false">SQRT(($B449-CW$401)^2+($C449-CW$402)^2+($D449-CW$403)^2)</f>
        <v>0.747923742273653</v>
      </c>
      <c r="CX449" s="63" t="n">
        <f aca="false">MATCH(MIN(CR449:CW449),CR449:CW449,0)</f>
        <v>6</v>
      </c>
      <c r="CZ449" s="17" t="n">
        <f aca="false">SQRT(($B449-CZ$401)^2+($C449-CZ$402)^2+($D449-CZ$403)^2)</f>
        <v>5.63526883599276</v>
      </c>
      <c r="DA449" s="17" t="n">
        <f aca="false">SQRT(($B449-DA$401)^2+($C449-DA$402)^2+($D449-DA$403)^2)</f>
        <v>2.40410178339372</v>
      </c>
      <c r="DB449" s="17" t="n">
        <f aca="false">SQRT(($B449-DB$401)^2+($C449-DB$402)^2+($D449-DB$403)^2)</f>
        <v>1.09447343732186</v>
      </c>
      <c r="DC449" s="17" t="n">
        <f aca="false">SQRT(($B449-DC$401)^2+($C449-DC$402)^2+($D449-DC$403)^2)</f>
        <v>1.69430158934534</v>
      </c>
      <c r="DD449" s="17" t="n">
        <f aca="false">SQRT(($B449-DD$401)^2+($C449-DD$402)^2+($D449-DD$403)^2)</f>
        <v>3.39851808292772</v>
      </c>
      <c r="DE449" s="17" t="n">
        <f aca="false">SQRT(($B449-DE$401)^2+($C449-DE$402)^2+($D449-DE$403)^2)</f>
        <v>0.747923742273653</v>
      </c>
      <c r="DF449" s="63" t="n">
        <f aca="false">MATCH(MIN(CZ449:DE449),CZ449:DE449,0)</f>
        <v>6</v>
      </c>
      <c r="DH449" s="17" t="n">
        <f aca="false">SQRT(($B449-DH$401)^2+($C449-DH$402)^2+($D449-DH$403)^2)</f>
        <v>5.63526883599276</v>
      </c>
      <c r="DI449" s="17" t="n">
        <f aca="false">SQRT(($B449-DI$401)^2+($C449-DI$402)^2+($D449-DI$403)^2)</f>
        <v>2.40410178339372</v>
      </c>
      <c r="DJ449" s="17" t="n">
        <f aca="false">SQRT(($B449-DJ$401)^2+($C449-DJ$402)^2+($D449-DJ$403)^2)</f>
        <v>1.09447343732186</v>
      </c>
      <c r="DK449" s="17" t="n">
        <f aca="false">SQRT(($B449-DK$401)^2+($C449-DK$402)^2+($D449-DK$403)^2)</f>
        <v>1.69430158934534</v>
      </c>
      <c r="DL449" s="17" t="n">
        <f aca="false">SQRT(($B449-DL$401)^2+($C449-DL$402)^2+($D449-DL$403)^2)</f>
        <v>3.39851808292772</v>
      </c>
      <c r="DM449" s="17" t="n">
        <f aca="false">SQRT(($B449-DM$401)^2+($C449-DM$402)^2+($D449-DM$403)^2)</f>
        <v>0.747923742273653</v>
      </c>
      <c r="DN449" s="63" t="n">
        <f aca="false">MATCH(MIN(DH449:DM449),DH449:DM449,0)</f>
        <v>6</v>
      </c>
    </row>
    <row r="450" customFormat="false" ht="15" hidden="false" customHeight="false" outlineLevel="0" collapsed="false">
      <c r="A450" s="36" t="str">
        <f aca="false">KMeans_Data!A47</f>
        <v>Rahim Yar Khan</v>
      </c>
      <c r="B450" s="17" t="n">
        <f aca="false">KMeans_Data!H47</f>
        <v>0.262278036420678</v>
      </c>
      <c r="C450" s="17" t="n">
        <f aca="false">KMeans_Data!I47</f>
        <v>-0.146983133929529</v>
      </c>
      <c r="D450" s="17" t="n">
        <f aca="false">KMeans_Data!J47</f>
        <v>-0.636557171841548</v>
      </c>
      <c r="E450" s="63" t="n">
        <f aca="false">DN450</f>
        <v>4</v>
      </c>
      <c r="F450" s="38" t="n">
        <f aca="false">($B450-INDEX($L$401:$Q$401,E450))^2+($C450-INDEX($L$402:$Q$402,E450))^2+($D450-INDEX($L$403:$Q$403,E450))^2</f>
        <v>0.243069151894478</v>
      </c>
      <c r="G450" s="17" t="n">
        <f aca="false">IF(COUNTIF(Distance_Matrix!$E$12:$DQ$12,$E450)&lt;=1,0,SUMIF(Distance_Matrix!$E$12:$DQ$12,$E450,Distance_Matrix!$E$56:$DQ$56)/(COUNTIF(Distance_Matrix!$E$12:$DQ$12,$E450)-1))</f>
        <v>0.791876162663502</v>
      </c>
      <c r="H450" s="17" t="n">
        <f aca="false">MIN(IF(1=$E450,1E+099,IF(COUNTIF(Distance_Matrix!$E$12:$DQ$12,1)=0,1E+099,SUMIF(Distance_Matrix!$E$12:$DQ$12,1,Distance_Matrix!$E$56:$DQ$56)/COUNTIF(Distance_Matrix!$E$12:$DQ$12,1))),IF(2=$E450,1E+099,IF(COUNTIF(Distance_Matrix!$E$12:$DQ$12,2)=0,1E+099,SUMIF(Distance_Matrix!$E$12:$DQ$12,2,Distance_Matrix!$E$56:$DQ$56)/COUNTIF(Distance_Matrix!$E$12:$DQ$12,2))),IF(3=$E450,1E+099,IF(COUNTIF(Distance_Matrix!$E$12:$DQ$12,3)=0,1E+099,SUMIF(Distance_Matrix!$E$12:$DQ$12,3,Distance_Matrix!$E$56:$DQ$56)/COUNTIF(Distance_Matrix!$E$12:$DQ$12,3))),IF(4=$E450,1E+099,IF(COUNTIF(Distance_Matrix!$E$12:$DQ$12,4)=0,1E+099,SUMIF(Distance_Matrix!$E$12:$DQ$12,4,Distance_Matrix!$E$56:$DQ$56)/COUNTIF(Distance_Matrix!$E$12:$DQ$12,4))),IF(5=$E450,1E+099,IF(COUNTIF(Distance_Matrix!$E$12:$DQ$12,5)=0,1E+099,SUMIF(Distance_Matrix!$E$12:$DQ$12,5,Distance_Matrix!$E$56:$DQ$56)/COUNTIF(Distance_Matrix!$E$12:$DQ$12,5))),IF(6=$E450,1E+099,IF(COUNTIF(Distance_Matrix!$E$12:$DQ$12,6)=0,1E+099,SUMIF(Distance_Matrix!$E$12:$DQ$12,6,Distance_Matrix!$E$56:$DQ$56)/COUNTIF(Distance_Matrix!$E$12:$DQ$12,6))))</f>
        <v>1.16040384256761</v>
      </c>
      <c r="I450" s="17" t="n">
        <f aca="false">IF(COUNTIF(Distance_Matrix!$E$12:$DQ$12,$E450)&lt;=1,0,(H450-G450)/MAX(G450,H450))</f>
        <v>0.317585711443934</v>
      </c>
      <c r="X450" s="17" t="n">
        <f aca="false">SQRT(($B450-X$401)^2+($C450-X$402)^2+($D450-X$403)^2)</f>
        <v>6.45909936721902</v>
      </c>
      <c r="Y450" s="17" t="n">
        <f aca="false">SQRT(($B450-Y$401)^2+($C450-Y$402)^2+($D450-Y$403)^2)</f>
        <v>2.45367780569083</v>
      </c>
      <c r="Z450" s="17" t="n">
        <f aca="false">SQRT(($B450-Z$401)^2+($C450-Z$402)^2+($D450-Z$403)^2)</f>
        <v>2.30571691728434</v>
      </c>
      <c r="AA450" s="17" t="n">
        <f aca="false">SQRT(($B450-AA$401)^2+($C450-AA$402)^2+($D450-AA$403)^2)</f>
        <v>0.637307822108715</v>
      </c>
      <c r="AB450" s="17" t="n">
        <f aca="false">SQRT(($B450-AB$401)^2+($C450-AB$402)^2+($D450-AB$403)^2)</f>
        <v>4.40818703542716</v>
      </c>
      <c r="AC450" s="17" t="n">
        <f aca="false">SQRT(($B450-AC$401)^2+($C450-AC$402)^2+($D450-AC$403)^2)</f>
        <v>1.59321366928069</v>
      </c>
      <c r="AD450" s="63" t="n">
        <f aca="false">MATCH(MIN(X450:AC450),X450:AC450,0)</f>
        <v>4</v>
      </c>
      <c r="AF450" s="17" t="n">
        <f aca="false">SQRT(($B450-AF$401)^2+($C450-AF$402)^2+($D450-AF$403)^2)</f>
        <v>6.32464423034095</v>
      </c>
      <c r="AG450" s="17" t="n">
        <f aca="false">SQRT(($B450-AG$401)^2+($C450-AG$402)^2+($D450-AG$403)^2)</f>
        <v>1.72319644255137</v>
      </c>
      <c r="AH450" s="17" t="n">
        <f aca="false">SQRT(($B450-AH$401)^2+($C450-AH$402)^2+($D450-AH$403)^2)</f>
        <v>1.93229176831235</v>
      </c>
      <c r="AI450" s="17" t="n">
        <f aca="false">SQRT(($B450-AI$401)^2+($C450-AI$402)^2+($D450-AI$403)^2)</f>
        <v>0.463119805169092</v>
      </c>
      <c r="AJ450" s="17" t="n">
        <f aca="false">SQRT(($B450-AJ$401)^2+($C450-AJ$402)^2+($D450-AJ$403)^2)</f>
        <v>4.05495238686186</v>
      </c>
      <c r="AK450" s="17" t="n">
        <f aca="false">SQRT(($B450-AK$401)^2+($C450-AK$402)^2+($D450-AK$403)^2)</f>
        <v>0.994850144498805</v>
      </c>
      <c r="AL450" s="63" t="n">
        <f aca="false">MATCH(MIN(AF450:AK450),AF450:AK450,0)</f>
        <v>4</v>
      </c>
      <c r="AN450" s="17" t="n">
        <f aca="false">SQRT(($B450-AN$401)^2+($C450-AN$402)^2+($D450-AN$403)^2)</f>
        <v>6.32464423034095</v>
      </c>
      <c r="AO450" s="17" t="n">
        <f aca="false">SQRT(($B450-AO$401)^2+($C450-AO$402)^2+($D450-AO$403)^2)</f>
        <v>1.67878071626405</v>
      </c>
      <c r="AP450" s="17" t="n">
        <f aca="false">SQRT(($B450-AP$401)^2+($C450-AP$402)^2+($D450-AP$403)^2)</f>
        <v>1.90748183468282</v>
      </c>
      <c r="AQ450" s="17" t="n">
        <f aca="false">SQRT(($B450-AQ$401)^2+($C450-AQ$402)^2+($D450-AQ$403)^2)</f>
        <v>0.493020437603228</v>
      </c>
      <c r="AR450" s="17" t="n">
        <f aca="false">SQRT(($B450-AR$401)^2+($C450-AR$402)^2+($D450-AR$403)^2)</f>
        <v>4.05495238686186</v>
      </c>
      <c r="AS450" s="17" t="n">
        <f aca="false">SQRT(($B450-AS$401)^2+($C450-AS$402)^2+($D450-AS$403)^2)</f>
        <v>0.991961810654185</v>
      </c>
      <c r="AT450" s="63" t="n">
        <f aca="false">MATCH(MIN(AN450:AS450),AN450:AS450,0)</f>
        <v>4</v>
      </c>
      <c r="AV450" s="17" t="n">
        <f aca="false">SQRT(($B450-AV$401)^2+($C450-AV$402)^2+($D450-AV$403)^2)</f>
        <v>6.32464423034095</v>
      </c>
      <c r="AW450" s="17" t="n">
        <f aca="false">SQRT(($B450-AW$401)^2+($C450-AW$402)^2+($D450-AW$403)^2)</f>
        <v>1.6550635532478</v>
      </c>
      <c r="AX450" s="17" t="n">
        <f aca="false">SQRT(($B450-AX$401)^2+($C450-AX$402)^2+($D450-AX$403)^2)</f>
        <v>1.90748183468282</v>
      </c>
      <c r="AY450" s="17" t="n">
        <f aca="false">SQRT(($B450-AY$401)^2+($C450-AY$402)^2+($D450-AY$403)^2)</f>
        <v>0.493020437603228</v>
      </c>
      <c r="AZ450" s="17" t="n">
        <f aca="false">SQRT(($B450-AZ$401)^2+($C450-AZ$402)^2+($D450-AZ$403)^2)</f>
        <v>4.05495238686186</v>
      </c>
      <c r="BA450" s="17" t="n">
        <f aca="false">SQRT(($B450-BA$401)^2+($C450-BA$402)^2+($D450-BA$403)^2)</f>
        <v>0.996926268804026</v>
      </c>
      <c r="BB450" s="63" t="n">
        <f aca="false">MATCH(MIN(AV450:BA450),AV450:BA450,0)</f>
        <v>4</v>
      </c>
      <c r="BD450" s="17" t="n">
        <f aca="false">SQRT(($B450-BD$401)^2+($C450-BD$402)^2+($D450-BD$403)^2)</f>
        <v>6.32464423034095</v>
      </c>
      <c r="BE450" s="17" t="n">
        <f aca="false">SQRT(($B450-BE$401)^2+($C450-BE$402)^2+($D450-BE$403)^2)</f>
        <v>1.63416432067314</v>
      </c>
      <c r="BF450" s="17" t="n">
        <f aca="false">SQRT(($B450-BF$401)^2+($C450-BF$402)^2+($D450-BF$403)^2)</f>
        <v>1.90748183468282</v>
      </c>
      <c r="BG450" s="17" t="n">
        <f aca="false">SQRT(($B450-BG$401)^2+($C450-BG$402)^2+($D450-BG$403)^2)</f>
        <v>0.493020437603228</v>
      </c>
      <c r="BH450" s="17" t="n">
        <f aca="false">SQRT(($B450-BH$401)^2+($C450-BH$402)^2+($D450-BH$403)^2)</f>
        <v>4.05495238686186</v>
      </c>
      <c r="BI450" s="17" t="n">
        <f aca="false">SQRT(($B450-BI$401)^2+($C450-BI$402)^2+($D450-BI$403)^2)</f>
        <v>1.00000516825037</v>
      </c>
      <c r="BJ450" s="63" t="n">
        <f aca="false">MATCH(MIN(BD450:BI450),BD450:BI450,0)</f>
        <v>4</v>
      </c>
      <c r="BL450" s="17" t="n">
        <f aca="false">SQRT(($B450-BL$401)^2+($C450-BL$402)^2+($D450-BL$403)^2)</f>
        <v>6.32464423034095</v>
      </c>
      <c r="BM450" s="17" t="n">
        <f aca="false">SQRT(($B450-BM$401)^2+($C450-BM$402)^2+($D450-BM$403)^2)</f>
        <v>1.63416432067314</v>
      </c>
      <c r="BN450" s="17" t="n">
        <f aca="false">SQRT(($B450-BN$401)^2+($C450-BN$402)^2+($D450-BN$403)^2)</f>
        <v>1.90748183468282</v>
      </c>
      <c r="BO450" s="17" t="n">
        <f aca="false">SQRT(($B450-BO$401)^2+($C450-BO$402)^2+($D450-BO$403)^2)</f>
        <v>0.493020437603228</v>
      </c>
      <c r="BP450" s="17" t="n">
        <f aca="false">SQRT(($B450-BP$401)^2+($C450-BP$402)^2+($D450-BP$403)^2)</f>
        <v>4.05495238686186</v>
      </c>
      <c r="BQ450" s="17" t="n">
        <f aca="false">SQRT(($B450-BQ$401)^2+($C450-BQ$402)^2+($D450-BQ$403)^2)</f>
        <v>1.00000516825037</v>
      </c>
      <c r="BR450" s="63" t="n">
        <f aca="false">MATCH(MIN(BL450:BQ450),BL450:BQ450,0)</f>
        <v>4</v>
      </c>
      <c r="BT450" s="17" t="n">
        <f aca="false">SQRT(($B450-BT$401)^2+($C450-BT$402)^2+($D450-BT$403)^2)</f>
        <v>6.32464423034095</v>
      </c>
      <c r="BU450" s="17" t="n">
        <f aca="false">SQRT(($B450-BU$401)^2+($C450-BU$402)^2+($D450-BU$403)^2)</f>
        <v>1.63416432067314</v>
      </c>
      <c r="BV450" s="17" t="n">
        <f aca="false">SQRT(($B450-BV$401)^2+($C450-BV$402)^2+($D450-BV$403)^2)</f>
        <v>1.90748183468282</v>
      </c>
      <c r="BW450" s="17" t="n">
        <f aca="false">SQRT(($B450-BW$401)^2+($C450-BW$402)^2+($D450-BW$403)^2)</f>
        <v>0.493020437603228</v>
      </c>
      <c r="BX450" s="17" t="n">
        <f aca="false">SQRT(($B450-BX$401)^2+($C450-BX$402)^2+($D450-BX$403)^2)</f>
        <v>4.05495238686186</v>
      </c>
      <c r="BY450" s="17" t="n">
        <f aca="false">SQRT(($B450-BY$401)^2+($C450-BY$402)^2+($D450-BY$403)^2)</f>
        <v>1.00000516825037</v>
      </c>
      <c r="BZ450" s="63" t="n">
        <f aca="false">MATCH(MIN(BT450:BY450),BT450:BY450,0)</f>
        <v>4</v>
      </c>
      <c r="CB450" s="17" t="n">
        <f aca="false">SQRT(($B450-CB$401)^2+($C450-CB$402)^2+($D450-CB$403)^2)</f>
        <v>6.32464423034095</v>
      </c>
      <c r="CC450" s="17" t="n">
        <f aca="false">SQRT(($B450-CC$401)^2+($C450-CC$402)^2+($D450-CC$403)^2)</f>
        <v>1.63416432067314</v>
      </c>
      <c r="CD450" s="17" t="n">
        <f aca="false">SQRT(($B450-CD$401)^2+($C450-CD$402)^2+($D450-CD$403)^2)</f>
        <v>1.90748183468282</v>
      </c>
      <c r="CE450" s="17" t="n">
        <f aca="false">SQRT(($B450-CE$401)^2+($C450-CE$402)^2+($D450-CE$403)^2)</f>
        <v>0.493020437603228</v>
      </c>
      <c r="CF450" s="17" t="n">
        <f aca="false">SQRT(($B450-CF$401)^2+($C450-CF$402)^2+($D450-CF$403)^2)</f>
        <v>4.05495238686186</v>
      </c>
      <c r="CG450" s="17" t="n">
        <f aca="false">SQRT(($B450-CG$401)^2+($C450-CG$402)^2+($D450-CG$403)^2)</f>
        <v>1.00000516825037</v>
      </c>
      <c r="CH450" s="63" t="n">
        <f aca="false">MATCH(MIN(CB450:CG450),CB450:CG450,0)</f>
        <v>4</v>
      </c>
      <c r="CJ450" s="17" t="n">
        <f aca="false">SQRT(($B450-CJ$401)^2+($C450-CJ$402)^2+($D450-CJ$403)^2)</f>
        <v>6.32464423034095</v>
      </c>
      <c r="CK450" s="17" t="n">
        <f aca="false">SQRT(($B450-CK$401)^2+($C450-CK$402)^2+($D450-CK$403)^2)</f>
        <v>1.63416432067314</v>
      </c>
      <c r="CL450" s="17" t="n">
        <f aca="false">SQRT(($B450-CL$401)^2+($C450-CL$402)^2+($D450-CL$403)^2)</f>
        <v>1.90748183468282</v>
      </c>
      <c r="CM450" s="17" t="n">
        <f aca="false">SQRT(($B450-CM$401)^2+($C450-CM$402)^2+($D450-CM$403)^2)</f>
        <v>0.493020437603228</v>
      </c>
      <c r="CN450" s="17" t="n">
        <f aca="false">SQRT(($B450-CN$401)^2+($C450-CN$402)^2+($D450-CN$403)^2)</f>
        <v>4.05495238686186</v>
      </c>
      <c r="CO450" s="17" t="n">
        <f aca="false">SQRT(($B450-CO$401)^2+($C450-CO$402)^2+($D450-CO$403)^2)</f>
        <v>1.00000516825037</v>
      </c>
      <c r="CP450" s="63" t="n">
        <f aca="false">MATCH(MIN(CJ450:CO450),CJ450:CO450,0)</f>
        <v>4</v>
      </c>
      <c r="CR450" s="17" t="n">
        <f aca="false">SQRT(($B450-CR$401)^2+($C450-CR$402)^2+($D450-CR$403)^2)</f>
        <v>6.32464423034095</v>
      </c>
      <c r="CS450" s="17" t="n">
        <f aca="false">SQRT(($B450-CS$401)^2+($C450-CS$402)^2+($D450-CS$403)^2)</f>
        <v>1.63416432067314</v>
      </c>
      <c r="CT450" s="17" t="n">
        <f aca="false">SQRT(($B450-CT$401)^2+($C450-CT$402)^2+($D450-CT$403)^2)</f>
        <v>1.90748183468282</v>
      </c>
      <c r="CU450" s="17" t="n">
        <f aca="false">SQRT(($B450-CU$401)^2+($C450-CU$402)^2+($D450-CU$403)^2)</f>
        <v>0.493020437603228</v>
      </c>
      <c r="CV450" s="17" t="n">
        <f aca="false">SQRT(($B450-CV$401)^2+($C450-CV$402)^2+($D450-CV$403)^2)</f>
        <v>4.05495238686186</v>
      </c>
      <c r="CW450" s="17" t="n">
        <f aca="false">SQRT(($B450-CW$401)^2+($C450-CW$402)^2+($D450-CW$403)^2)</f>
        <v>1.00000516825037</v>
      </c>
      <c r="CX450" s="63" t="n">
        <f aca="false">MATCH(MIN(CR450:CW450),CR450:CW450,0)</f>
        <v>4</v>
      </c>
      <c r="CZ450" s="17" t="n">
        <f aca="false">SQRT(($B450-CZ$401)^2+($C450-CZ$402)^2+($D450-CZ$403)^2)</f>
        <v>6.32464423034095</v>
      </c>
      <c r="DA450" s="17" t="n">
        <f aca="false">SQRT(($B450-DA$401)^2+($C450-DA$402)^2+($D450-DA$403)^2)</f>
        <v>1.63416432067314</v>
      </c>
      <c r="DB450" s="17" t="n">
        <f aca="false">SQRT(($B450-DB$401)^2+($C450-DB$402)^2+($D450-DB$403)^2)</f>
        <v>1.90748183468282</v>
      </c>
      <c r="DC450" s="17" t="n">
        <f aca="false">SQRT(($B450-DC$401)^2+($C450-DC$402)^2+($D450-DC$403)^2)</f>
        <v>0.493020437603228</v>
      </c>
      <c r="DD450" s="17" t="n">
        <f aca="false">SQRT(($B450-DD$401)^2+($C450-DD$402)^2+($D450-DD$403)^2)</f>
        <v>4.05495238686186</v>
      </c>
      <c r="DE450" s="17" t="n">
        <f aca="false">SQRT(($B450-DE$401)^2+($C450-DE$402)^2+($D450-DE$403)^2)</f>
        <v>1.00000516825037</v>
      </c>
      <c r="DF450" s="63" t="n">
        <f aca="false">MATCH(MIN(CZ450:DE450),CZ450:DE450,0)</f>
        <v>4</v>
      </c>
      <c r="DH450" s="17" t="n">
        <f aca="false">SQRT(($B450-DH$401)^2+($C450-DH$402)^2+($D450-DH$403)^2)</f>
        <v>6.32464423034095</v>
      </c>
      <c r="DI450" s="17" t="n">
        <f aca="false">SQRT(($B450-DI$401)^2+($C450-DI$402)^2+($D450-DI$403)^2)</f>
        <v>1.63416432067314</v>
      </c>
      <c r="DJ450" s="17" t="n">
        <f aca="false">SQRT(($B450-DJ$401)^2+($C450-DJ$402)^2+($D450-DJ$403)^2)</f>
        <v>1.90748183468282</v>
      </c>
      <c r="DK450" s="17" t="n">
        <f aca="false">SQRT(($B450-DK$401)^2+($C450-DK$402)^2+($D450-DK$403)^2)</f>
        <v>0.493020437603228</v>
      </c>
      <c r="DL450" s="17" t="n">
        <f aca="false">SQRT(($B450-DL$401)^2+($C450-DL$402)^2+($D450-DL$403)^2)</f>
        <v>4.05495238686186</v>
      </c>
      <c r="DM450" s="17" t="n">
        <f aca="false">SQRT(($B450-DM$401)^2+($C450-DM$402)^2+($D450-DM$403)^2)</f>
        <v>1.00000516825037</v>
      </c>
      <c r="DN450" s="63" t="n">
        <f aca="false">MATCH(MIN(DH450:DM450),DH450:DM450,0)</f>
        <v>4</v>
      </c>
    </row>
    <row r="451" customFormat="false" ht="15" hidden="false" customHeight="false" outlineLevel="0" collapsed="false">
      <c r="A451" s="36" t="str">
        <f aca="false">KMeans_Data!A48</f>
        <v>Jamshoro</v>
      </c>
      <c r="B451" s="17" t="n">
        <f aca="false">KMeans_Data!H48</f>
        <v>0.256462668461943</v>
      </c>
      <c r="C451" s="17" t="n">
        <f aca="false">KMeans_Data!I48</f>
        <v>-0.672650545388274</v>
      </c>
      <c r="D451" s="17" t="n">
        <f aca="false">KMeans_Data!J48</f>
        <v>0.514925973520034</v>
      </c>
      <c r="E451" s="63" t="n">
        <f aca="false">DN451</f>
        <v>6</v>
      </c>
      <c r="F451" s="38" t="n">
        <f aca="false">($B451-INDEX($L$401:$Q$401,E451))^2+($C451-INDEX($L$402:$Q$402,E451))^2+($D451-INDEX($L$403:$Q$403,E451))^2</f>
        <v>0.374009578031067</v>
      </c>
      <c r="G451" s="17" t="n">
        <f aca="false">IF(COUNTIF(Distance_Matrix!$E$12:$DQ$12,$E451)&lt;=1,0,SUMIF(Distance_Matrix!$E$12:$DQ$12,$E451,Distance_Matrix!$E$57:$DQ$57)/(COUNTIF(Distance_Matrix!$E$12:$DQ$12,$E451)-1))</f>
        <v>0.854327365457254</v>
      </c>
      <c r="H451" s="17" t="n">
        <f aca="false">MIN(IF(1=$E451,1E+099,IF(COUNTIF(Distance_Matrix!$E$12:$DQ$12,1)=0,1E+099,SUMIF(Distance_Matrix!$E$12:$DQ$12,1,Distance_Matrix!$E$57:$DQ$57)/COUNTIF(Distance_Matrix!$E$12:$DQ$12,1))),IF(2=$E451,1E+099,IF(COUNTIF(Distance_Matrix!$E$12:$DQ$12,2)=0,1E+099,SUMIF(Distance_Matrix!$E$12:$DQ$12,2,Distance_Matrix!$E$57:$DQ$57)/COUNTIF(Distance_Matrix!$E$12:$DQ$12,2))),IF(3=$E451,1E+099,IF(COUNTIF(Distance_Matrix!$E$12:$DQ$12,3)=0,1E+099,SUMIF(Distance_Matrix!$E$12:$DQ$12,3,Distance_Matrix!$E$57:$DQ$57)/COUNTIF(Distance_Matrix!$E$12:$DQ$12,3))),IF(4=$E451,1E+099,IF(COUNTIF(Distance_Matrix!$E$12:$DQ$12,4)=0,1E+099,SUMIF(Distance_Matrix!$E$12:$DQ$12,4,Distance_Matrix!$E$57:$DQ$57)/COUNTIF(Distance_Matrix!$E$12:$DQ$12,4))),IF(5=$E451,1E+099,IF(COUNTIF(Distance_Matrix!$E$12:$DQ$12,5)=0,1E+099,SUMIF(Distance_Matrix!$E$12:$DQ$12,5,Distance_Matrix!$E$57:$DQ$57)/COUNTIF(Distance_Matrix!$E$12:$DQ$12,5))),IF(6=$E451,1E+099,IF(COUNTIF(Distance_Matrix!$E$12:$DQ$12,6)=0,1E+099,SUMIF(Distance_Matrix!$E$12:$DQ$12,6,Distance_Matrix!$E$57:$DQ$57)/COUNTIF(Distance_Matrix!$E$12:$DQ$12,6))))</f>
        <v>1.47975422230029</v>
      </c>
      <c r="I451" s="17" t="n">
        <f aca="false">IF(COUNTIF(Distance_Matrix!$E$12:$DQ$12,$E451)&lt;=1,0,(H451-G451)/MAX(G451,H451))</f>
        <v>0.422655902863928</v>
      </c>
      <c r="X451" s="17" t="n">
        <f aca="false">SQRT(($B451-X$401)^2+($C451-X$402)^2+($D451-X$403)^2)</f>
        <v>6.22905502444889</v>
      </c>
      <c r="Y451" s="17" t="n">
        <f aca="false">SQRT(($B451-Y$401)^2+($C451-Y$402)^2+($D451-Y$403)^2)</f>
        <v>2.86623908661092</v>
      </c>
      <c r="Z451" s="17" t="n">
        <f aca="false">SQRT(($B451-Z$401)^2+($C451-Z$402)^2+($D451-Z$403)^2)</f>
        <v>1.62111347963302</v>
      </c>
      <c r="AA451" s="17" t="n">
        <f aca="false">SQRT(($B451-AA$401)^2+($C451-AA$402)^2+($D451-AA$403)^2)</f>
        <v>1.78474199217</v>
      </c>
      <c r="AB451" s="17" t="n">
        <f aca="false">SQRT(($B451-AB$401)^2+($C451-AB$402)^2+($D451-AB$403)^2)</f>
        <v>4.08605568902378</v>
      </c>
      <c r="AC451" s="17" t="n">
        <f aca="false">SQRT(($B451-AC$401)^2+($C451-AC$402)^2+($D451-AC$403)^2)</f>
        <v>1.1026895359744</v>
      </c>
      <c r="AD451" s="63" t="n">
        <f aca="false">MATCH(MIN(X451:AC451),X451:AC451,0)</f>
        <v>6</v>
      </c>
      <c r="AF451" s="17" t="n">
        <f aca="false">SQRT(($B451-AF$401)^2+($C451-AF$402)^2+($D451-AF$403)^2)</f>
        <v>6.14841831102961</v>
      </c>
      <c r="AG451" s="17" t="n">
        <f aca="false">SQRT(($B451-AG$401)^2+($C451-AG$402)^2+($D451-AG$403)^2)</f>
        <v>2.25427531305553</v>
      </c>
      <c r="AH451" s="17" t="n">
        <f aca="false">SQRT(($B451-AH$401)^2+($C451-AH$402)^2+($D451-AH$403)^2)</f>
        <v>1.65424723912685</v>
      </c>
      <c r="AI451" s="17" t="n">
        <f aca="false">SQRT(($B451-AI$401)^2+($C451-AI$402)^2+($D451-AI$403)^2)</f>
        <v>1.38166749638138</v>
      </c>
      <c r="AJ451" s="17" t="n">
        <f aca="false">SQRT(($B451-AJ$401)^2+($C451-AJ$402)^2+($D451-AJ$403)^2)</f>
        <v>3.91220862428703</v>
      </c>
      <c r="AK451" s="17" t="n">
        <f aca="false">SQRT(($B451-AK$401)^2+($C451-AK$402)^2+($D451-AK$403)^2)</f>
        <v>0.685469167235731</v>
      </c>
      <c r="AL451" s="63" t="n">
        <f aca="false">MATCH(MIN(AF451:AK451),AF451:AK451,0)</f>
        <v>6</v>
      </c>
      <c r="AN451" s="17" t="n">
        <f aca="false">SQRT(($B451-AN$401)^2+($C451-AN$402)^2+($D451-AN$403)^2)</f>
        <v>6.14841831102961</v>
      </c>
      <c r="AO451" s="17" t="n">
        <f aca="false">SQRT(($B451-AO$401)^2+($C451-AO$402)^2+($D451-AO$403)^2)</f>
        <v>2.20890874664778</v>
      </c>
      <c r="AP451" s="17" t="n">
        <f aca="false">SQRT(($B451-AP$401)^2+($C451-AP$402)^2+($D451-AP$403)^2)</f>
        <v>1.63265880592915</v>
      </c>
      <c r="AQ451" s="17" t="n">
        <f aca="false">SQRT(($B451-AQ$401)^2+($C451-AQ$402)^2+($D451-AQ$403)^2)</f>
        <v>1.38531015273366</v>
      </c>
      <c r="AR451" s="17" t="n">
        <f aca="false">SQRT(($B451-AR$401)^2+($C451-AR$402)^2+($D451-AR$403)^2)</f>
        <v>3.91220862428703</v>
      </c>
      <c r="AS451" s="17" t="n">
        <f aca="false">SQRT(($B451-AS$401)^2+($C451-AS$402)^2+($D451-AS$403)^2)</f>
        <v>0.646553049203915</v>
      </c>
      <c r="AT451" s="63" t="n">
        <f aca="false">MATCH(MIN(AN451:AS451),AN451:AS451,0)</f>
        <v>6</v>
      </c>
      <c r="AV451" s="17" t="n">
        <f aca="false">SQRT(($B451-AV$401)^2+($C451-AV$402)^2+($D451-AV$403)^2)</f>
        <v>6.14841831102961</v>
      </c>
      <c r="AW451" s="17" t="n">
        <f aca="false">SQRT(($B451-AW$401)^2+($C451-AW$402)^2+($D451-AW$403)^2)</f>
        <v>2.17712524562161</v>
      </c>
      <c r="AX451" s="17" t="n">
        <f aca="false">SQRT(($B451-AX$401)^2+($C451-AX$402)^2+($D451-AX$403)^2)</f>
        <v>1.63265880592915</v>
      </c>
      <c r="AY451" s="17" t="n">
        <f aca="false">SQRT(($B451-AY$401)^2+($C451-AY$402)^2+($D451-AY$403)^2)</f>
        <v>1.38531015273366</v>
      </c>
      <c r="AZ451" s="17" t="n">
        <f aca="false">SQRT(($B451-AZ$401)^2+($C451-AZ$402)^2+($D451-AZ$403)^2)</f>
        <v>3.91220862428703</v>
      </c>
      <c r="BA451" s="17" t="n">
        <f aca="false">SQRT(($B451-BA$401)^2+($C451-BA$402)^2+($D451-BA$403)^2)</f>
        <v>0.629155519681317</v>
      </c>
      <c r="BB451" s="63" t="n">
        <f aca="false">MATCH(MIN(AV451:BA451),AV451:BA451,0)</f>
        <v>6</v>
      </c>
      <c r="BD451" s="17" t="n">
        <f aca="false">SQRT(($B451-BD$401)^2+($C451-BD$402)^2+($D451-BD$403)^2)</f>
        <v>6.14841831102961</v>
      </c>
      <c r="BE451" s="17" t="n">
        <f aca="false">SQRT(($B451-BE$401)^2+($C451-BE$402)^2+($D451-BE$403)^2)</f>
        <v>2.14663486638342</v>
      </c>
      <c r="BF451" s="17" t="n">
        <f aca="false">SQRT(($B451-BF$401)^2+($C451-BF$402)^2+($D451-BF$403)^2)</f>
        <v>1.63265880592915</v>
      </c>
      <c r="BG451" s="17" t="n">
        <f aca="false">SQRT(($B451-BG$401)^2+($C451-BG$402)^2+($D451-BG$403)^2)</f>
        <v>1.38531015273366</v>
      </c>
      <c r="BH451" s="17" t="n">
        <f aca="false">SQRT(($B451-BH$401)^2+($C451-BH$402)^2+($D451-BH$403)^2)</f>
        <v>3.91220862428703</v>
      </c>
      <c r="BI451" s="17" t="n">
        <f aca="false">SQRT(($B451-BI$401)^2+($C451-BI$402)^2+($D451-BI$403)^2)</f>
        <v>0.611563224884449</v>
      </c>
      <c r="BJ451" s="63" t="n">
        <f aca="false">MATCH(MIN(BD451:BI451),BD451:BI451,0)</f>
        <v>6</v>
      </c>
      <c r="BL451" s="17" t="n">
        <f aca="false">SQRT(($B451-BL$401)^2+($C451-BL$402)^2+($D451-BL$403)^2)</f>
        <v>6.14841831102961</v>
      </c>
      <c r="BM451" s="17" t="n">
        <f aca="false">SQRT(($B451-BM$401)^2+($C451-BM$402)^2+($D451-BM$403)^2)</f>
        <v>2.14663486638342</v>
      </c>
      <c r="BN451" s="17" t="n">
        <f aca="false">SQRT(($B451-BN$401)^2+($C451-BN$402)^2+($D451-BN$403)^2)</f>
        <v>1.63265880592915</v>
      </c>
      <c r="BO451" s="17" t="n">
        <f aca="false">SQRT(($B451-BO$401)^2+($C451-BO$402)^2+($D451-BO$403)^2)</f>
        <v>1.38531015273366</v>
      </c>
      <c r="BP451" s="17" t="n">
        <f aca="false">SQRT(($B451-BP$401)^2+($C451-BP$402)^2+($D451-BP$403)^2)</f>
        <v>3.91220862428703</v>
      </c>
      <c r="BQ451" s="17" t="n">
        <f aca="false">SQRT(($B451-BQ$401)^2+($C451-BQ$402)^2+($D451-BQ$403)^2)</f>
        <v>0.611563224884449</v>
      </c>
      <c r="BR451" s="63" t="n">
        <f aca="false">MATCH(MIN(BL451:BQ451),BL451:BQ451,0)</f>
        <v>6</v>
      </c>
      <c r="BT451" s="17" t="n">
        <f aca="false">SQRT(($B451-BT$401)^2+($C451-BT$402)^2+($D451-BT$403)^2)</f>
        <v>6.14841831102961</v>
      </c>
      <c r="BU451" s="17" t="n">
        <f aca="false">SQRT(($B451-BU$401)^2+($C451-BU$402)^2+($D451-BU$403)^2)</f>
        <v>2.14663486638342</v>
      </c>
      <c r="BV451" s="17" t="n">
        <f aca="false">SQRT(($B451-BV$401)^2+($C451-BV$402)^2+($D451-BV$403)^2)</f>
        <v>1.63265880592915</v>
      </c>
      <c r="BW451" s="17" t="n">
        <f aca="false">SQRT(($B451-BW$401)^2+($C451-BW$402)^2+($D451-BW$403)^2)</f>
        <v>1.38531015273366</v>
      </c>
      <c r="BX451" s="17" t="n">
        <f aca="false">SQRT(($B451-BX$401)^2+($C451-BX$402)^2+($D451-BX$403)^2)</f>
        <v>3.91220862428703</v>
      </c>
      <c r="BY451" s="17" t="n">
        <f aca="false">SQRT(($B451-BY$401)^2+($C451-BY$402)^2+($D451-BY$403)^2)</f>
        <v>0.611563224884449</v>
      </c>
      <c r="BZ451" s="63" t="n">
        <f aca="false">MATCH(MIN(BT451:BY451),BT451:BY451,0)</f>
        <v>6</v>
      </c>
      <c r="CB451" s="17" t="n">
        <f aca="false">SQRT(($B451-CB$401)^2+($C451-CB$402)^2+($D451-CB$403)^2)</f>
        <v>6.14841831102961</v>
      </c>
      <c r="CC451" s="17" t="n">
        <f aca="false">SQRT(($B451-CC$401)^2+($C451-CC$402)^2+($D451-CC$403)^2)</f>
        <v>2.14663486638342</v>
      </c>
      <c r="CD451" s="17" t="n">
        <f aca="false">SQRT(($B451-CD$401)^2+($C451-CD$402)^2+($D451-CD$403)^2)</f>
        <v>1.63265880592915</v>
      </c>
      <c r="CE451" s="17" t="n">
        <f aca="false">SQRT(($B451-CE$401)^2+($C451-CE$402)^2+($D451-CE$403)^2)</f>
        <v>1.38531015273366</v>
      </c>
      <c r="CF451" s="17" t="n">
        <f aca="false">SQRT(($B451-CF$401)^2+($C451-CF$402)^2+($D451-CF$403)^2)</f>
        <v>3.91220862428703</v>
      </c>
      <c r="CG451" s="17" t="n">
        <f aca="false">SQRT(($B451-CG$401)^2+($C451-CG$402)^2+($D451-CG$403)^2)</f>
        <v>0.611563224884449</v>
      </c>
      <c r="CH451" s="63" t="n">
        <f aca="false">MATCH(MIN(CB451:CG451),CB451:CG451,0)</f>
        <v>6</v>
      </c>
      <c r="CJ451" s="17" t="n">
        <f aca="false">SQRT(($B451-CJ$401)^2+($C451-CJ$402)^2+($D451-CJ$403)^2)</f>
        <v>6.14841831102961</v>
      </c>
      <c r="CK451" s="17" t="n">
        <f aca="false">SQRT(($B451-CK$401)^2+($C451-CK$402)^2+($D451-CK$403)^2)</f>
        <v>2.14663486638342</v>
      </c>
      <c r="CL451" s="17" t="n">
        <f aca="false">SQRT(($B451-CL$401)^2+($C451-CL$402)^2+($D451-CL$403)^2)</f>
        <v>1.63265880592915</v>
      </c>
      <c r="CM451" s="17" t="n">
        <f aca="false">SQRT(($B451-CM$401)^2+($C451-CM$402)^2+($D451-CM$403)^2)</f>
        <v>1.38531015273366</v>
      </c>
      <c r="CN451" s="17" t="n">
        <f aca="false">SQRT(($B451-CN$401)^2+($C451-CN$402)^2+($D451-CN$403)^2)</f>
        <v>3.91220862428703</v>
      </c>
      <c r="CO451" s="17" t="n">
        <f aca="false">SQRT(($B451-CO$401)^2+($C451-CO$402)^2+($D451-CO$403)^2)</f>
        <v>0.611563224884449</v>
      </c>
      <c r="CP451" s="63" t="n">
        <f aca="false">MATCH(MIN(CJ451:CO451),CJ451:CO451,0)</f>
        <v>6</v>
      </c>
      <c r="CR451" s="17" t="n">
        <f aca="false">SQRT(($B451-CR$401)^2+($C451-CR$402)^2+($D451-CR$403)^2)</f>
        <v>6.14841831102961</v>
      </c>
      <c r="CS451" s="17" t="n">
        <f aca="false">SQRT(($B451-CS$401)^2+($C451-CS$402)^2+($D451-CS$403)^2)</f>
        <v>2.14663486638342</v>
      </c>
      <c r="CT451" s="17" t="n">
        <f aca="false">SQRT(($B451-CT$401)^2+($C451-CT$402)^2+($D451-CT$403)^2)</f>
        <v>1.63265880592915</v>
      </c>
      <c r="CU451" s="17" t="n">
        <f aca="false">SQRT(($B451-CU$401)^2+($C451-CU$402)^2+($D451-CU$403)^2)</f>
        <v>1.38531015273366</v>
      </c>
      <c r="CV451" s="17" t="n">
        <f aca="false">SQRT(($B451-CV$401)^2+($C451-CV$402)^2+($D451-CV$403)^2)</f>
        <v>3.91220862428703</v>
      </c>
      <c r="CW451" s="17" t="n">
        <f aca="false">SQRT(($B451-CW$401)^2+($C451-CW$402)^2+($D451-CW$403)^2)</f>
        <v>0.611563224884449</v>
      </c>
      <c r="CX451" s="63" t="n">
        <f aca="false">MATCH(MIN(CR451:CW451),CR451:CW451,0)</f>
        <v>6</v>
      </c>
      <c r="CZ451" s="17" t="n">
        <f aca="false">SQRT(($B451-CZ$401)^2+($C451-CZ$402)^2+($D451-CZ$403)^2)</f>
        <v>6.14841831102961</v>
      </c>
      <c r="DA451" s="17" t="n">
        <f aca="false">SQRT(($B451-DA$401)^2+($C451-DA$402)^2+($D451-DA$403)^2)</f>
        <v>2.14663486638342</v>
      </c>
      <c r="DB451" s="17" t="n">
        <f aca="false">SQRT(($B451-DB$401)^2+($C451-DB$402)^2+($D451-DB$403)^2)</f>
        <v>1.63265880592915</v>
      </c>
      <c r="DC451" s="17" t="n">
        <f aca="false">SQRT(($B451-DC$401)^2+($C451-DC$402)^2+($D451-DC$403)^2)</f>
        <v>1.38531015273366</v>
      </c>
      <c r="DD451" s="17" t="n">
        <f aca="false">SQRT(($B451-DD$401)^2+($C451-DD$402)^2+($D451-DD$403)^2)</f>
        <v>3.91220862428703</v>
      </c>
      <c r="DE451" s="17" t="n">
        <f aca="false">SQRT(($B451-DE$401)^2+($C451-DE$402)^2+($D451-DE$403)^2)</f>
        <v>0.611563224884449</v>
      </c>
      <c r="DF451" s="63" t="n">
        <f aca="false">MATCH(MIN(CZ451:DE451),CZ451:DE451,0)</f>
        <v>6</v>
      </c>
      <c r="DH451" s="17" t="n">
        <f aca="false">SQRT(($B451-DH$401)^2+($C451-DH$402)^2+($D451-DH$403)^2)</f>
        <v>6.14841831102961</v>
      </c>
      <c r="DI451" s="17" t="n">
        <f aca="false">SQRT(($B451-DI$401)^2+($C451-DI$402)^2+($D451-DI$403)^2)</f>
        <v>2.14663486638342</v>
      </c>
      <c r="DJ451" s="17" t="n">
        <f aca="false">SQRT(($B451-DJ$401)^2+($C451-DJ$402)^2+($D451-DJ$403)^2)</f>
        <v>1.63265880592915</v>
      </c>
      <c r="DK451" s="17" t="n">
        <f aca="false">SQRT(($B451-DK$401)^2+($C451-DK$402)^2+($D451-DK$403)^2)</f>
        <v>1.38531015273366</v>
      </c>
      <c r="DL451" s="17" t="n">
        <f aca="false">SQRT(($B451-DL$401)^2+($C451-DL$402)^2+($D451-DL$403)^2)</f>
        <v>3.91220862428703</v>
      </c>
      <c r="DM451" s="17" t="n">
        <f aca="false">SQRT(($B451-DM$401)^2+($C451-DM$402)^2+($D451-DM$403)^2)</f>
        <v>0.611563224884449</v>
      </c>
      <c r="DN451" s="63" t="n">
        <f aca="false">MATCH(MIN(DH451:DM451),DH451:DM451,0)</f>
        <v>6</v>
      </c>
    </row>
    <row r="452" customFormat="false" ht="15" hidden="false" customHeight="false" outlineLevel="0" collapsed="false">
      <c r="A452" s="36" t="str">
        <f aca="false">KMeans_Data!A49</f>
        <v>Gujranwala</v>
      </c>
      <c r="B452" s="17" t="n">
        <f aca="false">KMeans_Data!H49</f>
        <v>0.238616233785713</v>
      </c>
      <c r="C452" s="17" t="n">
        <f aca="false">KMeans_Data!I49</f>
        <v>-0.672650545388274</v>
      </c>
      <c r="D452" s="17" t="n">
        <f aca="false">KMeans_Data!J49</f>
        <v>-0.824446015898766</v>
      </c>
      <c r="E452" s="63" t="n">
        <f aca="false">DN452</f>
        <v>4</v>
      </c>
      <c r="F452" s="38" t="n">
        <f aca="false">($B452-INDEX($L$401:$Q$401,E452))^2+($C452-INDEX($L$402:$Q$402,E452))^2+($D452-INDEX($L$403:$Q$403,E452))^2</f>
        <v>0.0224322339858848</v>
      </c>
      <c r="G452" s="17" t="n">
        <f aca="false">IF(COUNTIF(Distance_Matrix!$E$12:$DQ$12,$E452)&lt;=1,0,SUMIF(Distance_Matrix!$E$12:$DQ$12,$E452,Distance_Matrix!$E$58:$DQ$58)/(COUNTIF(Distance_Matrix!$E$12:$DQ$12,$E452)-1))</f>
        <v>0.594683766219317</v>
      </c>
      <c r="H452" s="17" t="n">
        <f aca="false">MIN(IF(1=$E452,1E+099,IF(COUNTIF(Distance_Matrix!$E$12:$DQ$12,1)=0,1E+099,SUMIF(Distance_Matrix!$E$12:$DQ$12,1,Distance_Matrix!$E$58:$DQ$58)/COUNTIF(Distance_Matrix!$E$12:$DQ$12,1))),IF(2=$E452,1E+099,IF(COUNTIF(Distance_Matrix!$E$12:$DQ$12,2)=0,1E+099,SUMIF(Distance_Matrix!$E$12:$DQ$12,2,Distance_Matrix!$E$58:$DQ$58)/COUNTIF(Distance_Matrix!$E$12:$DQ$12,2))),IF(3=$E452,1E+099,IF(COUNTIF(Distance_Matrix!$E$12:$DQ$12,3)=0,1E+099,SUMIF(Distance_Matrix!$E$12:$DQ$12,3,Distance_Matrix!$E$58:$DQ$58)/COUNTIF(Distance_Matrix!$E$12:$DQ$12,3))),IF(4=$E452,1E+099,IF(COUNTIF(Distance_Matrix!$E$12:$DQ$12,4)=0,1E+099,SUMIF(Distance_Matrix!$E$12:$DQ$12,4,Distance_Matrix!$E$58:$DQ$58)/COUNTIF(Distance_Matrix!$E$12:$DQ$12,4))),IF(5=$E452,1E+099,IF(COUNTIF(Distance_Matrix!$E$12:$DQ$12,5)=0,1E+099,SUMIF(Distance_Matrix!$E$12:$DQ$12,5,Distance_Matrix!$E$58:$DQ$58)/COUNTIF(Distance_Matrix!$E$12:$DQ$12,5))),IF(6=$E452,1E+099,IF(COUNTIF(Distance_Matrix!$E$12:$DQ$12,6)=0,1E+099,SUMIF(Distance_Matrix!$E$12:$DQ$12,6,Distance_Matrix!$E$58:$DQ$58)/COUNTIF(Distance_Matrix!$E$12:$DQ$12,6))))</f>
        <v>1.3098124349294</v>
      </c>
      <c r="I452" s="17" t="n">
        <f aca="false">IF(COUNTIF(Distance_Matrix!$E$12:$DQ$12,$E452)&lt;=1,0,(H452-G452)/MAX(G452,H452))</f>
        <v>0.545977919921512</v>
      </c>
      <c r="X452" s="17" t="n">
        <f aca="false">SQRT(($B452-X$401)^2+($C452-X$402)^2+($D452-X$403)^2)</f>
        <v>6.93086632696364</v>
      </c>
      <c r="Y452" s="17" t="n">
        <f aca="false">SQRT(($B452-Y$401)^2+($C452-Y$402)^2+($D452-Y$403)^2)</f>
        <v>2.34049876920762</v>
      </c>
      <c r="Z452" s="17" t="n">
        <f aca="false">SQRT(($B452-Z$401)^2+($C452-Z$402)^2+($D452-Z$403)^2)</f>
        <v>2.64756474909866</v>
      </c>
      <c r="AA452" s="17" t="n">
        <f aca="false">SQRT(($B452-AA$401)^2+($C452-AA$402)^2+($D452-AA$403)^2)</f>
        <v>0.738369626853435</v>
      </c>
      <c r="AB452" s="17" t="n">
        <f aca="false">SQRT(($B452-AB$401)^2+($C452-AB$402)^2+($D452-AB$403)^2)</f>
        <v>4.85189739115915</v>
      </c>
      <c r="AC452" s="17" t="n">
        <f aca="false">SQRT(($B452-AC$401)^2+($C452-AC$402)^2+($D452-AC$403)^2)</f>
        <v>1.81109694878002</v>
      </c>
      <c r="AD452" s="63" t="n">
        <f aca="false">MATCH(MIN(X452:AC452),X452:AC452,0)</f>
        <v>4</v>
      </c>
      <c r="AF452" s="17" t="n">
        <f aca="false">SQRT(($B452-AF$401)^2+($C452-AF$402)^2+($D452-AF$403)^2)</f>
        <v>6.80235323612876</v>
      </c>
      <c r="AG452" s="17" t="n">
        <f aca="false">SQRT(($B452-AG$401)^2+($C452-AG$402)^2+($D452-AG$403)^2)</f>
        <v>1.58289817266593</v>
      </c>
      <c r="AH452" s="17" t="n">
        <f aca="false">SQRT(($B452-AH$401)^2+($C452-AH$402)^2+($D452-AH$403)^2)</f>
        <v>2.3878563026735</v>
      </c>
      <c r="AI452" s="17" t="n">
        <f aca="false">SQRT(($B452-AI$401)^2+($C452-AI$402)^2+($D452-AI$403)^2)</f>
        <v>0.16796979043686</v>
      </c>
      <c r="AJ452" s="17" t="n">
        <f aca="false">SQRT(($B452-AJ$401)^2+($C452-AJ$402)^2+($D452-AJ$403)^2)</f>
        <v>4.53603141458384</v>
      </c>
      <c r="AK452" s="17" t="n">
        <f aca="false">SQRT(($B452-AK$401)^2+($C452-AK$402)^2+($D452-AK$403)^2)</f>
        <v>1.15143484688309</v>
      </c>
      <c r="AL452" s="63" t="n">
        <f aca="false">MATCH(MIN(AF452:AK452),AF452:AK452,0)</f>
        <v>4</v>
      </c>
      <c r="AN452" s="17" t="n">
        <f aca="false">SQRT(($B452-AN$401)^2+($C452-AN$402)^2+($D452-AN$403)^2)</f>
        <v>6.80235323612876</v>
      </c>
      <c r="AO452" s="17" t="n">
        <f aca="false">SQRT(($B452-AO$401)^2+($C452-AO$402)^2+($D452-AO$403)^2)</f>
        <v>1.53711312322041</v>
      </c>
      <c r="AP452" s="17" t="n">
        <f aca="false">SQRT(($B452-AP$401)^2+($C452-AP$402)^2+($D452-AP$403)^2)</f>
        <v>2.36409680936323</v>
      </c>
      <c r="AQ452" s="17" t="n">
        <f aca="false">SQRT(($B452-AQ$401)^2+($C452-AQ$402)^2+($D452-AQ$403)^2)</f>
        <v>0.149773942946979</v>
      </c>
      <c r="AR452" s="17" t="n">
        <f aca="false">SQRT(($B452-AR$401)^2+($C452-AR$402)^2+($D452-AR$403)^2)</f>
        <v>4.53603141458384</v>
      </c>
      <c r="AS452" s="17" t="n">
        <f aca="false">SQRT(($B452-AS$401)^2+($C452-AS$402)^2+($D452-AS$403)^2)</f>
        <v>1.15584713747958</v>
      </c>
      <c r="AT452" s="63" t="n">
        <f aca="false">MATCH(MIN(AN452:AS452),AN452:AS452,0)</f>
        <v>4</v>
      </c>
      <c r="AV452" s="17" t="n">
        <f aca="false">SQRT(($B452-AV$401)^2+($C452-AV$402)^2+($D452-AV$403)^2)</f>
        <v>6.80235323612876</v>
      </c>
      <c r="AW452" s="17" t="n">
        <f aca="false">SQRT(($B452-AW$401)^2+($C452-AW$402)^2+($D452-AW$403)^2)</f>
        <v>1.51440874271191</v>
      </c>
      <c r="AX452" s="17" t="n">
        <f aca="false">SQRT(($B452-AX$401)^2+($C452-AX$402)^2+($D452-AX$403)^2)</f>
        <v>2.36409680936323</v>
      </c>
      <c r="AY452" s="17" t="n">
        <f aca="false">SQRT(($B452-AY$401)^2+($C452-AY$402)^2+($D452-AY$403)^2)</f>
        <v>0.149773942946979</v>
      </c>
      <c r="AZ452" s="17" t="n">
        <f aca="false">SQRT(($B452-AZ$401)^2+($C452-AZ$402)^2+($D452-AZ$403)^2)</f>
        <v>4.53603141458384</v>
      </c>
      <c r="BA452" s="17" t="n">
        <f aca="false">SQRT(($B452-BA$401)^2+($C452-BA$402)^2+($D452-BA$403)^2)</f>
        <v>1.1673123145747</v>
      </c>
      <c r="BB452" s="63" t="n">
        <f aca="false">MATCH(MIN(AV452:BA452),AV452:BA452,0)</f>
        <v>4</v>
      </c>
      <c r="BD452" s="17" t="n">
        <f aca="false">SQRT(($B452-BD$401)^2+($C452-BD$402)^2+($D452-BD$403)^2)</f>
        <v>6.80235323612876</v>
      </c>
      <c r="BE452" s="17" t="n">
        <f aca="false">SQRT(($B452-BE$401)^2+($C452-BE$402)^2+($D452-BE$403)^2)</f>
        <v>1.49494129429577</v>
      </c>
      <c r="BF452" s="17" t="n">
        <f aca="false">SQRT(($B452-BF$401)^2+($C452-BF$402)^2+($D452-BF$403)^2)</f>
        <v>2.36409680936323</v>
      </c>
      <c r="BG452" s="17" t="n">
        <f aca="false">SQRT(($B452-BG$401)^2+($C452-BG$402)^2+($D452-BG$403)^2)</f>
        <v>0.149773942946979</v>
      </c>
      <c r="BH452" s="17" t="n">
        <f aca="false">SQRT(($B452-BH$401)^2+($C452-BH$402)^2+($D452-BH$403)^2)</f>
        <v>4.53603141458384</v>
      </c>
      <c r="BI452" s="17" t="n">
        <f aca="false">SQRT(($B452-BI$401)^2+($C452-BI$402)^2+($D452-BI$403)^2)</f>
        <v>1.17713657940816</v>
      </c>
      <c r="BJ452" s="63" t="n">
        <f aca="false">MATCH(MIN(BD452:BI452),BD452:BI452,0)</f>
        <v>4</v>
      </c>
      <c r="BL452" s="17" t="n">
        <f aca="false">SQRT(($B452-BL$401)^2+($C452-BL$402)^2+($D452-BL$403)^2)</f>
        <v>6.80235323612876</v>
      </c>
      <c r="BM452" s="17" t="n">
        <f aca="false">SQRT(($B452-BM$401)^2+($C452-BM$402)^2+($D452-BM$403)^2)</f>
        <v>1.49494129429577</v>
      </c>
      <c r="BN452" s="17" t="n">
        <f aca="false">SQRT(($B452-BN$401)^2+($C452-BN$402)^2+($D452-BN$403)^2)</f>
        <v>2.36409680936323</v>
      </c>
      <c r="BO452" s="17" t="n">
        <f aca="false">SQRT(($B452-BO$401)^2+($C452-BO$402)^2+($D452-BO$403)^2)</f>
        <v>0.149773942946979</v>
      </c>
      <c r="BP452" s="17" t="n">
        <f aca="false">SQRT(($B452-BP$401)^2+($C452-BP$402)^2+($D452-BP$403)^2)</f>
        <v>4.53603141458384</v>
      </c>
      <c r="BQ452" s="17" t="n">
        <f aca="false">SQRT(($B452-BQ$401)^2+($C452-BQ$402)^2+($D452-BQ$403)^2)</f>
        <v>1.17713657940816</v>
      </c>
      <c r="BR452" s="63" t="n">
        <f aca="false">MATCH(MIN(BL452:BQ452),BL452:BQ452,0)</f>
        <v>4</v>
      </c>
      <c r="BT452" s="17" t="n">
        <f aca="false">SQRT(($B452-BT$401)^2+($C452-BT$402)^2+($D452-BT$403)^2)</f>
        <v>6.80235323612876</v>
      </c>
      <c r="BU452" s="17" t="n">
        <f aca="false">SQRT(($B452-BU$401)^2+($C452-BU$402)^2+($D452-BU$403)^2)</f>
        <v>1.49494129429577</v>
      </c>
      <c r="BV452" s="17" t="n">
        <f aca="false">SQRT(($B452-BV$401)^2+($C452-BV$402)^2+($D452-BV$403)^2)</f>
        <v>2.36409680936323</v>
      </c>
      <c r="BW452" s="17" t="n">
        <f aca="false">SQRT(($B452-BW$401)^2+($C452-BW$402)^2+($D452-BW$403)^2)</f>
        <v>0.149773942946979</v>
      </c>
      <c r="BX452" s="17" t="n">
        <f aca="false">SQRT(($B452-BX$401)^2+($C452-BX$402)^2+($D452-BX$403)^2)</f>
        <v>4.53603141458384</v>
      </c>
      <c r="BY452" s="17" t="n">
        <f aca="false">SQRT(($B452-BY$401)^2+($C452-BY$402)^2+($D452-BY$403)^2)</f>
        <v>1.17713657940816</v>
      </c>
      <c r="BZ452" s="63" t="n">
        <f aca="false">MATCH(MIN(BT452:BY452),BT452:BY452,0)</f>
        <v>4</v>
      </c>
      <c r="CB452" s="17" t="n">
        <f aca="false">SQRT(($B452-CB$401)^2+($C452-CB$402)^2+($D452-CB$403)^2)</f>
        <v>6.80235323612876</v>
      </c>
      <c r="CC452" s="17" t="n">
        <f aca="false">SQRT(($B452-CC$401)^2+($C452-CC$402)^2+($D452-CC$403)^2)</f>
        <v>1.49494129429577</v>
      </c>
      <c r="CD452" s="17" t="n">
        <f aca="false">SQRT(($B452-CD$401)^2+($C452-CD$402)^2+($D452-CD$403)^2)</f>
        <v>2.36409680936323</v>
      </c>
      <c r="CE452" s="17" t="n">
        <f aca="false">SQRT(($B452-CE$401)^2+($C452-CE$402)^2+($D452-CE$403)^2)</f>
        <v>0.149773942946979</v>
      </c>
      <c r="CF452" s="17" t="n">
        <f aca="false">SQRT(($B452-CF$401)^2+($C452-CF$402)^2+($D452-CF$403)^2)</f>
        <v>4.53603141458384</v>
      </c>
      <c r="CG452" s="17" t="n">
        <f aca="false">SQRT(($B452-CG$401)^2+($C452-CG$402)^2+($D452-CG$403)^2)</f>
        <v>1.17713657940816</v>
      </c>
      <c r="CH452" s="63" t="n">
        <f aca="false">MATCH(MIN(CB452:CG452),CB452:CG452,0)</f>
        <v>4</v>
      </c>
      <c r="CJ452" s="17" t="n">
        <f aca="false">SQRT(($B452-CJ$401)^2+($C452-CJ$402)^2+($D452-CJ$403)^2)</f>
        <v>6.80235323612876</v>
      </c>
      <c r="CK452" s="17" t="n">
        <f aca="false">SQRT(($B452-CK$401)^2+($C452-CK$402)^2+($D452-CK$403)^2)</f>
        <v>1.49494129429577</v>
      </c>
      <c r="CL452" s="17" t="n">
        <f aca="false">SQRT(($B452-CL$401)^2+($C452-CL$402)^2+($D452-CL$403)^2)</f>
        <v>2.36409680936323</v>
      </c>
      <c r="CM452" s="17" t="n">
        <f aca="false">SQRT(($B452-CM$401)^2+($C452-CM$402)^2+($D452-CM$403)^2)</f>
        <v>0.149773942946979</v>
      </c>
      <c r="CN452" s="17" t="n">
        <f aca="false">SQRT(($B452-CN$401)^2+($C452-CN$402)^2+($D452-CN$403)^2)</f>
        <v>4.53603141458384</v>
      </c>
      <c r="CO452" s="17" t="n">
        <f aca="false">SQRT(($B452-CO$401)^2+($C452-CO$402)^2+($D452-CO$403)^2)</f>
        <v>1.17713657940816</v>
      </c>
      <c r="CP452" s="63" t="n">
        <f aca="false">MATCH(MIN(CJ452:CO452),CJ452:CO452,0)</f>
        <v>4</v>
      </c>
      <c r="CR452" s="17" t="n">
        <f aca="false">SQRT(($B452-CR$401)^2+($C452-CR$402)^2+($D452-CR$403)^2)</f>
        <v>6.80235323612876</v>
      </c>
      <c r="CS452" s="17" t="n">
        <f aca="false">SQRT(($B452-CS$401)^2+($C452-CS$402)^2+($D452-CS$403)^2)</f>
        <v>1.49494129429577</v>
      </c>
      <c r="CT452" s="17" t="n">
        <f aca="false">SQRT(($B452-CT$401)^2+($C452-CT$402)^2+($D452-CT$403)^2)</f>
        <v>2.36409680936323</v>
      </c>
      <c r="CU452" s="17" t="n">
        <f aca="false">SQRT(($B452-CU$401)^2+($C452-CU$402)^2+($D452-CU$403)^2)</f>
        <v>0.149773942946979</v>
      </c>
      <c r="CV452" s="17" t="n">
        <f aca="false">SQRT(($B452-CV$401)^2+($C452-CV$402)^2+($D452-CV$403)^2)</f>
        <v>4.53603141458384</v>
      </c>
      <c r="CW452" s="17" t="n">
        <f aca="false">SQRT(($B452-CW$401)^2+($C452-CW$402)^2+($D452-CW$403)^2)</f>
        <v>1.17713657940816</v>
      </c>
      <c r="CX452" s="63" t="n">
        <f aca="false">MATCH(MIN(CR452:CW452),CR452:CW452,0)</f>
        <v>4</v>
      </c>
      <c r="CZ452" s="17" t="n">
        <f aca="false">SQRT(($B452-CZ$401)^2+($C452-CZ$402)^2+($D452-CZ$403)^2)</f>
        <v>6.80235323612876</v>
      </c>
      <c r="DA452" s="17" t="n">
        <f aca="false">SQRT(($B452-DA$401)^2+($C452-DA$402)^2+($D452-DA$403)^2)</f>
        <v>1.49494129429577</v>
      </c>
      <c r="DB452" s="17" t="n">
        <f aca="false">SQRT(($B452-DB$401)^2+($C452-DB$402)^2+($D452-DB$403)^2)</f>
        <v>2.36409680936323</v>
      </c>
      <c r="DC452" s="17" t="n">
        <f aca="false">SQRT(($B452-DC$401)^2+($C452-DC$402)^2+($D452-DC$403)^2)</f>
        <v>0.149773942946979</v>
      </c>
      <c r="DD452" s="17" t="n">
        <f aca="false">SQRT(($B452-DD$401)^2+($C452-DD$402)^2+($D452-DD$403)^2)</f>
        <v>4.53603141458384</v>
      </c>
      <c r="DE452" s="17" t="n">
        <f aca="false">SQRT(($B452-DE$401)^2+($C452-DE$402)^2+($D452-DE$403)^2)</f>
        <v>1.17713657940816</v>
      </c>
      <c r="DF452" s="63" t="n">
        <f aca="false">MATCH(MIN(CZ452:DE452),CZ452:DE452,0)</f>
        <v>4</v>
      </c>
      <c r="DH452" s="17" t="n">
        <f aca="false">SQRT(($B452-DH$401)^2+($C452-DH$402)^2+($D452-DH$403)^2)</f>
        <v>6.80235323612876</v>
      </c>
      <c r="DI452" s="17" t="n">
        <f aca="false">SQRT(($B452-DI$401)^2+($C452-DI$402)^2+($D452-DI$403)^2)</f>
        <v>1.49494129429577</v>
      </c>
      <c r="DJ452" s="17" t="n">
        <f aca="false">SQRT(($B452-DJ$401)^2+($C452-DJ$402)^2+($D452-DJ$403)^2)</f>
        <v>2.36409680936323</v>
      </c>
      <c r="DK452" s="17" t="n">
        <f aca="false">SQRT(($B452-DK$401)^2+($C452-DK$402)^2+($D452-DK$403)^2)</f>
        <v>0.149773942946979</v>
      </c>
      <c r="DL452" s="17" t="n">
        <f aca="false">SQRT(($B452-DL$401)^2+($C452-DL$402)^2+($D452-DL$403)^2)</f>
        <v>4.53603141458384</v>
      </c>
      <c r="DM452" s="17" t="n">
        <f aca="false">SQRT(($B452-DM$401)^2+($C452-DM$402)^2+($D452-DM$403)^2)</f>
        <v>1.17713657940816</v>
      </c>
      <c r="DN452" s="63" t="n">
        <f aca="false">MATCH(MIN(DH452:DM452),DH452:DM452,0)</f>
        <v>4</v>
      </c>
    </row>
    <row r="453" customFormat="false" ht="15" hidden="false" customHeight="false" outlineLevel="0" collapsed="false">
      <c r="A453" s="36" t="str">
        <f aca="false">KMeans_Data!A50</f>
        <v>Bannu</v>
      </c>
      <c r="B453" s="17" t="n">
        <f aca="false">KMeans_Data!H50</f>
        <v>0.232528795764548</v>
      </c>
      <c r="C453" s="17" t="n">
        <f aca="false">KMeans_Data!I50</f>
        <v>0.160512589624996</v>
      </c>
      <c r="D453" s="17" t="n">
        <f aca="false">KMeans_Data!J50</f>
        <v>0.381616717142464</v>
      </c>
      <c r="E453" s="63" t="n">
        <f aca="false">DN453</f>
        <v>6</v>
      </c>
      <c r="F453" s="38" t="n">
        <f aca="false">($B453-INDEX($L$401:$Q$401,E453))^2+($C453-INDEX($L$402:$Q$402,E453))^2+($D453-INDEX($L$403:$Q$403,E453))^2</f>
        <v>0.478070173273833</v>
      </c>
      <c r="G453" s="17" t="n">
        <f aca="false">IF(COUNTIF(Distance_Matrix!$E$12:$DQ$12,$E453)&lt;=1,0,SUMIF(Distance_Matrix!$E$12:$DQ$12,$E453,Distance_Matrix!$E$59:$DQ$59)/(COUNTIF(Distance_Matrix!$E$12:$DQ$12,$E453)-1))</f>
        <v>0.899201493317483</v>
      </c>
      <c r="H453" s="17" t="n">
        <f aca="false">MIN(IF(1=$E453,1E+099,IF(COUNTIF(Distance_Matrix!$E$12:$DQ$12,1)=0,1E+099,SUMIF(Distance_Matrix!$E$12:$DQ$12,1,Distance_Matrix!$E$59:$DQ$59)/COUNTIF(Distance_Matrix!$E$12:$DQ$12,1))),IF(2=$E453,1E+099,IF(COUNTIF(Distance_Matrix!$E$12:$DQ$12,2)=0,1E+099,SUMIF(Distance_Matrix!$E$12:$DQ$12,2,Distance_Matrix!$E$59:$DQ$59)/COUNTIF(Distance_Matrix!$E$12:$DQ$12,2))),IF(3=$E453,1E+099,IF(COUNTIF(Distance_Matrix!$E$12:$DQ$12,3)=0,1E+099,SUMIF(Distance_Matrix!$E$12:$DQ$12,3,Distance_Matrix!$E$59:$DQ$59)/COUNTIF(Distance_Matrix!$E$12:$DQ$12,3))),IF(4=$E453,1E+099,IF(COUNTIF(Distance_Matrix!$E$12:$DQ$12,4)=0,1E+099,SUMIF(Distance_Matrix!$E$12:$DQ$12,4,Distance_Matrix!$E$59:$DQ$59)/COUNTIF(Distance_Matrix!$E$12:$DQ$12,4))),IF(5=$E453,1E+099,IF(COUNTIF(Distance_Matrix!$E$12:$DQ$12,5)=0,1E+099,SUMIF(Distance_Matrix!$E$12:$DQ$12,5,Distance_Matrix!$E$59:$DQ$59)/COUNTIF(Distance_Matrix!$E$12:$DQ$12,5))),IF(6=$E453,1E+099,IF(COUNTIF(Distance_Matrix!$E$12:$DQ$12,6)=0,1E+099,SUMIF(Distance_Matrix!$E$12:$DQ$12,6,Distance_Matrix!$E$59:$DQ$59)/COUNTIF(Distance_Matrix!$E$12:$DQ$12,6))))</f>
        <v>1.12707159263927</v>
      </c>
      <c r="I453" s="17" t="n">
        <f aca="false">IF(COUNTIF(Distance_Matrix!$E$12:$DQ$12,$E453)&lt;=1,0,(H453-G453)/MAX(G453,H453))</f>
        <v>0.202178903993295</v>
      </c>
      <c r="X453" s="17" t="n">
        <f aca="false">SQRT(($B453-X$401)^2+($C453-X$402)^2+($D453-X$403)^2)</f>
        <v>5.70413302159258</v>
      </c>
      <c r="Y453" s="17" t="n">
        <f aca="false">SQRT(($B453-Y$401)^2+($C453-Y$402)^2+($D453-Y$403)^2)</f>
        <v>2.89365929467502</v>
      </c>
      <c r="Z453" s="17" t="n">
        <f aca="false">SQRT(($B453-Z$401)^2+($C453-Z$402)^2+($D453-Z$403)^2)</f>
        <v>1.37141316387543</v>
      </c>
      <c r="AA453" s="17" t="n">
        <f aca="false">SQRT(($B453-AA$401)^2+($C453-AA$402)^2+($D453-AA$403)^2)</f>
        <v>1.61175911830142</v>
      </c>
      <c r="AB453" s="17" t="n">
        <f aca="false">SQRT(($B453-AB$401)^2+($C453-AB$402)^2+($D453-AB$403)^2)</f>
        <v>3.61397945367306</v>
      </c>
      <c r="AC453" s="17" t="n">
        <f aca="false">SQRT(($B453-AC$401)^2+($C453-AC$402)^2+($D453-AC$403)^2)</f>
        <v>1.01818486659476</v>
      </c>
      <c r="AD453" s="63" t="n">
        <f aca="false">MATCH(MIN(X453:AC453),X453:AC453,0)</f>
        <v>6</v>
      </c>
      <c r="AF453" s="17" t="n">
        <f aca="false">SQRT(($B453-AF$401)^2+($C453-AF$402)^2+($D453-AF$403)^2)</f>
        <v>5.60034755542815</v>
      </c>
      <c r="AG453" s="17" t="n">
        <f aca="false">SQRT(($B453-AG$401)^2+($C453-AG$402)^2+($D453-AG$403)^2)</f>
        <v>2.29156961814775</v>
      </c>
      <c r="AH453" s="17" t="n">
        <f aca="false">SQRT(($B453-AH$401)^2+($C453-AH$402)^2+($D453-AH$403)^2)</f>
        <v>1.03346932236735</v>
      </c>
      <c r="AI453" s="17" t="n">
        <f aca="false">SQRT(($B453-AI$401)^2+($C453-AI$402)^2+($D453-AI$403)^2)</f>
        <v>1.42321929841646</v>
      </c>
      <c r="AJ453" s="17" t="n">
        <f aca="false">SQRT(($B453-AJ$401)^2+($C453-AJ$402)^2+($D453-AJ$403)^2)</f>
        <v>3.33092018894696</v>
      </c>
      <c r="AK453" s="17" t="n">
        <f aca="false">SQRT(($B453-AK$401)^2+($C453-AK$402)^2+($D453-AK$403)^2)</f>
        <v>0.770636656701281</v>
      </c>
      <c r="AL453" s="63" t="n">
        <f aca="false">MATCH(MIN(AF453:AK453),AF453:AK453,0)</f>
        <v>6</v>
      </c>
      <c r="AN453" s="17" t="n">
        <f aca="false">SQRT(($B453-AN$401)^2+($C453-AN$402)^2+($D453-AN$403)^2)</f>
        <v>5.60034755542815</v>
      </c>
      <c r="AO453" s="17" t="n">
        <f aca="false">SQRT(($B453-AO$401)^2+($C453-AO$402)^2+($D453-AO$403)^2)</f>
        <v>2.24937500409384</v>
      </c>
      <c r="AP453" s="17" t="n">
        <f aca="false">SQRT(($B453-AP$401)^2+($C453-AP$402)^2+($D453-AP$403)^2)</f>
        <v>1.00422665295909</v>
      </c>
      <c r="AQ453" s="17" t="n">
        <f aca="false">SQRT(($B453-AQ$401)^2+($C453-AQ$402)^2+($D453-AQ$403)^2)</f>
        <v>1.44373631271791</v>
      </c>
      <c r="AR453" s="17" t="n">
        <f aca="false">SQRT(($B453-AR$401)^2+($C453-AR$402)^2+($D453-AR$403)^2)</f>
        <v>3.33092018894696</v>
      </c>
      <c r="AS453" s="17" t="n">
        <f aca="false">SQRT(($B453-AS$401)^2+($C453-AS$402)^2+($D453-AS$403)^2)</f>
        <v>0.735661466318383</v>
      </c>
      <c r="AT453" s="63" t="n">
        <f aca="false">MATCH(MIN(AN453:AS453),AN453:AS453,0)</f>
        <v>6</v>
      </c>
      <c r="AV453" s="17" t="n">
        <f aca="false">SQRT(($B453-AV$401)^2+($C453-AV$402)^2+($D453-AV$403)^2)</f>
        <v>5.60034755542815</v>
      </c>
      <c r="AW453" s="17" t="n">
        <f aca="false">SQRT(($B453-AW$401)^2+($C453-AW$402)^2+($D453-AW$403)^2)</f>
        <v>2.22023624740674</v>
      </c>
      <c r="AX453" s="17" t="n">
        <f aca="false">SQRT(($B453-AX$401)^2+($C453-AX$402)^2+($D453-AX$403)^2)</f>
        <v>1.00422665295909</v>
      </c>
      <c r="AY453" s="17" t="n">
        <f aca="false">SQRT(($B453-AY$401)^2+($C453-AY$402)^2+($D453-AY$403)^2)</f>
        <v>1.44373631271791</v>
      </c>
      <c r="AZ453" s="17" t="n">
        <f aca="false">SQRT(($B453-AZ$401)^2+($C453-AZ$402)^2+($D453-AZ$403)^2)</f>
        <v>3.33092018894696</v>
      </c>
      <c r="BA453" s="17" t="n">
        <f aca="false">SQRT(($B453-BA$401)^2+($C453-BA$402)^2+($D453-BA$403)^2)</f>
        <v>0.714176715512446</v>
      </c>
      <c r="BB453" s="63" t="n">
        <f aca="false">MATCH(MIN(AV453:BA453),AV453:BA453,0)</f>
        <v>6</v>
      </c>
      <c r="BD453" s="17" t="n">
        <f aca="false">SQRT(($B453-BD$401)^2+($C453-BD$402)^2+($D453-BD$403)^2)</f>
        <v>5.60034755542815</v>
      </c>
      <c r="BE453" s="17" t="n">
        <f aca="false">SQRT(($B453-BE$401)^2+($C453-BE$402)^2+($D453-BE$403)^2)</f>
        <v>2.19245425104867</v>
      </c>
      <c r="BF453" s="17" t="n">
        <f aca="false">SQRT(($B453-BF$401)^2+($C453-BF$402)^2+($D453-BF$403)^2)</f>
        <v>1.00422665295909</v>
      </c>
      <c r="BG453" s="17" t="n">
        <f aca="false">SQRT(($B453-BG$401)^2+($C453-BG$402)^2+($D453-BG$403)^2)</f>
        <v>1.44373631271791</v>
      </c>
      <c r="BH453" s="17" t="n">
        <f aca="false">SQRT(($B453-BH$401)^2+($C453-BH$402)^2+($D453-BH$403)^2)</f>
        <v>3.33092018894696</v>
      </c>
      <c r="BI453" s="17" t="n">
        <f aca="false">SQRT(($B453-BI$401)^2+($C453-BI$402)^2+($D453-BI$403)^2)</f>
        <v>0.691426187871007</v>
      </c>
      <c r="BJ453" s="63" t="n">
        <f aca="false">MATCH(MIN(BD453:BI453),BD453:BI453,0)</f>
        <v>6</v>
      </c>
      <c r="BL453" s="17" t="n">
        <f aca="false">SQRT(($B453-BL$401)^2+($C453-BL$402)^2+($D453-BL$403)^2)</f>
        <v>5.60034755542815</v>
      </c>
      <c r="BM453" s="17" t="n">
        <f aca="false">SQRT(($B453-BM$401)^2+($C453-BM$402)^2+($D453-BM$403)^2)</f>
        <v>2.19245425104867</v>
      </c>
      <c r="BN453" s="17" t="n">
        <f aca="false">SQRT(($B453-BN$401)^2+($C453-BN$402)^2+($D453-BN$403)^2)</f>
        <v>1.00422665295909</v>
      </c>
      <c r="BO453" s="17" t="n">
        <f aca="false">SQRT(($B453-BO$401)^2+($C453-BO$402)^2+($D453-BO$403)^2)</f>
        <v>1.44373631271791</v>
      </c>
      <c r="BP453" s="17" t="n">
        <f aca="false">SQRT(($B453-BP$401)^2+($C453-BP$402)^2+($D453-BP$403)^2)</f>
        <v>3.33092018894696</v>
      </c>
      <c r="BQ453" s="17" t="n">
        <f aca="false">SQRT(($B453-BQ$401)^2+($C453-BQ$402)^2+($D453-BQ$403)^2)</f>
        <v>0.691426187871007</v>
      </c>
      <c r="BR453" s="63" t="n">
        <f aca="false">MATCH(MIN(BL453:BQ453),BL453:BQ453,0)</f>
        <v>6</v>
      </c>
      <c r="BT453" s="17" t="n">
        <f aca="false">SQRT(($B453-BT$401)^2+($C453-BT$402)^2+($D453-BT$403)^2)</f>
        <v>5.60034755542815</v>
      </c>
      <c r="BU453" s="17" t="n">
        <f aca="false">SQRT(($B453-BU$401)^2+($C453-BU$402)^2+($D453-BU$403)^2)</f>
        <v>2.19245425104867</v>
      </c>
      <c r="BV453" s="17" t="n">
        <f aca="false">SQRT(($B453-BV$401)^2+($C453-BV$402)^2+($D453-BV$403)^2)</f>
        <v>1.00422665295909</v>
      </c>
      <c r="BW453" s="17" t="n">
        <f aca="false">SQRT(($B453-BW$401)^2+($C453-BW$402)^2+($D453-BW$403)^2)</f>
        <v>1.44373631271791</v>
      </c>
      <c r="BX453" s="17" t="n">
        <f aca="false">SQRT(($B453-BX$401)^2+($C453-BX$402)^2+($D453-BX$403)^2)</f>
        <v>3.33092018894696</v>
      </c>
      <c r="BY453" s="17" t="n">
        <f aca="false">SQRT(($B453-BY$401)^2+($C453-BY$402)^2+($D453-BY$403)^2)</f>
        <v>0.691426187871007</v>
      </c>
      <c r="BZ453" s="63" t="n">
        <f aca="false">MATCH(MIN(BT453:BY453),BT453:BY453,0)</f>
        <v>6</v>
      </c>
      <c r="CB453" s="17" t="n">
        <f aca="false">SQRT(($B453-CB$401)^2+($C453-CB$402)^2+($D453-CB$403)^2)</f>
        <v>5.60034755542815</v>
      </c>
      <c r="CC453" s="17" t="n">
        <f aca="false">SQRT(($B453-CC$401)^2+($C453-CC$402)^2+($D453-CC$403)^2)</f>
        <v>2.19245425104867</v>
      </c>
      <c r="CD453" s="17" t="n">
        <f aca="false">SQRT(($B453-CD$401)^2+($C453-CD$402)^2+($D453-CD$403)^2)</f>
        <v>1.00422665295909</v>
      </c>
      <c r="CE453" s="17" t="n">
        <f aca="false">SQRT(($B453-CE$401)^2+($C453-CE$402)^2+($D453-CE$403)^2)</f>
        <v>1.44373631271791</v>
      </c>
      <c r="CF453" s="17" t="n">
        <f aca="false">SQRT(($B453-CF$401)^2+($C453-CF$402)^2+($D453-CF$403)^2)</f>
        <v>3.33092018894696</v>
      </c>
      <c r="CG453" s="17" t="n">
        <f aca="false">SQRT(($B453-CG$401)^2+($C453-CG$402)^2+($D453-CG$403)^2)</f>
        <v>0.691426187871007</v>
      </c>
      <c r="CH453" s="63" t="n">
        <f aca="false">MATCH(MIN(CB453:CG453),CB453:CG453,0)</f>
        <v>6</v>
      </c>
      <c r="CJ453" s="17" t="n">
        <f aca="false">SQRT(($B453-CJ$401)^2+($C453-CJ$402)^2+($D453-CJ$403)^2)</f>
        <v>5.60034755542815</v>
      </c>
      <c r="CK453" s="17" t="n">
        <f aca="false">SQRT(($B453-CK$401)^2+($C453-CK$402)^2+($D453-CK$403)^2)</f>
        <v>2.19245425104867</v>
      </c>
      <c r="CL453" s="17" t="n">
        <f aca="false">SQRT(($B453-CL$401)^2+($C453-CL$402)^2+($D453-CL$403)^2)</f>
        <v>1.00422665295909</v>
      </c>
      <c r="CM453" s="17" t="n">
        <f aca="false">SQRT(($B453-CM$401)^2+($C453-CM$402)^2+($D453-CM$403)^2)</f>
        <v>1.44373631271791</v>
      </c>
      <c r="CN453" s="17" t="n">
        <f aca="false">SQRT(($B453-CN$401)^2+($C453-CN$402)^2+($D453-CN$403)^2)</f>
        <v>3.33092018894696</v>
      </c>
      <c r="CO453" s="17" t="n">
        <f aca="false">SQRT(($B453-CO$401)^2+($C453-CO$402)^2+($D453-CO$403)^2)</f>
        <v>0.691426187871007</v>
      </c>
      <c r="CP453" s="63" t="n">
        <f aca="false">MATCH(MIN(CJ453:CO453),CJ453:CO453,0)</f>
        <v>6</v>
      </c>
      <c r="CR453" s="17" t="n">
        <f aca="false">SQRT(($B453-CR$401)^2+($C453-CR$402)^2+($D453-CR$403)^2)</f>
        <v>5.60034755542815</v>
      </c>
      <c r="CS453" s="17" t="n">
        <f aca="false">SQRT(($B453-CS$401)^2+($C453-CS$402)^2+($D453-CS$403)^2)</f>
        <v>2.19245425104867</v>
      </c>
      <c r="CT453" s="17" t="n">
        <f aca="false">SQRT(($B453-CT$401)^2+($C453-CT$402)^2+($D453-CT$403)^2)</f>
        <v>1.00422665295909</v>
      </c>
      <c r="CU453" s="17" t="n">
        <f aca="false">SQRT(($B453-CU$401)^2+($C453-CU$402)^2+($D453-CU$403)^2)</f>
        <v>1.44373631271791</v>
      </c>
      <c r="CV453" s="17" t="n">
        <f aca="false">SQRT(($B453-CV$401)^2+($C453-CV$402)^2+($D453-CV$403)^2)</f>
        <v>3.33092018894696</v>
      </c>
      <c r="CW453" s="17" t="n">
        <f aca="false">SQRT(($B453-CW$401)^2+($C453-CW$402)^2+($D453-CW$403)^2)</f>
        <v>0.691426187871007</v>
      </c>
      <c r="CX453" s="63" t="n">
        <f aca="false">MATCH(MIN(CR453:CW453),CR453:CW453,0)</f>
        <v>6</v>
      </c>
      <c r="CZ453" s="17" t="n">
        <f aca="false">SQRT(($B453-CZ$401)^2+($C453-CZ$402)^2+($D453-CZ$403)^2)</f>
        <v>5.60034755542815</v>
      </c>
      <c r="DA453" s="17" t="n">
        <f aca="false">SQRT(($B453-DA$401)^2+($C453-DA$402)^2+($D453-DA$403)^2)</f>
        <v>2.19245425104867</v>
      </c>
      <c r="DB453" s="17" t="n">
        <f aca="false">SQRT(($B453-DB$401)^2+($C453-DB$402)^2+($D453-DB$403)^2)</f>
        <v>1.00422665295909</v>
      </c>
      <c r="DC453" s="17" t="n">
        <f aca="false">SQRT(($B453-DC$401)^2+($C453-DC$402)^2+($D453-DC$403)^2)</f>
        <v>1.44373631271791</v>
      </c>
      <c r="DD453" s="17" t="n">
        <f aca="false">SQRT(($B453-DD$401)^2+($C453-DD$402)^2+($D453-DD$403)^2)</f>
        <v>3.33092018894696</v>
      </c>
      <c r="DE453" s="17" t="n">
        <f aca="false">SQRT(($B453-DE$401)^2+($C453-DE$402)^2+($D453-DE$403)^2)</f>
        <v>0.691426187871007</v>
      </c>
      <c r="DF453" s="63" t="n">
        <f aca="false">MATCH(MIN(CZ453:DE453),CZ453:DE453,0)</f>
        <v>6</v>
      </c>
      <c r="DH453" s="17" t="n">
        <f aca="false">SQRT(($B453-DH$401)^2+($C453-DH$402)^2+($D453-DH$403)^2)</f>
        <v>5.60034755542815</v>
      </c>
      <c r="DI453" s="17" t="n">
        <f aca="false">SQRT(($B453-DI$401)^2+($C453-DI$402)^2+($D453-DI$403)^2)</f>
        <v>2.19245425104867</v>
      </c>
      <c r="DJ453" s="17" t="n">
        <f aca="false">SQRT(($B453-DJ$401)^2+($C453-DJ$402)^2+($D453-DJ$403)^2)</f>
        <v>1.00422665295909</v>
      </c>
      <c r="DK453" s="17" t="n">
        <f aca="false">SQRT(($B453-DK$401)^2+($C453-DK$402)^2+($D453-DK$403)^2)</f>
        <v>1.44373631271791</v>
      </c>
      <c r="DL453" s="17" t="n">
        <f aca="false">SQRT(($B453-DL$401)^2+($C453-DL$402)^2+($D453-DL$403)^2)</f>
        <v>3.33092018894696</v>
      </c>
      <c r="DM453" s="17" t="n">
        <f aca="false">SQRT(($B453-DM$401)^2+($C453-DM$402)^2+($D453-DM$403)^2)</f>
        <v>0.691426187871007</v>
      </c>
      <c r="DN453" s="63" t="n">
        <f aca="false">MATCH(MIN(DH453:DM453),DH453:DM453,0)</f>
        <v>6</v>
      </c>
    </row>
    <row r="454" customFormat="false" ht="15" hidden="false" customHeight="false" outlineLevel="0" collapsed="false">
      <c r="A454" s="36" t="str">
        <f aca="false">KMeans_Data!A51</f>
        <v>Lodhran</v>
      </c>
      <c r="B454" s="17" t="n">
        <f aca="false">KMeans_Data!H51</f>
        <v>0.200975497781959</v>
      </c>
      <c r="C454" s="17" t="n">
        <f aca="false">KMeans_Data!I51</f>
        <v>-0.672650545388274</v>
      </c>
      <c r="D454" s="17" t="n">
        <f aca="false">KMeans_Data!J51</f>
        <v>-1.14564411633355</v>
      </c>
      <c r="E454" s="63" t="n">
        <f aca="false">DN454</f>
        <v>4</v>
      </c>
      <c r="F454" s="38" t="n">
        <f aca="false">($B454-INDEX($L$401:$Q$401,E454))^2+($C454-INDEX($L$402:$Q$402,E454))^2+($D454-INDEX($L$403:$Q$403,E454))^2</f>
        <v>0.0957544171868903</v>
      </c>
      <c r="G454" s="17" t="n">
        <f aca="false">IF(COUNTIF(Distance_Matrix!$E$12:$DQ$12,$E454)&lt;=1,0,SUMIF(Distance_Matrix!$E$12:$DQ$12,$E454,Distance_Matrix!$E$60:$DQ$60)/(COUNTIF(Distance_Matrix!$E$12:$DQ$12,$E454)-1))</f>
        <v>0.609913933498933</v>
      </c>
      <c r="H454" s="17" t="n">
        <f aca="false">MIN(IF(1=$E454,1E+099,IF(COUNTIF(Distance_Matrix!$E$12:$DQ$12,1)=0,1E+099,SUMIF(Distance_Matrix!$E$12:$DQ$12,1,Distance_Matrix!$E$60:$DQ$60)/COUNTIF(Distance_Matrix!$E$12:$DQ$12,1))),IF(2=$E454,1E+099,IF(COUNTIF(Distance_Matrix!$E$12:$DQ$12,2)=0,1E+099,SUMIF(Distance_Matrix!$E$12:$DQ$12,2,Distance_Matrix!$E$60:$DQ$60)/COUNTIF(Distance_Matrix!$E$12:$DQ$12,2))),IF(3=$E454,1E+099,IF(COUNTIF(Distance_Matrix!$E$12:$DQ$12,3)=0,1E+099,SUMIF(Distance_Matrix!$E$12:$DQ$12,3,Distance_Matrix!$E$60:$DQ$60)/COUNTIF(Distance_Matrix!$E$12:$DQ$12,3))),IF(4=$E454,1E+099,IF(COUNTIF(Distance_Matrix!$E$12:$DQ$12,4)=0,1E+099,SUMIF(Distance_Matrix!$E$12:$DQ$12,4,Distance_Matrix!$E$60:$DQ$60)/COUNTIF(Distance_Matrix!$E$12:$DQ$12,4))),IF(5=$E454,1E+099,IF(COUNTIF(Distance_Matrix!$E$12:$DQ$12,5)=0,1E+099,SUMIF(Distance_Matrix!$E$12:$DQ$12,5,Distance_Matrix!$E$60:$DQ$60)/COUNTIF(Distance_Matrix!$E$12:$DQ$12,5))),IF(6=$E454,1E+099,IF(COUNTIF(Distance_Matrix!$E$12:$DQ$12,6)=0,1E+099,SUMIF(Distance_Matrix!$E$12:$DQ$12,6,Distance_Matrix!$E$60:$DQ$60)/COUNTIF(Distance_Matrix!$E$12:$DQ$12,6))))</f>
        <v>1.4818368462816</v>
      </c>
      <c r="I454" s="17" t="n">
        <f aca="false">IF(COUNTIF(Distance_Matrix!$E$12:$DQ$12,$E454)&lt;=1,0,(H454-G454)/MAX(G454,H454))</f>
        <v>0.588406824253694</v>
      </c>
      <c r="X454" s="17" t="n">
        <f aca="false">SQRT(($B454-X$401)^2+($C454-X$402)^2+($D454-X$403)^2)</f>
        <v>7.14067054710151</v>
      </c>
      <c r="Y454" s="17" t="n">
        <f aca="false">SQRT(($B454-Y$401)^2+($C454-Y$402)^2+($D454-Y$403)^2)</f>
        <v>2.28071347958528</v>
      </c>
      <c r="Z454" s="17" t="n">
        <f aca="false">SQRT(($B454-Z$401)^2+($C454-Z$402)^2+($D454-Z$403)^2)</f>
        <v>2.94083599570945</v>
      </c>
      <c r="AA454" s="17" t="n">
        <f aca="false">SQRT(($B454-AA$401)^2+($C454-AA$402)^2+($D454-AA$403)^2)</f>
        <v>0.688536235872892</v>
      </c>
      <c r="AB454" s="17" t="n">
        <f aca="false">SQRT(($B454-AB$401)^2+($C454-AB$402)^2+($D454-AB$403)^2)</f>
        <v>5.08518914027567</v>
      </c>
      <c r="AC454" s="17" t="n">
        <f aca="false">SQRT(($B454-AC$401)^2+($C454-AC$402)^2+($D454-AC$403)^2)</f>
        <v>2.06080242485616</v>
      </c>
      <c r="AD454" s="63" t="n">
        <f aca="false">MATCH(MIN(X454:AC454),X454:AC454,0)</f>
        <v>4</v>
      </c>
      <c r="AF454" s="17" t="n">
        <f aca="false">SQRT(($B454-AF$401)^2+($C454-AF$402)^2+($D454-AF$403)^2)</f>
        <v>7.00282646700329</v>
      </c>
      <c r="AG454" s="17" t="n">
        <f aca="false">SQRT(($B454-AG$401)^2+($C454-AG$402)^2+($D454-AG$403)^2)</f>
        <v>1.5226908108964</v>
      </c>
      <c r="AH454" s="17" t="n">
        <f aca="false">SQRT(($B454-AH$401)^2+($C454-AH$402)^2+($D454-AH$403)^2)</f>
        <v>2.6425933930638</v>
      </c>
      <c r="AI454" s="17" t="n">
        <f aca="false">SQRT(($B454-AI$401)^2+($C454-AI$402)^2+($D454-AI$403)^2)</f>
        <v>0.325140715340785</v>
      </c>
      <c r="AJ454" s="17" t="n">
        <f aca="false">SQRT(($B454-AJ$401)^2+($C454-AJ$402)^2+($D454-AJ$403)^2)</f>
        <v>4.74321399212895</v>
      </c>
      <c r="AK454" s="17" t="n">
        <f aca="false">SQRT(($B454-AK$401)^2+($C454-AK$402)^2+($D454-AK$403)^2)</f>
        <v>1.42560144832262</v>
      </c>
      <c r="AL454" s="63" t="n">
        <f aca="false">MATCH(MIN(AF454:AK454),AF454:AK454,0)</f>
        <v>4</v>
      </c>
      <c r="AN454" s="17" t="n">
        <f aca="false">SQRT(($B454-AN$401)^2+($C454-AN$402)^2+($D454-AN$403)^2)</f>
        <v>7.00282646700329</v>
      </c>
      <c r="AO454" s="17" t="n">
        <f aca="false">SQRT(($B454-AO$401)^2+($C454-AO$402)^2+($D454-AO$403)^2)</f>
        <v>1.48084073854466</v>
      </c>
      <c r="AP454" s="17" t="n">
        <f aca="false">SQRT(($B454-AP$401)^2+($C454-AP$402)^2+($D454-AP$403)^2)</f>
        <v>2.61887163522717</v>
      </c>
      <c r="AQ454" s="17" t="n">
        <f aca="false">SQRT(($B454-AQ$401)^2+($C454-AQ$402)^2+($D454-AQ$403)^2)</f>
        <v>0.309442106357377</v>
      </c>
      <c r="AR454" s="17" t="n">
        <f aca="false">SQRT(($B454-AR$401)^2+($C454-AR$402)^2+($D454-AR$403)^2)</f>
        <v>4.74321399212895</v>
      </c>
      <c r="AS454" s="17" t="n">
        <f aca="false">SQRT(($B454-AS$401)^2+($C454-AS$402)^2+($D454-AS$403)^2)</f>
        <v>1.43528468840796</v>
      </c>
      <c r="AT454" s="63" t="n">
        <f aca="false">MATCH(MIN(AN454:AS454),AN454:AS454,0)</f>
        <v>4</v>
      </c>
      <c r="AV454" s="17" t="n">
        <f aca="false">SQRT(($B454-AV$401)^2+($C454-AV$402)^2+($D454-AV$403)^2)</f>
        <v>7.00282646700329</v>
      </c>
      <c r="AW454" s="17" t="n">
        <f aca="false">SQRT(($B454-AW$401)^2+($C454-AW$402)^2+($D454-AW$403)^2)</f>
        <v>1.46344922089801</v>
      </c>
      <c r="AX454" s="17" t="n">
        <f aca="false">SQRT(($B454-AX$401)^2+($C454-AX$402)^2+($D454-AX$403)^2)</f>
        <v>2.61887163522717</v>
      </c>
      <c r="AY454" s="17" t="n">
        <f aca="false">SQRT(($B454-AY$401)^2+($C454-AY$402)^2+($D454-AY$403)^2)</f>
        <v>0.309442106357377</v>
      </c>
      <c r="AZ454" s="17" t="n">
        <f aca="false">SQRT(($B454-AZ$401)^2+($C454-AZ$402)^2+($D454-AZ$403)^2)</f>
        <v>4.74321399212895</v>
      </c>
      <c r="BA454" s="17" t="n">
        <f aca="false">SQRT(($B454-BA$401)^2+($C454-BA$402)^2+($D454-BA$403)^2)</f>
        <v>1.44897287062001</v>
      </c>
      <c r="BB454" s="63" t="n">
        <f aca="false">MATCH(MIN(AV454:BA454),AV454:BA454,0)</f>
        <v>4</v>
      </c>
      <c r="BD454" s="17" t="n">
        <f aca="false">SQRT(($B454-BD$401)^2+($C454-BD$402)^2+($D454-BD$403)^2)</f>
        <v>7.00282646700329</v>
      </c>
      <c r="BE454" s="17" t="n">
        <f aca="false">SQRT(($B454-BE$401)^2+($C454-BE$402)^2+($D454-BE$403)^2)</f>
        <v>1.44973146036903</v>
      </c>
      <c r="BF454" s="17" t="n">
        <f aca="false">SQRT(($B454-BF$401)^2+($C454-BF$402)^2+($D454-BF$403)^2)</f>
        <v>2.61887163522717</v>
      </c>
      <c r="BG454" s="17" t="n">
        <f aca="false">SQRT(($B454-BG$401)^2+($C454-BG$402)^2+($D454-BG$403)^2)</f>
        <v>0.309442106357377</v>
      </c>
      <c r="BH454" s="17" t="n">
        <f aca="false">SQRT(($B454-BH$401)^2+($C454-BH$402)^2+($D454-BH$403)^2)</f>
        <v>4.74321399212895</v>
      </c>
      <c r="BI454" s="17" t="n">
        <f aca="false">SQRT(($B454-BI$401)^2+($C454-BI$402)^2+($D454-BI$403)^2)</f>
        <v>1.46103147312836</v>
      </c>
      <c r="BJ454" s="63" t="n">
        <f aca="false">MATCH(MIN(BD454:BI454),BD454:BI454,0)</f>
        <v>4</v>
      </c>
      <c r="BL454" s="17" t="n">
        <f aca="false">SQRT(($B454-BL$401)^2+($C454-BL$402)^2+($D454-BL$403)^2)</f>
        <v>7.00282646700329</v>
      </c>
      <c r="BM454" s="17" t="n">
        <f aca="false">SQRT(($B454-BM$401)^2+($C454-BM$402)^2+($D454-BM$403)^2)</f>
        <v>1.44973146036903</v>
      </c>
      <c r="BN454" s="17" t="n">
        <f aca="false">SQRT(($B454-BN$401)^2+($C454-BN$402)^2+($D454-BN$403)^2)</f>
        <v>2.61887163522717</v>
      </c>
      <c r="BO454" s="17" t="n">
        <f aca="false">SQRT(($B454-BO$401)^2+($C454-BO$402)^2+($D454-BO$403)^2)</f>
        <v>0.309442106357377</v>
      </c>
      <c r="BP454" s="17" t="n">
        <f aca="false">SQRT(($B454-BP$401)^2+($C454-BP$402)^2+($D454-BP$403)^2)</f>
        <v>4.74321399212895</v>
      </c>
      <c r="BQ454" s="17" t="n">
        <f aca="false">SQRT(($B454-BQ$401)^2+($C454-BQ$402)^2+($D454-BQ$403)^2)</f>
        <v>1.46103147312836</v>
      </c>
      <c r="BR454" s="63" t="n">
        <f aca="false">MATCH(MIN(BL454:BQ454),BL454:BQ454,0)</f>
        <v>4</v>
      </c>
      <c r="BT454" s="17" t="n">
        <f aca="false">SQRT(($B454-BT$401)^2+($C454-BT$402)^2+($D454-BT$403)^2)</f>
        <v>7.00282646700329</v>
      </c>
      <c r="BU454" s="17" t="n">
        <f aca="false">SQRT(($B454-BU$401)^2+($C454-BU$402)^2+($D454-BU$403)^2)</f>
        <v>1.44973146036903</v>
      </c>
      <c r="BV454" s="17" t="n">
        <f aca="false">SQRT(($B454-BV$401)^2+($C454-BV$402)^2+($D454-BV$403)^2)</f>
        <v>2.61887163522717</v>
      </c>
      <c r="BW454" s="17" t="n">
        <f aca="false">SQRT(($B454-BW$401)^2+($C454-BW$402)^2+($D454-BW$403)^2)</f>
        <v>0.309442106357377</v>
      </c>
      <c r="BX454" s="17" t="n">
        <f aca="false">SQRT(($B454-BX$401)^2+($C454-BX$402)^2+($D454-BX$403)^2)</f>
        <v>4.74321399212895</v>
      </c>
      <c r="BY454" s="17" t="n">
        <f aca="false">SQRT(($B454-BY$401)^2+($C454-BY$402)^2+($D454-BY$403)^2)</f>
        <v>1.46103147312836</v>
      </c>
      <c r="BZ454" s="63" t="n">
        <f aca="false">MATCH(MIN(BT454:BY454),BT454:BY454,0)</f>
        <v>4</v>
      </c>
      <c r="CB454" s="17" t="n">
        <f aca="false">SQRT(($B454-CB$401)^2+($C454-CB$402)^2+($D454-CB$403)^2)</f>
        <v>7.00282646700329</v>
      </c>
      <c r="CC454" s="17" t="n">
        <f aca="false">SQRT(($B454-CC$401)^2+($C454-CC$402)^2+($D454-CC$403)^2)</f>
        <v>1.44973146036903</v>
      </c>
      <c r="CD454" s="17" t="n">
        <f aca="false">SQRT(($B454-CD$401)^2+($C454-CD$402)^2+($D454-CD$403)^2)</f>
        <v>2.61887163522717</v>
      </c>
      <c r="CE454" s="17" t="n">
        <f aca="false">SQRT(($B454-CE$401)^2+($C454-CE$402)^2+($D454-CE$403)^2)</f>
        <v>0.309442106357377</v>
      </c>
      <c r="CF454" s="17" t="n">
        <f aca="false">SQRT(($B454-CF$401)^2+($C454-CF$402)^2+($D454-CF$403)^2)</f>
        <v>4.74321399212895</v>
      </c>
      <c r="CG454" s="17" t="n">
        <f aca="false">SQRT(($B454-CG$401)^2+($C454-CG$402)^2+($D454-CG$403)^2)</f>
        <v>1.46103147312836</v>
      </c>
      <c r="CH454" s="63" t="n">
        <f aca="false">MATCH(MIN(CB454:CG454),CB454:CG454,0)</f>
        <v>4</v>
      </c>
      <c r="CJ454" s="17" t="n">
        <f aca="false">SQRT(($B454-CJ$401)^2+($C454-CJ$402)^2+($D454-CJ$403)^2)</f>
        <v>7.00282646700329</v>
      </c>
      <c r="CK454" s="17" t="n">
        <f aca="false">SQRT(($B454-CK$401)^2+($C454-CK$402)^2+($D454-CK$403)^2)</f>
        <v>1.44973146036903</v>
      </c>
      <c r="CL454" s="17" t="n">
        <f aca="false">SQRT(($B454-CL$401)^2+($C454-CL$402)^2+($D454-CL$403)^2)</f>
        <v>2.61887163522717</v>
      </c>
      <c r="CM454" s="17" t="n">
        <f aca="false">SQRT(($B454-CM$401)^2+($C454-CM$402)^2+($D454-CM$403)^2)</f>
        <v>0.309442106357377</v>
      </c>
      <c r="CN454" s="17" t="n">
        <f aca="false">SQRT(($B454-CN$401)^2+($C454-CN$402)^2+($D454-CN$403)^2)</f>
        <v>4.74321399212895</v>
      </c>
      <c r="CO454" s="17" t="n">
        <f aca="false">SQRT(($B454-CO$401)^2+($C454-CO$402)^2+($D454-CO$403)^2)</f>
        <v>1.46103147312836</v>
      </c>
      <c r="CP454" s="63" t="n">
        <f aca="false">MATCH(MIN(CJ454:CO454),CJ454:CO454,0)</f>
        <v>4</v>
      </c>
      <c r="CR454" s="17" t="n">
        <f aca="false">SQRT(($B454-CR$401)^2+($C454-CR$402)^2+($D454-CR$403)^2)</f>
        <v>7.00282646700329</v>
      </c>
      <c r="CS454" s="17" t="n">
        <f aca="false">SQRT(($B454-CS$401)^2+($C454-CS$402)^2+($D454-CS$403)^2)</f>
        <v>1.44973146036903</v>
      </c>
      <c r="CT454" s="17" t="n">
        <f aca="false">SQRT(($B454-CT$401)^2+($C454-CT$402)^2+($D454-CT$403)^2)</f>
        <v>2.61887163522717</v>
      </c>
      <c r="CU454" s="17" t="n">
        <f aca="false">SQRT(($B454-CU$401)^2+($C454-CU$402)^2+($D454-CU$403)^2)</f>
        <v>0.309442106357377</v>
      </c>
      <c r="CV454" s="17" t="n">
        <f aca="false">SQRT(($B454-CV$401)^2+($C454-CV$402)^2+($D454-CV$403)^2)</f>
        <v>4.74321399212895</v>
      </c>
      <c r="CW454" s="17" t="n">
        <f aca="false">SQRT(($B454-CW$401)^2+($C454-CW$402)^2+($D454-CW$403)^2)</f>
        <v>1.46103147312836</v>
      </c>
      <c r="CX454" s="63" t="n">
        <f aca="false">MATCH(MIN(CR454:CW454),CR454:CW454,0)</f>
        <v>4</v>
      </c>
      <c r="CZ454" s="17" t="n">
        <f aca="false">SQRT(($B454-CZ$401)^2+($C454-CZ$402)^2+($D454-CZ$403)^2)</f>
        <v>7.00282646700329</v>
      </c>
      <c r="DA454" s="17" t="n">
        <f aca="false">SQRT(($B454-DA$401)^2+($C454-DA$402)^2+($D454-DA$403)^2)</f>
        <v>1.44973146036903</v>
      </c>
      <c r="DB454" s="17" t="n">
        <f aca="false">SQRT(($B454-DB$401)^2+($C454-DB$402)^2+($D454-DB$403)^2)</f>
        <v>2.61887163522717</v>
      </c>
      <c r="DC454" s="17" t="n">
        <f aca="false">SQRT(($B454-DC$401)^2+($C454-DC$402)^2+($D454-DC$403)^2)</f>
        <v>0.309442106357377</v>
      </c>
      <c r="DD454" s="17" t="n">
        <f aca="false">SQRT(($B454-DD$401)^2+($C454-DD$402)^2+($D454-DD$403)^2)</f>
        <v>4.74321399212895</v>
      </c>
      <c r="DE454" s="17" t="n">
        <f aca="false">SQRT(($B454-DE$401)^2+($C454-DE$402)^2+($D454-DE$403)^2)</f>
        <v>1.46103147312836</v>
      </c>
      <c r="DF454" s="63" t="n">
        <f aca="false">MATCH(MIN(CZ454:DE454),CZ454:DE454,0)</f>
        <v>4</v>
      </c>
      <c r="DH454" s="17" t="n">
        <f aca="false">SQRT(($B454-DH$401)^2+($C454-DH$402)^2+($D454-DH$403)^2)</f>
        <v>7.00282646700329</v>
      </c>
      <c r="DI454" s="17" t="n">
        <f aca="false">SQRT(($B454-DI$401)^2+($C454-DI$402)^2+($D454-DI$403)^2)</f>
        <v>1.44973146036903</v>
      </c>
      <c r="DJ454" s="17" t="n">
        <f aca="false">SQRT(($B454-DJ$401)^2+($C454-DJ$402)^2+($D454-DJ$403)^2)</f>
        <v>2.61887163522717</v>
      </c>
      <c r="DK454" s="17" t="n">
        <f aca="false">SQRT(($B454-DK$401)^2+($C454-DK$402)^2+($D454-DK$403)^2)</f>
        <v>0.309442106357377</v>
      </c>
      <c r="DL454" s="17" t="n">
        <f aca="false">SQRT(($B454-DL$401)^2+($C454-DL$402)^2+($D454-DL$403)^2)</f>
        <v>4.74321399212895</v>
      </c>
      <c r="DM454" s="17" t="n">
        <f aca="false">SQRT(($B454-DM$401)^2+($C454-DM$402)^2+($D454-DM$403)^2)</f>
        <v>1.46103147312836</v>
      </c>
      <c r="DN454" s="63" t="n">
        <f aca="false">MATCH(MIN(DH454:DM454),DH454:DM454,0)</f>
        <v>4</v>
      </c>
    </row>
    <row r="455" customFormat="false" ht="15" hidden="false" customHeight="false" outlineLevel="0" collapsed="false">
      <c r="A455" s="36" t="str">
        <f aca="false">KMeans_Data!A52</f>
        <v>Jacobabad</v>
      </c>
      <c r="B455" s="17" t="n">
        <f aca="false">KMeans_Data!H52</f>
        <v>0.200975497781959</v>
      </c>
      <c r="C455" s="17" t="n">
        <f aca="false">KMeans_Data!I52</f>
        <v>-0.672650545388274</v>
      </c>
      <c r="D455" s="17" t="n">
        <f aca="false">KMeans_Data!J52</f>
        <v>1.03251574201556</v>
      </c>
      <c r="E455" s="63" t="n">
        <f aca="false">DN455</f>
        <v>6</v>
      </c>
      <c r="F455" s="38" t="n">
        <f aca="false">($B455-INDEX($L$401:$Q$401,E455))^2+($C455-INDEX($L$402:$Q$402,E455))^2+($D455-INDEX($L$403:$Q$403,E455))^2</f>
        <v>0.891881766718807</v>
      </c>
      <c r="G455" s="17" t="n">
        <f aca="false">IF(COUNTIF(Distance_Matrix!$E$12:$DQ$12,$E455)&lt;=1,0,SUMIF(Distance_Matrix!$E$12:$DQ$12,$E455,Distance_Matrix!$E$61:$DQ$61)/(COUNTIF(Distance_Matrix!$E$12:$DQ$12,$E455)-1))</f>
        <v>1.09434247938716</v>
      </c>
      <c r="H455" s="17" t="n">
        <f aca="false">MIN(IF(1=$E455,1E+099,IF(COUNTIF(Distance_Matrix!$E$12:$DQ$12,1)=0,1E+099,SUMIF(Distance_Matrix!$E$12:$DQ$12,1,Distance_Matrix!$E$61:$DQ$61)/COUNTIF(Distance_Matrix!$E$12:$DQ$12,1))),IF(2=$E455,1E+099,IF(COUNTIF(Distance_Matrix!$E$12:$DQ$12,2)=0,1E+099,SUMIF(Distance_Matrix!$E$12:$DQ$12,2,Distance_Matrix!$E$61:$DQ$61)/COUNTIF(Distance_Matrix!$E$12:$DQ$12,2))),IF(3=$E455,1E+099,IF(COUNTIF(Distance_Matrix!$E$12:$DQ$12,3)=0,1E+099,SUMIF(Distance_Matrix!$E$12:$DQ$12,3,Distance_Matrix!$E$61:$DQ$61)/COUNTIF(Distance_Matrix!$E$12:$DQ$12,3))),IF(4=$E455,1E+099,IF(COUNTIF(Distance_Matrix!$E$12:$DQ$12,4)=0,1E+099,SUMIF(Distance_Matrix!$E$12:$DQ$12,4,Distance_Matrix!$E$61:$DQ$61)/COUNTIF(Distance_Matrix!$E$12:$DQ$12,4))),IF(5=$E455,1E+099,IF(COUNTIF(Distance_Matrix!$E$12:$DQ$12,5)=0,1E+099,SUMIF(Distance_Matrix!$E$12:$DQ$12,5,Distance_Matrix!$E$61:$DQ$61)/COUNTIF(Distance_Matrix!$E$12:$DQ$12,5))),IF(6=$E455,1E+099,IF(COUNTIF(Distance_Matrix!$E$12:$DQ$12,6)=0,1E+099,SUMIF(Distance_Matrix!$E$12:$DQ$12,6,Distance_Matrix!$E$61:$DQ$61)/COUNTIF(Distance_Matrix!$E$12:$DQ$12,6))))</f>
        <v>1.68225936043311</v>
      </c>
      <c r="I455" s="17" t="n">
        <f aca="false">IF(COUNTIF(Distance_Matrix!$E$12:$DQ$12,$E455)&lt;=1,0,(H455-G455)/MAX(G455,H455))</f>
        <v>0.349480522964418</v>
      </c>
      <c r="X455" s="17" t="n">
        <f aca="false">SQRT(($B455-X$401)^2+($C455-X$402)^2+($D455-X$403)^2)</f>
        <v>6.04755380426011</v>
      </c>
      <c r="Y455" s="17" t="n">
        <f aca="false">SQRT(($B455-Y$401)^2+($C455-Y$402)^2+($D455-Y$403)^2)</f>
        <v>3.15373339781369</v>
      </c>
      <c r="Z455" s="17" t="n">
        <f aca="false">SQRT(($B455-Z$401)^2+($C455-Z$402)^2+($D455-Z$403)^2)</f>
        <v>1.41299396506918</v>
      </c>
      <c r="AA455" s="17" t="n">
        <f aca="false">SQRT(($B455-AA$401)^2+($C455-AA$402)^2+($D455-AA$403)^2)</f>
        <v>2.2843954378858</v>
      </c>
      <c r="AB455" s="17" t="n">
        <f aca="false">SQRT(($B455-AB$401)^2+($C455-AB$402)^2+($D455-AB$403)^2)</f>
        <v>3.90870791667225</v>
      </c>
      <c r="AC455" s="17" t="n">
        <f aca="false">SQRT(($B455-AC$401)^2+($C455-AC$402)^2+($D455-AC$403)^2)</f>
        <v>1.12360546229855</v>
      </c>
      <c r="AD455" s="63" t="n">
        <f aca="false">MATCH(MIN(X455:AC455),X455:AC455,0)</f>
        <v>6</v>
      </c>
      <c r="AF455" s="17" t="n">
        <f aca="false">SQRT(($B455-AF$401)^2+($C455-AF$402)^2+($D455-AF$403)^2)</f>
        <v>5.98912787187447</v>
      </c>
      <c r="AG455" s="17" t="n">
        <f aca="false">SQRT(($B455-AG$401)^2+($C455-AG$402)^2+($D455-AG$403)^2)</f>
        <v>2.61627039367599</v>
      </c>
      <c r="AH455" s="17" t="n">
        <f aca="false">SQRT(($B455-AH$401)^2+($C455-AH$402)^2+($D455-AH$403)^2)</f>
        <v>1.61834105806133</v>
      </c>
      <c r="AI455" s="17" t="n">
        <f aca="false">SQRT(($B455-AI$401)^2+($C455-AI$402)^2+($D455-AI$403)^2)</f>
        <v>1.89370365182649</v>
      </c>
      <c r="AJ455" s="17" t="n">
        <f aca="false">SQRT(($B455-AJ$401)^2+($C455-AJ$402)^2+($D455-AJ$403)^2)</f>
        <v>3.80293520944642</v>
      </c>
      <c r="AK455" s="17" t="n">
        <f aca="false">SQRT(($B455-AK$401)^2+($C455-AK$402)^2+($D455-AK$403)^2)</f>
        <v>1.01902086040605</v>
      </c>
      <c r="AL455" s="63" t="n">
        <f aca="false">MATCH(MIN(AF455:AK455),AF455:AK455,0)</f>
        <v>6</v>
      </c>
      <c r="AN455" s="17" t="n">
        <f aca="false">SQRT(($B455-AN$401)^2+($C455-AN$402)^2+($D455-AN$403)^2)</f>
        <v>5.98912787187447</v>
      </c>
      <c r="AO455" s="17" t="n">
        <f aca="false">SQRT(($B455-AO$401)^2+($C455-AO$402)^2+($D455-AO$403)^2)</f>
        <v>2.57384560198205</v>
      </c>
      <c r="AP455" s="17" t="n">
        <f aca="false">SQRT(($B455-AP$401)^2+($C455-AP$402)^2+($D455-AP$403)^2)</f>
        <v>1.60025673596884</v>
      </c>
      <c r="AQ455" s="17" t="n">
        <f aca="false">SQRT(($B455-AQ$401)^2+($C455-AQ$402)^2+($D455-AQ$403)^2)</f>
        <v>1.89779273277333</v>
      </c>
      <c r="AR455" s="17" t="n">
        <f aca="false">SQRT(($B455-AR$401)^2+($C455-AR$402)^2+($D455-AR$403)^2)</f>
        <v>3.80293520944642</v>
      </c>
      <c r="AS455" s="17" t="n">
        <f aca="false">SQRT(($B455-AS$401)^2+($C455-AS$402)^2+($D455-AS$403)^2)</f>
        <v>0.983643728718577</v>
      </c>
      <c r="AT455" s="63" t="n">
        <f aca="false">MATCH(MIN(AN455:AS455),AN455:AS455,0)</f>
        <v>6</v>
      </c>
      <c r="AV455" s="17" t="n">
        <f aca="false">SQRT(($B455-AV$401)^2+($C455-AV$402)^2+($D455-AV$403)^2)</f>
        <v>5.98912787187447</v>
      </c>
      <c r="AW455" s="17" t="n">
        <f aca="false">SQRT(($B455-AW$401)^2+($C455-AW$402)^2+($D455-AW$403)^2)</f>
        <v>2.54175903179087</v>
      </c>
      <c r="AX455" s="17" t="n">
        <f aca="false">SQRT(($B455-AX$401)^2+($C455-AX$402)^2+($D455-AX$403)^2)</f>
        <v>1.60025673596884</v>
      </c>
      <c r="AY455" s="17" t="n">
        <f aca="false">SQRT(($B455-AY$401)^2+($C455-AY$402)^2+($D455-AY$403)^2)</f>
        <v>1.89779273277333</v>
      </c>
      <c r="AZ455" s="17" t="n">
        <f aca="false">SQRT(($B455-AZ$401)^2+($C455-AZ$402)^2+($D455-AZ$403)^2)</f>
        <v>3.80293520944642</v>
      </c>
      <c r="BA455" s="17" t="n">
        <f aca="false">SQRT(($B455-BA$401)^2+($C455-BA$402)^2+($D455-BA$403)^2)</f>
        <v>0.963645751424999</v>
      </c>
      <c r="BB455" s="63" t="n">
        <f aca="false">MATCH(MIN(AV455:BA455),AV455:BA455,0)</f>
        <v>6</v>
      </c>
      <c r="BD455" s="17" t="n">
        <f aca="false">SQRT(($B455-BD$401)^2+($C455-BD$402)^2+($D455-BD$403)^2)</f>
        <v>5.98912787187447</v>
      </c>
      <c r="BE455" s="17" t="n">
        <f aca="false">SQRT(($B455-BE$401)^2+($C455-BE$402)^2+($D455-BE$403)^2)</f>
        <v>2.51045301904833</v>
      </c>
      <c r="BF455" s="17" t="n">
        <f aca="false">SQRT(($B455-BF$401)^2+($C455-BF$402)^2+($D455-BF$403)^2)</f>
        <v>1.60025673596884</v>
      </c>
      <c r="BG455" s="17" t="n">
        <f aca="false">SQRT(($B455-BG$401)^2+($C455-BG$402)^2+($D455-BG$403)^2)</f>
        <v>1.89779273277333</v>
      </c>
      <c r="BH455" s="17" t="n">
        <f aca="false">SQRT(($B455-BH$401)^2+($C455-BH$402)^2+($D455-BH$403)^2)</f>
        <v>3.80293520944642</v>
      </c>
      <c r="BI455" s="17" t="n">
        <f aca="false">SQRT(($B455-BI$401)^2+($C455-BI$402)^2+($D455-BI$403)^2)</f>
        <v>0.944394920951403</v>
      </c>
      <c r="BJ455" s="63" t="n">
        <f aca="false">MATCH(MIN(BD455:BI455),BD455:BI455,0)</f>
        <v>6</v>
      </c>
      <c r="BL455" s="17" t="n">
        <f aca="false">SQRT(($B455-BL$401)^2+($C455-BL$402)^2+($D455-BL$403)^2)</f>
        <v>5.98912787187447</v>
      </c>
      <c r="BM455" s="17" t="n">
        <f aca="false">SQRT(($B455-BM$401)^2+($C455-BM$402)^2+($D455-BM$403)^2)</f>
        <v>2.51045301904833</v>
      </c>
      <c r="BN455" s="17" t="n">
        <f aca="false">SQRT(($B455-BN$401)^2+($C455-BN$402)^2+($D455-BN$403)^2)</f>
        <v>1.60025673596884</v>
      </c>
      <c r="BO455" s="17" t="n">
        <f aca="false">SQRT(($B455-BO$401)^2+($C455-BO$402)^2+($D455-BO$403)^2)</f>
        <v>1.89779273277333</v>
      </c>
      <c r="BP455" s="17" t="n">
        <f aca="false">SQRT(($B455-BP$401)^2+($C455-BP$402)^2+($D455-BP$403)^2)</f>
        <v>3.80293520944642</v>
      </c>
      <c r="BQ455" s="17" t="n">
        <f aca="false">SQRT(($B455-BQ$401)^2+($C455-BQ$402)^2+($D455-BQ$403)^2)</f>
        <v>0.944394920951403</v>
      </c>
      <c r="BR455" s="63" t="n">
        <f aca="false">MATCH(MIN(BL455:BQ455),BL455:BQ455,0)</f>
        <v>6</v>
      </c>
      <c r="BT455" s="17" t="n">
        <f aca="false">SQRT(($B455-BT$401)^2+($C455-BT$402)^2+($D455-BT$403)^2)</f>
        <v>5.98912787187447</v>
      </c>
      <c r="BU455" s="17" t="n">
        <f aca="false">SQRT(($B455-BU$401)^2+($C455-BU$402)^2+($D455-BU$403)^2)</f>
        <v>2.51045301904833</v>
      </c>
      <c r="BV455" s="17" t="n">
        <f aca="false">SQRT(($B455-BV$401)^2+($C455-BV$402)^2+($D455-BV$403)^2)</f>
        <v>1.60025673596884</v>
      </c>
      <c r="BW455" s="17" t="n">
        <f aca="false">SQRT(($B455-BW$401)^2+($C455-BW$402)^2+($D455-BW$403)^2)</f>
        <v>1.89779273277333</v>
      </c>
      <c r="BX455" s="17" t="n">
        <f aca="false">SQRT(($B455-BX$401)^2+($C455-BX$402)^2+($D455-BX$403)^2)</f>
        <v>3.80293520944642</v>
      </c>
      <c r="BY455" s="17" t="n">
        <f aca="false">SQRT(($B455-BY$401)^2+($C455-BY$402)^2+($D455-BY$403)^2)</f>
        <v>0.944394920951403</v>
      </c>
      <c r="BZ455" s="63" t="n">
        <f aca="false">MATCH(MIN(BT455:BY455),BT455:BY455,0)</f>
        <v>6</v>
      </c>
      <c r="CB455" s="17" t="n">
        <f aca="false">SQRT(($B455-CB$401)^2+($C455-CB$402)^2+($D455-CB$403)^2)</f>
        <v>5.98912787187447</v>
      </c>
      <c r="CC455" s="17" t="n">
        <f aca="false">SQRT(($B455-CC$401)^2+($C455-CC$402)^2+($D455-CC$403)^2)</f>
        <v>2.51045301904833</v>
      </c>
      <c r="CD455" s="17" t="n">
        <f aca="false">SQRT(($B455-CD$401)^2+($C455-CD$402)^2+($D455-CD$403)^2)</f>
        <v>1.60025673596884</v>
      </c>
      <c r="CE455" s="17" t="n">
        <f aca="false">SQRT(($B455-CE$401)^2+($C455-CE$402)^2+($D455-CE$403)^2)</f>
        <v>1.89779273277333</v>
      </c>
      <c r="CF455" s="17" t="n">
        <f aca="false">SQRT(($B455-CF$401)^2+($C455-CF$402)^2+($D455-CF$403)^2)</f>
        <v>3.80293520944642</v>
      </c>
      <c r="CG455" s="17" t="n">
        <f aca="false">SQRT(($B455-CG$401)^2+($C455-CG$402)^2+($D455-CG$403)^2)</f>
        <v>0.944394920951403</v>
      </c>
      <c r="CH455" s="63" t="n">
        <f aca="false">MATCH(MIN(CB455:CG455),CB455:CG455,0)</f>
        <v>6</v>
      </c>
      <c r="CJ455" s="17" t="n">
        <f aca="false">SQRT(($B455-CJ$401)^2+($C455-CJ$402)^2+($D455-CJ$403)^2)</f>
        <v>5.98912787187447</v>
      </c>
      <c r="CK455" s="17" t="n">
        <f aca="false">SQRT(($B455-CK$401)^2+($C455-CK$402)^2+($D455-CK$403)^2)</f>
        <v>2.51045301904833</v>
      </c>
      <c r="CL455" s="17" t="n">
        <f aca="false">SQRT(($B455-CL$401)^2+($C455-CL$402)^2+($D455-CL$403)^2)</f>
        <v>1.60025673596884</v>
      </c>
      <c r="CM455" s="17" t="n">
        <f aca="false">SQRT(($B455-CM$401)^2+($C455-CM$402)^2+($D455-CM$403)^2)</f>
        <v>1.89779273277333</v>
      </c>
      <c r="CN455" s="17" t="n">
        <f aca="false">SQRT(($B455-CN$401)^2+($C455-CN$402)^2+($D455-CN$403)^2)</f>
        <v>3.80293520944642</v>
      </c>
      <c r="CO455" s="17" t="n">
        <f aca="false">SQRT(($B455-CO$401)^2+($C455-CO$402)^2+($D455-CO$403)^2)</f>
        <v>0.944394920951403</v>
      </c>
      <c r="CP455" s="63" t="n">
        <f aca="false">MATCH(MIN(CJ455:CO455),CJ455:CO455,0)</f>
        <v>6</v>
      </c>
      <c r="CR455" s="17" t="n">
        <f aca="false">SQRT(($B455-CR$401)^2+($C455-CR$402)^2+($D455-CR$403)^2)</f>
        <v>5.98912787187447</v>
      </c>
      <c r="CS455" s="17" t="n">
        <f aca="false">SQRT(($B455-CS$401)^2+($C455-CS$402)^2+($D455-CS$403)^2)</f>
        <v>2.51045301904833</v>
      </c>
      <c r="CT455" s="17" t="n">
        <f aca="false">SQRT(($B455-CT$401)^2+($C455-CT$402)^2+($D455-CT$403)^2)</f>
        <v>1.60025673596884</v>
      </c>
      <c r="CU455" s="17" t="n">
        <f aca="false">SQRT(($B455-CU$401)^2+($C455-CU$402)^2+($D455-CU$403)^2)</f>
        <v>1.89779273277333</v>
      </c>
      <c r="CV455" s="17" t="n">
        <f aca="false">SQRT(($B455-CV$401)^2+($C455-CV$402)^2+($D455-CV$403)^2)</f>
        <v>3.80293520944642</v>
      </c>
      <c r="CW455" s="17" t="n">
        <f aca="false">SQRT(($B455-CW$401)^2+($C455-CW$402)^2+($D455-CW$403)^2)</f>
        <v>0.944394920951403</v>
      </c>
      <c r="CX455" s="63" t="n">
        <f aca="false">MATCH(MIN(CR455:CW455),CR455:CW455,0)</f>
        <v>6</v>
      </c>
      <c r="CZ455" s="17" t="n">
        <f aca="false">SQRT(($B455-CZ$401)^2+($C455-CZ$402)^2+($D455-CZ$403)^2)</f>
        <v>5.98912787187447</v>
      </c>
      <c r="DA455" s="17" t="n">
        <f aca="false">SQRT(($B455-DA$401)^2+($C455-DA$402)^2+($D455-DA$403)^2)</f>
        <v>2.51045301904833</v>
      </c>
      <c r="DB455" s="17" t="n">
        <f aca="false">SQRT(($B455-DB$401)^2+($C455-DB$402)^2+($D455-DB$403)^2)</f>
        <v>1.60025673596884</v>
      </c>
      <c r="DC455" s="17" t="n">
        <f aca="false">SQRT(($B455-DC$401)^2+($C455-DC$402)^2+($D455-DC$403)^2)</f>
        <v>1.89779273277333</v>
      </c>
      <c r="DD455" s="17" t="n">
        <f aca="false">SQRT(($B455-DD$401)^2+($C455-DD$402)^2+($D455-DD$403)^2)</f>
        <v>3.80293520944642</v>
      </c>
      <c r="DE455" s="17" t="n">
        <f aca="false">SQRT(($B455-DE$401)^2+($C455-DE$402)^2+($D455-DE$403)^2)</f>
        <v>0.944394920951403</v>
      </c>
      <c r="DF455" s="63" t="n">
        <f aca="false">MATCH(MIN(CZ455:DE455),CZ455:DE455,0)</f>
        <v>6</v>
      </c>
      <c r="DH455" s="17" t="n">
        <f aca="false">SQRT(($B455-DH$401)^2+($C455-DH$402)^2+($D455-DH$403)^2)</f>
        <v>5.98912787187447</v>
      </c>
      <c r="DI455" s="17" t="n">
        <f aca="false">SQRT(($B455-DI$401)^2+($C455-DI$402)^2+($D455-DI$403)^2)</f>
        <v>2.51045301904833</v>
      </c>
      <c r="DJ455" s="17" t="n">
        <f aca="false">SQRT(($B455-DJ$401)^2+($C455-DJ$402)^2+($D455-DJ$403)^2)</f>
        <v>1.60025673596884</v>
      </c>
      <c r="DK455" s="17" t="n">
        <f aca="false">SQRT(($B455-DK$401)^2+($C455-DK$402)^2+($D455-DK$403)^2)</f>
        <v>1.89779273277333</v>
      </c>
      <c r="DL455" s="17" t="n">
        <f aca="false">SQRT(($B455-DL$401)^2+($C455-DL$402)^2+($D455-DL$403)^2)</f>
        <v>3.80293520944642</v>
      </c>
      <c r="DM455" s="17" t="n">
        <f aca="false">SQRT(($B455-DM$401)^2+($C455-DM$402)^2+($D455-DM$403)^2)</f>
        <v>0.944394920951403</v>
      </c>
      <c r="DN455" s="63" t="n">
        <f aca="false">MATCH(MIN(DH455:DM455),DH455:DM455,0)</f>
        <v>6</v>
      </c>
    </row>
    <row r="456" customFormat="false" ht="15" hidden="false" customHeight="false" outlineLevel="0" collapsed="false">
      <c r="A456" s="36" t="str">
        <f aca="false">KMeans_Data!A53</f>
        <v>Skardu</v>
      </c>
      <c r="B456" s="17" t="n">
        <f aca="false">KMeans_Data!H53</f>
        <v>0.194428618785618</v>
      </c>
      <c r="C456" s="17" t="n">
        <f aca="false">KMeans_Data!I53</f>
        <v>-0.146983133929529</v>
      </c>
      <c r="D456" s="17" t="n">
        <f aca="false">KMeans_Data!J53</f>
        <v>0.795803793083582</v>
      </c>
      <c r="E456" s="63" t="n">
        <f aca="false">DN456</f>
        <v>6</v>
      </c>
      <c r="F456" s="38" t="n">
        <f aca="false">($B456-INDEX($L$401:$Q$401,E456))^2+($C456-INDEX($L$402:$Q$402,E456))^2+($D456-INDEX($L$403:$Q$403,E456))^2</f>
        <v>0.516343390125585</v>
      </c>
      <c r="G456" s="17" t="n">
        <f aca="false">IF(COUNTIF(Distance_Matrix!$E$12:$DQ$12,$E456)&lt;=1,0,SUMIF(Distance_Matrix!$E$12:$DQ$12,$E456,Distance_Matrix!$E$62:$DQ$62)/(COUNTIF(Distance_Matrix!$E$12:$DQ$12,$E456)-1))</f>
        <v>0.903707233819637</v>
      </c>
      <c r="H456" s="17" t="n">
        <f aca="false">MIN(IF(1=$E456,1E+099,IF(COUNTIF(Distance_Matrix!$E$12:$DQ$12,1)=0,1E+099,SUMIF(Distance_Matrix!$E$12:$DQ$12,1,Distance_Matrix!$E$62:$DQ$62)/COUNTIF(Distance_Matrix!$E$12:$DQ$12,1))),IF(2=$E456,1E+099,IF(COUNTIF(Distance_Matrix!$E$12:$DQ$12,2)=0,1E+099,SUMIF(Distance_Matrix!$E$12:$DQ$12,2,Distance_Matrix!$E$62:$DQ$62)/COUNTIF(Distance_Matrix!$E$12:$DQ$12,2))),IF(3=$E456,1E+099,IF(COUNTIF(Distance_Matrix!$E$12:$DQ$12,3)=0,1E+099,SUMIF(Distance_Matrix!$E$12:$DQ$12,3,Distance_Matrix!$E$62:$DQ$62)/COUNTIF(Distance_Matrix!$E$12:$DQ$12,3))),IF(4=$E456,1E+099,IF(COUNTIF(Distance_Matrix!$E$12:$DQ$12,4)=0,1E+099,SUMIF(Distance_Matrix!$E$12:$DQ$12,4,Distance_Matrix!$E$62:$DQ$62)/COUNTIF(Distance_Matrix!$E$12:$DQ$12,4))),IF(5=$E456,1E+099,IF(COUNTIF(Distance_Matrix!$E$12:$DQ$12,5)=0,1E+099,SUMIF(Distance_Matrix!$E$12:$DQ$12,5,Distance_Matrix!$E$62:$DQ$62)/COUNTIF(Distance_Matrix!$E$12:$DQ$12,5))),IF(6=$E456,1E+099,IF(COUNTIF(Distance_Matrix!$E$12:$DQ$12,6)=0,1E+099,SUMIF(Distance_Matrix!$E$12:$DQ$12,6,Distance_Matrix!$E$62:$DQ$62)/COUNTIF(Distance_Matrix!$E$12:$DQ$12,6))))</f>
        <v>1.24686953760897</v>
      </c>
      <c r="I456" s="17" t="n">
        <f aca="false">IF(COUNTIF(Distance_Matrix!$E$12:$DQ$12,$E456)&lt;=1,0,(H456-G456)/MAX(G456,H456))</f>
        <v>0.275219093448532</v>
      </c>
      <c r="X456" s="17" t="n">
        <f aca="false">SQRT(($B456-X$401)^2+($C456-X$402)^2+($D456-X$403)^2)</f>
        <v>5.7483282810053</v>
      </c>
      <c r="Y456" s="17" t="n">
        <f aca="false">SQRT(($B456-Y$401)^2+($C456-Y$402)^2+($D456-Y$403)^2)</f>
        <v>3.03601382402719</v>
      </c>
      <c r="Z456" s="17" t="n">
        <f aca="false">SQRT(($B456-Z$401)^2+($C456-Z$402)^2+($D456-Z$403)^2)</f>
        <v>1.20079425949173</v>
      </c>
      <c r="AA456" s="17" t="n">
        <f aca="false">SQRT(($B456-AA$401)^2+($C456-AA$402)^2+($D456-AA$403)^2)</f>
        <v>1.99319881835379</v>
      </c>
      <c r="AB456" s="17" t="n">
        <f aca="false">SQRT(($B456-AB$401)^2+($C456-AB$402)^2+($D456-AB$403)^2)</f>
        <v>3.62683739800656</v>
      </c>
      <c r="AC456" s="17" t="n">
        <f aca="false">SQRT(($B456-AC$401)^2+($C456-AC$402)^2+($D456-AC$403)^2)</f>
        <v>0.916021789825533</v>
      </c>
      <c r="AD456" s="63" t="n">
        <f aca="false">MATCH(MIN(X456:AC456),X456:AC456,0)</f>
        <v>6</v>
      </c>
      <c r="AF456" s="17" t="n">
        <f aca="false">SQRT(($B456-AF$401)^2+($C456-AF$402)^2+($D456-AF$403)^2)</f>
        <v>5.66942641319471</v>
      </c>
      <c r="AG456" s="17" t="n">
        <f aca="false">SQRT(($B456-AG$401)^2+($C456-AG$402)^2+($D456-AG$403)^2)</f>
        <v>2.47504103319243</v>
      </c>
      <c r="AH456" s="17" t="n">
        <f aca="false">SQRT(($B456-AH$401)^2+($C456-AH$402)^2+($D456-AH$403)^2)</f>
        <v>1.15214628632547</v>
      </c>
      <c r="AI456" s="17" t="n">
        <f aca="false">SQRT(($B456-AI$401)^2+($C456-AI$402)^2+($D456-AI$403)^2)</f>
        <v>1.69760460724299</v>
      </c>
      <c r="AJ456" s="17" t="n">
        <f aca="false">SQRT(($B456-AJ$401)^2+($C456-AJ$402)^2+($D456-AJ$403)^2)</f>
        <v>3.43534122971186</v>
      </c>
      <c r="AK456" s="17" t="n">
        <f aca="false">SQRT(($B456-AK$401)^2+($C456-AK$402)^2+($D456-AK$403)^2)</f>
        <v>0.811989290688986</v>
      </c>
      <c r="AL456" s="63" t="n">
        <f aca="false">MATCH(MIN(AF456:AK456),AF456:AK456,0)</f>
        <v>6</v>
      </c>
      <c r="AN456" s="17" t="n">
        <f aca="false">SQRT(($B456-AN$401)^2+($C456-AN$402)^2+($D456-AN$403)^2)</f>
        <v>5.66942641319471</v>
      </c>
      <c r="AO456" s="17" t="n">
        <f aca="false">SQRT(($B456-AO$401)^2+($C456-AO$402)^2+($D456-AO$403)^2)</f>
        <v>2.43277400668624</v>
      </c>
      <c r="AP456" s="17" t="n">
        <f aca="false">SQRT(($B456-AP$401)^2+($C456-AP$402)^2+($D456-AP$403)^2)</f>
        <v>1.12792598466623</v>
      </c>
      <c r="AQ456" s="17" t="n">
        <f aca="false">SQRT(($B456-AQ$401)^2+($C456-AQ$402)^2+($D456-AQ$403)^2)</f>
        <v>1.71068130520398</v>
      </c>
      <c r="AR456" s="17" t="n">
        <f aca="false">SQRT(($B456-AR$401)^2+($C456-AR$402)^2+($D456-AR$403)^2)</f>
        <v>3.43534122971186</v>
      </c>
      <c r="AS456" s="17" t="n">
        <f aca="false">SQRT(($B456-AS$401)^2+($C456-AS$402)^2+($D456-AS$403)^2)</f>
        <v>0.770823934283291</v>
      </c>
      <c r="AT456" s="63" t="n">
        <f aca="false">MATCH(MIN(AN456:AS456),AN456:AS456,0)</f>
        <v>6</v>
      </c>
      <c r="AV456" s="17" t="n">
        <f aca="false">SQRT(($B456-AV$401)^2+($C456-AV$402)^2+($D456-AV$403)^2)</f>
        <v>5.66942641319471</v>
      </c>
      <c r="AW456" s="17" t="n">
        <f aca="false">SQRT(($B456-AW$401)^2+($C456-AW$402)^2+($D456-AW$403)^2)</f>
        <v>2.40158663109314</v>
      </c>
      <c r="AX456" s="17" t="n">
        <f aca="false">SQRT(($B456-AX$401)^2+($C456-AX$402)^2+($D456-AX$403)^2)</f>
        <v>1.12792598466623</v>
      </c>
      <c r="AY456" s="17" t="n">
        <f aca="false">SQRT(($B456-AY$401)^2+($C456-AY$402)^2+($D456-AY$403)^2)</f>
        <v>1.71068130520398</v>
      </c>
      <c r="AZ456" s="17" t="n">
        <f aca="false">SQRT(($B456-AZ$401)^2+($C456-AZ$402)^2+($D456-AZ$403)^2)</f>
        <v>3.43534122971186</v>
      </c>
      <c r="BA456" s="17" t="n">
        <f aca="false">SQRT(($B456-BA$401)^2+($C456-BA$402)^2+($D456-BA$403)^2)</f>
        <v>0.744836146170459</v>
      </c>
      <c r="BB456" s="63" t="n">
        <f aca="false">MATCH(MIN(AV456:BA456),AV456:BA456,0)</f>
        <v>6</v>
      </c>
      <c r="BD456" s="17" t="n">
        <f aca="false">SQRT(($B456-BD$401)^2+($C456-BD$402)^2+($D456-BD$403)^2)</f>
        <v>5.66942641319471</v>
      </c>
      <c r="BE456" s="17" t="n">
        <f aca="false">SQRT(($B456-BE$401)^2+($C456-BE$402)^2+($D456-BE$403)^2)</f>
        <v>2.37134853962274</v>
      </c>
      <c r="BF456" s="17" t="n">
        <f aca="false">SQRT(($B456-BF$401)^2+($C456-BF$402)^2+($D456-BF$403)^2)</f>
        <v>1.12792598466623</v>
      </c>
      <c r="BG456" s="17" t="n">
        <f aca="false">SQRT(($B456-BG$401)^2+($C456-BG$402)^2+($D456-BG$403)^2)</f>
        <v>1.71068130520398</v>
      </c>
      <c r="BH456" s="17" t="n">
        <f aca="false">SQRT(($B456-BH$401)^2+($C456-BH$402)^2+($D456-BH$403)^2)</f>
        <v>3.43534122971186</v>
      </c>
      <c r="BI456" s="17" t="n">
        <f aca="false">SQRT(($B456-BI$401)^2+($C456-BI$402)^2+($D456-BI$403)^2)</f>
        <v>0.718570379382274</v>
      </c>
      <c r="BJ456" s="63" t="n">
        <f aca="false">MATCH(MIN(BD456:BI456),BD456:BI456,0)</f>
        <v>6</v>
      </c>
      <c r="BL456" s="17" t="n">
        <f aca="false">SQRT(($B456-BL$401)^2+($C456-BL$402)^2+($D456-BL$403)^2)</f>
        <v>5.66942641319471</v>
      </c>
      <c r="BM456" s="17" t="n">
        <f aca="false">SQRT(($B456-BM$401)^2+($C456-BM$402)^2+($D456-BM$403)^2)</f>
        <v>2.37134853962274</v>
      </c>
      <c r="BN456" s="17" t="n">
        <f aca="false">SQRT(($B456-BN$401)^2+($C456-BN$402)^2+($D456-BN$403)^2)</f>
        <v>1.12792598466623</v>
      </c>
      <c r="BO456" s="17" t="n">
        <f aca="false">SQRT(($B456-BO$401)^2+($C456-BO$402)^2+($D456-BO$403)^2)</f>
        <v>1.71068130520398</v>
      </c>
      <c r="BP456" s="17" t="n">
        <f aca="false">SQRT(($B456-BP$401)^2+($C456-BP$402)^2+($D456-BP$403)^2)</f>
        <v>3.43534122971186</v>
      </c>
      <c r="BQ456" s="17" t="n">
        <f aca="false">SQRT(($B456-BQ$401)^2+($C456-BQ$402)^2+($D456-BQ$403)^2)</f>
        <v>0.718570379382274</v>
      </c>
      <c r="BR456" s="63" t="n">
        <f aca="false">MATCH(MIN(BL456:BQ456),BL456:BQ456,0)</f>
        <v>6</v>
      </c>
      <c r="BT456" s="17" t="n">
        <f aca="false">SQRT(($B456-BT$401)^2+($C456-BT$402)^2+($D456-BT$403)^2)</f>
        <v>5.66942641319471</v>
      </c>
      <c r="BU456" s="17" t="n">
        <f aca="false">SQRT(($B456-BU$401)^2+($C456-BU$402)^2+($D456-BU$403)^2)</f>
        <v>2.37134853962274</v>
      </c>
      <c r="BV456" s="17" t="n">
        <f aca="false">SQRT(($B456-BV$401)^2+($C456-BV$402)^2+($D456-BV$403)^2)</f>
        <v>1.12792598466623</v>
      </c>
      <c r="BW456" s="17" t="n">
        <f aca="false">SQRT(($B456-BW$401)^2+($C456-BW$402)^2+($D456-BW$403)^2)</f>
        <v>1.71068130520398</v>
      </c>
      <c r="BX456" s="17" t="n">
        <f aca="false">SQRT(($B456-BX$401)^2+($C456-BX$402)^2+($D456-BX$403)^2)</f>
        <v>3.43534122971186</v>
      </c>
      <c r="BY456" s="17" t="n">
        <f aca="false">SQRT(($B456-BY$401)^2+($C456-BY$402)^2+($D456-BY$403)^2)</f>
        <v>0.718570379382274</v>
      </c>
      <c r="BZ456" s="63" t="n">
        <f aca="false">MATCH(MIN(BT456:BY456),BT456:BY456,0)</f>
        <v>6</v>
      </c>
      <c r="CB456" s="17" t="n">
        <f aca="false">SQRT(($B456-CB$401)^2+($C456-CB$402)^2+($D456-CB$403)^2)</f>
        <v>5.66942641319471</v>
      </c>
      <c r="CC456" s="17" t="n">
        <f aca="false">SQRT(($B456-CC$401)^2+($C456-CC$402)^2+($D456-CC$403)^2)</f>
        <v>2.37134853962274</v>
      </c>
      <c r="CD456" s="17" t="n">
        <f aca="false">SQRT(($B456-CD$401)^2+($C456-CD$402)^2+($D456-CD$403)^2)</f>
        <v>1.12792598466623</v>
      </c>
      <c r="CE456" s="17" t="n">
        <f aca="false">SQRT(($B456-CE$401)^2+($C456-CE$402)^2+($D456-CE$403)^2)</f>
        <v>1.71068130520398</v>
      </c>
      <c r="CF456" s="17" t="n">
        <f aca="false">SQRT(($B456-CF$401)^2+($C456-CF$402)^2+($D456-CF$403)^2)</f>
        <v>3.43534122971186</v>
      </c>
      <c r="CG456" s="17" t="n">
        <f aca="false">SQRT(($B456-CG$401)^2+($C456-CG$402)^2+($D456-CG$403)^2)</f>
        <v>0.718570379382274</v>
      </c>
      <c r="CH456" s="63" t="n">
        <f aca="false">MATCH(MIN(CB456:CG456),CB456:CG456,0)</f>
        <v>6</v>
      </c>
      <c r="CJ456" s="17" t="n">
        <f aca="false">SQRT(($B456-CJ$401)^2+($C456-CJ$402)^2+($D456-CJ$403)^2)</f>
        <v>5.66942641319471</v>
      </c>
      <c r="CK456" s="17" t="n">
        <f aca="false">SQRT(($B456-CK$401)^2+($C456-CK$402)^2+($D456-CK$403)^2)</f>
        <v>2.37134853962274</v>
      </c>
      <c r="CL456" s="17" t="n">
        <f aca="false">SQRT(($B456-CL$401)^2+($C456-CL$402)^2+($D456-CL$403)^2)</f>
        <v>1.12792598466623</v>
      </c>
      <c r="CM456" s="17" t="n">
        <f aca="false">SQRT(($B456-CM$401)^2+($C456-CM$402)^2+($D456-CM$403)^2)</f>
        <v>1.71068130520398</v>
      </c>
      <c r="CN456" s="17" t="n">
        <f aca="false">SQRT(($B456-CN$401)^2+($C456-CN$402)^2+($D456-CN$403)^2)</f>
        <v>3.43534122971186</v>
      </c>
      <c r="CO456" s="17" t="n">
        <f aca="false">SQRT(($B456-CO$401)^2+($C456-CO$402)^2+($D456-CO$403)^2)</f>
        <v>0.718570379382274</v>
      </c>
      <c r="CP456" s="63" t="n">
        <f aca="false">MATCH(MIN(CJ456:CO456),CJ456:CO456,0)</f>
        <v>6</v>
      </c>
      <c r="CR456" s="17" t="n">
        <f aca="false">SQRT(($B456-CR$401)^2+($C456-CR$402)^2+($D456-CR$403)^2)</f>
        <v>5.66942641319471</v>
      </c>
      <c r="CS456" s="17" t="n">
        <f aca="false">SQRT(($B456-CS$401)^2+($C456-CS$402)^2+($D456-CS$403)^2)</f>
        <v>2.37134853962274</v>
      </c>
      <c r="CT456" s="17" t="n">
        <f aca="false">SQRT(($B456-CT$401)^2+($C456-CT$402)^2+($D456-CT$403)^2)</f>
        <v>1.12792598466623</v>
      </c>
      <c r="CU456" s="17" t="n">
        <f aca="false">SQRT(($B456-CU$401)^2+($C456-CU$402)^2+($D456-CU$403)^2)</f>
        <v>1.71068130520398</v>
      </c>
      <c r="CV456" s="17" t="n">
        <f aca="false">SQRT(($B456-CV$401)^2+($C456-CV$402)^2+($D456-CV$403)^2)</f>
        <v>3.43534122971186</v>
      </c>
      <c r="CW456" s="17" t="n">
        <f aca="false">SQRT(($B456-CW$401)^2+($C456-CW$402)^2+($D456-CW$403)^2)</f>
        <v>0.718570379382274</v>
      </c>
      <c r="CX456" s="63" t="n">
        <f aca="false">MATCH(MIN(CR456:CW456),CR456:CW456,0)</f>
        <v>6</v>
      </c>
      <c r="CZ456" s="17" t="n">
        <f aca="false">SQRT(($B456-CZ$401)^2+($C456-CZ$402)^2+($D456-CZ$403)^2)</f>
        <v>5.66942641319471</v>
      </c>
      <c r="DA456" s="17" t="n">
        <f aca="false">SQRT(($B456-DA$401)^2+($C456-DA$402)^2+($D456-DA$403)^2)</f>
        <v>2.37134853962274</v>
      </c>
      <c r="DB456" s="17" t="n">
        <f aca="false">SQRT(($B456-DB$401)^2+($C456-DB$402)^2+($D456-DB$403)^2)</f>
        <v>1.12792598466623</v>
      </c>
      <c r="DC456" s="17" t="n">
        <f aca="false">SQRT(($B456-DC$401)^2+($C456-DC$402)^2+($D456-DC$403)^2)</f>
        <v>1.71068130520398</v>
      </c>
      <c r="DD456" s="17" t="n">
        <f aca="false">SQRT(($B456-DD$401)^2+($C456-DD$402)^2+($D456-DD$403)^2)</f>
        <v>3.43534122971186</v>
      </c>
      <c r="DE456" s="17" t="n">
        <f aca="false">SQRT(($B456-DE$401)^2+($C456-DE$402)^2+($D456-DE$403)^2)</f>
        <v>0.718570379382274</v>
      </c>
      <c r="DF456" s="63" t="n">
        <f aca="false">MATCH(MIN(CZ456:DE456),CZ456:DE456,0)</f>
        <v>6</v>
      </c>
      <c r="DH456" s="17" t="n">
        <f aca="false">SQRT(($B456-DH$401)^2+($C456-DH$402)^2+($D456-DH$403)^2)</f>
        <v>5.66942641319471</v>
      </c>
      <c r="DI456" s="17" t="n">
        <f aca="false">SQRT(($B456-DI$401)^2+($C456-DI$402)^2+($D456-DI$403)^2)</f>
        <v>2.37134853962274</v>
      </c>
      <c r="DJ456" s="17" t="n">
        <f aca="false">SQRT(($B456-DJ$401)^2+($C456-DJ$402)^2+($D456-DJ$403)^2)</f>
        <v>1.12792598466623</v>
      </c>
      <c r="DK456" s="17" t="n">
        <f aca="false">SQRT(($B456-DK$401)^2+($C456-DK$402)^2+($D456-DK$403)^2)</f>
        <v>1.71068130520398</v>
      </c>
      <c r="DL456" s="17" t="n">
        <f aca="false">SQRT(($B456-DL$401)^2+($C456-DL$402)^2+($D456-DL$403)^2)</f>
        <v>3.43534122971186</v>
      </c>
      <c r="DM456" s="17" t="n">
        <f aca="false">SQRT(($B456-DM$401)^2+($C456-DM$402)^2+($D456-DM$403)^2)</f>
        <v>0.718570379382274</v>
      </c>
      <c r="DN456" s="63" t="n">
        <f aca="false">MATCH(MIN(DH456:DM456),DH456:DM456,0)</f>
        <v>6</v>
      </c>
    </row>
    <row r="457" customFormat="false" ht="15" hidden="false" customHeight="false" outlineLevel="0" collapsed="false">
      <c r="A457" s="36" t="str">
        <f aca="false">KMeans_Data!A54</f>
        <v>Sialkot</v>
      </c>
      <c r="B457" s="17" t="n">
        <f aca="false">KMeans_Data!H54</f>
        <v>0.194428618785618</v>
      </c>
      <c r="C457" s="17" t="n">
        <f aca="false">KMeans_Data!I54</f>
        <v>-0.672650545388274</v>
      </c>
      <c r="D457" s="17" t="n">
        <f aca="false">KMeans_Data!J54</f>
        <v>-1.14564411633355</v>
      </c>
      <c r="E457" s="63" t="n">
        <f aca="false">DN457</f>
        <v>4</v>
      </c>
      <c r="F457" s="38" t="n">
        <f aca="false">($B457-INDEX($L$401:$Q$401,E457))^2+($C457-INDEX($L$402:$Q$402,E457))^2+($D457-INDEX($L$403:$Q$403,E457))^2</f>
        <v>0.0949748742032896</v>
      </c>
      <c r="G457" s="17" t="n">
        <f aca="false">IF(COUNTIF(Distance_Matrix!$E$12:$DQ$12,$E457)&lt;=1,0,SUMIF(Distance_Matrix!$E$12:$DQ$12,$E457,Distance_Matrix!$E$63:$DQ$63)/(COUNTIF(Distance_Matrix!$E$12:$DQ$12,$E457)-1))</f>
        <v>0.607761221169474</v>
      </c>
      <c r="H457" s="17" t="n">
        <f aca="false">MIN(IF(1=$E457,1E+099,IF(COUNTIF(Distance_Matrix!$E$12:$DQ$12,1)=0,1E+099,SUMIF(Distance_Matrix!$E$12:$DQ$12,1,Distance_Matrix!$E$63:$DQ$63)/COUNTIF(Distance_Matrix!$E$12:$DQ$12,1))),IF(2=$E457,1E+099,IF(COUNTIF(Distance_Matrix!$E$12:$DQ$12,2)=0,1E+099,SUMIF(Distance_Matrix!$E$12:$DQ$12,2,Distance_Matrix!$E$63:$DQ$63)/COUNTIF(Distance_Matrix!$E$12:$DQ$12,2))),IF(3=$E457,1E+099,IF(COUNTIF(Distance_Matrix!$E$12:$DQ$12,3)=0,1E+099,SUMIF(Distance_Matrix!$E$12:$DQ$12,3,Distance_Matrix!$E$63:$DQ$63)/COUNTIF(Distance_Matrix!$E$12:$DQ$12,3))),IF(4=$E457,1E+099,IF(COUNTIF(Distance_Matrix!$E$12:$DQ$12,4)=0,1E+099,SUMIF(Distance_Matrix!$E$12:$DQ$12,4,Distance_Matrix!$E$63:$DQ$63)/COUNTIF(Distance_Matrix!$E$12:$DQ$12,4))),IF(5=$E457,1E+099,IF(COUNTIF(Distance_Matrix!$E$12:$DQ$12,5)=0,1E+099,SUMIF(Distance_Matrix!$E$12:$DQ$12,5,Distance_Matrix!$E$63:$DQ$63)/COUNTIF(Distance_Matrix!$E$12:$DQ$12,5))),IF(6=$E457,1E+099,IF(COUNTIF(Distance_Matrix!$E$12:$DQ$12,6)=0,1E+099,SUMIF(Distance_Matrix!$E$12:$DQ$12,6,Distance_Matrix!$E$63:$DQ$63)/COUNTIF(Distance_Matrix!$E$12:$DQ$12,6))))</f>
        <v>1.4754823700355</v>
      </c>
      <c r="I457" s="17" t="n">
        <f aca="false">IF(COUNTIF(Distance_Matrix!$E$12:$DQ$12,$E457)&lt;=1,0,(H457-G457)/MAX(G457,H457))</f>
        <v>0.588093200222478</v>
      </c>
      <c r="X457" s="17" t="n">
        <f aca="false">SQRT(($B457-X$401)^2+($C457-X$402)^2+($D457-X$403)^2)</f>
        <v>7.14349075775095</v>
      </c>
      <c r="Y457" s="17" t="n">
        <f aca="false">SQRT(($B457-Y$401)^2+($C457-Y$402)^2+($D457-Y$403)^2)</f>
        <v>2.27416660058894</v>
      </c>
      <c r="Z457" s="17" t="n">
        <f aca="false">SQRT(($B457-Z$401)^2+($C457-Z$402)^2+($D457-Z$403)^2)</f>
        <v>2.94270459419819</v>
      </c>
      <c r="AA457" s="17" t="n">
        <f aca="false">SQRT(($B457-AA$401)^2+($C457-AA$402)^2+($D457-AA$403)^2)</f>
        <v>0.692782629672915</v>
      </c>
      <c r="AB457" s="17" t="n">
        <f aca="false">SQRT(($B457-AB$401)^2+($C457-AB$402)^2+($D457-AB$403)^2)</f>
        <v>5.08797804025303</v>
      </c>
      <c r="AC457" s="17" t="n">
        <f aca="false">SQRT(($B457-AC$401)^2+($C457-AC$402)^2+($D457-AC$403)^2)</f>
        <v>2.05792889081909</v>
      </c>
      <c r="AD457" s="63" t="n">
        <f aca="false">MATCH(MIN(X457:AC457),X457:AC457,0)</f>
        <v>4</v>
      </c>
      <c r="AF457" s="17" t="n">
        <f aca="false">SQRT(($B457-AF$401)^2+($C457-AF$402)^2+($D457-AF$403)^2)</f>
        <v>7.00569088065799</v>
      </c>
      <c r="AG457" s="17" t="n">
        <f aca="false">SQRT(($B457-AG$401)^2+($C457-AG$402)^2+($D457-AG$403)^2)</f>
        <v>1.51614822790974</v>
      </c>
      <c r="AH457" s="17" t="n">
        <f aca="false">SQRT(($B457-AH$401)^2+($C457-AH$402)^2+($D457-AH$403)^2)</f>
        <v>2.644010865026</v>
      </c>
      <c r="AI457" s="17" t="n">
        <f aca="false">SQRT(($B457-AI$401)^2+($C457-AI$402)^2+($D457-AI$403)^2)</f>
        <v>0.324053845344401</v>
      </c>
      <c r="AJ457" s="17" t="n">
        <f aca="false">SQRT(($B457-AJ$401)^2+($C457-AJ$402)^2+($D457-AJ$403)^2)</f>
        <v>4.74583019041973</v>
      </c>
      <c r="AK457" s="17" t="n">
        <f aca="false">SQRT(($B457-AK$401)^2+($C457-AK$402)^2+($D457-AK$403)^2)</f>
        <v>1.42347570023994</v>
      </c>
      <c r="AL457" s="63" t="n">
        <f aca="false">MATCH(MIN(AF457:AK457),AF457:AK457,0)</f>
        <v>4</v>
      </c>
      <c r="AN457" s="17" t="n">
        <f aca="false">SQRT(($B457-AN$401)^2+($C457-AN$402)^2+($D457-AN$403)^2)</f>
        <v>7.00569088065799</v>
      </c>
      <c r="AO457" s="17" t="n">
        <f aca="false">SQRT(($B457-AO$401)^2+($C457-AO$402)^2+($D457-AO$403)^2)</f>
        <v>1.47430224780229</v>
      </c>
      <c r="AP457" s="17" t="n">
        <f aca="false">SQRT(($B457-AP$401)^2+($C457-AP$402)^2+($D457-AP$403)^2)</f>
        <v>2.62023272569867</v>
      </c>
      <c r="AQ457" s="17" t="n">
        <f aca="false">SQRT(($B457-AQ$401)^2+($C457-AQ$402)^2+($D457-AQ$403)^2)</f>
        <v>0.308179938028564</v>
      </c>
      <c r="AR457" s="17" t="n">
        <f aca="false">SQRT(($B457-AR$401)^2+($C457-AR$402)^2+($D457-AR$403)^2)</f>
        <v>4.74583019041973</v>
      </c>
      <c r="AS457" s="17" t="n">
        <f aca="false">SQRT(($B457-AS$401)^2+($C457-AS$402)^2+($D457-AS$403)^2)</f>
        <v>1.43335470075928</v>
      </c>
      <c r="AT457" s="63" t="n">
        <f aca="false">MATCH(MIN(AN457:AS457),AN457:AS457,0)</f>
        <v>4</v>
      </c>
      <c r="AV457" s="17" t="n">
        <f aca="false">SQRT(($B457-AV$401)^2+($C457-AV$402)^2+($D457-AV$403)^2)</f>
        <v>7.00569088065799</v>
      </c>
      <c r="AW457" s="17" t="n">
        <f aca="false">SQRT(($B457-AW$401)^2+($C457-AW$402)^2+($D457-AW$403)^2)</f>
        <v>1.45691763615413</v>
      </c>
      <c r="AX457" s="17" t="n">
        <f aca="false">SQRT(($B457-AX$401)^2+($C457-AX$402)^2+($D457-AX$403)^2)</f>
        <v>2.62023272569867</v>
      </c>
      <c r="AY457" s="17" t="n">
        <f aca="false">SQRT(($B457-AY$401)^2+($C457-AY$402)^2+($D457-AY$403)^2)</f>
        <v>0.308179938028564</v>
      </c>
      <c r="AZ457" s="17" t="n">
        <f aca="false">SQRT(($B457-AZ$401)^2+($C457-AZ$402)^2+($D457-AZ$403)^2)</f>
        <v>4.74583019041973</v>
      </c>
      <c r="BA457" s="17" t="n">
        <f aca="false">SQRT(($B457-BA$401)^2+($C457-BA$402)^2+($D457-BA$403)^2)</f>
        <v>1.44713808956089</v>
      </c>
      <c r="BB457" s="63" t="n">
        <f aca="false">MATCH(MIN(AV457:BA457),AV457:BA457,0)</f>
        <v>4</v>
      </c>
      <c r="BD457" s="17" t="n">
        <f aca="false">SQRT(($B457-BD$401)^2+($C457-BD$402)^2+($D457-BD$403)^2)</f>
        <v>7.00569088065799</v>
      </c>
      <c r="BE457" s="17" t="n">
        <f aca="false">SQRT(($B457-BE$401)^2+($C457-BE$402)^2+($D457-BE$403)^2)</f>
        <v>1.44320959526218</v>
      </c>
      <c r="BF457" s="17" t="n">
        <f aca="false">SQRT(($B457-BF$401)^2+($C457-BF$402)^2+($D457-BF$403)^2)</f>
        <v>2.62023272569867</v>
      </c>
      <c r="BG457" s="17" t="n">
        <f aca="false">SQRT(($B457-BG$401)^2+($C457-BG$402)^2+($D457-BG$403)^2)</f>
        <v>0.308179938028564</v>
      </c>
      <c r="BH457" s="17" t="n">
        <f aca="false">SQRT(($B457-BH$401)^2+($C457-BH$402)^2+($D457-BH$403)^2)</f>
        <v>4.74583019041973</v>
      </c>
      <c r="BI457" s="17" t="n">
        <f aca="false">SQRT(($B457-BI$401)^2+($C457-BI$402)^2+($D457-BI$403)^2)</f>
        <v>1.4592992821086</v>
      </c>
      <c r="BJ457" s="63" t="n">
        <f aca="false">MATCH(MIN(BD457:BI457),BD457:BI457,0)</f>
        <v>4</v>
      </c>
      <c r="BL457" s="17" t="n">
        <f aca="false">SQRT(($B457-BL$401)^2+($C457-BL$402)^2+($D457-BL$403)^2)</f>
        <v>7.00569088065799</v>
      </c>
      <c r="BM457" s="17" t="n">
        <f aca="false">SQRT(($B457-BM$401)^2+($C457-BM$402)^2+($D457-BM$403)^2)</f>
        <v>1.44320959526218</v>
      </c>
      <c r="BN457" s="17" t="n">
        <f aca="false">SQRT(($B457-BN$401)^2+($C457-BN$402)^2+($D457-BN$403)^2)</f>
        <v>2.62023272569867</v>
      </c>
      <c r="BO457" s="17" t="n">
        <f aca="false">SQRT(($B457-BO$401)^2+($C457-BO$402)^2+($D457-BO$403)^2)</f>
        <v>0.308179938028564</v>
      </c>
      <c r="BP457" s="17" t="n">
        <f aca="false">SQRT(($B457-BP$401)^2+($C457-BP$402)^2+($D457-BP$403)^2)</f>
        <v>4.74583019041973</v>
      </c>
      <c r="BQ457" s="17" t="n">
        <f aca="false">SQRT(($B457-BQ$401)^2+($C457-BQ$402)^2+($D457-BQ$403)^2)</f>
        <v>1.4592992821086</v>
      </c>
      <c r="BR457" s="63" t="n">
        <f aca="false">MATCH(MIN(BL457:BQ457),BL457:BQ457,0)</f>
        <v>4</v>
      </c>
      <c r="BT457" s="17" t="n">
        <f aca="false">SQRT(($B457-BT$401)^2+($C457-BT$402)^2+($D457-BT$403)^2)</f>
        <v>7.00569088065799</v>
      </c>
      <c r="BU457" s="17" t="n">
        <f aca="false">SQRT(($B457-BU$401)^2+($C457-BU$402)^2+($D457-BU$403)^2)</f>
        <v>1.44320959526218</v>
      </c>
      <c r="BV457" s="17" t="n">
        <f aca="false">SQRT(($B457-BV$401)^2+($C457-BV$402)^2+($D457-BV$403)^2)</f>
        <v>2.62023272569867</v>
      </c>
      <c r="BW457" s="17" t="n">
        <f aca="false">SQRT(($B457-BW$401)^2+($C457-BW$402)^2+($D457-BW$403)^2)</f>
        <v>0.308179938028564</v>
      </c>
      <c r="BX457" s="17" t="n">
        <f aca="false">SQRT(($B457-BX$401)^2+($C457-BX$402)^2+($D457-BX$403)^2)</f>
        <v>4.74583019041973</v>
      </c>
      <c r="BY457" s="17" t="n">
        <f aca="false">SQRT(($B457-BY$401)^2+($C457-BY$402)^2+($D457-BY$403)^2)</f>
        <v>1.4592992821086</v>
      </c>
      <c r="BZ457" s="63" t="n">
        <f aca="false">MATCH(MIN(BT457:BY457),BT457:BY457,0)</f>
        <v>4</v>
      </c>
      <c r="CB457" s="17" t="n">
        <f aca="false">SQRT(($B457-CB$401)^2+($C457-CB$402)^2+($D457-CB$403)^2)</f>
        <v>7.00569088065799</v>
      </c>
      <c r="CC457" s="17" t="n">
        <f aca="false">SQRT(($B457-CC$401)^2+($C457-CC$402)^2+($D457-CC$403)^2)</f>
        <v>1.44320959526218</v>
      </c>
      <c r="CD457" s="17" t="n">
        <f aca="false">SQRT(($B457-CD$401)^2+($C457-CD$402)^2+($D457-CD$403)^2)</f>
        <v>2.62023272569867</v>
      </c>
      <c r="CE457" s="17" t="n">
        <f aca="false">SQRT(($B457-CE$401)^2+($C457-CE$402)^2+($D457-CE$403)^2)</f>
        <v>0.308179938028564</v>
      </c>
      <c r="CF457" s="17" t="n">
        <f aca="false">SQRT(($B457-CF$401)^2+($C457-CF$402)^2+($D457-CF$403)^2)</f>
        <v>4.74583019041973</v>
      </c>
      <c r="CG457" s="17" t="n">
        <f aca="false">SQRT(($B457-CG$401)^2+($C457-CG$402)^2+($D457-CG$403)^2)</f>
        <v>1.4592992821086</v>
      </c>
      <c r="CH457" s="63" t="n">
        <f aca="false">MATCH(MIN(CB457:CG457),CB457:CG457,0)</f>
        <v>4</v>
      </c>
      <c r="CJ457" s="17" t="n">
        <f aca="false">SQRT(($B457-CJ$401)^2+($C457-CJ$402)^2+($D457-CJ$403)^2)</f>
        <v>7.00569088065799</v>
      </c>
      <c r="CK457" s="17" t="n">
        <f aca="false">SQRT(($B457-CK$401)^2+($C457-CK$402)^2+($D457-CK$403)^2)</f>
        <v>1.44320959526218</v>
      </c>
      <c r="CL457" s="17" t="n">
        <f aca="false">SQRT(($B457-CL$401)^2+($C457-CL$402)^2+($D457-CL$403)^2)</f>
        <v>2.62023272569867</v>
      </c>
      <c r="CM457" s="17" t="n">
        <f aca="false">SQRT(($B457-CM$401)^2+($C457-CM$402)^2+($D457-CM$403)^2)</f>
        <v>0.308179938028564</v>
      </c>
      <c r="CN457" s="17" t="n">
        <f aca="false">SQRT(($B457-CN$401)^2+($C457-CN$402)^2+($D457-CN$403)^2)</f>
        <v>4.74583019041973</v>
      </c>
      <c r="CO457" s="17" t="n">
        <f aca="false">SQRT(($B457-CO$401)^2+($C457-CO$402)^2+($D457-CO$403)^2)</f>
        <v>1.4592992821086</v>
      </c>
      <c r="CP457" s="63" t="n">
        <f aca="false">MATCH(MIN(CJ457:CO457),CJ457:CO457,0)</f>
        <v>4</v>
      </c>
      <c r="CR457" s="17" t="n">
        <f aca="false">SQRT(($B457-CR$401)^2+($C457-CR$402)^2+($D457-CR$403)^2)</f>
        <v>7.00569088065799</v>
      </c>
      <c r="CS457" s="17" t="n">
        <f aca="false">SQRT(($B457-CS$401)^2+($C457-CS$402)^2+($D457-CS$403)^2)</f>
        <v>1.44320959526218</v>
      </c>
      <c r="CT457" s="17" t="n">
        <f aca="false">SQRT(($B457-CT$401)^2+($C457-CT$402)^2+($D457-CT$403)^2)</f>
        <v>2.62023272569867</v>
      </c>
      <c r="CU457" s="17" t="n">
        <f aca="false">SQRT(($B457-CU$401)^2+($C457-CU$402)^2+($D457-CU$403)^2)</f>
        <v>0.308179938028564</v>
      </c>
      <c r="CV457" s="17" t="n">
        <f aca="false">SQRT(($B457-CV$401)^2+($C457-CV$402)^2+($D457-CV$403)^2)</f>
        <v>4.74583019041973</v>
      </c>
      <c r="CW457" s="17" t="n">
        <f aca="false">SQRT(($B457-CW$401)^2+($C457-CW$402)^2+($D457-CW$403)^2)</f>
        <v>1.4592992821086</v>
      </c>
      <c r="CX457" s="63" t="n">
        <f aca="false">MATCH(MIN(CR457:CW457),CR457:CW457,0)</f>
        <v>4</v>
      </c>
      <c r="CZ457" s="17" t="n">
        <f aca="false">SQRT(($B457-CZ$401)^2+($C457-CZ$402)^2+($D457-CZ$403)^2)</f>
        <v>7.00569088065799</v>
      </c>
      <c r="DA457" s="17" t="n">
        <f aca="false">SQRT(($B457-DA$401)^2+($C457-DA$402)^2+($D457-DA$403)^2)</f>
        <v>1.44320959526218</v>
      </c>
      <c r="DB457" s="17" t="n">
        <f aca="false">SQRT(($B457-DB$401)^2+($C457-DB$402)^2+($D457-DB$403)^2)</f>
        <v>2.62023272569867</v>
      </c>
      <c r="DC457" s="17" t="n">
        <f aca="false">SQRT(($B457-DC$401)^2+($C457-DC$402)^2+($D457-DC$403)^2)</f>
        <v>0.308179938028564</v>
      </c>
      <c r="DD457" s="17" t="n">
        <f aca="false">SQRT(($B457-DD$401)^2+($C457-DD$402)^2+($D457-DD$403)^2)</f>
        <v>4.74583019041973</v>
      </c>
      <c r="DE457" s="17" t="n">
        <f aca="false">SQRT(($B457-DE$401)^2+($C457-DE$402)^2+($D457-DE$403)^2)</f>
        <v>1.4592992821086</v>
      </c>
      <c r="DF457" s="63" t="n">
        <f aca="false">MATCH(MIN(CZ457:DE457),CZ457:DE457,0)</f>
        <v>4</v>
      </c>
      <c r="DH457" s="17" t="n">
        <f aca="false">SQRT(($B457-DH$401)^2+($C457-DH$402)^2+($D457-DH$403)^2)</f>
        <v>7.00569088065799</v>
      </c>
      <c r="DI457" s="17" t="n">
        <f aca="false">SQRT(($B457-DI$401)^2+($C457-DI$402)^2+($D457-DI$403)^2)</f>
        <v>1.44320959526218</v>
      </c>
      <c r="DJ457" s="17" t="n">
        <f aca="false">SQRT(($B457-DJ$401)^2+($C457-DJ$402)^2+($D457-DJ$403)^2)</f>
        <v>2.62023272569867</v>
      </c>
      <c r="DK457" s="17" t="n">
        <f aca="false">SQRT(($B457-DK$401)^2+($C457-DK$402)^2+($D457-DK$403)^2)</f>
        <v>0.308179938028564</v>
      </c>
      <c r="DL457" s="17" t="n">
        <f aca="false">SQRT(($B457-DL$401)^2+($C457-DL$402)^2+($D457-DL$403)^2)</f>
        <v>4.74583019041973</v>
      </c>
      <c r="DM457" s="17" t="n">
        <f aca="false">SQRT(($B457-DM$401)^2+($C457-DM$402)^2+($D457-DM$403)^2)</f>
        <v>1.4592992821086</v>
      </c>
      <c r="DN457" s="63" t="n">
        <f aca="false">MATCH(MIN(DH457:DM457),DH457:DM457,0)</f>
        <v>4</v>
      </c>
    </row>
    <row r="458" customFormat="false" ht="15" hidden="false" customHeight="false" outlineLevel="0" collapsed="false">
      <c r="A458" s="36" t="str">
        <f aca="false">KMeans_Data!A55</f>
        <v>Faisalabad</v>
      </c>
      <c r="B458" s="17" t="n">
        <f aca="false">KMeans_Data!H55</f>
        <v>0.187798337815286</v>
      </c>
      <c r="C458" s="17" t="n">
        <f aca="false">KMeans_Data!I55</f>
        <v>-0.672650545388274</v>
      </c>
      <c r="D458" s="17" t="n">
        <f aca="false">KMeans_Data!J55</f>
        <v>-1.14564411633355</v>
      </c>
      <c r="E458" s="63" t="n">
        <f aca="false">DN458</f>
        <v>4</v>
      </c>
      <c r="F458" s="38" t="n">
        <f aca="false">($B458-INDEX($L$401:$Q$401,E458))^2+($C458-INDEX($L$402:$Q$402,E458))^2+($D458-INDEX($L$403:$Q$403,E458))^2</f>
        <v>0.0942727687418875</v>
      </c>
      <c r="G458" s="17" t="n">
        <f aca="false">IF(COUNTIF(Distance_Matrix!$E$12:$DQ$12,$E458)&lt;=1,0,SUMIF(Distance_Matrix!$E$12:$DQ$12,$E458,Distance_Matrix!$E$64:$DQ$64)/(COUNTIF(Distance_Matrix!$E$12:$DQ$12,$E458)-1))</f>
        <v>0.606210834973099</v>
      </c>
      <c r="H458" s="17" t="n">
        <f aca="false">MIN(IF(1=$E458,1E+099,IF(COUNTIF(Distance_Matrix!$E$12:$DQ$12,1)=0,1E+099,SUMIF(Distance_Matrix!$E$12:$DQ$12,1,Distance_Matrix!$E$64:$DQ$64)/COUNTIF(Distance_Matrix!$E$12:$DQ$12,1))),IF(2=$E458,1E+099,IF(COUNTIF(Distance_Matrix!$E$12:$DQ$12,2)=0,1E+099,SUMIF(Distance_Matrix!$E$12:$DQ$12,2,Distance_Matrix!$E$64:$DQ$64)/COUNTIF(Distance_Matrix!$E$12:$DQ$12,2))),IF(3=$E458,1E+099,IF(COUNTIF(Distance_Matrix!$E$12:$DQ$12,3)=0,1E+099,SUMIF(Distance_Matrix!$E$12:$DQ$12,3,Distance_Matrix!$E$64:$DQ$64)/COUNTIF(Distance_Matrix!$E$12:$DQ$12,3))),IF(4=$E458,1E+099,IF(COUNTIF(Distance_Matrix!$E$12:$DQ$12,4)=0,1E+099,SUMIF(Distance_Matrix!$E$12:$DQ$12,4,Distance_Matrix!$E$64:$DQ$64)/COUNTIF(Distance_Matrix!$E$12:$DQ$12,4))),IF(5=$E458,1E+099,IF(COUNTIF(Distance_Matrix!$E$12:$DQ$12,5)=0,1E+099,SUMIF(Distance_Matrix!$E$12:$DQ$12,5,Distance_Matrix!$E$64:$DQ$64)/COUNTIF(Distance_Matrix!$E$12:$DQ$12,5))),IF(6=$E458,1E+099,IF(COUNTIF(Distance_Matrix!$E$12:$DQ$12,6)=0,1E+099,SUMIF(Distance_Matrix!$E$12:$DQ$12,6,Distance_Matrix!$E$64:$DQ$64)/COUNTIF(Distance_Matrix!$E$12:$DQ$12,6))))</f>
        <v>1.469048791184</v>
      </c>
      <c r="I458" s="17" t="n">
        <f aca="false">IF(COUNTIF(Distance_Matrix!$E$12:$DQ$12,$E458)&lt;=1,0,(H458-G458)/MAX(G458,H458))</f>
        <v>0.587344655527394</v>
      </c>
      <c r="X458" s="17" t="n">
        <f aca="false">SQRT(($B458-X$401)^2+($C458-X$402)^2+($D458-X$403)^2)</f>
        <v>7.14635187409098</v>
      </c>
      <c r="Y458" s="17" t="n">
        <f aca="false">SQRT(($B458-Y$401)^2+($C458-Y$402)^2+($D458-Y$403)^2)</f>
        <v>2.26753631961861</v>
      </c>
      <c r="Z458" s="17" t="n">
        <f aca="false">SQRT(($B458-Z$401)^2+($C458-Z$402)^2+($D458-Z$403)^2)</f>
        <v>2.94461062391018</v>
      </c>
      <c r="AA458" s="17" t="n">
        <f aca="false">SQRT(($B458-AA$401)^2+($C458-AA$402)^2+($D458-AA$403)^2)</f>
        <v>0.697119421223826</v>
      </c>
      <c r="AB458" s="17" t="n">
        <f aca="false">SQRT(($B458-AB$401)^2+($C458-AB$402)^2+($D458-AB$403)^2)</f>
        <v>5.09080949239547</v>
      </c>
      <c r="AC458" s="17" t="n">
        <f aca="false">SQRT(($B458-AC$401)^2+($C458-AC$402)^2+($D458-AC$403)^2)</f>
        <v>2.05503591231986</v>
      </c>
      <c r="AD458" s="63" t="n">
        <f aca="false">MATCH(MIN(X458:AC458),X458:AC458,0)</f>
        <v>4</v>
      </c>
      <c r="AF458" s="17" t="n">
        <f aca="false">SQRT(($B458-AF$401)^2+($C458-AF$402)^2+($D458-AF$403)^2)</f>
        <v>7.008596824426</v>
      </c>
      <c r="AG458" s="17" t="n">
        <f aca="false">SQRT(($B458-AG$401)^2+($C458-AG$402)^2+($D458-AG$403)^2)</f>
        <v>1.50952233564348</v>
      </c>
      <c r="AH458" s="17" t="n">
        <f aca="false">SQRT(($B458-AH$401)^2+($C458-AH$402)^2+($D458-AH$403)^2)</f>
        <v>2.64546213327039</v>
      </c>
      <c r="AI458" s="17" t="n">
        <f aca="false">SQRT(($B458-AI$401)^2+($C458-AI$402)^2+($D458-AI$403)^2)</f>
        <v>0.323084639398515</v>
      </c>
      <c r="AJ458" s="17" t="n">
        <f aca="false">SQRT(($B458-AJ$401)^2+($C458-AJ$402)^2+($D458-AJ$403)^2)</f>
        <v>4.74848744750362</v>
      </c>
      <c r="AK458" s="17" t="n">
        <f aca="false">SQRT(($B458-AK$401)^2+($C458-AK$402)^2+($D458-AK$403)^2)</f>
        <v>1.42135036610829</v>
      </c>
      <c r="AL458" s="63" t="n">
        <f aca="false">MATCH(MIN(AF458:AK458),AF458:AK458,0)</f>
        <v>4</v>
      </c>
      <c r="AN458" s="17" t="n">
        <f aca="false">SQRT(($B458-AN$401)^2+($C458-AN$402)^2+($D458-AN$403)^2)</f>
        <v>7.008596824426</v>
      </c>
      <c r="AO458" s="17" t="n">
        <f aca="false">SQRT(($B458-AO$401)^2+($C458-AO$402)^2+($D458-AO$403)^2)</f>
        <v>1.46768053816768</v>
      </c>
      <c r="AP458" s="17" t="n">
        <f aca="false">SQRT(($B458-AP$401)^2+($C458-AP$402)^2+($D458-AP$403)^2)</f>
        <v>2.6216270981947</v>
      </c>
      <c r="AQ458" s="17" t="n">
        <f aca="false">SQRT(($B458-AQ$401)^2+($C458-AQ$402)^2+($D458-AQ$403)^2)</f>
        <v>0.307038708865654</v>
      </c>
      <c r="AR458" s="17" t="n">
        <f aca="false">SQRT(($B458-AR$401)^2+($C458-AR$402)^2+($D458-AR$403)^2)</f>
        <v>4.74848744750362</v>
      </c>
      <c r="AS458" s="17" t="n">
        <f aca="false">SQRT(($B458-AS$401)^2+($C458-AS$402)^2+($D458-AS$403)^2)</f>
        <v>1.43142799263406</v>
      </c>
      <c r="AT458" s="63" t="n">
        <f aca="false">MATCH(MIN(AN458:AS458),AN458:AS458,0)</f>
        <v>4</v>
      </c>
      <c r="AV458" s="17" t="n">
        <f aca="false">SQRT(($B458-AV$401)^2+($C458-AV$402)^2+($D458-AV$403)^2)</f>
        <v>7.008596824426</v>
      </c>
      <c r="AW458" s="17" t="n">
        <f aca="false">SQRT(($B458-AW$401)^2+($C458-AW$402)^2+($D458-AW$403)^2)</f>
        <v>1.45030298483909</v>
      </c>
      <c r="AX458" s="17" t="n">
        <f aca="false">SQRT(($B458-AX$401)^2+($C458-AX$402)^2+($D458-AX$403)^2)</f>
        <v>2.6216270981947</v>
      </c>
      <c r="AY458" s="17" t="n">
        <f aca="false">SQRT(($B458-AY$401)^2+($C458-AY$402)^2+($D458-AY$403)^2)</f>
        <v>0.307038708865654</v>
      </c>
      <c r="AZ458" s="17" t="n">
        <f aca="false">SQRT(($B458-AZ$401)^2+($C458-AZ$402)^2+($D458-AZ$403)^2)</f>
        <v>4.74848744750362</v>
      </c>
      <c r="BA458" s="17" t="n">
        <f aca="false">SQRT(($B458-BA$401)^2+($C458-BA$402)^2+($D458-BA$403)^2)</f>
        <v>1.4453077860285</v>
      </c>
      <c r="BB458" s="63" t="n">
        <f aca="false">MATCH(MIN(AV458:BA458),AV458:BA458,0)</f>
        <v>4</v>
      </c>
      <c r="BD458" s="17" t="n">
        <f aca="false">SQRT(($B458-BD$401)^2+($C458-BD$402)^2+($D458-BD$403)^2)</f>
        <v>7.008596824426</v>
      </c>
      <c r="BE458" s="17" t="n">
        <f aca="false">SQRT(($B458-BE$401)^2+($C458-BE$402)^2+($D458-BE$403)^2)</f>
        <v>1.43660487875535</v>
      </c>
      <c r="BF458" s="17" t="n">
        <f aca="false">SQRT(($B458-BF$401)^2+($C458-BF$402)^2+($D458-BF$403)^2)</f>
        <v>2.6216270981947</v>
      </c>
      <c r="BG458" s="17" t="n">
        <f aca="false">SQRT(($B458-BG$401)^2+($C458-BG$402)^2+($D458-BG$403)^2)</f>
        <v>0.307038708865654</v>
      </c>
      <c r="BH458" s="17" t="n">
        <f aca="false">SQRT(($B458-BH$401)^2+($C458-BH$402)^2+($D458-BH$403)^2)</f>
        <v>4.74848744750362</v>
      </c>
      <c r="BI458" s="17" t="n">
        <f aca="false">SQRT(($B458-BI$401)^2+($C458-BI$402)^2+($D458-BI$403)^2)</f>
        <v>1.45757289704616</v>
      </c>
      <c r="BJ458" s="63" t="n">
        <f aca="false">MATCH(MIN(BD458:BI458),BD458:BI458,0)</f>
        <v>4</v>
      </c>
      <c r="BL458" s="17" t="n">
        <f aca="false">SQRT(($B458-BL$401)^2+($C458-BL$402)^2+($D458-BL$403)^2)</f>
        <v>7.008596824426</v>
      </c>
      <c r="BM458" s="17" t="n">
        <f aca="false">SQRT(($B458-BM$401)^2+($C458-BM$402)^2+($D458-BM$403)^2)</f>
        <v>1.43660487875535</v>
      </c>
      <c r="BN458" s="17" t="n">
        <f aca="false">SQRT(($B458-BN$401)^2+($C458-BN$402)^2+($D458-BN$403)^2)</f>
        <v>2.6216270981947</v>
      </c>
      <c r="BO458" s="17" t="n">
        <f aca="false">SQRT(($B458-BO$401)^2+($C458-BO$402)^2+($D458-BO$403)^2)</f>
        <v>0.307038708865654</v>
      </c>
      <c r="BP458" s="17" t="n">
        <f aca="false">SQRT(($B458-BP$401)^2+($C458-BP$402)^2+($D458-BP$403)^2)</f>
        <v>4.74848744750362</v>
      </c>
      <c r="BQ458" s="17" t="n">
        <f aca="false">SQRT(($B458-BQ$401)^2+($C458-BQ$402)^2+($D458-BQ$403)^2)</f>
        <v>1.45757289704616</v>
      </c>
      <c r="BR458" s="63" t="n">
        <f aca="false">MATCH(MIN(BL458:BQ458),BL458:BQ458,0)</f>
        <v>4</v>
      </c>
      <c r="BT458" s="17" t="n">
        <f aca="false">SQRT(($B458-BT$401)^2+($C458-BT$402)^2+($D458-BT$403)^2)</f>
        <v>7.008596824426</v>
      </c>
      <c r="BU458" s="17" t="n">
        <f aca="false">SQRT(($B458-BU$401)^2+($C458-BU$402)^2+($D458-BU$403)^2)</f>
        <v>1.43660487875535</v>
      </c>
      <c r="BV458" s="17" t="n">
        <f aca="false">SQRT(($B458-BV$401)^2+($C458-BV$402)^2+($D458-BV$403)^2)</f>
        <v>2.6216270981947</v>
      </c>
      <c r="BW458" s="17" t="n">
        <f aca="false">SQRT(($B458-BW$401)^2+($C458-BW$402)^2+($D458-BW$403)^2)</f>
        <v>0.307038708865654</v>
      </c>
      <c r="BX458" s="17" t="n">
        <f aca="false">SQRT(($B458-BX$401)^2+($C458-BX$402)^2+($D458-BX$403)^2)</f>
        <v>4.74848744750362</v>
      </c>
      <c r="BY458" s="17" t="n">
        <f aca="false">SQRT(($B458-BY$401)^2+($C458-BY$402)^2+($D458-BY$403)^2)</f>
        <v>1.45757289704616</v>
      </c>
      <c r="BZ458" s="63" t="n">
        <f aca="false">MATCH(MIN(BT458:BY458),BT458:BY458,0)</f>
        <v>4</v>
      </c>
      <c r="CB458" s="17" t="n">
        <f aca="false">SQRT(($B458-CB$401)^2+($C458-CB$402)^2+($D458-CB$403)^2)</f>
        <v>7.008596824426</v>
      </c>
      <c r="CC458" s="17" t="n">
        <f aca="false">SQRT(($B458-CC$401)^2+($C458-CC$402)^2+($D458-CC$403)^2)</f>
        <v>1.43660487875535</v>
      </c>
      <c r="CD458" s="17" t="n">
        <f aca="false">SQRT(($B458-CD$401)^2+($C458-CD$402)^2+($D458-CD$403)^2)</f>
        <v>2.6216270981947</v>
      </c>
      <c r="CE458" s="17" t="n">
        <f aca="false">SQRT(($B458-CE$401)^2+($C458-CE$402)^2+($D458-CE$403)^2)</f>
        <v>0.307038708865654</v>
      </c>
      <c r="CF458" s="17" t="n">
        <f aca="false">SQRT(($B458-CF$401)^2+($C458-CF$402)^2+($D458-CF$403)^2)</f>
        <v>4.74848744750362</v>
      </c>
      <c r="CG458" s="17" t="n">
        <f aca="false">SQRT(($B458-CG$401)^2+($C458-CG$402)^2+($D458-CG$403)^2)</f>
        <v>1.45757289704616</v>
      </c>
      <c r="CH458" s="63" t="n">
        <f aca="false">MATCH(MIN(CB458:CG458),CB458:CG458,0)</f>
        <v>4</v>
      </c>
      <c r="CJ458" s="17" t="n">
        <f aca="false">SQRT(($B458-CJ$401)^2+($C458-CJ$402)^2+($D458-CJ$403)^2)</f>
        <v>7.008596824426</v>
      </c>
      <c r="CK458" s="17" t="n">
        <f aca="false">SQRT(($B458-CK$401)^2+($C458-CK$402)^2+($D458-CK$403)^2)</f>
        <v>1.43660487875535</v>
      </c>
      <c r="CL458" s="17" t="n">
        <f aca="false">SQRT(($B458-CL$401)^2+($C458-CL$402)^2+($D458-CL$403)^2)</f>
        <v>2.6216270981947</v>
      </c>
      <c r="CM458" s="17" t="n">
        <f aca="false">SQRT(($B458-CM$401)^2+($C458-CM$402)^2+($D458-CM$403)^2)</f>
        <v>0.307038708865654</v>
      </c>
      <c r="CN458" s="17" t="n">
        <f aca="false">SQRT(($B458-CN$401)^2+($C458-CN$402)^2+($D458-CN$403)^2)</f>
        <v>4.74848744750362</v>
      </c>
      <c r="CO458" s="17" t="n">
        <f aca="false">SQRT(($B458-CO$401)^2+($C458-CO$402)^2+($D458-CO$403)^2)</f>
        <v>1.45757289704616</v>
      </c>
      <c r="CP458" s="63" t="n">
        <f aca="false">MATCH(MIN(CJ458:CO458),CJ458:CO458,0)</f>
        <v>4</v>
      </c>
      <c r="CR458" s="17" t="n">
        <f aca="false">SQRT(($B458-CR$401)^2+($C458-CR$402)^2+($D458-CR$403)^2)</f>
        <v>7.008596824426</v>
      </c>
      <c r="CS458" s="17" t="n">
        <f aca="false">SQRT(($B458-CS$401)^2+($C458-CS$402)^2+($D458-CS$403)^2)</f>
        <v>1.43660487875535</v>
      </c>
      <c r="CT458" s="17" t="n">
        <f aca="false">SQRT(($B458-CT$401)^2+($C458-CT$402)^2+($D458-CT$403)^2)</f>
        <v>2.6216270981947</v>
      </c>
      <c r="CU458" s="17" t="n">
        <f aca="false">SQRT(($B458-CU$401)^2+($C458-CU$402)^2+($D458-CU$403)^2)</f>
        <v>0.307038708865654</v>
      </c>
      <c r="CV458" s="17" t="n">
        <f aca="false">SQRT(($B458-CV$401)^2+($C458-CV$402)^2+($D458-CV$403)^2)</f>
        <v>4.74848744750362</v>
      </c>
      <c r="CW458" s="17" t="n">
        <f aca="false">SQRT(($B458-CW$401)^2+($C458-CW$402)^2+($D458-CW$403)^2)</f>
        <v>1.45757289704616</v>
      </c>
      <c r="CX458" s="63" t="n">
        <f aca="false">MATCH(MIN(CR458:CW458),CR458:CW458,0)</f>
        <v>4</v>
      </c>
      <c r="CZ458" s="17" t="n">
        <f aca="false">SQRT(($B458-CZ$401)^2+($C458-CZ$402)^2+($D458-CZ$403)^2)</f>
        <v>7.008596824426</v>
      </c>
      <c r="DA458" s="17" t="n">
        <f aca="false">SQRT(($B458-DA$401)^2+($C458-DA$402)^2+($D458-DA$403)^2)</f>
        <v>1.43660487875535</v>
      </c>
      <c r="DB458" s="17" t="n">
        <f aca="false">SQRT(($B458-DB$401)^2+($C458-DB$402)^2+($D458-DB$403)^2)</f>
        <v>2.6216270981947</v>
      </c>
      <c r="DC458" s="17" t="n">
        <f aca="false">SQRT(($B458-DC$401)^2+($C458-DC$402)^2+($D458-DC$403)^2)</f>
        <v>0.307038708865654</v>
      </c>
      <c r="DD458" s="17" t="n">
        <f aca="false">SQRT(($B458-DD$401)^2+($C458-DD$402)^2+($D458-DD$403)^2)</f>
        <v>4.74848744750362</v>
      </c>
      <c r="DE458" s="17" t="n">
        <f aca="false">SQRT(($B458-DE$401)^2+($C458-DE$402)^2+($D458-DE$403)^2)</f>
        <v>1.45757289704616</v>
      </c>
      <c r="DF458" s="63" t="n">
        <f aca="false">MATCH(MIN(CZ458:DE458),CZ458:DE458,0)</f>
        <v>4</v>
      </c>
      <c r="DH458" s="17" t="n">
        <f aca="false">SQRT(($B458-DH$401)^2+($C458-DH$402)^2+($D458-DH$403)^2)</f>
        <v>7.008596824426</v>
      </c>
      <c r="DI458" s="17" t="n">
        <f aca="false">SQRT(($B458-DI$401)^2+($C458-DI$402)^2+($D458-DI$403)^2)</f>
        <v>1.43660487875535</v>
      </c>
      <c r="DJ458" s="17" t="n">
        <f aca="false">SQRT(($B458-DJ$401)^2+($C458-DJ$402)^2+($D458-DJ$403)^2)</f>
        <v>2.6216270981947</v>
      </c>
      <c r="DK458" s="17" t="n">
        <f aca="false">SQRT(($B458-DK$401)^2+($C458-DK$402)^2+($D458-DK$403)^2)</f>
        <v>0.307038708865654</v>
      </c>
      <c r="DL458" s="17" t="n">
        <f aca="false">SQRT(($B458-DL$401)^2+($C458-DL$402)^2+($D458-DL$403)^2)</f>
        <v>4.74848744750362</v>
      </c>
      <c r="DM458" s="17" t="n">
        <f aca="false">SQRT(($B458-DM$401)^2+($C458-DM$402)^2+($D458-DM$403)^2)</f>
        <v>1.45757289704616</v>
      </c>
      <c r="DN458" s="63" t="n">
        <f aca="false">MATCH(MIN(DH458:DM458),DH458:DM458,0)</f>
        <v>4</v>
      </c>
    </row>
    <row r="459" customFormat="false" ht="15" hidden="false" customHeight="false" outlineLevel="0" collapsed="false">
      <c r="A459" s="36" t="str">
        <f aca="false">KMeans_Data!A56</f>
        <v>Jhelum</v>
      </c>
      <c r="B459" s="17" t="n">
        <f aca="false">KMeans_Data!H56</f>
        <v>0.167385132550892</v>
      </c>
      <c r="C459" s="17" t="n">
        <f aca="false">KMeans_Data!I56</f>
        <v>-0.672650545388274</v>
      </c>
      <c r="D459" s="17" t="n">
        <f aca="false">KMeans_Data!J56</f>
        <v>-0.503247915463979</v>
      </c>
      <c r="E459" s="63" t="n">
        <f aca="false">DN459</f>
        <v>4</v>
      </c>
      <c r="F459" s="38" t="n">
        <f aca="false">($B459-INDEX($L$401:$Q$401,E459))^2+($C459-INDEX($L$402:$Q$402,E459))^2+($D459-INDEX($L$403:$Q$403,E459))^2</f>
        <v>0.140064910983273</v>
      </c>
      <c r="G459" s="17" t="n">
        <f aca="false">IF(COUNTIF(Distance_Matrix!$E$12:$DQ$12,$E459)&lt;=1,0,SUMIF(Distance_Matrix!$E$12:$DQ$12,$E459,Distance_Matrix!$E$65:$DQ$65)/(COUNTIF(Distance_Matrix!$E$12:$DQ$12,$E459)-1))</f>
        <v>0.678874218490802</v>
      </c>
      <c r="H459" s="17" t="n">
        <f aca="false">MIN(IF(1=$E459,1E+099,IF(COUNTIF(Distance_Matrix!$E$12:$DQ$12,1)=0,1E+099,SUMIF(Distance_Matrix!$E$12:$DQ$12,1,Distance_Matrix!$E$65:$DQ$65)/COUNTIF(Distance_Matrix!$E$12:$DQ$12,1))),IF(2=$E459,1E+099,IF(COUNTIF(Distance_Matrix!$E$12:$DQ$12,2)=0,1E+099,SUMIF(Distance_Matrix!$E$12:$DQ$12,2,Distance_Matrix!$E$65:$DQ$65)/COUNTIF(Distance_Matrix!$E$12:$DQ$12,2))),IF(3=$E459,1E+099,IF(COUNTIF(Distance_Matrix!$E$12:$DQ$12,3)=0,1E+099,SUMIF(Distance_Matrix!$E$12:$DQ$12,3,Distance_Matrix!$E$65:$DQ$65)/COUNTIF(Distance_Matrix!$E$12:$DQ$12,3))),IF(4=$E459,1E+099,IF(COUNTIF(Distance_Matrix!$E$12:$DQ$12,4)=0,1E+099,SUMIF(Distance_Matrix!$E$12:$DQ$12,4,Distance_Matrix!$E$65:$DQ$65)/COUNTIF(Distance_Matrix!$E$12:$DQ$12,4))),IF(5=$E459,1E+099,IF(COUNTIF(Distance_Matrix!$E$12:$DQ$12,5)=0,1E+099,SUMIF(Distance_Matrix!$E$12:$DQ$12,5,Distance_Matrix!$E$65:$DQ$65)/COUNTIF(Distance_Matrix!$E$12:$DQ$12,5))),IF(6=$E459,1E+099,IF(COUNTIF(Distance_Matrix!$E$12:$DQ$12,6)=0,1E+099,SUMIF(Distance_Matrix!$E$12:$DQ$12,6,Distance_Matrix!$E$65:$DQ$65)/COUNTIF(Distance_Matrix!$E$12:$DQ$12,6))))</f>
        <v>1.04675210338386</v>
      </c>
      <c r="I459" s="17" t="n">
        <f aca="false">IF(COUNTIF(Distance_Matrix!$E$12:$DQ$12,$E459)&lt;=1,0,(H459-G459)/MAX(G459,H459))</f>
        <v>0.351446998485897</v>
      </c>
      <c r="X459" s="17" t="n">
        <f aca="false">SQRT(($B459-X$401)^2+($C459-X$402)^2+($D459-X$403)^2)</f>
        <v>6.77926767473373</v>
      </c>
      <c r="Y459" s="17" t="n">
        <f aca="false">SQRT(($B459-Y$401)^2+($C459-Y$402)^2+($D459-Y$403)^2)</f>
        <v>2.33714252238854</v>
      </c>
      <c r="Z459" s="17" t="n">
        <f aca="false">SQRT(($B459-Z$401)^2+($C459-Z$402)^2+($D459-Z$403)^2)</f>
        <v>2.39946355433655</v>
      </c>
      <c r="AA459" s="17" t="n">
        <f aca="false">SQRT(($B459-AA$401)^2+($C459-AA$402)^2+($D459-AA$403)^2)</f>
        <v>0.957997101567507</v>
      </c>
      <c r="AB459" s="17" t="n">
        <f aca="false">SQRT(($B459-AB$401)^2+($C459-AB$402)^2+($D459-AB$403)^2)</f>
        <v>4.67957261103997</v>
      </c>
      <c r="AC459" s="17" t="n">
        <f aca="false">SQRT(($B459-AC$401)^2+($C459-AC$402)^2+($D459-AC$403)^2)</f>
        <v>1.52326613593876</v>
      </c>
      <c r="AD459" s="63" t="n">
        <f aca="false">MATCH(MIN(X459:AC459),X459:AC459,0)</f>
        <v>4</v>
      </c>
      <c r="AF459" s="17" t="n">
        <f aca="false">SQRT(($B459-AF$401)^2+($C459-AF$402)^2+($D459-AF$403)^2)</f>
        <v>6.6615043718416</v>
      </c>
      <c r="AG459" s="17" t="n">
        <f aca="false">SQRT(($B459-AG$401)^2+($C459-AG$402)^2+($D459-AG$403)^2)</f>
        <v>1.60182314371735</v>
      </c>
      <c r="AH459" s="17" t="n">
        <f aca="false">SQRT(($B459-AH$401)^2+($C459-AH$402)^2+($D459-AH$403)^2)</f>
        <v>2.17920847199164</v>
      </c>
      <c r="AI459" s="17" t="n">
        <f aca="false">SQRT(($B459-AI$401)^2+($C459-AI$402)^2+($D459-AI$403)^2)</f>
        <v>0.378015716427755</v>
      </c>
      <c r="AJ459" s="17" t="n">
        <f aca="false">SQRT(($B459-AJ$401)^2+($C459-AJ$402)^2+($D459-AJ$403)^2)</f>
        <v>4.38974194059142</v>
      </c>
      <c r="AK459" s="17" t="n">
        <f aca="false">SQRT(($B459-AK$401)^2+($C459-AK$402)^2+($D459-AK$403)^2)</f>
        <v>0.849980905322169</v>
      </c>
      <c r="AL459" s="63" t="n">
        <f aca="false">MATCH(MIN(AF459:AK459),AF459:AK459,0)</f>
        <v>4</v>
      </c>
      <c r="AN459" s="17" t="n">
        <f aca="false">SQRT(($B459-AN$401)^2+($C459-AN$402)^2+($D459-AN$403)^2)</f>
        <v>6.6615043718416</v>
      </c>
      <c r="AO459" s="17" t="n">
        <f aca="false">SQRT(($B459-AO$401)^2+($C459-AO$402)^2+($D459-AO$403)^2)</f>
        <v>1.55407301033494</v>
      </c>
      <c r="AP459" s="17" t="n">
        <f aca="false">SQRT(($B459-AP$401)^2+($C459-AP$402)^2+($D459-AP$403)^2)</f>
        <v>2.15451175795217</v>
      </c>
      <c r="AQ459" s="17" t="n">
        <f aca="false">SQRT(($B459-AQ$401)^2+($C459-AQ$402)^2+($D459-AQ$403)^2)</f>
        <v>0.374252469575383</v>
      </c>
      <c r="AR459" s="17" t="n">
        <f aca="false">SQRT(($B459-AR$401)^2+($C459-AR$402)^2+($D459-AR$403)^2)</f>
        <v>4.38974194059142</v>
      </c>
      <c r="AS459" s="17" t="n">
        <f aca="false">SQRT(($B459-AS$401)^2+($C459-AS$402)^2+($D459-AS$403)^2)</f>
        <v>0.850748356249648</v>
      </c>
      <c r="AT459" s="63" t="n">
        <f aca="false">MATCH(MIN(AN459:AS459),AN459:AS459,0)</f>
        <v>4</v>
      </c>
      <c r="AV459" s="17" t="n">
        <f aca="false">SQRT(($B459-AV$401)^2+($C459-AV$402)^2+($D459-AV$403)^2)</f>
        <v>6.6615043718416</v>
      </c>
      <c r="AW459" s="17" t="n">
        <f aca="false">SQRT(($B459-AW$401)^2+($C459-AW$402)^2+($D459-AW$403)^2)</f>
        <v>1.52705580818123</v>
      </c>
      <c r="AX459" s="17" t="n">
        <f aca="false">SQRT(($B459-AX$401)^2+($C459-AX$402)^2+($D459-AX$403)^2)</f>
        <v>2.15451175795217</v>
      </c>
      <c r="AY459" s="17" t="n">
        <f aca="false">SQRT(($B459-AY$401)^2+($C459-AY$402)^2+($D459-AY$403)^2)</f>
        <v>0.374252469575383</v>
      </c>
      <c r="AZ459" s="17" t="n">
        <f aca="false">SQRT(($B459-AZ$401)^2+($C459-AZ$402)^2+($D459-AZ$403)^2)</f>
        <v>4.38974194059142</v>
      </c>
      <c r="BA459" s="17" t="n">
        <f aca="false">SQRT(($B459-BA$401)^2+($C459-BA$402)^2+($D459-BA$403)^2)</f>
        <v>0.860968611157712</v>
      </c>
      <c r="BB459" s="63" t="n">
        <f aca="false">MATCH(MIN(AV459:BA459),AV459:BA459,0)</f>
        <v>4</v>
      </c>
      <c r="BD459" s="17" t="n">
        <f aca="false">SQRT(($B459-BD$401)^2+($C459-BD$402)^2+($D459-BD$403)^2)</f>
        <v>6.6615043718416</v>
      </c>
      <c r="BE459" s="17" t="n">
        <f aca="false">SQRT(($B459-BE$401)^2+($C459-BE$402)^2+($D459-BE$403)^2)</f>
        <v>1.50271073101977</v>
      </c>
      <c r="BF459" s="17" t="n">
        <f aca="false">SQRT(($B459-BF$401)^2+($C459-BF$402)^2+($D459-BF$403)^2)</f>
        <v>2.15451175795217</v>
      </c>
      <c r="BG459" s="17" t="n">
        <f aca="false">SQRT(($B459-BG$401)^2+($C459-BG$402)^2+($D459-BG$403)^2)</f>
        <v>0.374252469575383</v>
      </c>
      <c r="BH459" s="17" t="n">
        <f aca="false">SQRT(($B459-BH$401)^2+($C459-BH$402)^2+($D459-BH$403)^2)</f>
        <v>4.38974194059142</v>
      </c>
      <c r="BI459" s="17" t="n">
        <f aca="false">SQRT(($B459-BI$401)^2+($C459-BI$402)^2+($D459-BI$403)^2)</f>
        <v>0.869761186219694</v>
      </c>
      <c r="BJ459" s="63" t="n">
        <f aca="false">MATCH(MIN(BD459:BI459),BD459:BI459,0)</f>
        <v>4</v>
      </c>
      <c r="BL459" s="17" t="n">
        <f aca="false">SQRT(($B459-BL$401)^2+($C459-BL$402)^2+($D459-BL$403)^2)</f>
        <v>6.6615043718416</v>
      </c>
      <c r="BM459" s="17" t="n">
        <f aca="false">SQRT(($B459-BM$401)^2+($C459-BM$402)^2+($D459-BM$403)^2)</f>
        <v>1.50271073101977</v>
      </c>
      <c r="BN459" s="17" t="n">
        <f aca="false">SQRT(($B459-BN$401)^2+($C459-BN$402)^2+($D459-BN$403)^2)</f>
        <v>2.15451175795217</v>
      </c>
      <c r="BO459" s="17" t="n">
        <f aca="false">SQRT(($B459-BO$401)^2+($C459-BO$402)^2+($D459-BO$403)^2)</f>
        <v>0.374252469575383</v>
      </c>
      <c r="BP459" s="17" t="n">
        <f aca="false">SQRT(($B459-BP$401)^2+($C459-BP$402)^2+($D459-BP$403)^2)</f>
        <v>4.38974194059142</v>
      </c>
      <c r="BQ459" s="17" t="n">
        <f aca="false">SQRT(($B459-BQ$401)^2+($C459-BQ$402)^2+($D459-BQ$403)^2)</f>
        <v>0.869761186219694</v>
      </c>
      <c r="BR459" s="63" t="n">
        <f aca="false">MATCH(MIN(BL459:BQ459),BL459:BQ459,0)</f>
        <v>4</v>
      </c>
      <c r="BT459" s="17" t="n">
        <f aca="false">SQRT(($B459-BT$401)^2+($C459-BT$402)^2+($D459-BT$403)^2)</f>
        <v>6.6615043718416</v>
      </c>
      <c r="BU459" s="17" t="n">
        <f aca="false">SQRT(($B459-BU$401)^2+($C459-BU$402)^2+($D459-BU$403)^2)</f>
        <v>1.50271073101977</v>
      </c>
      <c r="BV459" s="17" t="n">
        <f aca="false">SQRT(($B459-BV$401)^2+($C459-BV$402)^2+($D459-BV$403)^2)</f>
        <v>2.15451175795217</v>
      </c>
      <c r="BW459" s="17" t="n">
        <f aca="false">SQRT(($B459-BW$401)^2+($C459-BW$402)^2+($D459-BW$403)^2)</f>
        <v>0.374252469575383</v>
      </c>
      <c r="BX459" s="17" t="n">
        <f aca="false">SQRT(($B459-BX$401)^2+($C459-BX$402)^2+($D459-BX$403)^2)</f>
        <v>4.38974194059142</v>
      </c>
      <c r="BY459" s="17" t="n">
        <f aca="false">SQRT(($B459-BY$401)^2+($C459-BY$402)^2+($D459-BY$403)^2)</f>
        <v>0.869761186219694</v>
      </c>
      <c r="BZ459" s="63" t="n">
        <f aca="false">MATCH(MIN(BT459:BY459),BT459:BY459,0)</f>
        <v>4</v>
      </c>
      <c r="CB459" s="17" t="n">
        <f aca="false">SQRT(($B459-CB$401)^2+($C459-CB$402)^2+($D459-CB$403)^2)</f>
        <v>6.6615043718416</v>
      </c>
      <c r="CC459" s="17" t="n">
        <f aca="false">SQRT(($B459-CC$401)^2+($C459-CC$402)^2+($D459-CC$403)^2)</f>
        <v>1.50271073101977</v>
      </c>
      <c r="CD459" s="17" t="n">
        <f aca="false">SQRT(($B459-CD$401)^2+($C459-CD$402)^2+($D459-CD$403)^2)</f>
        <v>2.15451175795217</v>
      </c>
      <c r="CE459" s="17" t="n">
        <f aca="false">SQRT(($B459-CE$401)^2+($C459-CE$402)^2+($D459-CE$403)^2)</f>
        <v>0.374252469575383</v>
      </c>
      <c r="CF459" s="17" t="n">
        <f aca="false">SQRT(($B459-CF$401)^2+($C459-CF$402)^2+($D459-CF$403)^2)</f>
        <v>4.38974194059142</v>
      </c>
      <c r="CG459" s="17" t="n">
        <f aca="false">SQRT(($B459-CG$401)^2+($C459-CG$402)^2+($D459-CG$403)^2)</f>
        <v>0.869761186219694</v>
      </c>
      <c r="CH459" s="63" t="n">
        <f aca="false">MATCH(MIN(CB459:CG459),CB459:CG459,0)</f>
        <v>4</v>
      </c>
      <c r="CJ459" s="17" t="n">
        <f aca="false">SQRT(($B459-CJ$401)^2+($C459-CJ$402)^2+($D459-CJ$403)^2)</f>
        <v>6.6615043718416</v>
      </c>
      <c r="CK459" s="17" t="n">
        <f aca="false">SQRT(($B459-CK$401)^2+($C459-CK$402)^2+($D459-CK$403)^2)</f>
        <v>1.50271073101977</v>
      </c>
      <c r="CL459" s="17" t="n">
        <f aca="false">SQRT(($B459-CL$401)^2+($C459-CL$402)^2+($D459-CL$403)^2)</f>
        <v>2.15451175795217</v>
      </c>
      <c r="CM459" s="17" t="n">
        <f aca="false">SQRT(($B459-CM$401)^2+($C459-CM$402)^2+($D459-CM$403)^2)</f>
        <v>0.374252469575383</v>
      </c>
      <c r="CN459" s="17" t="n">
        <f aca="false">SQRT(($B459-CN$401)^2+($C459-CN$402)^2+($D459-CN$403)^2)</f>
        <v>4.38974194059142</v>
      </c>
      <c r="CO459" s="17" t="n">
        <f aca="false">SQRT(($B459-CO$401)^2+($C459-CO$402)^2+($D459-CO$403)^2)</f>
        <v>0.869761186219694</v>
      </c>
      <c r="CP459" s="63" t="n">
        <f aca="false">MATCH(MIN(CJ459:CO459),CJ459:CO459,0)</f>
        <v>4</v>
      </c>
      <c r="CR459" s="17" t="n">
        <f aca="false">SQRT(($B459-CR$401)^2+($C459-CR$402)^2+($D459-CR$403)^2)</f>
        <v>6.6615043718416</v>
      </c>
      <c r="CS459" s="17" t="n">
        <f aca="false">SQRT(($B459-CS$401)^2+($C459-CS$402)^2+($D459-CS$403)^2)</f>
        <v>1.50271073101977</v>
      </c>
      <c r="CT459" s="17" t="n">
        <f aca="false">SQRT(($B459-CT$401)^2+($C459-CT$402)^2+($D459-CT$403)^2)</f>
        <v>2.15451175795217</v>
      </c>
      <c r="CU459" s="17" t="n">
        <f aca="false">SQRT(($B459-CU$401)^2+($C459-CU$402)^2+($D459-CU$403)^2)</f>
        <v>0.374252469575383</v>
      </c>
      <c r="CV459" s="17" t="n">
        <f aca="false">SQRT(($B459-CV$401)^2+($C459-CV$402)^2+($D459-CV$403)^2)</f>
        <v>4.38974194059142</v>
      </c>
      <c r="CW459" s="17" t="n">
        <f aca="false">SQRT(($B459-CW$401)^2+($C459-CW$402)^2+($D459-CW$403)^2)</f>
        <v>0.869761186219694</v>
      </c>
      <c r="CX459" s="63" t="n">
        <f aca="false">MATCH(MIN(CR459:CW459),CR459:CW459,0)</f>
        <v>4</v>
      </c>
      <c r="CZ459" s="17" t="n">
        <f aca="false">SQRT(($B459-CZ$401)^2+($C459-CZ$402)^2+($D459-CZ$403)^2)</f>
        <v>6.6615043718416</v>
      </c>
      <c r="DA459" s="17" t="n">
        <f aca="false">SQRT(($B459-DA$401)^2+($C459-DA$402)^2+($D459-DA$403)^2)</f>
        <v>1.50271073101977</v>
      </c>
      <c r="DB459" s="17" t="n">
        <f aca="false">SQRT(($B459-DB$401)^2+($C459-DB$402)^2+($D459-DB$403)^2)</f>
        <v>2.15451175795217</v>
      </c>
      <c r="DC459" s="17" t="n">
        <f aca="false">SQRT(($B459-DC$401)^2+($C459-DC$402)^2+($D459-DC$403)^2)</f>
        <v>0.374252469575383</v>
      </c>
      <c r="DD459" s="17" t="n">
        <f aca="false">SQRT(($B459-DD$401)^2+($C459-DD$402)^2+($D459-DD$403)^2)</f>
        <v>4.38974194059142</v>
      </c>
      <c r="DE459" s="17" t="n">
        <f aca="false">SQRT(($B459-DE$401)^2+($C459-DE$402)^2+($D459-DE$403)^2)</f>
        <v>0.869761186219694</v>
      </c>
      <c r="DF459" s="63" t="n">
        <f aca="false">MATCH(MIN(CZ459:DE459),CZ459:DE459,0)</f>
        <v>4</v>
      </c>
      <c r="DH459" s="17" t="n">
        <f aca="false">SQRT(($B459-DH$401)^2+($C459-DH$402)^2+($D459-DH$403)^2)</f>
        <v>6.6615043718416</v>
      </c>
      <c r="DI459" s="17" t="n">
        <f aca="false">SQRT(($B459-DI$401)^2+($C459-DI$402)^2+($D459-DI$403)^2)</f>
        <v>1.50271073101977</v>
      </c>
      <c r="DJ459" s="17" t="n">
        <f aca="false">SQRT(($B459-DJ$401)^2+($C459-DJ$402)^2+($D459-DJ$403)^2)</f>
        <v>2.15451175795217</v>
      </c>
      <c r="DK459" s="17" t="n">
        <f aca="false">SQRT(($B459-DK$401)^2+($C459-DK$402)^2+($D459-DK$403)^2)</f>
        <v>0.374252469575383</v>
      </c>
      <c r="DL459" s="17" t="n">
        <f aca="false">SQRT(($B459-DL$401)^2+($C459-DL$402)^2+($D459-DL$403)^2)</f>
        <v>4.38974194059142</v>
      </c>
      <c r="DM459" s="17" t="n">
        <f aca="false">SQRT(($B459-DM$401)^2+($C459-DM$402)^2+($D459-DM$403)^2)</f>
        <v>0.869761186219694</v>
      </c>
      <c r="DN459" s="63" t="n">
        <f aca="false">MATCH(MIN(DH459:DM459),DH459:DM459,0)</f>
        <v>4</v>
      </c>
    </row>
    <row r="460" customFormat="false" ht="15" hidden="false" customHeight="false" outlineLevel="0" collapsed="false">
      <c r="A460" s="36" t="str">
        <f aca="false">KMeans_Data!A57</f>
        <v>Vehari</v>
      </c>
      <c r="B460" s="17" t="n">
        <f aca="false">KMeans_Data!H57</f>
        <v>0.153317518957985</v>
      </c>
      <c r="C460" s="17" t="n">
        <f aca="false">KMeans_Data!I57</f>
        <v>-0.672650545388274</v>
      </c>
      <c r="D460" s="17" t="n">
        <f aca="false">KMeans_Data!J57</f>
        <v>-0.2439270481224</v>
      </c>
      <c r="E460" s="63" t="n">
        <f aca="false">DN460</f>
        <v>4</v>
      </c>
      <c r="F460" s="38" t="n">
        <f aca="false">($B460-INDEX($L$401:$Q$401,E460))^2+($C460-INDEX($L$402:$Q$402,E460))^2+($D460-INDEX($L$403:$Q$403,E460))^2</f>
        <v>0.392409800428862</v>
      </c>
      <c r="G460" s="17" t="n">
        <f aca="false">IF(COUNTIF(Distance_Matrix!$E$12:$DQ$12,$E460)&lt;=1,0,SUMIF(Distance_Matrix!$E$12:$DQ$12,$E460,Distance_Matrix!$E$66:$DQ$66)/(COUNTIF(Distance_Matrix!$E$12:$DQ$12,$E460)-1))</f>
        <v>0.841542859971234</v>
      </c>
      <c r="H460" s="17" t="n">
        <f aca="false">MIN(IF(1=$E460,1E+099,IF(COUNTIF(Distance_Matrix!$E$12:$DQ$12,1)=0,1E+099,SUMIF(Distance_Matrix!$E$12:$DQ$12,1,Distance_Matrix!$E$66:$DQ$66)/COUNTIF(Distance_Matrix!$E$12:$DQ$12,1))),IF(2=$E460,1E+099,IF(COUNTIF(Distance_Matrix!$E$12:$DQ$12,2)=0,1E+099,SUMIF(Distance_Matrix!$E$12:$DQ$12,2,Distance_Matrix!$E$66:$DQ$66)/COUNTIF(Distance_Matrix!$E$12:$DQ$12,2))),IF(3=$E460,1E+099,IF(COUNTIF(Distance_Matrix!$E$12:$DQ$12,3)=0,1E+099,SUMIF(Distance_Matrix!$E$12:$DQ$12,3,Distance_Matrix!$E$66:$DQ$66)/COUNTIF(Distance_Matrix!$E$12:$DQ$12,3))),IF(4=$E460,1E+099,IF(COUNTIF(Distance_Matrix!$E$12:$DQ$12,4)=0,1E+099,SUMIF(Distance_Matrix!$E$12:$DQ$12,4,Distance_Matrix!$E$66:$DQ$66)/COUNTIF(Distance_Matrix!$E$12:$DQ$12,4))),IF(5=$E460,1E+099,IF(COUNTIF(Distance_Matrix!$E$12:$DQ$12,5)=0,1E+099,SUMIF(Distance_Matrix!$E$12:$DQ$12,5,Distance_Matrix!$E$66:$DQ$66)/COUNTIF(Distance_Matrix!$E$12:$DQ$12,5))),IF(6=$E460,1E+099,IF(COUNTIF(Distance_Matrix!$E$12:$DQ$12,6)=0,1E+099,SUMIF(Distance_Matrix!$E$12:$DQ$12,6,Distance_Matrix!$E$66:$DQ$66)/COUNTIF(Distance_Matrix!$E$12:$DQ$12,6))))</f>
        <v>0.88798228992055</v>
      </c>
      <c r="I460" s="17" t="n">
        <f aca="false">IF(COUNTIF(Distance_Matrix!$E$12:$DQ$12,$E460)&lt;=1,0,(H460-G460)/MAX(G460,H460))</f>
        <v>0.0522976983622846</v>
      </c>
      <c r="X460" s="17" t="n">
        <f aca="false">SQRT(($B460-X$401)^2+($C460-X$402)^2+($D460-X$403)^2)</f>
        <v>6.6457002194291</v>
      </c>
      <c r="Y460" s="17" t="n">
        <f aca="false">SQRT(($B460-Y$401)^2+($C460-Y$402)^2+($D460-Y$403)^2)</f>
        <v>2.40824220970061</v>
      </c>
      <c r="Z460" s="17" t="n">
        <f aca="false">SQRT(($B460-Z$401)^2+($C460-Z$402)^2+($D460-Z$403)^2)</f>
        <v>2.19675402888218</v>
      </c>
      <c r="AA460" s="17" t="n">
        <f aca="false">SQRT(($B460-AA$401)^2+($C460-AA$402)^2+($D460-AA$403)^2)</f>
        <v>1.15405107167602</v>
      </c>
      <c r="AB460" s="17" t="n">
        <f aca="false">SQRT(($B460-AB$401)^2+($C460-AB$402)^2+($D460-AB$403)^2)</f>
        <v>4.53169441572176</v>
      </c>
      <c r="AC460" s="17" t="n">
        <f aca="false">SQRT(($B460-AC$401)^2+($C460-AC$402)^2+($D460-AC$403)^2)</f>
        <v>1.33275206227378</v>
      </c>
      <c r="AD460" s="63" t="n">
        <f aca="false">MATCH(MIN(X460:AC460),X460:AC460,0)</f>
        <v>4</v>
      </c>
      <c r="AF460" s="17" t="n">
        <f aca="false">SQRT(($B460-AF$401)^2+($C460-AF$402)^2+($D460-AF$403)^2)</f>
        <v>6.53686050411824</v>
      </c>
      <c r="AG460" s="17" t="n">
        <f aca="false">SQRT(($B460-AG$401)^2+($C460-AG$402)^2+($D460-AG$403)^2)</f>
        <v>1.70253409789631</v>
      </c>
      <c r="AH460" s="17" t="n">
        <f aca="false">SQRT(($B460-AH$401)^2+($C460-AH$402)^2+($D460-AH$403)^2)</f>
        <v>2.02041885091016</v>
      </c>
      <c r="AI460" s="17" t="n">
        <f aca="false">SQRT(($B460-AI$401)^2+($C460-AI$402)^2+($D460-AI$403)^2)</f>
        <v>0.626392725008257</v>
      </c>
      <c r="AJ460" s="17" t="n">
        <f aca="false">SQRT(($B460-AJ$401)^2+($C460-AJ$402)^2+($D460-AJ$403)^2)</f>
        <v>4.26651016439509</v>
      </c>
      <c r="AK460" s="17" t="n">
        <f aca="false">SQRT(($B460-AK$401)^2+($C460-AK$402)^2+($D460-AK$403)^2)</f>
        <v>0.654026063028386</v>
      </c>
      <c r="AL460" s="63" t="n">
        <f aca="false">MATCH(MIN(AF460:AK460),AF460:AK460,0)</f>
        <v>4</v>
      </c>
      <c r="AN460" s="17" t="n">
        <f aca="false">SQRT(($B460-AN$401)^2+($C460-AN$402)^2+($D460-AN$403)^2)</f>
        <v>6.53686050411824</v>
      </c>
      <c r="AO460" s="17" t="n">
        <f aca="false">SQRT(($B460-AO$401)^2+($C460-AO$402)^2+($D460-AO$403)^2)</f>
        <v>1.65465428770559</v>
      </c>
      <c r="AP460" s="17" t="n">
        <f aca="false">SQRT(($B460-AP$401)^2+($C460-AP$402)^2+($D460-AP$403)^2)</f>
        <v>1.99554853535986</v>
      </c>
      <c r="AQ460" s="17" t="n">
        <f aca="false">SQRT(($B460-AQ$401)^2+($C460-AQ$402)^2+($D460-AQ$403)^2)</f>
        <v>0.626426213076099</v>
      </c>
      <c r="AR460" s="17" t="n">
        <f aca="false">SQRT(($B460-AR$401)^2+($C460-AR$402)^2+($D460-AR$403)^2)</f>
        <v>4.26651016439509</v>
      </c>
      <c r="AS460" s="17" t="n">
        <f aca="false">SQRT(($B460-AS$401)^2+($C460-AS$402)^2+($D460-AS$403)^2)</f>
        <v>0.646869087439506</v>
      </c>
      <c r="AT460" s="63" t="n">
        <f aca="false">MATCH(MIN(AN460:AS460),AN460:AS460,0)</f>
        <v>4</v>
      </c>
      <c r="AV460" s="17" t="n">
        <f aca="false">SQRT(($B460-AV$401)^2+($C460-AV$402)^2+($D460-AV$403)^2)</f>
        <v>6.53686050411824</v>
      </c>
      <c r="AW460" s="17" t="n">
        <f aca="false">SQRT(($B460-AW$401)^2+($C460-AW$402)^2+($D460-AW$403)^2)</f>
        <v>1.62533799452076</v>
      </c>
      <c r="AX460" s="17" t="n">
        <f aca="false">SQRT(($B460-AX$401)^2+($C460-AX$402)^2+($D460-AX$403)^2)</f>
        <v>1.99554853535986</v>
      </c>
      <c r="AY460" s="17" t="n">
        <f aca="false">SQRT(($B460-AY$401)^2+($C460-AY$402)^2+($D460-AY$403)^2)</f>
        <v>0.626426213076099</v>
      </c>
      <c r="AZ460" s="17" t="n">
        <f aca="false">SQRT(($B460-AZ$401)^2+($C460-AZ$402)^2+($D460-AZ$403)^2)</f>
        <v>4.26651016439509</v>
      </c>
      <c r="BA460" s="17" t="n">
        <f aca="false">SQRT(($B460-BA$401)^2+($C460-BA$402)^2+($D460-BA$403)^2)</f>
        <v>0.6535103689604</v>
      </c>
      <c r="BB460" s="63" t="n">
        <f aca="false">MATCH(MIN(AV460:BA460),AV460:BA460,0)</f>
        <v>4</v>
      </c>
      <c r="BD460" s="17" t="n">
        <f aca="false">SQRT(($B460-BD$401)^2+($C460-BD$402)^2+($D460-BD$403)^2)</f>
        <v>6.53686050411824</v>
      </c>
      <c r="BE460" s="17" t="n">
        <f aca="false">SQRT(($B460-BE$401)^2+($C460-BE$402)^2+($D460-BE$403)^2)</f>
        <v>1.59822916146426</v>
      </c>
      <c r="BF460" s="17" t="n">
        <f aca="false">SQRT(($B460-BF$401)^2+($C460-BF$402)^2+($D460-BF$403)^2)</f>
        <v>1.99554853535986</v>
      </c>
      <c r="BG460" s="17" t="n">
        <f aca="false">SQRT(($B460-BG$401)^2+($C460-BG$402)^2+($D460-BG$403)^2)</f>
        <v>0.626426213076099</v>
      </c>
      <c r="BH460" s="17" t="n">
        <f aca="false">SQRT(($B460-BH$401)^2+($C460-BH$402)^2+($D460-BH$403)^2)</f>
        <v>4.26651016439509</v>
      </c>
      <c r="BI460" s="17" t="n">
        <f aca="false">SQRT(($B460-BI$401)^2+($C460-BI$402)^2+($D460-BI$403)^2)</f>
        <v>0.659007498191415</v>
      </c>
      <c r="BJ460" s="63" t="n">
        <f aca="false">MATCH(MIN(BD460:BI460),BD460:BI460,0)</f>
        <v>4</v>
      </c>
      <c r="BL460" s="17" t="n">
        <f aca="false">SQRT(($B460-BL$401)^2+($C460-BL$402)^2+($D460-BL$403)^2)</f>
        <v>6.53686050411824</v>
      </c>
      <c r="BM460" s="17" t="n">
        <f aca="false">SQRT(($B460-BM$401)^2+($C460-BM$402)^2+($D460-BM$403)^2)</f>
        <v>1.59822916146426</v>
      </c>
      <c r="BN460" s="17" t="n">
        <f aca="false">SQRT(($B460-BN$401)^2+($C460-BN$402)^2+($D460-BN$403)^2)</f>
        <v>1.99554853535986</v>
      </c>
      <c r="BO460" s="17" t="n">
        <f aca="false">SQRT(($B460-BO$401)^2+($C460-BO$402)^2+($D460-BO$403)^2)</f>
        <v>0.626426213076099</v>
      </c>
      <c r="BP460" s="17" t="n">
        <f aca="false">SQRT(($B460-BP$401)^2+($C460-BP$402)^2+($D460-BP$403)^2)</f>
        <v>4.26651016439509</v>
      </c>
      <c r="BQ460" s="17" t="n">
        <f aca="false">SQRT(($B460-BQ$401)^2+($C460-BQ$402)^2+($D460-BQ$403)^2)</f>
        <v>0.659007498191415</v>
      </c>
      <c r="BR460" s="63" t="n">
        <f aca="false">MATCH(MIN(BL460:BQ460),BL460:BQ460,0)</f>
        <v>4</v>
      </c>
      <c r="BT460" s="17" t="n">
        <f aca="false">SQRT(($B460-BT$401)^2+($C460-BT$402)^2+($D460-BT$403)^2)</f>
        <v>6.53686050411824</v>
      </c>
      <c r="BU460" s="17" t="n">
        <f aca="false">SQRT(($B460-BU$401)^2+($C460-BU$402)^2+($D460-BU$403)^2)</f>
        <v>1.59822916146426</v>
      </c>
      <c r="BV460" s="17" t="n">
        <f aca="false">SQRT(($B460-BV$401)^2+($C460-BV$402)^2+($D460-BV$403)^2)</f>
        <v>1.99554853535986</v>
      </c>
      <c r="BW460" s="17" t="n">
        <f aca="false">SQRT(($B460-BW$401)^2+($C460-BW$402)^2+($D460-BW$403)^2)</f>
        <v>0.626426213076099</v>
      </c>
      <c r="BX460" s="17" t="n">
        <f aca="false">SQRT(($B460-BX$401)^2+($C460-BX$402)^2+($D460-BX$403)^2)</f>
        <v>4.26651016439509</v>
      </c>
      <c r="BY460" s="17" t="n">
        <f aca="false">SQRT(($B460-BY$401)^2+($C460-BY$402)^2+($D460-BY$403)^2)</f>
        <v>0.659007498191415</v>
      </c>
      <c r="BZ460" s="63" t="n">
        <f aca="false">MATCH(MIN(BT460:BY460),BT460:BY460,0)</f>
        <v>4</v>
      </c>
      <c r="CB460" s="17" t="n">
        <f aca="false">SQRT(($B460-CB$401)^2+($C460-CB$402)^2+($D460-CB$403)^2)</f>
        <v>6.53686050411824</v>
      </c>
      <c r="CC460" s="17" t="n">
        <f aca="false">SQRT(($B460-CC$401)^2+($C460-CC$402)^2+($D460-CC$403)^2)</f>
        <v>1.59822916146426</v>
      </c>
      <c r="CD460" s="17" t="n">
        <f aca="false">SQRT(($B460-CD$401)^2+($C460-CD$402)^2+($D460-CD$403)^2)</f>
        <v>1.99554853535986</v>
      </c>
      <c r="CE460" s="17" t="n">
        <f aca="false">SQRT(($B460-CE$401)^2+($C460-CE$402)^2+($D460-CE$403)^2)</f>
        <v>0.626426213076099</v>
      </c>
      <c r="CF460" s="17" t="n">
        <f aca="false">SQRT(($B460-CF$401)^2+($C460-CF$402)^2+($D460-CF$403)^2)</f>
        <v>4.26651016439509</v>
      </c>
      <c r="CG460" s="17" t="n">
        <f aca="false">SQRT(($B460-CG$401)^2+($C460-CG$402)^2+($D460-CG$403)^2)</f>
        <v>0.659007498191415</v>
      </c>
      <c r="CH460" s="63" t="n">
        <f aca="false">MATCH(MIN(CB460:CG460),CB460:CG460,0)</f>
        <v>4</v>
      </c>
      <c r="CJ460" s="17" t="n">
        <f aca="false">SQRT(($B460-CJ$401)^2+($C460-CJ$402)^2+($D460-CJ$403)^2)</f>
        <v>6.53686050411824</v>
      </c>
      <c r="CK460" s="17" t="n">
        <f aca="false">SQRT(($B460-CK$401)^2+($C460-CK$402)^2+($D460-CK$403)^2)</f>
        <v>1.59822916146426</v>
      </c>
      <c r="CL460" s="17" t="n">
        <f aca="false">SQRT(($B460-CL$401)^2+($C460-CL$402)^2+($D460-CL$403)^2)</f>
        <v>1.99554853535986</v>
      </c>
      <c r="CM460" s="17" t="n">
        <f aca="false">SQRT(($B460-CM$401)^2+($C460-CM$402)^2+($D460-CM$403)^2)</f>
        <v>0.626426213076099</v>
      </c>
      <c r="CN460" s="17" t="n">
        <f aca="false">SQRT(($B460-CN$401)^2+($C460-CN$402)^2+($D460-CN$403)^2)</f>
        <v>4.26651016439509</v>
      </c>
      <c r="CO460" s="17" t="n">
        <f aca="false">SQRT(($B460-CO$401)^2+($C460-CO$402)^2+($D460-CO$403)^2)</f>
        <v>0.659007498191415</v>
      </c>
      <c r="CP460" s="63" t="n">
        <f aca="false">MATCH(MIN(CJ460:CO460),CJ460:CO460,0)</f>
        <v>4</v>
      </c>
      <c r="CR460" s="17" t="n">
        <f aca="false">SQRT(($B460-CR$401)^2+($C460-CR$402)^2+($D460-CR$403)^2)</f>
        <v>6.53686050411824</v>
      </c>
      <c r="CS460" s="17" t="n">
        <f aca="false">SQRT(($B460-CS$401)^2+($C460-CS$402)^2+($D460-CS$403)^2)</f>
        <v>1.59822916146426</v>
      </c>
      <c r="CT460" s="17" t="n">
        <f aca="false">SQRT(($B460-CT$401)^2+($C460-CT$402)^2+($D460-CT$403)^2)</f>
        <v>1.99554853535986</v>
      </c>
      <c r="CU460" s="17" t="n">
        <f aca="false">SQRT(($B460-CU$401)^2+($C460-CU$402)^2+($D460-CU$403)^2)</f>
        <v>0.626426213076099</v>
      </c>
      <c r="CV460" s="17" t="n">
        <f aca="false">SQRT(($B460-CV$401)^2+($C460-CV$402)^2+($D460-CV$403)^2)</f>
        <v>4.26651016439509</v>
      </c>
      <c r="CW460" s="17" t="n">
        <f aca="false">SQRT(($B460-CW$401)^2+($C460-CW$402)^2+($D460-CW$403)^2)</f>
        <v>0.659007498191415</v>
      </c>
      <c r="CX460" s="63" t="n">
        <f aca="false">MATCH(MIN(CR460:CW460),CR460:CW460,0)</f>
        <v>4</v>
      </c>
      <c r="CZ460" s="17" t="n">
        <f aca="false">SQRT(($B460-CZ$401)^2+($C460-CZ$402)^2+($D460-CZ$403)^2)</f>
        <v>6.53686050411824</v>
      </c>
      <c r="DA460" s="17" t="n">
        <f aca="false">SQRT(($B460-DA$401)^2+($C460-DA$402)^2+($D460-DA$403)^2)</f>
        <v>1.59822916146426</v>
      </c>
      <c r="DB460" s="17" t="n">
        <f aca="false">SQRT(($B460-DB$401)^2+($C460-DB$402)^2+($D460-DB$403)^2)</f>
        <v>1.99554853535986</v>
      </c>
      <c r="DC460" s="17" t="n">
        <f aca="false">SQRT(($B460-DC$401)^2+($C460-DC$402)^2+($D460-DC$403)^2)</f>
        <v>0.626426213076099</v>
      </c>
      <c r="DD460" s="17" t="n">
        <f aca="false">SQRT(($B460-DD$401)^2+($C460-DD$402)^2+($D460-DD$403)^2)</f>
        <v>4.26651016439509</v>
      </c>
      <c r="DE460" s="17" t="n">
        <f aca="false">SQRT(($B460-DE$401)^2+($C460-DE$402)^2+($D460-DE$403)^2)</f>
        <v>0.659007498191415</v>
      </c>
      <c r="DF460" s="63" t="n">
        <f aca="false">MATCH(MIN(CZ460:DE460),CZ460:DE460,0)</f>
        <v>4</v>
      </c>
      <c r="DH460" s="17" t="n">
        <f aca="false">SQRT(($B460-DH$401)^2+($C460-DH$402)^2+($D460-DH$403)^2)</f>
        <v>6.53686050411824</v>
      </c>
      <c r="DI460" s="17" t="n">
        <f aca="false">SQRT(($B460-DI$401)^2+($C460-DI$402)^2+($D460-DI$403)^2)</f>
        <v>1.59822916146426</v>
      </c>
      <c r="DJ460" s="17" t="n">
        <f aca="false">SQRT(($B460-DJ$401)^2+($C460-DJ$402)^2+($D460-DJ$403)^2)</f>
        <v>1.99554853535986</v>
      </c>
      <c r="DK460" s="17" t="n">
        <f aca="false">SQRT(($B460-DK$401)^2+($C460-DK$402)^2+($D460-DK$403)^2)</f>
        <v>0.626426213076099</v>
      </c>
      <c r="DL460" s="17" t="n">
        <f aca="false">SQRT(($B460-DL$401)^2+($C460-DL$402)^2+($D460-DL$403)^2)</f>
        <v>4.26651016439509</v>
      </c>
      <c r="DM460" s="17" t="n">
        <f aca="false">SQRT(($B460-DM$401)^2+($C460-DM$402)^2+($D460-DM$403)^2)</f>
        <v>0.659007498191415</v>
      </c>
      <c r="DN460" s="63" t="n">
        <f aca="false">MATCH(MIN(DH460:DM460),DH460:DM460,0)</f>
        <v>4</v>
      </c>
    </row>
    <row r="461" customFormat="false" ht="15" hidden="false" customHeight="false" outlineLevel="0" collapsed="false">
      <c r="A461" s="36" t="str">
        <f aca="false">KMeans_Data!A58</f>
        <v>Astore</v>
      </c>
      <c r="B461" s="17" t="n">
        <f aca="false">KMeans_Data!H58</f>
        <v>0.131476411515176</v>
      </c>
      <c r="C461" s="17" t="n">
        <f aca="false">KMeans_Data!I58</f>
        <v>1.38107452085777</v>
      </c>
      <c r="D461" s="17" t="n">
        <f aca="false">KMeans_Data!J58</f>
        <v>0.774246840861612</v>
      </c>
      <c r="E461" s="63" t="n">
        <f aca="false">DN461</f>
        <v>3</v>
      </c>
      <c r="F461" s="38" t="n">
        <f aca="false">($B461-INDEX($L$401:$Q$401,E461))^2+($C461-INDEX($L$402:$Q$402,E461))^2+($D461-INDEX($L$403:$Q$403,E461))^2</f>
        <v>0.701297588234643</v>
      </c>
      <c r="G461" s="17" t="n">
        <f aca="false">IF(COUNTIF(Distance_Matrix!$E$12:$DQ$12,$E461)&lt;=1,0,SUMIF(Distance_Matrix!$E$12:$DQ$12,$E461,Distance_Matrix!$E$67:$DQ$67)/(COUNTIF(Distance_Matrix!$E$12:$DQ$12,$E461)-1))</f>
        <v>1.04242727012781</v>
      </c>
      <c r="H461" s="17" t="n">
        <f aca="false">MIN(IF(1=$E461,1E+099,IF(COUNTIF(Distance_Matrix!$E$12:$DQ$12,1)=0,1E+099,SUMIF(Distance_Matrix!$E$12:$DQ$12,1,Distance_Matrix!$E$67:$DQ$67)/COUNTIF(Distance_Matrix!$E$12:$DQ$12,1))),IF(2=$E461,1E+099,IF(COUNTIF(Distance_Matrix!$E$12:$DQ$12,2)=0,1E+099,SUMIF(Distance_Matrix!$E$12:$DQ$12,2,Distance_Matrix!$E$67:$DQ$67)/COUNTIF(Distance_Matrix!$E$12:$DQ$12,2))),IF(3=$E461,1E+099,IF(COUNTIF(Distance_Matrix!$E$12:$DQ$12,3)=0,1E+099,SUMIF(Distance_Matrix!$E$12:$DQ$12,3,Distance_Matrix!$E$67:$DQ$67)/COUNTIF(Distance_Matrix!$E$12:$DQ$12,3))),IF(4=$E461,1E+099,IF(COUNTIF(Distance_Matrix!$E$12:$DQ$12,4)=0,1E+099,SUMIF(Distance_Matrix!$E$12:$DQ$12,4,Distance_Matrix!$E$67:$DQ$67)/COUNTIF(Distance_Matrix!$E$12:$DQ$12,4))),IF(5=$E461,1E+099,IF(COUNTIF(Distance_Matrix!$E$12:$DQ$12,5)=0,1E+099,SUMIF(Distance_Matrix!$E$12:$DQ$12,5,Distance_Matrix!$E$67:$DQ$67)/COUNTIF(Distance_Matrix!$E$12:$DQ$12,5))),IF(6=$E461,1E+099,IF(COUNTIF(Distance_Matrix!$E$12:$DQ$12,6)=0,1E+099,SUMIF(Distance_Matrix!$E$12:$DQ$12,6,Distance_Matrix!$E$67:$DQ$67)/COUNTIF(Distance_Matrix!$E$12:$DQ$12,6))))</f>
        <v>1.92935950420688</v>
      </c>
      <c r="I461" s="17" t="n">
        <f aca="false">IF(COUNTIF(Distance_Matrix!$E$12:$DQ$12,$E461)&lt;=1,0,(H461-G461)/MAX(G461,H461))</f>
        <v>0.459702938796608</v>
      </c>
      <c r="X461" s="17" t="n">
        <f aca="false">SQRT(($B461-X$401)^2+($C461-X$402)^2+($D461-X$403)^2)</f>
        <v>4.80457793575169</v>
      </c>
      <c r="Y461" s="17" t="n">
        <f aca="false">SQRT(($B461-Y$401)^2+($C461-Y$402)^2+($D461-Y$403)^2)</f>
        <v>3.57676348511696</v>
      </c>
      <c r="Z461" s="17" t="n">
        <f aca="false">SQRT(($B461-Z$401)^2+($C461-Z$402)^2+($D461-Z$403)^2)</f>
        <v>1.51987007841697</v>
      </c>
      <c r="AA461" s="17" t="n">
        <f aca="false">SQRT(($B461-AA$401)^2+($C461-AA$402)^2+($D461-AA$403)^2)</f>
        <v>2.50705797216509</v>
      </c>
      <c r="AB461" s="17" t="n">
        <f aca="false">SQRT(($B461-AB$401)^2+($C461-AB$402)^2+($D461-AB$403)^2)</f>
        <v>2.89381724873175</v>
      </c>
      <c r="AC461" s="17" t="n">
        <f aca="false">SQRT(($B461-AC$401)^2+($C461-AC$402)^2+($D461-AC$403)^2)</f>
        <v>1.74867941073232</v>
      </c>
      <c r="AD461" s="63" t="n">
        <f aca="false">MATCH(MIN(X461:AC461),X461:AC461,0)</f>
        <v>3</v>
      </c>
      <c r="AF461" s="17" t="n">
        <f aca="false">SQRT(($B461-AF$401)^2+($C461-AF$402)^2+($D461-AF$403)^2)</f>
        <v>4.68923628747325</v>
      </c>
      <c r="AG461" s="17" t="n">
        <f aca="false">SQRT(($B461-AG$401)^2+($C461-AG$402)^2+($D461-AG$403)^2)</f>
        <v>3.11922418316073</v>
      </c>
      <c r="AH461" s="17" t="n">
        <f aca="false">SQRT(($B461-AH$401)^2+($C461-AH$402)^2+($D461-AH$403)^2)</f>
        <v>0.854344479505145</v>
      </c>
      <c r="AI461" s="17" t="n">
        <f aca="false">SQRT(($B461-AI$401)^2+($C461-AI$402)^2+($D461-AI$403)^2)</f>
        <v>2.51737633838909</v>
      </c>
      <c r="AJ461" s="17" t="n">
        <f aca="false">SQRT(($B461-AJ$401)^2+($C461-AJ$402)^2+($D461-AJ$403)^2)</f>
        <v>2.49334993360462</v>
      </c>
      <c r="AK461" s="17" t="n">
        <f aca="false">SQRT(($B461-AK$401)^2+($C461-AK$402)^2+($D461-AK$403)^2)</f>
        <v>1.91175562811169</v>
      </c>
      <c r="AL461" s="63" t="n">
        <f aca="false">MATCH(MIN(AF461:AK461),AF461:AK461,0)</f>
        <v>3</v>
      </c>
      <c r="AN461" s="17" t="n">
        <f aca="false">SQRT(($B461-AN$401)^2+($C461-AN$402)^2+($D461-AN$403)^2)</f>
        <v>4.68923628747325</v>
      </c>
      <c r="AO461" s="17" t="n">
        <f aca="false">SQRT(($B461-AO$401)^2+($C461-AO$402)^2+($D461-AO$403)^2)</f>
        <v>3.08772172169012</v>
      </c>
      <c r="AP461" s="17" t="n">
        <f aca="false">SQRT(($B461-AP$401)^2+($C461-AP$402)^2+($D461-AP$403)^2)</f>
        <v>0.837435124791552</v>
      </c>
      <c r="AQ461" s="17" t="n">
        <f aca="false">SQRT(($B461-AQ$401)^2+($C461-AQ$402)^2+($D461-AQ$403)^2)</f>
        <v>2.54431509947242</v>
      </c>
      <c r="AR461" s="17" t="n">
        <f aca="false">SQRT(($B461-AR$401)^2+($C461-AR$402)^2+($D461-AR$403)^2)</f>
        <v>2.49334993360462</v>
      </c>
      <c r="AS461" s="17" t="n">
        <f aca="false">SQRT(($B461-AS$401)^2+($C461-AS$402)^2+($D461-AS$403)^2)</f>
        <v>1.89196398421446</v>
      </c>
      <c r="AT461" s="63" t="n">
        <f aca="false">MATCH(MIN(AN461:AS461),AN461:AS461,0)</f>
        <v>3</v>
      </c>
      <c r="AV461" s="17" t="n">
        <f aca="false">SQRT(($B461-AV$401)^2+($C461-AV$402)^2+($D461-AV$403)^2)</f>
        <v>4.68923628747325</v>
      </c>
      <c r="AW461" s="17" t="n">
        <f aca="false">SQRT(($B461-AW$401)^2+($C461-AW$402)^2+($D461-AW$403)^2)</f>
        <v>3.06418407135222</v>
      </c>
      <c r="AX461" s="17" t="n">
        <f aca="false">SQRT(($B461-AX$401)^2+($C461-AX$402)^2+($D461-AX$403)^2)</f>
        <v>0.837435124791552</v>
      </c>
      <c r="AY461" s="17" t="n">
        <f aca="false">SQRT(($B461-AY$401)^2+($C461-AY$402)^2+($D461-AY$403)^2)</f>
        <v>2.54431509947242</v>
      </c>
      <c r="AZ461" s="17" t="n">
        <f aca="false">SQRT(($B461-AZ$401)^2+($C461-AZ$402)^2+($D461-AZ$403)^2)</f>
        <v>2.49334993360462</v>
      </c>
      <c r="BA461" s="17" t="n">
        <f aca="false">SQRT(($B461-BA$401)^2+($C461-BA$402)^2+($D461-BA$403)^2)</f>
        <v>1.87518969784605</v>
      </c>
      <c r="BB461" s="63" t="n">
        <f aca="false">MATCH(MIN(AV461:BA461),AV461:BA461,0)</f>
        <v>3</v>
      </c>
      <c r="BD461" s="17" t="n">
        <f aca="false">SQRT(($B461-BD$401)^2+($C461-BD$402)^2+($D461-BD$403)^2)</f>
        <v>4.68923628747325</v>
      </c>
      <c r="BE461" s="17" t="n">
        <f aca="false">SQRT(($B461-BE$401)^2+($C461-BE$402)^2+($D461-BE$403)^2)</f>
        <v>3.04143892311851</v>
      </c>
      <c r="BF461" s="17" t="n">
        <f aca="false">SQRT(($B461-BF$401)^2+($C461-BF$402)^2+($D461-BF$403)^2)</f>
        <v>0.837435124791552</v>
      </c>
      <c r="BG461" s="17" t="n">
        <f aca="false">SQRT(($B461-BG$401)^2+($C461-BG$402)^2+($D461-BG$403)^2)</f>
        <v>2.54431509947242</v>
      </c>
      <c r="BH461" s="17" t="n">
        <f aca="false">SQRT(($B461-BH$401)^2+($C461-BH$402)^2+($D461-BH$403)^2)</f>
        <v>2.49334993360462</v>
      </c>
      <c r="BI461" s="17" t="n">
        <f aca="false">SQRT(($B461-BI$401)^2+($C461-BI$402)^2+($D461-BI$403)^2)</f>
        <v>1.8581369521542</v>
      </c>
      <c r="BJ461" s="63" t="n">
        <f aca="false">MATCH(MIN(BD461:BI461),BD461:BI461,0)</f>
        <v>3</v>
      </c>
      <c r="BL461" s="17" t="n">
        <f aca="false">SQRT(($B461-BL$401)^2+($C461-BL$402)^2+($D461-BL$403)^2)</f>
        <v>4.68923628747325</v>
      </c>
      <c r="BM461" s="17" t="n">
        <f aca="false">SQRT(($B461-BM$401)^2+($C461-BM$402)^2+($D461-BM$403)^2)</f>
        <v>3.04143892311851</v>
      </c>
      <c r="BN461" s="17" t="n">
        <f aca="false">SQRT(($B461-BN$401)^2+($C461-BN$402)^2+($D461-BN$403)^2)</f>
        <v>0.837435124791552</v>
      </c>
      <c r="BO461" s="17" t="n">
        <f aca="false">SQRT(($B461-BO$401)^2+($C461-BO$402)^2+($D461-BO$403)^2)</f>
        <v>2.54431509947242</v>
      </c>
      <c r="BP461" s="17" t="n">
        <f aca="false">SQRT(($B461-BP$401)^2+($C461-BP$402)^2+($D461-BP$403)^2)</f>
        <v>2.49334993360462</v>
      </c>
      <c r="BQ461" s="17" t="n">
        <f aca="false">SQRT(($B461-BQ$401)^2+($C461-BQ$402)^2+($D461-BQ$403)^2)</f>
        <v>1.8581369521542</v>
      </c>
      <c r="BR461" s="63" t="n">
        <f aca="false">MATCH(MIN(BL461:BQ461),BL461:BQ461,0)</f>
        <v>3</v>
      </c>
      <c r="BT461" s="17" t="n">
        <f aca="false">SQRT(($B461-BT$401)^2+($C461-BT$402)^2+($D461-BT$403)^2)</f>
        <v>4.68923628747325</v>
      </c>
      <c r="BU461" s="17" t="n">
        <f aca="false">SQRT(($B461-BU$401)^2+($C461-BU$402)^2+($D461-BU$403)^2)</f>
        <v>3.04143892311851</v>
      </c>
      <c r="BV461" s="17" t="n">
        <f aca="false">SQRT(($B461-BV$401)^2+($C461-BV$402)^2+($D461-BV$403)^2)</f>
        <v>0.837435124791552</v>
      </c>
      <c r="BW461" s="17" t="n">
        <f aca="false">SQRT(($B461-BW$401)^2+($C461-BW$402)^2+($D461-BW$403)^2)</f>
        <v>2.54431509947242</v>
      </c>
      <c r="BX461" s="17" t="n">
        <f aca="false">SQRT(($B461-BX$401)^2+($C461-BX$402)^2+($D461-BX$403)^2)</f>
        <v>2.49334993360462</v>
      </c>
      <c r="BY461" s="17" t="n">
        <f aca="false">SQRT(($B461-BY$401)^2+($C461-BY$402)^2+($D461-BY$403)^2)</f>
        <v>1.8581369521542</v>
      </c>
      <c r="BZ461" s="63" t="n">
        <f aca="false">MATCH(MIN(BT461:BY461),BT461:BY461,0)</f>
        <v>3</v>
      </c>
      <c r="CB461" s="17" t="n">
        <f aca="false">SQRT(($B461-CB$401)^2+($C461-CB$402)^2+($D461-CB$403)^2)</f>
        <v>4.68923628747325</v>
      </c>
      <c r="CC461" s="17" t="n">
        <f aca="false">SQRT(($B461-CC$401)^2+($C461-CC$402)^2+($D461-CC$403)^2)</f>
        <v>3.04143892311851</v>
      </c>
      <c r="CD461" s="17" t="n">
        <f aca="false">SQRT(($B461-CD$401)^2+($C461-CD$402)^2+($D461-CD$403)^2)</f>
        <v>0.837435124791552</v>
      </c>
      <c r="CE461" s="17" t="n">
        <f aca="false">SQRT(($B461-CE$401)^2+($C461-CE$402)^2+($D461-CE$403)^2)</f>
        <v>2.54431509947242</v>
      </c>
      <c r="CF461" s="17" t="n">
        <f aca="false">SQRT(($B461-CF$401)^2+($C461-CF$402)^2+($D461-CF$403)^2)</f>
        <v>2.49334993360462</v>
      </c>
      <c r="CG461" s="17" t="n">
        <f aca="false">SQRT(($B461-CG$401)^2+($C461-CG$402)^2+($D461-CG$403)^2)</f>
        <v>1.8581369521542</v>
      </c>
      <c r="CH461" s="63" t="n">
        <f aca="false">MATCH(MIN(CB461:CG461),CB461:CG461,0)</f>
        <v>3</v>
      </c>
      <c r="CJ461" s="17" t="n">
        <f aca="false">SQRT(($B461-CJ$401)^2+($C461-CJ$402)^2+($D461-CJ$403)^2)</f>
        <v>4.68923628747325</v>
      </c>
      <c r="CK461" s="17" t="n">
        <f aca="false">SQRT(($B461-CK$401)^2+($C461-CK$402)^2+($D461-CK$403)^2)</f>
        <v>3.04143892311851</v>
      </c>
      <c r="CL461" s="17" t="n">
        <f aca="false">SQRT(($B461-CL$401)^2+($C461-CL$402)^2+($D461-CL$403)^2)</f>
        <v>0.837435124791552</v>
      </c>
      <c r="CM461" s="17" t="n">
        <f aca="false">SQRT(($B461-CM$401)^2+($C461-CM$402)^2+($D461-CM$403)^2)</f>
        <v>2.54431509947242</v>
      </c>
      <c r="CN461" s="17" t="n">
        <f aca="false">SQRT(($B461-CN$401)^2+($C461-CN$402)^2+($D461-CN$403)^2)</f>
        <v>2.49334993360462</v>
      </c>
      <c r="CO461" s="17" t="n">
        <f aca="false">SQRT(($B461-CO$401)^2+($C461-CO$402)^2+($D461-CO$403)^2)</f>
        <v>1.8581369521542</v>
      </c>
      <c r="CP461" s="63" t="n">
        <f aca="false">MATCH(MIN(CJ461:CO461),CJ461:CO461,0)</f>
        <v>3</v>
      </c>
      <c r="CR461" s="17" t="n">
        <f aca="false">SQRT(($B461-CR$401)^2+($C461-CR$402)^2+($D461-CR$403)^2)</f>
        <v>4.68923628747325</v>
      </c>
      <c r="CS461" s="17" t="n">
        <f aca="false">SQRT(($B461-CS$401)^2+($C461-CS$402)^2+($D461-CS$403)^2)</f>
        <v>3.04143892311851</v>
      </c>
      <c r="CT461" s="17" t="n">
        <f aca="false">SQRT(($B461-CT$401)^2+($C461-CT$402)^2+($D461-CT$403)^2)</f>
        <v>0.837435124791552</v>
      </c>
      <c r="CU461" s="17" t="n">
        <f aca="false">SQRT(($B461-CU$401)^2+($C461-CU$402)^2+($D461-CU$403)^2)</f>
        <v>2.54431509947242</v>
      </c>
      <c r="CV461" s="17" t="n">
        <f aca="false">SQRT(($B461-CV$401)^2+($C461-CV$402)^2+($D461-CV$403)^2)</f>
        <v>2.49334993360462</v>
      </c>
      <c r="CW461" s="17" t="n">
        <f aca="false">SQRT(($B461-CW$401)^2+($C461-CW$402)^2+($D461-CW$403)^2)</f>
        <v>1.8581369521542</v>
      </c>
      <c r="CX461" s="63" t="n">
        <f aca="false">MATCH(MIN(CR461:CW461),CR461:CW461,0)</f>
        <v>3</v>
      </c>
      <c r="CZ461" s="17" t="n">
        <f aca="false">SQRT(($B461-CZ$401)^2+($C461-CZ$402)^2+($D461-CZ$403)^2)</f>
        <v>4.68923628747325</v>
      </c>
      <c r="DA461" s="17" t="n">
        <f aca="false">SQRT(($B461-DA$401)^2+($C461-DA$402)^2+($D461-DA$403)^2)</f>
        <v>3.04143892311851</v>
      </c>
      <c r="DB461" s="17" t="n">
        <f aca="false">SQRT(($B461-DB$401)^2+($C461-DB$402)^2+($D461-DB$403)^2)</f>
        <v>0.837435124791552</v>
      </c>
      <c r="DC461" s="17" t="n">
        <f aca="false">SQRT(($B461-DC$401)^2+($C461-DC$402)^2+($D461-DC$403)^2)</f>
        <v>2.54431509947242</v>
      </c>
      <c r="DD461" s="17" t="n">
        <f aca="false">SQRT(($B461-DD$401)^2+($C461-DD$402)^2+($D461-DD$403)^2)</f>
        <v>2.49334993360462</v>
      </c>
      <c r="DE461" s="17" t="n">
        <f aca="false">SQRT(($B461-DE$401)^2+($C461-DE$402)^2+($D461-DE$403)^2)</f>
        <v>1.8581369521542</v>
      </c>
      <c r="DF461" s="63" t="n">
        <f aca="false">MATCH(MIN(CZ461:DE461),CZ461:DE461,0)</f>
        <v>3</v>
      </c>
      <c r="DH461" s="17" t="n">
        <f aca="false">SQRT(($B461-DH$401)^2+($C461-DH$402)^2+($D461-DH$403)^2)</f>
        <v>4.68923628747325</v>
      </c>
      <c r="DI461" s="17" t="n">
        <f aca="false">SQRT(($B461-DI$401)^2+($C461-DI$402)^2+($D461-DI$403)^2)</f>
        <v>3.04143892311851</v>
      </c>
      <c r="DJ461" s="17" t="n">
        <f aca="false">SQRT(($B461-DJ$401)^2+($C461-DJ$402)^2+($D461-DJ$403)^2)</f>
        <v>0.837435124791552</v>
      </c>
      <c r="DK461" s="17" t="n">
        <f aca="false">SQRT(($B461-DK$401)^2+($C461-DK$402)^2+($D461-DK$403)^2)</f>
        <v>2.54431509947242</v>
      </c>
      <c r="DL461" s="17" t="n">
        <f aca="false">SQRT(($B461-DL$401)^2+($C461-DL$402)^2+($D461-DL$403)^2)</f>
        <v>2.49334993360462</v>
      </c>
      <c r="DM461" s="17" t="n">
        <f aca="false">SQRT(($B461-DM$401)^2+($C461-DM$402)^2+($D461-DM$403)^2)</f>
        <v>1.8581369521542</v>
      </c>
      <c r="DN461" s="63" t="n">
        <f aca="false">MATCH(MIN(DH461:DM461),DH461:DM461,0)</f>
        <v>3</v>
      </c>
    </row>
    <row r="462" customFormat="false" ht="15" hidden="false" customHeight="false" outlineLevel="0" collapsed="false">
      <c r="A462" s="36" t="str">
        <f aca="false">KMeans_Data!A59</f>
        <v>Sanghar</v>
      </c>
      <c r="B462" s="17" t="n">
        <f aca="false">KMeans_Data!H59</f>
        <v>0.100851695433816</v>
      </c>
      <c r="C462" s="17" t="n">
        <f aca="false">KMeans_Data!I59</f>
        <v>-0.146983133929529</v>
      </c>
      <c r="D462" s="17" t="n">
        <f aca="false">KMeans_Data!J59</f>
        <v>0.618328666074444</v>
      </c>
      <c r="E462" s="63" t="n">
        <f aca="false">DN462</f>
        <v>6</v>
      </c>
      <c r="F462" s="38" t="n">
        <f aca="false">($B462-INDEX($L$401:$Q$401,E462))^2+($C462-INDEX($L$402:$Q$402,E462))^2+($D462-INDEX($L$403:$Q$403,E462))^2</f>
        <v>0.283614840123659</v>
      </c>
      <c r="G462" s="17" t="n">
        <f aca="false">IF(COUNTIF(Distance_Matrix!$E$12:$DQ$12,$E462)&lt;=1,0,SUMIF(Distance_Matrix!$E$12:$DQ$12,$E462,Distance_Matrix!$E$68:$DQ$68)/(COUNTIF(Distance_Matrix!$E$12:$DQ$12,$E462)-1))</f>
        <v>0.785152314983226</v>
      </c>
      <c r="H462" s="17" t="n">
        <f aca="false">MIN(IF(1=$E462,1E+099,IF(COUNTIF(Distance_Matrix!$E$12:$DQ$12,1)=0,1E+099,SUMIF(Distance_Matrix!$E$12:$DQ$12,1,Distance_Matrix!$E$68:$DQ$68)/COUNTIF(Distance_Matrix!$E$12:$DQ$12,1))),IF(2=$E462,1E+099,IF(COUNTIF(Distance_Matrix!$E$12:$DQ$12,2)=0,1E+099,SUMIF(Distance_Matrix!$E$12:$DQ$12,2,Distance_Matrix!$E$68:$DQ$68)/COUNTIF(Distance_Matrix!$E$12:$DQ$12,2))),IF(3=$E462,1E+099,IF(COUNTIF(Distance_Matrix!$E$12:$DQ$12,3)=0,1E+099,SUMIF(Distance_Matrix!$E$12:$DQ$12,3,Distance_Matrix!$E$68:$DQ$68)/COUNTIF(Distance_Matrix!$E$12:$DQ$12,3))),IF(4=$E462,1E+099,IF(COUNTIF(Distance_Matrix!$E$12:$DQ$12,4)=0,1E+099,SUMIF(Distance_Matrix!$E$12:$DQ$12,4,Distance_Matrix!$E$68:$DQ$68)/COUNTIF(Distance_Matrix!$E$12:$DQ$12,4))),IF(5=$E462,1E+099,IF(COUNTIF(Distance_Matrix!$E$12:$DQ$12,5)=0,1E+099,SUMIF(Distance_Matrix!$E$12:$DQ$12,5,Distance_Matrix!$E$68:$DQ$68)/COUNTIF(Distance_Matrix!$E$12:$DQ$12,5))),IF(6=$E462,1E+099,IF(COUNTIF(Distance_Matrix!$E$12:$DQ$12,6)=0,1E+099,SUMIF(Distance_Matrix!$E$12:$DQ$12,6,Distance_Matrix!$E$68:$DQ$68)/COUNTIF(Distance_Matrix!$E$12:$DQ$12,6))))</f>
        <v>1.31675203213846</v>
      </c>
      <c r="I462" s="17" t="n">
        <f aca="false">IF(COUNTIF(Distance_Matrix!$E$12:$DQ$12,$E462)&lt;=1,0,(H462-G462)/MAX(G462,H462))</f>
        <v>0.40372044559665</v>
      </c>
      <c r="X462" s="17" t="n">
        <f aca="false">SQRT(($B462-X$401)^2+($C462-X$402)^2+($D462-X$403)^2)</f>
        <v>5.87639549417765</v>
      </c>
      <c r="Y462" s="17" t="n">
        <f aca="false">SQRT(($B462-Y$401)^2+($C462-Y$402)^2+($D462-Y$403)^2)</f>
        <v>2.85357627285817</v>
      </c>
      <c r="Z462" s="17" t="n">
        <f aca="false">SQRT(($B462-Z$401)^2+($C462-Z$402)^2+($D462-Z$403)^2)</f>
        <v>1.37089904037788</v>
      </c>
      <c r="AA462" s="17" t="n">
        <f aca="false">SQRT(($B462-AA$401)^2+($C462-AA$402)^2+($D462-AA$403)^2)</f>
        <v>1.8461934608515</v>
      </c>
      <c r="AB462" s="17" t="n">
        <f aca="false">SQRT(($B462-AB$401)^2+($C462-AB$402)^2+($D462-AB$403)^2)</f>
        <v>3.76297013070133</v>
      </c>
      <c r="AC462" s="17" t="n">
        <f aca="false">SQRT(($B462-AC$401)^2+($C462-AC$402)^2+($D462-AC$403)^2)</f>
        <v>0.807103726108784</v>
      </c>
      <c r="AD462" s="63" t="n">
        <f aca="false">MATCH(MIN(X462:AC462),X462:AC462,0)</f>
        <v>6</v>
      </c>
      <c r="AF462" s="17" t="n">
        <f aca="false">SQRT(($B462-AF$401)^2+($C462-AF$402)^2+($D462-AF$403)^2)</f>
        <v>5.79027892231526</v>
      </c>
      <c r="AG462" s="17" t="n">
        <f aca="false">SQRT(($B462-AG$401)^2+($C462-AG$402)^2+($D462-AG$403)^2)</f>
        <v>2.28279854068284</v>
      </c>
      <c r="AH462" s="17" t="n">
        <f aca="false">SQRT(($B462-AH$401)^2+($C462-AH$402)^2+($D462-AH$403)^2)</f>
        <v>1.2363117242663</v>
      </c>
      <c r="AI462" s="17" t="n">
        <f aca="false">SQRT(($B462-AI$401)^2+($C462-AI$402)^2+($D462-AI$403)^2)</f>
        <v>1.52529144804662</v>
      </c>
      <c r="AJ462" s="17" t="n">
        <f aca="false">SQRT(($B462-AJ$401)^2+($C462-AJ$402)^2+($D462-AJ$403)^2)</f>
        <v>3.54252350207421</v>
      </c>
      <c r="AK462" s="17" t="n">
        <f aca="false">SQRT(($B462-AK$401)^2+($C462-AK$402)^2+($D462-AK$403)^2)</f>
        <v>0.62614994148605</v>
      </c>
      <c r="AL462" s="63" t="n">
        <f aca="false">MATCH(MIN(AF462:AK462),AF462:AK462,0)</f>
        <v>6</v>
      </c>
      <c r="AN462" s="17" t="n">
        <f aca="false">SQRT(($B462-AN$401)^2+($C462-AN$402)^2+($D462-AN$403)^2)</f>
        <v>5.79027892231526</v>
      </c>
      <c r="AO462" s="17" t="n">
        <f aca="false">SQRT(($B462-AO$401)^2+($C462-AO$402)^2+($D462-AO$403)^2)</f>
        <v>2.24040828342613</v>
      </c>
      <c r="AP462" s="17" t="n">
        <f aca="false">SQRT(($B462-AP$401)^2+($C462-AP$402)^2+($D462-AP$403)^2)</f>
        <v>1.20939292175008</v>
      </c>
      <c r="AQ462" s="17" t="n">
        <f aca="false">SQRT(($B462-AQ$401)^2+($C462-AQ$402)^2+($D462-AQ$403)^2)</f>
        <v>1.53881485348638</v>
      </c>
      <c r="AR462" s="17" t="n">
        <f aca="false">SQRT(($B462-AR$401)^2+($C462-AR$402)^2+($D462-AR$403)^2)</f>
        <v>3.54252350207421</v>
      </c>
      <c r="AS462" s="17" t="n">
        <f aca="false">SQRT(($B462-AS$401)^2+($C462-AS$402)^2+($D462-AS$403)^2)</f>
        <v>0.585122940539466</v>
      </c>
      <c r="AT462" s="63" t="n">
        <f aca="false">MATCH(MIN(AN462:AS462),AN462:AS462,0)</f>
        <v>6</v>
      </c>
      <c r="AV462" s="17" t="n">
        <f aca="false">SQRT(($B462-AV$401)^2+($C462-AV$402)^2+($D462-AV$403)^2)</f>
        <v>5.79027892231526</v>
      </c>
      <c r="AW462" s="17" t="n">
        <f aca="false">SQRT(($B462-AW$401)^2+($C462-AW$402)^2+($D462-AW$403)^2)</f>
        <v>2.20938873854157</v>
      </c>
      <c r="AX462" s="17" t="n">
        <f aca="false">SQRT(($B462-AX$401)^2+($C462-AX$402)^2+($D462-AX$403)^2)</f>
        <v>1.20939292175008</v>
      </c>
      <c r="AY462" s="17" t="n">
        <f aca="false">SQRT(($B462-AY$401)^2+($C462-AY$402)^2+($D462-AY$403)^2)</f>
        <v>1.53881485348638</v>
      </c>
      <c r="AZ462" s="17" t="n">
        <f aca="false">SQRT(($B462-AZ$401)^2+($C462-AZ$402)^2+($D462-AZ$403)^2)</f>
        <v>3.54252350207421</v>
      </c>
      <c r="BA462" s="17" t="n">
        <f aca="false">SQRT(($B462-BA$401)^2+($C462-BA$402)^2+($D462-BA$403)^2)</f>
        <v>0.559064618886461</v>
      </c>
      <c r="BB462" s="63" t="n">
        <f aca="false">MATCH(MIN(AV462:BA462),AV462:BA462,0)</f>
        <v>6</v>
      </c>
      <c r="BD462" s="17" t="n">
        <f aca="false">SQRT(($B462-BD$401)^2+($C462-BD$402)^2+($D462-BD$403)^2)</f>
        <v>5.79027892231526</v>
      </c>
      <c r="BE462" s="17" t="n">
        <f aca="false">SQRT(($B462-BE$401)^2+($C462-BE$402)^2+($D462-BE$403)^2)</f>
        <v>2.17937319676463</v>
      </c>
      <c r="BF462" s="17" t="n">
        <f aca="false">SQRT(($B462-BF$401)^2+($C462-BF$402)^2+($D462-BF$403)^2)</f>
        <v>1.20939292175008</v>
      </c>
      <c r="BG462" s="17" t="n">
        <f aca="false">SQRT(($B462-BG$401)^2+($C462-BG$402)^2+($D462-BG$403)^2)</f>
        <v>1.53881485348638</v>
      </c>
      <c r="BH462" s="17" t="n">
        <f aca="false">SQRT(($B462-BH$401)^2+($C462-BH$402)^2+($D462-BH$403)^2)</f>
        <v>3.54252350207421</v>
      </c>
      <c r="BI462" s="17" t="n">
        <f aca="false">SQRT(($B462-BI$401)^2+($C462-BI$402)^2+($D462-BI$403)^2)</f>
        <v>0.53255501135907</v>
      </c>
      <c r="BJ462" s="63" t="n">
        <f aca="false">MATCH(MIN(BD462:BI462),BD462:BI462,0)</f>
        <v>6</v>
      </c>
      <c r="BL462" s="17" t="n">
        <f aca="false">SQRT(($B462-BL$401)^2+($C462-BL$402)^2+($D462-BL$403)^2)</f>
        <v>5.79027892231526</v>
      </c>
      <c r="BM462" s="17" t="n">
        <f aca="false">SQRT(($B462-BM$401)^2+($C462-BM$402)^2+($D462-BM$403)^2)</f>
        <v>2.17937319676463</v>
      </c>
      <c r="BN462" s="17" t="n">
        <f aca="false">SQRT(($B462-BN$401)^2+($C462-BN$402)^2+($D462-BN$403)^2)</f>
        <v>1.20939292175008</v>
      </c>
      <c r="BO462" s="17" t="n">
        <f aca="false">SQRT(($B462-BO$401)^2+($C462-BO$402)^2+($D462-BO$403)^2)</f>
        <v>1.53881485348638</v>
      </c>
      <c r="BP462" s="17" t="n">
        <f aca="false">SQRT(($B462-BP$401)^2+($C462-BP$402)^2+($D462-BP$403)^2)</f>
        <v>3.54252350207421</v>
      </c>
      <c r="BQ462" s="17" t="n">
        <f aca="false">SQRT(($B462-BQ$401)^2+($C462-BQ$402)^2+($D462-BQ$403)^2)</f>
        <v>0.53255501135907</v>
      </c>
      <c r="BR462" s="63" t="n">
        <f aca="false">MATCH(MIN(BL462:BQ462),BL462:BQ462,0)</f>
        <v>6</v>
      </c>
      <c r="BT462" s="17" t="n">
        <f aca="false">SQRT(($B462-BT$401)^2+($C462-BT$402)^2+($D462-BT$403)^2)</f>
        <v>5.79027892231526</v>
      </c>
      <c r="BU462" s="17" t="n">
        <f aca="false">SQRT(($B462-BU$401)^2+($C462-BU$402)^2+($D462-BU$403)^2)</f>
        <v>2.17937319676463</v>
      </c>
      <c r="BV462" s="17" t="n">
        <f aca="false">SQRT(($B462-BV$401)^2+($C462-BV$402)^2+($D462-BV$403)^2)</f>
        <v>1.20939292175008</v>
      </c>
      <c r="BW462" s="17" t="n">
        <f aca="false">SQRT(($B462-BW$401)^2+($C462-BW$402)^2+($D462-BW$403)^2)</f>
        <v>1.53881485348638</v>
      </c>
      <c r="BX462" s="17" t="n">
        <f aca="false">SQRT(($B462-BX$401)^2+($C462-BX$402)^2+($D462-BX$403)^2)</f>
        <v>3.54252350207421</v>
      </c>
      <c r="BY462" s="17" t="n">
        <f aca="false">SQRT(($B462-BY$401)^2+($C462-BY$402)^2+($D462-BY$403)^2)</f>
        <v>0.53255501135907</v>
      </c>
      <c r="BZ462" s="63" t="n">
        <f aca="false">MATCH(MIN(BT462:BY462),BT462:BY462,0)</f>
        <v>6</v>
      </c>
      <c r="CB462" s="17" t="n">
        <f aca="false">SQRT(($B462-CB$401)^2+($C462-CB$402)^2+($D462-CB$403)^2)</f>
        <v>5.79027892231526</v>
      </c>
      <c r="CC462" s="17" t="n">
        <f aca="false">SQRT(($B462-CC$401)^2+($C462-CC$402)^2+($D462-CC$403)^2)</f>
        <v>2.17937319676463</v>
      </c>
      <c r="CD462" s="17" t="n">
        <f aca="false">SQRT(($B462-CD$401)^2+($C462-CD$402)^2+($D462-CD$403)^2)</f>
        <v>1.20939292175008</v>
      </c>
      <c r="CE462" s="17" t="n">
        <f aca="false">SQRT(($B462-CE$401)^2+($C462-CE$402)^2+($D462-CE$403)^2)</f>
        <v>1.53881485348638</v>
      </c>
      <c r="CF462" s="17" t="n">
        <f aca="false">SQRT(($B462-CF$401)^2+($C462-CF$402)^2+($D462-CF$403)^2)</f>
        <v>3.54252350207421</v>
      </c>
      <c r="CG462" s="17" t="n">
        <f aca="false">SQRT(($B462-CG$401)^2+($C462-CG$402)^2+($D462-CG$403)^2)</f>
        <v>0.53255501135907</v>
      </c>
      <c r="CH462" s="63" t="n">
        <f aca="false">MATCH(MIN(CB462:CG462),CB462:CG462,0)</f>
        <v>6</v>
      </c>
      <c r="CJ462" s="17" t="n">
        <f aca="false">SQRT(($B462-CJ$401)^2+($C462-CJ$402)^2+($D462-CJ$403)^2)</f>
        <v>5.79027892231526</v>
      </c>
      <c r="CK462" s="17" t="n">
        <f aca="false">SQRT(($B462-CK$401)^2+($C462-CK$402)^2+($D462-CK$403)^2)</f>
        <v>2.17937319676463</v>
      </c>
      <c r="CL462" s="17" t="n">
        <f aca="false">SQRT(($B462-CL$401)^2+($C462-CL$402)^2+($D462-CL$403)^2)</f>
        <v>1.20939292175008</v>
      </c>
      <c r="CM462" s="17" t="n">
        <f aca="false">SQRT(($B462-CM$401)^2+($C462-CM$402)^2+($D462-CM$403)^2)</f>
        <v>1.53881485348638</v>
      </c>
      <c r="CN462" s="17" t="n">
        <f aca="false">SQRT(($B462-CN$401)^2+($C462-CN$402)^2+($D462-CN$403)^2)</f>
        <v>3.54252350207421</v>
      </c>
      <c r="CO462" s="17" t="n">
        <f aca="false">SQRT(($B462-CO$401)^2+($C462-CO$402)^2+($D462-CO$403)^2)</f>
        <v>0.53255501135907</v>
      </c>
      <c r="CP462" s="63" t="n">
        <f aca="false">MATCH(MIN(CJ462:CO462),CJ462:CO462,0)</f>
        <v>6</v>
      </c>
      <c r="CR462" s="17" t="n">
        <f aca="false">SQRT(($B462-CR$401)^2+($C462-CR$402)^2+($D462-CR$403)^2)</f>
        <v>5.79027892231526</v>
      </c>
      <c r="CS462" s="17" t="n">
        <f aca="false">SQRT(($B462-CS$401)^2+($C462-CS$402)^2+($D462-CS$403)^2)</f>
        <v>2.17937319676463</v>
      </c>
      <c r="CT462" s="17" t="n">
        <f aca="false">SQRT(($B462-CT$401)^2+($C462-CT$402)^2+($D462-CT$403)^2)</f>
        <v>1.20939292175008</v>
      </c>
      <c r="CU462" s="17" t="n">
        <f aca="false">SQRT(($B462-CU$401)^2+($C462-CU$402)^2+($D462-CU$403)^2)</f>
        <v>1.53881485348638</v>
      </c>
      <c r="CV462" s="17" t="n">
        <f aca="false">SQRT(($B462-CV$401)^2+($C462-CV$402)^2+($D462-CV$403)^2)</f>
        <v>3.54252350207421</v>
      </c>
      <c r="CW462" s="17" t="n">
        <f aca="false">SQRT(($B462-CW$401)^2+($C462-CW$402)^2+($D462-CW$403)^2)</f>
        <v>0.53255501135907</v>
      </c>
      <c r="CX462" s="63" t="n">
        <f aca="false">MATCH(MIN(CR462:CW462),CR462:CW462,0)</f>
        <v>6</v>
      </c>
      <c r="CZ462" s="17" t="n">
        <f aca="false">SQRT(($B462-CZ$401)^2+($C462-CZ$402)^2+($D462-CZ$403)^2)</f>
        <v>5.79027892231526</v>
      </c>
      <c r="DA462" s="17" t="n">
        <f aca="false">SQRT(($B462-DA$401)^2+($C462-DA$402)^2+($D462-DA$403)^2)</f>
        <v>2.17937319676463</v>
      </c>
      <c r="DB462" s="17" t="n">
        <f aca="false">SQRT(($B462-DB$401)^2+($C462-DB$402)^2+($D462-DB$403)^2)</f>
        <v>1.20939292175008</v>
      </c>
      <c r="DC462" s="17" t="n">
        <f aca="false">SQRT(($B462-DC$401)^2+($C462-DC$402)^2+($D462-DC$403)^2)</f>
        <v>1.53881485348638</v>
      </c>
      <c r="DD462" s="17" t="n">
        <f aca="false">SQRT(($B462-DD$401)^2+($C462-DD$402)^2+($D462-DD$403)^2)</f>
        <v>3.54252350207421</v>
      </c>
      <c r="DE462" s="17" t="n">
        <f aca="false">SQRT(($B462-DE$401)^2+($C462-DE$402)^2+($D462-DE$403)^2)</f>
        <v>0.53255501135907</v>
      </c>
      <c r="DF462" s="63" t="n">
        <f aca="false">MATCH(MIN(CZ462:DE462),CZ462:DE462,0)</f>
        <v>6</v>
      </c>
      <c r="DH462" s="17" t="n">
        <f aca="false">SQRT(($B462-DH$401)^2+($C462-DH$402)^2+($D462-DH$403)^2)</f>
        <v>5.79027892231526</v>
      </c>
      <c r="DI462" s="17" t="n">
        <f aca="false">SQRT(($B462-DI$401)^2+($C462-DI$402)^2+($D462-DI$403)^2)</f>
        <v>2.17937319676463</v>
      </c>
      <c r="DJ462" s="17" t="n">
        <f aca="false">SQRT(($B462-DJ$401)^2+($C462-DJ$402)^2+($D462-DJ$403)^2)</f>
        <v>1.20939292175008</v>
      </c>
      <c r="DK462" s="17" t="n">
        <f aca="false">SQRT(($B462-DK$401)^2+($C462-DK$402)^2+($D462-DK$403)^2)</f>
        <v>1.53881485348638</v>
      </c>
      <c r="DL462" s="17" t="n">
        <f aca="false">SQRT(($B462-DL$401)^2+($C462-DL$402)^2+($D462-DL$403)^2)</f>
        <v>3.54252350207421</v>
      </c>
      <c r="DM462" s="17" t="n">
        <f aca="false">SQRT(($B462-DM$401)^2+($C462-DM$402)^2+($D462-DM$403)^2)</f>
        <v>0.53255501135907</v>
      </c>
      <c r="DN462" s="63" t="n">
        <f aca="false">MATCH(MIN(DH462:DM462),DH462:DM462,0)</f>
        <v>6</v>
      </c>
    </row>
    <row r="463" customFormat="false" ht="15" hidden="false" customHeight="false" outlineLevel="0" collapsed="false">
      <c r="A463" s="36" t="str">
        <f aca="false">KMeans_Data!A60</f>
        <v>Bhakkar</v>
      </c>
      <c r="B463" s="17" t="n">
        <f aca="false">KMeans_Data!H60</f>
        <v>0.0848359697065613</v>
      </c>
      <c r="C463" s="17" t="n">
        <f aca="false">KMeans_Data!I60</f>
        <v>-0.672650545388274</v>
      </c>
      <c r="D463" s="17" t="n">
        <f aca="false">KMeans_Data!J60</f>
        <v>-1.14564411633355</v>
      </c>
      <c r="E463" s="63" t="n">
        <f aca="false">DN463</f>
        <v>4</v>
      </c>
      <c r="F463" s="38" t="n">
        <f aca="false">($B463-INDEX($L$401:$Q$401,E463))^2+($C463-INDEX($L$402:$Q$402,E463))^2+($D463-INDEX($L$403:$Q$403,E463))^2</f>
        <v>0.0946536138847657</v>
      </c>
      <c r="G463" s="17" t="n">
        <f aca="false">IF(COUNTIF(Distance_Matrix!$E$12:$DQ$12,$E463)&lt;=1,0,SUMIF(Distance_Matrix!$E$12:$DQ$12,$E463,Distance_Matrix!$E$69:$DQ$69)/(COUNTIF(Distance_Matrix!$E$12:$DQ$12,$E463)-1))</f>
        <v>0.594961075840012</v>
      </c>
      <c r="H463" s="17" t="n">
        <f aca="false">MIN(IF(1=$E463,1E+099,IF(COUNTIF(Distance_Matrix!$E$12:$DQ$12,1)=0,1E+099,SUMIF(Distance_Matrix!$E$12:$DQ$12,1,Distance_Matrix!$E$69:$DQ$69)/COUNTIF(Distance_Matrix!$E$12:$DQ$12,1))),IF(2=$E463,1E+099,IF(COUNTIF(Distance_Matrix!$E$12:$DQ$12,2)=0,1E+099,SUMIF(Distance_Matrix!$E$12:$DQ$12,2,Distance_Matrix!$E$69:$DQ$69)/COUNTIF(Distance_Matrix!$E$12:$DQ$12,2))),IF(3=$E463,1E+099,IF(COUNTIF(Distance_Matrix!$E$12:$DQ$12,3)=0,1E+099,SUMIF(Distance_Matrix!$E$12:$DQ$12,3,Distance_Matrix!$E$69:$DQ$69)/COUNTIF(Distance_Matrix!$E$12:$DQ$12,3))),IF(4=$E463,1E+099,IF(COUNTIF(Distance_Matrix!$E$12:$DQ$12,4)=0,1E+099,SUMIF(Distance_Matrix!$E$12:$DQ$12,4,Distance_Matrix!$E$69:$DQ$69)/COUNTIF(Distance_Matrix!$E$12:$DQ$12,4))),IF(5=$E463,1E+099,IF(COUNTIF(Distance_Matrix!$E$12:$DQ$12,5)=0,1E+099,SUMIF(Distance_Matrix!$E$12:$DQ$12,5,Distance_Matrix!$E$69:$DQ$69)/COUNTIF(Distance_Matrix!$E$12:$DQ$12,5))),IF(6=$E463,1E+099,IF(COUNTIF(Distance_Matrix!$E$12:$DQ$12,6)=0,1E+099,SUMIF(Distance_Matrix!$E$12:$DQ$12,6,Distance_Matrix!$E$69:$DQ$69)/COUNTIF(Distance_Matrix!$E$12:$DQ$12,6))))</f>
        <v>1.36939907480058</v>
      </c>
      <c r="I463" s="17" t="n">
        <f aca="false">IF(COUNTIF(Distance_Matrix!$E$12:$DQ$12,$E463)&lt;=1,0,(H463-G463)/MAX(G463,H463))</f>
        <v>0.565531270768052</v>
      </c>
      <c r="X463" s="17" t="n">
        <f aca="false">SQRT(($B463-X$401)^2+($C463-X$402)^2+($D463-X$403)^2)</f>
        <v>7.19142094483798</v>
      </c>
      <c r="Y463" s="17" t="n">
        <f aca="false">SQRT(($B463-Y$401)^2+($C463-Y$402)^2+($D463-Y$403)^2)</f>
        <v>2.16457395150989</v>
      </c>
      <c r="Z463" s="17" t="n">
        <f aca="false">SQRT(($B463-Z$401)^2+($C463-Z$402)^2+($D463-Z$403)^2)</f>
        <v>2.97594925599832</v>
      </c>
      <c r="AA463" s="17" t="n">
        <f aca="false">SQRT(($B463-AA$401)^2+($C463-AA$402)^2+($D463-AA$403)^2)</f>
        <v>0.768677089421903</v>
      </c>
      <c r="AB463" s="17" t="n">
        <f aca="false">SQRT(($B463-AB$401)^2+($C463-AB$402)^2+($D463-AB$403)^2)</f>
        <v>5.13567773757729</v>
      </c>
      <c r="AC463" s="17" t="n">
        <f aca="false">SQRT(($B463-AC$401)^2+($C463-AC$402)^2+($D463-AC$403)^2)</f>
        <v>2.01238167287958</v>
      </c>
      <c r="AD463" s="63" t="n">
        <f aca="false">MATCH(MIN(X463:AC463),X463:AC463,0)</f>
        <v>4</v>
      </c>
      <c r="AF463" s="17" t="n">
        <f aca="false">SQRT(($B463-AF$401)^2+($C463-AF$402)^2+($D463-AF$403)^2)</f>
        <v>7.05436972688678</v>
      </c>
      <c r="AG463" s="17" t="n">
        <f aca="false">SQRT(($B463-AG$401)^2+($C463-AG$402)^2+($D463-AG$403)^2)</f>
        <v>1.40663342832312</v>
      </c>
      <c r="AH463" s="17" t="n">
        <f aca="false">SQRT(($B463-AH$401)^2+($C463-AH$402)^2+($D463-AH$403)^2)</f>
        <v>2.67001164229319</v>
      </c>
      <c r="AI463" s="17" t="n">
        <f aca="false">SQRT(($B463-AI$401)^2+($C463-AI$402)^2+($D463-AI$403)^2)</f>
        <v>0.325465177898207</v>
      </c>
      <c r="AJ463" s="17" t="n">
        <f aca="false">SQRT(($B463-AJ$401)^2+($C463-AJ$402)^2+($D463-AJ$403)^2)</f>
        <v>4.7907409086757</v>
      </c>
      <c r="AK463" s="17" t="n">
        <f aca="false">SQRT(($B463-AK$401)^2+($C463-AK$402)^2+($D463-AK$403)^2)</f>
        <v>1.39198727714408</v>
      </c>
      <c r="AL463" s="63" t="n">
        <f aca="false">MATCH(MIN(AF463:AK463),AF463:AK463,0)</f>
        <v>4</v>
      </c>
      <c r="AN463" s="17" t="n">
        <f aca="false">SQRT(($B463-AN$401)^2+($C463-AN$402)^2+($D463-AN$403)^2)</f>
        <v>7.05436972688678</v>
      </c>
      <c r="AO463" s="17" t="n">
        <f aca="false">SQRT(($B463-AO$401)^2+($C463-AO$402)^2+($D463-AO$403)^2)</f>
        <v>1.36486195620195</v>
      </c>
      <c r="AP463" s="17" t="n">
        <f aca="false">SQRT(($B463-AP$401)^2+($C463-AP$402)^2+($D463-AP$403)^2)</f>
        <v>2.64531972830475</v>
      </c>
      <c r="AQ463" s="17" t="n">
        <f aca="false">SQRT(($B463-AQ$401)^2+($C463-AQ$402)^2+($D463-AQ$403)^2)</f>
        <v>0.307658274526732</v>
      </c>
      <c r="AR463" s="17" t="n">
        <f aca="false">SQRT(($B463-AR$401)^2+($C463-AR$402)^2+($D463-AR$403)^2)</f>
        <v>4.7907409086757</v>
      </c>
      <c r="AS463" s="17" t="n">
        <f aca="false">SQRT(($B463-AS$401)^2+($C463-AS$402)^2+($D463-AS$403)^2)</f>
        <v>1.40518878985335</v>
      </c>
      <c r="AT463" s="63" t="n">
        <f aca="false">MATCH(MIN(AN463:AS463),AN463:AS463,0)</f>
        <v>4</v>
      </c>
      <c r="AV463" s="17" t="n">
        <f aca="false">SQRT(($B463-AV$401)^2+($C463-AV$402)^2+($D463-AV$403)^2)</f>
        <v>7.05436972688678</v>
      </c>
      <c r="AW463" s="17" t="n">
        <f aca="false">SQRT(($B463-AW$401)^2+($C463-AW$402)^2+($D463-AW$403)^2)</f>
        <v>1.34760304681747</v>
      </c>
      <c r="AX463" s="17" t="n">
        <f aca="false">SQRT(($B463-AX$401)^2+($C463-AX$402)^2+($D463-AX$403)^2)</f>
        <v>2.64531972830475</v>
      </c>
      <c r="AY463" s="17" t="n">
        <f aca="false">SQRT(($B463-AY$401)^2+($C463-AY$402)^2+($D463-AY$403)^2)</f>
        <v>0.307658274526732</v>
      </c>
      <c r="AZ463" s="17" t="n">
        <f aca="false">SQRT(($B463-AZ$401)^2+($C463-AZ$402)^2+($D463-AZ$403)^2)</f>
        <v>4.7907409086757</v>
      </c>
      <c r="BA463" s="17" t="n">
        <f aca="false">SQRT(($B463-BA$401)^2+($C463-BA$402)^2+($D463-BA$403)^2)</f>
        <v>1.42055853985579</v>
      </c>
      <c r="BB463" s="63" t="n">
        <f aca="false">MATCH(MIN(AV463:BA463),AV463:BA463,0)</f>
        <v>4</v>
      </c>
      <c r="BD463" s="17" t="n">
        <f aca="false">SQRT(($B463-BD$401)^2+($C463-BD$402)^2+($D463-BD$403)^2)</f>
        <v>7.05436972688678</v>
      </c>
      <c r="BE463" s="17" t="n">
        <f aca="false">SQRT(($B463-BE$401)^2+($C463-BE$402)^2+($D463-BE$403)^2)</f>
        <v>1.33407205415766</v>
      </c>
      <c r="BF463" s="17" t="n">
        <f aca="false">SQRT(($B463-BF$401)^2+($C463-BF$402)^2+($D463-BF$403)^2)</f>
        <v>2.64531972830475</v>
      </c>
      <c r="BG463" s="17" t="n">
        <f aca="false">SQRT(($B463-BG$401)^2+($C463-BG$402)^2+($D463-BG$403)^2)</f>
        <v>0.307658274526732</v>
      </c>
      <c r="BH463" s="17" t="n">
        <f aca="false">SQRT(($B463-BH$401)^2+($C463-BH$402)^2+($D463-BH$403)^2)</f>
        <v>4.7907409086757</v>
      </c>
      <c r="BI463" s="17" t="n">
        <f aca="false">SQRT(($B463-BI$401)^2+($C463-BI$402)^2+($D463-BI$403)^2)</f>
        <v>1.43443493625714</v>
      </c>
      <c r="BJ463" s="63" t="n">
        <f aca="false">MATCH(MIN(BD463:BI463),BD463:BI463,0)</f>
        <v>4</v>
      </c>
      <c r="BL463" s="17" t="n">
        <f aca="false">SQRT(($B463-BL$401)^2+($C463-BL$402)^2+($D463-BL$403)^2)</f>
        <v>7.05436972688678</v>
      </c>
      <c r="BM463" s="17" t="n">
        <f aca="false">SQRT(($B463-BM$401)^2+($C463-BM$402)^2+($D463-BM$403)^2)</f>
        <v>1.33407205415766</v>
      </c>
      <c r="BN463" s="17" t="n">
        <f aca="false">SQRT(($B463-BN$401)^2+($C463-BN$402)^2+($D463-BN$403)^2)</f>
        <v>2.64531972830475</v>
      </c>
      <c r="BO463" s="17" t="n">
        <f aca="false">SQRT(($B463-BO$401)^2+($C463-BO$402)^2+($D463-BO$403)^2)</f>
        <v>0.307658274526732</v>
      </c>
      <c r="BP463" s="17" t="n">
        <f aca="false">SQRT(($B463-BP$401)^2+($C463-BP$402)^2+($D463-BP$403)^2)</f>
        <v>4.7907409086757</v>
      </c>
      <c r="BQ463" s="17" t="n">
        <f aca="false">SQRT(($B463-BQ$401)^2+($C463-BQ$402)^2+($D463-BQ$403)^2)</f>
        <v>1.43443493625714</v>
      </c>
      <c r="BR463" s="63" t="n">
        <f aca="false">MATCH(MIN(BL463:BQ463),BL463:BQ463,0)</f>
        <v>4</v>
      </c>
      <c r="BT463" s="17" t="n">
        <f aca="false">SQRT(($B463-BT$401)^2+($C463-BT$402)^2+($D463-BT$403)^2)</f>
        <v>7.05436972688678</v>
      </c>
      <c r="BU463" s="17" t="n">
        <f aca="false">SQRT(($B463-BU$401)^2+($C463-BU$402)^2+($D463-BU$403)^2)</f>
        <v>1.33407205415766</v>
      </c>
      <c r="BV463" s="17" t="n">
        <f aca="false">SQRT(($B463-BV$401)^2+($C463-BV$402)^2+($D463-BV$403)^2)</f>
        <v>2.64531972830475</v>
      </c>
      <c r="BW463" s="17" t="n">
        <f aca="false">SQRT(($B463-BW$401)^2+($C463-BW$402)^2+($D463-BW$403)^2)</f>
        <v>0.307658274526732</v>
      </c>
      <c r="BX463" s="17" t="n">
        <f aca="false">SQRT(($B463-BX$401)^2+($C463-BX$402)^2+($D463-BX$403)^2)</f>
        <v>4.7907409086757</v>
      </c>
      <c r="BY463" s="17" t="n">
        <f aca="false">SQRT(($B463-BY$401)^2+($C463-BY$402)^2+($D463-BY$403)^2)</f>
        <v>1.43443493625714</v>
      </c>
      <c r="BZ463" s="63" t="n">
        <f aca="false">MATCH(MIN(BT463:BY463),BT463:BY463,0)</f>
        <v>4</v>
      </c>
      <c r="CB463" s="17" t="n">
        <f aca="false">SQRT(($B463-CB$401)^2+($C463-CB$402)^2+($D463-CB$403)^2)</f>
        <v>7.05436972688678</v>
      </c>
      <c r="CC463" s="17" t="n">
        <f aca="false">SQRT(($B463-CC$401)^2+($C463-CC$402)^2+($D463-CC$403)^2)</f>
        <v>1.33407205415766</v>
      </c>
      <c r="CD463" s="17" t="n">
        <f aca="false">SQRT(($B463-CD$401)^2+($C463-CD$402)^2+($D463-CD$403)^2)</f>
        <v>2.64531972830475</v>
      </c>
      <c r="CE463" s="17" t="n">
        <f aca="false">SQRT(($B463-CE$401)^2+($C463-CE$402)^2+($D463-CE$403)^2)</f>
        <v>0.307658274526732</v>
      </c>
      <c r="CF463" s="17" t="n">
        <f aca="false">SQRT(($B463-CF$401)^2+($C463-CF$402)^2+($D463-CF$403)^2)</f>
        <v>4.7907409086757</v>
      </c>
      <c r="CG463" s="17" t="n">
        <f aca="false">SQRT(($B463-CG$401)^2+($C463-CG$402)^2+($D463-CG$403)^2)</f>
        <v>1.43443493625714</v>
      </c>
      <c r="CH463" s="63" t="n">
        <f aca="false">MATCH(MIN(CB463:CG463),CB463:CG463,0)</f>
        <v>4</v>
      </c>
      <c r="CJ463" s="17" t="n">
        <f aca="false">SQRT(($B463-CJ$401)^2+($C463-CJ$402)^2+($D463-CJ$403)^2)</f>
        <v>7.05436972688678</v>
      </c>
      <c r="CK463" s="17" t="n">
        <f aca="false">SQRT(($B463-CK$401)^2+($C463-CK$402)^2+($D463-CK$403)^2)</f>
        <v>1.33407205415766</v>
      </c>
      <c r="CL463" s="17" t="n">
        <f aca="false">SQRT(($B463-CL$401)^2+($C463-CL$402)^2+($D463-CL$403)^2)</f>
        <v>2.64531972830475</v>
      </c>
      <c r="CM463" s="17" t="n">
        <f aca="false">SQRT(($B463-CM$401)^2+($C463-CM$402)^2+($D463-CM$403)^2)</f>
        <v>0.307658274526732</v>
      </c>
      <c r="CN463" s="17" t="n">
        <f aca="false">SQRT(($B463-CN$401)^2+($C463-CN$402)^2+($D463-CN$403)^2)</f>
        <v>4.7907409086757</v>
      </c>
      <c r="CO463" s="17" t="n">
        <f aca="false">SQRT(($B463-CO$401)^2+($C463-CO$402)^2+($D463-CO$403)^2)</f>
        <v>1.43443493625714</v>
      </c>
      <c r="CP463" s="63" t="n">
        <f aca="false">MATCH(MIN(CJ463:CO463),CJ463:CO463,0)</f>
        <v>4</v>
      </c>
      <c r="CR463" s="17" t="n">
        <f aca="false">SQRT(($B463-CR$401)^2+($C463-CR$402)^2+($D463-CR$403)^2)</f>
        <v>7.05436972688678</v>
      </c>
      <c r="CS463" s="17" t="n">
        <f aca="false">SQRT(($B463-CS$401)^2+($C463-CS$402)^2+($D463-CS$403)^2)</f>
        <v>1.33407205415766</v>
      </c>
      <c r="CT463" s="17" t="n">
        <f aca="false">SQRT(($B463-CT$401)^2+($C463-CT$402)^2+($D463-CT$403)^2)</f>
        <v>2.64531972830475</v>
      </c>
      <c r="CU463" s="17" t="n">
        <f aca="false">SQRT(($B463-CU$401)^2+($C463-CU$402)^2+($D463-CU$403)^2)</f>
        <v>0.307658274526732</v>
      </c>
      <c r="CV463" s="17" t="n">
        <f aca="false">SQRT(($B463-CV$401)^2+($C463-CV$402)^2+($D463-CV$403)^2)</f>
        <v>4.7907409086757</v>
      </c>
      <c r="CW463" s="17" t="n">
        <f aca="false">SQRT(($B463-CW$401)^2+($C463-CW$402)^2+($D463-CW$403)^2)</f>
        <v>1.43443493625714</v>
      </c>
      <c r="CX463" s="63" t="n">
        <f aca="false">MATCH(MIN(CR463:CW463),CR463:CW463,0)</f>
        <v>4</v>
      </c>
      <c r="CZ463" s="17" t="n">
        <f aca="false">SQRT(($B463-CZ$401)^2+($C463-CZ$402)^2+($D463-CZ$403)^2)</f>
        <v>7.05436972688678</v>
      </c>
      <c r="DA463" s="17" t="n">
        <f aca="false">SQRT(($B463-DA$401)^2+($C463-DA$402)^2+($D463-DA$403)^2)</f>
        <v>1.33407205415766</v>
      </c>
      <c r="DB463" s="17" t="n">
        <f aca="false">SQRT(($B463-DB$401)^2+($C463-DB$402)^2+($D463-DB$403)^2)</f>
        <v>2.64531972830475</v>
      </c>
      <c r="DC463" s="17" t="n">
        <f aca="false">SQRT(($B463-DC$401)^2+($C463-DC$402)^2+($D463-DC$403)^2)</f>
        <v>0.307658274526732</v>
      </c>
      <c r="DD463" s="17" t="n">
        <f aca="false">SQRT(($B463-DD$401)^2+($C463-DD$402)^2+($D463-DD$403)^2)</f>
        <v>4.7907409086757</v>
      </c>
      <c r="DE463" s="17" t="n">
        <f aca="false">SQRT(($B463-DE$401)^2+($C463-DE$402)^2+($D463-DE$403)^2)</f>
        <v>1.43443493625714</v>
      </c>
      <c r="DF463" s="63" t="n">
        <f aca="false">MATCH(MIN(CZ463:DE463),CZ463:DE463,0)</f>
        <v>4</v>
      </c>
      <c r="DH463" s="17" t="n">
        <f aca="false">SQRT(($B463-DH$401)^2+($C463-DH$402)^2+($D463-DH$403)^2)</f>
        <v>7.05436972688678</v>
      </c>
      <c r="DI463" s="17" t="n">
        <f aca="false">SQRT(($B463-DI$401)^2+($C463-DI$402)^2+($D463-DI$403)^2)</f>
        <v>1.33407205415766</v>
      </c>
      <c r="DJ463" s="17" t="n">
        <f aca="false">SQRT(($B463-DJ$401)^2+($C463-DJ$402)^2+($D463-DJ$403)^2)</f>
        <v>2.64531972830475</v>
      </c>
      <c r="DK463" s="17" t="n">
        <f aca="false">SQRT(($B463-DK$401)^2+($C463-DK$402)^2+($D463-DK$403)^2)</f>
        <v>0.307658274526732</v>
      </c>
      <c r="DL463" s="17" t="n">
        <f aca="false">SQRT(($B463-DL$401)^2+($C463-DL$402)^2+($D463-DL$403)^2)</f>
        <v>4.7907409086757</v>
      </c>
      <c r="DM463" s="17" t="n">
        <f aca="false">SQRT(($B463-DM$401)^2+($C463-DM$402)^2+($D463-DM$403)^2)</f>
        <v>1.43443493625714</v>
      </c>
      <c r="DN463" s="63" t="n">
        <f aca="false">MATCH(MIN(DH463:DM463),DH463:DM463,0)</f>
        <v>4</v>
      </c>
    </row>
    <row r="464" customFormat="false" ht="15" hidden="false" customHeight="false" outlineLevel="0" collapsed="false">
      <c r="A464" s="36" t="str">
        <f aca="false">KMeans_Data!A61</f>
        <v>Muzaffargar</v>
      </c>
      <c r="B464" s="17" t="n">
        <f aca="false">KMeans_Data!H61</f>
        <v>0.0683117241366259</v>
      </c>
      <c r="C464" s="17" t="n">
        <f aca="false">KMeans_Data!I61</f>
        <v>-0.672650545388274</v>
      </c>
      <c r="D464" s="17" t="n">
        <f aca="false">KMeans_Data!J61</f>
        <v>-1.14564411633355</v>
      </c>
      <c r="E464" s="63" t="n">
        <f aca="false">DN464</f>
        <v>4</v>
      </c>
      <c r="F464" s="38" t="n">
        <f aca="false">($B464-INDEX($L$401:$Q$401,E464))^2+($C464-INDEX($L$402:$Q$402,E464))^2+($D464-INDEX($L$403:$Q$403,E464))^2</f>
        <v>0.0966891611846151</v>
      </c>
      <c r="G464" s="17" t="n">
        <f aca="false">IF(COUNTIF(Distance_Matrix!$E$12:$DQ$12,$E464)&lt;=1,0,SUMIF(Distance_Matrix!$E$12:$DQ$12,$E464,Distance_Matrix!$E$70:$DQ$70)/(COUNTIF(Distance_Matrix!$E$12:$DQ$12,$E464)-1))</f>
        <v>0.595257896870119</v>
      </c>
      <c r="H464" s="17" t="n">
        <f aca="false">MIN(IF(1=$E464,1E+099,IF(COUNTIF(Distance_Matrix!$E$12:$DQ$12,1)=0,1E+099,SUMIF(Distance_Matrix!$E$12:$DQ$12,1,Distance_Matrix!$E$70:$DQ$70)/COUNTIF(Distance_Matrix!$E$12:$DQ$12,1))),IF(2=$E464,1E+099,IF(COUNTIF(Distance_Matrix!$E$12:$DQ$12,2)=0,1E+099,SUMIF(Distance_Matrix!$E$12:$DQ$12,2,Distance_Matrix!$E$70:$DQ$70)/COUNTIF(Distance_Matrix!$E$12:$DQ$12,2))),IF(3=$E464,1E+099,IF(COUNTIF(Distance_Matrix!$E$12:$DQ$12,3)=0,1E+099,SUMIF(Distance_Matrix!$E$12:$DQ$12,3,Distance_Matrix!$E$70:$DQ$70)/COUNTIF(Distance_Matrix!$E$12:$DQ$12,3))),IF(4=$E464,1E+099,IF(COUNTIF(Distance_Matrix!$E$12:$DQ$12,4)=0,1E+099,SUMIF(Distance_Matrix!$E$12:$DQ$12,4,Distance_Matrix!$E$70:$DQ$70)/COUNTIF(Distance_Matrix!$E$12:$DQ$12,4))),IF(5=$E464,1E+099,IF(COUNTIF(Distance_Matrix!$E$12:$DQ$12,5)=0,1E+099,SUMIF(Distance_Matrix!$E$12:$DQ$12,5,Distance_Matrix!$E$70:$DQ$70)/COUNTIF(Distance_Matrix!$E$12:$DQ$12,5))),IF(6=$E464,1E+099,IF(COUNTIF(Distance_Matrix!$E$12:$DQ$12,6)=0,1E+099,SUMIF(Distance_Matrix!$E$12:$DQ$12,6,Distance_Matrix!$E$70:$DQ$70)/COUNTIF(Distance_Matrix!$E$12:$DQ$12,6))))</f>
        <v>1.35345559555755</v>
      </c>
      <c r="I464" s="17" t="n">
        <f aca="false">IF(COUNTIF(Distance_Matrix!$E$12:$DQ$12,$E464)&lt;=1,0,(H464-G464)/MAX(G464,H464))</f>
        <v>0.560193996150346</v>
      </c>
      <c r="X464" s="17" t="n">
        <f aca="false">SQRT(($B464-X$401)^2+($C464-X$402)^2+($D464-X$403)^2)</f>
        <v>7.19876486075222</v>
      </c>
      <c r="Y464" s="17" t="n">
        <f aca="false">SQRT(($B464-Y$401)^2+($C464-Y$402)^2+($D464-Y$403)^2)</f>
        <v>2.14804970593995</v>
      </c>
      <c r="Z464" s="17" t="n">
        <f aca="false">SQRT(($B464-Z$401)^2+($C464-Z$402)^2+($D464-Z$403)^2)</f>
        <v>2.98127921245279</v>
      </c>
      <c r="AA464" s="17" t="n">
        <f aca="false">SQRT(($B464-AA$401)^2+($C464-AA$402)^2+($D464-AA$403)^2)</f>
        <v>0.780815175351106</v>
      </c>
      <c r="AB464" s="17" t="n">
        <f aca="false">SQRT(($B464-AB$401)^2+($C464-AB$402)^2+($D464-AB$403)^2)</f>
        <v>5.14303406425606</v>
      </c>
      <c r="AC464" s="17" t="n">
        <f aca="false">SQRT(($B464-AC$401)^2+($C464-AC$402)^2+($D464-AC$403)^2)</f>
        <v>2.00594389429944</v>
      </c>
      <c r="AD464" s="63" t="n">
        <f aca="false">MATCH(MIN(X464:AC464),X464:AC464,0)</f>
        <v>4</v>
      </c>
      <c r="AF464" s="17" t="n">
        <f aca="false">SQRT(($B464-AF$401)^2+($C464-AF$402)^2+($D464-AF$403)^2)</f>
        <v>7.06182790611956</v>
      </c>
      <c r="AG464" s="17" t="n">
        <f aca="false">SQRT(($B464-AG$401)^2+($C464-AG$402)^2+($D464-AG$403)^2)</f>
        <v>1.39012198534506</v>
      </c>
      <c r="AH464" s="17" t="n">
        <f aca="false">SQRT(($B464-AH$401)^2+($C464-AH$402)^2+($D464-AH$403)^2)</f>
        <v>2.67429973384516</v>
      </c>
      <c r="AI464" s="17" t="n">
        <f aca="false">SQRT(($B464-AI$401)^2+($C464-AI$402)^2+($D464-AI$403)^2)</f>
        <v>0.328861347011288</v>
      </c>
      <c r="AJ464" s="17" t="n">
        <f aca="false">SQRT(($B464-AJ$401)^2+($C464-AJ$402)^2+($D464-AJ$403)^2)</f>
        <v>4.79769320870713</v>
      </c>
      <c r="AK464" s="17" t="n">
        <f aca="false">SQRT(($B464-AK$401)^2+($C464-AK$402)^2+($D464-AK$403)^2)</f>
        <v>1.38792843864384</v>
      </c>
      <c r="AL464" s="63" t="n">
        <f aca="false">MATCH(MIN(AF464:AK464),AF464:AK464,0)</f>
        <v>4</v>
      </c>
      <c r="AN464" s="17" t="n">
        <f aca="false">SQRT(($B464-AN$401)^2+($C464-AN$402)^2+($D464-AN$403)^2)</f>
        <v>7.06182790611956</v>
      </c>
      <c r="AO464" s="17" t="n">
        <f aca="false">SQRT(($B464-AO$401)^2+($C464-AO$402)^2+($D464-AO$403)^2)</f>
        <v>1.34836283008824</v>
      </c>
      <c r="AP464" s="17" t="n">
        <f aca="false">SQRT(($B464-AP$401)^2+($C464-AP$402)^2+($D464-AP$403)^2)</f>
        <v>2.64947501681635</v>
      </c>
      <c r="AQ464" s="17" t="n">
        <f aca="false">SQRT(($B464-AQ$401)^2+($C464-AQ$402)^2+($D464-AQ$403)^2)</f>
        <v>0.310948807980695</v>
      </c>
      <c r="AR464" s="17" t="n">
        <f aca="false">SQRT(($B464-AR$401)^2+($C464-AR$402)^2+($D464-AR$403)^2)</f>
        <v>4.79769320870713</v>
      </c>
      <c r="AS464" s="17" t="n">
        <f aca="false">SQRT(($B464-AS$401)^2+($C464-AS$402)^2+($D464-AS$403)^2)</f>
        <v>1.4016364485413</v>
      </c>
      <c r="AT464" s="63" t="n">
        <f aca="false">MATCH(MIN(AN464:AS464),AN464:AS464,0)</f>
        <v>4</v>
      </c>
      <c r="AV464" s="17" t="n">
        <f aca="false">SQRT(($B464-AV$401)^2+($C464-AV$402)^2+($D464-AV$403)^2)</f>
        <v>7.06182790611956</v>
      </c>
      <c r="AW464" s="17" t="n">
        <f aca="false">SQRT(($B464-AW$401)^2+($C464-AW$402)^2+($D464-AW$403)^2)</f>
        <v>1.33112469393813</v>
      </c>
      <c r="AX464" s="17" t="n">
        <f aca="false">SQRT(($B464-AX$401)^2+($C464-AX$402)^2+($D464-AX$403)^2)</f>
        <v>2.64947501681635</v>
      </c>
      <c r="AY464" s="17" t="n">
        <f aca="false">SQRT(($B464-AY$401)^2+($C464-AY$402)^2+($D464-AY$403)^2)</f>
        <v>0.310948807980695</v>
      </c>
      <c r="AZ464" s="17" t="n">
        <f aca="false">SQRT(($B464-AZ$401)^2+($C464-AZ$402)^2+($D464-AZ$403)^2)</f>
        <v>4.79769320870713</v>
      </c>
      <c r="BA464" s="17" t="n">
        <f aca="false">SQRT(($B464-BA$401)^2+($C464-BA$402)^2+($D464-BA$403)^2)</f>
        <v>1.41724305570406</v>
      </c>
      <c r="BB464" s="63" t="n">
        <f aca="false">MATCH(MIN(AV464:BA464),AV464:BA464,0)</f>
        <v>4</v>
      </c>
      <c r="BD464" s="17" t="n">
        <f aca="false">SQRT(($B464-BD$401)^2+($C464-BD$402)^2+($D464-BD$403)^2)</f>
        <v>7.06182790611956</v>
      </c>
      <c r="BE464" s="17" t="n">
        <f aca="false">SQRT(($B464-BE$401)^2+($C464-BE$402)^2+($D464-BE$403)^2)</f>
        <v>1.31762298364487</v>
      </c>
      <c r="BF464" s="17" t="n">
        <f aca="false">SQRT(($B464-BF$401)^2+($C464-BF$402)^2+($D464-BF$403)^2)</f>
        <v>2.64947501681635</v>
      </c>
      <c r="BG464" s="17" t="n">
        <f aca="false">SQRT(($B464-BG$401)^2+($C464-BG$402)^2+($D464-BG$403)^2)</f>
        <v>0.310948807980695</v>
      </c>
      <c r="BH464" s="17" t="n">
        <f aca="false">SQRT(($B464-BH$401)^2+($C464-BH$402)^2+($D464-BH$403)^2)</f>
        <v>4.79769320870713</v>
      </c>
      <c r="BI464" s="17" t="n">
        <f aca="false">SQRT(($B464-BI$401)^2+($C464-BI$402)^2+($D464-BI$403)^2)</f>
        <v>1.43137658148168</v>
      </c>
      <c r="BJ464" s="63" t="n">
        <f aca="false">MATCH(MIN(BD464:BI464),BD464:BI464,0)</f>
        <v>4</v>
      </c>
      <c r="BL464" s="17" t="n">
        <f aca="false">SQRT(($B464-BL$401)^2+($C464-BL$402)^2+($D464-BL$403)^2)</f>
        <v>7.06182790611956</v>
      </c>
      <c r="BM464" s="17" t="n">
        <f aca="false">SQRT(($B464-BM$401)^2+($C464-BM$402)^2+($D464-BM$403)^2)</f>
        <v>1.31762298364487</v>
      </c>
      <c r="BN464" s="17" t="n">
        <f aca="false">SQRT(($B464-BN$401)^2+($C464-BN$402)^2+($D464-BN$403)^2)</f>
        <v>2.64947501681635</v>
      </c>
      <c r="BO464" s="17" t="n">
        <f aca="false">SQRT(($B464-BO$401)^2+($C464-BO$402)^2+($D464-BO$403)^2)</f>
        <v>0.310948807980695</v>
      </c>
      <c r="BP464" s="17" t="n">
        <f aca="false">SQRT(($B464-BP$401)^2+($C464-BP$402)^2+($D464-BP$403)^2)</f>
        <v>4.79769320870713</v>
      </c>
      <c r="BQ464" s="17" t="n">
        <f aca="false">SQRT(($B464-BQ$401)^2+($C464-BQ$402)^2+($D464-BQ$403)^2)</f>
        <v>1.43137658148168</v>
      </c>
      <c r="BR464" s="63" t="n">
        <f aca="false">MATCH(MIN(BL464:BQ464),BL464:BQ464,0)</f>
        <v>4</v>
      </c>
      <c r="BT464" s="17" t="n">
        <f aca="false">SQRT(($B464-BT$401)^2+($C464-BT$402)^2+($D464-BT$403)^2)</f>
        <v>7.06182790611956</v>
      </c>
      <c r="BU464" s="17" t="n">
        <f aca="false">SQRT(($B464-BU$401)^2+($C464-BU$402)^2+($D464-BU$403)^2)</f>
        <v>1.31762298364487</v>
      </c>
      <c r="BV464" s="17" t="n">
        <f aca="false">SQRT(($B464-BV$401)^2+($C464-BV$402)^2+($D464-BV$403)^2)</f>
        <v>2.64947501681635</v>
      </c>
      <c r="BW464" s="17" t="n">
        <f aca="false">SQRT(($B464-BW$401)^2+($C464-BW$402)^2+($D464-BW$403)^2)</f>
        <v>0.310948807980695</v>
      </c>
      <c r="BX464" s="17" t="n">
        <f aca="false">SQRT(($B464-BX$401)^2+($C464-BX$402)^2+($D464-BX$403)^2)</f>
        <v>4.79769320870713</v>
      </c>
      <c r="BY464" s="17" t="n">
        <f aca="false">SQRT(($B464-BY$401)^2+($C464-BY$402)^2+($D464-BY$403)^2)</f>
        <v>1.43137658148168</v>
      </c>
      <c r="BZ464" s="63" t="n">
        <f aca="false">MATCH(MIN(BT464:BY464),BT464:BY464,0)</f>
        <v>4</v>
      </c>
      <c r="CB464" s="17" t="n">
        <f aca="false">SQRT(($B464-CB$401)^2+($C464-CB$402)^2+($D464-CB$403)^2)</f>
        <v>7.06182790611956</v>
      </c>
      <c r="CC464" s="17" t="n">
        <f aca="false">SQRT(($B464-CC$401)^2+($C464-CC$402)^2+($D464-CC$403)^2)</f>
        <v>1.31762298364487</v>
      </c>
      <c r="CD464" s="17" t="n">
        <f aca="false">SQRT(($B464-CD$401)^2+($C464-CD$402)^2+($D464-CD$403)^2)</f>
        <v>2.64947501681635</v>
      </c>
      <c r="CE464" s="17" t="n">
        <f aca="false">SQRT(($B464-CE$401)^2+($C464-CE$402)^2+($D464-CE$403)^2)</f>
        <v>0.310948807980695</v>
      </c>
      <c r="CF464" s="17" t="n">
        <f aca="false">SQRT(($B464-CF$401)^2+($C464-CF$402)^2+($D464-CF$403)^2)</f>
        <v>4.79769320870713</v>
      </c>
      <c r="CG464" s="17" t="n">
        <f aca="false">SQRT(($B464-CG$401)^2+($C464-CG$402)^2+($D464-CG$403)^2)</f>
        <v>1.43137658148168</v>
      </c>
      <c r="CH464" s="63" t="n">
        <f aca="false">MATCH(MIN(CB464:CG464),CB464:CG464,0)</f>
        <v>4</v>
      </c>
      <c r="CJ464" s="17" t="n">
        <f aca="false">SQRT(($B464-CJ$401)^2+($C464-CJ$402)^2+($D464-CJ$403)^2)</f>
        <v>7.06182790611956</v>
      </c>
      <c r="CK464" s="17" t="n">
        <f aca="false">SQRT(($B464-CK$401)^2+($C464-CK$402)^2+($D464-CK$403)^2)</f>
        <v>1.31762298364487</v>
      </c>
      <c r="CL464" s="17" t="n">
        <f aca="false">SQRT(($B464-CL$401)^2+($C464-CL$402)^2+($D464-CL$403)^2)</f>
        <v>2.64947501681635</v>
      </c>
      <c r="CM464" s="17" t="n">
        <f aca="false">SQRT(($B464-CM$401)^2+($C464-CM$402)^2+($D464-CM$403)^2)</f>
        <v>0.310948807980695</v>
      </c>
      <c r="CN464" s="17" t="n">
        <f aca="false">SQRT(($B464-CN$401)^2+($C464-CN$402)^2+($D464-CN$403)^2)</f>
        <v>4.79769320870713</v>
      </c>
      <c r="CO464" s="17" t="n">
        <f aca="false">SQRT(($B464-CO$401)^2+($C464-CO$402)^2+($D464-CO$403)^2)</f>
        <v>1.43137658148168</v>
      </c>
      <c r="CP464" s="63" t="n">
        <f aca="false">MATCH(MIN(CJ464:CO464),CJ464:CO464,0)</f>
        <v>4</v>
      </c>
      <c r="CR464" s="17" t="n">
        <f aca="false">SQRT(($B464-CR$401)^2+($C464-CR$402)^2+($D464-CR$403)^2)</f>
        <v>7.06182790611956</v>
      </c>
      <c r="CS464" s="17" t="n">
        <f aca="false">SQRT(($B464-CS$401)^2+($C464-CS$402)^2+($D464-CS$403)^2)</f>
        <v>1.31762298364487</v>
      </c>
      <c r="CT464" s="17" t="n">
        <f aca="false">SQRT(($B464-CT$401)^2+($C464-CT$402)^2+($D464-CT$403)^2)</f>
        <v>2.64947501681635</v>
      </c>
      <c r="CU464" s="17" t="n">
        <f aca="false">SQRT(($B464-CU$401)^2+($C464-CU$402)^2+($D464-CU$403)^2)</f>
        <v>0.310948807980695</v>
      </c>
      <c r="CV464" s="17" t="n">
        <f aca="false">SQRT(($B464-CV$401)^2+($C464-CV$402)^2+($D464-CV$403)^2)</f>
        <v>4.79769320870713</v>
      </c>
      <c r="CW464" s="17" t="n">
        <f aca="false">SQRT(($B464-CW$401)^2+($C464-CW$402)^2+($D464-CW$403)^2)</f>
        <v>1.43137658148168</v>
      </c>
      <c r="CX464" s="63" t="n">
        <f aca="false">MATCH(MIN(CR464:CW464),CR464:CW464,0)</f>
        <v>4</v>
      </c>
      <c r="CZ464" s="17" t="n">
        <f aca="false">SQRT(($B464-CZ$401)^2+($C464-CZ$402)^2+($D464-CZ$403)^2)</f>
        <v>7.06182790611956</v>
      </c>
      <c r="DA464" s="17" t="n">
        <f aca="false">SQRT(($B464-DA$401)^2+($C464-DA$402)^2+($D464-DA$403)^2)</f>
        <v>1.31762298364487</v>
      </c>
      <c r="DB464" s="17" t="n">
        <f aca="false">SQRT(($B464-DB$401)^2+($C464-DB$402)^2+($D464-DB$403)^2)</f>
        <v>2.64947501681635</v>
      </c>
      <c r="DC464" s="17" t="n">
        <f aca="false">SQRT(($B464-DC$401)^2+($C464-DC$402)^2+($D464-DC$403)^2)</f>
        <v>0.310948807980695</v>
      </c>
      <c r="DD464" s="17" t="n">
        <f aca="false">SQRT(($B464-DD$401)^2+($C464-DD$402)^2+($D464-DD$403)^2)</f>
        <v>4.79769320870713</v>
      </c>
      <c r="DE464" s="17" t="n">
        <f aca="false">SQRT(($B464-DE$401)^2+($C464-DE$402)^2+($D464-DE$403)^2)</f>
        <v>1.43137658148168</v>
      </c>
      <c r="DF464" s="63" t="n">
        <f aca="false">MATCH(MIN(CZ464:DE464),CZ464:DE464,0)</f>
        <v>4</v>
      </c>
      <c r="DH464" s="17" t="n">
        <f aca="false">SQRT(($B464-DH$401)^2+($C464-DH$402)^2+($D464-DH$403)^2)</f>
        <v>7.06182790611956</v>
      </c>
      <c r="DI464" s="17" t="n">
        <f aca="false">SQRT(($B464-DI$401)^2+($C464-DI$402)^2+($D464-DI$403)^2)</f>
        <v>1.31762298364487</v>
      </c>
      <c r="DJ464" s="17" t="n">
        <f aca="false">SQRT(($B464-DJ$401)^2+($C464-DJ$402)^2+($D464-DJ$403)^2)</f>
        <v>2.64947501681635</v>
      </c>
      <c r="DK464" s="17" t="n">
        <f aca="false">SQRT(($B464-DK$401)^2+($C464-DK$402)^2+($D464-DK$403)^2)</f>
        <v>0.310948807980695</v>
      </c>
      <c r="DL464" s="17" t="n">
        <f aca="false">SQRT(($B464-DL$401)^2+($C464-DL$402)^2+($D464-DL$403)^2)</f>
        <v>4.79769320870713</v>
      </c>
      <c r="DM464" s="17" t="n">
        <f aca="false">SQRT(($B464-DM$401)^2+($C464-DM$402)^2+($D464-DM$403)^2)</f>
        <v>1.43137658148168</v>
      </c>
      <c r="DN464" s="63" t="n">
        <f aca="false">MATCH(MIN(DH464:DM464),DH464:DM464,0)</f>
        <v>4</v>
      </c>
    </row>
    <row r="465" customFormat="false" ht="15" hidden="false" customHeight="false" outlineLevel="0" collapsed="false">
      <c r="A465" s="36" t="str">
        <f aca="false">KMeans_Data!A62</f>
        <v>Badin</v>
      </c>
      <c r="B465" s="17" t="n">
        <f aca="false">KMeans_Data!H62</f>
        <v>0.0245489826438638</v>
      </c>
      <c r="C465" s="17" t="n">
        <f aca="false">KMeans_Data!I62</f>
        <v>0.547911385844501</v>
      </c>
      <c r="D465" s="17" t="n">
        <f aca="false">KMeans_Data!J62</f>
        <v>0.00583902902802759</v>
      </c>
      <c r="E465" s="63" t="n">
        <f aca="false">DN465</f>
        <v>6</v>
      </c>
      <c r="F465" s="38" t="n">
        <f aca="false">($B465-INDEX($L$401:$Q$401,E465))^2+($C465-INDEX($L$402:$Q$402,E465))^2+($D465-INDEX($L$403:$Q$403,E465))^2</f>
        <v>0.930517652674292</v>
      </c>
      <c r="G465" s="17" t="n">
        <f aca="false">IF(COUNTIF(Distance_Matrix!$E$12:$DQ$12,$E465)&lt;=1,0,SUMIF(Distance_Matrix!$E$12:$DQ$12,$E465,Distance_Matrix!$E$71:$DQ$71)/(COUNTIF(Distance_Matrix!$E$12:$DQ$12,$E465)-1))</f>
        <v>1.13313600253419</v>
      </c>
      <c r="H465" s="17" t="n">
        <f aca="false">MIN(IF(1=$E465,1E+099,IF(COUNTIF(Distance_Matrix!$E$12:$DQ$12,1)=0,1E+099,SUMIF(Distance_Matrix!$E$12:$DQ$12,1,Distance_Matrix!$E$71:$DQ$71)/COUNTIF(Distance_Matrix!$E$12:$DQ$12,1))),IF(2=$E465,1E+099,IF(COUNTIF(Distance_Matrix!$E$12:$DQ$12,2)=0,1E+099,SUMIF(Distance_Matrix!$E$12:$DQ$12,2,Distance_Matrix!$E$71:$DQ$71)/COUNTIF(Distance_Matrix!$E$12:$DQ$12,2))),IF(3=$E465,1E+099,IF(COUNTIF(Distance_Matrix!$E$12:$DQ$12,3)=0,1E+099,SUMIF(Distance_Matrix!$E$12:$DQ$12,3,Distance_Matrix!$E$71:$DQ$71)/COUNTIF(Distance_Matrix!$E$12:$DQ$12,3))),IF(4=$E465,1E+099,IF(COUNTIF(Distance_Matrix!$E$12:$DQ$12,4)=0,1E+099,SUMIF(Distance_Matrix!$E$12:$DQ$12,4,Distance_Matrix!$E$71:$DQ$71)/COUNTIF(Distance_Matrix!$E$12:$DQ$12,4))),IF(5=$E465,1E+099,IF(COUNTIF(Distance_Matrix!$E$12:$DQ$12,5)=0,1E+099,SUMIF(Distance_Matrix!$E$12:$DQ$12,5,Distance_Matrix!$E$71:$DQ$71)/COUNTIF(Distance_Matrix!$E$12:$DQ$12,5))),IF(6=$E465,1E+099,IF(COUNTIF(Distance_Matrix!$E$12:$DQ$12,6)=0,1E+099,SUMIF(Distance_Matrix!$E$12:$DQ$12,6,Distance_Matrix!$E$71:$DQ$71)/COUNTIF(Distance_Matrix!$E$12:$DQ$12,6))))</f>
        <v>1.31201987041429</v>
      </c>
      <c r="I465" s="17" t="n">
        <f aca="false">IF(COUNTIF(Distance_Matrix!$E$12:$DQ$12,$E465)&lt;=1,0,(H465-G465)/MAX(G465,H465))</f>
        <v>0.136342346571028</v>
      </c>
      <c r="X465" s="17" t="n">
        <f aca="false">SQRT(($B465-X$401)^2+($C465-X$402)^2+($D465-X$403)^2)</f>
        <v>5.76973078701142</v>
      </c>
      <c r="Y465" s="17" t="n">
        <f aca="false">SQRT(($B465-Y$401)^2+($C465-Y$402)^2+($D465-Y$403)^2)</f>
        <v>2.691413846061</v>
      </c>
      <c r="Z465" s="17" t="n">
        <f aca="false">SQRT(($B465-Z$401)^2+($C465-Z$402)^2+($D465-Z$403)^2)</f>
        <v>1.78866697626789</v>
      </c>
      <c r="AA465" s="17" t="n">
        <f aca="false">SQRT(($B465-AA$401)^2+($C465-AA$402)^2+($D465-AA$403)^2)</f>
        <v>1.4814138332876</v>
      </c>
      <c r="AB465" s="17" t="n">
        <f aca="false">SQRT(($B465-AB$401)^2+($C465-AB$402)^2+($D465-AB$403)^2)</f>
        <v>3.75835569789173</v>
      </c>
      <c r="AC465" s="17" t="n">
        <f aca="false">SQRT(($B465-AC$401)^2+($C465-AC$402)^2+($D465-AC$403)^2)</f>
        <v>1.18514896840293</v>
      </c>
      <c r="AD465" s="63" t="n">
        <f aca="false">MATCH(MIN(X465:AC465),X465:AC465,0)</f>
        <v>6</v>
      </c>
      <c r="AF465" s="17" t="n">
        <f aca="false">SQRT(($B465-AF$401)^2+($C465-AF$402)^2+($D465-AF$403)^2)</f>
        <v>5.64365125183384</v>
      </c>
      <c r="AG465" s="17" t="n">
        <f aca="false">SQRT(($B465-AG$401)^2+($C465-AG$402)^2+($D465-AG$403)^2)</f>
        <v>2.11124951186487</v>
      </c>
      <c r="AH465" s="17" t="n">
        <f aca="false">SQRT(($B465-AH$401)^2+($C465-AH$402)^2+($D465-AH$403)^2)</f>
        <v>1.23427765247758</v>
      </c>
      <c r="AI465" s="17" t="n">
        <f aca="false">SQRT(($B465-AI$401)^2+($C465-AI$402)^2+($D465-AI$403)^2)</f>
        <v>1.390778127228</v>
      </c>
      <c r="AJ465" s="17" t="n">
        <f aca="false">SQRT(($B465-AJ$401)^2+($C465-AJ$402)^2+($D465-AJ$403)^2)</f>
        <v>3.37913609220335</v>
      </c>
      <c r="AK465" s="17" t="n">
        <f aca="false">SQRT(($B465-AK$401)^2+($C465-AK$402)^2+($D465-AK$403)^2)</f>
        <v>0.994866889233122</v>
      </c>
      <c r="AL465" s="63" t="n">
        <f aca="false">MATCH(MIN(AF465:AK465),AF465:AK465,0)</f>
        <v>6</v>
      </c>
      <c r="AN465" s="17" t="n">
        <f aca="false">SQRT(($B465-AN$401)^2+($C465-AN$402)^2+($D465-AN$403)^2)</f>
        <v>5.64365125183384</v>
      </c>
      <c r="AO465" s="17" t="n">
        <f aca="false">SQRT(($B465-AO$401)^2+($C465-AO$402)^2+($D465-AO$403)^2)</f>
        <v>2.07395017687324</v>
      </c>
      <c r="AP465" s="17" t="n">
        <f aca="false">SQRT(($B465-AP$401)^2+($C465-AP$402)^2+($D465-AP$403)^2)</f>
        <v>1.20359443796257</v>
      </c>
      <c r="AQ465" s="17" t="n">
        <f aca="false">SQRT(($B465-AQ$401)^2+($C465-AQ$402)^2+($D465-AQ$403)^2)</f>
        <v>1.41769415489795</v>
      </c>
      <c r="AR465" s="17" t="n">
        <f aca="false">SQRT(($B465-AR$401)^2+($C465-AR$402)^2+($D465-AR$403)^2)</f>
        <v>3.37913609220335</v>
      </c>
      <c r="AS465" s="17" t="n">
        <f aca="false">SQRT(($B465-AS$401)^2+($C465-AS$402)^2+($D465-AS$403)^2)</f>
        <v>0.983115504617649</v>
      </c>
      <c r="AT465" s="63" t="n">
        <f aca="false">MATCH(MIN(AN465:AS465),AN465:AS465,0)</f>
        <v>6</v>
      </c>
      <c r="AV465" s="17" t="n">
        <f aca="false">SQRT(($B465-AV$401)^2+($C465-AV$402)^2+($D465-AV$403)^2)</f>
        <v>5.64365125183384</v>
      </c>
      <c r="AW465" s="17" t="n">
        <f aca="false">SQRT(($B465-AW$401)^2+($C465-AW$402)^2+($D465-AW$403)^2)</f>
        <v>2.04914739992415</v>
      </c>
      <c r="AX465" s="17" t="n">
        <f aca="false">SQRT(($B465-AX$401)^2+($C465-AX$402)^2+($D465-AX$403)^2)</f>
        <v>1.20359443796257</v>
      </c>
      <c r="AY465" s="17" t="n">
        <f aca="false">SQRT(($B465-AY$401)^2+($C465-AY$402)^2+($D465-AY$403)^2)</f>
        <v>1.41769415489795</v>
      </c>
      <c r="AZ465" s="17" t="n">
        <f aca="false">SQRT(($B465-AZ$401)^2+($C465-AZ$402)^2+($D465-AZ$403)^2)</f>
        <v>3.37913609220335</v>
      </c>
      <c r="BA465" s="17" t="n">
        <f aca="false">SQRT(($B465-BA$401)^2+($C465-BA$402)^2+($D465-BA$403)^2)</f>
        <v>0.974267349457915</v>
      </c>
      <c r="BB465" s="63" t="n">
        <f aca="false">MATCH(MIN(AV465:BA465),AV465:BA465,0)</f>
        <v>6</v>
      </c>
      <c r="BD465" s="17" t="n">
        <f aca="false">SQRT(($B465-BD$401)^2+($C465-BD$402)^2+($D465-BD$403)^2)</f>
        <v>5.64365125183384</v>
      </c>
      <c r="BE465" s="17" t="n">
        <f aca="false">SQRT(($B465-BE$401)^2+($C465-BE$402)^2+($D465-BE$403)^2)</f>
        <v>2.02582530943843</v>
      </c>
      <c r="BF465" s="17" t="n">
        <f aca="false">SQRT(($B465-BF$401)^2+($C465-BF$402)^2+($D465-BF$403)^2)</f>
        <v>1.20359443796257</v>
      </c>
      <c r="BG465" s="17" t="n">
        <f aca="false">SQRT(($B465-BG$401)^2+($C465-BG$402)^2+($D465-BG$403)^2)</f>
        <v>1.41769415489795</v>
      </c>
      <c r="BH465" s="17" t="n">
        <f aca="false">SQRT(($B465-BH$401)^2+($C465-BH$402)^2+($D465-BH$403)^2)</f>
        <v>3.37913609220335</v>
      </c>
      <c r="BI465" s="17" t="n">
        <f aca="false">SQRT(($B465-BI$401)^2+($C465-BI$402)^2+($D465-BI$403)^2)</f>
        <v>0.964633429171047</v>
      </c>
      <c r="BJ465" s="63" t="n">
        <f aca="false">MATCH(MIN(BD465:BI465),BD465:BI465,0)</f>
        <v>6</v>
      </c>
      <c r="BL465" s="17" t="n">
        <f aca="false">SQRT(($B465-BL$401)^2+($C465-BL$402)^2+($D465-BL$403)^2)</f>
        <v>5.64365125183384</v>
      </c>
      <c r="BM465" s="17" t="n">
        <f aca="false">SQRT(($B465-BM$401)^2+($C465-BM$402)^2+($D465-BM$403)^2)</f>
        <v>2.02582530943843</v>
      </c>
      <c r="BN465" s="17" t="n">
        <f aca="false">SQRT(($B465-BN$401)^2+($C465-BN$402)^2+($D465-BN$403)^2)</f>
        <v>1.20359443796257</v>
      </c>
      <c r="BO465" s="17" t="n">
        <f aca="false">SQRT(($B465-BO$401)^2+($C465-BO$402)^2+($D465-BO$403)^2)</f>
        <v>1.41769415489795</v>
      </c>
      <c r="BP465" s="17" t="n">
        <f aca="false">SQRT(($B465-BP$401)^2+($C465-BP$402)^2+($D465-BP$403)^2)</f>
        <v>3.37913609220335</v>
      </c>
      <c r="BQ465" s="17" t="n">
        <f aca="false">SQRT(($B465-BQ$401)^2+($C465-BQ$402)^2+($D465-BQ$403)^2)</f>
        <v>0.964633429171047</v>
      </c>
      <c r="BR465" s="63" t="n">
        <f aca="false">MATCH(MIN(BL465:BQ465),BL465:BQ465,0)</f>
        <v>6</v>
      </c>
      <c r="BT465" s="17" t="n">
        <f aca="false">SQRT(($B465-BT$401)^2+($C465-BT$402)^2+($D465-BT$403)^2)</f>
        <v>5.64365125183384</v>
      </c>
      <c r="BU465" s="17" t="n">
        <f aca="false">SQRT(($B465-BU$401)^2+($C465-BU$402)^2+($D465-BU$403)^2)</f>
        <v>2.02582530943843</v>
      </c>
      <c r="BV465" s="17" t="n">
        <f aca="false">SQRT(($B465-BV$401)^2+($C465-BV$402)^2+($D465-BV$403)^2)</f>
        <v>1.20359443796257</v>
      </c>
      <c r="BW465" s="17" t="n">
        <f aca="false">SQRT(($B465-BW$401)^2+($C465-BW$402)^2+($D465-BW$403)^2)</f>
        <v>1.41769415489795</v>
      </c>
      <c r="BX465" s="17" t="n">
        <f aca="false">SQRT(($B465-BX$401)^2+($C465-BX$402)^2+($D465-BX$403)^2)</f>
        <v>3.37913609220335</v>
      </c>
      <c r="BY465" s="17" t="n">
        <f aca="false">SQRT(($B465-BY$401)^2+($C465-BY$402)^2+($D465-BY$403)^2)</f>
        <v>0.964633429171047</v>
      </c>
      <c r="BZ465" s="63" t="n">
        <f aca="false">MATCH(MIN(BT465:BY465),BT465:BY465,0)</f>
        <v>6</v>
      </c>
      <c r="CB465" s="17" t="n">
        <f aca="false">SQRT(($B465-CB$401)^2+($C465-CB$402)^2+($D465-CB$403)^2)</f>
        <v>5.64365125183384</v>
      </c>
      <c r="CC465" s="17" t="n">
        <f aca="false">SQRT(($B465-CC$401)^2+($C465-CC$402)^2+($D465-CC$403)^2)</f>
        <v>2.02582530943843</v>
      </c>
      <c r="CD465" s="17" t="n">
        <f aca="false">SQRT(($B465-CD$401)^2+($C465-CD$402)^2+($D465-CD$403)^2)</f>
        <v>1.20359443796257</v>
      </c>
      <c r="CE465" s="17" t="n">
        <f aca="false">SQRT(($B465-CE$401)^2+($C465-CE$402)^2+($D465-CE$403)^2)</f>
        <v>1.41769415489795</v>
      </c>
      <c r="CF465" s="17" t="n">
        <f aca="false">SQRT(($B465-CF$401)^2+($C465-CF$402)^2+($D465-CF$403)^2)</f>
        <v>3.37913609220335</v>
      </c>
      <c r="CG465" s="17" t="n">
        <f aca="false">SQRT(($B465-CG$401)^2+($C465-CG$402)^2+($D465-CG$403)^2)</f>
        <v>0.964633429171047</v>
      </c>
      <c r="CH465" s="63" t="n">
        <f aca="false">MATCH(MIN(CB465:CG465),CB465:CG465,0)</f>
        <v>6</v>
      </c>
      <c r="CJ465" s="17" t="n">
        <f aca="false">SQRT(($B465-CJ$401)^2+($C465-CJ$402)^2+($D465-CJ$403)^2)</f>
        <v>5.64365125183384</v>
      </c>
      <c r="CK465" s="17" t="n">
        <f aca="false">SQRT(($B465-CK$401)^2+($C465-CK$402)^2+($D465-CK$403)^2)</f>
        <v>2.02582530943843</v>
      </c>
      <c r="CL465" s="17" t="n">
        <f aca="false">SQRT(($B465-CL$401)^2+($C465-CL$402)^2+($D465-CL$403)^2)</f>
        <v>1.20359443796257</v>
      </c>
      <c r="CM465" s="17" t="n">
        <f aca="false">SQRT(($B465-CM$401)^2+($C465-CM$402)^2+($D465-CM$403)^2)</f>
        <v>1.41769415489795</v>
      </c>
      <c r="CN465" s="17" t="n">
        <f aca="false">SQRT(($B465-CN$401)^2+($C465-CN$402)^2+($D465-CN$403)^2)</f>
        <v>3.37913609220335</v>
      </c>
      <c r="CO465" s="17" t="n">
        <f aca="false">SQRT(($B465-CO$401)^2+($C465-CO$402)^2+($D465-CO$403)^2)</f>
        <v>0.964633429171047</v>
      </c>
      <c r="CP465" s="63" t="n">
        <f aca="false">MATCH(MIN(CJ465:CO465),CJ465:CO465,0)</f>
        <v>6</v>
      </c>
      <c r="CR465" s="17" t="n">
        <f aca="false">SQRT(($B465-CR$401)^2+($C465-CR$402)^2+($D465-CR$403)^2)</f>
        <v>5.64365125183384</v>
      </c>
      <c r="CS465" s="17" t="n">
        <f aca="false">SQRT(($B465-CS$401)^2+($C465-CS$402)^2+($D465-CS$403)^2)</f>
        <v>2.02582530943843</v>
      </c>
      <c r="CT465" s="17" t="n">
        <f aca="false">SQRT(($B465-CT$401)^2+($C465-CT$402)^2+($D465-CT$403)^2)</f>
        <v>1.20359443796257</v>
      </c>
      <c r="CU465" s="17" t="n">
        <f aca="false">SQRT(($B465-CU$401)^2+($C465-CU$402)^2+($D465-CU$403)^2)</f>
        <v>1.41769415489795</v>
      </c>
      <c r="CV465" s="17" t="n">
        <f aca="false">SQRT(($B465-CV$401)^2+($C465-CV$402)^2+($D465-CV$403)^2)</f>
        <v>3.37913609220335</v>
      </c>
      <c r="CW465" s="17" t="n">
        <f aca="false">SQRT(($B465-CW$401)^2+($C465-CW$402)^2+($D465-CW$403)^2)</f>
        <v>0.964633429171047</v>
      </c>
      <c r="CX465" s="63" t="n">
        <f aca="false">MATCH(MIN(CR465:CW465),CR465:CW465,0)</f>
        <v>6</v>
      </c>
      <c r="CZ465" s="17" t="n">
        <f aca="false">SQRT(($B465-CZ$401)^2+($C465-CZ$402)^2+($D465-CZ$403)^2)</f>
        <v>5.64365125183384</v>
      </c>
      <c r="DA465" s="17" t="n">
        <f aca="false">SQRT(($B465-DA$401)^2+($C465-DA$402)^2+($D465-DA$403)^2)</f>
        <v>2.02582530943843</v>
      </c>
      <c r="DB465" s="17" t="n">
        <f aca="false">SQRT(($B465-DB$401)^2+($C465-DB$402)^2+($D465-DB$403)^2)</f>
        <v>1.20359443796257</v>
      </c>
      <c r="DC465" s="17" t="n">
        <f aca="false">SQRT(($B465-DC$401)^2+($C465-DC$402)^2+($D465-DC$403)^2)</f>
        <v>1.41769415489795</v>
      </c>
      <c r="DD465" s="17" t="n">
        <f aca="false">SQRT(($B465-DD$401)^2+($C465-DD$402)^2+($D465-DD$403)^2)</f>
        <v>3.37913609220335</v>
      </c>
      <c r="DE465" s="17" t="n">
        <f aca="false">SQRT(($B465-DE$401)^2+($C465-DE$402)^2+($D465-DE$403)^2)</f>
        <v>0.964633429171047</v>
      </c>
      <c r="DF465" s="63" t="n">
        <f aca="false">MATCH(MIN(CZ465:DE465),CZ465:DE465,0)</f>
        <v>6</v>
      </c>
      <c r="DH465" s="17" t="n">
        <f aca="false">SQRT(($B465-DH$401)^2+($C465-DH$402)^2+($D465-DH$403)^2)</f>
        <v>5.64365125183384</v>
      </c>
      <c r="DI465" s="17" t="n">
        <f aca="false">SQRT(($B465-DI$401)^2+($C465-DI$402)^2+($D465-DI$403)^2)</f>
        <v>2.02582530943843</v>
      </c>
      <c r="DJ465" s="17" t="n">
        <f aca="false">SQRT(($B465-DJ$401)^2+($C465-DJ$402)^2+($D465-DJ$403)^2)</f>
        <v>1.20359443796257</v>
      </c>
      <c r="DK465" s="17" t="n">
        <f aca="false">SQRT(($B465-DK$401)^2+($C465-DK$402)^2+($D465-DK$403)^2)</f>
        <v>1.41769415489795</v>
      </c>
      <c r="DL465" s="17" t="n">
        <f aca="false">SQRT(($B465-DL$401)^2+($C465-DL$402)^2+($D465-DL$403)^2)</f>
        <v>3.37913609220335</v>
      </c>
      <c r="DM465" s="17" t="n">
        <f aca="false">SQRT(($B465-DM$401)^2+($C465-DM$402)^2+($D465-DM$403)^2)</f>
        <v>0.964633429171047</v>
      </c>
      <c r="DN465" s="63" t="n">
        <f aca="false">MATCH(MIN(DH465:DM465),DH465:DM465,0)</f>
        <v>6</v>
      </c>
    </row>
    <row r="466" customFormat="false" ht="15" hidden="false" customHeight="false" outlineLevel="0" collapsed="false">
      <c r="A466" s="36" t="str">
        <f aca="false">KMeans_Data!A63</f>
        <v>Bahawalpur</v>
      </c>
      <c r="B466" s="17" t="n">
        <f aca="false">KMeans_Data!H63</f>
        <v>0.00595879156403144</v>
      </c>
      <c r="C466" s="17" t="n">
        <f aca="false">KMeans_Data!I63</f>
        <v>-0.672650545388274</v>
      </c>
      <c r="D466" s="17" t="n">
        <f aca="false">KMeans_Data!J63</f>
        <v>-0.399845222909568</v>
      </c>
      <c r="E466" s="63" t="n">
        <f aca="false">DN466</f>
        <v>4</v>
      </c>
      <c r="F466" s="38" t="n">
        <f aca="false">($B466-INDEX($L$401:$Q$401,E466))^2+($C466-INDEX($L$402:$Q$402,E466))^2+($D466-INDEX($L$403:$Q$403,E466))^2</f>
        <v>0.241437678353348</v>
      </c>
      <c r="G466" s="17" t="n">
        <f aca="false">IF(COUNTIF(Distance_Matrix!$E$12:$DQ$12,$E466)&lt;=1,0,SUMIF(Distance_Matrix!$E$12:$DQ$12,$E466,Distance_Matrix!$E$72:$DQ$72)/(COUNTIF(Distance_Matrix!$E$12:$DQ$12,$E466)-1))</f>
        <v>0.741844367431765</v>
      </c>
      <c r="H466" s="17" t="n">
        <f aca="false">MIN(IF(1=$E466,1E+099,IF(COUNTIF(Distance_Matrix!$E$12:$DQ$12,1)=0,1E+099,SUMIF(Distance_Matrix!$E$12:$DQ$12,1,Distance_Matrix!$E$72:$DQ$72)/COUNTIF(Distance_Matrix!$E$12:$DQ$12,1))),IF(2=$E466,1E+099,IF(COUNTIF(Distance_Matrix!$E$12:$DQ$12,2)=0,1E+099,SUMIF(Distance_Matrix!$E$12:$DQ$12,2,Distance_Matrix!$E$72:$DQ$72)/COUNTIF(Distance_Matrix!$E$12:$DQ$12,2))),IF(3=$E466,1E+099,IF(COUNTIF(Distance_Matrix!$E$12:$DQ$12,3)=0,1E+099,SUMIF(Distance_Matrix!$E$12:$DQ$12,3,Distance_Matrix!$E$72:$DQ$72)/COUNTIF(Distance_Matrix!$E$12:$DQ$12,3))),IF(4=$E466,1E+099,IF(COUNTIF(Distance_Matrix!$E$12:$DQ$12,4)=0,1E+099,SUMIF(Distance_Matrix!$E$12:$DQ$12,4,Distance_Matrix!$E$72:$DQ$72)/COUNTIF(Distance_Matrix!$E$12:$DQ$12,4))),IF(5=$E466,1E+099,IF(COUNTIF(Distance_Matrix!$E$12:$DQ$12,5)=0,1E+099,SUMIF(Distance_Matrix!$E$12:$DQ$12,5,Distance_Matrix!$E$72:$DQ$72)/COUNTIF(Distance_Matrix!$E$12:$DQ$12,5))),IF(6=$E466,1E+099,IF(COUNTIF(Distance_Matrix!$E$12:$DQ$12,6)=0,1E+099,SUMIF(Distance_Matrix!$E$12:$DQ$12,6,Distance_Matrix!$E$72:$DQ$72)/COUNTIF(Distance_Matrix!$E$12:$DQ$12,6))))</f>
        <v>0.920613379659861</v>
      </c>
      <c r="I466" s="17" t="n">
        <f aca="false">IF(COUNTIF(Distance_Matrix!$E$12:$DQ$12,$E466)&lt;=1,0,(H466-G466)/MAX(G466,H466))</f>
        <v>0.194184677496373</v>
      </c>
      <c r="X466" s="17" t="n">
        <f aca="false">SQRT(($B466-X$401)^2+($C466-X$402)^2+($D466-X$403)^2)</f>
        <v>6.79864298983629</v>
      </c>
      <c r="Y466" s="17" t="n">
        <f aca="false">SQRT(($B466-Y$401)^2+($C466-Y$402)^2+($D466-Y$403)^2)</f>
        <v>2.21502754381688</v>
      </c>
      <c r="Z466" s="17" t="n">
        <f aca="false">SQRT(($B466-Z$401)^2+($C466-Z$402)^2+($D466-Z$403)^2)</f>
        <v>2.38052099434104</v>
      </c>
      <c r="AA466" s="17" t="n">
        <f aca="false">SQRT(($B466-AA$401)^2+($C466-AA$402)^2+($D466-AA$403)^2)</f>
        <v>1.11435028622649</v>
      </c>
      <c r="AB466" s="17" t="n">
        <f aca="false">SQRT(($B466-AB$401)^2+($C466-AB$402)^2+($D466-AB$403)^2)</f>
        <v>4.69572303775877</v>
      </c>
      <c r="AC466" s="17" t="n">
        <f aca="false">SQRT(($B466-AC$401)^2+($C466-AC$402)^2+($D466-AC$403)^2)</f>
        <v>1.35683477038046</v>
      </c>
      <c r="AD466" s="63" t="n">
        <f aca="false">MATCH(MIN(X466:AC466),X466:AC466,0)</f>
        <v>4</v>
      </c>
      <c r="AF466" s="17" t="n">
        <f aca="false">SQRT(($B466-AF$401)^2+($C466-AF$402)^2+($D466-AF$403)^2)</f>
        <v>6.68535594956988</v>
      </c>
      <c r="AG466" s="17" t="n">
        <f aca="false">SQRT(($B466-AG$401)^2+($C466-AG$402)^2+($D466-AG$403)^2)</f>
        <v>1.49821443086571</v>
      </c>
      <c r="AH466" s="17" t="n">
        <f aca="false">SQRT(($B466-AH$401)^2+($C466-AH$402)^2+($D466-AH$403)^2)</f>
        <v>2.16349220092737</v>
      </c>
      <c r="AI466" s="17" t="n">
        <f aca="false">SQRT(($B466-AI$401)^2+($C466-AI$402)^2+($D466-AI$403)^2)</f>
        <v>0.49485672653406</v>
      </c>
      <c r="AJ466" s="17" t="n">
        <f aca="false">SQRT(($B466-AJ$401)^2+($C466-AJ$402)^2+($D466-AJ$403)^2)</f>
        <v>4.41074072176455</v>
      </c>
      <c r="AK466" s="17" t="n">
        <f aca="false">SQRT(($B466-AK$401)^2+($C466-AK$402)^2+($D466-AK$403)^2)</f>
        <v>0.692900924010756</v>
      </c>
      <c r="AL466" s="63" t="n">
        <f aca="false">MATCH(MIN(AF466:AK466),AF466:AK466,0)</f>
        <v>4</v>
      </c>
      <c r="AN466" s="17" t="n">
        <f aca="false">SQRT(($B466-AN$401)^2+($C466-AN$402)^2+($D466-AN$403)^2)</f>
        <v>6.68535594956988</v>
      </c>
      <c r="AO466" s="17" t="n">
        <f aca="false">SQRT(($B466-AO$401)^2+($C466-AO$402)^2+($D466-AO$403)^2)</f>
        <v>1.45026422771408</v>
      </c>
      <c r="AP466" s="17" t="n">
        <f aca="false">SQRT(($B466-AP$401)^2+($C466-AP$402)^2+($D466-AP$403)^2)</f>
        <v>2.13726185110397</v>
      </c>
      <c r="AQ466" s="17" t="n">
        <f aca="false">SQRT(($B466-AQ$401)^2+($C466-AQ$402)^2+($D466-AQ$403)^2)</f>
        <v>0.491363082000823</v>
      </c>
      <c r="AR466" s="17" t="n">
        <f aca="false">SQRT(($B466-AR$401)^2+($C466-AR$402)^2+($D466-AR$403)^2)</f>
        <v>4.41074072176455</v>
      </c>
      <c r="AS466" s="17" t="n">
        <f aca="false">SQRT(($B466-AS$401)^2+($C466-AS$402)^2+($D466-AS$403)^2)</f>
        <v>0.699685379621089</v>
      </c>
      <c r="AT466" s="63" t="n">
        <f aca="false">MATCH(MIN(AN466:AS466),AN466:AS466,0)</f>
        <v>4</v>
      </c>
      <c r="AV466" s="17" t="n">
        <f aca="false">SQRT(($B466-AV$401)^2+($C466-AV$402)^2+($D466-AV$403)^2)</f>
        <v>6.68535594956988</v>
      </c>
      <c r="AW466" s="17" t="n">
        <f aca="false">SQRT(($B466-AW$401)^2+($C466-AW$402)^2+($D466-AW$403)^2)</f>
        <v>1.42153626207378</v>
      </c>
      <c r="AX466" s="17" t="n">
        <f aca="false">SQRT(($B466-AX$401)^2+($C466-AX$402)^2+($D466-AX$403)^2)</f>
        <v>2.13726185110397</v>
      </c>
      <c r="AY466" s="17" t="n">
        <f aca="false">SQRT(($B466-AY$401)^2+($C466-AY$402)^2+($D466-AY$403)^2)</f>
        <v>0.491363082000823</v>
      </c>
      <c r="AZ466" s="17" t="n">
        <f aca="false">SQRT(($B466-AZ$401)^2+($C466-AZ$402)^2+($D466-AZ$403)^2)</f>
        <v>4.41074072176455</v>
      </c>
      <c r="BA466" s="17" t="n">
        <f aca="false">SQRT(($B466-BA$401)^2+($C466-BA$402)^2+($D466-BA$403)^2)</f>
        <v>0.713317781008418</v>
      </c>
      <c r="BB466" s="63" t="n">
        <f aca="false">MATCH(MIN(AV466:BA466),AV466:BA466,0)</f>
        <v>4</v>
      </c>
      <c r="BD466" s="17" t="n">
        <f aca="false">SQRT(($B466-BD$401)^2+($C466-BD$402)^2+($D466-BD$403)^2)</f>
        <v>6.68535594956988</v>
      </c>
      <c r="BE466" s="17" t="n">
        <f aca="false">SQRT(($B466-BE$401)^2+($C466-BE$402)^2+($D466-BE$403)^2)</f>
        <v>1.39517178276598</v>
      </c>
      <c r="BF466" s="17" t="n">
        <f aca="false">SQRT(($B466-BF$401)^2+($C466-BF$402)^2+($D466-BF$403)^2)</f>
        <v>2.13726185110397</v>
      </c>
      <c r="BG466" s="17" t="n">
        <f aca="false">SQRT(($B466-BG$401)^2+($C466-BG$402)^2+($D466-BG$403)^2)</f>
        <v>0.491363082000823</v>
      </c>
      <c r="BH466" s="17" t="n">
        <f aca="false">SQRT(($B466-BH$401)^2+($C466-BH$402)^2+($D466-BH$403)^2)</f>
        <v>4.41074072176455</v>
      </c>
      <c r="BI466" s="17" t="n">
        <f aca="false">SQRT(($B466-BI$401)^2+($C466-BI$402)^2+($D466-BI$403)^2)</f>
        <v>0.725893731739199</v>
      </c>
      <c r="BJ466" s="63" t="n">
        <f aca="false">MATCH(MIN(BD466:BI466),BD466:BI466,0)</f>
        <v>4</v>
      </c>
      <c r="BL466" s="17" t="n">
        <f aca="false">SQRT(($B466-BL$401)^2+($C466-BL$402)^2+($D466-BL$403)^2)</f>
        <v>6.68535594956988</v>
      </c>
      <c r="BM466" s="17" t="n">
        <f aca="false">SQRT(($B466-BM$401)^2+($C466-BM$402)^2+($D466-BM$403)^2)</f>
        <v>1.39517178276598</v>
      </c>
      <c r="BN466" s="17" t="n">
        <f aca="false">SQRT(($B466-BN$401)^2+($C466-BN$402)^2+($D466-BN$403)^2)</f>
        <v>2.13726185110397</v>
      </c>
      <c r="BO466" s="17" t="n">
        <f aca="false">SQRT(($B466-BO$401)^2+($C466-BO$402)^2+($D466-BO$403)^2)</f>
        <v>0.491363082000823</v>
      </c>
      <c r="BP466" s="17" t="n">
        <f aca="false">SQRT(($B466-BP$401)^2+($C466-BP$402)^2+($D466-BP$403)^2)</f>
        <v>4.41074072176455</v>
      </c>
      <c r="BQ466" s="17" t="n">
        <f aca="false">SQRT(($B466-BQ$401)^2+($C466-BQ$402)^2+($D466-BQ$403)^2)</f>
        <v>0.725893731739199</v>
      </c>
      <c r="BR466" s="63" t="n">
        <f aca="false">MATCH(MIN(BL466:BQ466),BL466:BQ466,0)</f>
        <v>4</v>
      </c>
      <c r="BT466" s="17" t="n">
        <f aca="false">SQRT(($B466-BT$401)^2+($C466-BT$402)^2+($D466-BT$403)^2)</f>
        <v>6.68535594956988</v>
      </c>
      <c r="BU466" s="17" t="n">
        <f aca="false">SQRT(($B466-BU$401)^2+($C466-BU$402)^2+($D466-BU$403)^2)</f>
        <v>1.39517178276598</v>
      </c>
      <c r="BV466" s="17" t="n">
        <f aca="false">SQRT(($B466-BV$401)^2+($C466-BV$402)^2+($D466-BV$403)^2)</f>
        <v>2.13726185110397</v>
      </c>
      <c r="BW466" s="17" t="n">
        <f aca="false">SQRT(($B466-BW$401)^2+($C466-BW$402)^2+($D466-BW$403)^2)</f>
        <v>0.491363082000823</v>
      </c>
      <c r="BX466" s="17" t="n">
        <f aca="false">SQRT(($B466-BX$401)^2+($C466-BX$402)^2+($D466-BX$403)^2)</f>
        <v>4.41074072176455</v>
      </c>
      <c r="BY466" s="17" t="n">
        <f aca="false">SQRT(($B466-BY$401)^2+($C466-BY$402)^2+($D466-BY$403)^2)</f>
        <v>0.725893731739199</v>
      </c>
      <c r="BZ466" s="63" t="n">
        <f aca="false">MATCH(MIN(BT466:BY466),BT466:BY466,0)</f>
        <v>4</v>
      </c>
      <c r="CB466" s="17" t="n">
        <f aca="false">SQRT(($B466-CB$401)^2+($C466-CB$402)^2+($D466-CB$403)^2)</f>
        <v>6.68535594956988</v>
      </c>
      <c r="CC466" s="17" t="n">
        <f aca="false">SQRT(($B466-CC$401)^2+($C466-CC$402)^2+($D466-CC$403)^2)</f>
        <v>1.39517178276598</v>
      </c>
      <c r="CD466" s="17" t="n">
        <f aca="false">SQRT(($B466-CD$401)^2+($C466-CD$402)^2+($D466-CD$403)^2)</f>
        <v>2.13726185110397</v>
      </c>
      <c r="CE466" s="17" t="n">
        <f aca="false">SQRT(($B466-CE$401)^2+($C466-CE$402)^2+($D466-CE$403)^2)</f>
        <v>0.491363082000823</v>
      </c>
      <c r="CF466" s="17" t="n">
        <f aca="false">SQRT(($B466-CF$401)^2+($C466-CF$402)^2+($D466-CF$403)^2)</f>
        <v>4.41074072176455</v>
      </c>
      <c r="CG466" s="17" t="n">
        <f aca="false">SQRT(($B466-CG$401)^2+($C466-CG$402)^2+($D466-CG$403)^2)</f>
        <v>0.725893731739199</v>
      </c>
      <c r="CH466" s="63" t="n">
        <f aca="false">MATCH(MIN(CB466:CG466),CB466:CG466,0)</f>
        <v>4</v>
      </c>
      <c r="CJ466" s="17" t="n">
        <f aca="false">SQRT(($B466-CJ$401)^2+($C466-CJ$402)^2+($D466-CJ$403)^2)</f>
        <v>6.68535594956988</v>
      </c>
      <c r="CK466" s="17" t="n">
        <f aca="false">SQRT(($B466-CK$401)^2+($C466-CK$402)^2+($D466-CK$403)^2)</f>
        <v>1.39517178276598</v>
      </c>
      <c r="CL466" s="17" t="n">
        <f aca="false">SQRT(($B466-CL$401)^2+($C466-CL$402)^2+($D466-CL$403)^2)</f>
        <v>2.13726185110397</v>
      </c>
      <c r="CM466" s="17" t="n">
        <f aca="false">SQRT(($B466-CM$401)^2+($C466-CM$402)^2+($D466-CM$403)^2)</f>
        <v>0.491363082000823</v>
      </c>
      <c r="CN466" s="17" t="n">
        <f aca="false">SQRT(($B466-CN$401)^2+($C466-CN$402)^2+($D466-CN$403)^2)</f>
        <v>4.41074072176455</v>
      </c>
      <c r="CO466" s="17" t="n">
        <f aca="false">SQRT(($B466-CO$401)^2+($C466-CO$402)^2+($D466-CO$403)^2)</f>
        <v>0.725893731739199</v>
      </c>
      <c r="CP466" s="63" t="n">
        <f aca="false">MATCH(MIN(CJ466:CO466),CJ466:CO466,0)</f>
        <v>4</v>
      </c>
      <c r="CR466" s="17" t="n">
        <f aca="false">SQRT(($B466-CR$401)^2+($C466-CR$402)^2+($D466-CR$403)^2)</f>
        <v>6.68535594956988</v>
      </c>
      <c r="CS466" s="17" t="n">
        <f aca="false">SQRT(($B466-CS$401)^2+($C466-CS$402)^2+($D466-CS$403)^2)</f>
        <v>1.39517178276598</v>
      </c>
      <c r="CT466" s="17" t="n">
        <f aca="false">SQRT(($B466-CT$401)^2+($C466-CT$402)^2+($D466-CT$403)^2)</f>
        <v>2.13726185110397</v>
      </c>
      <c r="CU466" s="17" t="n">
        <f aca="false">SQRT(($B466-CU$401)^2+($C466-CU$402)^2+($D466-CU$403)^2)</f>
        <v>0.491363082000823</v>
      </c>
      <c r="CV466" s="17" t="n">
        <f aca="false">SQRT(($B466-CV$401)^2+($C466-CV$402)^2+($D466-CV$403)^2)</f>
        <v>4.41074072176455</v>
      </c>
      <c r="CW466" s="17" t="n">
        <f aca="false">SQRT(($B466-CW$401)^2+($C466-CW$402)^2+($D466-CW$403)^2)</f>
        <v>0.725893731739199</v>
      </c>
      <c r="CX466" s="63" t="n">
        <f aca="false">MATCH(MIN(CR466:CW466),CR466:CW466,0)</f>
        <v>4</v>
      </c>
      <c r="CZ466" s="17" t="n">
        <f aca="false">SQRT(($B466-CZ$401)^2+($C466-CZ$402)^2+($D466-CZ$403)^2)</f>
        <v>6.68535594956988</v>
      </c>
      <c r="DA466" s="17" t="n">
        <f aca="false">SQRT(($B466-DA$401)^2+($C466-DA$402)^2+($D466-DA$403)^2)</f>
        <v>1.39517178276598</v>
      </c>
      <c r="DB466" s="17" t="n">
        <f aca="false">SQRT(($B466-DB$401)^2+($C466-DB$402)^2+($D466-DB$403)^2)</f>
        <v>2.13726185110397</v>
      </c>
      <c r="DC466" s="17" t="n">
        <f aca="false">SQRT(($B466-DC$401)^2+($C466-DC$402)^2+($D466-DC$403)^2)</f>
        <v>0.491363082000823</v>
      </c>
      <c r="DD466" s="17" t="n">
        <f aca="false">SQRT(($B466-DD$401)^2+($C466-DD$402)^2+($D466-DD$403)^2)</f>
        <v>4.41074072176455</v>
      </c>
      <c r="DE466" s="17" t="n">
        <f aca="false">SQRT(($B466-DE$401)^2+($C466-DE$402)^2+($D466-DE$403)^2)</f>
        <v>0.725893731739199</v>
      </c>
      <c r="DF466" s="63" t="n">
        <f aca="false">MATCH(MIN(CZ466:DE466),CZ466:DE466,0)</f>
        <v>4</v>
      </c>
      <c r="DH466" s="17" t="n">
        <f aca="false">SQRT(($B466-DH$401)^2+($C466-DH$402)^2+($D466-DH$403)^2)</f>
        <v>6.68535594956988</v>
      </c>
      <c r="DI466" s="17" t="n">
        <f aca="false">SQRT(($B466-DI$401)^2+($C466-DI$402)^2+($D466-DI$403)^2)</f>
        <v>1.39517178276598</v>
      </c>
      <c r="DJ466" s="17" t="n">
        <f aca="false">SQRT(($B466-DJ$401)^2+($C466-DJ$402)^2+($D466-DJ$403)^2)</f>
        <v>2.13726185110397</v>
      </c>
      <c r="DK466" s="17" t="n">
        <f aca="false">SQRT(($B466-DK$401)^2+($C466-DK$402)^2+($D466-DK$403)^2)</f>
        <v>0.491363082000823</v>
      </c>
      <c r="DL466" s="17" t="n">
        <f aca="false">SQRT(($B466-DL$401)^2+($C466-DL$402)^2+($D466-DL$403)^2)</f>
        <v>4.41074072176455</v>
      </c>
      <c r="DM466" s="17" t="n">
        <f aca="false">SQRT(($B466-DM$401)^2+($C466-DM$402)^2+($D466-DM$403)^2)</f>
        <v>0.725893731739199</v>
      </c>
      <c r="DN466" s="63" t="n">
        <f aca="false">MATCH(MIN(DH466:DM466),DH466:DM466,0)</f>
        <v>4</v>
      </c>
    </row>
    <row r="467" customFormat="false" ht="15" hidden="false" customHeight="false" outlineLevel="0" collapsed="false">
      <c r="A467" s="36" t="str">
        <f aca="false">KMeans_Data!A64</f>
        <v>Dadu</v>
      </c>
      <c r="B467" s="17" t="n">
        <f aca="false">KMeans_Data!H64</f>
        <v>-0.00359138496118499</v>
      </c>
      <c r="C467" s="17" t="n">
        <f aca="false">KMeans_Data!I64</f>
        <v>-0.672650545388274</v>
      </c>
      <c r="D467" s="17" t="n">
        <f aca="false">KMeans_Data!J64</f>
        <v>0.364128192341594</v>
      </c>
      <c r="E467" s="63" t="n">
        <f aca="false">DN467</f>
        <v>6</v>
      </c>
      <c r="F467" s="38" t="n">
        <f aca="false">($B467-INDEX($L$401:$Q$401,E467))^2+($C467-INDEX($L$402:$Q$402,E467))^2+($D467-INDEX($L$403:$Q$403,E467))^2</f>
        <v>0.146557611852712</v>
      </c>
      <c r="G467" s="17" t="n">
        <f aca="false">IF(COUNTIF(Distance_Matrix!$E$12:$DQ$12,$E467)&lt;=1,0,SUMIF(Distance_Matrix!$E$12:$DQ$12,$E467,Distance_Matrix!$E$73:$DQ$73)/(COUNTIF(Distance_Matrix!$E$12:$DQ$12,$E467)-1))</f>
        <v>0.720146018391713</v>
      </c>
      <c r="H467" s="17" t="n">
        <f aca="false">MIN(IF(1=$E467,1E+099,IF(COUNTIF(Distance_Matrix!$E$12:$DQ$12,1)=0,1E+099,SUMIF(Distance_Matrix!$E$12:$DQ$12,1,Distance_Matrix!$E$73:$DQ$73)/COUNTIF(Distance_Matrix!$E$12:$DQ$12,1))),IF(2=$E467,1E+099,IF(COUNTIF(Distance_Matrix!$E$12:$DQ$12,2)=0,1E+099,SUMIF(Distance_Matrix!$E$12:$DQ$12,2,Distance_Matrix!$E$73:$DQ$73)/COUNTIF(Distance_Matrix!$E$12:$DQ$12,2))),IF(3=$E467,1E+099,IF(COUNTIF(Distance_Matrix!$E$12:$DQ$12,3)=0,1E+099,SUMIF(Distance_Matrix!$E$12:$DQ$12,3,Distance_Matrix!$E$73:$DQ$73)/COUNTIF(Distance_Matrix!$E$12:$DQ$12,3))),IF(4=$E467,1E+099,IF(COUNTIF(Distance_Matrix!$E$12:$DQ$12,4)=0,1E+099,SUMIF(Distance_Matrix!$E$12:$DQ$12,4,Distance_Matrix!$E$73:$DQ$73)/COUNTIF(Distance_Matrix!$E$12:$DQ$12,4))),IF(5=$E467,1E+099,IF(COUNTIF(Distance_Matrix!$E$12:$DQ$12,5)=0,1E+099,SUMIF(Distance_Matrix!$E$12:$DQ$12,5,Distance_Matrix!$E$73:$DQ$73)/COUNTIF(Distance_Matrix!$E$12:$DQ$12,5))),IF(6=$E467,1E+099,IF(COUNTIF(Distance_Matrix!$E$12:$DQ$12,6)=0,1E+099,SUMIF(Distance_Matrix!$E$12:$DQ$12,6,Distance_Matrix!$E$73:$DQ$73)/COUNTIF(Distance_Matrix!$E$12:$DQ$12,6))))</f>
        <v>1.34161725766237</v>
      </c>
      <c r="I467" s="17" t="n">
        <f aca="false">IF(COUNTIF(Distance_Matrix!$E$12:$DQ$12,$E467)&lt;=1,0,(H467-G467)/MAX(G467,H467))</f>
        <v>0.463225436107989</v>
      </c>
      <c r="X467" s="17" t="n">
        <f aca="false">SQRT(($B467-X$401)^2+($C467-X$402)^2+($D467-X$403)^2)</f>
        <v>6.42548092998272</v>
      </c>
      <c r="Y467" s="17" t="n">
        <f aca="false">SQRT(($B467-Y$401)^2+($C467-Y$402)^2+($D467-Y$403)^2)</f>
        <v>2.56706001402801</v>
      </c>
      <c r="Z467" s="17" t="n">
        <f aca="false">SQRT(($B467-Z$401)^2+($C467-Z$402)^2+($D467-Z$403)^2)</f>
        <v>1.84734515584859</v>
      </c>
      <c r="AA467" s="17" t="n">
        <f aca="false">SQRT(($B467-AA$401)^2+($C467-AA$402)^2+($D467-AA$403)^2)</f>
        <v>1.72548050387342</v>
      </c>
      <c r="AB467" s="17" t="n">
        <f aca="false">SQRT(($B467-AB$401)^2+($C467-AB$402)^2+($D467-AB$403)^2)</f>
        <v>4.29451226585086</v>
      </c>
      <c r="AC467" s="17" t="n">
        <f aca="false">SQRT(($B467-AC$401)^2+($C467-AC$402)^2+($D467-AC$403)^2)</f>
        <v>0.916442846046322</v>
      </c>
      <c r="AD467" s="63" t="n">
        <f aca="false">MATCH(MIN(X467:AC467),X467:AC467,0)</f>
        <v>6</v>
      </c>
      <c r="AF467" s="17" t="n">
        <f aca="false">SQRT(($B467-AF$401)^2+($C467-AF$402)^2+($D467-AF$403)^2)</f>
        <v>6.34004398263549</v>
      </c>
      <c r="AG467" s="17" t="n">
        <f aca="false">SQRT(($B467-AG$401)^2+($C467-AG$402)^2+($D467-AG$403)^2)</f>
        <v>1.96623961135965</v>
      </c>
      <c r="AH467" s="17" t="n">
        <f aca="false">SQRT(($B467-AH$401)^2+($C467-AH$402)^2+($D467-AH$403)^2)</f>
        <v>1.79549086297801</v>
      </c>
      <c r="AI467" s="17" t="n">
        <f aca="false">SQRT(($B467-AI$401)^2+($C467-AI$402)^2+($D467-AI$403)^2)</f>
        <v>1.23590903173779</v>
      </c>
      <c r="AJ467" s="17" t="n">
        <f aca="false">SQRT(($B467-AJ$401)^2+($C467-AJ$402)^2+($D467-AJ$403)^2)</f>
        <v>4.0908748182084</v>
      </c>
      <c r="AK467" s="17" t="n">
        <f aca="false">SQRT(($B467-AK$401)^2+($C467-AK$402)^2+($D467-AK$403)^2)</f>
        <v>0.430761037533601</v>
      </c>
      <c r="AL467" s="63" t="n">
        <f aca="false">MATCH(MIN(AF467:AK467),AF467:AK467,0)</f>
        <v>6</v>
      </c>
      <c r="AN467" s="17" t="n">
        <f aca="false">SQRT(($B467-AN$401)^2+($C467-AN$402)^2+($D467-AN$403)^2)</f>
        <v>6.34004398263549</v>
      </c>
      <c r="AO467" s="17" t="n">
        <f aca="false">SQRT(($B467-AO$401)^2+($C467-AO$402)^2+($D467-AO$403)^2)</f>
        <v>1.92155985257306</v>
      </c>
      <c r="AP467" s="17" t="n">
        <f aca="false">SQRT(($B467-AP$401)^2+($C467-AP$402)^2+($D467-AP$403)^2)</f>
        <v>1.77025683697742</v>
      </c>
      <c r="AQ467" s="17" t="n">
        <f aca="false">SQRT(($B467-AQ$401)^2+($C467-AQ$402)^2+($D467-AQ$403)^2)</f>
        <v>1.23808307356382</v>
      </c>
      <c r="AR467" s="17" t="n">
        <f aca="false">SQRT(($B467-AR$401)^2+($C467-AR$402)^2+($D467-AR$403)^2)</f>
        <v>4.0908748182084</v>
      </c>
      <c r="AS467" s="17" t="n">
        <f aca="false">SQRT(($B467-AS$401)^2+($C467-AS$402)^2+($D467-AS$403)^2)</f>
        <v>0.401491511727797</v>
      </c>
      <c r="AT467" s="63" t="n">
        <f aca="false">MATCH(MIN(AN467:AS467),AN467:AS467,0)</f>
        <v>6</v>
      </c>
      <c r="AV467" s="17" t="n">
        <f aca="false">SQRT(($B467-AV$401)^2+($C467-AV$402)^2+($D467-AV$403)^2)</f>
        <v>6.34004398263549</v>
      </c>
      <c r="AW467" s="17" t="n">
        <f aca="false">SQRT(($B467-AW$401)^2+($C467-AW$402)^2+($D467-AW$403)^2)</f>
        <v>1.88961391327845</v>
      </c>
      <c r="AX467" s="17" t="n">
        <f aca="false">SQRT(($B467-AX$401)^2+($C467-AX$402)^2+($D467-AX$403)^2)</f>
        <v>1.77025683697742</v>
      </c>
      <c r="AY467" s="17" t="n">
        <f aca="false">SQRT(($B467-AY$401)^2+($C467-AY$402)^2+($D467-AY$403)^2)</f>
        <v>1.23808307356382</v>
      </c>
      <c r="AZ467" s="17" t="n">
        <f aca="false">SQRT(($B467-AZ$401)^2+($C467-AZ$402)^2+($D467-AZ$403)^2)</f>
        <v>4.0908748182084</v>
      </c>
      <c r="BA467" s="17" t="n">
        <f aca="false">SQRT(($B467-BA$401)^2+($C467-BA$402)^2+($D467-BA$403)^2)</f>
        <v>0.39150602354968</v>
      </c>
      <c r="BB467" s="63" t="n">
        <f aca="false">MATCH(MIN(AV467:BA467),AV467:BA467,0)</f>
        <v>6</v>
      </c>
      <c r="BD467" s="17" t="n">
        <f aca="false">SQRT(($B467-BD$401)^2+($C467-BD$402)^2+($D467-BD$403)^2)</f>
        <v>6.34004398263549</v>
      </c>
      <c r="BE467" s="17" t="n">
        <f aca="false">SQRT(($B467-BE$401)^2+($C467-BE$402)^2+($D467-BE$403)^2)</f>
        <v>1.85882313492447</v>
      </c>
      <c r="BF467" s="17" t="n">
        <f aca="false">SQRT(($B467-BF$401)^2+($C467-BF$402)^2+($D467-BF$403)^2)</f>
        <v>1.77025683697742</v>
      </c>
      <c r="BG467" s="17" t="n">
        <f aca="false">SQRT(($B467-BG$401)^2+($C467-BG$402)^2+($D467-BG$403)^2)</f>
        <v>1.23808307356382</v>
      </c>
      <c r="BH467" s="17" t="n">
        <f aca="false">SQRT(($B467-BH$401)^2+($C467-BH$402)^2+($D467-BH$403)^2)</f>
        <v>4.0908748182084</v>
      </c>
      <c r="BI467" s="17" t="n">
        <f aca="false">SQRT(($B467-BI$401)^2+($C467-BI$402)^2+($D467-BI$403)^2)</f>
        <v>0.382828436577943</v>
      </c>
      <c r="BJ467" s="63" t="n">
        <f aca="false">MATCH(MIN(BD467:BI467),BD467:BI467,0)</f>
        <v>6</v>
      </c>
      <c r="BL467" s="17" t="n">
        <f aca="false">SQRT(($B467-BL$401)^2+($C467-BL$402)^2+($D467-BL$403)^2)</f>
        <v>6.34004398263549</v>
      </c>
      <c r="BM467" s="17" t="n">
        <f aca="false">SQRT(($B467-BM$401)^2+($C467-BM$402)^2+($D467-BM$403)^2)</f>
        <v>1.85882313492447</v>
      </c>
      <c r="BN467" s="17" t="n">
        <f aca="false">SQRT(($B467-BN$401)^2+($C467-BN$402)^2+($D467-BN$403)^2)</f>
        <v>1.77025683697742</v>
      </c>
      <c r="BO467" s="17" t="n">
        <f aca="false">SQRT(($B467-BO$401)^2+($C467-BO$402)^2+($D467-BO$403)^2)</f>
        <v>1.23808307356382</v>
      </c>
      <c r="BP467" s="17" t="n">
        <f aca="false">SQRT(($B467-BP$401)^2+($C467-BP$402)^2+($D467-BP$403)^2)</f>
        <v>4.0908748182084</v>
      </c>
      <c r="BQ467" s="17" t="n">
        <f aca="false">SQRT(($B467-BQ$401)^2+($C467-BQ$402)^2+($D467-BQ$403)^2)</f>
        <v>0.382828436577943</v>
      </c>
      <c r="BR467" s="63" t="n">
        <f aca="false">MATCH(MIN(BL467:BQ467),BL467:BQ467,0)</f>
        <v>6</v>
      </c>
      <c r="BT467" s="17" t="n">
        <f aca="false">SQRT(($B467-BT$401)^2+($C467-BT$402)^2+($D467-BT$403)^2)</f>
        <v>6.34004398263549</v>
      </c>
      <c r="BU467" s="17" t="n">
        <f aca="false">SQRT(($B467-BU$401)^2+($C467-BU$402)^2+($D467-BU$403)^2)</f>
        <v>1.85882313492447</v>
      </c>
      <c r="BV467" s="17" t="n">
        <f aca="false">SQRT(($B467-BV$401)^2+($C467-BV$402)^2+($D467-BV$403)^2)</f>
        <v>1.77025683697742</v>
      </c>
      <c r="BW467" s="17" t="n">
        <f aca="false">SQRT(($B467-BW$401)^2+($C467-BW$402)^2+($D467-BW$403)^2)</f>
        <v>1.23808307356382</v>
      </c>
      <c r="BX467" s="17" t="n">
        <f aca="false">SQRT(($B467-BX$401)^2+($C467-BX$402)^2+($D467-BX$403)^2)</f>
        <v>4.0908748182084</v>
      </c>
      <c r="BY467" s="17" t="n">
        <f aca="false">SQRT(($B467-BY$401)^2+($C467-BY$402)^2+($D467-BY$403)^2)</f>
        <v>0.382828436577943</v>
      </c>
      <c r="BZ467" s="63" t="n">
        <f aca="false">MATCH(MIN(BT467:BY467),BT467:BY467,0)</f>
        <v>6</v>
      </c>
      <c r="CB467" s="17" t="n">
        <f aca="false">SQRT(($B467-CB$401)^2+($C467-CB$402)^2+($D467-CB$403)^2)</f>
        <v>6.34004398263549</v>
      </c>
      <c r="CC467" s="17" t="n">
        <f aca="false">SQRT(($B467-CC$401)^2+($C467-CC$402)^2+($D467-CC$403)^2)</f>
        <v>1.85882313492447</v>
      </c>
      <c r="CD467" s="17" t="n">
        <f aca="false">SQRT(($B467-CD$401)^2+($C467-CD$402)^2+($D467-CD$403)^2)</f>
        <v>1.77025683697742</v>
      </c>
      <c r="CE467" s="17" t="n">
        <f aca="false">SQRT(($B467-CE$401)^2+($C467-CE$402)^2+($D467-CE$403)^2)</f>
        <v>1.23808307356382</v>
      </c>
      <c r="CF467" s="17" t="n">
        <f aca="false">SQRT(($B467-CF$401)^2+($C467-CF$402)^2+($D467-CF$403)^2)</f>
        <v>4.0908748182084</v>
      </c>
      <c r="CG467" s="17" t="n">
        <f aca="false">SQRT(($B467-CG$401)^2+($C467-CG$402)^2+($D467-CG$403)^2)</f>
        <v>0.382828436577943</v>
      </c>
      <c r="CH467" s="63" t="n">
        <f aca="false">MATCH(MIN(CB467:CG467),CB467:CG467,0)</f>
        <v>6</v>
      </c>
      <c r="CJ467" s="17" t="n">
        <f aca="false">SQRT(($B467-CJ$401)^2+($C467-CJ$402)^2+($D467-CJ$403)^2)</f>
        <v>6.34004398263549</v>
      </c>
      <c r="CK467" s="17" t="n">
        <f aca="false">SQRT(($B467-CK$401)^2+($C467-CK$402)^2+($D467-CK$403)^2)</f>
        <v>1.85882313492447</v>
      </c>
      <c r="CL467" s="17" t="n">
        <f aca="false">SQRT(($B467-CL$401)^2+($C467-CL$402)^2+($D467-CL$403)^2)</f>
        <v>1.77025683697742</v>
      </c>
      <c r="CM467" s="17" t="n">
        <f aca="false">SQRT(($B467-CM$401)^2+($C467-CM$402)^2+($D467-CM$403)^2)</f>
        <v>1.23808307356382</v>
      </c>
      <c r="CN467" s="17" t="n">
        <f aca="false">SQRT(($B467-CN$401)^2+($C467-CN$402)^2+($D467-CN$403)^2)</f>
        <v>4.0908748182084</v>
      </c>
      <c r="CO467" s="17" t="n">
        <f aca="false">SQRT(($B467-CO$401)^2+($C467-CO$402)^2+($D467-CO$403)^2)</f>
        <v>0.382828436577943</v>
      </c>
      <c r="CP467" s="63" t="n">
        <f aca="false">MATCH(MIN(CJ467:CO467),CJ467:CO467,0)</f>
        <v>6</v>
      </c>
      <c r="CR467" s="17" t="n">
        <f aca="false">SQRT(($B467-CR$401)^2+($C467-CR$402)^2+($D467-CR$403)^2)</f>
        <v>6.34004398263549</v>
      </c>
      <c r="CS467" s="17" t="n">
        <f aca="false">SQRT(($B467-CS$401)^2+($C467-CS$402)^2+($D467-CS$403)^2)</f>
        <v>1.85882313492447</v>
      </c>
      <c r="CT467" s="17" t="n">
        <f aca="false">SQRT(($B467-CT$401)^2+($C467-CT$402)^2+($D467-CT$403)^2)</f>
        <v>1.77025683697742</v>
      </c>
      <c r="CU467" s="17" t="n">
        <f aca="false">SQRT(($B467-CU$401)^2+($C467-CU$402)^2+($D467-CU$403)^2)</f>
        <v>1.23808307356382</v>
      </c>
      <c r="CV467" s="17" t="n">
        <f aca="false">SQRT(($B467-CV$401)^2+($C467-CV$402)^2+($D467-CV$403)^2)</f>
        <v>4.0908748182084</v>
      </c>
      <c r="CW467" s="17" t="n">
        <f aca="false">SQRT(($B467-CW$401)^2+($C467-CW$402)^2+($D467-CW$403)^2)</f>
        <v>0.382828436577943</v>
      </c>
      <c r="CX467" s="63" t="n">
        <f aca="false">MATCH(MIN(CR467:CW467),CR467:CW467,0)</f>
        <v>6</v>
      </c>
      <c r="CZ467" s="17" t="n">
        <f aca="false">SQRT(($B467-CZ$401)^2+($C467-CZ$402)^2+($D467-CZ$403)^2)</f>
        <v>6.34004398263549</v>
      </c>
      <c r="DA467" s="17" t="n">
        <f aca="false">SQRT(($B467-DA$401)^2+($C467-DA$402)^2+($D467-DA$403)^2)</f>
        <v>1.85882313492447</v>
      </c>
      <c r="DB467" s="17" t="n">
        <f aca="false">SQRT(($B467-DB$401)^2+($C467-DB$402)^2+($D467-DB$403)^2)</f>
        <v>1.77025683697742</v>
      </c>
      <c r="DC467" s="17" t="n">
        <f aca="false">SQRT(($B467-DC$401)^2+($C467-DC$402)^2+($D467-DC$403)^2)</f>
        <v>1.23808307356382</v>
      </c>
      <c r="DD467" s="17" t="n">
        <f aca="false">SQRT(($B467-DD$401)^2+($C467-DD$402)^2+($D467-DD$403)^2)</f>
        <v>4.0908748182084</v>
      </c>
      <c r="DE467" s="17" t="n">
        <f aca="false">SQRT(($B467-DE$401)^2+($C467-DE$402)^2+($D467-DE$403)^2)</f>
        <v>0.382828436577943</v>
      </c>
      <c r="DF467" s="63" t="n">
        <f aca="false">MATCH(MIN(CZ467:DE467),CZ467:DE467,0)</f>
        <v>6</v>
      </c>
      <c r="DH467" s="17" t="n">
        <f aca="false">SQRT(($B467-DH$401)^2+($C467-DH$402)^2+($D467-DH$403)^2)</f>
        <v>6.34004398263549</v>
      </c>
      <c r="DI467" s="17" t="n">
        <f aca="false">SQRT(($B467-DI$401)^2+($C467-DI$402)^2+($D467-DI$403)^2)</f>
        <v>1.85882313492447</v>
      </c>
      <c r="DJ467" s="17" t="n">
        <f aca="false">SQRT(($B467-DJ$401)^2+($C467-DJ$402)^2+($D467-DJ$403)^2)</f>
        <v>1.77025683697742</v>
      </c>
      <c r="DK467" s="17" t="n">
        <f aca="false">SQRT(($B467-DK$401)^2+($C467-DK$402)^2+($D467-DK$403)^2)</f>
        <v>1.23808307356382</v>
      </c>
      <c r="DL467" s="17" t="n">
        <f aca="false">SQRT(($B467-DL$401)^2+($C467-DL$402)^2+($D467-DL$403)^2)</f>
        <v>4.0908748182084</v>
      </c>
      <c r="DM467" s="17" t="n">
        <f aca="false">SQRT(($B467-DM$401)^2+($C467-DM$402)^2+($D467-DM$403)^2)</f>
        <v>0.382828436577943</v>
      </c>
      <c r="DN467" s="63" t="n">
        <f aca="false">MATCH(MIN(DH467:DM467),DH467:DM467,0)</f>
        <v>6</v>
      </c>
    </row>
    <row r="468" customFormat="false" ht="15" hidden="false" customHeight="false" outlineLevel="0" collapsed="false">
      <c r="A468" s="36" t="str">
        <f aca="false">KMeans_Data!A65</f>
        <v>Other</v>
      </c>
      <c r="B468" s="17" t="n">
        <f aca="false">KMeans_Data!H65</f>
        <v>-0.0333406256173151</v>
      </c>
      <c r="C468" s="17" t="n">
        <f aca="false">KMeans_Data!I65</f>
        <v>0.547911385844501</v>
      </c>
      <c r="D468" s="17" t="n">
        <f aca="false">KMeans_Data!J65</f>
        <v>0.501871845301586</v>
      </c>
      <c r="E468" s="63" t="n">
        <f aca="false">DN468</f>
        <v>3</v>
      </c>
      <c r="F468" s="38" t="n">
        <f aca="false">($B468-INDEX($L$401:$Q$401,E468))^2+($C468-INDEX($L$402:$Q$402,E468))^2+($D468-INDEX($L$403:$Q$403,E468))^2</f>
        <v>0.864339970520195</v>
      </c>
      <c r="G468" s="17" t="n">
        <f aca="false">IF(COUNTIF(Distance_Matrix!$E$12:$DQ$12,$E468)&lt;=1,0,SUMIF(Distance_Matrix!$E$12:$DQ$12,$E468,Distance_Matrix!$E$74:$DQ$74)/(COUNTIF(Distance_Matrix!$E$12:$DQ$12,$E468)-1))</f>
        <v>1.11279986397002</v>
      </c>
      <c r="H468" s="17" t="n">
        <f aca="false">MIN(IF(1=$E468,1E+099,IF(COUNTIF(Distance_Matrix!$E$12:$DQ$12,1)=0,1E+099,SUMIF(Distance_Matrix!$E$12:$DQ$12,1,Distance_Matrix!$E$74:$DQ$74)/COUNTIF(Distance_Matrix!$E$12:$DQ$12,1))),IF(2=$E468,1E+099,IF(COUNTIF(Distance_Matrix!$E$12:$DQ$12,2)=0,1E+099,SUMIF(Distance_Matrix!$E$12:$DQ$12,2,Distance_Matrix!$E$74:$DQ$74)/COUNTIF(Distance_Matrix!$E$12:$DQ$12,2))),IF(3=$E468,1E+099,IF(COUNTIF(Distance_Matrix!$E$12:$DQ$12,3)=0,1E+099,SUMIF(Distance_Matrix!$E$12:$DQ$12,3,Distance_Matrix!$E$74:$DQ$74)/COUNTIF(Distance_Matrix!$E$12:$DQ$12,3))),IF(4=$E468,1E+099,IF(COUNTIF(Distance_Matrix!$E$12:$DQ$12,4)=0,1E+099,SUMIF(Distance_Matrix!$E$12:$DQ$12,4,Distance_Matrix!$E$74:$DQ$74)/COUNTIF(Distance_Matrix!$E$12:$DQ$12,4))),IF(5=$E468,1E+099,IF(COUNTIF(Distance_Matrix!$E$12:$DQ$12,5)=0,1E+099,SUMIF(Distance_Matrix!$E$12:$DQ$12,5,Distance_Matrix!$E$74:$DQ$74)/COUNTIF(Distance_Matrix!$E$12:$DQ$12,5))),IF(6=$E468,1E+099,IF(COUNTIF(Distance_Matrix!$E$12:$DQ$12,6)=0,1E+099,SUMIF(Distance_Matrix!$E$12:$DQ$12,6,Distance_Matrix!$E$74:$DQ$74)/COUNTIF(Distance_Matrix!$E$12:$DQ$12,6))))</f>
        <v>1.10715585288446</v>
      </c>
      <c r="I468" s="17" t="n">
        <f aca="false">IF(COUNTIF(Distance_Matrix!$E$12:$DQ$12,$E468)&lt;=1,0,(H468-G468)/MAX(G468,H468))</f>
        <v>-0.00507190130795388</v>
      </c>
      <c r="X468" s="17" t="n">
        <f aca="false">SQRT(($B468-X$401)^2+($C468-X$402)^2+($D468-X$403)^2)</f>
        <v>5.54024690953817</v>
      </c>
      <c r="Y468" s="17" t="n">
        <f aca="false">SQRT(($B468-Y$401)^2+($C468-Y$402)^2+($D468-Y$403)^2)</f>
        <v>2.89686423762356</v>
      </c>
      <c r="Z468" s="17" t="n">
        <f aca="false">SQRT(($B468-Z$401)^2+($C468-Z$402)^2+($D468-Z$403)^2)</f>
        <v>1.45363127810799</v>
      </c>
      <c r="AA468" s="17" t="n">
        <f aca="false">SQRT(($B468-AA$401)^2+($C468-AA$402)^2+($D468-AA$403)^2)</f>
        <v>1.91265439138235</v>
      </c>
      <c r="AB468" s="17" t="n">
        <f aca="false">SQRT(($B468-AB$401)^2+($C468-AB$402)^2+($D468-AB$403)^2)</f>
        <v>3.50682462887929</v>
      </c>
      <c r="AC468" s="17" t="n">
        <f aca="false">SQRT(($B468-AC$401)^2+($C468-AC$402)^2+($D468-AC$403)^2)</f>
        <v>0.975520259111971</v>
      </c>
      <c r="AD468" s="63" t="n">
        <f aca="false">MATCH(MIN(X468:AC468),X468:AC468,0)</f>
        <v>6</v>
      </c>
      <c r="AF468" s="17" t="n">
        <f aca="false">SQRT(($B468-AF$401)^2+($C468-AF$402)^2+($D468-AF$403)^2)</f>
        <v>5.43486645769861</v>
      </c>
      <c r="AG468" s="17" t="n">
        <f aca="false">SQRT(($B468-AG$401)^2+($C468-AG$402)^2+($D468-AG$403)^2)</f>
        <v>2.37564720122616</v>
      </c>
      <c r="AH468" s="17" t="n">
        <f aca="false">SQRT(($B468-AH$401)^2+($C468-AH$402)^2+($D468-AH$403)^2)</f>
        <v>0.962902390845126</v>
      </c>
      <c r="AI468" s="17" t="n">
        <f aca="false">SQRT(($B468-AI$401)^2+($C468-AI$402)^2+($D468-AI$403)^2)</f>
        <v>1.74698932188293</v>
      </c>
      <c r="AJ468" s="17" t="n">
        <f aca="false">SQRT(($B468-AJ$401)^2+($C468-AJ$402)^2+($D468-AJ$403)^2)</f>
        <v>3.18424915698614</v>
      </c>
      <c r="AK468" s="17" t="n">
        <f aca="false">SQRT(($B468-AK$401)^2+($C468-AK$402)^2+($D468-AK$403)^2)</f>
        <v>1.02039866363998</v>
      </c>
      <c r="AL468" s="63" t="n">
        <f aca="false">MATCH(MIN(AF468:AK468),AF468:AK468,0)</f>
        <v>3</v>
      </c>
      <c r="AN468" s="17" t="n">
        <f aca="false">SQRT(($B468-AN$401)^2+($C468-AN$402)^2+($D468-AN$403)^2)</f>
        <v>5.43486645769861</v>
      </c>
      <c r="AO468" s="17" t="n">
        <f aca="false">SQRT(($B468-AO$401)^2+($C468-AO$402)^2+($D468-AO$403)^2)</f>
        <v>2.33902217949079</v>
      </c>
      <c r="AP468" s="17" t="n">
        <f aca="false">SQRT(($B468-AP$401)^2+($C468-AP$402)^2+($D468-AP$403)^2)</f>
        <v>0.929698860126329</v>
      </c>
      <c r="AQ468" s="17" t="n">
        <f aca="false">SQRT(($B468-AQ$401)^2+($C468-AQ$402)^2+($D468-AQ$403)^2)</f>
        <v>1.76994633423001</v>
      </c>
      <c r="AR468" s="17" t="n">
        <f aca="false">SQRT(($B468-AR$401)^2+($C468-AR$402)^2+($D468-AR$403)^2)</f>
        <v>3.18424915698614</v>
      </c>
      <c r="AS468" s="17" t="n">
        <f aca="false">SQRT(($B468-AS$401)^2+($C468-AS$402)^2+($D468-AS$403)^2)</f>
        <v>1.00006208080534</v>
      </c>
      <c r="AT468" s="63" t="n">
        <f aca="false">MATCH(MIN(AN468:AS468),AN468:AS468,0)</f>
        <v>3</v>
      </c>
      <c r="AV468" s="17" t="n">
        <f aca="false">SQRT(($B468-AV$401)^2+($C468-AV$402)^2+($D468-AV$403)^2)</f>
        <v>5.43486645769861</v>
      </c>
      <c r="AW468" s="17" t="n">
        <f aca="false">SQRT(($B468-AW$401)^2+($C468-AW$402)^2+($D468-AW$403)^2)</f>
        <v>2.31197542249029</v>
      </c>
      <c r="AX468" s="17" t="n">
        <f aca="false">SQRT(($B468-AX$401)^2+($C468-AX$402)^2+($D468-AX$403)^2)</f>
        <v>0.929698860126329</v>
      </c>
      <c r="AY468" s="17" t="n">
        <f aca="false">SQRT(($B468-AY$401)^2+($C468-AY$402)^2+($D468-AY$403)^2)</f>
        <v>1.76994633423001</v>
      </c>
      <c r="AZ468" s="17" t="n">
        <f aca="false">SQRT(($B468-AZ$401)^2+($C468-AZ$402)^2+($D468-AZ$403)^2)</f>
        <v>3.18424915698614</v>
      </c>
      <c r="BA468" s="17" t="n">
        <f aca="false">SQRT(($B468-BA$401)^2+($C468-BA$402)^2+($D468-BA$403)^2)</f>
        <v>0.98331842395814</v>
      </c>
      <c r="BB468" s="63" t="n">
        <f aca="false">MATCH(MIN(AV468:BA468),AV468:BA468,0)</f>
        <v>3</v>
      </c>
      <c r="BD468" s="17" t="n">
        <f aca="false">SQRT(($B468-BD$401)^2+($C468-BD$402)^2+($D468-BD$403)^2)</f>
        <v>5.43486645769861</v>
      </c>
      <c r="BE468" s="17" t="n">
        <f aca="false">SQRT(($B468-BE$401)^2+($C468-BE$402)^2+($D468-BE$403)^2)</f>
        <v>2.28584947621069</v>
      </c>
      <c r="BF468" s="17" t="n">
        <f aca="false">SQRT(($B468-BF$401)^2+($C468-BF$402)^2+($D468-BF$403)^2)</f>
        <v>0.929698860126329</v>
      </c>
      <c r="BG468" s="17" t="n">
        <f aca="false">SQRT(($B468-BG$401)^2+($C468-BG$402)^2+($D468-BG$403)^2)</f>
        <v>1.76994633423001</v>
      </c>
      <c r="BH468" s="17" t="n">
        <f aca="false">SQRT(($B468-BH$401)^2+($C468-BH$402)^2+($D468-BH$403)^2)</f>
        <v>3.18424915698614</v>
      </c>
      <c r="BI468" s="17" t="n">
        <f aca="false">SQRT(($B468-BI$401)^2+($C468-BI$402)^2+($D468-BI$403)^2)</f>
        <v>0.966507151934464</v>
      </c>
      <c r="BJ468" s="63" t="n">
        <f aca="false">MATCH(MIN(BD468:BI468),BD468:BI468,0)</f>
        <v>3</v>
      </c>
      <c r="BL468" s="17" t="n">
        <f aca="false">SQRT(($B468-BL$401)^2+($C468-BL$402)^2+($D468-BL$403)^2)</f>
        <v>5.43486645769861</v>
      </c>
      <c r="BM468" s="17" t="n">
        <f aca="false">SQRT(($B468-BM$401)^2+($C468-BM$402)^2+($D468-BM$403)^2)</f>
        <v>2.28584947621069</v>
      </c>
      <c r="BN468" s="17" t="n">
        <f aca="false">SQRT(($B468-BN$401)^2+($C468-BN$402)^2+($D468-BN$403)^2)</f>
        <v>0.929698860126329</v>
      </c>
      <c r="BO468" s="17" t="n">
        <f aca="false">SQRT(($B468-BO$401)^2+($C468-BO$402)^2+($D468-BO$403)^2)</f>
        <v>1.76994633423001</v>
      </c>
      <c r="BP468" s="17" t="n">
        <f aca="false">SQRT(($B468-BP$401)^2+($C468-BP$402)^2+($D468-BP$403)^2)</f>
        <v>3.18424915698614</v>
      </c>
      <c r="BQ468" s="17" t="n">
        <f aca="false">SQRT(($B468-BQ$401)^2+($C468-BQ$402)^2+($D468-BQ$403)^2)</f>
        <v>0.966507151934464</v>
      </c>
      <c r="BR468" s="63" t="n">
        <f aca="false">MATCH(MIN(BL468:BQ468),BL468:BQ468,0)</f>
        <v>3</v>
      </c>
      <c r="BT468" s="17" t="n">
        <f aca="false">SQRT(($B468-BT$401)^2+($C468-BT$402)^2+($D468-BT$403)^2)</f>
        <v>5.43486645769861</v>
      </c>
      <c r="BU468" s="17" t="n">
        <f aca="false">SQRT(($B468-BU$401)^2+($C468-BU$402)^2+($D468-BU$403)^2)</f>
        <v>2.28584947621069</v>
      </c>
      <c r="BV468" s="17" t="n">
        <f aca="false">SQRT(($B468-BV$401)^2+($C468-BV$402)^2+($D468-BV$403)^2)</f>
        <v>0.929698860126329</v>
      </c>
      <c r="BW468" s="17" t="n">
        <f aca="false">SQRT(($B468-BW$401)^2+($C468-BW$402)^2+($D468-BW$403)^2)</f>
        <v>1.76994633423001</v>
      </c>
      <c r="BX468" s="17" t="n">
        <f aca="false">SQRT(($B468-BX$401)^2+($C468-BX$402)^2+($D468-BX$403)^2)</f>
        <v>3.18424915698614</v>
      </c>
      <c r="BY468" s="17" t="n">
        <f aca="false">SQRT(($B468-BY$401)^2+($C468-BY$402)^2+($D468-BY$403)^2)</f>
        <v>0.966507151934464</v>
      </c>
      <c r="BZ468" s="63" t="n">
        <f aca="false">MATCH(MIN(BT468:BY468),BT468:BY468,0)</f>
        <v>3</v>
      </c>
      <c r="CB468" s="17" t="n">
        <f aca="false">SQRT(($B468-CB$401)^2+($C468-CB$402)^2+($D468-CB$403)^2)</f>
        <v>5.43486645769861</v>
      </c>
      <c r="CC468" s="17" t="n">
        <f aca="false">SQRT(($B468-CC$401)^2+($C468-CC$402)^2+($D468-CC$403)^2)</f>
        <v>2.28584947621069</v>
      </c>
      <c r="CD468" s="17" t="n">
        <f aca="false">SQRT(($B468-CD$401)^2+($C468-CD$402)^2+($D468-CD$403)^2)</f>
        <v>0.929698860126329</v>
      </c>
      <c r="CE468" s="17" t="n">
        <f aca="false">SQRT(($B468-CE$401)^2+($C468-CE$402)^2+($D468-CE$403)^2)</f>
        <v>1.76994633423001</v>
      </c>
      <c r="CF468" s="17" t="n">
        <f aca="false">SQRT(($B468-CF$401)^2+($C468-CF$402)^2+($D468-CF$403)^2)</f>
        <v>3.18424915698614</v>
      </c>
      <c r="CG468" s="17" t="n">
        <f aca="false">SQRT(($B468-CG$401)^2+($C468-CG$402)^2+($D468-CG$403)^2)</f>
        <v>0.966507151934464</v>
      </c>
      <c r="CH468" s="63" t="n">
        <f aca="false">MATCH(MIN(CB468:CG468),CB468:CG468,0)</f>
        <v>3</v>
      </c>
      <c r="CJ468" s="17" t="n">
        <f aca="false">SQRT(($B468-CJ$401)^2+($C468-CJ$402)^2+($D468-CJ$403)^2)</f>
        <v>5.43486645769861</v>
      </c>
      <c r="CK468" s="17" t="n">
        <f aca="false">SQRT(($B468-CK$401)^2+($C468-CK$402)^2+($D468-CK$403)^2)</f>
        <v>2.28584947621069</v>
      </c>
      <c r="CL468" s="17" t="n">
        <f aca="false">SQRT(($B468-CL$401)^2+($C468-CL$402)^2+($D468-CL$403)^2)</f>
        <v>0.929698860126329</v>
      </c>
      <c r="CM468" s="17" t="n">
        <f aca="false">SQRT(($B468-CM$401)^2+($C468-CM$402)^2+($D468-CM$403)^2)</f>
        <v>1.76994633423001</v>
      </c>
      <c r="CN468" s="17" t="n">
        <f aca="false">SQRT(($B468-CN$401)^2+($C468-CN$402)^2+($D468-CN$403)^2)</f>
        <v>3.18424915698614</v>
      </c>
      <c r="CO468" s="17" t="n">
        <f aca="false">SQRT(($B468-CO$401)^2+($C468-CO$402)^2+($D468-CO$403)^2)</f>
        <v>0.966507151934464</v>
      </c>
      <c r="CP468" s="63" t="n">
        <f aca="false">MATCH(MIN(CJ468:CO468),CJ468:CO468,0)</f>
        <v>3</v>
      </c>
      <c r="CR468" s="17" t="n">
        <f aca="false">SQRT(($B468-CR$401)^2+($C468-CR$402)^2+($D468-CR$403)^2)</f>
        <v>5.43486645769861</v>
      </c>
      <c r="CS468" s="17" t="n">
        <f aca="false">SQRT(($B468-CS$401)^2+($C468-CS$402)^2+($D468-CS$403)^2)</f>
        <v>2.28584947621069</v>
      </c>
      <c r="CT468" s="17" t="n">
        <f aca="false">SQRT(($B468-CT$401)^2+($C468-CT$402)^2+($D468-CT$403)^2)</f>
        <v>0.929698860126329</v>
      </c>
      <c r="CU468" s="17" t="n">
        <f aca="false">SQRT(($B468-CU$401)^2+($C468-CU$402)^2+($D468-CU$403)^2)</f>
        <v>1.76994633423001</v>
      </c>
      <c r="CV468" s="17" t="n">
        <f aca="false">SQRT(($B468-CV$401)^2+($C468-CV$402)^2+($D468-CV$403)^2)</f>
        <v>3.18424915698614</v>
      </c>
      <c r="CW468" s="17" t="n">
        <f aca="false">SQRT(($B468-CW$401)^2+($C468-CW$402)^2+($D468-CW$403)^2)</f>
        <v>0.966507151934464</v>
      </c>
      <c r="CX468" s="63" t="n">
        <f aca="false">MATCH(MIN(CR468:CW468),CR468:CW468,0)</f>
        <v>3</v>
      </c>
      <c r="CZ468" s="17" t="n">
        <f aca="false">SQRT(($B468-CZ$401)^2+($C468-CZ$402)^2+($D468-CZ$403)^2)</f>
        <v>5.43486645769861</v>
      </c>
      <c r="DA468" s="17" t="n">
        <f aca="false">SQRT(($B468-DA$401)^2+($C468-DA$402)^2+($D468-DA$403)^2)</f>
        <v>2.28584947621069</v>
      </c>
      <c r="DB468" s="17" t="n">
        <f aca="false">SQRT(($B468-DB$401)^2+($C468-DB$402)^2+($D468-DB$403)^2)</f>
        <v>0.929698860126329</v>
      </c>
      <c r="DC468" s="17" t="n">
        <f aca="false">SQRT(($B468-DC$401)^2+($C468-DC$402)^2+($D468-DC$403)^2)</f>
        <v>1.76994633423001</v>
      </c>
      <c r="DD468" s="17" t="n">
        <f aca="false">SQRT(($B468-DD$401)^2+($C468-DD$402)^2+($D468-DD$403)^2)</f>
        <v>3.18424915698614</v>
      </c>
      <c r="DE468" s="17" t="n">
        <f aca="false">SQRT(($B468-DE$401)^2+($C468-DE$402)^2+($D468-DE$403)^2)</f>
        <v>0.966507151934464</v>
      </c>
      <c r="DF468" s="63" t="n">
        <f aca="false">MATCH(MIN(CZ468:DE468),CZ468:DE468,0)</f>
        <v>3</v>
      </c>
      <c r="DH468" s="17" t="n">
        <f aca="false">SQRT(($B468-DH$401)^2+($C468-DH$402)^2+($D468-DH$403)^2)</f>
        <v>5.43486645769861</v>
      </c>
      <c r="DI468" s="17" t="n">
        <f aca="false">SQRT(($B468-DI$401)^2+($C468-DI$402)^2+($D468-DI$403)^2)</f>
        <v>2.28584947621069</v>
      </c>
      <c r="DJ468" s="17" t="n">
        <f aca="false">SQRT(($B468-DJ$401)^2+($C468-DJ$402)^2+($D468-DJ$403)^2)</f>
        <v>0.929698860126329</v>
      </c>
      <c r="DK468" s="17" t="n">
        <f aca="false">SQRT(($B468-DK$401)^2+($C468-DK$402)^2+($D468-DK$403)^2)</f>
        <v>1.76994633423001</v>
      </c>
      <c r="DL468" s="17" t="n">
        <f aca="false">SQRT(($B468-DL$401)^2+($C468-DL$402)^2+($D468-DL$403)^2)</f>
        <v>3.18424915698614</v>
      </c>
      <c r="DM468" s="17" t="n">
        <f aca="false">SQRT(($B468-DM$401)^2+($C468-DM$402)^2+($D468-DM$403)^2)</f>
        <v>0.966507151934464</v>
      </c>
      <c r="DN468" s="63" t="n">
        <f aca="false">MATCH(MIN(DH468:DM468),DH468:DM468,0)</f>
        <v>3</v>
      </c>
    </row>
    <row r="469" customFormat="false" ht="15" hidden="false" customHeight="false" outlineLevel="0" collapsed="false">
      <c r="A469" s="36" t="str">
        <f aca="false">KMeans_Data!A66</f>
        <v>Thatta</v>
      </c>
      <c r="B469" s="17" t="n">
        <f aca="false">KMeans_Data!H66</f>
        <v>-0.0436472993942904</v>
      </c>
      <c r="C469" s="17" t="n">
        <f aca="false">KMeans_Data!I66</f>
        <v>0.160512589624996</v>
      </c>
      <c r="D469" s="17" t="n">
        <f aca="false">KMeans_Data!J66</f>
        <v>0.042930091906806</v>
      </c>
      <c r="E469" s="63" t="n">
        <f aca="false">DN469</f>
        <v>6</v>
      </c>
      <c r="F469" s="38" t="n">
        <f aca="false">($B469-INDEX($L$401:$Q$401,E469))^2+($C469-INDEX($L$402:$Q$402,E469))^2+($D469-INDEX($L$403:$Q$403,E469))^2</f>
        <v>0.332845541853177</v>
      </c>
      <c r="G469" s="17" t="n">
        <f aca="false">IF(COUNTIF(Distance_Matrix!$E$12:$DQ$12,$E469)&lt;=1,0,SUMIF(Distance_Matrix!$E$12:$DQ$12,$E469,Distance_Matrix!$E$75:$DQ$75)/(COUNTIF(Distance_Matrix!$E$12:$DQ$12,$E469)-1))</f>
        <v>0.836581753369589</v>
      </c>
      <c r="H469" s="17" t="n">
        <f aca="false">MIN(IF(1=$E469,1E+099,IF(COUNTIF(Distance_Matrix!$E$12:$DQ$12,1)=0,1E+099,SUMIF(Distance_Matrix!$E$12:$DQ$12,1,Distance_Matrix!$E$75:$DQ$75)/COUNTIF(Distance_Matrix!$E$12:$DQ$12,1))),IF(2=$E469,1E+099,IF(COUNTIF(Distance_Matrix!$E$12:$DQ$12,2)=0,1E+099,SUMIF(Distance_Matrix!$E$12:$DQ$12,2,Distance_Matrix!$E$75:$DQ$75)/COUNTIF(Distance_Matrix!$E$12:$DQ$12,2))),IF(3=$E469,1E+099,IF(COUNTIF(Distance_Matrix!$E$12:$DQ$12,3)=0,1E+099,SUMIF(Distance_Matrix!$E$12:$DQ$12,3,Distance_Matrix!$E$75:$DQ$75)/COUNTIF(Distance_Matrix!$E$12:$DQ$12,3))),IF(4=$E469,1E+099,IF(COUNTIF(Distance_Matrix!$E$12:$DQ$12,4)=0,1E+099,SUMIF(Distance_Matrix!$E$12:$DQ$12,4,Distance_Matrix!$E$75:$DQ$75)/COUNTIF(Distance_Matrix!$E$12:$DQ$12,4))),IF(5=$E469,1E+099,IF(COUNTIF(Distance_Matrix!$E$12:$DQ$12,5)=0,1E+099,SUMIF(Distance_Matrix!$E$12:$DQ$12,5,Distance_Matrix!$E$75:$DQ$75)/COUNTIF(Distance_Matrix!$E$12:$DQ$12,5))),IF(6=$E469,1E+099,IF(COUNTIF(Distance_Matrix!$E$12:$DQ$12,6)=0,1E+099,SUMIF(Distance_Matrix!$E$12:$DQ$12,6,Distance_Matrix!$E$75:$DQ$75)/COUNTIF(Distance_Matrix!$E$12:$DQ$12,6))))</f>
        <v>1.30787508748409</v>
      </c>
      <c r="I469" s="17" t="n">
        <f aca="false">IF(COUNTIF(Distance_Matrix!$E$12:$DQ$12,$E469)&lt;=1,0,(H469-G469)/MAX(G469,H469))</f>
        <v>0.360350417730726</v>
      </c>
      <c r="X469" s="17" t="n">
        <f aca="false">SQRT(($B469-X$401)^2+($C469-X$402)^2+($D469-X$403)^2)</f>
        <v>6.02934929788541</v>
      </c>
      <c r="Y469" s="17" t="n">
        <f aca="false">SQRT(($B469-Y$401)^2+($C469-Y$402)^2+($D469-Y$403)^2)</f>
        <v>2.50050689361822</v>
      </c>
      <c r="Z469" s="17" t="n">
        <f aca="false">SQRT(($B469-Z$401)^2+($C469-Z$402)^2+($D469-Z$403)^2)</f>
        <v>1.80383182415036</v>
      </c>
      <c r="AA469" s="17" t="n">
        <f aca="false">SQRT(($B469-AA$401)^2+($C469-AA$402)^2+($D469-AA$403)^2)</f>
        <v>1.40798608818062</v>
      </c>
      <c r="AB469" s="17" t="n">
        <f aca="false">SQRT(($B469-AB$401)^2+($C469-AB$402)^2+($D469-AB$403)^2)</f>
        <v>3.97214289695555</v>
      </c>
      <c r="AC469" s="17" t="n">
        <f aca="false">SQRT(($B469-AC$401)^2+($C469-AC$402)^2+($D469-AC$403)^2)</f>
        <v>0.936173813606912</v>
      </c>
      <c r="AD469" s="63" t="n">
        <f aca="false">MATCH(MIN(X469:AC469),X469:AC469,0)</f>
        <v>6</v>
      </c>
      <c r="AF469" s="17" t="n">
        <f aca="false">SQRT(($B469-AF$401)^2+($C469-AF$402)^2+($D469-AF$403)^2)</f>
        <v>5.9143337751892</v>
      </c>
      <c r="AG469" s="17" t="n">
        <f aca="false">SQRT(($B469-AG$401)^2+($C469-AG$402)^2+($D469-AG$403)^2)</f>
        <v>1.89307138692055</v>
      </c>
      <c r="AH469" s="17" t="n">
        <f aca="false">SQRT(($B469-AH$401)^2+($C469-AH$402)^2+($D469-AH$403)^2)</f>
        <v>1.39201844071824</v>
      </c>
      <c r="AI469" s="17" t="n">
        <f aca="false">SQRT(($B469-AI$401)^2+($C469-AI$402)^2+($D469-AI$403)^2)</f>
        <v>1.15305997151836</v>
      </c>
      <c r="AJ469" s="17" t="n">
        <f aca="false">SQRT(($B469-AJ$401)^2+($C469-AJ$402)^2+($D469-AJ$403)^2)</f>
        <v>3.64234771301703</v>
      </c>
      <c r="AK469" s="17" t="n">
        <f aca="false">SQRT(($B469-AK$401)^2+($C469-AK$402)^2+($D469-AK$403)^2)</f>
        <v>0.606528532657972</v>
      </c>
      <c r="AL469" s="63" t="n">
        <f aca="false">MATCH(MIN(AF469:AK469),AF469:AK469,0)</f>
        <v>6</v>
      </c>
      <c r="AN469" s="17" t="n">
        <f aca="false">SQRT(($B469-AN$401)^2+($C469-AN$402)^2+($D469-AN$403)^2)</f>
        <v>5.9143337751892</v>
      </c>
      <c r="AO469" s="17" t="n">
        <f aca="false">SQRT(($B469-AO$401)^2+($C469-AO$402)^2+($D469-AO$403)^2)</f>
        <v>1.85213886815637</v>
      </c>
      <c r="AP469" s="17" t="n">
        <f aca="false">SQRT(($B469-AP$401)^2+($C469-AP$402)^2+($D469-AP$403)^2)</f>
        <v>1.36105476128213</v>
      </c>
      <c r="AQ469" s="17" t="n">
        <f aca="false">SQRT(($B469-AQ$401)^2+($C469-AQ$402)^2+($D469-AQ$403)^2)</f>
        <v>1.1752826377411</v>
      </c>
      <c r="AR469" s="17" t="n">
        <f aca="false">SQRT(($B469-AR$401)^2+($C469-AR$402)^2+($D469-AR$403)^2)</f>
        <v>3.64234771301703</v>
      </c>
      <c r="AS469" s="17" t="n">
        <f aca="false">SQRT(($B469-AS$401)^2+($C469-AS$402)^2+($D469-AS$403)^2)</f>
        <v>0.593677383805644</v>
      </c>
      <c r="AT469" s="63" t="n">
        <f aca="false">MATCH(MIN(AN469:AS469),AN469:AS469,0)</f>
        <v>6</v>
      </c>
      <c r="AV469" s="17" t="n">
        <f aca="false">SQRT(($B469-AV$401)^2+($C469-AV$402)^2+($D469-AV$403)^2)</f>
        <v>5.9143337751892</v>
      </c>
      <c r="AW469" s="17" t="n">
        <f aca="false">SQRT(($B469-AW$401)^2+($C469-AW$402)^2+($D469-AW$403)^2)</f>
        <v>1.82433084084945</v>
      </c>
      <c r="AX469" s="17" t="n">
        <f aca="false">SQRT(($B469-AX$401)^2+($C469-AX$402)^2+($D469-AX$403)^2)</f>
        <v>1.36105476128213</v>
      </c>
      <c r="AY469" s="17" t="n">
        <f aca="false">SQRT(($B469-AY$401)^2+($C469-AY$402)^2+($D469-AY$403)^2)</f>
        <v>1.1752826377411</v>
      </c>
      <c r="AZ469" s="17" t="n">
        <f aca="false">SQRT(($B469-AZ$401)^2+($C469-AZ$402)^2+($D469-AZ$403)^2)</f>
        <v>3.64234771301703</v>
      </c>
      <c r="BA469" s="17" t="n">
        <f aca="false">SQRT(($B469-BA$401)^2+($C469-BA$402)^2+($D469-BA$403)^2)</f>
        <v>0.585570051065914</v>
      </c>
      <c r="BB469" s="63" t="n">
        <f aca="false">MATCH(MIN(AV469:BA469),AV469:BA469,0)</f>
        <v>6</v>
      </c>
      <c r="BD469" s="17" t="n">
        <f aca="false">SQRT(($B469-BD$401)^2+($C469-BD$402)^2+($D469-BD$403)^2)</f>
        <v>5.9143337751892</v>
      </c>
      <c r="BE469" s="17" t="n">
        <f aca="false">SQRT(($B469-BE$401)^2+($C469-BE$402)^2+($D469-BE$403)^2)</f>
        <v>1.797974415576</v>
      </c>
      <c r="BF469" s="17" t="n">
        <f aca="false">SQRT(($B469-BF$401)^2+($C469-BF$402)^2+($D469-BF$403)^2)</f>
        <v>1.36105476128213</v>
      </c>
      <c r="BG469" s="17" t="n">
        <f aca="false">SQRT(($B469-BG$401)^2+($C469-BG$402)^2+($D469-BG$403)^2)</f>
        <v>1.1752826377411</v>
      </c>
      <c r="BH469" s="17" t="n">
        <f aca="false">SQRT(($B469-BH$401)^2+($C469-BH$402)^2+($D469-BH$403)^2)</f>
        <v>3.64234771301703</v>
      </c>
      <c r="BI469" s="17" t="n">
        <f aca="false">SQRT(($B469-BI$401)^2+($C469-BI$402)^2+($D469-BI$403)^2)</f>
        <v>0.576927674715971</v>
      </c>
      <c r="BJ469" s="63" t="n">
        <f aca="false">MATCH(MIN(BD469:BI469),BD469:BI469,0)</f>
        <v>6</v>
      </c>
      <c r="BL469" s="17" t="n">
        <f aca="false">SQRT(($B469-BL$401)^2+($C469-BL$402)^2+($D469-BL$403)^2)</f>
        <v>5.9143337751892</v>
      </c>
      <c r="BM469" s="17" t="n">
        <f aca="false">SQRT(($B469-BM$401)^2+($C469-BM$402)^2+($D469-BM$403)^2)</f>
        <v>1.797974415576</v>
      </c>
      <c r="BN469" s="17" t="n">
        <f aca="false">SQRT(($B469-BN$401)^2+($C469-BN$402)^2+($D469-BN$403)^2)</f>
        <v>1.36105476128213</v>
      </c>
      <c r="BO469" s="17" t="n">
        <f aca="false">SQRT(($B469-BO$401)^2+($C469-BO$402)^2+($D469-BO$403)^2)</f>
        <v>1.1752826377411</v>
      </c>
      <c r="BP469" s="17" t="n">
        <f aca="false">SQRT(($B469-BP$401)^2+($C469-BP$402)^2+($D469-BP$403)^2)</f>
        <v>3.64234771301703</v>
      </c>
      <c r="BQ469" s="17" t="n">
        <f aca="false">SQRT(($B469-BQ$401)^2+($C469-BQ$402)^2+($D469-BQ$403)^2)</f>
        <v>0.576927674715971</v>
      </c>
      <c r="BR469" s="63" t="n">
        <f aca="false">MATCH(MIN(BL469:BQ469),BL469:BQ469,0)</f>
        <v>6</v>
      </c>
      <c r="BT469" s="17" t="n">
        <f aca="false">SQRT(($B469-BT$401)^2+($C469-BT$402)^2+($D469-BT$403)^2)</f>
        <v>5.9143337751892</v>
      </c>
      <c r="BU469" s="17" t="n">
        <f aca="false">SQRT(($B469-BU$401)^2+($C469-BU$402)^2+($D469-BU$403)^2)</f>
        <v>1.797974415576</v>
      </c>
      <c r="BV469" s="17" t="n">
        <f aca="false">SQRT(($B469-BV$401)^2+($C469-BV$402)^2+($D469-BV$403)^2)</f>
        <v>1.36105476128213</v>
      </c>
      <c r="BW469" s="17" t="n">
        <f aca="false">SQRT(($B469-BW$401)^2+($C469-BW$402)^2+($D469-BW$403)^2)</f>
        <v>1.1752826377411</v>
      </c>
      <c r="BX469" s="17" t="n">
        <f aca="false">SQRT(($B469-BX$401)^2+($C469-BX$402)^2+($D469-BX$403)^2)</f>
        <v>3.64234771301703</v>
      </c>
      <c r="BY469" s="17" t="n">
        <f aca="false">SQRT(($B469-BY$401)^2+($C469-BY$402)^2+($D469-BY$403)^2)</f>
        <v>0.576927674715971</v>
      </c>
      <c r="BZ469" s="63" t="n">
        <f aca="false">MATCH(MIN(BT469:BY469),BT469:BY469,0)</f>
        <v>6</v>
      </c>
      <c r="CB469" s="17" t="n">
        <f aca="false">SQRT(($B469-CB$401)^2+($C469-CB$402)^2+($D469-CB$403)^2)</f>
        <v>5.9143337751892</v>
      </c>
      <c r="CC469" s="17" t="n">
        <f aca="false">SQRT(($B469-CC$401)^2+($C469-CC$402)^2+($D469-CC$403)^2)</f>
        <v>1.797974415576</v>
      </c>
      <c r="CD469" s="17" t="n">
        <f aca="false">SQRT(($B469-CD$401)^2+($C469-CD$402)^2+($D469-CD$403)^2)</f>
        <v>1.36105476128213</v>
      </c>
      <c r="CE469" s="17" t="n">
        <f aca="false">SQRT(($B469-CE$401)^2+($C469-CE$402)^2+($D469-CE$403)^2)</f>
        <v>1.1752826377411</v>
      </c>
      <c r="CF469" s="17" t="n">
        <f aca="false">SQRT(($B469-CF$401)^2+($C469-CF$402)^2+($D469-CF$403)^2)</f>
        <v>3.64234771301703</v>
      </c>
      <c r="CG469" s="17" t="n">
        <f aca="false">SQRT(($B469-CG$401)^2+($C469-CG$402)^2+($D469-CG$403)^2)</f>
        <v>0.576927674715971</v>
      </c>
      <c r="CH469" s="63" t="n">
        <f aca="false">MATCH(MIN(CB469:CG469),CB469:CG469,0)</f>
        <v>6</v>
      </c>
      <c r="CJ469" s="17" t="n">
        <f aca="false">SQRT(($B469-CJ$401)^2+($C469-CJ$402)^2+($D469-CJ$403)^2)</f>
        <v>5.9143337751892</v>
      </c>
      <c r="CK469" s="17" t="n">
        <f aca="false">SQRT(($B469-CK$401)^2+($C469-CK$402)^2+($D469-CK$403)^2)</f>
        <v>1.797974415576</v>
      </c>
      <c r="CL469" s="17" t="n">
        <f aca="false">SQRT(($B469-CL$401)^2+($C469-CL$402)^2+($D469-CL$403)^2)</f>
        <v>1.36105476128213</v>
      </c>
      <c r="CM469" s="17" t="n">
        <f aca="false">SQRT(($B469-CM$401)^2+($C469-CM$402)^2+($D469-CM$403)^2)</f>
        <v>1.1752826377411</v>
      </c>
      <c r="CN469" s="17" t="n">
        <f aca="false">SQRT(($B469-CN$401)^2+($C469-CN$402)^2+($D469-CN$403)^2)</f>
        <v>3.64234771301703</v>
      </c>
      <c r="CO469" s="17" t="n">
        <f aca="false">SQRT(($B469-CO$401)^2+($C469-CO$402)^2+($D469-CO$403)^2)</f>
        <v>0.576927674715971</v>
      </c>
      <c r="CP469" s="63" t="n">
        <f aca="false">MATCH(MIN(CJ469:CO469),CJ469:CO469,0)</f>
        <v>6</v>
      </c>
      <c r="CR469" s="17" t="n">
        <f aca="false">SQRT(($B469-CR$401)^2+($C469-CR$402)^2+($D469-CR$403)^2)</f>
        <v>5.9143337751892</v>
      </c>
      <c r="CS469" s="17" t="n">
        <f aca="false">SQRT(($B469-CS$401)^2+($C469-CS$402)^2+($D469-CS$403)^2)</f>
        <v>1.797974415576</v>
      </c>
      <c r="CT469" s="17" t="n">
        <f aca="false">SQRT(($B469-CT$401)^2+($C469-CT$402)^2+($D469-CT$403)^2)</f>
        <v>1.36105476128213</v>
      </c>
      <c r="CU469" s="17" t="n">
        <f aca="false">SQRT(($B469-CU$401)^2+($C469-CU$402)^2+($D469-CU$403)^2)</f>
        <v>1.1752826377411</v>
      </c>
      <c r="CV469" s="17" t="n">
        <f aca="false">SQRT(($B469-CV$401)^2+($C469-CV$402)^2+($D469-CV$403)^2)</f>
        <v>3.64234771301703</v>
      </c>
      <c r="CW469" s="17" t="n">
        <f aca="false">SQRT(($B469-CW$401)^2+($C469-CW$402)^2+($D469-CW$403)^2)</f>
        <v>0.576927674715971</v>
      </c>
      <c r="CX469" s="63" t="n">
        <f aca="false">MATCH(MIN(CR469:CW469),CR469:CW469,0)</f>
        <v>6</v>
      </c>
      <c r="CZ469" s="17" t="n">
        <f aca="false">SQRT(($B469-CZ$401)^2+($C469-CZ$402)^2+($D469-CZ$403)^2)</f>
        <v>5.9143337751892</v>
      </c>
      <c r="DA469" s="17" t="n">
        <f aca="false">SQRT(($B469-DA$401)^2+($C469-DA$402)^2+($D469-DA$403)^2)</f>
        <v>1.797974415576</v>
      </c>
      <c r="DB469" s="17" t="n">
        <f aca="false">SQRT(($B469-DB$401)^2+($C469-DB$402)^2+($D469-DB$403)^2)</f>
        <v>1.36105476128213</v>
      </c>
      <c r="DC469" s="17" t="n">
        <f aca="false">SQRT(($B469-DC$401)^2+($C469-DC$402)^2+($D469-DC$403)^2)</f>
        <v>1.1752826377411</v>
      </c>
      <c r="DD469" s="17" t="n">
        <f aca="false">SQRT(($B469-DD$401)^2+($C469-DD$402)^2+($D469-DD$403)^2)</f>
        <v>3.64234771301703</v>
      </c>
      <c r="DE469" s="17" t="n">
        <f aca="false">SQRT(($B469-DE$401)^2+($C469-DE$402)^2+($D469-DE$403)^2)</f>
        <v>0.576927674715971</v>
      </c>
      <c r="DF469" s="63" t="n">
        <f aca="false">MATCH(MIN(CZ469:DE469),CZ469:DE469,0)</f>
        <v>6</v>
      </c>
      <c r="DH469" s="17" t="n">
        <f aca="false">SQRT(($B469-DH$401)^2+($C469-DH$402)^2+($D469-DH$403)^2)</f>
        <v>5.9143337751892</v>
      </c>
      <c r="DI469" s="17" t="n">
        <f aca="false">SQRT(($B469-DI$401)^2+($C469-DI$402)^2+($D469-DI$403)^2)</f>
        <v>1.797974415576</v>
      </c>
      <c r="DJ469" s="17" t="n">
        <f aca="false">SQRT(($B469-DJ$401)^2+($C469-DJ$402)^2+($D469-DJ$403)^2)</f>
        <v>1.36105476128213</v>
      </c>
      <c r="DK469" s="17" t="n">
        <f aca="false">SQRT(($B469-DK$401)^2+($C469-DK$402)^2+($D469-DK$403)^2)</f>
        <v>1.1752826377411</v>
      </c>
      <c r="DL469" s="17" t="n">
        <f aca="false">SQRT(($B469-DL$401)^2+($C469-DL$402)^2+($D469-DL$403)^2)</f>
        <v>3.64234771301703</v>
      </c>
      <c r="DM469" s="17" t="n">
        <f aca="false">SQRT(($B469-DM$401)^2+($C469-DM$402)^2+($D469-DM$403)^2)</f>
        <v>0.576927674715971</v>
      </c>
      <c r="DN469" s="63" t="n">
        <f aca="false">MATCH(MIN(DH469:DM469),DH469:DM469,0)</f>
        <v>6</v>
      </c>
    </row>
    <row r="470" customFormat="false" ht="15" hidden="false" customHeight="false" outlineLevel="0" collapsed="false">
      <c r="A470" s="36" t="str">
        <f aca="false">KMeans_Data!A67</f>
        <v>Hafizabad</v>
      </c>
      <c r="B470" s="17" t="n">
        <f aca="false">KMeans_Data!H67</f>
        <v>-0.0648939235999031</v>
      </c>
      <c r="C470" s="17" t="n">
        <f aca="false">KMeans_Data!I67</f>
        <v>-0.672650545388274</v>
      </c>
      <c r="D470" s="17" t="n">
        <f aca="false">KMeans_Data!J67</f>
        <v>-0.824446015898766</v>
      </c>
      <c r="E470" s="63" t="n">
        <f aca="false">DN470</f>
        <v>4</v>
      </c>
      <c r="F470" s="38" t="n">
        <f aca="false">($B470-INDEX($L$401:$Q$401,E470))^2+($C470-INDEX($L$402:$Q$402,E470))^2+($D470-INDEX($L$403:$Q$403,E470))^2</f>
        <v>0.0535756766275393</v>
      </c>
      <c r="G470" s="17" t="n">
        <f aca="false">IF(COUNTIF(Distance_Matrix!$E$12:$DQ$12,$E470)&lt;=1,0,SUMIF(Distance_Matrix!$E$12:$DQ$12,$E470,Distance_Matrix!$E$76:$DQ$76)/(COUNTIF(Distance_Matrix!$E$12:$DQ$12,$E470)-1))</f>
        <v>0.587016824459807</v>
      </c>
      <c r="H470" s="17" t="n">
        <f aca="false">MIN(IF(1=$E470,1E+099,IF(COUNTIF(Distance_Matrix!$E$12:$DQ$12,1)=0,1E+099,SUMIF(Distance_Matrix!$E$12:$DQ$12,1,Distance_Matrix!$E$76:$DQ$76)/COUNTIF(Distance_Matrix!$E$12:$DQ$12,1))),IF(2=$E470,1E+099,IF(COUNTIF(Distance_Matrix!$E$12:$DQ$12,2)=0,1E+099,SUMIF(Distance_Matrix!$E$12:$DQ$12,2,Distance_Matrix!$E$76:$DQ$76)/COUNTIF(Distance_Matrix!$E$12:$DQ$12,2))),IF(3=$E470,1E+099,IF(COUNTIF(Distance_Matrix!$E$12:$DQ$12,3)=0,1E+099,SUMIF(Distance_Matrix!$E$12:$DQ$12,3,Distance_Matrix!$E$76:$DQ$76)/COUNTIF(Distance_Matrix!$E$12:$DQ$12,3))),IF(4=$E470,1E+099,IF(COUNTIF(Distance_Matrix!$E$12:$DQ$12,4)=0,1E+099,SUMIF(Distance_Matrix!$E$12:$DQ$12,4,Distance_Matrix!$E$76:$DQ$76)/COUNTIF(Distance_Matrix!$E$12:$DQ$12,4))),IF(5=$E470,1E+099,IF(COUNTIF(Distance_Matrix!$E$12:$DQ$12,5)=0,1E+099,SUMIF(Distance_Matrix!$E$12:$DQ$12,5,Distance_Matrix!$E$76:$DQ$76)/COUNTIF(Distance_Matrix!$E$12:$DQ$12,5))),IF(6=$E470,1E+099,IF(COUNTIF(Distance_Matrix!$E$12:$DQ$12,6)=0,1E+099,SUMIF(Distance_Matrix!$E$12:$DQ$12,6,Distance_Matrix!$E$76:$DQ$76)/COUNTIF(Distance_Matrix!$E$12:$DQ$12,6))))</f>
        <v>1.22729452201812</v>
      </c>
      <c r="I470" s="17" t="n">
        <f aca="false">IF(COUNTIF(Distance_Matrix!$E$12:$DQ$12,$E470)&lt;=1,0,(H470-G470)/MAX(G470,H470))</f>
        <v>0.521698488888764</v>
      </c>
      <c r="X470" s="17" t="n">
        <f aca="false">SQRT(($B470-X$401)^2+($C470-X$402)^2+($D470-X$403)^2)</f>
        <v>7.06907020065435</v>
      </c>
      <c r="Y470" s="17" t="n">
        <f aca="false">SQRT(($B470-Y$401)^2+($C470-Y$402)^2+($D470-Y$403)^2)</f>
        <v>2.04028546987929</v>
      </c>
      <c r="Z470" s="17" t="n">
        <f aca="false">SQRT(($B470-Z$401)^2+($C470-Z$402)^2+($D470-Z$403)^2)</f>
        <v>2.75437055778799</v>
      </c>
      <c r="AA470" s="17" t="n">
        <f aca="false">SQRT(($B470-AA$401)^2+($C470-AA$402)^2+($D470-AA$403)^2)</f>
        <v>0.940425373676004</v>
      </c>
      <c r="AB470" s="17" t="n">
        <f aca="false">SQRT(($B470-AB$401)^2+($C470-AB$402)^2+($D470-AB$403)^2)</f>
        <v>4.99234421031922</v>
      </c>
      <c r="AC470" s="17" t="n">
        <f aca="false">SQRT(($B470-AC$401)^2+($C470-AC$402)^2+($D470-AC$403)^2)</f>
        <v>1.67292419180425</v>
      </c>
      <c r="AD470" s="63" t="n">
        <f aca="false">MATCH(MIN(X470:AC470),X470:AC470,0)</f>
        <v>4</v>
      </c>
      <c r="AF470" s="17" t="n">
        <f aca="false">SQRT(($B470-AF$401)^2+($C470-AF$402)^2+($D470-AF$403)^2)</f>
        <v>6.94258762982284</v>
      </c>
      <c r="AG470" s="17" t="n">
        <f aca="false">SQRT(($B470-AG$401)^2+($C470-AG$402)^2+($D470-AG$403)^2)</f>
        <v>1.28496537232522</v>
      </c>
      <c r="AH470" s="17" t="n">
        <f aca="false">SQRT(($B470-AH$401)^2+($C470-AH$402)^2+($D470-AH$403)^2)</f>
        <v>2.47316410827225</v>
      </c>
      <c r="AI470" s="17" t="n">
        <f aca="false">SQRT(($B470-AI$401)^2+($C470-AI$402)^2+($D470-AI$403)^2)</f>
        <v>0.250570775793742</v>
      </c>
      <c r="AJ470" s="17" t="n">
        <f aca="false">SQRT(($B470-AJ$401)^2+($C470-AJ$402)^2+($D470-AJ$403)^2)</f>
        <v>4.6683775524344</v>
      </c>
      <c r="AK470" s="17" t="n">
        <f aca="false">SQRT(($B470-AK$401)^2+($C470-AK$402)^2+($D470-AK$403)^2)</f>
        <v>1.05466210645424</v>
      </c>
      <c r="AL470" s="63" t="n">
        <f aca="false">MATCH(MIN(AF470:AK470),AF470:AK470,0)</f>
        <v>4</v>
      </c>
      <c r="AN470" s="17" t="n">
        <f aca="false">SQRT(($B470-AN$401)^2+($C470-AN$402)^2+($D470-AN$403)^2)</f>
        <v>6.94258762982284</v>
      </c>
      <c r="AO470" s="17" t="n">
        <f aca="false">SQRT(($B470-AO$401)^2+($C470-AO$402)^2+($D470-AO$403)^2)</f>
        <v>1.23864147479829</v>
      </c>
      <c r="AP470" s="17" t="n">
        <f aca="false">SQRT(($B470-AP$401)^2+($C470-AP$402)^2+($D470-AP$403)^2)</f>
        <v>2.44679816560362</v>
      </c>
      <c r="AQ470" s="17" t="n">
        <f aca="false">SQRT(($B470-AQ$401)^2+($C470-AQ$402)^2+($D470-AQ$403)^2)</f>
        <v>0.231464201611263</v>
      </c>
      <c r="AR470" s="17" t="n">
        <f aca="false">SQRT(($B470-AR$401)^2+($C470-AR$402)^2+($D470-AR$403)^2)</f>
        <v>4.6683775524344</v>
      </c>
      <c r="AS470" s="17" t="n">
        <f aca="false">SQRT(($B470-AS$401)^2+($C470-AS$402)^2+($D470-AS$403)^2)</f>
        <v>1.07079347141312</v>
      </c>
      <c r="AT470" s="63" t="n">
        <f aca="false">MATCH(MIN(AN470:AS470),AN470:AS470,0)</f>
        <v>4</v>
      </c>
      <c r="AV470" s="17" t="n">
        <f aca="false">SQRT(($B470-AV$401)^2+($C470-AV$402)^2+($D470-AV$403)^2)</f>
        <v>6.94258762982284</v>
      </c>
      <c r="AW470" s="17" t="n">
        <f aca="false">SQRT(($B470-AW$401)^2+($C470-AW$402)^2+($D470-AW$403)^2)</f>
        <v>1.21508277720256</v>
      </c>
      <c r="AX470" s="17" t="n">
        <f aca="false">SQRT(($B470-AX$401)^2+($C470-AX$402)^2+($D470-AX$403)^2)</f>
        <v>2.44679816560362</v>
      </c>
      <c r="AY470" s="17" t="n">
        <f aca="false">SQRT(($B470-AY$401)^2+($C470-AY$402)^2+($D470-AY$403)^2)</f>
        <v>0.231464201611263</v>
      </c>
      <c r="AZ470" s="17" t="n">
        <f aca="false">SQRT(($B470-AZ$401)^2+($C470-AZ$402)^2+($D470-AZ$403)^2)</f>
        <v>4.6683775524344</v>
      </c>
      <c r="BA470" s="17" t="n">
        <f aca="false">SQRT(($B470-BA$401)^2+($C470-BA$402)^2+($D470-BA$403)^2)</f>
        <v>1.08791487602811</v>
      </c>
      <c r="BB470" s="63" t="n">
        <f aca="false">MATCH(MIN(AV470:BA470),AV470:BA470,0)</f>
        <v>4</v>
      </c>
      <c r="BD470" s="17" t="n">
        <f aca="false">SQRT(($B470-BD$401)^2+($C470-BD$402)^2+($D470-BD$403)^2)</f>
        <v>6.94258762982284</v>
      </c>
      <c r="BE470" s="17" t="n">
        <f aca="false">SQRT(($B470-BE$401)^2+($C470-BE$402)^2+($D470-BE$403)^2)</f>
        <v>1.19475935019588</v>
      </c>
      <c r="BF470" s="17" t="n">
        <f aca="false">SQRT(($B470-BF$401)^2+($C470-BF$402)^2+($D470-BF$403)^2)</f>
        <v>2.44679816560362</v>
      </c>
      <c r="BG470" s="17" t="n">
        <f aca="false">SQRT(($B470-BG$401)^2+($C470-BG$402)^2+($D470-BG$403)^2)</f>
        <v>0.231464201611263</v>
      </c>
      <c r="BH470" s="17" t="n">
        <f aca="false">SQRT(($B470-BH$401)^2+($C470-BH$402)^2+($D470-BH$403)^2)</f>
        <v>4.6683775524344</v>
      </c>
      <c r="BI470" s="17" t="n">
        <f aca="false">SQRT(($B470-BI$401)^2+($C470-BI$402)^2+($D470-BI$403)^2)</f>
        <v>1.103820775577</v>
      </c>
      <c r="BJ470" s="63" t="n">
        <f aca="false">MATCH(MIN(BD470:BI470),BD470:BI470,0)</f>
        <v>4</v>
      </c>
      <c r="BL470" s="17" t="n">
        <f aca="false">SQRT(($B470-BL$401)^2+($C470-BL$402)^2+($D470-BL$403)^2)</f>
        <v>6.94258762982284</v>
      </c>
      <c r="BM470" s="17" t="n">
        <f aca="false">SQRT(($B470-BM$401)^2+($C470-BM$402)^2+($D470-BM$403)^2)</f>
        <v>1.19475935019588</v>
      </c>
      <c r="BN470" s="17" t="n">
        <f aca="false">SQRT(($B470-BN$401)^2+($C470-BN$402)^2+($D470-BN$403)^2)</f>
        <v>2.44679816560362</v>
      </c>
      <c r="BO470" s="17" t="n">
        <f aca="false">SQRT(($B470-BO$401)^2+($C470-BO$402)^2+($D470-BO$403)^2)</f>
        <v>0.231464201611263</v>
      </c>
      <c r="BP470" s="17" t="n">
        <f aca="false">SQRT(($B470-BP$401)^2+($C470-BP$402)^2+($D470-BP$403)^2)</f>
        <v>4.6683775524344</v>
      </c>
      <c r="BQ470" s="17" t="n">
        <f aca="false">SQRT(($B470-BQ$401)^2+($C470-BQ$402)^2+($D470-BQ$403)^2)</f>
        <v>1.103820775577</v>
      </c>
      <c r="BR470" s="63" t="n">
        <f aca="false">MATCH(MIN(BL470:BQ470),BL470:BQ470,0)</f>
        <v>4</v>
      </c>
      <c r="BT470" s="17" t="n">
        <f aca="false">SQRT(($B470-BT$401)^2+($C470-BT$402)^2+($D470-BT$403)^2)</f>
        <v>6.94258762982284</v>
      </c>
      <c r="BU470" s="17" t="n">
        <f aca="false">SQRT(($B470-BU$401)^2+($C470-BU$402)^2+($D470-BU$403)^2)</f>
        <v>1.19475935019588</v>
      </c>
      <c r="BV470" s="17" t="n">
        <f aca="false">SQRT(($B470-BV$401)^2+($C470-BV$402)^2+($D470-BV$403)^2)</f>
        <v>2.44679816560362</v>
      </c>
      <c r="BW470" s="17" t="n">
        <f aca="false">SQRT(($B470-BW$401)^2+($C470-BW$402)^2+($D470-BW$403)^2)</f>
        <v>0.231464201611263</v>
      </c>
      <c r="BX470" s="17" t="n">
        <f aca="false">SQRT(($B470-BX$401)^2+($C470-BX$402)^2+($D470-BX$403)^2)</f>
        <v>4.6683775524344</v>
      </c>
      <c r="BY470" s="17" t="n">
        <f aca="false">SQRT(($B470-BY$401)^2+($C470-BY$402)^2+($D470-BY$403)^2)</f>
        <v>1.103820775577</v>
      </c>
      <c r="BZ470" s="63" t="n">
        <f aca="false">MATCH(MIN(BT470:BY470),BT470:BY470,0)</f>
        <v>4</v>
      </c>
      <c r="CB470" s="17" t="n">
        <f aca="false">SQRT(($B470-CB$401)^2+($C470-CB$402)^2+($D470-CB$403)^2)</f>
        <v>6.94258762982284</v>
      </c>
      <c r="CC470" s="17" t="n">
        <f aca="false">SQRT(($B470-CC$401)^2+($C470-CC$402)^2+($D470-CC$403)^2)</f>
        <v>1.19475935019588</v>
      </c>
      <c r="CD470" s="17" t="n">
        <f aca="false">SQRT(($B470-CD$401)^2+($C470-CD$402)^2+($D470-CD$403)^2)</f>
        <v>2.44679816560362</v>
      </c>
      <c r="CE470" s="17" t="n">
        <f aca="false">SQRT(($B470-CE$401)^2+($C470-CE$402)^2+($D470-CE$403)^2)</f>
        <v>0.231464201611263</v>
      </c>
      <c r="CF470" s="17" t="n">
        <f aca="false">SQRT(($B470-CF$401)^2+($C470-CF$402)^2+($D470-CF$403)^2)</f>
        <v>4.6683775524344</v>
      </c>
      <c r="CG470" s="17" t="n">
        <f aca="false">SQRT(($B470-CG$401)^2+($C470-CG$402)^2+($D470-CG$403)^2)</f>
        <v>1.103820775577</v>
      </c>
      <c r="CH470" s="63" t="n">
        <f aca="false">MATCH(MIN(CB470:CG470),CB470:CG470,0)</f>
        <v>4</v>
      </c>
      <c r="CJ470" s="17" t="n">
        <f aca="false">SQRT(($B470-CJ$401)^2+($C470-CJ$402)^2+($D470-CJ$403)^2)</f>
        <v>6.94258762982284</v>
      </c>
      <c r="CK470" s="17" t="n">
        <f aca="false">SQRT(($B470-CK$401)^2+($C470-CK$402)^2+($D470-CK$403)^2)</f>
        <v>1.19475935019588</v>
      </c>
      <c r="CL470" s="17" t="n">
        <f aca="false">SQRT(($B470-CL$401)^2+($C470-CL$402)^2+($D470-CL$403)^2)</f>
        <v>2.44679816560362</v>
      </c>
      <c r="CM470" s="17" t="n">
        <f aca="false">SQRT(($B470-CM$401)^2+($C470-CM$402)^2+($D470-CM$403)^2)</f>
        <v>0.231464201611263</v>
      </c>
      <c r="CN470" s="17" t="n">
        <f aca="false">SQRT(($B470-CN$401)^2+($C470-CN$402)^2+($D470-CN$403)^2)</f>
        <v>4.6683775524344</v>
      </c>
      <c r="CO470" s="17" t="n">
        <f aca="false">SQRT(($B470-CO$401)^2+($C470-CO$402)^2+($D470-CO$403)^2)</f>
        <v>1.103820775577</v>
      </c>
      <c r="CP470" s="63" t="n">
        <f aca="false">MATCH(MIN(CJ470:CO470),CJ470:CO470,0)</f>
        <v>4</v>
      </c>
      <c r="CR470" s="17" t="n">
        <f aca="false">SQRT(($B470-CR$401)^2+($C470-CR$402)^2+($D470-CR$403)^2)</f>
        <v>6.94258762982284</v>
      </c>
      <c r="CS470" s="17" t="n">
        <f aca="false">SQRT(($B470-CS$401)^2+($C470-CS$402)^2+($D470-CS$403)^2)</f>
        <v>1.19475935019588</v>
      </c>
      <c r="CT470" s="17" t="n">
        <f aca="false">SQRT(($B470-CT$401)^2+($C470-CT$402)^2+($D470-CT$403)^2)</f>
        <v>2.44679816560362</v>
      </c>
      <c r="CU470" s="17" t="n">
        <f aca="false">SQRT(($B470-CU$401)^2+($C470-CU$402)^2+($D470-CU$403)^2)</f>
        <v>0.231464201611263</v>
      </c>
      <c r="CV470" s="17" t="n">
        <f aca="false">SQRT(($B470-CV$401)^2+($C470-CV$402)^2+($D470-CV$403)^2)</f>
        <v>4.6683775524344</v>
      </c>
      <c r="CW470" s="17" t="n">
        <f aca="false">SQRT(($B470-CW$401)^2+($C470-CW$402)^2+($D470-CW$403)^2)</f>
        <v>1.103820775577</v>
      </c>
      <c r="CX470" s="63" t="n">
        <f aca="false">MATCH(MIN(CR470:CW470),CR470:CW470,0)</f>
        <v>4</v>
      </c>
      <c r="CZ470" s="17" t="n">
        <f aca="false">SQRT(($B470-CZ$401)^2+($C470-CZ$402)^2+($D470-CZ$403)^2)</f>
        <v>6.94258762982284</v>
      </c>
      <c r="DA470" s="17" t="n">
        <f aca="false">SQRT(($B470-DA$401)^2+($C470-DA$402)^2+($D470-DA$403)^2)</f>
        <v>1.19475935019588</v>
      </c>
      <c r="DB470" s="17" t="n">
        <f aca="false">SQRT(($B470-DB$401)^2+($C470-DB$402)^2+($D470-DB$403)^2)</f>
        <v>2.44679816560362</v>
      </c>
      <c r="DC470" s="17" t="n">
        <f aca="false">SQRT(($B470-DC$401)^2+($C470-DC$402)^2+($D470-DC$403)^2)</f>
        <v>0.231464201611263</v>
      </c>
      <c r="DD470" s="17" t="n">
        <f aca="false">SQRT(($B470-DD$401)^2+($C470-DD$402)^2+($D470-DD$403)^2)</f>
        <v>4.6683775524344</v>
      </c>
      <c r="DE470" s="17" t="n">
        <f aca="false">SQRT(($B470-DE$401)^2+($C470-DE$402)^2+($D470-DE$403)^2)</f>
        <v>1.103820775577</v>
      </c>
      <c r="DF470" s="63" t="n">
        <f aca="false">MATCH(MIN(CZ470:DE470),CZ470:DE470,0)</f>
        <v>4</v>
      </c>
      <c r="DH470" s="17" t="n">
        <f aca="false">SQRT(($B470-DH$401)^2+($C470-DH$402)^2+($D470-DH$403)^2)</f>
        <v>6.94258762982284</v>
      </c>
      <c r="DI470" s="17" t="n">
        <f aca="false">SQRT(($B470-DI$401)^2+($C470-DI$402)^2+($D470-DI$403)^2)</f>
        <v>1.19475935019588</v>
      </c>
      <c r="DJ470" s="17" t="n">
        <f aca="false">SQRT(($B470-DJ$401)^2+($C470-DJ$402)^2+($D470-DJ$403)^2)</f>
        <v>2.44679816560362</v>
      </c>
      <c r="DK470" s="17" t="n">
        <f aca="false">SQRT(($B470-DK$401)^2+($C470-DK$402)^2+($D470-DK$403)^2)</f>
        <v>0.231464201611263</v>
      </c>
      <c r="DL470" s="17" t="n">
        <f aca="false">SQRT(($B470-DL$401)^2+($C470-DL$402)^2+($D470-DL$403)^2)</f>
        <v>4.6683775524344</v>
      </c>
      <c r="DM470" s="17" t="n">
        <f aca="false">SQRT(($B470-DM$401)^2+($C470-DM$402)^2+($D470-DM$403)^2)</f>
        <v>1.103820775577</v>
      </c>
      <c r="DN470" s="63" t="n">
        <f aca="false">MATCH(MIN(DH470:DM470),DH470:DM470,0)</f>
        <v>4</v>
      </c>
    </row>
    <row r="471" customFormat="false" ht="15" hidden="false" customHeight="false" outlineLevel="0" collapsed="false">
      <c r="A471" s="36" t="str">
        <f aca="false">KMeans_Data!A68</f>
        <v>Mirpurkhas</v>
      </c>
      <c r="B471" s="17" t="n">
        <f aca="false">KMeans_Data!H68</f>
        <v>-0.0984842888309702</v>
      </c>
      <c r="C471" s="17" t="n">
        <f aca="false">KMeans_Data!I68</f>
        <v>0.160512589624996</v>
      </c>
      <c r="D471" s="17" t="n">
        <f aca="false">KMeans_Data!J68</f>
        <v>0.265159896369606</v>
      </c>
      <c r="E471" s="63" t="n">
        <f aca="false">DN471</f>
        <v>6</v>
      </c>
      <c r="F471" s="38" t="n">
        <f aca="false">($B471-INDEX($L$401:$Q$401,E471))^2+($C471-INDEX($L$402:$Q$402,E471))^2+($D471-INDEX($L$403:$Q$403,E471))^2</f>
        <v>0.286767424187263</v>
      </c>
      <c r="G471" s="17" t="n">
        <f aca="false">IF(COUNTIF(Distance_Matrix!$E$12:$DQ$12,$E471)&lt;=1,0,SUMIF(Distance_Matrix!$E$12:$DQ$12,$E471,Distance_Matrix!$E$77:$DQ$77)/(COUNTIF(Distance_Matrix!$E$12:$DQ$12,$E471)-1))</f>
        <v>0.80621040094371</v>
      </c>
      <c r="H471" s="17" t="n">
        <f aca="false">MIN(IF(1=$E471,1E+099,IF(COUNTIF(Distance_Matrix!$E$12:$DQ$12,1)=0,1E+099,SUMIF(Distance_Matrix!$E$12:$DQ$12,1,Distance_Matrix!$E$77:$DQ$77)/COUNTIF(Distance_Matrix!$E$12:$DQ$12,1))),IF(2=$E471,1E+099,IF(COUNTIF(Distance_Matrix!$E$12:$DQ$12,2)=0,1E+099,SUMIF(Distance_Matrix!$E$12:$DQ$12,2,Distance_Matrix!$E$77:$DQ$77)/COUNTIF(Distance_Matrix!$E$12:$DQ$12,2))),IF(3=$E471,1E+099,IF(COUNTIF(Distance_Matrix!$E$12:$DQ$12,3)=0,1E+099,SUMIF(Distance_Matrix!$E$12:$DQ$12,3,Distance_Matrix!$E$77:$DQ$77)/COUNTIF(Distance_Matrix!$E$12:$DQ$12,3))),IF(4=$E471,1E+099,IF(COUNTIF(Distance_Matrix!$E$12:$DQ$12,4)=0,1E+099,SUMIF(Distance_Matrix!$E$12:$DQ$12,4,Distance_Matrix!$E$77:$DQ$77)/COUNTIF(Distance_Matrix!$E$12:$DQ$12,4))),IF(5=$E471,1E+099,IF(COUNTIF(Distance_Matrix!$E$12:$DQ$12,5)=0,1E+099,SUMIF(Distance_Matrix!$E$12:$DQ$12,5,Distance_Matrix!$E$77:$DQ$77)/COUNTIF(Distance_Matrix!$E$12:$DQ$12,5))),IF(6=$E471,1E+099,IF(COUNTIF(Distance_Matrix!$E$12:$DQ$12,6)=0,1E+099,SUMIF(Distance_Matrix!$E$12:$DQ$12,6,Distance_Matrix!$E$77:$DQ$77)/COUNTIF(Distance_Matrix!$E$12:$DQ$12,6))))</f>
        <v>1.36305676960494</v>
      </c>
      <c r="I471" s="17" t="n">
        <f aca="false">IF(COUNTIF(Distance_Matrix!$E$12:$DQ$12,$E471)&lt;=1,0,(H471-G471)/MAX(G471,H471))</f>
        <v>0.408527642485958</v>
      </c>
      <c r="X471" s="17" t="n">
        <f aca="false">SQRT(($B471-X$401)^2+($C471-X$402)^2+($D471-X$403)^2)</f>
        <v>5.94497441444557</v>
      </c>
      <c r="Y471" s="17" t="n">
        <f aca="false">SQRT(($B471-Y$401)^2+($C471-Y$402)^2+($D471-Y$403)^2)</f>
        <v>2.57097159994448</v>
      </c>
      <c r="Z471" s="17" t="n">
        <f aca="false">SQRT(($B471-Z$401)^2+($C471-Z$402)^2+($D471-Z$403)^2)</f>
        <v>1.67042015284584</v>
      </c>
      <c r="AA471" s="17" t="n">
        <f aca="false">SQRT(($B471-AA$401)^2+($C471-AA$402)^2+($D471-AA$403)^2)</f>
        <v>1.62440504187555</v>
      </c>
      <c r="AB471" s="17" t="n">
        <f aca="false">SQRT(($B471-AB$401)^2+($C471-AB$402)^2+($D471-AB$403)^2)</f>
        <v>3.88060451935273</v>
      </c>
      <c r="AC471" s="17" t="n">
        <f aca="false">SQRT(($B471-AC$401)^2+($C471-AC$402)^2+($D471-AC$403)^2)</f>
        <v>0.771934564983849</v>
      </c>
      <c r="AD471" s="63" t="n">
        <f aca="false">MATCH(MIN(X471:AC471),X471:AC471,0)</f>
        <v>6</v>
      </c>
      <c r="AF471" s="17" t="n">
        <f aca="false">SQRT(($B471-AF$401)^2+($C471-AF$402)^2+($D471-AF$403)^2)</f>
        <v>5.83907929421549</v>
      </c>
      <c r="AG471" s="17" t="n">
        <f aca="false">SQRT(($B471-AG$401)^2+($C471-AG$402)^2+($D471-AG$403)^2)</f>
        <v>2.00051802100112</v>
      </c>
      <c r="AH471" s="17" t="n">
        <f aca="false">SQRT(($B471-AH$401)^2+($C471-AH$402)^2+($D471-AH$403)^2)</f>
        <v>1.2954904011156</v>
      </c>
      <c r="AI471" s="17" t="n">
        <f aca="false">SQRT(($B471-AI$401)^2+($C471-AI$402)^2+($D471-AI$403)^2)</f>
        <v>1.3423165523613</v>
      </c>
      <c r="AJ471" s="17" t="n">
        <f aca="false">SQRT(($B471-AJ$401)^2+($C471-AJ$402)^2+($D471-AJ$403)^2)</f>
        <v>3.57461303560739</v>
      </c>
      <c r="AK471" s="17" t="n">
        <f aca="false">SQRT(($B471-AK$401)^2+($C471-AK$402)^2+($D471-AK$403)^2)</f>
        <v>0.582086235200503</v>
      </c>
      <c r="AL471" s="63" t="n">
        <f aca="false">MATCH(MIN(AF471:AK471),AF471:AK471,0)</f>
        <v>6</v>
      </c>
      <c r="AN471" s="17" t="n">
        <f aca="false">SQRT(($B471-AN$401)^2+($C471-AN$402)^2+($D471-AN$403)^2)</f>
        <v>5.83907929421549</v>
      </c>
      <c r="AO471" s="17" t="n">
        <f aca="false">SQRT(($B471-AO$401)^2+($C471-AO$402)^2+($D471-AO$403)^2)</f>
        <v>1.96056592566457</v>
      </c>
      <c r="AP471" s="17" t="n">
        <f aca="false">SQRT(($B471-AP$401)^2+($C471-AP$402)^2+($D471-AP$403)^2)</f>
        <v>1.26364845938763</v>
      </c>
      <c r="AQ471" s="17" t="n">
        <f aca="false">SQRT(($B471-AQ$401)^2+($C471-AQ$402)^2+($D471-AQ$403)^2)</f>
        <v>1.36218003890681</v>
      </c>
      <c r="AR471" s="17" t="n">
        <f aca="false">SQRT(($B471-AR$401)^2+($C471-AR$402)^2+($D471-AR$403)^2)</f>
        <v>3.57461303560739</v>
      </c>
      <c r="AS471" s="17" t="n">
        <f aca="false">SQRT(($B471-AS$401)^2+($C471-AS$402)^2+($D471-AS$403)^2)</f>
        <v>0.56364965340038</v>
      </c>
      <c r="AT471" s="63" t="n">
        <f aca="false">MATCH(MIN(AN471:AS471),AN471:AS471,0)</f>
        <v>6</v>
      </c>
      <c r="AV471" s="17" t="n">
        <f aca="false">SQRT(($B471-AV$401)^2+($C471-AV$402)^2+($D471-AV$403)^2)</f>
        <v>5.83907929421549</v>
      </c>
      <c r="AW471" s="17" t="n">
        <f aca="false">SQRT(($B471-AW$401)^2+($C471-AW$402)^2+($D471-AW$403)^2)</f>
        <v>1.93187328110914</v>
      </c>
      <c r="AX471" s="17" t="n">
        <f aca="false">SQRT(($B471-AX$401)^2+($C471-AX$402)^2+($D471-AX$403)^2)</f>
        <v>1.26364845938763</v>
      </c>
      <c r="AY471" s="17" t="n">
        <f aca="false">SQRT(($B471-AY$401)^2+($C471-AY$402)^2+($D471-AY$403)^2)</f>
        <v>1.36218003890681</v>
      </c>
      <c r="AZ471" s="17" t="n">
        <f aca="false">SQRT(($B471-AZ$401)^2+($C471-AZ$402)^2+($D471-AZ$403)^2)</f>
        <v>3.57461303560739</v>
      </c>
      <c r="BA471" s="17" t="n">
        <f aca="false">SQRT(($B471-BA$401)^2+($C471-BA$402)^2+($D471-BA$403)^2)</f>
        <v>0.549549523693418</v>
      </c>
      <c r="BB471" s="63" t="n">
        <f aca="false">MATCH(MIN(AV471:BA471),AV471:BA471,0)</f>
        <v>6</v>
      </c>
      <c r="BD471" s="17" t="n">
        <f aca="false">SQRT(($B471-BD$401)^2+($C471-BD$402)^2+($D471-BD$403)^2)</f>
        <v>5.83907929421549</v>
      </c>
      <c r="BE471" s="17" t="n">
        <f aca="false">SQRT(($B471-BE$401)^2+($C471-BE$402)^2+($D471-BE$403)^2)</f>
        <v>1.90429502892072</v>
      </c>
      <c r="BF471" s="17" t="n">
        <f aca="false">SQRT(($B471-BF$401)^2+($C471-BF$402)^2+($D471-BF$403)^2)</f>
        <v>1.26364845938763</v>
      </c>
      <c r="BG471" s="17" t="n">
        <f aca="false">SQRT(($B471-BG$401)^2+($C471-BG$402)^2+($D471-BG$403)^2)</f>
        <v>1.36218003890681</v>
      </c>
      <c r="BH471" s="17" t="n">
        <f aca="false">SQRT(($B471-BH$401)^2+($C471-BH$402)^2+($D471-BH$403)^2)</f>
        <v>3.57461303560739</v>
      </c>
      <c r="BI471" s="17" t="n">
        <f aca="false">SQRT(($B471-BI$401)^2+($C471-BI$402)^2+($D471-BI$403)^2)</f>
        <v>0.535506698545651</v>
      </c>
      <c r="BJ471" s="63" t="n">
        <f aca="false">MATCH(MIN(BD471:BI471),BD471:BI471,0)</f>
        <v>6</v>
      </c>
      <c r="BL471" s="17" t="n">
        <f aca="false">SQRT(($B471-BL$401)^2+($C471-BL$402)^2+($D471-BL$403)^2)</f>
        <v>5.83907929421549</v>
      </c>
      <c r="BM471" s="17" t="n">
        <f aca="false">SQRT(($B471-BM$401)^2+($C471-BM$402)^2+($D471-BM$403)^2)</f>
        <v>1.90429502892072</v>
      </c>
      <c r="BN471" s="17" t="n">
        <f aca="false">SQRT(($B471-BN$401)^2+($C471-BN$402)^2+($D471-BN$403)^2)</f>
        <v>1.26364845938763</v>
      </c>
      <c r="BO471" s="17" t="n">
        <f aca="false">SQRT(($B471-BO$401)^2+($C471-BO$402)^2+($D471-BO$403)^2)</f>
        <v>1.36218003890681</v>
      </c>
      <c r="BP471" s="17" t="n">
        <f aca="false">SQRT(($B471-BP$401)^2+($C471-BP$402)^2+($D471-BP$403)^2)</f>
        <v>3.57461303560739</v>
      </c>
      <c r="BQ471" s="17" t="n">
        <f aca="false">SQRT(($B471-BQ$401)^2+($C471-BQ$402)^2+($D471-BQ$403)^2)</f>
        <v>0.535506698545651</v>
      </c>
      <c r="BR471" s="63" t="n">
        <f aca="false">MATCH(MIN(BL471:BQ471),BL471:BQ471,0)</f>
        <v>6</v>
      </c>
      <c r="BT471" s="17" t="n">
        <f aca="false">SQRT(($B471-BT$401)^2+($C471-BT$402)^2+($D471-BT$403)^2)</f>
        <v>5.83907929421549</v>
      </c>
      <c r="BU471" s="17" t="n">
        <f aca="false">SQRT(($B471-BU$401)^2+($C471-BU$402)^2+($D471-BU$403)^2)</f>
        <v>1.90429502892072</v>
      </c>
      <c r="BV471" s="17" t="n">
        <f aca="false">SQRT(($B471-BV$401)^2+($C471-BV$402)^2+($D471-BV$403)^2)</f>
        <v>1.26364845938763</v>
      </c>
      <c r="BW471" s="17" t="n">
        <f aca="false">SQRT(($B471-BW$401)^2+($C471-BW$402)^2+($D471-BW$403)^2)</f>
        <v>1.36218003890681</v>
      </c>
      <c r="BX471" s="17" t="n">
        <f aca="false">SQRT(($B471-BX$401)^2+($C471-BX$402)^2+($D471-BX$403)^2)</f>
        <v>3.57461303560739</v>
      </c>
      <c r="BY471" s="17" t="n">
        <f aca="false">SQRT(($B471-BY$401)^2+($C471-BY$402)^2+($D471-BY$403)^2)</f>
        <v>0.535506698545651</v>
      </c>
      <c r="BZ471" s="63" t="n">
        <f aca="false">MATCH(MIN(BT471:BY471),BT471:BY471,0)</f>
        <v>6</v>
      </c>
      <c r="CB471" s="17" t="n">
        <f aca="false">SQRT(($B471-CB$401)^2+($C471-CB$402)^2+($D471-CB$403)^2)</f>
        <v>5.83907929421549</v>
      </c>
      <c r="CC471" s="17" t="n">
        <f aca="false">SQRT(($B471-CC$401)^2+($C471-CC$402)^2+($D471-CC$403)^2)</f>
        <v>1.90429502892072</v>
      </c>
      <c r="CD471" s="17" t="n">
        <f aca="false">SQRT(($B471-CD$401)^2+($C471-CD$402)^2+($D471-CD$403)^2)</f>
        <v>1.26364845938763</v>
      </c>
      <c r="CE471" s="17" t="n">
        <f aca="false">SQRT(($B471-CE$401)^2+($C471-CE$402)^2+($D471-CE$403)^2)</f>
        <v>1.36218003890681</v>
      </c>
      <c r="CF471" s="17" t="n">
        <f aca="false">SQRT(($B471-CF$401)^2+($C471-CF$402)^2+($D471-CF$403)^2)</f>
        <v>3.57461303560739</v>
      </c>
      <c r="CG471" s="17" t="n">
        <f aca="false">SQRT(($B471-CG$401)^2+($C471-CG$402)^2+($D471-CG$403)^2)</f>
        <v>0.535506698545651</v>
      </c>
      <c r="CH471" s="63" t="n">
        <f aca="false">MATCH(MIN(CB471:CG471),CB471:CG471,0)</f>
        <v>6</v>
      </c>
      <c r="CJ471" s="17" t="n">
        <f aca="false">SQRT(($B471-CJ$401)^2+($C471-CJ$402)^2+($D471-CJ$403)^2)</f>
        <v>5.83907929421549</v>
      </c>
      <c r="CK471" s="17" t="n">
        <f aca="false">SQRT(($B471-CK$401)^2+($C471-CK$402)^2+($D471-CK$403)^2)</f>
        <v>1.90429502892072</v>
      </c>
      <c r="CL471" s="17" t="n">
        <f aca="false">SQRT(($B471-CL$401)^2+($C471-CL$402)^2+($D471-CL$403)^2)</f>
        <v>1.26364845938763</v>
      </c>
      <c r="CM471" s="17" t="n">
        <f aca="false">SQRT(($B471-CM$401)^2+($C471-CM$402)^2+($D471-CM$403)^2)</f>
        <v>1.36218003890681</v>
      </c>
      <c r="CN471" s="17" t="n">
        <f aca="false">SQRT(($B471-CN$401)^2+($C471-CN$402)^2+($D471-CN$403)^2)</f>
        <v>3.57461303560739</v>
      </c>
      <c r="CO471" s="17" t="n">
        <f aca="false">SQRT(($B471-CO$401)^2+($C471-CO$402)^2+($D471-CO$403)^2)</f>
        <v>0.535506698545651</v>
      </c>
      <c r="CP471" s="63" t="n">
        <f aca="false">MATCH(MIN(CJ471:CO471),CJ471:CO471,0)</f>
        <v>6</v>
      </c>
      <c r="CR471" s="17" t="n">
        <f aca="false">SQRT(($B471-CR$401)^2+($C471-CR$402)^2+($D471-CR$403)^2)</f>
        <v>5.83907929421549</v>
      </c>
      <c r="CS471" s="17" t="n">
        <f aca="false">SQRT(($B471-CS$401)^2+($C471-CS$402)^2+($D471-CS$403)^2)</f>
        <v>1.90429502892072</v>
      </c>
      <c r="CT471" s="17" t="n">
        <f aca="false">SQRT(($B471-CT$401)^2+($C471-CT$402)^2+($D471-CT$403)^2)</f>
        <v>1.26364845938763</v>
      </c>
      <c r="CU471" s="17" t="n">
        <f aca="false">SQRT(($B471-CU$401)^2+($C471-CU$402)^2+($D471-CU$403)^2)</f>
        <v>1.36218003890681</v>
      </c>
      <c r="CV471" s="17" t="n">
        <f aca="false">SQRT(($B471-CV$401)^2+($C471-CV$402)^2+($D471-CV$403)^2)</f>
        <v>3.57461303560739</v>
      </c>
      <c r="CW471" s="17" t="n">
        <f aca="false">SQRT(($B471-CW$401)^2+($C471-CW$402)^2+($D471-CW$403)^2)</f>
        <v>0.535506698545651</v>
      </c>
      <c r="CX471" s="63" t="n">
        <f aca="false">MATCH(MIN(CR471:CW471),CR471:CW471,0)</f>
        <v>6</v>
      </c>
      <c r="CZ471" s="17" t="n">
        <f aca="false">SQRT(($B471-CZ$401)^2+($C471-CZ$402)^2+($D471-CZ$403)^2)</f>
        <v>5.83907929421549</v>
      </c>
      <c r="DA471" s="17" t="n">
        <f aca="false">SQRT(($B471-DA$401)^2+($C471-DA$402)^2+($D471-DA$403)^2)</f>
        <v>1.90429502892072</v>
      </c>
      <c r="DB471" s="17" t="n">
        <f aca="false">SQRT(($B471-DB$401)^2+($C471-DB$402)^2+($D471-DB$403)^2)</f>
        <v>1.26364845938763</v>
      </c>
      <c r="DC471" s="17" t="n">
        <f aca="false">SQRT(($B471-DC$401)^2+($C471-DC$402)^2+($D471-DC$403)^2)</f>
        <v>1.36218003890681</v>
      </c>
      <c r="DD471" s="17" t="n">
        <f aca="false">SQRT(($B471-DD$401)^2+($C471-DD$402)^2+($D471-DD$403)^2)</f>
        <v>3.57461303560739</v>
      </c>
      <c r="DE471" s="17" t="n">
        <f aca="false">SQRT(($B471-DE$401)^2+($C471-DE$402)^2+($D471-DE$403)^2)</f>
        <v>0.535506698545651</v>
      </c>
      <c r="DF471" s="63" t="n">
        <f aca="false">MATCH(MIN(CZ471:DE471),CZ471:DE471,0)</f>
        <v>6</v>
      </c>
      <c r="DH471" s="17" t="n">
        <f aca="false">SQRT(($B471-DH$401)^2+($C471-DH$402)^2+($D471-DH$403)^2)</f>
        <v>5.83907929421549</v>
      </c>
      <c r="DI471" s="17" t="n">
        <f aca="false">SQRT(($B471-DI$401)^2+($C471-DI$402)^2+($D471-DI$403)^2)</f>
        <v>1.90429502892072</v>
      </c>
      <c r="DJ471" s="17" t="n">
        <f aca="false">SQRT(($B471-DJ$401)^2+($C471-DJ$402)^2+($D471-DJ$403)^2)</f>
        <v>1.26364845938763</v>
      </c>
      <c r="DK471" s="17" t="n">
        <f aca="false">SQRT(($B471-DK$401)^2+($C471-DK$402)^2+($D471-DK$403)^2)</f>
        <v>1.36218003890681</v>
      </c>
      <c r="DL471" s="17" t="n">
        <f aca="false">SQRT(($B471-DL$401)^2+($C471-DL$402)^2+($D471-DL$403)^2)</f>
        <v>3.57461303560739</v>
      </c>
      <c r="DM471" s="17" t="n">
        <f aca="false">SQRT(($B471-DM$401)^2+($C471-DM$402)^2+($D471-DM$403)^2)</f>
        <v>0.535506698545651</v>
      </c>
      <c r="DN471" s="63" t="n">
        <f aca="false">MATCH(MIN(DH471:DM471),DH471:DM471,0)</f>
        <v>6</v>
      </c>
    </row>
    <row r="472" customFormat="false" ht="15" hidden="false" customHeight="false" outlineLevel="0" collapsed="false">
      <c r="A472" s="36" t="str">
        <f aca="false">KMeans_Data!A69</f>
        <v>Kashmore</v>
      </c>
      <c r="B472" s="17" t="n">
        <f aca="false">KMeans_Data!H69</f>
        <v>-0.110180736511367</v>
      </c>
      <c r="C472" s="17" t="n">
        <f aca="false">KMeans_Data!I69</f>
        <v>-0.146983133929529</v>
      </c>
      <c r="D472" s="17" t="n">
        <f aca="false">KMeans_Data!J69</f>
        <v>0.381616717142464</v>
      </c>
      <c r="E472" s="63" t="n">
        <f aca="false">DN472</f>
        <v>6</v>
      </c>
      <c r="F472" s="38" t="n">
        <f aca="false">($B472-INDEX($L$401:$Q$401,E472))^2+($C472-INDEX($L$402:$Q$402,E472))^2+($D472-INDEX($L$403:$Q$403,E472))^2</f>
        <v>0.0775446338857775</v>
      </c>
      <c r="G472" s="17" t="n">
        <f aca="false">IF(COUNTIF(Distance_Matrix!$E$12:$DQ$12,$E472)&lt;=1,0,SUMIF(Distance_Matrix!$E$12:$DQ$12,$E472,Distance_Matrix!$E$78:$DQ$78)/(COUNTIF(Distance_Matrix!$E$12:$DQ$12,$E472)-1))</f>
        <v>0.675670641495592</v>
      </c>
      <c r="H472" s="17" t="n">
        <f aca="false">MIN(IF(1=$E472,1E+099,IF(COUNTIF(Distance_Matrix!$E$12:$DQ$12,1)=0,1E+099,SUMIF(Distance_Matrix!$E$12:$DQ$12,1,Distance_Matrix!$E$78:$DQ$78)/COUNTIF(Distance_Matrix!$E$12:$DQ$12,1))),IF(2=$E472,1E+099,IF(COUNTIF(Distance_Matrix!$E$12:$DQ$12,2)=0,1E+099,SUMIF(Distance_Matrix!$E$12:$DQ$12,2,Distance_Matrix!$E$78:$DQ$78)/COUNTIF(Distance_Matrix!$E$12:$DQ$12,2))),IF(3=$E472,1E+099,IF(COUNTIF(Distance_Matrix!$E$12:$DQ$12,3)=0,1E+099,SUMIF(Distance_Matrix!$E$12:$DQ$12,3,Distance_Matrix!$E$78:$DQ$78)/COUNTIF(Distance_Matrix!$E$12:$DQ$12,3))),IF(4=$E472,1E+099,IF(COUNTIF(Distance_Matrix!$E$12:$DQ$12,4)=0,1E+099,SUMIF(Distance_Matrix!$E$12:$DQ$12,4,Distance_Matrix!$E$78:$DQ$78)/COUNTIF(Distance_Matrix!$E$12:$DQ$12,4))),IF(5=$E472,1E+099,IF(COUNTIF(Distance_Matrix!$E$12:$DQ$12,5)=0,1E+099,SUMIF(Distance_Matrix!$E$12:$DQ$12,5,Distance_Matrix!$E$78:$DQ$78)/COUNTIF(Distance_Matrix!$E$12:$DQ$12,5))),IF(6=$E472,1E+099,IF(COUNTIF(Distance_Matrix!$E$12:$DQ$12,6)=0,1E+099,SUMIF(Distance_Matrix!$E$12:$DQ$12,6,Distance_Matrix!$E$78:$DQ$78)/COUNTIF(Distance_Matrix!$E$12:$DQ$12,6))))</f>
        <v>1.4428618629042</v>
      </c>
      <c r="I472" s="17" t="n">
        <f aca="false">IF(COUNTIF(Distance_Matrix!$E$12:$DQ$12,$E472)&lt;=1,0,(H472-G472)/MAX(G472,H472))</f>
        <v>0.531714948695367</v>
      </c>
      <c r="X472" s="17" t="n">
        <f aca="false">SQRT(($B472-X$401)^2+($C472-X$402)^2+($D472-X$403)^2)</f>
        <v>6.10075211782889</v>
      </c>
      <c r="Y472" s="17" t="n">
        <f aca="false">SQRT(($B472-Y$401)^2+($C472-Y$402)^2+($D472-Y$403)^2)</f>
        <v>2.54715677244681</v>
      </c>
      <c r="Z472" s="17" t="n">
        <f aca="false">SQRT(($B472-Z$401)^2+($C472-Z$402)^2+($D472-Z$403)^2)</f>
        <v>1.66690792501503</v>
      </c>
      <c r="AA472" s="17" t="n">
        <f aca="false">SQRT(($B472-AA$401)^2+($C472-AA$402)^2+($D472-AA$403)^2)</f>
        <v>1.70406590633308</v>
      </c>
      <c r="AB472" s="17" t="n">
        <f aca="false">SQRT(($B472-AB$401)^2+($C472-AB$402)^2+($D472-AB$403)^2)</f>
        <v>4.00578701051002</v>
      </c>
      <c r="AC472" s="17" t="n">
        <f aca="false">SQRT(($B472-AC$401)^2+($C472-AC$402)^2+($D472-AC$403)^2)</f>
        <v>0.64512200218108</v>
      </c>
      <c r="AD472" s="63" t="n">
        <f aca="false">MATCH(MIN(X472:AC472),X472:AC472,0)</f>
        <v>6</v>
      </c>
      <c r="AF472" s="17" t="n">
        <f aca="false">SQRT(($B472-AF$401)^2+($C472-AF$402)^2+($D472-AF$403)^2)</f>
        <v>6.00615832612005</v>
      </c>
      <c r="AG472" s="17" t="n">
        <f aca="false">SQRT(($B472-AG$401)^2+($C472-AG$402)^2+($D472-AG$403)^2)</f>
        <v>1.97492673757797</v>
      </c>
      <c r="AH472" s="17" t="n">
        <f aca="false">SQRT(($B472-AH$401)^2+($C472-AH$402)^2+($D472-AH$403)^2)</f>
        <v>1.43744157386546</v>
      </c>
      <c r="AI472" s="17" t="n">
        <f aca="false">SQRT(($B472-AI$401)^2+($C472-AI$402)^2+($D472-AI$403)^2)</f>
        <v>1.32191947919366</v>
      </c>
      <c r="AJ472" s="17" t="n">
        <f aca="false">SQRT(($B472-AJ$401)^2+($C472-AJ$402)^2+($D472-AJ$403)^2)</f>
        <v>3.74765423507002</v>
      </c>
      <c r="AK472" s="17" t="n">
        <f aca="false">SQRT(($B472-AK$401)^2+($C472-AK$402)^2+($D472-AK$403)^2)</f>
        <v>0.356077153399904</v>
      </c>
      <c r="AL472" s="63" t="n">
        <f aca="false">MATCH(MIN(AF472:AK472),AF472:AK472,0)</f>
        <v>6</v>
      </c>
      <c r="AN472" s="17" t="n">
        <f aca="false">SQRT(($B472-AN$401)^2+($C472-AN$402)^2+($D472-AN$403)^2)</f>
        <v>6.00615832612005</v>
      </c>
      <c r="AO472" s="17" t="n">
        <f aca="false">SQRT(($B472-AO$401)^2+($C472-AO$402)^2+($D472-AO$403)^2)</f>
        <v>1.93310770827042</v>
      </c>
      <c r="AP472" s="17" t="n">
        <f aca="false">SQRT(($B472-AP$401)^2+($C472-AP$402)^2+($D472-AP$403)^2)</f>
        <v>1.4076479113642</v>
      </c>
      <c r="AQ472" s="17" t="n">
        <f aca="false">SQRT(($B472-AQ$401)^2+($C472-AQ$402)^2+($D472-AQ$403)^2)</f>
        <v>1.33557364409242</v>
      </c>
      <c r="AR472" s="17" t="n">
        <f aca="false">SQRT(($B472-AR$401)^2+($C472-AR$402)^2+($D472-AR$403)^2)</f>
        <v>3.74765423507002</v>
      </c>
      <c r="AS472" s="17" t="n">
        <f aca="false">SQRT(($B472-AS$401)^2+($C472-AS$402)^2+($D472-AS$403)^2)</f>
        <v>0.323368567455716</v>
      </c>
      <c r="AT472" s="63" t="n">
        <f aca="false">MATCH(MIN(AN472:AS472),AN472:AS472,0)</f>
        <v>6</v>
      </c>
      <c r="AV472" s="17" t="n">
        <f aca="false">SQRT(($B472-AV$401)^2+($C472-AV$402)^2+($D472-AV$403)^2)</f>
        <v>6.00615832612005</v>
      </c>
      <c r="AW472" s="17" t="n">
        <f aca="false">SQRT(($B472-AW$401)^2+($C472-AW$402)^2+($D472-AW$403)^2)</f>
        <v>1.90240051502176</v>
      </c>
      <c r="AX472" s="17" t="n">
        <f aca="false">SQRT(($B472-AX$401)^2+($C472-AX$402)^2+($D472-AX$403)^2)</f>
        <v>1.4076479113642</v>
      </c>
      <c r="AY472" s="17" t="n">
        <f aca="false">SQRT(($B472-AY$401)^2+($C472-AY$402)^2+($D472-AY$403)^2)</f>
        <v>1.33557364409242</v>
      </c>
      <c r="AZ472" s="17" t="n">
        <f aca="false">SQRT(($B472-AZ$401)^2+($C472-AZ$402)^2+($D472-AZ$403)^2)</f>
        <v>3.74765423507002</v>
      </c>
      <c r="BA472" s="17" t="n">
        <f aca="false">SQRT(($B472-BA$401)^2+($C472-BA$402)^2+($D472-BA$403)^2)</f>
        <v>0.300754009789125</v>
      </c>
      <c r="BB472" s="63" t="n">
        <f aca="false">MATCH(MIN(AV472:BA472),AV472:BA472,0)</f>
        <v>6</v>
      </c>
      <c r="BD472" s="17" t="n">
        <f aca="false">SQRT(($B472-BD$401)^2+($C472-BD$402)^2+($D472-BD$403)^2)</f>
        <v>6.00615832612005</v>
      </c>
      <c r="BE472" s="17" t="n">
        <f aca="false">SQRT(($B472-BE$401)^2+($C472-BE$402)^2+($D472-BE$403)^2)</f>
        <v>1.87267799984204</v>
      </c>
      <c r="BF472" s="17" t="n">
        <f aca="false">SQRT(($B472-BF$401)^2+($C472-BF$402)^2+($D472-BF$403)^2)</f>
        <v>1.4076479113642</v>
      </c>
      <c r="BG472" s="17" t="n">
        <f aca="false">SQRT(($B472-BG$401)^2+($C472-BG$402)^2+($D472-BG$403)^2)</f>
        <v>1.33557364409242</v>
      </c>
      <c r="BH472" s="17" t="n">
        <f aca="false">SQRT(($B472-BH$401)^2+($C472-BH$402)^2+($D472-BH$403)^2)</f>
        <v>3.74765423507002</v>
      </c>
      <c r="BI472" s="17" t="n">
        <f aca="false">SQRT(($B472-BI$401)^2+($C472-BI$402)^2+($D472-BI$403)^2)</f>
        <v>0.278468371428027</v>
      </c>
      <c r="BJ472" s="63" t="n">
        <f aca="false">MATCH(MIN(BD472:BI472),BD472:BI472,0)</f>
        <v>6</v>
      </c>
      <c r="BL472" s="17" t="n">
        <f aca="false">SQRT(($B472-BL$401)^2+($C472-BL$402)^2+($D472-BL$403)^2)</f>
        <v>6.00615832612005</v>
      </c>
      <c r="BM472" s="17" t="n">
        <f aca="false">SQRT(($B472-BM$401)^2+($C472-BM$402)^2+($D472-BM$403)^2)</f>
        <v>1.87267799984204</v>
      </c>
      <c r="BN472" s="17" t="n">
        <f aca="false">SQRT(($B472-BN$401)^2+($C472-BN$402)^2+($D472-BN$403)^2)</f>
        <v>1.4076479113642</v>
      </c>
      <c r="BO472" s="17" t="n">
        <f aca="false">SQRT(($B472-BO$401)^2+($C472-BO$402)^2+($D472-BO$403)^2)</f>
        <v>1.33557364409242</v>
      </c>
      <c r="BP472" s="17" t="n">
        <f aca="false">SQRT(($B472-BP$401)^2+($C472-BP$402)^2+($D472-BP$403)^2)</f>
        <v>3.74765423507002</v>
      </c>
      <c r="BQ472" s="17" t="n">
        <f aca="false">SQRT(($B472-BQ$401)^2+($C472-BQ$402)^2+($D472-BQ$403)^2)</f>
        <v>0.278468371428027</v>
      </c>
      <c r="BR472" s="63" t="n">
        <f aca="false">MATCH(MIN(BL472:BQ472),BL472:BQ472,0)</f>
        <v>6</v>
      </c>
      <c r="BT472" s="17" t="n">
        <f aca="false">SQRT(($B472-BT$401)^2+($C472-BT$402)^2+($D472-BT$403)^2)</f>
        <v>6.00615832612005</v>
      </c>
      <c r="BU472" s="17" t="n">
        <f aca="false">SQRT(($B472-BU$401)^2+($C472-BU$402)^2+($D472-BU$403)^2)</f>
        <v>1.87267799984204</v>
      </c>
      <c r="BV472" s="17" t="n">
        <f aca="false">SQRT(($B472-BV$401)^2+($C472-BV$402)^2+($D472-BV$403)^2)</f>
        <v>1.4076479113642</v>
      </c>
      <c r="BW472" s="17" t="n">
        <f aca="false">SQRT(($B472-BW$401)^2+($C472-BW$402)^2+($D472-BW$403)^2)</f>
        <v>1.33557364409242</v>
      </c>
      <c r="BX472" s="17" t="n">
        <f aca="false">SQRT(($B472-BX$401)^2+($C472-BX$402)^2+($D472-BX$403)^2)</f>
        <v>3.74765423507002</v>
      </c>
      <c r="BY472" s="17" t="n">
        <f aca="false">SQRT(($B472-BY$401)^2+($C472-BY$402)^2+($D472-BY$403)^2)</f>
        <v>0.278468371428027</v>
      </c>
      <c r="BZ472" s="63" t="n">
        <f aca="false">MATCH(MIN(BT472:BY472),BT472:BY472,0)</f>
        <v>6</v>
      </c>
      <c r="CB472" s="17" t="n">
        <f aca="false">SQRT(($B472-CB$401)^2+($C472-CB$402)^2+($D472-CB$403)^2)</f>
        <v>6.00615832612005</v>
      </c>
      <c r="CC472" s="17" t="n">
        <f aca="false">SQRT(($B472-CC$401)^2+($C472-CC$402)^2+($D472-CC$403)^2)</f>
        <v>1.87267799984204</v>
      </c>
      <c r="CD472" s="17" t="n">
        <f aca="false">SQRT(($B472-CD$401)^2+($C472-CD$402)^2+($D472-CD$403)^2)</f>
        <v>1.4076479113642</v>
      </c>
      <c r="CE472" s="17" t="n">
        <f aca="false">SQRT(($B472-CE$401)^2+($C472-CE$402)^2+($D472-CE$403)^2)</f>
        <v>1.33557364409242</v>
      </c>
      <c r="CF472" s="17" t="n">
        <f aca="false">SQRT(($B472-CF$401)^2+($C472-CF$402)^2+($D472-CF$403)^2)</f>
        <v>3.74765423507002</v>
      </c>
      <c r="CG472" s="17" t="n">
        <f aca="false">SQRT(($B472-CG$401)^2+($C472-CG$402)^2+($D472-CG$403)^2)</f>
        <v>0.278468371428027</v>
      </c>
      <c r="CH472" s="63" t="n">
        <f aca="false">MATCH(MIN(CB472:CG472),CB472:CG472,0)</f>
        <v>6</v>
      </c>
      <c r="CJ472" s="17" t="n">
        <f aca="false">SQRT(($B472-CJ$401)^2+($C472-CJ$402)^2+($D472-CJ$403)^2)</f>
        <v>6.00615832612005</v>
      </c>
      <c r="CK472" s="17" t="n">
        <f aca="false">SQRT(($B472-CK$401)^2+($C472-CK$402)^2+($D472-CK$403)^2)</f>
        <v>1.87267799984204</v>
      </c>
      <c r="CL472" s="17" t="n">
        <f aca="false">SQRT(($B472-CL$401)^2+($C472-CL$402)^2+($D472-CL$403)^2)</f>
        <v>1.4076479113642</v>
      </c>
      <c r="CM472" s="17" t="n">
        <f aca="false">SQRT(($B472-CM$401)^2+($C472-CM$402)^2+($D472-CM$403)^2)</f>
        <v>1.33557364409242</v>
      </c>
      <c r="CN472" s="17" t="n">
        <f aca="false">SQRT(($B472-CN$401)^2+($C472-CN$402)^2+($D472-CN$403)^2)</f>
        <v>3.74765423507002</v>
      </c>
      <c r="CO472" s="17" t="n">
        <f aca="false">SQRT(($B472-CO$401)^2+($C472-CO$402)^2+($D472-CO$403)^2)</f>
        <v>0.278468371428027</v>
      </c>
      <c r="CP472" s="63" t="n">
        <f aca="false">MATCH(MIN(CJ472:CO472),CJ472:CO472,0)</f>
        <v>6</v>
      </c>
      <c r="CR472" s="17" t="n">
        <f aca="false">SQRT(($B472-CR$401)^2+($C472-CR$402)^2+($D472-CR$403)^2)</f>
        <v>6.00615832612005</v>
      </c>
      <c r="CS472" s="17" t="n">
        <f aca="false">SQRT(($B472-CS$401)^2+($C472-CS$402)^2+($D472-CS$403)^2)</f>
        <v>1.87267799984204</v>
      </c>
      <c r="CT472" s="17" t="n">
        <f aca="false">SQRT(($B472-CT$401)^2+($C472-CT$402)^2+($D472-CT$403)^2)</f>
        <v>1.4076479113642</v>
      </c>
      <c r="CU472" s="17" t="n">
        <f aca="false">SQRT(($B472-CU$401)^2+($C472-CU$402)^2+($D472-CU$403)^2)</f>
        <v>1.33557364409242</v>
      </c>
      <c r="CV472" s="17" t="n">
        <f aca="false">SQRT(($B472-CV$401)^2+($C472-CV$402)^2+($D472-CV$403)^2)</f>
        <v>3.74765423507002</v>
      </c>
      <c r="CW472" s="17" t="n">
        <f aca="false">SQRT(($B472-CW$401)^2+($C472-CW$402)^2+($D472-CW$403)^2)</f>
        <v>0.278468371428027</v>
      </c>
      <c r="CX472" s="63" t="n">
        <f aca="false">MATCH(MIN(CR472:CW472),CR472:CW472,0)</f>
        <v>6</v>
      </c>
      <c r="CZ472" s="17" t="n">
        <f aca="false">SQRT(($B472-CZ$401)^2+($C472-CZ$402)^2+($D472-CZ$403)^2)</f>
        <v>6.00615832612005</v>
      </c>
      <c r="DA472" s="17" t="n">
        <f aca="false">SQRT(($B472-DA$401)^2+($C472-DA$402)^2+($D472-DA$403)^2)</f>
        <v>1.87267799984204</v>
      </c>
      <c r="DB472" s="17" t="n">
        <f aca="false">SQRT(($B472-DB$401)^2+($C472-DB$402)^2+($D472-DB$403)^2)</f>
        <v>1.4076479113642</v>
      </c>
      <c r="DC472" s="17" t="n">
        <f aca="false">SQRT(($B472-DC$401)^2+($C472-DC$402)^2+($D472-DC$403)^2)</f>
        <v>1.33557364409242</v>
      </c>
      <c r="DD472" s="17" t="n">
        <f aca="false">SQRT(($B472-DD$401)^2+($C472-DD$402)^2+($D472-DD$403)^2)</f>
        <v>3.74765423507002</v>
      </c>
      <c r="DE472" s="17" t="n">
        <f aca="false">SQRT(($B472-DE$401)^2+($C472-DE$402)^2+($D472-DE$403)^2)</f>
        <v>0.278468371428027</v>
      </c>
      <c r="DF472" s="63" t="n">
        <f aca="false">MATCH(MIN(CZ472:DE472),CZ472:DE472,0)</f>
        <v>6</v>
      </c>
      <c r="DH472" s="17" t="n">
        <f aca="false">SQRT(($B472-DH$401)^2+($C472-DH$402)^2+($D472-DH$403)^2)</f>
        <v>6.00615832612005</v>
      </c>
      <c r="DI472" s="17" t="n">
        <f aca="false">SQRT(($B472-DI$401)^2+($C472-DI$402)^2+($D472-DI$403)^2)</f>
        <v>1.87267799984204</v>
      </c>
      <c r="DJ472" s="17" t="n">
        <f aca="false">SQRT(($B472-DJ$401)^2+($C472-DJ$402)^2+($D472-DJ$403)^2)</f>
        <v>1.4076479113642</v>
      </c>
      <c r="DK472" s="17" t="n">
        <f aca="false">SQRT(($B472-DK$401)^2+($C472-DK$402)^2+($D472-DK$403)^2)</f>
        <v>1.33557364409242</v>
      </c>
      <c r="DL472" s="17" t="n">
        <f aca="false">SQRT(($B472-DL$401)^2+($C472-DL$402)^2+($D472-DL$403)^2)</f>
        <v>3.74765423507002</v>
      </c>
      <c r="DM472" s="17" t="n">
        <f aca="false">SQRT(($B472-DM$401)^2+($C472-DM$402)^2+($D472-DM$403)^2)</f>
        <v>0.278468371428027</v>
      </c>
      <c r="DN472" s="63" t="n">
        <f aca="false">MATCH(MIN(DH472:DM472),DH472:DM472,0)</f>
        <v>6</v>
      </c>
    </row>
    <row r="473" customFormat="false" ht="15" hidden="false" customHeight="false" outlineLevel="0" collapsed="false">
      <c r="A473" s="36" t="str">
        <f aca="false">KMeans_Data!A70</f>
        <v>Naushero Feroz</v>
      </c>
      <c r="B473" s="17" t="n">
        <f aca="false">KMeans_Data!H70</f>
        <v>-0.134393009866687</v>
      </c>
      <c r="C473" s="17" t="n">
        <f aca="false">KMeans_Data!I70</f>
        <v>-0.146983133929529</v>
      </c>
      <c r="D473" s="17" t="n">
        <f aca="false">KMeans_Data!J70</f>
        <v>0.430439822017226</v>
      </c>
      <c r="E473" s="63" t="n">
        <f aca="false">DN473</f>
        <v>6</v>
      </c>
      <c r="F473" s="38" t="n">
        <f aca="false">($B473-INDEX($L$401:$Q$401,E473))^2+($C473-INDEX($L$402:$Q$402,E473))^2+($D473-INDEX($L$403:$Q$403,E473))^2</f>
        <v>0.0916466578232347</v>
      </c>
      <c r="G473" s="17" t="n">
        <f aca="false">IF(COUNTIF(Distance_Matrix!$E$12:$DQ$12,$E473)&lt;=1,0,SUMIF(Distance_Matrix!$E$12:$DQ$12,$E473,Distance_Matrix!$E$79:$DQ$79)/(COUNTIF(Distance_Matrix!$E$12:$DQ$12,$E473)-1))</f>
        <v>0.685071559044258</v>
      </c>
      <c r="H473" s="17" t="n">
        <f aca="false">MIN(IF(1=$E473,1E+099,IF(COUNTIF(Distance_Matrix!$E$12:$DQ$12,1)=0,1E+099,SUMIF(Distance_Matrix!$E$12:$DQ$12,1,Distance_Matrix!$E$79:$DQ$79)/COUNTIF(Distance_Matrix!$E$12:$DQ$12,1))),IF(2=$E473,1E+099,IF(COUNTIF(Distance_Matrix!$E$12:$DQ$12,2)=0,1E+099,SUMIF(Distance_Matrix!$E$12:$DQ$12,2,Distance_Matrix!$E$79:$DQ$79)/COUNTIF(Distance_Matrix!$E$12:$DQ$12,2))),IF(3=$E473,1E+099,IF(COUNTIF(Distance_Matrix!$E$12:$DQ$12,3)=0,1E+099,SUMIF(Distance_Matrix!$E$12:$DQ$12,3,Distance_Matrix!$E$79:$DQ$79)/COUNTIF(Distance_Matrix!$E$12:$DQ$12,3))),IF(4=$E473,1E+099,IF(COUNTIF(Distance_Matrix!$E$12:$DQ$12,4)=0,1E+099,SUMIF(Distance_Matrix!$E$12:$DQ$12,4,Distance_Matrix!$E$79:$DQ$79)/COUNTIF(Distance_Matrix!$E$12:$DQ$12,4))),IF(5=$E473,1E+099,IF(COUNTIF(Distance_Matrix!$E$12:$DQ$12,5)=0,1E+099,SUMIF(Distance_Matrix!$E$12:$DQ$12,5,Distance_Matrix!$E$79:$DQ$79)/COUNTIF(Distance_Matrix!$E$12:$DQ$12,5))),IF(6=$E473,1E+099,IF(COUNTIF(Distance_Matrix!$E$12:$DQ$12,6)=0,1E+099,SUMIF(Distance_Matrix!$E$12:$DQ$12,6,Distance_Matrix!$E$79:$DQ$79)/COUNTIF(Distance_Matrix!$E$12:$DQ$12,6))))</f>
        <v>1.48907045061129</v>
      </c>
      <c r="I473" s="17" t="n">
        <f aca="false">IF(COUNTIF(Distance_Matrix!$E$12:$DQ$12,$E473)&lt;=1,0,(H473-G473)/MAX(G473,H473))</f>
        <v>0.539933413652105</v>
      </c>
      <c r="X473" s="17" t="n">
        <f aca="false">SQRT(($B473-X$401)^2+($C473-X$402)^2+($D473-X$403)^2)</f>
        <v>6.09144375722268</v>
      </c>
      <c r="Y473" s="17" t="n">
        <f aca="false">SQRT(($B473-Y$401)^2+($C473-Y$402)^2+($D473-Y$403)^2)</f>
        <v>2.55826774752687</v>
      </c>
      <c r="Z473" s="17" t="n">
        <f aca="false">SQRT(($B473-Z$401)^2+($C473-Z$402)^2+($D473-Z$403)^2)</f>
        <v>1.65251443757261</v>
      </c>
      <c r="AA473" s="17" t="n">
        <f aca="false">SQRT(($B473-AA$401)^2+($C473-AA$402)^2+($D473-AA$403)^2)</f>
        <v>1.75856295081393</v>
      </c>
      <c r="AB473" s="17" t="n">
        <f aca="false">SQRT(($B473-AB$401)^2+($C473-AB$402)^2+($D473-AB$403)^2)</f>
        <v>3.99684228339151</v>
      </c>
      <c r="AC473" s="17" t="n">
        <f aca="false">SQRT(($B473-AC$401)^2+($C473-AC$402)^2+($D473-AC$403)^2)</f>
        <v>0.605130087612697</v>
      </c>
      <c r="AD473" s="63" t="n">
        <f aca="false">MATCH(MIN(X473:AC473),X473:AC473,0)</f>
        <v>6</v>
      </c>
      <c r="AF473" s="17" t="n">
        <f aca="false">SQRT(($B473-AF$401)^2+($C473-AF$402)^2+($D473-AF$403)^2)</f>
        <v>5.99898326020254</v>
      </c>
      <c r="AG473" s="17" t="n">
        <f aca="false">SQRT(($B473-AG$401)^2+($C473-AG$402)^2+($D473-AG$403)^2)</f>
        <v>1.99723016628921</v>
      </c>
      <c r="AH473" s="17" t="n">
        <f aca="false">SQRT(($B473-AH$401)^2+($C473-AH$402)^2+($D473-AH$403)^2)</f>
        <v>1.43415240151616</v>
      </c>
      <c r="AI473" s="17" t="n">
        <f aca="false">SQRT(($B473-AI$401)^2+($C473-AI$402)^2+($D473-AI$403)^2)</f>
        <v>1.37242117912752</v>
      </c>
      <c r="AJ473" s="17" t="n">
        <f aca="false">SQRT(($B473-AJ$401)^2+($C473-AJ$402)^2+($D473-AJ$403)^2)</f>
        <v>3.74396428617046</v>
      </c>
      <c r="AK473" s="17" t="n">
        <f aca="false">SQRT(($B473-AK$401)^2+($C473-AK$402)^2+($D473-AK$403)^2)</f>
        <v>0.377861520485933</v>
      </c>
      <c r="AL473" s="63" t="n">
        <f aca="false">MATCH(MIN(AF473:AK473),AF473:AK473,0)</f>
        <v>6</v>
      </c>
      <c r="AN473" s="17" t="n">
        <f aca="false">SQRT(($B473-AN$401)^2+($C473-AN$402)^2+($D473-AN$403)^2)</f>
        <v>5.99898326020254</v>
      </c>
      <c r="AO473" s="17" t="n">
        <f aca="false">SQRT(($B473-AO$401)^2+($C473-AO$402)^2+($D473-AO$403)^2)</f>
        <v>1.95587575845984</v>
      </c>
      <c r="AP473" s="17" t="n">
        <f aca="false">SQRT(($B473-AP$401)^2+($C473-AP$402)^2+($D473-AP$403)^2)</f>
        <v>1.40434289896626</v>
      </c>
      <c r="AQ473" s="17" t="n">
        <f aca="false">SQRT(($B473-AQ$401)^2+($C473-AQ$402)^2+($D473-AQ$403)^2)</f>
        <v>1.38568504888948</v>
      </c>
      <c r="AR473" s="17" t="n">
        <f aca="false">SQRT(($B473-AR$401)^2+($C473-AR$402)^2+($D473-AR$403)^2)</f>
        <v>3.74396428617046</v>
      </c>
      <c r="AS473" s="17" t="n">
        <f aca="false">SQRT(($B473-AS$401)^2+($C473-AS$402)^2+($D473-AS$403)^2)</f>
        <v>0.346799157225454</v>
      </c>
      <c r="AT473" s="63" t="n">
        <f aca="false">MATCH(MIN(AN473:AS473),AN473:AS473,0)</f>
        <v>6</v>
      </c>
      <c r="AV473" s="17" t="n">
        <f aca="false">SQRT(($B473-AV$401)^2+($C473-AV$402)^2+($D473-AV$403)^2)</f>
        <v>5.99898326020254</v>
      </c>
      <c r="AW473" s="17" t="n">
        <f aca="false">SQRT(($B473-AW$401)^2+($C473-AW$402)^2+($D473-AW$403)^2)</f>
        <v>1.92511203662826</v>
      </c>
      <c r="AX473" s="17" t="n">
        <f aca="false">SQRT(($B473-AX$401)^2+($C473-AX$402)^2+($D473-AX$403)^2)</f>
        <v>1.40434289896626</v>
      </c>
      <c r="AY473" s="17" t="n">
        <f aca="false">SQRT(($B473-AY$401)^2+($C473-AY$402)^2+($D473-AY$403)^2)</f>
        <v>1.38568504888948</v>
      </c>
      <c r="AZ473" s="17" t="n">
        <f aca="false">SQRT(($B473-AZ$401)^2+($C473-AZ$402)^2+($D473-AZ$403)^2)</f>
        <v>3.74396428617046</v>
      </c>
      <c r="BA473" s="17" t="n">
        <f aca="false">SQRT(($B473-BA$401)^2+($C473-BA$402)^2+($D473-BA$403)^2)</f>
        <v>0.324378211304799</v>
      </c>
      <c r="BB473" s="63" t="n">
        <f aca="false">MATCH(MIN(AV473:BA473),AV473:BA473,0)</f>
        <v>6</v>
      </c>
      <c r="BD473" s="17" t="n">
        <f aca="false">SQRT(($B473-BD$401)^2+($C473-BD$402)^2+($D473-BD$403)^2)</f>
        <v>5.99898326020254</v>
      </c>
      <c r="BE473" s="17" t="n">
        <f aca="false">SQRT(($B473-BE$401)^2+($C473-BE$402)^2+($D473-BE$403)^2)</f>
        <v>1.89524893325934</v>
      </c>
      <c r="BF473" s="17" t="n">
        <f aca="false">SQRT(($B473-BF$401)^2+($C473-BF$402)^2+($D473-BF$403)^2)</f>
        <v>1.40434289896626</v>
      </c>
      <c r="BG473" s="17" t="n">
        <f aca="false">SQRT(($B473-BG$401)^2+($C473-BG$402)^2+($D473-BG$403)^2)</f>
        <v>1.38568504888948</v>
      </c>
      <c r="BH473" s="17" t="n">
        <f aca="false">SQRT(($B473-BH$401)^2+($C473-BH$402)^2+($D473-BH$403)^2)</f>
        <v>3.74396428617046</v>
      </c>
      <c r="BI473" s="17" t="n">
        <f aca="false">SQRT(($B473-BI$401)^2+($C473-BI$402)^2+($D473-BI$403)^2)</f>
        <v>0.302731990088981</v>
      </c>
      <c r="BJ473" s="63" t="n">
        <f aca="false">MATCH(MIN(BD473:BI473),BD473:BI473,0)</f>
        <v>6</v>
      </c>
      <c r="BL473" s="17" t="n">
        <f aca="false">SQRT(($B473-BL$401)^2+($C473-BL$402)^2+($D473-BL$403)^2)</f>
        <v>5.99898326020254</v>
      </c>
      <c r="BM473" s="17" t="n">
        <f aca="false">SQRT(($B473-BM$401)^2+($C473-BM$402)^2+($D473-BM$403)^2)</f>
        <v>1.89524893325934</v>
      </c>
      <c r="BN473" s="17" t="n">
        <f aca="false">SQRT(($B473-BN$401)^2+($C473-BN$402)^2+($D473-BN$403)^2)</f>
        <v>1.40434289896626</v>
      </c>
      <c r="BO473" s="17" t="n">
        <f aca="false">SQRT(($B473-BO$401)^2+($C473-BO$402)^2+($D473-BO$403)^2)</f>
        <v>1.38568504888948</v>
      </c>
      <c r="BP473" s="17" t="n">
        <f aca="false">SQRT(($B473-BP$401)^2+($C473-BP$402)^2+($D473-BP$403)^2)</f>
        <v>3.74396428617046</v>
      </c>
      <c r="BQ473" s="17" t="n">
        <f aca="false">SQRT(($B473-BQ$401)^2+($C473-BQ$402)^2+($D473-BQ$403)^2)</f>
        <v>0.302731990088981</v>
      </c>
      <c r="BR473" s="63" t="n">
        <f aca="false">MATCH(MIN(BL473:BQ473),BL473:BQ473,0)</f>
        <v>6</v>
      </c>
      <c r="BT473" s="17" t="n">
        <f aca="false">SQRT(($B473-BT$401)^2+($C473-BT$402)^2+($D473-BT$403)^2)</f>
        <v>5.99898326020254</v>
      </c>
      <c r="BU473" s="17" t="n">
        <f aca="false">SQRT(($B473-BU$401)^2+($C473-BU$402)^2+($D473-BU$403)^2)</f>
        <v>1.89524893325934</v>
      </c>
      <c r="BV473" s="17" t="n">
        <f aca="false">SQRT(($B473-BV$401)^2+($C473-BV$402)^2+($D473-BV$403)^2)</f>
        <v>1.40434289896626</v>
      </c>
      <c r="BW473" s="17" t="n">
        <f aca="false">SQRT(($B473-BW$401)^2+($C473-BW$402)^2+($D473-BW$403)^2)</f>
        <v>1.38568504888948</v>
      </c>
      <c r="BX473" s="17" t="n">
        <f aca="false">SQRT(($B473-BX$401)^2+($C473-BX$402)^2+($D473-BX$403)^2)</f>
        <v>3.74396428617046</v>
      </c>
      <c r="BY473" s="17" t="n">
        <f aca="false">SQRT(($B473-BY$401)^2+($C473-BY$402)^2+($D473-BY$403)^2)</f>
        <v>0.302731990088981</v>
      </c>
      <c r="BZ473" s="63" t="n">
        <f aca="false">MATCH(MIN(BT473:BY473),BT473:BY473,0)</f>
        <v>6</v>
      </c>
      <c r="CB473" s="17" t="n">
        <f aca="false">SQRT(($B473-CB$401)^2+($C473-CB$402)^2+($D473-CB$403)^2)</f>
        <v>5.99898326020254</v>
      </c>
      <c r="CC473" s="17" t="n">
        <f aca="false">SQRT(($B473-CC$401)^2+($C473-CC$402)^2+($D473-CC$403)^2)</f>
        <v>1.89524893325934</v>
      </c>
      <c r="CD473" s="17" t="n">
        <f aca="false">SQRT(($B473-CD$401)^2+($C473-CD$402)^2+($D473-CD$403)^2)</f>
        <v>1.40434289896626</v>
      </c>
      <c r="CE473" s="17" t="n">
        <f aca="false">SQRT(($B473-CE$401)^2+($C473-CE$402)^2+($D473-CE$403)^2)</f>
        <v>1.38568504888948</v>
      </c>
      <c r="CF473" s="17" t="n">
        <f aca="false">SQRT(($B473-CF$401)^2+($C473-CF$402)^2+($D473-CF$403)^2)</f>
        <v>3.74396428617046</v>
      </c>
      <c r="CG473" s="17" t="n">
        <f aca="false">SQRT(($B473-CG$401)^2+($C473-CG$402)^2+($D473-CG$403)^2)</f>
        <v>0.302731990088981</v>
      </c>
      <c r="CH473" s="63" t="n">
        <f aca="false">MATCH(MIN(CB473:CG473),CB473:CG473,0)</f>
        <v>6</v>
      </c>
      <c r="CJ473" s="17" t="n">
        <f aca="false">SQRT(($B473-CJ$401)^2+($C473-CJ$402)^2+($D473-CJ$403)^2)</f>
        <v>5.99898326020254</v>
      </c>
      <c r="CK473" s="17" t="n">
        <f aca="false">SQRT(($B473-CK$401)^2+($C473-CK$402)^2+($D473-CK$403)^2)</f>
        <v>1.89524893325934</v>
      </c>
      <c r="CL473" s="17" t="n">
        <f aca="false">SQRT(($B473-CL$401)^2+($C473-CL$402)^2+($D473-CL$403)^2)</f>
        <v>1.40434289896626</v>
      </c>
      <c r="CM473" s="17" t="n">
        <f aca="false">SQRT(($B473-CM$401)^2+($C473-CM$402)^2+($D473-CM$403)^2)</f>
        <v>1.38568504888948</v>
      </c>
      <c r="CN473" s="17" t="n">
        <f aca="false">SQRT(($B473-CN$401)^2+($C473-CN$402)^2+($D473-CN$403)^2)</f>
        <v>3.74396428617046</v>
      </c>
      <c r="CO473" s="17" t="n">
        <f aca="false">SQRT(($B473-CO$401)^2+($C473-CO$402)^2+($D473-CO$403)^2)</f>
        <v>0.302731990088981</v>
      </c>
      <c r="CP473" s="63" t="n">
        <f aca="false">MATCH(MIN(CJ473:CO473),CJ473:CO473,0)</f>
        <v>6</v>
      </c>
      <c r="CR473" s="17" t="n">
        <f aca="false">SQRT(($B473-CR$401)^2+($C473-CR$402)^2+($D473-CR$403)^2)</f>
        <v>5.99898326020254</v>
      </c>
      <c r="CS473" s="17" t="n">
        <f aca="false">SQRT(($B473-CS$401)^2+($C473-CS$402)^2+($D473-CS$403)^2)</f>
        <v>1.89524893325934</v>
      </c>
      <c r="CT473" s="17" t="n">
        <f aca="false">SQRT(($B473-CT$401)^2+($C473-CT$402)^2+($D473-CT$403)^2)</f>
        <v>1.40434289896626</v>
      </c>
      <c r="CU473" s="17" t="n">
        <f aca="false">SQRT(($B473-CU$401)^2+($C473-CU$402)^2+($D473-CU$403)^2)</f>
        <v>1.38568504888948</v>
      </c>
      <c r="CV473" s="17" t="n">
        <f aca="false">SQRT(($B473-CV$401)^2+($C473-CV$402)^2+($D473-CV$403)^2)</f>
        <v>3.74396428617046</v>
      </c>
      <c r="CW473" s="17" t="n">
        <f aca="false">SQRT(($B473-CW$401)^2+($C473-CW$402)^2+($D473-CW$403)^2)</f>
        <v>0.302731990088981</v>
      </c>
      <c r="CX473" s="63" t="n">
        <f aca="false">MATCH(MIN(CR473:CW473),CR473:CW473,0)</f>
        <v>6</v>
      </c>
      <c r="CZ473" s="17" t="n">
        <f aca="false">SQRT(($B473-CZ$401)^2+($C473-CZ$402)^2+($D473-CZ$403)^2)</f>
        <v>5.99898326020254</v>
      </c>
      <c r="DA473" s="17" t="n">
        <f aca="false">SQRT(($B473-DA$401)^2+($C473-DA$402)^2+($D473-DA$403)^2)</f>
        <v>1.89524893325934</v>
      </c>
      <c r="DB473" s="17" t="n">
        <f aca="false">SQRT(($B473-DB$401)^2+($C473-DB$402)^2+($D473-DB$403)^2)</f>
        <v>1.40434289896626</v>
      </c>
      <c r="DC473" s="17" t="n">
        <f aca="false">SQRT(($B473-DC$401)^2+($C473-DC$402)^2+($D473-DC$403)^2)</f>
        <v>1.38568504888948</v>
      </c>
      <c r="DD473" s="17" t="n">
        <f aca="false">SQRT(($B473-DD$401)^2+($C473-DD$402)^2+($D473-DD$403)^2)</f>
        <v>3.74396428617046</v>
      </c>
      <c r="DE473" s="17" t="n">
        <f aca="false">SQRT(($B473-DE$401)^2+($C473-DE$402)^2+($D473-DE$403)^2)</f>
        <v>0.302731990088981</v>
      </c>
      <c r="DF473" s="63" t="n">
        <f aca="false">MATCH(MIN(CZ473:DE473),CZ473:DE473,0)</f>
        <v>6</v>
      </c>
      <c r="DH473" s="17" t="n">
        <f aca="false">SQRT(($B473-DH$401)^2+($C473-DH$402)^2+($D473-DH$403)^2)</f>
        <v>5.99898326020254</v>
      </c>
      <c r="DI473" s="17" t="n">
        <f aca="false">SQRT(($B473-DI$401)^2+($C473-DI$402)^2+($D473-DI$403)^2)</f>
        <v>1.89524893325934</v>
      </c>
      <c r="DJ473" s="17" t="n">
        <f aca="false">SQRT(($B473-DJ$401)^2+($C473-DJ$402)^2+($D473-DJ$403)^2)</f>
        <v>1.40434289896626</v>
      </c>
      <c r="DK473" s="17" t="n">
        <f aca="false">SQRT(($B473-DK$401)^2+($C473-DK$402)^2+($D473-DK$403)^2)</f>
        <v>1.38568504888948</v>
      </c>
      <c r="DL473" s="17" t="n">
        <f aca="false">SQRT(($B473-DL$401)^2+($C473-DL$402)^2+($D473-DL$403)^2)</f>
        <v>3.74396428617046</v>
      </c>
      <c r="DM473" s="17" t="n">
        <f aca="false">SQRT(($B473-DM$401)^2+($C473-DM$402)^2+($D473-DM$403)^2)</f>
        <v>0.302731990088981</v>
      </c>
      <c r="DN473" s="63" t="n">
        <f aca="false">MATCH(MIN(DH473:DM473),DH473:DM473,0)</f>
        <v>6</v>
      </c>
    </row>
    <row r="474" customFormat="false" ht="15" hidden="false" customHeight="false" outlineLevel="0" collapsed="false">
      <c r="A474" s="36" t="str">
        <f aca="false">KMeans_Data!A71</f>
        <v>Tando M. Khan</v>
      </c>
      <c r="B474" s="17" t="n">
        <f aca="false">KMeans_Data!H71</f>
        <v>-0.172963987436362</v>
      </c>
      <c r="C474" s="17" t="n">
        <f aca="false">KMeans_Data!I71</f>
        <v>-0.672650545388274</v>
      </c>
      <c r="D474" s="17" t="n">
        <f aca="false">KMeans_Data!J71</f>
        <v>0.597261815332999</v>
      </c>
      <c r="E474" s="63" t="n">
        <f aca="false">DN474</f>
        <v>6</v>
      </c>
      <c r="F474" s="38" t="n">
        <f aca="false">($B474-INDEX($L$401:$Q$401,E474))^2+($C474-INDEX($L$402:$Q$402,E474))^2+($D474-INDEX($L$403:$Q$403,E474))^2</f>
        <v>0.230056804405225</v>
      </c>
      <c r="G474" s="17" t="n">
        <f aca="false">IF(COUNTIF(Distance_Matrix!$E$12:$DQ$12,$E474)&lt;=1,0,SUMIF(Distance_Matrix!$E$12:$DQ$12,$E474,Distance_Matrix!$E$80:$DQ$80)/(COUNTIF(Distance_Matrix!$E$12:$DQ$12,$E474)-1))</f>
        <v>0.774482229487273</v>
      </c>
      <c r="H474" s="17" t="n">
        <f aca="false">MIN(IF(1=$E474,1E+099,IF(COUNTIF(Distance_Matrix!$E$12:$DQ$12,1)=0,1E+099,SUMIF(Distance_Matrix!$E$12:$DQ$12,1,Distance_Matrix!$E$80:$DQ$80)/COUNTIF(Distance_Matrix!$E$12:$DQ$12,1))),IF(2=$E474,1E+099,IF(COUNTIF(Distance_Matrix!$E$12:$DQ$12,2)=0,1E+099,SUMIF(Distance_Matrix!$E$12:$DQ$12,2,Distance_Matrix!$E$80:$DQ$80)/COUNTIF(Distance_Matrix!$E$12:$DQ$12,2))),IF(3=$E474,1E+099,IF(COUNTIF(Distance_Matrix!$E$12:$DQ$12,3)=0,1E+099,SUMIF(Distance_Matrix!$E$12:$DQ$12,3,Distance_Matrix!$E$80:$DQ$80)/COUNTIF(Distance_Matrix!$E$12:$DQ$12,3))),IF(4=$E474,1E+099,IF(COUNTIF(Distance_Matrix!$E$12:$DQ$12,4)=0,1E+099,SUMIF(Distance_Matrix!$E$12:$DQ$12,4,Distance_Matrix!$E$80:$DQ$80)/COUNTIF(Distance_Matrix!$E$12:$DQ$12,4))),IF(5=$E474,1E+099,IF(COUNTIF(Distance_Matrix!$E$12:$DQ$12,5)=0,1E+099,SUMIF(Distance_Matrix!$E$12:$DQ$12,5,Distance_Matrix!$E$80:$DQ$80)/COUNTIF(Distance_Matrix!$E$12:$DQ$12,5))),IF(6=$E474,1E+099,IF(COUNTIF(Distance_Matrix!$E$12:$DQ$12,6)=0,1E+099,SUMIF(Distance_Matrix!$E$12:$DQ$12,6,Distance_Matrix!$E$80:$DQ$80)/COUNTIF(Distance_Matrix!$E$12:$DQ$12,6))))</f>
        <v>1.58232336854678</v>
      </c>
      <c r="I474" s="17" t="n">
        <f aca="false">IF(COUNTIF(Distance_Matrix!$E$12:$DQ$12,$E474)&lt;=1,0,(H474-G474)/MAX(G474,H474))</f>
        <v>0.510541116384722</v>
      </c>
      <c r="X474" s="17" t="n">
        <f aca="false">SQRT(($B474-X$401)^2+($C474-X$402)^2+($D474-X$403)^2)</f>
        <v>6.41352976848323</v>
      </c>
      <c r="Y474" s="17" t="n">
        <f aca="false">SQRT(($B474-Y$401)^2+($C474-Y$402)^2+($D474-Y$403)^2)</f>
        <v>2.5833134057316</v>
      </c>
      <c r="Z474" s="17" t="n">
        <f aca="false">SQRT(($B474-Z$401)^2+($C474-Z$402)^2+($D474-Z$403)^2)</f>
        <v>1.82551676868197</v>
      </c>
      <c r="AA474" s="17" t="n">
        <f aca="false">SQRT(($B474-AA$401)^2+($C474-AA$402)^2+($D474-AA$403)^2)</f>
        <v>1.99604958037871</v>
      </c>
      <c r="AB474" s="17" t="n">
        <f aca="false">SQRT(($B474-AB$401)^2+($C474-AB$402)^2+($D474-AB$403)^2)</f>
        <v>4.2885538040986</v>
      </c>
      <c r="AC474" s="17" t="n">
        <f aca="false">SQRT(($B474-AC$401)^2+($C474-AC$402)^2+($D474-AC$403)^2)</f>
        <v>0.749420105080067</v>
      </c>
      <c r="AD474" s="63" t="n">
        <f aca="false">MATCH(MIN(X474:AC474),X474:AC474,0)</f>
        <v>6</v>
      </c>
      <c r="AF474" s="17" t="n">
        <f aca="false">SQRT(($B474-AF$401)^2+($C474-AF$402)^2+($D474-AF$403)^2)</f>
        <v>6.33814042623376</v>
      </c>
      <c r="AG474" s="17" t="n">
        <f aca="false">SQRT(($B474-AG$401)^2+($C474-AG$402)^2+($D474-AG$403)^2)</f>
        <v>2.04538000690134</v>
      </c>
      <c r="AH474" s="17" t="n">
        <f aca="false">SQRT(($B474-AH$401)^2+($C474-AH$402)^2+($D474-AH$403)^2)</f>
        <v>1.81601624023761</v>
      </c>
      <c r="AI474" s="17" t="n">
        <f aca="false">SQRT(($B474-AI$401)^2+($C474-AI$402)^2+($D474-AI$403)^2)</f>
        <v>1.49302136246308</v>
      </c>
      <c r="AJ474" s="17" t="n">
        <f aca="false">SQRT(($B474-AJ$401)^2+($C474-AJ$402)^2+($D474-AJ$403)^2)</f>
        <v>4.10667718104597</v>
      </c>
      <c r="AK474" s="17" t="n">
        <f aca="false">SQRT(($B474-AK$401)^2+($C474-AK$402)^2+($D474-AK$403)^2)</f>
        <v>0.519488499374281</v>
      </c>
      <c r="AL474" s="63" t="n">
        <f aca="false">MATCH(MIN(AF474:AK474),AF474:AK474,0)</f>
        <v>6</v>
      </c>
      <c r="AN474" s="17" t="n">
        <f aca="false">SQRT(($B474-AN$401)^2+($C474-AN$402)^2+($D474-AN$403)^2)</f>
        <v>6.33814042623376</v>
      </c>
      <c r="AO474" s="17" t="n">
        <f aca="false">SQRT(($B474-AO$401)^2+($C474-AO$402)^2+($D474-AO$403)^2)</f>
        <v>2.00355662454624</v>
      </c>
      <c r="AP474" s="17" t="n">
        <f aca="false">SQRT(($B474-AP$401)^2+($C474-AP$402)^2+($D474-AP$403)^2)</f>
        <v>1.79044182253827</v>
      </c>
      <c r="AQ474" s="17" t="n">
        <f aca="false">SQRT(($B474-AQ$401)^2+($C474-AQ$402)^2+($D474-AQ$403)^2)</f>
        <v>1.49509324138018</v>
      </c>
      <c r="AR474" s="17" t="n">
        <f aca="false">SQRT(($B474-AR$401)^2+($C474-AR$402)^2+($D474-AR$403)^2)</f>
        <v>4.10667718104597</v>
      </c>
      <c r="AS474" s="17" t="n">
        <f aca="false">SQRT(($B474-AS$401)^2+($C474-AS$402)^2+($D474-AS$403)^2)</f>
        <v>0.498410280973008</v>
      </c>
      <c r="AT474" s="63" t="n">
        <f aca="false">MATCH(MIN(AN474:AS474),AN474:AS474,0)</f>
        <v>6</v>
      </c>
      <c r="AV474" s="17" t="n">
        <f aca="false">SQRT(($B474-AV$401)^2+($C474-AV$402)^2+($D474-AV$403)^2)</f>
        <v>6.33814042623376</v>
      </c>
      <c r="AW474" s="17" t="n">
        <f aca="false">SQRT(($B474-AW$401)^2+($C474-AW$402)^2+($D474-AW$403)^2)</f>
        <v>1.97149793186992</v>
      </c>
      <c r="AX474" s="17" t="n">
        <f aca="false">SQRT(($B474-AX$401)^2+($C474-AX$402)^2+($D474-AX$403)^2)</f>
        <v>1.79044182253827</v>
      </c>
      <c r="AY474" s="17" t="n">
        <f aca="false">SQRT(($B474-AY$401)^2+($C474-AY$402)^2+($D474-AY$403)^2)</f>
        <v>1.49509324138018</v>
      </c>
      <c r="AZ474" s="17" t="n">
        <f aca="false">SQRT(($B474-AZ$401)^2+($C474-AZ$402)^2+($D474-AZ$403)^2)</f>
        <v>4.10667718104597</v>
      </c>
      <c r="BA474" s="17" t="n">
        <f aca="false">SQRT(($B474-BA$401)^2+($C474-BA$402)^2+($D474-BA$403)^2)</f>
        <v>0.487711272877115</v>
      </c>
      <c r="BB474" s="63" t="n">
        <f aca="false">MATCH(MIN(AV474:BA474),AV474:BA474,0)</f>
        <v>6</v>
      </c>
      <c r="BD474" s="17" t="n">
        <f aca="false">SQRT(($B474-BD$401)^2+($C474-BD$402)^2+($D474-BD$403)^2)</f>
        <v>6.33814042623376</v>
      </c>
      <c r="BE474" s="17" t="n">
        <f aca="false">SQRT(($B474-BE$401)^2+($C474-BE$402)^2+($D474-BE$403)^2)</f>
        <v>1.94012811381552</v>
      </c>
      <c r="BF474" s="17" t="n">
        <f aca="false">SQRT(($B474-BF$401)^2+($C474-BF$402)^2+($D474-BF$403)^2)</f>
        <v>1.79044182253827</v>
      </c>
      <c r="BG474" s="17" t="n">
        <f aca="false">SQRT(($B474-BG$401)^2+($C474-BG$402)^2+($D474-BG$403)^2)</f>
        <v>1.49509324138018</v>
      </c>
      <c r="BH474" s="17" t="n">
        <f aca="false">SQRT(($B474-BH$401)^2+($C474-BH$402)^2+($D474-BH$403)^2)</f>
        <v>4.10667718104597</v>
      </c>
      <c r="BI474" s="17" t="n">
        <f aca="false">SQRT(($B474-BI$401)^2+($C474-BI$402)^2+($D474-BI$403)^2)</f>
        <v>0.47964237136144</v>
      </c>
      <c r="BJ474" s="63" t="n">
        <f aca="false">MATCH(MIN(BD474:BI474),BD474:BI474,0)</f>
        <v>6</v>
      </c>
      <c r="BL474" s="17" t="n">
        <f aca="false">SQRT(($B474-BL$401)^2+($C474-BL$402)^2+($D474-BL$403)^2)</f>
        <v>6.33814042623376</v>
      </c>
      <c r="BM474" s="17" t="n">
        <f aca="false">SQRT(($B474-BM$401)^2+($C474-BM$402)^2+($D474-BM$403)^2)</f>
        <v>1.94012811381552</v>
      </c>
      <c r="BN474" s="17" t="n">
        <f aca="false">SQRT(($B474-BN$401)^2+($C474-BN$402)^2+($D474-BN$403)^2)</f>
        <v>1.79044182253827</v>
      </c>
      <c r="BO474" s="17" t="n">
        <f aca="false">SQRT(($B474-BO$401)^2+($C474-BO$402)^2+($D474-BO$403)^2)</f>
        <v>1.49509324138018</v>
      </c>
      <c r="BP474" s="17" t="n">
        <f aca="false">SQRT(($B474-BP$401)^2+($C474-BP$402)^2+($D474-BP$403)^2)</f>
        <v>4.10667718104597</v>
      </c>
      <c r="BQ474" s="17" t="n">
        <f aca="false">SQRT(($B474-BQ$401)^2+($C474-BQ$402)^2+($D474-BQ$403)^2)</f>
        <v>0.47964237136144</v>
      </c>
      <c r="BR474" s="63" t="n">
        <f aca="false">MATCH(MIN(BL474:BQ474),BL474:BQ474,0)</f>
        <v>6</v>
      </c>
      <c r="BT474" s="17" t="n">
        <f aca="false">SQRT(($B474-BT$401)^2+($C474-BT$402)^2+($D474-BT$403)^2)</f>
        <v>6.33814042623376</v>
      </c>
      <c r="BU474" s="17" t="n">
        <f aca="false">SQRT(($B474-BU$401)^2+($C474-BU$402)^2+($D474-BU$403)^2)</f>
        <v>1.94012811381552</v>
      </c>
      <c r="BV474" s="17" t="n">
        <f aca="false">SQRT(($B474-BV$401)^2+($C474-BV$402)^2+($D474-BV$403)^2)</f>
        <v>1.79044182253827</v>
      </c>
      <c r="BW474" s="17" t="n">
        <f aca="false">SQRT(($B474-BW$401)^2+($C474-BW$402)^2+($D474-BW$403)^2)</f>
        <v>1.49509324138018</v>
      </c>
      <c r="BX474" s="17" t="n">
        <f aca="false">SQRT(($B474-BX$401)^2+($C474-BX$402)^2+($D474-BX$403)^2)</f>
        <v>4.10667718104597</v>
      </c>
      <c r="BY474" s="17" t="n">
        <f aca="false">SQRT(($B474-BY$401)^2+($C474-BY$402)^2+($D474-BY$403)^2)</f>
        <v>0.47964237136144</v>
      </c>
      <c r="BZ474" s="63" t="n">
        <f aca="false">MATCH(MIN(BT474:BY474),BT474:BY474,0)</f>
        <v>6</v>
      </c>
      <c r="CB474" s="17" t="n">
        <f aca="false">SQRT(($B474-CB$401)^2+($C474-CB$402)^2+($D474-CB$403)^2)</f>
        <v>6.33814042623376</v>
      </c>
      <c r="CC474" s="17" t="n">
        <f aca="false">SQRT(($B474-CC$401)^2+($C474-CC$402)^2+($D474-CC$403)^2)</f>
        <v>1.94012811381552</v>
      </c>
      <c r="CD474" s="17" t="n">
        <f aca="false">SQRT(($B474-CD$401)^2+($C474-CD$402)^2+($D474-CD$403)^2)</f>
        <v>1.79044182253827</v>
      </c>
      <c r="CE474" s="17" t="n">
        <f aca="false">SQRT(($B474-CE$401)^2+($C474-CE$402)^2+($D474-CE$403)^2)</f>
        <v>1.49509324138018</v>
      </c>
      <c r="CF474" s="17" t="n">
        <f aca="false">SQRT(($B474-CF$401)^2+($C474-CF$402)^2+($D474-CF$403)^2)</f>
        <v>4.10667718104597</v>
      </c>
      <c r="CG474" s="17" t="n">
        <f aca="false">SQRT(($B474-CG$401)^2+($C474-CG$402)^2+($D474-CG$403)^2)</f>
        <v>0.47964237136144</v>
      </c>
      <c r="CH474" s="63" t="n">
        <f aca="false">MATCH(MIN(CB474:CG474),CB474:CG474,0)</f>
        <v>6</v>
      </c>
      <c r="CJ474" s="17" t="n">
        <f aca="false">SQRT(($B474-CJ$401)^2+($C474-CJ$402)^2+($D474-CJ$403)^2)</f>
        <v>6.33814042623376</v>
      </c>
      <c r="CK474" s="17" t="n">
        <f aca="false">SQRT(($B474-CK$401)^2+($C474-CK$402)^2+($D474-CK$403)^2)</f>
        <v>1.94012811381552</v>
      </c>
      <c r="CL474" s="17" t="n">
        <f aca="false">SQRT(($B474-CL$401)^2+($C474-CL$402)^2+($D474-CL$403)^2)</f>
        <v>1.79044182253827</v>
      </c>
      <c r="CM474" s="17" t="n">
        <f aca="false">SQRT(($B474-CM$401)^2+($C474-CM$402)^2+($D474-CM$403)^2)</f>
        <v>1.49509324138018</v>
      </c>
      <c r="CN474" s="17" t="n">
        <f aca="false">SQRT(($B474-CN$401)^2+($C474-CN$402)^2+($D474-CN$403)^2)</f>
        <v>4.10667718104597</v>
      </c>
      <c r="CO474" s="17" t="n">
        <f aca="false">SQRT(($B474-CO$401)^2+($C474-CO$402)^2+($D474-CO$403)^2)</f>
        <v>0.47964237136144</v>
      </c>
      <c r="CP474" s="63" t="n">
        <f aca="false">MATCH(MIN(CJ474:CO474),CJ474:CO474,0)</f>
        <v>6</v>
      </c>
      <c r="CR474" s="17" t="n">
        <f aca="false">SQRT(($B474-CR$401)^2+($C474-CR$402)^2+($D474-CR$403)^2)</f>
        <v>6.33814042623376</v>
      </c>
      <c r="CS474" s="17" t="n">
        <f aca="false">SQRT(($B474-CS$401)^2+($C474-CS$402)^2+($D474-CS$403)^2)</f>
        <v>1.94012811381552</v>
      </c>
      <c r="CT474" s="17" t="n">
        <f aca="false">SQRT(($B474-CT$401)^2+($C474-CT$402)^2+($D474-CT$403)^2)</f>
        <v>1.79044182253827</v>
      </c>
      <c r="CU474" s="17" t="n">
        <f aca="false">SQRT(($B474-CU$401)^2+($C474-CU$402)^2+($D474-CU$403)^2)</f>
        <v>1.49509324138018</v>
      </c>
      <c r="CV474" s="17" t="n">
        <f aca="false">SQRT(($B474-CV$401)^2+($C474-CV$402)^2+($D474-CV$403)^2)</f>
        <v>4.10667718104597</v>
      </c>
      <c r="CW474" s="17" t="n">
        <f aca="false">SQRT(($B474-CW$401)^2+($C474-CW$402)^2+($D474-CW$403)^2)</f>
        <v>0.47964237136144</v>
      </c>
      <c r="CX474" s="63" t="n">
        <f aca="false">MATCH(MIN(CR474:CW474),CR474:CW474,0)</f>
        <v>6</v>
      </c>
      <c r="CZ474" s="17" t="n">
        <f aca="false">SQRT(($B474-CZ$401)^2+($C474-CZ$402)^2+($D474-CZ$403)^2)</f>
        <v>6.33814042623376</v>
      </c>
      <c r="DA474" s="17" t="n">
        <f aca="false">SQRT(($B474-DA$401)^2+($C474-DA$402)^2+($D474-DA$403)^2)</f>
        <v>1.94012811381552</v>
      </c>
      <c r="DB474" s="17" t="n">
        <f aca="false">SQRT(($B474-DB$401)^2+($C474-DB$402)^2+($D474-DB$403)^2)</f>
        <v>1.79044182253827</v>
      </c>
      <c r="DC474" s="17" t="n">
        <f aca="false">SQRT(($B474-DC$401)^2+($C474-DC$402)^2+($D474-DC$403)^2)</f>
        <v>1.49509324138018</v>
      </c>
      <c r="DD474" s="17" t="n">
        <f aca="false">SQRT(($B474-DD$401)^2+($C474-DD$402)^2+($D474-DD$403)^2)</f>
        <v>4.10667718104597</v>
      </c>
      <c r="DE474" s="17" t="n">
        <f aca="false">SQRT(($B474-DE$401)^2+($C474-DE$402)^2+($D474-DE$403)^2)</f>
        <v>0.47964237136144</v>
      </c>
      <c r="DF474" s="63" t="n">
        <f aca="false">MATCH(MIN(CZ474:DE474),CZ474:DE474,0)</f>
        <v>6</v>
      </c>
      <c r="DH474" s="17" t="n">
        <f aca="false">SQRT(($B474-DH$401)^2+($C474-DH$402)^2+($D474-DH$403)^2)</f>
        <v>6.33814042623376</v>
      </c>
      <c r="DI474" s="17" t="n">
        <f aca="false">SQRT(($B474-DI$401)^2+($C474-DI$402)^2+($D474-DI$403)^2)</f>
        <v>1.94012811381552</v>
      </c>
      <c r="DJ474" s="17" t="n">
        <f aca="false">SQRT(($B474-DJ$401)^2+($C474-DJ$402)^2+($D474-DJ$403)^2)</f>
        <v>1.79044182253827</v>
      </c>
      <c r="DK474" s="17" t="n">
        <f aca="false">SQRT(($B474-DK$401)^2+($C474-DK$402)^2+($D474-DK$403)^2)</f>
        <v>1.49509324138018</v>
      </c>
      <c r="DL474" s="17" t="n">
        <f aca="false">SQRT(($B474-DL$401)^2+($C474-DL$402)^2+($D474-DL$403)^2)</f>
        <v>4.10667718104597</v>
      </c>
      <c r="DM474" s="17" t="n">
        <f aca="false">SQRT(($B474-DM$401)^2+($C474-DM$402)^2+($D474-DM$403)^2)</f>
        <v>0.47964237136144</v>
      </c>
      <c r="DN474" s="63" t="n">
        <f aca="false">MATCH(MIN(DH474:DM474),DH474:DM474,0)</f>
        <v>6</v>
      </c>
    </row>
    <row r="475" customFormat="false" ht="15" hidden="false" customHeight="false" outlineLevel="0" collapsed="false">
      <c r="A475" s="36" t="str">
        <f aca="false">KMeans_Data!A72</f>
        <v>Chitral Lower</v>
      </c>
      <c r="B475" s="17" t="n">
        <f aca="false">KMeans_Data!H72</f>
        <v>-0.214623816906368</v>
      </c>
      <c r="C475" s="17" t="n">
        <f aca="false">KMeans_Data!I72</f>
        <v>-0.672650545388274</v>
      </c>
      <c r="D475" s="17" t="n">
        <f aca="false">KMeans_Data!J72</f>
        <v>0.193727873085246</v>
      </c>
      <c r="E475" s="63" t="n">
        <f aca="false">DN475</f>
        <v>6</v>
      </c>
      <c r="F475" s="38" t="n">
        <f aca="false">($B475-INDEX($L$401:$Q$401,E475))^2+($C475-INDEX($L$402:$Q$402,E475))^2+($D475-INDEX($L$403:$Q$403,E475))^2</f>
        <v>0.0958775007191514</v>
      </c>
      <c r="G475" s="17" t="n">
        <f aca="false">IF(COUNTIF(Distance_Matrix!$E$12:$DQ$12,$E475)&lt;=1,0,SUMIF(Distance_Matrix!$E$12:$DQ$12,$E475,Distance_Matrix!$E$81:$DQ$81)/(COUNTIF(Distance_Matrix!$E$12:$DQ$12,$E475)-1))</f>
        <v>0.671234147201502</v>
      </c>
      <c r="H475" s="17" t="n">
        <f aca="false">MIN(IF(1=$E475,1E+099,IF(COUNTIF(Distance_Matrix!$E$12:$DQ$12,1)=0,1E+099,SUMIF(Distance_Matrix!$E$12:$DQ$12,1,Distance_Matrix!$E$81:$DQ$81)/COUNTIF(Distance_Matrix!$E$12:$DQ$12,1))),IF(2=$E475,1E+099,IF(COUNTIF(Distance_Matrix!$E$12:$DQ$12,2)=0,1E+099,SUMIF(Distance_Matrix!$E$12:$DQ$12,2,Distance_Matrix!$E$81:$DQ$81)/COUNTIF(Distance_Matrix!$E$12:$DQ$12,2))),IF(3=$E475,1E+099,IF(COUNTIF(Distance_Matrix!$E$12:$DQ$12,3)=0,1E+099,SUMIF(Distance_Matrix!$E$12:$DQ$12,3,Distance_Matrix!$E$81:$DQ$81)/COUNTIF(Distance_Matrix!$E$12:$DQ$12,3))),IF(4=$E475,1E+099,IF(COUNTIF(Distance_Matrix!$E$12:$DQ$12,4)=0,1E+099,SUMIF(Distance_Matrix!$E$12:$DQ$12,4,Distance_Matrix!$E$81:$DQ$81)/COUNTIF(Distance_Matrix!$E$12:$DQ$12,4))),IF(5=$E475,1E+099,IF(COUNTIF(Distance_Matrix!$E$12:$DQ$12,5)=0,1E+099,SUMIF(Distance_Matrix!$E$12:$DQ$12,5,Distance_Matrix!$E$81:$DQ$81)/COUNTIF(Distance_Matrix!$E$12:$DQ$12,5))),IF(6=$E475,1E+099,IF(COUNTIF(Distance_Matrix!$E$12:$DQ$12,6)=0,1E+099,SUMIF(Distance_Matrix!$E$12:$DQ$12,6,Distance_Matrix!$E$81:$DQ$81)/COUNTIF(Distance_Matrix!$E$12:$DQ$12,6))))</f>
        <v>1.22797210022341</v>
      </c>
      <c r="I475" s="17" t="n">
        <f aca="false">IF(COUNTIF(Distance_Matrix!$E$12:$DQ$12,$E475)&lt;=1,0,(H475-G475)/MAX(G475,H475))</f>
        <v>0.453379969235961</v>
      </c>
      <c r="X475" s="17" t="n">
        <f aca="false">SQRT(($B475-X$401)^2+($C475-X$402)^2+($D475-X$403)^2)</f>
        <v>6.61273726401933</v>
      </c>
      <c r="Y475" s="17" t="n">
        <f aca="false">SQRT(($B475-Y$401)^2+($C475-Y$402)^2+($D475-Y$403)^2)</f>
        <v>2.296207345633</v>
      </c>
      <c r="Z475" s="17" t="n">
        <f aca="false">SQRT(($B475-Z$401)^2+($C475-Z$402)^2+($D475-Z$403)^2)</f>
        <v>2.07427434150847</v>
      </c>
      <c r="AA475" s="17" t="n">
        <f aca="false">SQRT(($B475-AA$401)^2+($C475-AA$402)^2+($D475-AA$403)^2)</f>
        <v>1.67641112725911</v>
      </c>
      <c r="AB475" s="17" t="n">
        <f aca="false">SQRT(($B475-AB$401)^2+($C475-AB$402)^2+($D475-AB$403)^2)</f>
        <v>4.49447587225728</v>
      </c>
      <c r="AC475" s="17" t="n">
        <f aca="false">SQRT(($B475-AC$401)^2+($C475-AC$402)^2+($D475-AC$403)^2)</f>
        <v>0.840832848203948</v>
      </c>
      <c r="AD475" s="63" t="n">
        <f aca="false">MATCH(MIN(X475:AC475),X475:AC475,0)</f>
        <v>6</v>
      </c>
      <c r="AF475" s="17" t="n">
        <f aca="false">SQRT(($B475-AF$401)^2+($C475-AF$402)^2+($D475-AF$403)^2)</f>
        <v>6.52188972584182</v>
      </c>
      <c r="AG475" s="17" t="n">
        <f aca="false">SQRT(($B475-AG$401)^2+($C475-AG$402)^2+($D475-AG$403)^2)</f>
        <v>1.69890727108</v>
      </c>
      <c r="AH475" s="17" t="n">
        <f aca="false">SQRT(($B475-AH$401)^2+($C475-AH$402)^2+($D475-AH$403)^2)</f>
        <v>1.95497246232147</v>
      </c>
      <c r="AI475" s="17" t="n">
        <f aca="false">SQRT(($B475-AI$401)^2+($C475-AI$402)^2+($D475-AI$403)^2)</f>
        <v>1.11696404167447</v>
      </c>
      <c r="AJ475" s="17" t="n">
        <f aca="false">SQRT(($B475-AJ$401)^2+($C475-AJ$402)^2+($D475-AJ$403)^2)</f>
        <v>4.26371670755087</v>
      </c>
      <c r="AK475" s="17" t="n">
        <f aca="false">SQRT(($B475-AK$401)^2+($C475-AK$402)^2+($D475-AK$403)^2)</f>
        <v>0.288524951357945</v>
      </c>
      <c r="AL475" s="63" t="n">
        <f aca="false">MATCH(MIN(AF475:AK475),AF475:AK475,0)</f>
        <v>6</v>
      </c>
      <c r="AN475" s="17" t="n">
        <f aca="false">SQRT(($B475-AN$401)^2+($C475-AN$402)^2+($D475-AN$403)^2)</f>
        <v>6.52188972584182</v>
      </c>
      <c r="AO475" s="17" t="n">
        <f aca="false">SQRT(($B475-AO$401)^2+($C475-AO$402)^2+($D475-AO$403)^2)</f>
        <v>1.65469422475405</v>
      </c>
      <c r="AP475" s="17" t="n">
        <f aca="false">SQRT(($B475-AP$401)^2+($C475-AP$402)^2+($D475-AP$403)^2)</f>
        <v>1.92744304153096</v>
      </c>
      <c r="AQ475" s="17" t="n">
        <f aca="false">SQRT(($B475-AQ$401)^2+($C475-AQ$402)^2+($D475-AQ$403)^2)</f>
        <v>1.11741272946564</v>
      </c>
      <c r="AR475" s="17" t="n">
        <f aca="false">SQRT(($B475-AR$401)^2+($C475-AR$402)^2+($D475-AR$403)^2)</f>
        <v>4.26371670755087</v>
      </c>
      <c r="AS475" s="17" t="n">
        <f aca="false">SQRT(($B475-AS$401)^2+($C475-AS$402)^2+($D475-AS$403)^2)</f>
        <v>0.288717708455167</v>
      </c>
      <c r="AT475" s="63" t="n">
        <f aca="false">MATCH(MIN(AN475:AS475),AN475:AS475,0)</f>
        <v>6</v>
      </c>
      <c r="AV475" s="17" t="n">
        <f aca="false">SQRT(($B475-AV$401)^2+($C475-AV$402)^2+($D475-AV$403)^2)</f>
        <v>6.52188972584182</v>
      </c>
      <c r="AW475" s="17" t="n">
        <f aca="false">SQRT(($B475-AW$401)^2+($C475-AW$402)^2+($D475-AW$403)^2)</f>
        <v>1.62267563361786</v>
      </c>
      <c r="AX475" s="17" t="n">
        <f aca="false">SQRT(($B475-AX$401)^2+($C475-AX$402)^2+($D475-AX$403)^2)</f>
        <v>1.92744304153096</v>
      </c>
      <c r="AY475" s="17" t="n">
        <f aca="false">SQRT(($B475-AY$401)^2+($C475-AY$402)^2+($D475-AY$403)^2)</f>
        <v>1.11741272946564</v>
      </c>
      <c r="AZ475" s="17" t="n">
        <f aca="false">SQRT(($B475-AZ$401)^2+($C475-AZ$402)^2+($D475-AZ$403)^2)</f>
        <v>4.26371670755087</v>
      </c>
      <c r="BA475" s="17" t="n">
        <f aca="false">SQRT(($B475-BA$401)^2+($C475-BA$402)^2+($D475-BA$403)^2)</f>
        <v>0.297914965325925</v>
      </c>
      <c r="BB475" s="63" t="n">
        <f aca="false">MATCH(MIN(AV475:BA475),AV475:BA475,0)</f>
        <v>6</v>
      </c>
      <c r="BD475" s="17" t="n">
        <f aca="false">SQRT(($B475-BD$401)^2+($C475-BD$402)^2+($D475-BD$403)^2)</f>
        <v>6.52188972584182</v>
      </c>
      <c r="BE475" s="17" t="n">
        <f aca="false">SQRT(($B475-BE$401)^2+($C475-BE$402)^2+($D475-BE$403)^2)</f>
        <v>1.59172441714976</v>
      </c>
      <c r="BF475" s="17" t="n">
        <f aca="false">SQRT(($B475-BF$401)^2+($C475-BF$402)^2+($D475-BF$403)^2)</f>
        <v>1.92744304153096</v>
      </c>
      <c r="BG475" s="17" t="n">
        <f aca="false">SQRT(($B475-BG$401)^2+($C475-BG$402)^2+($D475-BG$403)^2)</f>
        <v>1.11741272946564</v>
      </c>
      <c r="BH475" s="17" t="n">
        <f aca="false">SQRT(($B475-BH$401)^2+($C475-BH$402)^2+($D475-BH$403)^2)</f>
        <v>4.26371670755087</v>
      </c>
      <c r="BI475" s="17" t="n">
        <f aca="false">SQRT(($B475-BI$401)^2+($C475-BI$402)^2+($D475-BI$403)^2)</f>
        <v>0.309640922229526</v>
      </c>
      <c r="BJ475" s="63" t="n">
        <f aca="false">MATCH(MIN(BD475:BI475),BD475:BI475,0)</f>
        <v>6</v>
      </c>
      <c r="BL475" s="17" t="n">
        <f aca="false">SQRT(($B475-BL$401)^2+($C475-BL$402)^2+($D475-BL$403)^2)</f>
        <v>6.52188972584182</v>
      </c>
      <c r="BM475" s="17" t="n">
        <f aca="false">SQRT(($B475-BM$401)^2+($C475-BM$402)^2+($D475-BM$403)^2)</f>
        <v>1.59172441714976</v>
      </c>
      <c r="BN475" s="17" t="n">
        <f aca="false">SQRT(($B475-BN$401)^2+($C475-BN$402)^2+($D475-BN$403)^2)</f>
        <v>1.92744304153096</v>
      </c>
      <c r="BO475" s="17" t="n">
        <f aca="false">SQRT(($B475-BO$401)^2+($C475-BO$402)^2+($D475-BO$403)^2)</f>
        <v>1.11741272946564</v>
      </c>
      <c r="BP475" s="17" t="n">
        <f aca="false">SQRT(($B475-BP$401)^2+($C475-BP$402)^2+($D475-BP$403)^2)</f>
        <v>4.26371670755087</v>
      </c>
      <c r="BQ475" s="17" t="n">
        <f aca="false">SQRT(($B475-BQ$401)^2+($C475-BQ$402)^2+($D475-BQ$403)^2)</f>
        <v>0.309640922229526</v>
      </c>
      <c r="BR475" s="63" t="n">
        <f aca="false">MATCH(MIN(BL475:BQ475),BL475:BQ475,0)</f>
        <v>6</v>
      </c>
      <c r="BT475" s="17" t="n">
        <f aca="false">SQRT(($B475-BT$401)^2+($C475-BT$402)^2+($D475-BT$403)^2)</f>
        <v>6.52188972584182</v>
      </c>
      <c r="BU475" s="17" t="n">
        <f aca="false">SQRT(($B475-BU$401)^2+($C475-BU$402)^2+($D475-BU$403)^2)</f>
        <v>1.59172441714976</v>
      </c>
      <c r="BV475" s="17" t="n">
        <f aca="false">SQRT(($B475-BV$401)^2+($C475-BV$402)^2+($D475-BV$403)^2)</f>
        <v>1.92744304153096</v>
      </c>
      <c r="BW475" s="17" t="n">
        <f aca="false">SQRT(($B475-BW$401)^2+($C475-BW$402)^2+($D475-BW$403)^2)</f>
        <v>1.11741272946564</v>
      </c>
      <c r="BX475" s="17" t="n">
        <f aca="false">SQRT(($B475-BX$401)^2+($C475-BX$402)^2+($D475-BX$403)^2)</f>
        <v>4.26371670755087</v>
      </c>
      <c r="BY475" s="17" t="n">
        <f aca="false">SQRT(($B475-BY$401)^2+($C475-BY$402)^2+($D475-BY$403)^2)</f>
        <v>0.309640922229526</v>
      </c>
      <c r="BZ475" s="63" t="n">
        <f aca="false">MATCH(MIN(BT475:BY475),BT475:BY475,0)</f>
        <v>6</v>
      </c>
      <c r="CB475" s="17" t="n">
        <f aca="false">SQRT(($B475-CB$401)^2+($C475-CB$402)^2+($D475-CB$403)^2)</f>
        <v>6.52188972584182</v>
      </c>
      <c r="CC475" s="17" t="n">
        <f aca="false">SQRT(($B475-CC$401)^2+($C475-CC$402)^2+($D475-CC$403)^2)</f>
        <v>1.59172441714976</v>
      </c>
      <c r="CD475" s="17" t="n">
        <f aca="false">SQRT(($B475-CD$401)^2+($C475-CD$402)^2+($D475-CD$403)^2)</f>
        <v>1.92744304153096</v>
      </c>
      <c r="CE475" s="17" t="n">
        <f aca="false">SQRT(($B475-CE$401)^2+($C475-CE$402)^2+($D475-CE$403)^2)</f>
        <v>1.11741272946564</v>
      </c>
      <c r="CF475" s="17" t="n">
        <f aca="false">SQRT(($B475-CF$401)^2+($C475-CF$402)^2+($D475-CF$403)^2)</f>
        <v>4.26371670755087</v>
      </c>
      <c r="CG475" s="17" t="n">
        <f aca="false">SQRT(($B475-CG$401)^2+($C475-CG$402)^2+($D475-CG$403)^2)</f>
        <v>0.309640922229526</v>
      </c>
      <c r="CH475" s="63" t="n">
        <f aca="false">MATCH(MIN(CB475:CG475),CB475:CG475,0)</f>
        <v>6</v>
      </c>
      <c r="CJ475" s="17" t="n">
        <f aca="false">SQRT(($B475-CJ$401)^2+($C475-CJ$402)^2+($D475-CJ$403)^2)</f>
        <v>6.52188972584182</v>
      </c>
      <c r="CK475" s="17" t="n">
        <f aca="false">SQRT(($B475-CK$401)^2+($C475-CK$402)^2+($D475-CK$403)^2)</f>
        <v>1.59172441714976</v>
      </c>
      <c r="CL475" s="17" t="n">
        <f aca="false">SQRT(($B475-CL$401)^2+($C475-CL$402)^2+($D475-CL$403)^2)</f>
        <v>1.92744304153096</v>
      </c>
      <c r="CM475" s="17" t="n">
        <f aca="false">SQRT(($B475-CM$401)^2+($C475-CM$402)^2+($D475-CM$403)^2)</f>
        <v>1.11741272946564</v>
      </c>
      <c r="CN475" s="17" t="n">
        <f aca="false">SQRT(($B475-CN$401)^2+($C475-CN$402)^2+($D475-CN$403)^2)</f>
        <v>4.26371670755087</v>
      </c>
      <c r="CO475" s="17" t="n">
        <f aca="false">SQRT(($B475-CO$401)^2+($C475-CO$402)^2+($D475-CO$403)^2)</f>
        <v>0.309640922229526</v>
      </c>
      <c r="CP475" s="63" t="n">
        <f aca="false">MATCH(MIN(CJ475:CO475),CJ475:CO475,0)</f>
        <v>6</v>
      </c>
      <c r="CR475" s="17" t="n">
        <f aca="false">SQRT(($B475-CR$401)^2+($C475-CR$402)^2+($D475-CR$403)^2)</f>
        <v>6.52188972584182</v>
      </c>
      <c r="CS475" s="17" t="n">
        <f aca="false">SQRT(($B475-CS$401)^2+($C475-CS$402)^2+($D475-CS$403)^2)</f>
        <v>1.59172441714976</v>
      </c>
      <c r="CT475" s="17" t="n">
        <f aca="false">SQRT(($B475-CT$401)^2+($C475-CT$402)^2+($D475-CT$403)^2)</f>
        <v>1.92744304153096</v>
      </c>
      <c r="CU475" s="17" t="n">
        <f aca="false">SQRT(($B475-CU$401)^2+($C475-CU$402)^2+($D475-CU$403)^2)</f>
        <v>1.11741272946564</v>
      </c>
      <c r="CV475" s="17" t="n">
        <f aca="false">SQRT(($B475-CV$401)^2+($C475-CV$402)^2+($D475-CV$403)^2)</f>
        <v>4.26371670755087</v>
      </c>
      <c r="CW475" s="17" t="n">
        <f aca="false">SQRT(($B475-CW$401)^2+($C475-CW$402)^2+($D475-CW$403)^2)</f>
        <v>0.309640922229526</v>
      </c>
      <c r="CX475" s="63" t="n">
        <f aca="false">MATCH(MIN(CR475:CW475),CR475:CW475,0)</f>
        <v>6</v>
      </c>
      <c r="CZ475" s="17" t="n">
        <f aca="false">SQRT(($B475-CZ$401)^2+($C475-CZ$402)^2+($D475-CZ$403)^2)</f>
        <v>6.52188972584182</v>
      </c>
      <c r="DA475" s="17" t="n">
        <f aca="false">SQRT(($B475-DA$401)^2+($C475-DA$402)^2+($D475-DA$403)^2)</f>
        <v>1.59172441714976</v>
      </c>
      <c r="DB475" s="17" t="n">
        <f aca="false">SQRT(($B475-DB$401)^2+($C475-DB$402)^2+($D475-DB$403)^2)</f>
        <v>1.92744304153096</v>
      </c>
      <c r="DC475" s="17" t="n">
        <f aca="false">SQRT(($B475-DC$401)^2+($C475-DC$402)^2+($D475-DC$403)^2)</f>
        <v>1.11741272946564</v>
      </c>
      <c r="DD475" s="17" t="n">
        <f aca="false">SQRT(($B475-DD$401)^2+($C475-DD$402)^2+($D475-DD$403)^2)</f>
        <v>4.26371670755087</v>
      </c>
      <c r="DE475" s="17" t="n">
        <f aca="false">SQRT(($B475-DE$401)^2+($C475-DE$402)^2+($D475-DE$403)^2)</f>
        <v>0.309640922229526</v>
      </c>
      <c r="DF475" s="63" t="n">
        <f aca="false">MATCH(MIN(CZ475:DE475),CZ475:DE475,0)</f>
        <v>6</v>
      </c>
      <c r="DH475" s="17" t="n">
        <f aca="false">SQRT(($B475-DH$401)^2+($C475-DH$402)^2+($D475-DH$403)^2)</f>
        <v>6.52188972584182</v>
      </c>
      <c r="DI475" s="17" t="n">
        <f aca="false">SQRT(($B475-DI$401)^2+($C475-DI$402)^2+($D475-DI$403)^2)</f>
        <v>1.59172441714976</v>
      </c>
      <c r="DJ475" s="17" t="n">
        <f aca="false">SQRT(($B475-DJ$401)^2+($C475-DJ$402)^2+($D475-DJ$403)^2)</f>
        <v>1.92744304153096</v>
      </c>
      <c r="DK475" s="17" t="n">
        <f aca="false">SQRT(($B475-DK$401)^2+($C475-DK$402)^2+($D475-DK$403)^2)</f>
        <v>1.11741272946564</v>
      </c>
      <c r="DL475" s="17" t="n">
        <f aca="false">SQRT(($B475-DL$401)^2+($C475-DL$402)^2+($D475-DL$403)^2)</f>
        <v>4.26371670755087</v>
      </c>
      <c r="DM475" s="17" t="n">
        <f aca="false">SQRT(($B475-DM$401)^2+($C475-DM$402)^2+($D475-DM$403)^2)</f>
        <v>0.309640922229526</v>
      </c>
      <c r="DN475" s="63" t="n">
        <f aca="false">MATCH(MIN(DH475:DM475),DH475:DM475,0)</f>
        <v>6</v>
      </c>
    </row>
    <row r="476" customFormat="false" ht="15" hidden="false" customHeight="false" outlineLevel="0" collapsed="false">
      <c r="A476" s="36" t="str">
        <f aca="false">KMeans_Data!A73</f>
        <v>Sujawal</v>
      </c>
      <c r="B476" s="17" t="n">
        <f aca="false">KMeans_Data!H73</f>
        <v>-0.214623816906368</v>
      </c>
      <c r="C476" s="17" t="n">
        <f aca="false">KMeans_Data!I73</f>
        <v>-0.672650545388274</v>
      </c>
      <c r="D476" s="17" t="n">
        <f aca="false">KMeans_Data!J73</f>
        <v>0.109241721582438</v>
      </c>
      <c r="E476" s="63" t="n">
        <f aca="false">DN476</f>
        <v>6</v>
      </c>
      <c r="F476" s="38" t="n">
        <f aca="false">($B476-INDEX($L$401:$Q$401,E476))^2+($C476-INDEX($L$402:$Q$402,E476))^2+($D476-INDEX($L$403:$Q$403,E476))^2</f>
        <v>0.108925863781802</v>
      </c>
      <c r="G476" s="17" t="n">
        <f aca="false">IF(COUNTIF(Distance_Matrix!$E$12:$DQ$12,$E476)&lt;=1,0,SUMIF(Distance_Matrix!$E$12:$DQ$12,$E476,Distance_Matrix!$E$82:$DQ$82)/(COUNTIF(Distance_Matrix!$E$12:$DQ$12,$E476)-1))</f>
        <v>0.676758288487373</v>
      </c>
      <c r="H476" s="17" t="n">
        <f aca="false">MIN(IF(1=$E476,1E+099,IF(COUNTIF(Distance_Matrix!$E$12:$DQ$12,1)=0,1E+099,SUMIF(Distance_Matrix!$E$12:$DQ$12,1,Distance_Matrix!$E$82:$DQ$82)/COUNTIF(Distance_Matrix!$E$12:$DQ$12,1))),IF(2=$E476,1E+099,IF(COUNTIF(Distance_Matrix!$E$12:$DQ$12,2)=0,1E+099,SUMIF(Distance_Matrix!$E$12:$DQ$12,2,Distance_Matrix!$E$82:$DQ$82)/COUNTIF(Distance_Matrix!$E$12:$DQ$12,2))),IF(3=$E476,1E+099,IF(COUNTIF(Distance_Matrix!$E$12:$DQ$12,3)=0,1E+099,SUMIF(Distance_Matrix!$E$12:$DQ$12,3,Distance_Matrix!$E$82:$DQ$82)/COUNTIF(Distance_Matrix!$E$12:$DQ$12,3))),IF(4=$E476,1E+099,IF(COUNTIF(Distance_Matrix!$E$12:$DQ$12,4)=0,1E+099,SUMIF(Distance_Matrix!$E$12:$DQ$12,4,Distance_Matrix!$E$82:$DQ$82)/COUNTIF(Distance_Matrix!$E$12:$DQ$12,4))),IF(5=$E476,1E+099,IF(COUNTIF(Distance_Matrix!$E$12:$DQ$12,5)=0,1E+099,SUMIF(Distance_Matrix!$E$12:$DQ$12,5,Distance_Matrix!$E$82:$DQ$82)/COUNTIF(Distance_Matrix!$E$12:$DQ$12,5))),IF(6=$E476,1E+099,IF(COUNTIF(Distance_Matrix!$E$12:$DQ$12,6)=0,1E+099,SUMIF(Distance_Matrix!$E$12:$DQ$12,6,Distance_Matrix!$E$82:$DQ$82)/COUNTIF(Distance_Matrix!$E$12:$DQ$12,6))))</f>
        <v>1.15536770239855</v>
      </c>
      <c r="I476" s="17" t="n">
        <f aca="false">IF(COUNTIF(Distance_Matrix!$E$12:$DQ$12,$E476)&lt;=1,0,(H476-G476)/MAX(G476,H476))</f>
        <v>0.414248565991225</v>
      </c>
      <c r="X476" s="17" t="n">
        <f aca="false">SQRT(($B476-X$401)^2+($C476-X$402)^2+($D476-X$403)^2)</f>
        <v>6.65224140953836</v>
      </c>
      <c r="Y476" s="17" t="n">
        <f aca="false">SQRT(($B476-Y$401)^2+($C476-Y$402)^2+($D476-Y$403)^2)</f>
        <v>2.24797449147035</v>
      </c>
      <c r="Z476" s="17" t="n">
        <f aca="false">SQRT(($B476-Z$401)^2+($C476-Z$402)^2+($D476-Z$403)^2)</f>
        <v>2.12731637682969</v>
      </c>
      <c r="AA476" s="17" t="n">
        <f aca="false">SQRT(($B476-AA$401)^2+($C476-AA$402)^2+($D476-AA$403)^2)</f>
        <v>1.60971283394294</v>
      </c>
      <c r="AB476" s="17" t="n">
        <f aca="false">SQRT(($B476-AB$401)^2+($C476-AB$402)^2+($D476-AB$403)^2)</f>
        <v>4.53603119642052</v>
      </c>
      <c r="AC476" s="17" t="n">
        <f aca="false">SQRT(($B476-AC$401)^2+($C476-AC$402)^2+($D476-AC$403)^2)</f>
        <v>0.88747085342916</v>
      </c>
      <c r="AD476" s="63" t="n">
        <f aca="false">MATCH(MIN(X476:AC476),X476:AC476,0)</f>
        <v>6</v>
      </c>
      <c r="AF476" s="17" t="n">
        <f aca="false">SQRT(($B476-AF$401)^2+($C476-AF$402)^2+($D476-AF$403)^2)</f>
        <v>6.55825619134322</v>
      </c>
      <c r="AG476" s="17" t="n">
        <f aca="false">SQRT(($B476-AG$401)^2+($C476-AG$402)^2+($D476-AG$403)^2)</f>
        <v>1.63571591884085</v>
      </c>
      <c r="AH476" s="17" t="n">
        <f aca="false">SQRT(($B476-AH$401)^2+($C476-AH$402)^2+($D476-AH$403)^2)</f>
        <v>1.98898053529323</v>
      </c>
      <c r="AI476" s="17" t="n">
        <f aca="false">SQRT(($B476-AI$401)^2+($C476-AI$402)^2+($D476-AI$403)^2)</f>
        <v>1.03800626894543</v>
      </c>
      <c r="AJ476" s="17" t="n">
        <f aca="false">SQRT(($B476-AJ$401)^2+($C476-AJ$402)^2+($D476-AJ$403)^2)</f>
        <v>4.29602323753053</v>
      </c>
      <c r="AK476" s="17" t="n">
        <f aca="false">SQRT(($B476-AK$401)^2+($C476-AK$402)^2+($D476-AK$403)^2)</f>
        <v>0.294354849222898</v>
      </c>
      <c r="AL476" s="63" t="n">
        <f aca="false">MATCH(MIN(AF476:AK476),AF476:AK476,0)</f>
        <v>6</v>
      </c>
      <c r="AN476" s="17" t="n">
        <f aca="false">SQRT(($B476-AN$401)^2+($C476-AN$402)^2+($D476-AN$403)^2)</f>
        <v>6.55825619134322</v>
      </c>
      <c r="AO476" s="17" t="n">
        <f aca="false">SQRT(($B476-AO$401)^2+($C476-AO$402)^2+($D476-AO$403)^2)</f>
        <v>1.59089872542998</v>
      </c>
      <c r="AP476" s="17" t="n">
        <f aca="false">SQRT(($B476-AP$401)^2+($C476-AP$402)^2+($D476-AP$403)^2)</f>
        <v>1.96126985725204</v>
      </c>
      <c r="AQ476" s="17" t="n">
        <f aca="false">SQRT(($B476-AQ$401)^2+($C476-AQ$402)^2+($D476-AQ$403)^2)</f>
        <v>1.03801338528629</v>
      </c>
      <c r="AR476" s="17" t="n">
        <f aca="false">SQRT(($B476-AR$401)^2+($C476-AR$402)^2+($D476-AR$403)^2)</f>
        <v>4.29602323753053</v>
      </c>
      <c r="AS476" s="17" t="n">
        <f aca="false">SQRT(($B476-AS$401)^2+($C476-AS$402)^2+($D476-AS$403)^2)</f>
        <v>0.300962844447689</v>
      </c>
      <c r="AT476" s="63" t="n">
        <f aca="false">MATCH(MIN(AN476:AS476),AN476:AS476,0)</f>
        <v>6</v>
      </c>
      <c r="AV476" s="17" t="n">
        <f aca="false">SQRT(($B476-AV$401)^2+($C476-AV$402)^2+($D476-AV$403)^2)</f>
        <v>6.55825619134322</v>
      </c>
      <c r="AW476" s="17" t="n">
        <f aca="false">SQRT(($B476-AW$401)^2+($C476-AW$402)^2+($D476-AW$403)^2)</f>
        <v>1.55897484111091</v>
      </c>
      <c r="AX476" s="17" t="n">
        <f aca="false">SQRT(($B476-AX$401)^2+($C476-AX$402)^2+($D476-AX$403)^2)</f>
        <v>1.96126985725204</v>
      </c>
      <c r="AY476" s="17" t="n">
        <f aca="false">SQRT(($B476-AY$401)^2+($C476-AY$402)^2+($D476-AY$403)^2)</f>
        <v>1.03801338528629</v>
      </c>
      <c r="AZ476" s="17" t="n">
        <f aca="false">SQRT(($B476-AZ$401)^2+($C476-AZ$402)^2+($D476-AZ$403)^2)</f>
        <v>4.29602323753053</v>
      </c>
      <c r="BA476" s="17" t="n">
        <f aca="false">SQRT(($B476-BA$401)^2+($C476-BA$402)^2+($D476-BA$403)^2)</f>
        <v>0.314667872574547</v>
      </c>
      <c r="BB476" s="63" t="n">
        <f aca="false">MATCH(MIN(AV476:BA476),AV476:BA476,0)</f>
        <v>6</v>
      </c>
      <c r="BD476" s="17" t="n">
        <f aca="false">SQRT(($B476-BD$401)^2+($C476-BD$402)^2+($D476-BD$403)^2)</f>
        <v>6.55825619134322</v>
      </c>
      <c r="BE476" s="17" t="n">
        <f aca="false">SQRT(($B476-BE$401)^2+($C476-BE$402)^2+($D476-BE$403)^2)</f>
        <v>1.52823354800502</v>
      </c>
      <c r="BF476" s="17" t="n">
        <f aca="false">SQRT(($B476-BF$401)^2+($C476-BF$402)^2+($D476-BF$403)^2)</f>
        <v>1.96126985725204</v>
      </c>
      <c r="BG476" s="17" t="n">
        <f aca="false">SQRT(($B476-BG$401)^2+($C476-BG$402)^2+($D476-BG$403)^2)</f>
        <v>1.03801338528629</v>
      </c>
      <c r="BH476" s="17" t="n">
        <f aca="false">SQRT(($B476-BH$401)^2+($C476-BH$402)^2+($D476-BH$403)^2)</f>
        <v>4.29602323753053</v>
      </c>
      <c r="BI476" s="17" t="n">
        <f aca="false">SQRT(($B476-BI$401)^2+($C476-BI$402)^2+($D476-BI$403)^2)</f>
        <v>0.330039185221697</v>
      </c>
      <c r="BJ476" s="63" t="n">
        <f aca="false">MATCH(MIN(BD476:BI476),BD476:BI476,0)</f>
        <v>6</v>
      </c>
      <c r="BL476" s="17" t="n">
        <f aca="false">SQRT(($B476-BL$401)^2+($C476-BL$402)^2+($D476-BL$403)^2)</f>
        <v>6.55825619134322</v>
      </c>
      <c r="BM476" s="17" t="n">
        <f aca="false">SQRT(($B476-BM$401)^2+($C476-BM$402)^2+($D476-BM$403)^2)</f>
        <v>1.52823354800502</v>
      </c>
      <c r="BN476" s="17" t="n">
        <f aca="false">SQRT(($B476-BN$401)^2+($C476-BN$402)^2+($D476-BN$403)^2)</f>
        <v>1.96126985725204</v>
      </c>
      <c r="BO476" s="17" t="n">
        <f aca="false">SQRT(($B476-BO$401)^2+($C476-BO$402)^2+($D476-BO$403)^2)</f>
        <v>1.03801338528629</v>
      </c>
      <c r="BP476" s="17" t="n">
        <f aca="false">SQRT(($B476-BP$401)^2+($C476-BP$402)^2+($D476-BP$403)^2)</f>
        <v>4.29602323753053</v>
      </c>
      <c r="BQ476" s="17" t="n">
        <f aca="false">SQRT(($B476-BQ$401)^2+($C476-BQ$402)^2+($D476-BQ$403)^2)</f>
        <v>0.330039185221697</v>
      </c>
      <c r="BR476" s="63" t="n">
        <f aca="false">MATCH(MIN(BL476:BQ476),BL476:BQ476,0)</f>
        <v>6</v>
      </c>
      <c r="BT476" s="17" t="n">
        <f aca="false">SQRT(($B476-BT$401)^2+($C476-BT$402)^2+($D476-BT$403)^2)</f>
        <v>6.55825619134322</v>
      </c>
      <c r="BU476" s="17" t="n">
        <f aca="false">SQRT(($B476-BU$401)^2+($C476-BU$402)^2+($D476-BU$403)^2)</f>
        <v>1.52823354800502</v>
      </c>
      <c r="BV476" s="17" t="n">
        <f aca="false">SQRT(($B476-BV$401)^2+($C476-BV$402)^2+($D476-BV$403)^2)</f>
        <v>1.96126985725204</v>
      </c>
      <c r="BW476" s="17" t="n">
        <f aca="false">SQRT(($B476-BW$401)^2+($C476-BW$402)^2+($D476-BW$403)^2)</f>
        <v>1.03801338528629</v>
      </c>
      <c r="BX476" s="17" t="n">
        <f aca="false">SQRT(($B476-BX$401)^2+($C476-BX$402)^2+($D476-BX$403)^2)</f>
        <v>4.29602323753053</v>
      </c>
      <c r="BY476" s="17" t="n">
        <f aca="false">SQRT(($B476-BY$401)^2+($C476-BY$402)^2+($D476-BY$403)^2)</f>
        <v>0.330039185221697</v>
      </c>
      <c r="BZ476" s="63" t="n">
        <f aca="false">MATCH(MIN(BT476:BY476),BT476:BY476,0)</f>
        <v>6</v>
      </c>
      <c r="CB476" s="17" t="n">
        <f aca="false">SQRT(($B476-CB$401)^2+($C476-CB$402)^2+($D476-CB$403)^2)</f>
        <v>6.55825619134322</v>
      </c>
      <c r="CC476" s="17" t="n">
        <f aca="false">SQRT(($B476-CC$401)^2+($C476-CC$402)^2+($D476-CC$403)^2)</f>
        <v>1.52823354800502</v>
      </c>
      <c r="CD476" s="17" t="n">
        <f aca="false">SQRT(($B476-CD$401)^2+($C476-CD$402)^2+($D476-CD$403)^2)</f>
        <v>1.96126985725204</v>
      </c>
      <c r="CE476" s="17" t="n">
        <f aca="false">SQRT(($B476-CE$401)^2+($C476-CE$402)^2+($D476-CE$403)^2)</f>
        <v>1.03801338528629</v>
      </c>
      <c r="CF476" s="17" t="n">
        <f aca="false">SQRT(($B476-CF$401)^2+($C476-CF$402)^2+($D476-CF$403)^2)</f>
        <v>4.29602323753053</v>
      </c>
      <c r="CG476" s="17" t="n">
        <f aca="false">SQRT(($B476-CG$401)^2+($C476-CG$402)^2+($D476-CG$403)^2)</f>
        <v>0.330039185221697</v>
      </c>
      <c r="CH476" s="63" t="n">
        <f aca="false">MATCH(MIN(CB476:CG476),CB476:CG476,0)</f>
        <v>6</v>
      </c>
      <c r="CJ476" s="17" t="n">
        <f aca="false">SQRT(($B476-CJ$401)^2+($C476-CJ$402)^2+($D476-CJ$403)^2)</f>
        <v>6.55825619134322</v>
      </c>
      <c r="CK476" s="17" t="n">
        <f aca="false">SQRT(($B476-CK$401)^2+($C476-CK$402)^2+($D476-CK$403)^2)</f>
        <v>1.52823354800502</v>
      </c>
      <c r="CL476" s="17" t="n">
        <f aca="false">SQRT(($B476-CL$401)^2+($C476-CL$402)^2+($D476-CL$403)^2)</f>
        <v>1.96126985725204</v>
      </c>
      <c r="CM476" s="17" t="n">
        <f aca="false">SQRT(($B476-CM$401)^2+($C476-CM$402)^2+($D476-CM$403)^2)</f>
        <v>1.03801338528629</v>
      </c>
      <c r="CN476" s="17" t="n">
        <f aca="false">SQRT(($B476-CN$401)^2+($C476-CN$402)^2+($D476-CN$403)^2)</f>
        <v>4.29602323753053</v>
      </c>
      <c r="CO476" s="17" t="n">
        <f aca="false">SQRT(($B476-CO$401)^2+($C476-CO$402)^2+($D476-CO$403)^2)</f>
        <v>0.330039185221697</v>
      </c>
      <c r="CP476" s="63" t="n">
        <f aca="false">MATCH(MIN(CJ476:CO476),CJ476:CO476,0)</f>
        <v>6</v>
      </c>
      <c r="CR476" s="17" t="n">
        <f aca="false">SQRT(($B476-CR$401)^2+($C476-CR$402)^2+($D476-CR$403)^2)</f>
        <v>6.55825619134322</v>
      </c>
      <c r="CS476" s="17" t="n">
        <f aca="false">SQRT(($B476-CS$401)^2+($C476-CS$402)^2+($D476-CS$403)^2)</f>
        <v>1.52823354800502</v>
      </c>
      <c r="CT476" s="17" t="n">
        <f aca="false">SQRT(($B476-CT$401)^2+($C476-CT$402)^2+($D476-CT$403)^2)</f>
        <v>1.96126985725204</v>
      </c>
      <c r="CU476" s="17" t="n">
        <f aca="false">SQRT(($B476-CU$401)^2+($C476-CU$402)^2+($D476-CU$403)^2)</f>
        <v>1.03801338528629</v>
      </c>
      <c r="CV476" s="17" t="n">
        <f aca="false">SQRT(($B476-CV$401)^2+($C476-CV$402)^2+($D476-CV$403)^2)</f>
        <v>4.29602323753053</v>
      </c>
      <c r="CW476" s="17" t="n">
        <f aca="false">SQRT(($B476-CW$401)^2+($C476-CW$402)^2+($D476-CW$403)^2)</f>
        <v>0.330039185221697</v>
      </c>
      <c r="CX476" s="63" t="n">
        <f aca="false">MATCH(MIN(CR476:CW476),CR476:CW476,0)</f>
        <v>6</v>
      </c>
      <c r="CZ476" s="17" t="n">
        <f aca="false">SQRT(($B476-CZ$401)^2+($C476-CZ$402)^2+($D476-CZ$403)^2)</f>
        <v>6.55825619134322</v>
      </c>
      <c r="DA476" s="17" t="n">
        <f aca="false">SQRT(($B476-DA$401)^2+($C476-DA$402)^2+($D476-DA$403)^2)</f>
        <v>1.52823354800502</v>
      </c>
      <c r="DB476" s="17" t="n">
        <f aca="false">SQRT(($B476-DB$401)^2+($C476-DB$402)^2+($D476-DB$403)^2)</f>
        <v>1.96126985725204</v>
      </c>
      <c r="DC476" s="17" t="n">
        <f aca="false">SQRT(($B476-DC$401)^2+($C476-DC$402)^2+($D476-DC$403)^2)</f>
        <v>1.03801338528629</v>
      </c>
      <c r="DD476" s="17" t="n">
        <f aca="false">SQRT(($B476-DD$401)^2+($C476-DD$402)^2+($D476-DD$403)^2)</f>
        <v>4.29602323753053</v>
      </c>
      <c r="DE476" s="17" t="n">
        <f aca="false">SQRT(($B476-DE$401)^2+($C476-DE$402)^2+($D476-DE$403)^2)</f>
        <v>0.330039185221697</v>
      </c>
      <c r="DF476" s="63" t="n">
        <f aca="false">MATCH(MIN(CZ476:DE476),CZ476:DE476,0)</f>
        <v>6</v>
      </c>
      <c r="DH476" s="17" t="n">
        <f aca="false">SQRT(($B476-DH$401)^2+($C476-DH$402)^2+($D476-DH$403)^2)</f>
        <v>6.55825619134322</v>
      </c>
      <c r="DI476" s="17" t="n">
        <f aca="false">SQRT(($B476-DI$401)^2+($C476-DI$402)^2+($D476-DI$403)^2)</f>
        <v>1.52823354800502</v>
      </c>
      <c r="DJ476" s="17" t="n">
        <f aca="false">SQRT(($B476-DJ$401)^2+($C476-DJ$402)^2+($D476-DJ$403)^2)</f>
        <v>1.96126985725204</v>
      </c>
      <c r="DK476" s="17" t="n">
        <f aca="false">SQRT(($B476-DK$401)^2+($C476-DK$402)^2+($D476-DK$403)^2)</f>
        <v>1.03801338528629</v>
      </c>
      <c r="DL476" s="17" t="n">
        <f aca="false">SQRT(($B476-DL$401)^2+($C476-DL$402)^2+($D476-DL$403)^2)</f>
        <v>4.29602323753053</v>
      </c>
      <c r="DM476" s="17" t="n">
        <f aca="false">SQRT(($B476-DM$401)^2+($C476-DM$402)^2+($D476-DM$403)^2)</f>
        <v>0.330039185221697</v>
      </c>
      <c r="DN476" s="63" t="n">
        <f aca="false">MATCH(MIN(DH476:DM476),DH476:DM476,0)</f>
        <v>6</v>
      </c>
    </row>
    <row r="477" customFormat="false" ht="15" hidden="false" customHeight="false" outlineLevel="0" collapsed="false">
      <c r="A477" s="36" t="str">
        <f aca="false">KMeans_Data!A74</f>
        <v>Laiya</v>
      </c>
      <c r="B477" s="17" t="n">
        <f aca="false">KMeans_Data!H74</f>
        <v>-0.259910629817831</v>
      </c>
      <c r="C477" s="17" t="n">
        <f aca="false">KMeans_Data!I74</f>
        <v>-0.672650545388274</v>
      </c>
      <c r="D477" s="17" t="n">
        <f aca="false">KMeans_Data!J74</f>
        <v>-1.14564411633355</v>
      </c>
      <c r="E477" s="63" t="n">
        <f aca="false">DN477</f>
        <v>4</v>
      </c>
      <c r="F477" s="38" t="n">
        <f aca="false">($B477-INDEX($L$401:$Q$401,E477))^2+($C477-INDEX($L$402:$Q$402,E477))^2+($D477-INDEX($L$403:$Q$403,E477))^2</f>
        <v>0.250274933346166</v>
      </c>
      <c r="G477" s="17" t="n">
        <f aca="false">IF(COUNTIF(Distance_Matrix!$E$12:$DQ$12,$E477)&lt;=1,0,SUMIF(Distance_Matrix!$E$12:$DQ$12,$E477,Distance_Matrix!$E$83:$DQ$83)/(COUNTIF(Distance_Matrix!$E$12:$DQ$12,$E477)-1))</f>
        <v>0.662799018054801</v>
      </c>
      <c r="H477" s="17" t="n">
        <f aca="false">MIN(IF(1=$E477,1E+099,IF(COUNTIF(Distance_Matrix!$E$12:$DQ$12,1)=0,1E+099,SUMIF(Distance_Matrix!$E$12:$DQ$12,1,Distance_Matrix!$E$83:$DQ$83)/COUNTIF(Distance_Matrix!$E$12:$DQ$12,1))),IF(2=$E477,1E+099,IF(COUNTIF(Distance_Matrix!$E$12:$DQ$12,2)=0,1E+099,SUMIF(Distance_Matrix!$E$12:$DQ$12,2,Distance_Matrix!$E$83:$DQ$83)/COUNTIF(Distance_Matrix!$E$12:$DQ$12,2))),IF(3=$E477,1E+099,IF(COUNTIF(Distance_Matrix!$E$12:$DQ$12,3)=0,1E+099,SUMIF(Distance_Matrix!$E$12:$DQ$12,3,Distance_Matrix!$E$83:$DQ$83)/COUNTIF(Distance_Matrix!$E$12:$DQ$12,3))),IF(4=$E477,1E+099,IF(COUNTIF(Distance_Matrix!$E$12:$DQ$12,4)=0,1E+099,SUMIF(Distance_Matrix!$E$12:$DQ$12,4,Distance_Matrix!$E$83:$DQ$83)/COUNTIF(Distance_Matrix!$E$12:$DQ$12,4))),IF(5=$E477,1E+099,IF(COUNTIF(Distance_Matrix!$E$12:$DQ$12,5)=0,1E+099,SUMIF(Distance_Matrix!$E$12:$DQ$12,5,Distance_Matrix!$E$83:$DQ$83)/COUNTIF(Distance_Matrix!$E$12:$DQ$12,5))),IF(6=$E477,1E+099,IF(COUNTIF(Distance_Matrix!$E$12:$DQ$12,6)=0,1E+099,SUMIF(Distance_Matrix!$E$12:$DQ$12,6,Distance_Matrix!$E$83:$DQ$83)/COUNTIF(Distance_Matrix!$E$12:$DQ$12,6))))</f>
        <v>1.04065800960582</v>
      </c>
      <c r="I477" s="17" t="n">
        <f aca="false">IF(COUNTIF(Distance_Matrix!$E$12:$DQ$12,$E477)&lt;=1,0,(H477-G477)/MAX(G477,H477))</f>
        <v>0.363096221874221</v>
      </c>
      <c r="X477" s="17" t="n">
        <f aca="false">SQRT(($B477-X$401)^2+($C477-X$402)^2+($D477-X$403)^2)</f>
        <v>7.35081663720413</v>
      </c>
      <c r="Y477" s="17" t="n">
        <f aca="false">SQRT(($B477-Y$401)^2+($C477-Y$402)^2+($D477-Y$403)^2)</f>
        <v>1.81982735198549</v>
      </c>
      <c r="Z477" s="17" t="n">
        <f aca="false">SQRT(($B477-Z$401)^2+($C477-Z$402)^2+($D477-Z$403)^2)</f>
        <v>3.10352494535984</v>
      </c>
      <c r="AA477" s="17" t="n">
        <f aca="false">SQRT(($B477-AA$401)^2+($C477-AA$402)^2+($D477-AA$403)^2)</f>
        <v>1.04709505026299</v>
      </c>
      <c r="AB477" s="17" t="n">
        <f aca="false">SQRT(($B477-AB$401)^2+($C477-AB$402)^2+($D477-AB$403)^2)</f>
        <v>5.29772317986054</v>
      </c>
      <c r="AC477" s="17" t="n">
        <f aca="false">SQRT(($B477-AC$401)^2+($C477-AC$402)^2+($D477-AC$403)^2)</f>
        <v>1.90345074231936</v>
      </c>
      <c r="AD477" s="63" t="n">
        <f aca="false">MATCH(MIN(X477:AC477),X477:AC477,0)</f>
        <v>4</v>
      </c>
      <c r="AF477" s="17" t="n">
        <f aca="false">SQRT(($B477-AF$401)^2+($C477-AF$402)^2+($D477-AF$403)^2)</f>
        <v>7.21621605110511</v>
      </c>
      <c r="AG477" s="17" t="n">
        <f aca="false">SQRT(($B477-AG$401)^2+($C477-AG$402)^2+($D477-AG$403)^2)</f>
        <v>1.0622364336452</v>
      </c>
      <c r="AH477" s="17" t="n">
        <f aca="false">SQRT(($B477-AH$401)^2+($C477-AH$402)^2+($D477-AH$403)^2)</f>
        <v>2.7785306682809</v>
      </c>
      <c r="AI477" s="17" t="n">
        <f aca="false">SQRT(($B477-AI$401)^2+($C477-AI$402)^2+($D477-AI$403)^2)</f>
        <v>0.515211728102352</v>
      </c>
      <c r="AJ477" s="17" t="n">
        <f aca="false">SQRT(($B477-AJ$401)^2+($C477-AJ$402)^2+($D477-AJ$403)^2)</f>
        <v>4.94521177834647</v>
      </c>
      <c r="AK477" s="17" t="n">
        <f aca="false">SQRT(($B477-AK$401)^2+($C477-AK$402)^2+($D477-AK$403)^2)</f>
        <v>1.34736010466748</v>
      </c>
      <c r="AL477" s="63" t="n">
        <f aca="false">MATCH(MIN(AF477:AK477),AF477:AK477,0)</f>
        <v>4</v>
      </c>
      <c r="AN477" s="17" t="n">
        <f aca="false">SQRT(($B477-AN$401)^2+($C477-AN$402)^2+($D477-AN$403)^2)</f>
        <v>7.21621605110511</v>
      </c>
      <c r="AO477" s="17" t="n">
        <f aca="false">SQRT(($B477-AO$401)^2+($C477-AO$402)^2+($D477-AO$403)^2)</f>
        <v>1.02080781661123</v>
      </c>
      <c r="AP477" s="17" t="n">
        <f aca="false">SQRT(($B477-AP$401)^2+($C477-AP$402)^2+($D477-AP$403)^2)</f>
        <v>2.75134274348443</v>
      </c>
      <c r="AQ477" s="17" t="n">
        <f aca="false">SQRT(($B477-AQ$401)^2+($C477-AQ$402)^2+($D477-AQ$403)^2)</f>
        <v>0.500274857799357</v>
      </c>
      <c r="AR477" s="17" t="n">
        <f aca="false">SQRT(($B477-AR$401)^2+($C477-AR$402)^2+($D477-AR$403)^2)</f>
        <v>4.94521177834647</v>
      </c>
      <c r="AS477" s="17" t="n">
        <f aca="false">SQRT(($B477-AS$401)^2+($C477-AS$402)^2+($D477-AS$403)^2)</f>
        <v>1.37101695330149</v>
      </c>
      <c r="AT477" s="63" t="n">
        <f aca="false">MATCH(MIN(AN477:AS477),AN477:AS477,0)</f>
        <v>4</v>
      </c>
      <c r="AV477" s="17" t="n">
        <f aca="false">SQRT(($B477-AV$401)^2+($C477-AV$402)^2+($D477-AV$403)^2)</f>
        <v>7.21621605110511</v>
      </c>
      <c r="AW477" s="17" t="n">
        <f aca="false">SQRT(($B477-AW$401)^2+($C477-AW$402)^2+($D477-AW$403)^2)</f>
        <v>1.00412649325844</v>
      </c>
      <c r="AX477" s="17" t="n">
        <f aca="false">SQRT(($B477-AX$401)^2+($C477-AX$402)^2+($D477-AX$403)^2)</f>
        <v>2.75134274348443</v>
      </c>
      <c r="AY477" s="17" t="n">
        <f aca="false">SQRT(($B477-AY$401)^2+($C477-AY$402)^2+($D477-AY$403)^2)</f>
        <v>0.500274857799357</v>
      </c>
      <c r="AZ477" s="17" t="n">
        <f aca="false">SQRT(($B477-AZ$401)^2+($C477-AZ$402)^2+($D477-AZ$403)^2)</f>
        <v>4.94521177834647</v>
      </c>
      <c r="BA477" s="17" t="n">
        <f aca="false">SQRT(($B477-BA$401)^2+($C477-BA$402)^2+($D477-BA$403)^2)</f>
        <v>1.3909874065685</v>
      </c>
      <c r="BB477" s="63" t="n">
        <f aca="false">MATCH(MIN(AV477:BA477),AV477:BA477,0)</f>
        <v>4</v>
      </c>
      <c r="BD477" s="17" t="n">
        <f aca="false">SQRT(($B477-BD$401)^2+($C477-BD$402)^2+($D477-BD$403)^2)</f>
        <v>7.21621605110511</v>
      </c>
      <c r="BE477" s="17" t="n">
        <f aca="false">SQRT(($B477-BE$401)^2+($C477-BE$402)^2+($D477-BE$403)^2)</f>
        <v>0.991412029468535</v>
      </c>
      <c r="BF477" s="17" t="n">
        <f aca="false">SQRT(($B477-BF$401)^2+($C477-BF$402)^2+($D477-BF$403)^2)</f>
        <v>2.75134274348443</v>
      </c>
      <c r="BG477" s="17" t="n">
        <f aca="false">SQRT(($B477-BG$401)^2+($C477-BG$402)^2+($D477-BG$403)^2)</f>
        <v>0.500274857799357</v>
      </c>
      <c r="BH477" s="17" t="n">
        <f aca="false">SQRT(($B477-BH$401)^2+($C477-BH$402)^2+($D477-BH$403)^2)</f>
        <v>4.94521177834647</v>
      </c>
      <c r="BI477" s="17" t="n">
        <f aca="false">SQRT(($B477-BI$401)^2+($C477-BI$402)^2+($D477-BI$403)^2)</f>
        <v>1.40992878565791</v>
      </c>
      <c r="BJ477" s="63" t="n">
        <f aca="false">MATCH(MIN(BD477:BI477),BD477:BI477,0)</f>
        <v>4</v>
      </c>
      <c r="BL477" s="17" t="n">
        <f aca="false">SQRT(($B477-BL$401)^2+($C477-BL$402)^2+($D477-BL$403)^2)</f>
        <v>7.21621605110511</v>
      </c>
      <c r="BM477" s="17" t="n">
        <f aca="false">SQRT(($B477-BM$401)^2+($C477-BM$402)^2+($D477-BM$403)^2)</f>
        <v>0.991412029468535</v>
      </c>
      <c r="BN477" s="17" t="n">
        <f aca="false">SQRT(($B477-BN$401)^2+($C477-BN$402)^2+($D477-BN$403)^2)</f>
        <v>2.75134274348443</v>
      </c>
      <c r="BO477" s="17" t="n">
        <f aca="false">SQRT(($B477-BO$401)^2+($C477-BO$402)^2+($D477-BO$403)^2)</f>
        <v>0.500274857799357</v>
      </c>
      <c r="BP477" s="17" t="n">
        <f aca="false">SQRT(($B477-BP$401)^2+($C477-BP$402)^2+($D477-BP$403)^2)</f>
        <v>4.94521177834647</v>
      </c>
      <c r="BQ477" s="17" t="n">
        <f aca="false">SQRT(($B477-BQ$401)^2+($C477-BQ$402)^2+($D477-BQ$403)^2)</f>
        <v>1.40992878565791</v>
      </c>
      <c r="BR477" s="63" t="n">
        <f aca="false">MATCH(MIN(BL477:BQ477),BL477:BQ477,0)</f>
        <v>4</v>
      </c>
      <c r="BT477" s="17" t="n">
        <f aca="false">SQRT(($B477-BT$401)^2+($C477-BT$402)^2+($D477-BT$403)^2)</f>
        <v>7.21621605110511</v>
      </c>
      <c r="BU477" s="17" t="n">
        <f aca="false">SQRT(($B477-BU$401)^2+($C477-BU$402)^2+($D477-BU$403)^2)</f>
        <v>0.991412029468535</v>
      </c>
      <c r="BV477" s="17" t="n">
        <f aca="false">SQRT(($B477-BV$401)^2+($C477-BV$402)^2+($D477-BV$403)^2)</f>
        <v>2.75134274348443</v>
      </c>
      <c r="BW477" s="17" t="n">
        <f aca="false">SQRT(($B477-BW$401)^2+($C477-BW$402)^2+($D477-BW$403)^2)</f>
        <v>0.500274857799357</v>
      </c>
      <c r="BX477" s="17" t="n">
        <f aca="false">SQRT(($B477-BX$401)^2+($C477-BX$402)^2+($D477-BX$403)^2)</f>
        <v>4.94521177834647</v>
      </c>
      <c r="BY477" s="17" t="n">
        <f aca="false">SQRT(($B477-BY$401)^2+($C477-BY$402)^2+($D477-BY$403)^2)</f>
        <v>1.40992878565791</v>
      </c>
      <c r="BZ477" s="63" t="n">
        <f aca="false">MATCH(MIN(BT477:BY477),BT477:BY477,0)</f>
        <v>4</v>
      </c>
      <c r="CB477" s="17" t="n">
        <f aca="false">SQRT(($B477-CB$401)^2+($C477-CB$402)^2+($D477-CB$403)^2)</f>
        <v>7.21621605110511</v>
      </c>
      <c r="CC477" s="17" t="n">
        <f aca="false">SQRT(($B477-CC$401)^2+($C477-CC$402)^2+($D477-CC$403)^2)</f>
        <v>0.991412029468535</v>
      </c>
      <c r="CD477" s="17" t="n">
        <f aca="false">SQRT(($B477-CD$401)^2+($C477-CD$402)^2+($D477-CD$403)^2)</f>
        <v>2.75134274348443</v>
      </c>
      <c r="CE477" s="17" t="n">
        <f aca="false">SQRT(($B477-CE$401)^2+($C477-CE$402)^2+($D477-CE$403)^2)</f>
        <v>0.500274857799357</v>
      </c>
      <c r="CF477" s="17" t="n">
        <f aca="false">SQRT(($B477-CF$401)^2+($C477-CF$402)^2+($D477-CF$403)^2)</f>
        <v>4.94521177834647</v>
      </c>
      <c r="CG477" s="17" t="n">
        <f aca="false">SQRT(($B477-CG$401)^2+($C477-CG$402)^2+($D477-CG$403)^2)</f>
        <v>1.40992878565791</v>
      </c>
      <c r="CH477" s="63" t="n">
        <f aca="false">MATCH(MIN(CB477:CG477),CB477:CG477,0)</f>
        <v>4</v>
      </c>
      <c r="CJ477" s="17" t="n">
        <f aca="false">SQRT(($B477-CJ$401)^2+($C477-CJ$402)^2+($D477-CJ$403)^2)</f>
        <v>7.21621605110511</v>
      </c>
      <c r="CK477" s="17" t="n">
        <f aca="false">SQRT(($B477-CK$401)^2+($C477-CK$402)^2+($D477-CK$403)^2)</f>
        <v>0.991412029468535</v>
      </c>
      <c r="CL477" s="17" t="n">
        <f aca="false">SQRT(($B477-CL$401)^2+($C477-CL$402)^2+($D477-CL$403)^2)</f>
        <v>2.75134274348443</v>
      </c>
      <c r="CM477" s="17" t="n">
        <f aca="false">SQRT(($B477-CM$401)^2+($C477-CM$402)^2+($D477-CM$403)^2)</f>
        <v>0.500274857799357</v>
      </c>
      <c r="CN477" s="17" t="n">
        <f aca="false">SQRT(($B477-CN$401)^2+($C477-CN$402)^2+($D477-CN$403)^2)</f>
        <v>4.94521177834647</v>
      </c>
      <c r="CO477" s="17" t="n">
        <f aca="false">SQRT(($B477-CO$401)^2+($C477-CO$402)^2+($D477-CO$403)^2)</f>
        <v>1.40992878565791</v>
      </c>
      <c r="CP477" s="63" t="n">
        <f aca="false">MATCH(MIN(CJ477:CO477),CJ477:CO477,0)</f>
        <v>4</v>
      </c>
      <c r="CR477" s="17" t="n">
        <f aca="false">SQRT(($B477-CR$401)^2+($C477-CR$402)^2+($D477-CR$403)^2)</f>
        <v>7.21621605110511</v>
      </c>
      <c r="CS477" s="17" t="n">
        <f aca="false">SQRT(($B477-CS$401)^2+($C477-CS$402)^2+($D477-CS$403)^2)</f>
        <v>0.991412029468535</v>
      </c>
      <c r="CT477" s="17" t="n">
        <f aca="false">SQRT(($B477-CT$401)^2+($C477-CT$402)^2+($D477-CT$403)^2)</f>
        <v>2.75134274348443</v>
      </c>
      <c r="CU477" s="17" t="n">
        <f aca="false">SQRT(($B477-CU$401)^2+($C477-CU$402)^2+($D477-CU$403)^2)</f>
        <v>0.500274857799357</v>
      </c>
      <c r="CV477" s="17" t="n">
        <f aca="false">SQRT(($B477-CV$401)^2+($C477-CV$402)^2+($D477-CV$403)^2)</f>
        <v>4.94521177834647</v>
      </c>
      <c r="CW477" s="17" t="n">
        <f aca="false">SQRT(($B477-CW$401)^2+($C477-CW$402)^2+($D477-CW$403)^2)</f>
        <v>1.40992878565791</v>
      </c>
      <c r="CX477" s="63" t="n">
        <f aca="false">MATCH(MIN(CR477:CW477),CR477:CW477,0)</f>
        <v>4</v>
      </c>
      <c r="CZ477" s="17" t="n">
        <f aca="false">SQRT(($B477-CZ$401)^2+($C477-CZ$402)^2+($D477-CZ$403)^2)</f>
        <v>7.21621605110511</v>
      </c>
      <c r="DA477" s="17" t="n">
        <f aca="false">SQRT(($B477-DA$401)^2+($C477-DA$402)^2+($D477-DA$403)^2)</f>
        <v>0.991412029468535</v>
      </c>
      <c r="DB477" s="17" t="n">
        <f aca="false">SQRT(($B477-DB$401)^2+($C477-DB$402)^2+($D477-DB$403)^2)</f>
        <v>2.75134274348443</v>
      </c>
      <c r="DC477" s="17" t="n">
        <f aca="false">SQRT(($B477-DC$401)^2+($C477-DC$402)^2+($D477-DC$403)^2)</f>
        <v>0.500274857799357</v>
      </c>
      <c r="DD477" s="17" t="n">
        <f aca="false">SQRT(($B477-DD$401)^2+($C477-DD$402)^2+($D477-DD$403)^2)</f>
        <v>4.94521177834647</v>
      </c>
      <c r="DE477" s="17" t="n">
        <f aca="false">SQRT(($B477-DE$401)^2+($C477-DE$402)^2+($D477-DE$403)^2)</f>
        <v>1.40992878565791</v>
      </c>
      <c r="DF477" s="63" t="n">
        <f aca="false">MATCH(MIN(CZ477:DE477),CZ477:DE477,0)</f>
        <v>4</v>
      </c>
      <c r="DH477" s="17" t="n">
        <f aca="false">SQRT(($B477-DH$401)^2+($C477-DH$402)^2+($D477-DH$403)^2)</f>
        <v>7.21621605110511</v>
      </c>
      <c r="DI477" s="17" t="n">
        <f aca="false">SQRT(($B477-DI$401)^2+($C477-DI$402)^2+($D477-DI$403)^2)</f>
        <v>0.991412029468535</v>
      </c>
      <c r="DJ477" s="17" t="n">
        <f aca="false">SQRT(($B477-DJ$401)^2+($C477-DJ$402)^2+($D477-DJ$403)^2)</f>
        <v>2.75134274348443</v>
      </c>
      <c r="DK477" s="17" t="n">
        <f aca="false">SQRT(($B477-DK$401)^2+($C477-DK$402)^2+($D477-DK$403)^2)</f>
        <v>0.500274857799357</v>
      </c>
      <c r="DL477" s="17" t="n">
        <f aca="false">SQRT(($B477-DL$401)^2+($C477-DL$402)^2+($D477-DL$403)^2)</f>
        <v>4.94521177834647</v>
      </c>
      <c r="DM477" s="17" t="n">
        <f aca="false">SQRT(($B477-DM$401)^2+($C477-DM$402)^2+($D477-DM$403)^2)</f>
        <v>1.40992878565791</v>
      </c>
      <c r="DN477" s="63" t="n">
        <f aca="false">MATCH(MIN(DH477:DM477),DH477:DM477,0)</f>
        <v>4</v>
      </c>
    </row>
    <row r="478" customFormat="false" ht="15" hidden="false" customHeight="false" outlineLevel="0" collapsed="false">
      <c r="A478" s="36" t="str">
        <f aca="false">KMeans_Data!A75</f>
        <v>Shigar</v>
      </c>
      <c r="B478" s="17" t="n">
        <f aca="false">KMeans_Data!H75</f>
        <v>-0.275926355545086</v>
      </c>
      <c r="C478" s="17" t="n">
        <f aca="false">KMeans_Data!I75</f>
        <v>-0.672650545388274</v>
      </c>
      <c r="D478" s="17" t="n">
        <f aca="false">KMeans_Data!J75</f>
        <v>0.286716848591577</v>
      </c>
      <c r="E478" s="63" t="n">
        <f aca="false">DN478</f>
        <v>6</v>
      </c>
      <c r="F478" s="38" t="n">
        <f aca="false">($B478-INDEX($L$401:$Q$401,E478))^2+($C478-INDEX($L$402:$Q$402,E478))^2+($D478-INDEX($L$403:$Q$403,E478))^2</f>
        <v>0.10496383272361</v>
      </c>
      <c r="G478" s="17" t="n">
        <f aca="false">IF(COUNTIF(Distance_Matrix!$E$12:$DQ$12,$E478)&lt;=1,0,SUMIF(Distance_Matrix!$E$12:$DQ$12,$E478,Distance_Matrix!$E$84:$DQ$84)/(COUNTIF(Distance_Matrix!$E$12:$DQ$12,$E478)-1))</f>
        <v>0.681430261799705</v>
      </c>
      <c r="H478" s="17" t="n">
        <f aca="false">MIN(IF(1=$E478,1E+099,IF(COUNTIF(Distance_Matrix!$E$12:$DQ$12,1)=0,1E+099,SUMIF(Distance_Matrix!$E$12:$DQ$12,1,Distance_Matrix!$E$84:$DQ$84)/COUNTIF(Distance_Matrix!$E$12:$DQ$12,1))),IF(2=$E478,1E+099,IF(COUNTIF(Distance_Matrix!$E$12:$DQ$12,2)=0,1E+099,SUMIF(Distance_Matrix!$E$12:$DQ$12,2,Distance_Matrix!$E$84:$DQ$84)/COUNTIF(Distance_Matrix!$E$12:$DQ$12,2))),IF(3=$E478,1E+099,IF(COUNTIF(Distance_Matrix!$E$12:$DQ$12,3)=0,1E+099,SUMIF(Distance_Matrix!$E$12:$DQ$12,3,Distance_Matrix!$E$84:$DQ$84)/COUNTIF(Distance_Matrix!$E$12:$DQ$12,3))),IF(4=$E478,1E+099,IF(COUNTIF(Distance_Matrix!$E$12:$DQ$12,4)=0,1E+099,SUMIF(Distance_Matrix!$E$12:$DQ$12,4,Distance_Matrix!$E$84:$DQ$84)/COUNTIF(Distance_Matrix!$E$12:$DQ$12,4))),IF(5=$E478,1E+099,IF(COUNTIF(Distance_Matrix!$E$12:$DQ$12,5)=0,1E+099,SUMIF(Distance_Matrix!$E$12:$DQ$12,5,Distance_Matrix!$E$84:$DQ$84)/COUNTIF(Distance_Matrix!$E$12:$DQ$12,5))),IF(6=$E478,1E+099,IF(COUNTIF(Distance_Matrix!$E$12:$DQ$12,6)=0,1E+099,SUMIF(Distance_Matrix!$E$12:$DQ$12,6,Distance_Matrix!$E$84:$DQ$84)/COUNTIF(Distance_Matrix!$E$12:$DQ$12,6))))</f>
        <v>1.32664559616033</v>
      </c>
      <c r="I478" s="17" t="n">
        <f aca="false">IF(COUNTIF(Distance_Matrix!$E$12:$DQ$12,$E478)&lt;=1,0,(H478-G478)/MAX(G478,H478))</f>
        <v>0.486350941222021</v>
      </c>
      <c r="X478" s="17" t="n">
        <f aca="false">SQRT(($B478-X$401)^2+($C478-X$402)^2+($D478-X$403)^2)</f>
        <v>6.602995999108</v>
      </c>
      <c r="Y478" s="17" t="n">
        <f aca="false">SQRT(($B478-Y$401)^2+($C478-Y$402)^2+($D478-Y$403)^2)</f>
        <v>2.30334415944853</v>
      </c>
      <c r="Z478" s="17" t="n">
        <f aca="false">SQRT(($B478-Z$401)^2+($C478-Z$402)^2+($D478-Z$403)^2)</f>
        <v>2.05695940710304</v>
      </c>
      <c r="AA478" s="17" t="n">
        <f aca="false">SQRT(($B478-AA$401)^2+($C478-AA$402)^2+($D478-AA$403)^2)</f>
        <v>1.78250656143313</v>
      </c>
      <c r="AB478" s="17" t="n">
        <f aca="false">SQRT(($B478-AB$401)^2+($C478-AB$402)^2+($D478-AB$403)^2)</f>
        <v>4.48595131383517</v>
      </c>
      <c r="AC478" s="17" t="n">
        <f aca="false">SQRT(($B478-AC$401)^2+($C478-AC$402)^2+($D478-AC$403)^2)</f>
        <v>0.760444642872645</v>
      </c>
      <c r="AD478" s="63" t="n">
        <f aca="false">MATCH(MIN(X478:AC478),X478:AC478,0)</f>
        <v>6</v>
      </c>
      <c r="AF478" s="17" t="n">
        <f aca="false">SQRT(($B478-AF$401)^2+($C478-AF$402)^2+($D478-AF$403)^2)</f>
        <v>6.51598304299633</v>
      </c>
      <c r="AG478" s="17" t="n">
        <f aca="false">SQRT(($B478-AG$401)^2+($C478-AG$402)^2+($D478-AG$403)^2)</f>
        <v>1.7328763873303</v>
      </c>
      <c r="AH478" s="17" t="n">
        <f aca="false">SQRT(($B478-AH$401)^2+($C478-AH$402)^2+($D478-AH$403)^2)</f>
        <v>1.95327271195369</v>
      </c>
      <c r="AI478" s="17" t="n">
        <f aca="false">SQRT(($B478-AI$401)^2+($C478-AI$402)^2+($D478-AI$403)^2)</f>
        <v>1.22437423228244</v>
      </c>
      <c r="AJ478" s="17" t="n">
        <f aca="false">SQRT(($B478-AJ$401)^2+($C478-AJ$402)^2+($D478-AJ$403)^2)</f>
        <v>4.26358796018539</v>
      </c>
      <c r="AK478" s="17" t="n">
        <f aca="false">SQRT(($B478-AK$401)^2+($C478-AK$402)^2+($D478-AK$403)^2)</f>
        <v>0.305959043048395</v>
      </c>
      <c r="AL478" s="63" t="n">
        <f aca="false">MATCH(MIN(AF478:AK478),AF478:AK478,0)</f>
        <v>6</v>
      </c>
      <c r="AN478" s="17" t="n">
        <f aca="false">SQRT(($B478-AN$401)^2+($C478-AN$402)^2+($D478-AN$403)^2)</f>
        <v>6.51598304299633</v>
      </c>
      <c r="AO478" s="17" t="n">
        <f aca="false">SQRT(($B478-AO$401)^2+($C478-AO$402)^2+($D478-AO$403)^2)</f>
        <v>1.6899095523592</v>
      </c>
      <c r="AP478" s="17" t="n">
        <f aca="false">SQRT(($B478-AP$401)^2+($C478-AP$402)^2+($D478-AP$403)^2)</f>
        <v>1.92557543325167</v>
      </c>
      <c r="AQ478" s="17" t="n">
        <f aca="false">SQRT(($B478-AQ$401)^2+($C478-AQ$402)^2+($D478-AQ$403)^2)</f>
        <v>1.22494469465484</v>
      </c>
      <c r="AR478" s="17" t="n">
        <f aca="false">SQRT(($B478-AR$401)^2+($C478-AR$402)^2+($D478-AR$403)^2)</f>
        <v>4.26358796018539</v>
      </c>
      <c r="AS478" s="17" t="n">
        <f aca="false">SQRT(($B478-AS$401)^2+($C478-AS$402)^2+($D478-AS$403)^2)</f>
        <v>0.307219495338355</v>
      </c>
      <c r="AT478" s="63" t="n">
        <f aca="false">MATCH(MIN(AN478:AS478),AN478:AS478,0)</f>
        <v>6</v>
      </c>
      <c r="AV478" s="17" t="n">
        <f aca="false">SQRT(($B478-AV$401)^2+($C478-AV$402)^2+($D478-AV$403)^2)</f>
        <v>6.51598304299633</v>
      </c>
      <c r="AW478" s="17" t="n">
        <f aca="false">SQRT(($B478-AW$401)^2+($C478-AW$402)^2+($D478-AW$403)^2)</f>
        <v>1.6578160560945</v>
      </c>
      <c r="AX478" s="17" t="n">
        <f aca="false">SQRT(($B478-AX$401)^2+($C478-AX$402)^2+($D478-AX$403)^2)</f>
        <v>1.92557543325167</v>
      </c>
      <c r="AY478" s="17" t="n">
        <f aca="false">SQRT(($B478-AY$401)^2+($C478-AY$402)^2+($D478-AY$403)^2)</f>
        <v>1.22494469465484</v>
      </c>
      <c r="AZ478" s="17" t="n">
        <f aca="false">SQRT(($B478-AZ$401)^2+($C478-AZ$402)^2+($D478-AZ$403)^2)</f>
        <v>4.26358796018539</v>
      </c>
      <c r="BA478" s="17" t="n">
        <f aca="false">SQRT(($B478-BA$401)^2+($C478-BA$402)^2+($D478-BA$403)^2)</f>
        <v>0.313873597644121</v>
      </c>
      <c r="BB478" s="63" t="n">
        <f aca="false">MATCH(MIN(AV478:BA478),AV478:BA478,0)</f>
        <v>6</v>
      </c>
      <c r="BD478" s="17" t="n">
        <f aca="false">SQRT(($B478-BD$401)^2+($C478-BD$402)^2+($D478-BD$403)^2)</f>
        <v>6.51598304299633</v>
      </c>
      <c r="BE478" s="17" t="n">
        <f aca="false">SQRT(($B478-BE$401)^2+($C478-BE$402)^2+($D478-BE$403)^2)</f>
        <v>1.62657888845259</v>
      </c>
      <c r="BF478" s="17" t="n">
        <f aca="false">SQRT(($B478-BF$401)^2+($C478-BF$402)^2+($D478-BF$403)^2)</f>
        <v>1.92557543325167</v>
      </c>
      <c r="BG478" s="17" t="n">
        <f aca="false">SQRT(($B478-BG$401)^2+($C478-BG$402)^2+($D478-BG$403)^2)</f>
        <v>1.22494469465484</v>
      </c>
      <c r="BH478" s="17" t="n">
        <f aca="false">SQRT(($B478-BH$401)^2+($C478-BH$402)^2+($D478-BH$403)^2)</f>
        <v>4.26358796018539</v>
      </c>
      <c r="BI478" s="17" t="n">
        <f aca="false">SQRT(($B478-BI$401)^2+($C478-BI$402)^2+($D478-BI$403)^2)</f>
        <v>0.323981222794794</v>
      </c>
      <c r="BJ478" s="63" t="n">
        <f aca="false">MATCH(MIN(BD478:BI478),BD478:BI478,0)</f>
        <v>6</v>
      </c>
      <c r="BL478" s="17" t="n">
        <f aca="false">SQRT(($B478-BL$401)^2+($C478-BL$402)^2+($D478-BL$403)^2)</f>
        <v>6.51598304299633</v>
      </c>
      <c r="BM478" s="17" t="n">
        <f aca="false">SQRT(($B478-BM$401)^2+($C478-BM$402)^2+($D478-BM$403)^2)</f>
        <v>1.62657888845259</v>
      </c>
      <c r="BN478" s="17" t="n">
        <f aca="false">SQRT(($B478-BN$401)^2+($C478-BN$402)^2+($D478-BN$403)^2)</f>
        <v>1.92557543325167</v>
      </c>
      <c r="BO478" s="17" t="n">
        <f aca="false">SQRT(($B478-BO$401)^2+($C478-BO$402)^2+($D478-BO$403)^2)</f>
        <v>1.22494469465484</v>
      </c>
      <c r="BP478" s="17" t="n">
        <f aca="false">SQRT(($B478-BP$401)^2+($C478-BP$402)^2+($D478-BP$403)^2)</f>
        <v>4.26358796018539</v>
      </c>
      <c r="BQ478" s="17" t="n">
        <f aca="false">SQRT(($B478-BQ$401)^2+($C478-BQ$402)^2+($D478-BQ$403)^2)</f>
        <v>0.323981222794794</v>
      </c>
      <c r="BR478" s="63" t="n">
        <f aca="false">MATCH(MIN(BL478:BQ478),BL478:BQ478,0)</f>
        <v>6</v>
      </c>
      <c r="BT478" s="17" t="n">
        <f aca="false">SQRT(($B478-BT$401)^2+($C478-BT$402)^2+($D478-BT$403)^2)</f>
        <v>6.51598304299633</v>
      </c>
      <c r="BU478" s="17" t="n">
        <f aca="false">SQRT(($B478-BU$401)^2+($C478-BU$402)^2+($D478-BU$403)^2)</f>
        <v>1.62657888845259</v>
      </c>
      <c r="BV478" s="17" t="n">
        <f aca="false">SQRT(($B478-BV$401)^2+($C478-BV$402)^2+($D478-BV$403)^2)</f>
        <v>1.92557543325167</v>
      </c>
      <c r="BW478" s="17" t="n">
        <f aca="false">SQRT(($B478-BW$401)^2+($C478-BW$402)^2+($D478-BW$403)^2)</f>
        <v>1.22494469465484</v>
      </c>
      <c r="BX478" s="17" t="n">
        <f aca="false">SQRT(($B478-BX$401)^2+($C478-BX$402)^2+($D478-BX$403)^2)</f>
        <v>4.26358796018539</v>
      </c>
      <c r="BY478" s="17" t="n">
        <f aca="false">SQRT(($B478-BY$401)^2+($C478-BY$402)^2+($D478-BY$403)^2)</f>
        <v>0.323981222794794</v>
      </c>
      <c r="BZ478" s="63" t="n">
        <f aca="false">MATCH(MIN(BT478:BY478),BT478:BY478,0)</f>
        <v>6</v>
      </c>
      <c r="CB478" s="17" t="n">
        <f aca="false">SQRT(($B478-CB$401)^2+($C478-CB$402)^2+($D478-CB$403)^2)</f>
        <v>6.51598304299633</v>
      </c>
      <c r="CC478" s="17" t="n">
        <f aca="false">SQRT(($B478-CC$401)^2+($C478-CC$402)^2+($D478-CC$403)^2)</f>
        <v>1.62657888845259</v>
      </c>
      <c r="CD478" s="17" t="n">
        <f aca="false">SQRT(($B478-CD$401)^2+($C478-CD$402)^2+($D478-CD$403)^2)</f>
        <v>1.92557543325167</v>
      </c>
      <c r="CE478" s="17" t="n">
        <f aca="false">SQRT(($B478-CE$401)^2+($C478-CE$402)^2+($D478-CE$403)^2)</f>
        <v>1.22494469465484</v>
      </c>
      <c r="CF478" s="17" t="n">
        <f aca="false">SQRT(($B478-CF$401)^2+($C478-CF$402)^2+($D478-CF$403)^2)</f>
        <v>4.26358796018539</v>
      </c>
      <c r="CG478" s="17" t="n">
        <f aca="false">SQRT(($B478-CG$401)^2+($C478-CG$402)^2+($D478-CG$403)^2)</f>
        <v>0.323981222794794</v>
      </c>
      <c r="CH478" s="63" t="n">
        <f aca="false">MATCH(MIN(CB478:CG478),CB478:CG478,0)</f>
        <v>6</v>
      </c>
      <c r="CJ478" s="17" t="n">
        <f aca="false">SQRT(($B478-CJ$401)^2+($C478-CJ$402)^2+($D478-CJ$403)^2)</f>
        <v>6.51598304299633</v>
      </c>
      <c r="CK478" s="17" t="n">
        <f aca="false">SQRT(($B478-CK$401)^2+($C478-CK$402)^2+($D478-CK$403)^2)</f>
        <v>1.62657888845259</v>
      </c>
      <c r="CL478" s="17" t="n">
        <f aca="false">SQRT(($B478-CL$401)^2+($C478-CL$402)^2+($D478-CL$403)^2)</f>
        <v>1.92557543325167</v>
      </c>
      <c r="CM478" s="17" t="n">
        <f aca="false">SQRT(($B478-CM$401)^2+($C478-CM$402)^2+($D478-CM$403)^2)</f>
        <v>1.22494469465484</v>
      </c>
      <c r="CN478" s="17" t="n">
        <f aca="false">SQRT(($B478-CN$401)^2+($C478-CN$402)^2+($D478-CN$403)^2)</f>
        <v>4.26358796018539</v>
      </c>
      <c r="CO478" s="17" t="n">
        <f aca="false">SQRT(($B478-CO$401)^2+($C478-CO$402)^2+($D478-CO$403)^2)</f>
        <v>0.323981222794794</v>
      </c>
      <c r="CP478" s="63" t="n">
        <f aca="false">MATCH(MIN(CJ478:CO478),CJ478:CO478,0)</f>
        <v>6</v>
      </c>
      <c r="CR478" s="17" t="n">
        <f aca="false">SQRT(($B478-CR$401)^2+($C478-CR$402)^2+($D478-CR$403)^2)</f>
        <v>6.51598304299633</v>
      </c>
      <c r="CS478" s="17" t="n">
        <f aca="false">SQRT(($B478-CS$401)^2+($C478-CS$402)^2+($D478-CS$403)^2)</f>
        <v>1.62657888845259</v>
      </c>
      <c r="CT478" s="17" t="n">
        <f aca="false">SQRT(($B478-CT$401)^2+($C478-CT$402)^2+($D478-CT$403)^2)</f>
        <v>1.92557543325167</v>
      </c>
      <c r="CU478" s="17" t="n">
        <f aca="false">SQRT(($B478-CU$401)^2+($C478-CU$402)^2+($D478-CU$403)^2)</f>
        <v>1.22494469465484</v>
      </c>
      <c r="CV478" s="17" t="n">
        <f aca="false">SQRT(($B478-CV$401)^2+($C478-CV$402)^2+($D478-CV$403)^2)</f>
        <v>4.26358796018539</v>
      </c>
      <c r="CW478" s="17" t="n">
        <f aca="false">SQRT(($B478-CW$401)^2+($C478-CW$402)^2+($D478-CW$403)^2)</f>
        <v>0.323981222794794</v>
      </c>
      <c r="CX478" s="63" t="n">
        <f aca="false">MATCH(MIN(CR478:CW478),CR478:CW478,0)</f>
        <v>6</v>
      </c>
      <c r="CZ478" s="17" t="n">
        <f aca="false">SQRT(($B478-CZ$401)^2+($C478-CZ$402)^2+($D478-CZ$403)^2)</f>
        <v>6.51598304299633</v>
      </c>
      <c r="DA478" s="17" t="n">
        <f aca="false">SQRT(($B478-DA$401)^2+($C478-DA$402)^2+($D478-DA$403)^2)</f>
        <v>1.62657888845259</v>
      </c>
      <c r="DB478" s="17" t="n">
        <f aca="false">SQRT(($B478-DB$401)^2+($C478-DB$402)^2+($D478-DB$403)^2)</f>
        <v>1.92557543325167</v>
      </c>
      <c r="DC478" s="17" t="n">
        <f aca="false">SQRT(($B478-DC$401)^2+($C478-DC$402)^2+($D478-DC$403)^2)</f>
        <v>1.22494469465484</v>
      </c>
      <c r="DD478" s="17" t="n">
        <f aca="false">SQRT(($B478-DD$401)^2+($C478-DD$402)^2+($D478-DD$403)^2)</f>
        <v>4.26358796018539</v>
      </c>
      <c r="DE478" s="17" t="n">
        <f aca="false">SQRT(($B478-DE$401)^2+($C478-DE$402)^2+($D478-DE$403)^2)</f>
        <v>0.323981222794794</v>
      </c>
      <c r="DF478" s="63" t="n">
        <f aca="false">MATCH(MIN(CZ478:DE478),CZ478:DE478,0)</f>
        <v>6</v>
      </c>
      <c r="DH478" s="17" t="n">
        <f aca="false">SQRT(($B478-DH$401)^2+($C478-DH$402)^2+($D478-DH$403)^2)</f>
        <v>6.51598304299633</v>
      </c>
      <c r="DI478" s="17" t="n">
        <f aca="false">SQRT(($B478-DI$401)^2+($C478-DI$402)^2+($D478-DI$403)^2)</f>
        <v>1.62657888845259</v>
      </c>
      <c r="DJ478" s="17" t="n">
        <f aca="false">SQRT(($B478-DJ$401)^2+($C478-DJ$402)^2+($D478-DJ$403)^2)</f>
        <v>1.92557543325167</v>
      </c>
      <c r="DK478" s="17" t="n">
        <f aca="false">SQRT(($B478-DK$401)^2+($C478-DK$402)^2+($D478-DK$403)^2)</f>
        <v>1.22494469465484</v>
      </c>
      <c r="DL478" s="17" t="n">
        <f aca="false">SQRT(($B478-DL$401)^2+($C478-DL$402)^2+($D478-DL$403)^2)</f>
        <v>4.26358796018539</v>
      </c>
      <c r="DM478" s="17" t="n">
        <f aca="false">SQRT(($B478-DM$401)^2+($C478-DM$402)^2+($D478-DM$403)^2)</f>
        <v>0.323981222794794</v>
      </c>
      <c r="DN478" s="63" t="n">
        <f aca="false">MATCH(MIN(DH478:DM478),DH478:DM478,0)</f>
        <v>6</v>
      </c>
    </row>
    <row r="479" customFormat="false" ht="15" hidden="false" customHeight="false" outlineLevel="0" collapsed="false">
      <c r="A479" s="36" t="str">
        <f aca="false">KMeans_Data!A76</f>
        <v>Narowal</v>
      </c>
      <c r="B479" s="17" t="n">
        <f aca="false">KMeans_Data!H76</f>
        <v>-0.275926355545086</v>
      </c>
      <c r="C479" s="17" t="n">
        <f aca="false">KMeans_Data!I76</f>
        <v>-0.672650545388274</v>
      </c>
      <c r="D479" s="17" t="n">
        <f aca="false">KMeans_Data!J76</f>
        <v>-1.14564411633355</v>
      </c>
      <c r="E479" s="63" t="n">
        <f aca="false">DN479</f>
        <v>4</v>
      </c>
      <c r="F479" s="38" t="n">
        <f aca="false">($B479-INDEX($L$401:$Q$401,E479))^2+($C479-INDEX($L$402:$Q$402,E479))^2+($D479-INDEX($L$403:$Q$403,E479))^2</f>
        <v>0.263282428032083</v>
      </c>
      <c r="G479" s="17" t="n">
        <f aca="false">IF(COUNTIF(Distance_Matrix!$E$12:$DQ$12,$E479)&lt;=1,0,SUMIF(Distance_Matrix!$E$12:$DQ$12,$E479,Distance_Matrix!$E$85:$DQ$85)/(COUNTIF(Distance_Matrix!$E$12:$DQ$12,$E479)-1))</f>
        <v>0.668938954224104</v>
      </c>
      <c r="H479" s="17" t="n">
        <f aca="false">MIN(IF(1=$E479,1E+099,IF(COUNTIF(Distance_Matrix!$E$12:$DQ$12,1)=0,1E+099,SUMIF(Distance_Matrix!$E$12:$DQ$12,1,Distance_Matrix!$E$85:$DQ$85)/COUNTIF(Distance_Matrix!$E$12:$DQ$12,1))),IF(2=$E479,1E+099,IF(COUNTIF(Distance_Matrix!$E$12:$DQ$12,2)=0,1E+099,SUMIF(Distance_Matrix!$E$12:$DQ$12,2,Distance_Matrix!$E$85:$DQ$85)/COUNTIF(Distance_Matrix!$E$12:$DQ$12,2))),IF(3=$E479,1E+099,IF(COUNTIF(Distance_Matrix!$E$12:$DQ$12,3)=0,1E+099,SUMIF(Distance_Matrix!$E$12:$DQ$12,3,Distance_Matrix!$E$85:$DQ$85)/COUNTIF(Distance_Matrix!$E$12:$DQ$12,3))),IF(4=$E479,1E+099,IF(COUNTIF(Distance_Matrix!$E$12:$DQ$12,4)=0,1E+099,SUMIF(Distance_Matrix!$E$12:$DQ$12,4,Distance_Matrix!$E$85:$DQ$85)/COUNTIF(Distance_Matrix!$E$12:$DQ$12,4))),IF(5=$E479,1E+099,IF(COUNTIF(Distance_Matrix!$E$12:$DQ$12,5)=0,1E+099,SUMIF(Distance_Matrix!$E$12:$DQ$12,5,Distance_Matrix!$E$85:$DQ$85)/COUNTIF(Distance_Matrix!$E$12:$DQ$12,5))),IF(6=$E479,1E+099,IF(COUNTIF(Distance_Matrix!$E$12:$DQ$12,6)=0,1E+099,SUMIF(Distance_Matrix!$E$12:$DQ$12,6,Distance_Matrix!$E$85:$DQ$85)/COUNTIF(Distance_Matrix!$E$12:$DQ$12,6))))</f>
        <v>1.02563978491725</v>
      </c>
      <c r="I479" s="17" t="n">
        <f aca="false">IF(COUNTIF(Distance_Matrix!$E$12:$DQ$12,$E479)&lt;=1,0,(H479-G479)/MAX(G479,H479))</f>
        <v>0.347783730641775</v>
      </c>
      <c r="X479" s="17" t="n">
        <f aca="false">SQRT(($B479-X$401)^2+($C479-X$402)^2+($D479-X$403)^2)</f>
        <v>7.35853028224167</v>
      </c>
      <c r="Y479" s="17" t="n">
        <f aca="false">SQRT(($B479-Y$401)^2+($C479-Y$402)^2+($D479-Y$403)^2)</f>
        <v>1.80381162625824</v>
      </c>
      <c r="Z479" s="17" t="n">
        <f aca="false">SQRT(($B479-Z$401)^2+($C479-Z$402)^2+($D479-Z$403)^2)</f>
        <v>3.11025341577251</v>
      </c>
      <c r="AA479" s="17" t="n">
        <f aca="false">SQRT(($B479-AA$401)^2+($C479-AA$402)^2+($D479-AA$403)^2)</f>
        <v>1.06097677058026</v>
      </c>
      <c r="AB479" s="17" t="n">
        <f aca="false">SQRT(($B479-AB$401)^2+($C479-AB$402)^2+($D479-AB$403)^2)</f>
        <v>5.30567546103081</v>
      </c>
      <c r="AC479" s="17" t="n">
        <f aca="false">SQRT(($B479-AC$401)^2+($C479-AC$402)^2+($D479-AC$403)^2)</f>
        <v>1.89975954463973</v>
      </c>
      <c r="AD479" s="63" t="n">
        <f aca="false">MATCH(MIN(X479:AC479),X479:AC479,0)</f>
        <v>4</v>
      </c>
      <c r="AF479" s="17" t="n">
        <f aca="false">SQRT(($B479-AF$401)^2+($C479-AF$402)^2+($D479-AF$403)^2)</f>
        <v>7.22404664153628</v>
      </c>
      <c r="AG479" s="17" t="n">
        <f aca="false">SQRT(($B479-AG$401)^2+($C479-AG$402)^2+($D479-AG$403)^2)</f>
        <v>1.04624254683668</v>
      </c>
      <c r="AH479" s="17" t="n">
        <f aca="false">SQRT(($B479-AH$401)^2+($C479-AH$402)^2+($D479-AH$403)^2)</f>
        <v>2.78450694241612</v>
      </c>
      <c r="AI479" s="17" t="n">
        <f aca="false">SQRT(($B479-AI$401)^2+($C479-AI$402)^2+($D479-AI$403)^2)</f>
        <v>0.527855597208648</v>
      </c>
      <c r="AJ479" s="17" t="n">
        <f aca="false">SQRT(($B479-AJ$401)^2+($C479-AJ$402)^2+($D479-AJ$403)^2)</f>
        <v>4.95285416058018</v>
      </c>
      <c r="AK479" s="17" t="n">
        <f aca="false">SQRT(($B479-AK$401)^2+($C479-AK$402)^2+($D479-AK$403)^2)</f>
        <v>1.34739669151468</v>
      </c>
      <c r="AL479" s="63" t="n">
        <f aca="false">MATCH(MIN(AF479:AK479),AF479:AK479,0)</f>
        <v>4</v>
      </c>
      <c r="AN479" s="17" t="n">
        <f aca="false">SQRT(($B479-AN$401)^2+($C479-AN$402)^2+($D479-AN$403)^2)</f>
        <v>7.22404664153628</v>
      </c>
      <c r="AO479" s="17" t="n">
        <f aca="false">SQRT(($B479-AO$401)^2+($C479-AO$402)^2+($D479-AO$403)^2)</f>
        <v>1.0048357982376</v>
      </c>
      <c r="AP479" s="17" t="n">
        <f aca="false">SQRT(($B479-AP$401)^2+($C479-AP$402)^2+($D479-AP$403)^2)</f>
        <v>2.75721704021796</v>
      </c>
      <c r="AQ479" s="17" t="n">
        <f aca="false">SQRT(($B479-AQ$401)^2+($C479-AQ$402)^2+($D479-AQ$403)^2)</f>
        <v>0.51311054172769</v>
      </c>
      <c r="AR479" s="17" t="n">
        <f aca="false">SQRT(($B479-AR$401)^2+($C479-AR$402)^2+($D479-AR$403)^2)</f>
        <v>4.95285416058018</v>
      </c>
      <c r="AS479" s="17" t="n">
        <f aca="false">SQRT(($B479-AS$401)^2+($C479-AS$402)^2+($D479-AS$403)^2)</f>
        <v>1.3715167216316</v>
      </c>
      <c r="AT479" s="63" t="n">
        <f aca="false">MATCH(MIN(AN479:AS479),AN479:AS479,0)</f>
        <v>4</v>
      </c>
      <c r="AV479" s="17" t="n">
        <f aca="false">SQRT(($B479-AV$401)^2+($C479-AV$402)^2+($D479-AV$403)^2)</f>
        <v>7.22404664153628</v>
      </c>
      <c r="AW479" s="17" t="n">
        <f aca="false">SQRT(($B479-AW$401)^2+($C479-AW$402)^2+($D479-AW$403)^2)</f>
        <v>0.988191270024991</v>
      </c>
      <c r="AX479" s="17" t="n">
        <f aca="false">SQRT(($B479-AX$401)^2+($C479-AX$402)^2+($D479-AX$403)^2)</f>
        <v>2.75721704021796</v>
      </c>
      <c r="AY479" s="17" t="n">
        <f aca="false">SQRT(($B479-AY$401)^2+($C479-AY$402)^2+($D479-AY$403)^2)</f>
        <v>0.51311054172769</v>
      </c>
      <c r="AZ479" s="17" t="n">
        <f aca="false">SQRT(($B479-AZ$401)^2+($C479-AZ$402)^2+($D479-AZ$403)^2)</f>
        <v>4.95285416058018</v>
      </c>
      <c r="BA479" s="17" t="n">
        <f aca="false">SQRT(($B479-BA$401)^2+($C479-BA$402)^2+($D479-BA$403)^2)</f>
        <v>1.39167575717951</v>
      </c>
      <c r="BB479" s="63" t="n">
        <f aca="false">MATCH(MIN(AV479:BA479),AV479:BA479,0)</f>
        <v>4</v>
      </c>
      <c r="BD479" s="17" t="n">
        <f aca="false">SQRT(($B479-BD$401)^2+($C479-BD$402)^2+($D479-BD$403)^2)</f>
        <v>7.22404664153628</v>
      </c>
      <c r="BE479" s="17" t="n">
        <f aca="false">SQRT(($B479-BE$401)^2+($C479-BE$402)^2+($D479-BE$403)^2)</f>
        <v>0.975528978633099</v>
      </c>
      <c r="BF479" s="17" t="n">
        <f aca="false">SQRT(($B479-BF$401)^2+($C479-BF$402)^2+($D479-BF$403)^2)</f>
        <v>2.75721704021796</v>
      </c>
      <c r="BG479" s="17" t="n">
        <f aca="false">SQRT(($B479-BG$401)^2+($C479-BG$402)^2+($D479-BG$403)^2)</f>
        <v>0.51311054172769</v>
      </c>
      <c r="BH479" s="17" t="n">
        <f aca="false">SQRT(($B479-BH$401)^2+($C479-BH$402)^2+($D479-BH$403)^2)</f>
        <v>4.95285416058018</v>
      </c>
      <c r="BI479" s="17" t="n">
        <f aca="false">SQRT(($B479-BI$401)^2+($C479-BI$402)^2+($D479-BI$403)^2)</f>
        <v>1.41082912759805</v>
      </c>
      <c r="BJ479" s="63" t="n">
        <f aca="false">MATCH(MIN(BD479:BI479),BD479:BI479,0)</f>
        <v>4</v>
      </c>
      <c r="BL479" s="17" t="n">
        <f aca="false">SQRT(($B479-BL$401)^2+($C479-BL$402)^2+($D479-BL$403)^2)</f>
        <v>7.22404664153628</v>
      </c>
      <c r="BM479" s="17" t="n">
        <f aca="false">SQRT(($B479-BM$401)^2+($C479-BM$402)^2+($D479-BM$403)^2)</f>
        <v>0.975528978633099</v>
      </c>
      <c r="BN479" s="17" t="n">
        <f aca="false">SQRT(($B479-BN$401)^2+($C479-BN$402)^2+($D479-BN$403)^2)</f>
        <v>2.75721704021796</v>
      </c>
      <c r="BO479" s="17" t="n">
        <f aca="false">SQRT(($B479-BO$401)^2+($C479-BO$402)^2+($D479-BO$403)^2)</f>
        <v>0.51311054172769</v>
      </c>
      <c r="BP479" s="17" t="n">
        <f aca="false">SQRT(($B479-BP$401)^2+($C479-BP$402)^2+($D479-BP$403)^2)</f>
        <v>4.95285416058018</v>
      </c>
      <c r="BQ479" s="17" t="n">
        <f aca="false">SQRT(($B479-BQ$401)^2+($C479-BQ$402)^2+($D479-BQ$403)^2)</f>
        <v>1.41082912759805</v>
      </c>
      <c r="BR479" s="63" t="n">
        <f aca="false">MATCH(MIN(BL479:BQ479),BL479:BQ479,0)</f>
        <v>4</v>
      </c>
      <c r="BT479" s="17" t="n">
        <f aca="false">SQRT(($B479-BT$401)^2+($C479-BT$402)^2+($D479-BT$403)^2)</f>
        <v>7.22404664153628</v>
      </c>
      <c r="BU479" s="17" t="n">
        <f aca="false">SQRT(($B479-BU$401)^2+($C479-BU$402)^2+($D479-BU$403)^2)</f>
        <v>0.975528978633099</v>
      </c>
      <c r="BV479" s="17" t="n">
        <f aca="false">SQRT(($B479-BV$401)^2+($C479-BV$402)^2+($D479-BV$403)^2)</f>
        <v>2.75721704021796</v>
      </c>
      <c r="BW479" s="17" t="n">
        <f aca="false">SQRT(($B479-BW$401)^2+($C479-BW$402)^2+($D479-BW$403)^2)</f>
        <v>0.51311054172769</v>
      </c>
      <c r="BX479" s="17" t="n">
        <f aca="false">SQRT(($B479-BX$401)^2+($C479-BX$402)^2+($D479-BX$403)^2)</f>
        <v>4.95285416058018</v>
      </c>
      <c r="BY479" s="17" t="n">
        <f aca="false">SQRT(($B479-BY$401)^2+($C479-BY$402)^2+($D479-BY$403)^2)</f>
        <v>1.41082912759805</v>
      </c>
      <c r="BZ479" s="63" t="n">
        <f aca="false">MATCH(MIN(BT479:BY479),BT479:BY479,0)</f>
        <v>4</v>
      </c>
      <c r="CB479" s="17" t="n">
        <f aca="false">SQRT(($B479-CB$401)^2+($C479-CB$402)^2+($D479-CB$403)^2)</f>
        <v>7.22404664153628</v>
      </c>
      <c r="CC479" s="17" t="n">
        <f aca="false">SQRT(($B479-CC$401)^2+($C479-CC$402)^2+($D479-CC$403)^2)</f>
        <v>0.975528978633099</v>
      </c>
      <c r="CD479" s="17" t="n">
        <f aca="false">SQRT(($B479-CD$401)^2+($C479-CD$402)^2+($D479-CD$403)^2)</f>
        <v>2.75721704021796</v>
      </c>
      <c r="CE479" s="17" t="n">
        <f aca="false">SQRT(($B479-CE$401)^2+($C479-CE$402)^2+($D479-CE$403)^2)</f>
        <v>0.51311054172769</v>
      </c>
      <c r="CF479" s="17" t="n">
        <f aca="false">SQRT(($B479-CF$401)^2+($C479-CF$402)^2+($D479-CF$403)^2)</f>
        <v>4.95285416058018</v>
      </c>
      <c r="CG479" s="17" t="n">
        <f aca="false">SQRT(($B479-CG$401)^2+($C479-CG$402)^2+($D479-CG$403)^2)</f>
        <v>1.41082912759805</v>
      </c>
      <c r="CH479" s="63" t="n">
        <f aca="false">MATCH(MIN(CB479:CG479),CB479:CG479,0)</f>
        <v>4</v>
      </c>
      <c r="CJ479" s="17" t="n">
        <f aca="false">SQRT(($B479-CJ$401)^2+($C479-CJ$402)^2+($D479-CJ$403)^2)</f>
        <v>7.22404664153628</v>
      </c>
      <c r="CK479" s="17" t="n">
        <f aca="false">SQRT(($B479-CK$401)^2+($C479-CK$402)^2+($D479-CK$403)^2)</f>
        <v>0.975528978633099</v>
      </c>
      <c r="CL479" s="17" t="n">
        <f aca="false">SQRT(($B479-CL$401)^2+($C479-CL$402)^2+($D479-CL$403)^2)</f>
        <v>2.75721704021796</v>
      </c>
      <c r="CM479" s="17" t="n">
        <f aca="false">SQRT(($B479-CM$401)^2+($C479-CM$402)^2+($D479-CM$403)^2)</f>
        <v>0.51311054172769</v>
      </c>
      <c r="CN479" s="17" t="n">
        <f aca="false">SQRT(($B479-CN$401)^2+($C479-CN$402)^2+($D479-CN$403)^2)</f>
        <v>4.95285416058018</v>
      </c>
      <c r="CO479" s="17" t="n">
        <f aca="false">SQRT(($B479-CO$401)^2+($C479-CO$402)^2+($D479-CO$403)^2)</f>
        <v>1.41082912759805</v>
      </c>
      <c r="CP479" s="63" t="n">
        <f aca="false">MATCH(MIN(CJ479:CO479),CJ479:CO479,0)</f>
        <v>4</v>
      </c>
      <c r="CR479" s="17" t="n">
        <f aca="false">SQRT(($B479-CR$401)^2+($C479-CR$402)^2+($D479-CR$403)^2)</f>
        <v>7.22404664153628</v>
      </c>
      <c r="CS479" s="17" t="n">
        <f aca="false">SQRT(($B479-CS$401)^2+($C479-CS$402)^2+($D479-CS$403)^2)</f>
        <v>0.975528978633099</v>
      </c>
      <c r="CT479" s="17" t="n">
        <f aca="false">SQRT(($B479-CT$401)^2+($C479-CT$402)^2+($D479-CT$403)^2)</f>
        <v>2.75721704021796</v>
      </c>
      <c r="CU479" s="17" t="n">
        <f aca="false">SQRT(($B479-CU$401)^2+($C479-CU$402)^2+($D479-CU$403)^2)</f>
        <v>0.51311054172769</v>
      </c>
      <c r="CV479" s="17" t="n">
        <f aca="false">SQRT(($B479-CV$401)^2+($C479-CV$402)^2+($D479-CV$403)^2)</f>
        <v>4.95285416058018</v>
      </c>
      <c r="CW479" s="17" t="n">
        <f aca="false">SQRT(($B479-CW$401)^2+($C479-CW$402)^2+($D479-CW$403)^2)</f>
        <v>1.41082912759805</v>
      </c>
      <c r="CX479" s="63" t="n">
        <f aca="false">MATCH(MIN(CR479:CW479),CR479:CW479,0)</f>
        <v>4</v>
      </c>
      <c r="CZ479" s="17" t="n">
        <f aca="false">SQRT(($B479-CZ$401)^2+($C479-CZ$402)^2+($D479-CZ$403)^2)</f>
        <v>7.22404664153628</v>
      </c>
      <c r="DA479" s="17" t="n">
        <f aca="false">SQRT(($B479-DA$401)^2+($C479-DA$402)^2+($D479-DA$403)^2)</f>
        <v>0.975528978633099</v>
      </c>
      <c r="DB479" s="17" t="n">
        <f aca="false">SQRT(($B479-DB$401)^2+($C479-DB$402)^2+($D479-DB$403)^2)</f>
        <v>2.75721704021796</v>
      </c>
      <c r="DC479" s="17" t="n">
        <f aca="false">SQRT(($B479-DC$401)^2+($C479-DC$402)^2+($D479-DC$403)^2)</f>
        <v>0.51311054172769</v>
      </c>
      <c r="DD479" s="17" t="n">
        <f aca="false">SQRT(($B479-DD$401)^2+($C479-DD$402)^2+($D479-DD$403)^2)</f>
        <v>4.95285416058018</v>
      </c>
      <c r="DE479" s="17" t="n">
        <f aca="false">SQRT(($B479-DE$401)^2+($C479-DE$402)^2+($D479-DE$403)^2)</f>
        <v>1.41082912759805</v>
      </c>
      <c r="DF479" s="63" t="n">
        <f aca="false">MATCH(MIN(CZ479:DE479),CZ479:DE479,0)</f>
        <v>4</v>
      </c>
      <c r="DH479" s="17" t="n">
        <f aca="false">SQRT(($B479-DH$401)^2+($C479-DH$402)^2+($D479-DH$403)^2)</f>
        <v>7.22404664153628</v>
      </c>
      <c r="DI479" s="17" t="n">
        <f aca="false">SQRT(($B479-DI$401)^2+($C479-DI$402)^2+($D479-DI$403)^2)</f>
        <v>0.975528978633099</v>
      </c>
      <c r="DJ479" s="17" t="n">
        <f aca="false">SQRT(($B479-DJ$401)^2+($C479-DJ$402)^2+($D479-DJ$403)^2)</f>
        <v>2.75721704021796</v>
      </c>
      <c r="DK479" s="17" t="n">
        <f aca="false">SQRT(($B479-DK$401)^2+($C479-DK$402)^2+($D479-DK$403)^2)</f>
        <v>0.51311054172769</v>
      </c>
      <c r="DL479" s="17" t="n">
        <f aca="false">SQRT(($B479-DL$401)^2+($C479-DL$402)^2+($D479-DL$403)^2)</f>
        <v>4.95285416058018</v>
      </c>
      <c r="DM479" s="17" t="n">
        <f aca="false">SQRT(($B479-DM$401)^2+($C479-DM$402)^2+($D479-DM$403)^2)</f>
        <v>1.41082912759805</v>
      </c>
      <c r="DN479" s="63" t="n">
        <f aca="false">MATCH(MIN(DH479:DM479),DH479:DM479,0)</f>
        <v>4</v>
      </c>
    </row>
    <row r="480" customFormat="false" ht="15" hidden="false" customHeight="false" outlineLevel="0" collapsed="false">
      <c r="A480" s="36" t="str">
        <f aca="false">KMeans_Data!A77</f>
        <v>Mandi Bahauddin</v>
      </c>
      <c r="B480" s="17" t="n">
        <f aca="false">KMeans_Data!H77</f>
        <v>-0.309516720776153</v>
      </c>
      <c r="C480" s="17" t="n">
        <f aca="false">KMeans_Data!I77</f>
        <v>-0.672650545388274</v>
      </c>
      <c r="D480" s="17" t="n">
        <f aca="false">KMeans_Data!J77</f>
        <v>-0.182049815029191</v>
      </c>
      <c r="E480" s="63" t="n">
        <f aca="false">DN480</f>
        <v>6</v>
      </c>
      <c r="F480" s="38" t="n">
        <f aca="false">($B480-INDEX($L$401:$Q$401,E480))^2+($C480-INDEX($L$402:$Q$402,E480))^2+($D480-INDEX($L$403:$Q$403,E480))^2</f>
        <v>0.277312352024961</v>
      </c>
      <c r="G480" s="17" t="n">
        <f aca="false">IF(COUNTIF(Distance_Matrix!$E$12:$DQ$12,$E480)&lt;=1,0,SUMIF(Distance_Matrix!$E$12:$DQ$12,$E480,Distance_Matrix!$E$86:$DQ$86)/(COUNTIF(Distance_Matrix!$E$12:$DQ$12,$E480)-1))</f>
        <v>0.758050299700035</v>
      </c>
      <c r="H480" s="17" t="n">
        <f aca="false">MIN(IF(1=$E480,1E+099,IF(COUNTIF(Distance_Matrix!$E$12:$DQ$12,1)=0,1E+099,SUMIF(Distance_Matrix!$E$12:$DQ$12,1,Distance_Matrix!$E$86:$DQ$86)/COUNTIF(Distance_Matrix!$E$12:$DQ$12,1))),IF(2=$E480,1E+099,IF(COUNTIF(Distance_Matrix!$E$12:$DQ$12,2)=0,1E+099,SUMIF(Distance_Matrix!$E$12:$DQ$12,2,Distance_Matrix!$E$86:$DQ$86)/COUNTIF(Distance_Matrix!$E$12:$DQ$12,2))),IF(3=$E480,1E+099,IF(COUNTIF(Distance_Matrix!$E$12:$DQ$12,3)=0,1E+099,SUMIF(Distance_Matrix!$E$12:$DQ$12,3,Distance_Matrix!$E$86:$DQ$86)/COUNTIF(Distance_Matrix!$E$12:$DQ$12,3))),IF(4=$E480,1E+099,IF(COUNTIF(Distance_Matrix!$E$12:$DQ$12,4)=0,1E+099,SUMIF(Distance_Matrix!$E$12:$DQ$12,4,Distance_Matrix!$E$86:$DQ$86)/COUNTIF(Distance_Matrix!$E$12:$DQ$12,4))),IF(5=$E480,1E+099,IF(COUNTIF(Distance_Matrix!$E$12:$DQ$12,5)=0,1E+099,SUMIF(Distance_Matrix!$E$12:$DQ$12,5,Distance_Matrix!$E$86:$DQ$86)/COUNTIF(Distance_Matrix!$E$12:$DQ$12,5))),IF(6=$E480,1E+099,IF(COUNTIF(Distance_Matrix!$E$12:$DQ$12,6)=0,1E+099,SUMIF(Distance_Matrix!$E$12:$DQ$12,6,Distance_Matrix!$E$86:$DQ$86)/COUNTIF(Distance_Matrix!$E$12:$DQ$12,6))))</f>
        <v>0.95859132743612</v>
      </c>
      <c r="I480" s="17" t="n">
        <f aca="false">IF(COUNTIF(Distance_Matrix!$E$12:$DQ$12,$E480)&lt;=1,0,(H480-G480)/MAX(G480,H480))</f>
        <v>0.209203882818822</v>
      </c>
      <c r="X480" s="17" t="n">
        <f aca="false">SQRT(($B480-X$401)^2+($C480-X$402)^2+($D480-X$403)^2)</f>
        <v>6.84395018685736</v>
      </c>
      <c r="Y480" s="17" t="n">
        <f aca="false">SQRT(($B480-Y$401)^2+($C480-Y$402)^2+($D480-Y$403)^2)</f>
        <v>2.01548934269047</v>
      </c>
      <c r="Z480" s="17" t="n">
        <f aca="false">SQRT(($B480-Z$401)^2+($C480-Z$402)^2+($D480-Z$403)^2)</f>
        <v>2.37695713810837</v>
      </c>
      <c r="AA480" s="17" t="n">
        <f aca="false">SQRT(($B480-AA$401)^2+($C480-AA$402)^2+($D480-AA$403)^2)</f>
        <v>1.45506966145696</v>
      </c>
      <c r="AB480" s="17" t="n">
        <f aca="false">SQRT(($B480-AB$401)^2+($C480-AB$402)^2+($D480-AB$403)^2)</f>
        <v>4.74103083830576</v>
      </c>
      <c r="AC480" s="17" t="n">
        <f aca="false">SQRT(($B480-AC$401)^2+($C480-AC$402)^2+($D480-AC$403)^2)</f>
        <v>1.04435962219109</v>
      </c>
      <c r="AD480" s="63" t="n">
        <f aca="false">MATCH(MIN(X480:AC480),X480:AC480,0)</f>
        <v>6</v>
      </c>
      <c r="AF480" s="17" t="n">
        <f aca="false">SQRT(($B480-AF$401)^2+($C480-AF$402)^2+($D480-AF$403)^2)</f>
        <v>6.74011077733423</v>
      </c>
      <c r="AG480" s="17" t="n">
        <f aca="false">SQRT(($B480-AG$401)^2+($C480-AG$402)^2+($D480-AG$403)^2)</f>
        <v>1.36293507686831</v>
      </c>
      <c r="AH480" s="17" t="n">
        <f aca="false">SQRT(($B480-AH$401)^2+($C480-AH$402)^2+($D480-AH$403)^2)</f>
        <v>2.17343476148338</v>
      </c>
      <c r="AI480" s="17" t="n">
        <f aca="false">SQRT(($B480-AI$401)^2+($C480-AI$402)^2+($D480-AI$403)^2)</f>
        <v>0.822982261184636</v>
      </c>
      <c r="AJ480" s="17" t="n">
        <f aca="false">SQRT(($B480-AJ$401)^2+($C480-AJ$402)^2+($D480-AJ$403)^2)</f>
        <v>4.46831069505574</v>
      </c>
      <c r="AK480" s="17" t="n">
        <f aca="false">SQRT(($B480-AK$401)^2+($C480-AK$402)^2+($D480-AK$403)^2)</f>
        <v>0.455297667860962</v>
      </c>
      <c r="AL480" s="63" t="n">
        <f aca="false">MATCH(MIN(AF480:AK480),AF480:AK480,0)</f>
        <v>6</v>
      </c>
      <c r="AN480" s="17" t="n">
        <f aca="false">SQRT(($B480-AN$401)^2+($C480-AN$402)^2+($D480-AN$403)^2)</f>
        <v>6.74011077733423</v>
      </c>
      <c r="AO480" s="17" t="n">
        <f aca="false">SQRT(($B480-AO$401)^2+($C480-AO$402)^2+($D480-AO$403)^2)</f>
        <v>1.31671298024442</v>
      </c>
      <c r="AP480" s="17" t="n">
        <f aca="false">SQRT(($B480-AP$401)^2+($C480-AP$402)^2+($D480-AP$403)^2)</f>
        <v>2.1448053266992</v>
      </c>
      <c r="AQ480" s="17" t="n">
        <f aca="false">SQRT(($B480-AQ$401)^2+($C480-AQ$402)^2+($D480-AQ$403)^2)</f>
        <v>0.820266457023238</v>
      </c>
      <c r="AR480" s="17" t="n">
        <f aca="false">SQRT(($B480-AR$401)^2+($C480-AR$402)^2+($D480-AR$403)^2)</f>
        <v>4.46831069505574</v>
      </c>
      <c r="AS480" s="17" t="n">
        <f aca="false">SQRT(($B480-AS$401)^2+($C480-AS$402)^2+($D480-AS$403)^2)</f>
        <v>0.481607891835949</v>
      </c>
      <c r="AT480" s="63" t="n">
        <f aca="false">MATCH(MIN(AN480:AS480),AN480:AS480,0)</f>
        <v>6</v>
      </c>
      <c r="AV480" s="17" t="n">
        <f aca="false">SQRT(($B480-AV$401)^2+($C480-AV$402)^2+($D480-AV$403)^2)</f>
        <v>6.74011077733423</v>
      </c>
      <c r="AW480" s="17" t="n">
        <f aca="false">SQRT(($B480-AW$401)^2+($C480-AW$402)^2+($D480-AW$403)^2)</f>
        <v>1.28525028744573</v>
      </c>
      <c r="AX480" s="17" t="n">
        <f aca="false">SQRT(($B480-AX$401)^2+($C480-AX$402)^2+($D480-AX$403)^2)</f>
        <v>2.1448053266992</v>
      </c>
      <c r="AY480" s="17" t="n">
        <f aca="false">SQRT(($B480-AY$401)^2+($C480-AY$402)^2+($D480-AY$403)^2)</f>
        <v>0.820266457023238</v>
      </c>
      <c r="AZ480" s="17" t="n">
        <f aca="false">SQRT(($B480-AZ$401)^2+($C480-AZ$402)^2+($D480-AZ$403)^2)</f>
        <v>4.46831069505574</v>
      </c>
      <c r="BA480" s="17" t="n">
        <f aca="false">SQRT(($B480-BA$401)^2+($C480-BA$402)^2+($D480-BA$403)^2)</f>
        <v>0.504082370559708</v>
      </c>
      <c r="BB480" s="63" t="n">
        <f aca="false">MATCH(MIN(AV480:BA480),AV480:BA480,0)</f>
        <v>6</v>
      </c>
      <c r="BD480" s="17" t="n">
        <f aca="false">SQRT(($B480-BD$401)^2+($C480-BD$402)^2+($D480-BD$403)^2)</f>
        <v>6.74011077733423</v>
      </c>
      <c r="BE480" s="17" t="n">
        <f aca="false">SQRT(($B480-BE$401)^2+($C480-BE$402)^2+($D480-BE$403)^2)</f>
        <v>1.2552987876484</v>
      </c>
      <c r="BF480" s="17" t="n">
        <f aca="false">SQRT(($B480-BF$401)^2+($C480-BF$402)^2+($D480-BF$403)^2)</f>
        <v>2.1448053266992</v>
      </c>
      <c r="BG480" s="17" t="n">
        <f aca="false">SQRT(($B480-BG$401)^2+($C480-BG$402)^2+($D480-BG$403)^2)</f>
        <v>0.820266457023238</v>
      </c>
      <c r="BH480" s="17" t="n">
        <f aca="false">SQRT(($B480-BH$401)^2+($C480-BH$402)^2+($D480-BH$403)^2)</f>
        <v>4.46831069505574</v>
      </c>
      <c r="BI480" s="17" t="n">
        <f aca="false">SQRT(($B480-BI$401)^2+($C480-BI$402)^2+($D480-BI$403)^2)</f>
        <v>0.526604549947075</v>
      </c>
      <c r="BJ480" s="63" t="n">
        <f aca="false">MATCH(MIN(BD480:BI480),BD480:BI480,0)</f>
        <v>6</v>
      </c>
      <c r="BL480" s="17" t="n">
        <f aca="false">SQRT(($B480-BL$401)^2+($C480-BL$402)^2+($D480-BL$403)^2)</f>
        <v>6.74011077733423</v>
      </c>
      <c r="BM480" s="17" t="n">
        <f aca="false">SQRT(($B480-BM$401)^2+($C480-BM$402)^2+($D480-BM$403)^2)</f>
        <v>1.2552987876484</v>
      </c>
      <c r="BN480" s="17" t="n">
        <f aca="false">SQRT(($B480-BN$401)^2+($C480-BN$402)^2+($D480-BN$403)^2)</f>
        <v>2.1448053266992</v>
      </c>
      <c r="BO480" s="17" t="n">
        <f aca="false">SQRT(($B480-BO$401)^2+($C480-BO$402)^2+($D480-BO$403)^2)</f>
        <v>0.820266457023238</v>
      </c>
      <c r="BP480" s="17" t="n">
        <f aca="false">SQRT(($B480-BP$401)^2+($C480-BP$402)^2+($D480-BP$403)^2)</f>
        <v>4.46831069505574</v>
      </c>
      <c r="BQ480" s="17" t="n">
        <f aca="false">SQRT(($B480-BQ$401)^2+($C480-BQ$402)^2+($D480-BQ$403)^2)</f>
        <v>0.526604549947075</v>
      </c>
      <c r="BR480" s="63" t="n">
        <f aca="false">MATCH(MIN(BL480:BQ480),BL480:BQ480,0)</f>
        <v>6</v>
      </c>
      <c r="BT480" s="17" t="n">
        <f aca="false">SQRT(($B480-BT$401)^2+($C480-BT$402)^2+($D480-BT$403)^2)</f>
        <v>6.74011077733423</v>
      </c>
      <c r="BU480" s="17" t="n">
        <f aca="false">SQRT(($B480-BU$401)^2+($C480-BU$402)^2+($D480-BU$403)^2)</f>
        <v>1.2552987876484</v>
      </c>
      <c r="BV480" s="17" t="n">
        <f aca="false">SQRT(($B480-BV$401)^2+($C480-BV$402)^2+($D480-BV$403)^2)</f>
        <v>2.1448053266992</v>
      </c>
      <c r="BW480" s="17" t="n">
        <f aca="false">SQRT(($B480-BW$401)^2+($C480-BW$402)^2+($D480-BW$403)^2)</f>
        <v>0.820266457023238</v>
      </c>
      <c r="BX480" s="17" t="n">
        <f aca="false">SQRT(($B480-BX$401)^2+($C480-BX$402)^2+($D480-BX$403)^2)</f>
        <v>4.46831069505574</v>
      </c>
      <c r="BY480" s="17" t="n">
        <f aca="false">SQRT(($B480-BY$401)^2+($C480-BY$402)^2+($D480-BY$403)^2)</f>
        <v>0.526604549947075</v>
      </c>
      <c r="BZ480" s="63" t="n">
        <f aca="false">MATCH(MIN(BT480:BY480),BT480:BY480,0)</f>
        <v>6</v>
      </c>
      <c r="CB480" s="17" t="n">
        <f aca="false">SQRT(($B480-CB$401)^2+($C480-CB$402)^2+($D480-CB$403)^2)</f>
        <v>6.74011077733423</v>
      </c>
      <c r="CC480" s="17" t="n">
        <f aca="false">SQRT(($B480-CC$401)^2+($C480-CC$402)^2+($D480-CC$403)^2)</f>
        <v>1.2552987876484</v>
      </c>
      <c r="CD480" s="17" t="n">
        <f aca="false">SQRT(($B480-CD$401)^2+($C480-CD$402)^2+($D480-CD$403)^2)</f>
        <v>2.1448053266992</v>
      </c>
      <c r="CE480" s="17" t="n">
        <f aca="false">SQRT(($B480-CE$401)^2+($C480-CE$402)^2+($D480-CE$403)^2)</f>
        <v>0.820266457023238</v>
      </c>
      <c r="CF480" s="17" t="n">
        <f aca="false">SQRT(($B480-CF$401)^2+($C480-CF$402)^2+($D480-CF$403)^2)</f>
        <v>4.46831069505574</v>
      </c>
      <c r="CG480" s="17" t="n">
        <f aca="false">SQRT(($B480-CG$401)^2+($C480-CG$402)^2+($D480-CG$403)^2)</f>
        <v>0.526604549947075</v>
      </c>
      <c r="CH480" s="63" t="n">
        <f aca="false">MATCH(MIN(CB480:CG480),CB480:CG480,0)</f>
        <v>6</v>
      </c>
      <c r="CJ480" s="17" t="n">
        <f aca="false">SQRT(($B480-CJ$401)^2+($C480-CJ$402)^2+($D480-CJ$403)^2)</f>
        <v>6.74011077733423</v>
      </c>
      <c r="CK480" s="17" t="n">
        <f aca="false">SQRT(($B480-CK$401)^2+($C480-CK$402)^2+($D480-CK$403)^2)</f>
        <v>1.2552987876484</v>
      </c>
      <c r="CL480" s="17" t="n">
        <f aca="false">SQRT(($B480-CL$401)^2+($C480-CL$402)^2+($D480-CL$403)^2)</f>
        <v>2.1448053266992</v>
      </c>
      <c r="CM480" s="17" t="n">
        <f aca="false">SQRT(($B480-CM$401)^2+($C480-CM$402)^2+($D480-CM$403)^2)</f>
        <v>0.820266457023238</v>
      </c>
      <c r="CN480" s="17" t="n">
        <f aca="false">SQRT(($B480-CN$401)^2+($C480-CN$402)^2+($D480-CN$403)^2)</f>
        <v>4.46831069505574</v>
      </c>
      <c r="CO480" s="17" t="n">
        <f aca="false">SQRT(($B480-CO$401)^2+($C480-CO$402)^2+($D480-CO$403)^2)</f>
        <v>0.526604549947075</v>
      </c>
      <c r="CP480" s="63" t="n">
        <f aca="false">MATCH(MIN(CJ480:CO480),CJ480:CO480,0)</f>
        <v>6</v>
      </c>
      <c r="CR480" s="17" t="n">
        <f aca="false">SQRT(($B480-CR$401)^2+($C480-CR$402)^2+($D480-CR$403)^2)</f>
        <v>6.74011077733423</v>
      </c>
      <c r="CS480" s="17" t="n">
        <f aca="false">SQRT(($B480-CS$401)^2+($C480-CS$402)^2+($D480-CS$403)^2)</f>
        <v>1.2552987876484</v>
      </c>
      <c r="CT480" s="17" t="n">
        <f aca="false">SQRT(($B480-CT$401)^2+($C480-CT$402)^2+($D480-CT$403)^2)</f>
        <v>2.1448053266992</v>
      </c>
      <c r="CU480" s="17" t="n">
        <f aca="false">SQRT(($B480-CU$401)^2+($C480-CU$402)^2+($D480-CU$403)^2)</f>
        <v>0.820266457023238</v>
      </c>
      <c r="CV480" s="17" t="n">
        <f aca="false">SQRT(($B480-CV$401)^2+($C480-CV$402)^2+($D480-CV$403)^2)</f>
        <v>4.46831069505574</v>
      </c>
      <c r="CW480" s="17" t="n">
        <f aca="false">SQRT(($B480-CW$401)^2+($C480-CW$402)^2+($D480-CW$403)^2)</f>
        <v>0.526604549947075</v>
      </c>
      <c r="CX480" s="63" t="n">
        <f aca="false">MATCH(MIN(CR480:CW480),CR480:CW480,0)</f>
        <v>6</v>
      </c>
      <c r="CZ480" s="17" t="n">
        <f aca="false">SQRT(($B480-CZ$401)^2+($C480-CZ$402)^2+($D480-CZ$403)^2)</f>
        <v>6.74011077733423</v>
      </c>
      <c r="DA480" s="17" t="n">
        <f aca="false">SQRT(($B480-DA$401)^2+($C480-DA$402)^2+($D480-DA$403)^2)</f>
        <v>1.2552987876484</v>
      </c>
      <c r="DB480" s="17" t="n">
        <f aca="false">SQRT(($B480-DB$401)^2+($C480-DB$402)^2+($D480-DB$403)^2)</f>
        <v>2.1448053266992</v>
      </c>
      <c r="DC480" s="17" t="n">
        <f aca="false">SQRT(($B480-DC$401)^2+($C480-DC$402)^2+($D480-DC$403)^2)</f>
        <v>0.820266457023238</v>
      </c>
      <c r="DD480" s="17" t="n">
        <f aca="false">SQRT(($B480-DD$401)^2+($C480-DD$402)^2+($D480-DD$403)^2)</f>
        <v>4.46831069505574</v>
      </c>
      <c r="DE480" s="17" t="n">
        <f aca="false">SQRT(($B480-DE$401)^2+($C480-DE$402)^2+($D480-DE$403)^2)</f>
        <v>0.526604549947075</v>
      </c>
      <c r="DF480" s="63" t="n">
        <f aca="false">MATCH(MIN(CZ480:DE480),CZ480:DE480,0)</f>
        <v>6</v>
      </c>
      <c r="DH480" s="17" t="n">
        <f aca="false">SQRT(($B480-DH$401)^2+($C480-DH$402)^2+($D480-DH$403)^2)</f>
        <v>6.74011077733423</v>
      </c>
      <c r="DI480" s="17" t="n">
        <f aca="false">SQRT(($B480-DI$401)^2+($C480-DI$402)^2+($D480-DI$403)^2)</f>
        <v>1.2552987876484</v>
      </c>
      <c r="DJ480" s="17" t="n">
        <f aca="false">SQRT(($B480-DJ$401)^2+($C480-DJ$402)^2+($D480-DJ$403)^2)</f>
        <v>2.1448053266992</v>
      </c>
      <c r="DK480" s="17" t="n">
        <f aca="false">SQRT(($B480-DK$401)^2+($C480-DK$402)^2+($D480-DK$403)^2)</f>
        <v>0.820266457023238</v>
      </c>
      <c r="DL480" s="17" t="n">
        <f aca="false">SQRT(($B480-DL$401)^2+($C480-DL$402)^2+($D480-DL$403)^2)</f>
        <v>4.46831069505574</v>
      </c>
      <c r="DM480" s="17" t="n">
        <f aca="false">SQRT(($B480-DM$401)^2+($C480-DM$402)^2+($D480-DM$403)^2)</f>
        <v>0.526604549947075</v>
      </c>
      <c r="DN480" s="63" t="n">
        <f aca="false">MATCH(MIN(DH480:DM480),DH480:DM480,0)</f>
        <v>6</v>
      </c>
    </row>
    <row r="481" customFormat="false" ht="15" hidden="false" customHeight="false" outlineLevel="0" collapsed="false">
      <c r="A481" s="36" t="str">
        <f aca="false">KMeans_Data!A78</f>
        <v>Ghanche</v>
      </c>
      <c r="B481" s="17" t="n">
        <f aca="false">KMeans_Data!H78</f>
        <v>-0.327161461972788</v>
      </c>
      <c r="C481" s="17" t="n">
        <f aca="false">KMeans_Data!I78</f>
        <v>-0.672650545388274</v>
      </c>
      <c r="D481" s="17" t="n">
        <f aca="false">KMeans_Data!J78</f>
        <v>-0.2439270481224</v>
      </c>
      <c r="E481" s="63" t="n">
        <f aca="false">DN481</f>
        <v>6</v>
      </c>
      <c r="F481" s="38" t="n">
        <f aca="false">($B481-INDEX($L$401:$Q$401,E481))^2+($C481-INDEX($L$402:$Q$402,E481))^2+($D481-INDEX($L$403:$Q$403,E481))^2</f>
        <v>0.336551377313577</v>
      </c>
      <c r="G481" s="17" t="n">
        <f aca="false">IF(COUNTIF(Distance_Matrix!$E$12:$DQ$12,$E481)&lt;=1,0,SUMIF(Distance_Matrix!$E$12:$DQ$12,$E481,Distance_Matrix!$E$87:$DQ$87)/(COUNTIF(Distance_Matrix!$E$12:$DQ$12,$E481)-1))</f>
        <v>0.788540885176584</v>
      </c>
      <c r="H481" s="17" t="n">
        <f aca="false">MIN(IF(1=$E481,1E+099,IF(COUNTIF(Distance_Matrix!$E$12:$DQ$12,1)=0,1E+099,SUMIF(Distance_Matrix!$E$12:$DQ$12,1,Distance_Matrix!$E$87:$DQ$87)/COUNTIF(Distance_Matrix!$E$12:$DQ$12,1))),IF(2=$E481,1E+099,IF(COUNTIF(Distance_Matrix!$E$12:$DQ$12,2)=0,1E+099,SUMIF(Distance_Matrix!$E$12:$DQ$12,2,Distance_Matrix!$E$87:$DQ$87)/COUNTIF(Distance_Matrix!$E$12:$DQ$12,2))),IF(3=$E481,1E+099,IF(COUNTIF(Distance_Matrix!$E$12:$DQ$12,3)=0,1E+099,SUMIF(Distance_Matrix!$E$12:$DQ$12,3,Distance_Matrix!$E$87:$DQ$87)/COUNTIF(Distance_Matrix!$E$12:$DQ$12,3))),IF(4=$E481,1E+099,IF(COUNTIF(Distance_Matrix!$E$12:$DQ$12,4)=0,1E+099,SUMIF(Distance_Matrix!$E$12:$DQ$12,4,Distance_Matrix!$E$87:$DQ$87)/COUNTIF(Distance_Matrix!$E$12:$DQ$12,4))),IF(5=$E481,1E+099,IF(COUNTIF(Distance_Matrix!$E$12:$DQ$12,5)=0,1E+099,SUMIF(Distance_Matrix!$E$12:$DQ$12,5,Distance_Matrix!$E$87:$DQ$87)/COUNTIF(Distance_Matrix!$E$12:$DQ$12,5))),IF(6=$E481,1E+099,IF(COUNTIF(Distance_Matrix!$E$12:$DQ$12,6)=0,1E+099,SUMIF(Distance_Matrix!$E$12:$DQ$12,6,Distance_Matrix!$E$87:$DQ$87)/COUNTIF(Distance_Matrix!$E$12:$DQ$12,6))))</f>
        <v>0.922858857344093</v>
      </c>
      <c r="I481" s="17" t="n">
        <f aca="false">IF(COUNTIF(Distance_Matrix!$E$12:$DQ$12,$E481)&lt;=1,0,(H481-G481)/MAX(G481,H481))</f>
        <v>0.145545519879458</v>
      </c>
      <c r="X481" s="17" t="n">
        <f aca="false">SQRT(($B481-X$401)^2+($C481-X$402)^2+($D481-X$403)^2)</f>
        <v>6.88442683577779</v>
      </c>
      <c r="Y481" s="17" t="n">
        <f aca="false">SQRT(($B481-Y$401)^2+($C481-Y$402)^2+($D481-Y$403)^2)</f>
        <v>1.97094346163573</v>
      </c>
      <c r="Z481" s="17" t="n">
        <f aca="false">SQRT(($B481-Z$401)^2+($C481-Z$402)^2+($D481-Z$403)^2)</f>
        <v>2.43024561524111</v>
      </c>
      <c r="AA481" s="17" t="n">
        <f aca="false">SQRT(($B481-AA$401)^2+($C481-AA$402)^2+($D481-AA$403)^2)</f>
        <v>1.42682406171352</v>
      </c>
      <c r="AB481" s="17" t="n">
        <f aca="false">SQRT(($B481-AB$401)^2+($C481-AB$402)^2+($D481-AB$403)^2)</f>
        <v>4.78455832917128</v>
      </c>
      <c r="AC481" s="17" t="n">
        <f aca="false">SQRT(($B481-AC$401)^2+($C481-AC$402)^2+($D481-AC$403)^2)</f>
        <v>1.08680249481994</v>
      </c>
      <c r="AD481" s="63" t="n">
        <f aca="false">MATCH(MIN(X481:AC481),X481:AC481,0)</f>
        <v>6</v>
      </c>
      <c r="AF481" s="17" t="n">
        <f aca="false">SQRT(($B481-AF$401)^2+($C481-AF$402)^2+($D481-AF$403)^2)</f>
        <v>6.77856471434958</v>
      </c>
      <c r="AG481" s="17" t="n">
        <f aca="false">SQRT(($B481-AG$401)^2+($C481-AG$402)^2+($D481-AG$403)^2)</f>
        <v>1.30881392959903</v>
      </c>
      <c r="AH481" s="17" t="n">
        <f aca="false">SQRT(($B481-AH$401)^2+($C481-AH$402)^2+($D481-AH$403)^2)</f>
        <v>2.2148508716476</v>
      </c>
      <c r="AI481" s="17" t="n">
        <f aca="false">SQRT(($B481-AI$401)^2+($C481-AI$402)^2+($D481-AI$403)^2)</f>
        <v>0.783642735065196</v>
      </c>
      <c r="AJ481" s="17" t="n">
        <f aca="false">SQRT(($B481-AJ$401)^2+($C481-AJ$402)^2+($D481-AJ$403)^2)</f>
        <v>4.50539200103262</v>
      </c>
      <c r="AK481" s="17" t="n">
        <f aca="false">SQRT(($B481-AK$401)^2+($C481-AK$402)^2+($D481-AK$403)^2)</f>
        <v>0.506732539968238</v>
      </c>
      <c r="AL481" s="63" t="n">
        <f aca="false">MATCH(MIN(AF481:AK481),AF481:AK481,0)</f>
        <v>6</v>
      </c>
      <c r="AN481" s="17" t="n">
        <f aca="false">SQRT(($B481-AN$401)^2+($C481-AN$402)^2+($D481-AN$403)^2)</f>
        <v>6.77856471434958</v>
      </c>
      <c r="AO481" s="17" t="n">
        <f aca="false">SQRT(($B481-AO$401)^2+($C481-AO$402)^2+($D481-AO$403)^2)</f>
        <v>1.26227084631056</v>
      </c>
      <c r="AP481" s="17" t="n">
        <f aca="false">SQRT(($B481-AP$401)^2+($C481-AP$402)^2+($D481-AP$403)^2)</f>
        <v>2.18610748062087</v>
      </c>
      <c r="AQ481" s="17" t="n">
        <f aca="false">SQRT(($B481-AQ$401)^2+($C481-AQ$402)^2+($D481-AQ$403)^2)</f>
        <v>0.780198979710658</v>
      </c>
      <c r="AR481" s="17" t="n">
        <f aca="false">SQRT(($B481-AR$401)^2+($C481-AR$402)^2+($D481-AR$403)^2)</f>
        <v>4.50539200103262</v>
      </c>
      <c r="AS481" s="17" t="n">
        <f aca="false">SQRT(($B481-AS$401)^2+($C481-AS$402)^2+($D481-AS$403)^2)</f>
        <v>0.534442821451749</v>
      </c>
      <c r="AT481" s="63" t="n">
        <f aca="false">MATCH(MIN(AN481:AS481),AN481:AS481,0)</f>
        <v>6</v>
      </c>
      <c r="AV481" s="17" t="n">
        <f aca="false">SQRT(($B481-AV$401)^2+($C481-AV$402)^2+($D481-AV$403)^2)</f>
        <v>6.77856471434958</v>
      </c>
      <c r="AW481" s="17" t="n">
        <f aca="false">SQRT(($B481-AW$401)^2+($C481-AW$402)^2+($D481-AW$403)^2)</f>
        <v>1.23099082384677</v>
      </c>
      <c r="AX481" s="17" t="n">
        <f aca="false">SQRT(($B481-AX$401)^2+($C481-AX$402)^2+($D481-AX$403)^2)</f>
        <v>2.18610748062087</v>
      </c>
      <c r="AY481" s="17" t="n">
        <f aca="false">SQRT(($B481-AY$401)^2+($C481-AY$402)^2+($D481-AY$403)^2)</f>
        <v>0.780198979710658</v>
      </c>
      <c r="AZ481" s="17" t="n">
        <f aca="false">SQRT(($B481-AZ$401)^2+($C481-AZ$402)^2+($D481-AZ$403)^2)</f>
        <v>4.50539200103262</v>
      </c>
      <c r="BA481" s="17" t="n">
        <f aca="false">SQRT(($B481-BA$401)^2+($C481-BA$402)^2+($D481-BA$403)^2)</f>
        <v>0.557324010887826</v>
      </c>
      <c r="BB481" s="63" t="n">
        <f aca="false">MATCH(MIN(AV481:BA481),AV481:BA481,0)</f>
        <v>6</v>
      </c>
      <c r="BD481" s="17" t="n">
        <f aca="false">SQRT(($B481-BD$401)^2+($C481-BD$402)^2+($D481-BD$403)^2)</f>
        <v>6.77856471434958</v>
      </c>
      <c r="BE481" s="17" t="n">
        <f aca="false">SQRT(($B481-BE$401)^2+($C481-BE$402)^2+($D481-BE$403)^2)</f>
        <v>1.20131661995097</v>
      </c>
      <c r="BF481" s="17" t="n">
        <f aca="false">SQRT(($B481-BF$401)^2+($C481-BF$402)^2+($D481-BF$403)^2)</f>
        <v>2.18610748062087</v>
      </c>
      <c r="BG481" s="17" t="n">
        <f aca="false">SQRT(($B481-BG$401)^2+($C481-BG$402)^2+($D481-BG$403)^2)</f>
        <v>0.780198979710658</v>
      </c>
      <c r="BH481" s="17" t="n">
        <f aca="false">SQRT(($B481-BH$401)^2+($C481-BH$402)^2+($D481-BH$403)^2)</f>
        <v>4.50539200103262</v>
      </c>
      <c r="BI481" s="17" t="n">
        <f aca="false">SQRT(($B481-BI$401)^2+($C481-BI$402)^2+($D481-BI$403)^2)</f>
        <v>0.580130483006691</v>
      </c>
      <c r="BJ481" s="63" t="n">
        <f aca="false">MATCH(MIN(BD481:BI481),BD481:BI481,0)</f>
        <v>6</v>
      </c>
      <c r="BL481" s="17" t="n">
        <f aca="false">SQRT(($B481-BL$401)^2+($C481-BL$402)^2+($D481-BL$403)^2)</f>
        <v>6.77856471434958</v>
      </c>
      <c r="BM481" s="17" t="n">
        <f aca="false">SQRT(($B481-BM$401)^2+($C481-BM$402)^2+($D481-BM$403)^2)</f>
        <v>1.20131661995097</v>
      </c>
      <c r="BN481" s="17" t="n">
        <f aca="false">SQRT(($B481-BN$401)^2+($C481-BN$402)^2+($D481-BN$403)^2)</f>
        <v>2.18610748062087</v>
      </c>
      <c r="BO481" s="17" t="n">
        <f aca="false">SQRT(($B481-BO$401)^2+($C481-BO$402)^2+($D481-BO$403)^2)</f>
        <v>0.780198979710658</v>
      </c>
      <c r="BP481" s="17" t="n">
        <f aca="false">SQRT(($B481-BP$401)^2+($C481-BP$402)^2+($D481-BP$403)^2)</f>
        <v>4.50539200103262</v>
      </c>
      <c r="BQ481" s="17" t="n">
        <f aca="false">SQRT(($B481-BQ$401)^2+($C481-BQ$402)^2+($D481-BQ$403)^2)</f>
        <v>0.580130483006691</v>
      </c>
      <c r="BR481" s="63" t="n">
        <f aca="false">MATCH(MIN(BL481:BQ481),BL481:BQ481,0)</f>
        <v>6</v>
      </c>
      <c r="BT481" s="17" t="n">
        <f aca="false">SQRT(($B481-BT$401)^2+($C481-BT$402)^2+($D481-BT$403)^2)</f>
        <v>6.77856471434958</v>
      </c>
      <c r="BU481" s="17" t="n">
        <f aca="false">SQRT(($B481-BU$401)^2+($C481-BU$402)^2+($D481-BU$403)^2)</f>
        <v>1.20131661995097</v>
      </c>
      <c r="BV481" s="17" t="n">
        <f aca="false">SQRT(($B481-BV$401)^2+($C481-BV$402)^2+($D481-BV$403)^2)</f>
        <v>2.18610748062087</v>
      </c>
      <c r="BW481" s="17" t="n">
        <f aca="false">SQRT(($B481-BW$401)^2+($C481-BW$402)^2+($D481-BW$403)^2)</f>
        <v>0.780198979710658</v>
      </c>
      <c r="BX481" s="17" t="n">
        <f aca="false">SQRT(($B481-BX$401)^2+($C481-BX$402)^2+($D481-BX$403)^2)</f>
        <v>4.50539200103262</v>
      </c>
      <c r="BY481" s="17" t="n">
        <f aca="false">SQRT(($B481-BY$401)^2+($C481-BY$402)^2+($D481-BY$403)^2)</f>
        <v>0.580130483006691</v>
      </c>
      <c r="BZ481" s="63" t="n">
        <f aca="false">MATCH(MIN(BT481:BY481),BT481:BY481,0)</f>
        <v>6</v>
      </c>
      <c r="CB481" s="17" t="n">
        <f aca="false">SQRT(($B481-CB$401)^2+($C481-CB$402)^2+($D481-CB$403)^2)</f>
        <v>6.77856471434958</v>
      </c>
      <c r="CC481" s="17" t="n">
        <f aca="false">SQRT(($B481-CC$401)^2+($C481-CC$402)^2+($D481-CC$403)^2)</f>
        <v>1.20131661995097</v>
      </c>
      <c r="CD481" s="17" t="n">
        <f aca="false">SQRT(($B481-CD$401)^2+($C481-CD$402)^2+($D481-CD$403)^2)</f>
        <v>2.18610748062087</v>
      </c>
      <c r="CE481" s="17" t="n">
        <f aca="false">SQRT(($B481-CE$401)^2+($C481-CE$402)^2+($D481-CE$403)^2)</f>
        <v>0.780198979710658</v>
      </c>
      <c r="CF481" s="17" t="n">
        <f aca="false">SQRT(($B481-CF$401)^2+($C481-CF$402)^2+($D481-CF$403)^2)</f>
        <v>4.50539200103262</v>
      </c>
      <c r="CG481" s="17" t="n">
        <f aca="false">SQRT(($B481-CG$401)^2+($C481-CG$402)^2+($D481-CG$403)^2)</f>
        <v>0.580130483006691</v>
      </c>
      <c r="CH481" s="63" t="n">
        <f aca="false">MATCH(MIN(CB481:CG481),CB481:CG481,0)</f>
        <v>6</v>
      </c>
      <c r="CJ481" s="17" t="n">
        <f aca="false">SQRT(($B481-CJ$401)^2+($C481-CJ$402)^2+($D481-CJ$403)^2)</f>
        <v>6.77856471434958</v>
      </c>
      <c r="CK481" s="17" t="n">
        <f aca="false">SQRT(($B481-CK$401)^2+($C481-CK$402)^2+($D481-CK$403)^2)</f>
        <v>1.20131661995097</v>
      </c>
      <c r="CL481" s="17" t="n">
        <f aca="false">SQRT(($B481-CL$401)^2+($C481-CL$402)^2+($D481-CL$403)^2)</f>
        <v>2.18610748062087</v>
      </c>
      <c r="CM481" s="17" t="n">
        <f aca="false">SQRT(($B481-CM$401)^2+($C481-CM$402)^2+($D481-CM$403)^2)</f>
        <v>0.780198979710658</v>
      </c>
      <c r="CN481" s="17" t="n">
        <f aca="false">SQRT(($B481-CN$401)^2+($C481-CN$402)^2+($D481-CN$403)^2)</f>
        <v>4.50539200103262</v>
      </c>
      <c r="CO481" s="17" t="n">
        <f aca="false">SQRT(($B481-CO$401)^2+($C481-CO$402)^2+($D481-CO$403)^2)</f>
        <v>0.580130483006691</v>
      </c>
      <c r="CP481" s="63" t="n">
        <f aca="false">MATCH(MIN(CJ481:CO481),CJ481:CO481,0)</f>
        <v>6</v>
      </c>
      <c r="CR481" s="17" t="n">
        <f aca="false">SQRT(($B481-CR$401)^2+($C481-CR$402)^2+($D481-CR$403)^2)</f>
        <v>6.77856471434958</v>
      </c>
      <c r="CS481" s="17" t="n">
        <f aca="false">SQRT(($B481-CS$401)^2+($C481-CS$402)^2+($D481-CS$403)^2)</f>
        <v>1.20131661995097</v>
      </c>
      <c r="CT481" s="17" t="n">
        <f aca="false">SQRT(($B481-CT$401)^2+($C481-CT$402)^2+($D481-CT$403)^2)</f>
        <v>2.18610748062087</v>
      </c>
      <c r="CU481" s="17" t="n">
        <f aca="false">SQRT(($B481-CU$401)^2+($C481-CU$402)^2+($D481-CU$403)^2)</f>
        <v>0.780198979710658</v>
      </c>
      <c r="CV481" s="17" t="n">
        <f aca="false">SQRT(($B481-CV$401)^2+($C481-CV$402)^2+($D481-CV$403)^2)</f>
        <v>4.50539200103262</v>
      </c>
      <c r="CW481" s="17" t="n">
        <f aca="false">SQRT(($B481-CW$401)^2+($C481-CW$402)^2+($D481-CW$403)^2)</f>
        <v>0.580130483006691</v>
      </c>
      <c r="CX481" s="63" t="n">
        <f aca="false">MATCH(MIN(CR481:CW481),CR481:CW481,0)</f>
        <v>6</v>
      </c>
      <c r="CZ481" s="17" t="n">
        <f aca="false">SQRT(($B481-CZ$401)^2+($C481-CZ$402)^2+($D481-CZ$403)^2)</f>
        <v>6.77856471434958</v>
      </c>
      <c r="DA481" s="17" t="n">
        <f aca="false">SQRT(($B481-DA$401)^2+($C481-DA$402)^2+($D481-DA$403)^2)</f>
        <v>1.20131661995097</v>
      </c>
      <c r="DB481" s="17" t="n">
        <f aca="false">SQRT(($B481-DB$401)^2+($C481-DB$402)^2+($D481-DB$403)^2)</f>
        <v>2.18610748062087</v>
      </c>
      <c r="DC481" s="17" t="n">
        <f aca="false">SQRT(($B481-DC$401)^2+($C481-DC$402)^2+($D481-DC$403)^2)</f>
        <v>0.780198979710658</v>
      </c>
      <c r="DD481" s="17" t="n">
        <f aca="false">SQRT(($B481-DD$401)^2+($C481-DD$402)^2+($D481-DD$403)^2)</f>
        <v>4.50539200103262</v>
      </c>
      <c r="DE481" s="17" t="n">
        <f aca="false">SQRT(($B481-DE$401)^2+($C481-DE$402)^2+($D481-DE$403)^2)</f>
        <v>0.580130483006691</v>
      </c>
      <c r="DF481" s="63" t="n">
        <f aca="false">MATCH(MIN(CZ481:DE481),CZ481:DE481,0)</f>
        <v>6</v>
      </c>
      <c r="DH481" s="17" t="n">
        <f aca="false">SQRT(($B481-DH$401)^2+($C481-DH$402)^2+($D481-DH$403)^2)</f>
        <v>6.77856471434958</v>
      </c>
      <c r="DI481" s="17" t="n">
        <f aca="false">SQRT(($B481-DI$401)^2+($C481-DI$402)^2+($D481-DI$403)^2)</f>
        <v>1.20131661995097</v>
      </c>
      <c r="DJ481" s="17" t="n">
        <f aca="false">SQRT(($B481-DJ$401)^2+($C481-DJ$402)^2+($D481-DJ$403)^2)</f>
        <v>2.18610748062087</v>
      </c>
      <c r="DK481" s="17" t="n">
        <f aca="false">SQRT(($B481-DK$401)^2+($C481-DK$402)^2+($D481-DK$403)^2)</f>
        <v>0.780198979710658</v>
      </c>
      <c r="DL481" s="17" t="n">
        <f aca="false">SQRT(($B481-DL$401)^2+($C481-DL$402)^2+($D481-DL$403)^2)</f>
        <v>4.50539200103262</v>
      </c>
      <c r="DM481" s="17" t="n">
        <f aca="false">SQRT(($B481-DM$401)^2+($C481-DM$402)^2+($D481-DM$403)^2)</f>
        <v>0.580130483006691</v>
      </c>
      <c r="DN481" s="63" t="n">
        <f aca="false">MATCH(MIN(DH481:DM481),DH481:DM481,0)</f>
        <v>6</v>
      </c>
    </row>
    <row r="482" customFormat="false" ht="15" hidden="false" customHeight="false" outlineLevel="0" collapsed="false">
      <c r="A482" s="36" t="str">
        <f aca="false">KMeans_Data!A79</f>
        <v>Hunza</v>
      </c>
      <c r="B482" s="17" t="n">
        <f aca="false">KMeans_Data!H79</f>
        <v>-0.327161461972788</v>
      </c>
      <c r="C482" s="17" t="n">
        <f aca="false">KMeans_Data!I79</f>
        <v>-0.672650545388274</v>
      </c>
      <c r="D482" s="17" t="n">
        <f aca="false">KMeans_Data!J79</f>
        <v>-1.14564411633355</v>
      </c>
      <c r="E482" s="63" t="n">
        <f aca="false">DN482</f>
        <v>4</v>
      </c>
      <c r="F482" s="38" t="n">
        <f aca="false">($B482-INDEX($L$401:$Q$401,E482))^2+($C482-INDEX($L$402:$Q$402,E482))^2+($D482-INDEX($L$403:$Q$403,E482))^2</f>
        <v>0.308339656670134</v>
      </c>
      <c r="G482" s="17" t="n">
        <f aca="false">IF(COUNTIF(Distance_Matrix!$E$12:$DQ$12,$E482)&lt;=1,0,SUMIF(Distance_Matrix!$E$12:$DQ$12,$E482,Distance_Matrix!$E$88:$DQ$88)/(COUNTIF(Distance_Matrix!$E$12:$DQ$12,$E482)-1))</f>
        <v>0.693986404955845</v>
      </c>
      <c r="H482" s="17" t="n">
        <f aca="false">MIN(IF(1=$E482,1E+099,IF(COUNTIF(Distance_Matrix!$E$12:$DQ$12,1)=0,1E+099,SUMIF(Distance_Matrix!$E$12:$DQ$12,1,Distance_Matrix!$E$88:$DQ$88)/COUNTIF(Distance_Matrix!$E$12:$DQ$12,1))),IF(2=$E482,1E+099,IF(COUNTIF(Distance_Matrix!$E$12:$DQ$12,2)=0,1E+099,SUMIF(Distance_Matrix!$E$12:$DQ$12,2,Distance_Matrix!$E$88:$DQ$88)/COUNTIF(Distance_Matrix!$E$12:$DQ$12,2))),IF(3=$E482,1E+099,IF(COUNTIF(Distance_Matrix!$E$12:$DQ$12,3)=0,1E+099,SUMIF(Distance_Matrix!$E$12:$DQ$12,3,Distance_Matrix!$E$88:$DQ$88)/COUNTIF(Distance_Matrix!$E$12:$DQ$12,3))),IF(4=$E482,1E+099,IF(COUNTIF(Distance_Matrix!$E$12:$DQ$12,4)=0,1E+099,SUMIF(Distance_Matrix!$E$12:$DQ$12,4,Distance_Matrix!$E$88:$DQ$88)/COUNTIF(Distance_Matrix!$E$12:$DQ$12,4))),IF(5=$E482,1E+099,IF(COUNTIF(Distance_Matrix!$E$12:$DQ$12,5)=0,1E+099,SUMIF(Distance_Matrix!$E$12:$DQ$12,5,Distance_Matrix!$E$88:$DQ$88)/COUNTIF(Distance_Matrix!$E$12:$DQ$12,5))),IF(6=$E482,1E+099,IF(COUNTIF(Distance_Matrix!$E$12:$DQ$12,6)=0,1E+099,SUMIF(Distance_Matrix!$E$12:$DQ$12,6,Distance_Matrix!$E$88:$DQ$88)/COUNTIF(Distance_Matrix!$E$12:$DQ$12,6))))</f>
        <v>0.977796569427311</v>
      </c>
      <c r="I482" s="17" t="n">
        <f aca="false">IF(COUNTIF(Distance_Matrix!$E$12:$DQ$12,$E482)&lt;=1,0,(H482-G482)/MAX(G482,H482))</f>
        <v>0.2902548171525</v>
      </c>
      <c r="X482" s="17" t="n">
        <f aca="false">SQRT(($B482-X$401)^2+($C482-X$402)^2+($D482-X$403)^2)</f>
        <v>7.38338582905211</v>
      </c>
      <c r="Y482" s="17" t="n">
        <f aca="false">SQRT(($B482-Y$401)^2+($C482-Y$402)^2+($D482-Y$403)^2)</f>
        <v>1.75257651983054</v>
      </c>
      <c r="Z482" s="17" t="n">
        <f aca="false">SQRT(($B482-Z$401)^2+($C482-Z$402)^2+($D482-Z$403)^2)</f>
        <v>3.13223110720305</v>
      </c>
      <c r="AA482" s="17" t="n">
        <f aca="false">SQRT(($B482-AA$401)^2+($C482-AA$402)^2+($D482-AA$403)^2)</f>
        <v>1.10577268549253</v>
      </c>
      <c r="AB482" s="17" t="n">
        <f aca="false">SQRT(($B482-AB$401)^2+($C482-AB$402)^2+($D482-AB$403)^2)</f>
        <v>5.33135868748808</v>
      </c>
      <c r="AC482" s="17" t="n">
        <f aca="false">SQRT(($B482-AC$401)^2+($C482-AC$402)^2+($D482-AC$403)^2)</f>
        <v>1.8888150743677</v>
      </c>
      <c r="AD482" s="63" t="n">
        <f aca="false">MATCH(MIN(X482:AC482),X482:AC482,0)</f>
        <v>4</v>
      </c>
      <c r="AF482" s="17" t="n">
        <f aca="false">SQRT(($B482-AF$401)^2+($C482-AF$402)^2+($D482-AF$403)^2)</f>
        <v>7.24927793363095</v>
      </c>
      <c r="AG482" s="17" t="n">
        <f aca="false">SQRT(($B482-AG$401)^2+($C482-AG$402)^2+($D482-AG$403)^2)</f>
        <v>0.995082022611598</v>
      </c>
      <c r="AH482" s="17" t="n">
        <f aca="false">SQRT(($B482-AH$401)^2+($C482-AH$402)^2+($D482-AH$403)^2)</f>
        <v>2.80415422024234</v>
      </c>
      <c r="AI482" s="17" t="n">
        <f aca="false">SQRT(($B482-AI$401)^2+($C482-AI$402)^2+($D482-AI$403)^2)</f>
        <v>0.569444911125953</v>
      </c>
      <c r="AJ482" s="17" t="n">
        <f aca="false">SQRT(($B482-AJ$401)^2+($C482-AJ$402)^2+($D482-AJ$403)^2)</f>
        <v>4.97756983305275</v>
      </c>
      <c r="AK482" s="17" t="n">
        <f aca="false">SQRT(($B482-AK$401)^2+($C482-AK$402)^2+($D482-AK$403)^2)</f>
        <v>1.34879162611393</v>
      </c>
      <c r="AL482" s="63" t="n">
        <f aca="false">MATCH(MIN(AF482:AK482),AF482:AK482,0)</f>
        <v>4</v>
      </c>
      <c r="AN482" s="17" t="n">
        <f aca="false">SQRT(($B482-AN$401)^2+($C482-AN$402)^2+($D482-AN$403)^2)</f>
        <v>7.24927793363095</v>
      </c>
      <c r="AO482" s="17" t="n">
        <f aca="false">SQRT(($B482-AO$401)^2+($C482-AO$402)^2+($D482-AO$403)^2)</f>
        <v>0.953750359542216</v>
      </c>
      <c r="AP482" s="17" t="n">
        <f aca="false">SQRT(($B482-AP$401)^2+($C482-AP$402)^2+($D482-AP$403)^2)</f>
        <v>2.77654627094211</v>
      </c>
      <c r="AQ482" s="17" t="n">
        <f aca="false">SQRT(($B482-AQ$401)^2+($C482-AQ$402)^2+($D482-AQ$403)^2)</f>
        <v>0.555283402120156</v>
      </c>
      <c r="AR482" s="17" t="n">
        <f aca="false">SQRT(($B482-AR$401)^2+($C482-AR$402)^2+($D482-AR$403)^2)</f>
        <v>4.97756983305275</v>
      </c>
      <c r="AS482" s="17" t="n">
        <f aca="false">SQRT(($B482-AS$401)^2+($C482-AS$402)^2+($D482-AS$403)^2)</f>
        <v>1.37436837849093</v>
      </c>
      <c r="AT482" s="63" t="n">
        <f aca="false">MATCH(MIN(AN482:AS482),AN482:AS482,0)</f>
        <v>4</v>
      </c>
      <c r="AV482" s="17" t="n">
        <f aca="false">SQRT(($B482-AV$401)^2+($C482-AV$402)^2+($D482-AV$403)^2)</f>
        <v>7.24927793363095</v>
      </c>
      <c r="AW482" s="17" t="n">
        <f aca="false">SQRT(($B482-AW$401)^2+($C482-AW$402)^2+($D482-AW$403)^2)</f>
        <v>0.937232127935675</v>
      </c>
      <c r="AX482" s="17" t="n">
        <f aca="false">SQRT(($B482-AX$401)^2+($C482-AX$402)^2+($D482-AX$403)^2)</f>
        <v>2.77654627094211</v>
      </c>
      <c r="AY482" s="17" t="n">
        <f aca="false">SQRT(($B482-AY$401)^2+($C482-AY$402)^2+($D482-AY$403)^2)</f>
        <v>0.555283402120156</v>
      </c>
      <c r="AZ482" s="17" t="n">
        <f aca="false">SQRT(($B482-AZ$401)^2+($C482-AZ$402)^2+($D482-AZ$403)^2)</f>
        <v>4.97756983305275</v>
      </c>
      <c r="BA482" s="17" t="n">
        <f aca="false">SQRT(($B482-BA$401)^2+($C482-BA$402)^2+($D482-BA$403)^2)</f>
        <v>1.39511097412299</v>
      </c>
      <c r="BB482" s="63" t="n">
        <f aca="false">MATCH(MIN(AV482:BA482),AV482:BA482,0)</f>
        <v>4</v>
      </c>
      <c r="BD482" s="17" t="n">
        <f aca="false">SQRT(($B482-BD$401)^2+($C482-BD$402)^2+($D482-BD$403)^2)</f>
        <v>7.24927793363095</v>
      </c>
      <c r="BE482" s="17" t="n">
        <f aca="false">SQRT(($B482-BE$401)^2+($C482-BE$402)^2+($D482-BE$403)^2)</f>
        <v>0.924749044698608</v>
      </c>
      <c r="BF482" s="17" t="n">
        <f aca="false">SQRT(($B482-BF$401)^2+($C482-BF$402)^2+($D482-BF$403)^2)</f>
        <v>2.77654627094211</v>
      </c>
      <c r="BG482" s="17" t="n">
        <f aca="false">SQRT(($B482-BG$401)^2+($C482-BG$402)^2+($D482-BG$403)^2)</f>
        <v>0.555283402120156</v>
      </c>
      <c r="BH482" s="17" t="n">
        <f aca="false">SQRT(($B482-BH$401)^2+($C482-BH$402)^2+($D482-BH$403)^2)</f>
        <v>4.97756983305275</v>
      </c>
      <c r="BI482" s="17" t="n">
        <f aca="false">SQRT(($B482-BI$401)^2+($C482-BI$402)^2+($D482-BI$403)^2)</f>
        <v>1.41492363302499</v>
      </c>
      <c r="BJ482" s="63" t="n">
        <f aca="false">MATCH(MIN(BD482:BI482),BD482:BI482,0)</f>
        <v>4</v>
      </c>
      <c r="BL482" s="17" t="n">
        <f aca="false">SQRT(($B482-BL$401)^2+($C482-BL$402)^2+($D482-BL$403)^2)</f>
        <v>7.24927793363095</v>
      </c>
      <c r="BM482" s="17" t="n">
        <f aca="false">SQRT(($B482-BM$401)^2+($C482-BM$402)^2+($D482-BM$403)^2)</f>
        <v>0.924749044698608</v>
      </c>
      <c r="BN482" s="17" t="n">
        <f aca="false">SQRT(($B482-BN$401)^2+($C482-BN$402)^2+($D482-BN$403)^2)</f>
        <v>2.77654627094211</v>
      </c>
      <c r="BO482" s="17" t="n">
        <f aca="false">SQRT(($B482-BO$401)^2+($C482-BO$402)^2+($D482-BO$403)^2)</f>
        <v>0.555283402120156</v>
      </c>
      <c r="BP482" s="17" t="n">
        <f aca="false">SQRT(($B482-BP$401)^2+($C482-BP$402)^2+($D482-BP$403)^2)</f>
        <v>4.97756983305275</v>
      </c>
      <c r="BQ482" s="17" t="n">
        <f aca="false">SQRT(($B482-BQ$401)^2+($C482-BQ$402)^2+($D482-BQ$403)^2)</f>
        <v>1.41492363302499</v>
      </c>
      <c r="BR482" s="63" t="n">
        <f aca="false">MATCH(MIN(BL482:BQ482),BL482:BQ482,0)</f>
        <v>4</v>
      </c>
      <c r="BT482" s="17" t="n">
        <f aca="false">SQRT(($B482-BT$401)^2+($C482-BT$402)^2+($D482-BT$403)^2)</f>
        <v>7.24927793363095</v>
      </c>
      <c r="BU482" s="17" t="n">
        <f aca="false">SQRT(($B482-BU$401)^2+($C482-BU$402)^2+($D482-BU$403)^2)</f>
        <v>0.924749044698608</v>
      </c>
      <c r="BV482" s="17" t="n">
        <f aca="false">SQRT(($B482-BV$401)^2+($C482-BV$402)^2+($D482-BV$403)^2)</f>
        <v>2.77654627094211</v>
      </c>
      <c r="BW482" s="17" t="n">
        <f aca="false">SQRT(($B482-BW$401)^2+($C482-BW$402)^2+($D482-BW$403)^2)</f>
        <v>0.555283402120156</v>
      </c>
      <c r="BX482" s="17" t="n">
        <f aca="false">SQRT(($B482-BX$401)^2+($C482-BX$402)^2+($D482-BX$403)^2)</f>
        <v>4.97756983305275</v>
      </c>
      <c r="BY482" s="17" t="n">
        <f aca="false">SQRT(($B482-BY$401)^2+($C482-BY$402)^2+($D482-BY$403)^2)</f>
        <v>1.41492363302499</v>
      </c>
      <c r="BZ482" s="63" t="n">
        <f aca="false">MATCH(MIN(BT482:BY482),BT482:BY482,0)</f>
        <v>4</v>
      </c>
      <c r="CB482" s="17" t="n">
        <f aca="false">SQRT(($B482-CB$401)^2+($C482-CB$402)^2+($D482-CB$403)^2)</f>
        <v>7.24927793363095</v>
      </c>
      <c r="CC482" s="17" t="n">
        <f aca="false">SQRT(($B482-CC$401)^2+($C482-CC$402)^2+($D482-CC$403)^2)</f>
        <v>0.924749044698608</v>
      </c>
      <c r="CD482" s="17" t="n">
        <f aca="false">SQRT(($B482-CD$401)^2+($C482-CD$402)^2+($D482-CD$403)^2)</f>
        <v>2.77654627094211</v>
      </c>
      <c r="CE482" s="17" t="n">
        <f aca="false">SQRT(($B482-CE$401)^2+($C482-CE$402)^2+($D482-CE$403)^2)</f>
        <v>0.555283402120156</v>
      </c>
      <c r="CF482" s="17" t="n">
        <f aca="false">SQRT(($B482-CF$401)^2+($C482-CF$402)^2+($D482-CF$403)^2)</f>
        <v>4.97756983305275</v>
      </c>
      <c r="CG482" s="17" t="n">
        <f aca="false">SQRT(($B482-CG$401)^2+($C482-CG$402)^2+($D482-CG$403)^2)</f>
        <v>1.41492363302499</v>
      </c>
      <c r="CH482" s="63" t="n">
        <f aca="false">MATCH(MIN(CB482:CG482),CB482:CG482,0)</f>
        <v>4</v>
      </c>
      <c r="CJ482" s="17" t="n">
        <f aca="false">SQRT(($B482-CJ$401)^2+($C482-CJ$402)^2+($D482-CJ$403)^2)</f>
        <v>7.24927793363095</v>
      </c>
      <c r="CK482" s="17" t="n">
        <f aca="false">SQRT(($B482-CK$401)^2+($C482-CK$402)^2+($D482-CK$403)^2)</f>
        <v>0.924749044698608</v>
      </c>
      <c r="CL482" s="17" t="n">
        <f aca="false">SQRT(($B482-CL$401)^2+($C482-CL$402)^2+($D482-CL$403)^2)</f>
        <v>2.77654627094211</v>
      </c>
      <c r="CM482" s="17" t="n">
        <f aca="false">SQRT(($B482-CM$401)^2+($C482-CM$402)^2+($D482-CM$403)^2)</f>
        <v>0.555283402120156</v>
      </c>
      <c r="CN482" s="17" t="n">
        <f aca="false">SQRT(($B482-CN$401)^2+($C482-CN$402)^2+($D482-CN$403)^2)</f>
        <v>4.97756983305275</v>
      </c>
      <c r="CO482" s="17" t="n">
        <f aca="false">SQRT(($B482-CO$401)^2+($C482-CO$402)^2+($D482-CO$403)^2)</f>
        <v>1.41492363302499</v>
      </c>
      <c r="CP482" s="63" t="n">
        <f aca="false">MATCH(MIN(CJ482:CO482),CJ482:CO482,0)</f>
        <v>4</v>
      </c>
      <c r="CR482" s="17" t="n">
        <f aca="false">SQRT(($B482-CR$401)^2+($C482-CR$402)^2+($D482-CR$403)^2)</f>
        <v>7.24927793363095</v>
      </c>
      <c r="CS482" s="17" t="n">
        <f aca="false">SQRT(($B482-CS$401)^2+($C482-CS$402)^2+($D482-CS$403)^2)</f>
        <v>0.924749044698608</v>
      </c>
      <c r="CT482" s="17" t="n">
        <f aca="false">SQRT(($B482-CT$401)^2+($C482-CT$402)^2+($D482-CT$403)^2)</f>
        <v>2.77654627094211</v>
      </c>
      <c r="CU482" s="17" t="n">
        <f aca="false">SQRT(($B482-CU$401)^2+($C482-CU$402)^2+($D482-CU$403)^2)</f>
        <v>0.555283402120156</v>
      </c>
      <c r="CV482" s="17" t="n">
        <f aca="false">SQRT(($B482-CV$401)^2+($C482-CV$402)^2+($D482-CV$403)^2)</f>
        <v>4.97756983305275</v>
      </c>
      <c r="CW482" s="17" t="n">
        <f aca="false">SQRT(($B482-CW$401)^2+($C482-CW$402)^2+($D482-CW$403)^2)</f>
        <v>1.41492363302499</v>
      </c>
      <c r="CX482" s="63" t="n">
        <f aca="false">MATCH(MIN(CR482:CW482),CR482:CW482,0)</f>
        <v>4</v>
      </c>
      <c r="CZ482" s="17" t="n">
        <f aca="false">SQRT(($B482-CZ$401)^2+($C482-CZ$402)^2+($D482-CZ$403)^2)</f>
        <v>7.24927793363095</v>
      </c>
      <c r="DA482" s="17" t="n">
        <f aca="false">SQRT(($B482-DA$401)^2+($C482-DA$402)^2+($D482-DA$403)^2)</f>
        <v>0.924749044698608</v>
      </c>
      <c r="DB482" s="17" t="n">
        <f aca="false">SQRT(($B482-DB$401)^2+($C482-DB$402)^2+($D482-DB$403)^2)</f>
        <v>2.77654627094211</v>
      </c>
      <c r="DC482" s="17" t="n">
        <f aca="false">SQRT(($B482-DC$401)^2+($C482-DC$402)^2+($D482-DC$403)^2)</f>
        <v>0.555283402120156</v>
      </c>
      <c r="DD482" s="17" t="n">
        <f aca="false">SQRT(($B482-DD$401)^2+($C482-DD$402)^2+($D482-DD$403)^2)</f>
        <v>4.97756983305275</v>
      </c>
      <c r="DE482" s="17" t="n">
        <f aca="false">SQRT(($B482-DE$401)^2+($C482-DE$402)^2+($D482-DE$403)^2)</f>
        <v>1.41492363302499</v>
      </c>
      <c r="DF482" s="63" t="n">
        <f aca="false">MATCH(MIN(CZ482:DE482),CZ482:DE482,0)</f>
        <v>4</v>
      </c>
      <c r="DH482" s="17" t="n">
        <f aca="false">SQRT(($B482-DH$401)^2+($C482-DH$402)^2+($D482-DH$403)^2)</f>
        <v>7.24927793363095</v>
      </c>
      <c r="DI482" s="17" t="n">
        <f aca="false">SQRT(($B482-DI$401)^2+($C482-DI$402)^2+($D482-DI$403)^2)</f>
        <v>0.924749044698608</v>
      </c>
      <c r="DJ482" s="17" t="n">
        <f aca="false">SQRT(($B482-DJ$401)^2+($C482-DJ$402)^2+($D482-DJ$403)^2)</f>
        <v>2.77654627094211</v>
      </c>
      <c r="DK482" s="17" t="n">
        <f aca="false">SQRT(($B482-DK$401)^2+($C482-DK$402)^2+($D482-DK$403)^2)</f>
        <v>0.555283402120156</v>
      </c>
      <c r="DL482" s="17" t="n">
        <f aca="false">SQRT(($B482-DL$401)^2+($C482-DL$402)^2+($D482-DL$403)^2)</f>
        <v>4.97756983305275</v>
      </c>
      <c r="DM482" s="17" t="n">
        <f aca="false">SQRT(($B482-DM$401)^2+($C482-DM$402)^2+($D482-DM$403)^2)</f>
        <v>1.41492363302499</v>
      </c>
      <c r="DN482" s="63" t="n">
        <f aca="false">MATCH(MIN(DH482:DM482),DH482:DM482,0)</f>
        <v>4</v>
      </c>
    </row>
    <row r="483" customFormat="false" ht="15" hidden="false" customHeight="false" outlineLevel="0" collapsed="false">
      <c r="A483" s="36" t="str">
        <f aca="false">KMeans_Data!A80</f>
        <v>Nankana Sahib</v>
      </c>
      <c r="B483" s="17" t="n">
        <f aca="false">KMeans_Data!H80</f>
        <v>-0.34542544181187</v>
      </c>
      <c r="C483" s="17" t="n">
        <f aca="false">KMeans_Data!I80</f>
        <v>-0.672650545388274</v>
      </c>
      <c r="D483" s="17" t="n">
        <f aca="false">KMeans_Data!J80</f>
        <v>-0.2439270481224</v>
      </c>
      <c r="E483" s="63" t="n">
        <f aca="false">DN483</f>
        <v>6</v>
      </c>
      <c r="F483" s="38" t="n">
        <f aca="false">($B483-INDEX($L$401:$Q$401,E483))^2+($C483-INDEX($L$402:$Q$402,E483))^2+($D483-INDEX($L$403:$Q$403,E483))^2</f>
        <v>0.341945132009226</v>
      </c>
      <c r="G483" s="17" t="n">
        <f aca="false">IF(COUNTIF(Distance_Matrix!$E$12:$DQ$12,$E483)&lt;=1,0,SUMIF(Distance_Matrix!$E$12:$DQ$12,$E483,Distance_Matrix!$E$89:$DQ$89)/(COUNTIF(Distance_Matrix!$E$12:$DQ$12,$E483)-1))</f>
        <v>0.789725402097297</v>
      </c>
      <c r="H483" s="17" t="n">
        <f aca="false">MIN(IF(1=$E483,1E+099,IF(COUNTIF(Distance_Matrix!$E$12:$DQ$12,1)=0,1E+099,SUMIF(Distance_Matrix!$E$12:$DQ$12,1,Distance_Matrix!$E$89:$DQ$89)/COUNTIF(Distance_Matrix!$E$12:$DQ$12,1))),IF(2=$E483,1E+099,IF(COUNTIF(Distance_Matrix!$E$12:$DQ$12,2)=0,1E+099,SUMIF(Distance_Matrix!$E$12:$DQ$12,2,Distance_Matrix!$E$89:$DQ$89)/COUNTIF(Distance_Matrix!$E$12:$DQ$12,2))),IF(3=$E483,1E+099,IF(COUNTIF(Distance_Matrix!$E$12:$DQ$12,3)=0,1E+099,SUMIF(Distance_Matrix!$E$12:$DQ$12,3,Distance_Matrix!$E$89:$DQ$89)/COUNTIF(Distance_Matrix!$E$12:$DQ$12,3))),IF(4=$E483,1E+099,IF(COUNTIF(Distance_Matrix!$E$12:$DQ$12,4)=0,1E+099,SUMIF(Distance_Matrix!$E$12:$DQ$12,4,Distance_Matrix!$E$89:$DQ$89)/COUNTIF(Distance_Matrix!$E$12:$DQ$12,4))),IF(5=$E483,1E+099,IF(COUNTIF(Distance_Matrix!$E$12:$DQ$12,5)=0,1E+099,SUMIF(Distance_Matrix!$E$12:$DQ$12,5,Distance_Matrix!$E$89:$DQ$89)/COUNTIF(Distance_Matrix!$E$12:$DQ$12,5))),IF(6=$E483,1E+099,IF(COUNTIF(Distance_Matrix!$E$12:$DQ$12,6)=0,1E+099,SUMIF(Distance_Matrix!$E$12:$DQ$12,6,Distance_Matrix!$E$89:$DQ$89)/COUNTIF(Distance_Matrix!$E$12:$DQ$12,6))))</f>
        <v>0.931224511825998</v>
      </c>
      <c r="I483" s="17" t="n">
        <f aca="false">IF(COUNTIF(Distance_Matrix!$E$12:$DQ$12,$E483)&lt;=1,0,(H483-G483)/MAX(G483,H483))</f>
        <v>0.15194951156434</v>
      </c>
      <c r="X483" s="17" t="n">
        <f aca="false">SQRT(($B483-X$401)^2+($C483-X$402)^2+($D483-X$403)^2)</f>
        <v>6.89399889685623</v>
      </c>
      <c r="Y483" s="17" t="n">
        <f aca="false">SQRT(($B483-Y$401)^2+($C483-Y$402)^2+($D483-Y$403)^2)</f>
        <v>1.95472086433714</v>
      </c>
      <c r="Z483" s="17" t="n">
        <f aca="false">SQRT(($B483-Z$401)^2+($C483-Z$402)^2+($D483-Z$403)^2)</f>
        <v>2.4405470008765</v>
      </c>
      <c r="AA483" s="17" t="n">
        <f aca="false">SQRT(($B483-AA$401)^2+($C483-AA$402)^2+($D483-AA$403)^2)</f>
        <v>1.43933878436837</v>
      </c>
      <c r="AB483" s="17" t="n">
        <f aca="false">SQRT(($B483-AB$401)^2+($C483-AB$402)^2+($D483-AB$403)^2)</f>
        <v>4.79485704116842</v>
      </c>
      <c r="AC483" s="17" t="n">
        <f aca="false">SQRT(($B483-AC$401)^2+($C483-AC$402)^2+($D483-AC$403)^2)</f>
        <v>1.08056845137968</v>
      </c>
      <c r="AD483" s="63" t="n">
        <f aca="false">MATCH(MIN(X483:AC483),X483:AC483,0)</f>
        <v>6</v>
      </c>
      <c r="AF483" s="17" t="n">
        <f aca="false">SQRT(($B483-AF$401)^2+($C483-AF$402)^2+($D483-AF$403)^2)</f>
        <v>6.78825355370312</v>
      </c>
      <c r="AG483" s="17" t="n">
        <f aca="false">SQRT(($B483-AG$401)^2+($C483-AG$402)^2+($D483-AG$403)^2)</f>
        <v>1.29500378120827</v>
      </c>
      <c r="AH483" s="17" t="n">
        <f aca="false">SQRT(($B483-AH$401)^2+($C483-AH$402)^2+($D483-AH$403)^2)</f>
        <v>2.22395486837475</v>
      </c>
      <c r="AI483" s="17" t="n">
        <f aca="false">SQRT(($B483-AI$401)^2+($C483-AI$402)^2+($D483-AI$403)^2)</f>
        <v>0.794753610676085</v>
      </c>
      <c r="AJ483" s="17" t="n">
        <f aca="false">SQRT(($B483-AJ$401)^2+($C483-AJ$402)^2+($D483-AJ$403)^2)</f>
        <v>4.51523181502588</v>
      </c>
      <c r="AK483" s="17" t="n">
        <f aca="false">SQRT(($B483-AK$401)^2+($C483-AK$402)^2+($D483-AK$403)^2)</f>
        <v>0.509301381994764</v>
      </c>
      <c r="AL483" s="63" t="n">
        <f aca="false">MATCH(MIN(AF483:AK483),AF483:AK483,0)</f>
        <v>6</v>
      </c>
      <c r="AN483" s="17" t="n">
        <f aca="false">SQRT(($B483-AN$401)^2+($C483-AN$402)^2+($D483-AN$403)^2)</f>
        <v>6.78825355370312</v>
      </c>
      <c r="AO483" s="17" t="n">
        <f aca="false">SQRT(($B483-AO$401)^2+($C483-AO$402)^2+($D483-AO$403)^2)</f>
        <v>1.24857115816809</v>
      </c>
      <c r="AP483" s="17" t="n">
        <f aca="false">SQRT(($B483-AP$401)^2+($C483-AP$402)^2+($D483-AP$403)^2)</f>
        <v>2.19510020412722</v>
      </c>
      <c r="AQ483" s="17" t="n">
        <f aca="false">SQRT(($B483-AQ$401)^2+($C483-AQ$402)^2+($D483-AQ$403)^2)</f>
        <v>0.79122784664383</v>
      </c>
      <c r="AR483" s="17" t="n">
        <f aca="false">SQRT(($B483-AR$401)^2+($C483-AR$402)^2+($D483-AR$403)^2)</f>
        <v>4.51523181502588</v>
      </c>
      <c r="AS483" s="17" t="n">
        <f aca="false">SQRT(($B483-AS$401)^2+($C483-AS$402)^2+($D483-AS$403)^2)</f>
        <v>0.538228357680814</v>
      </c>
      <c r="AT483" s="63" t="n">
        <f aca="false">MATCH(MIN(AN483:AS483),AN483:AS483,0)</f>
        <v>6</v>
      </c>
      <c r="AV483" s="17" t="n">
        <f aca="false">SQRT(($B483-AV$401)^2+($C483-AV$402)^2+($D483-AV$403)^2)</f>
        <v>6.78825355370312</v>
      </c>
      <c r="AW483" s="17" t="n">
        <f aca="false">SQRT(($B483-AW$401)^2+($C483-AW$402)^2+($D483-AW$403)^2)</f>
        <v>1.21722276349208</v>
      </c>
      <c r="AX483" s="17" t="n">
        <f aca="false">SQRT(($B483-AX$401)^2+($C483-AX$402)^2+($D483-AX$403)^2)</f>
        <v>2.19510020412722</v>
      </c>
      <c r="AY483" s="17" t="n">
        <f aca="false">SQRT(($B483-AY$401)^2+($C483-AY$402)^2+($D483-AY$403)^2)</f>
        <v>0.79122784664383</v>
      </c>
      <c r="AZ483" s="17" t="n">
        <f aca="false">SQRT(($B483-AZ$401)^2+($C483-AZ$402)^2+($D483-AZ$403)^2)</f>
        <v>4.51523181502588</v>
      </c>
      <c r="BA483" s="17" t="n">
        <f aca="false">SQRT(($B483-BA$401)^2+($C483-BA$402)^2+($D483-BA$403)^2)</f>
        <v>0.561508668968123</v>
      </c>
      <c r="BB483" s="63" t="n">
        <f aca="false">MATCH(MIN(AV483:BA483),AV483:BA483,0)</f>
        <v>6</v>
      </c>
      <c r="BD483" s="17" t="n">
        <f aca="false">SQRT(($B483-BD$401)^2+($C483-BD$402)^2+($D483-BD$403)^2)</f>
        <v>6.78825355370312</v>
      </c>
      <c r="BE483" s="17" t="n">
        <f aca="false">SQRT(($B483-BE$401)^2+($C483-BE$402)^2+($D483-BE$403)^2)</f>
        <v>1.18744795482967</v>
      </c>
      <c r="BF483" s="17" t="n">
        <f aca="false">SQRT(($B483-BF$401)^2+($C483-BF$402)^2+($D483-BF$403)^2)</f>
        <v>2.19510020412722</v>
      </c>
      <c r="BG483" s="17" t="n">
        <f aca="false">SQRT(($B483-BG$401)^2+($C483-BG$402)^2+($D483-BG$403)^2)</f>
        <v>0.79122784664383</v>
      </c>
      <c r="BH483" s="17" t="n">
        <f aca="false">SQRT(($B483-BH$401)^2+($C483-BH$402)^2+($D483-BH$403)^2)</f>
        <v>4.51523181502588</v>
      </c>
      <c r="BI483" s="17" t="n">
        <f aca="false">SQRT(($B483-BI$401)^2+($C483-BI$402)^2+($D483-BI$403)^2)</f>
        <v>0.584760747664569</v>
      </c>
      <c r="BJ483" s="63" t="n">
        <f aca="false">MATCH(MIN(BD483:BI483),BD483:BI483,0)</f>
        <v>6</v>
      </c>
      <c r="BL483" s="17" t="n">
        <f aca="false">SQRT(($B483-BL$401)^2+($C483-BL$402)^2+($D483-BL$403)^2)</f>
        <v>6.78825355370312</v>
      </c>
      <c r="BM483" s="17" t="n">
        <f aca="false">SQRT(($B483-BM$401)^2+($C483-BM$402)^2+($D483-BM$403)^2)</f>
        <v>1.18744795482967</v>
      </c>
      <c r="BN483" s="17" t="n">
        <f aca="false">SQRT(($B483-BN$401)^2+($C483-BN$402)^2+($D483-BN$403)^2)</f>
        <v>2.19510020412722</v>
      </c>
      <c r="BO483" s="17" t="n">
        <f aca="false">SQRT(($B483-BO$401)^2+($C483-BO$402)^2+($D483-BO$403)^2)</f>
        <v>0.79122784664383</v>
      </c>
      <c r="BP483" s="17" t="n">
        <f aca="false">SQRT(($B483-BP$401)^2+($C483-BP$402)^2+($D483-BP$403)^2)</f>
        <v>4.51523181502588</v>
      </c>
      <c r="BQ483" s="17" t="n">
        <f aca="false">SQRT(($B483-BQ$401)^2+($C483-BQ$402)^2+($D483-BQ$403)^2)</f>
        <v>0.584760747664569</v>
      </c>
      <c r="BR483" s="63" t="n">
        <f aca="false">MATCH(MIN(BL483:BQ483),BL483:BQ483,0)</f>
        <v>6</v>
      </c>
      <c r="BT483" s="17" t="n">
        <f aca="false">SQRT(($B483-BT$401)^2+($C483-BT$402)^2+($D483-BT$403)^2)</f>
        <v>6.78825355370312</v>
      </c>
      <c r="BU483" s="17" t="n">
        <f aca="false">SQRT(($B483-BU$401)^2+($C483-BU$402)^2+($D483-BU$403)^2)</f>
        <v>1.18744795482967</v>
      </c>
      <c r="BV483" s="17" t="n">
        <f aca="false">SQRT(($B483-BV$401)^2+($C483-BV$402)^2+($D483-BV$403)^2)</f>
        <v>2.19510020412722</v>
      </c>
      <c r="BW483" s="17" t="n">
        <f aca="false">SQRT(($B483-BW$401)^2+($C483-BW$402)^2+($D483-BW$403)^2)</f>
        <v>0.79122784664383</v>
      </c>
      <c r="BX483" s="17" t="n">
        <f aca="false">SQRT(($B483-BX$401)^2+($C483-BX$402)^2+($D483-BX$403)^2)</f>
        <v>4.51523181502588</v>
      </c>
      <c r="BY483" s="17" t="n">
        <f aca="false">SQRT(($B483-BY$401)^2+($C483-BY$402)^2+($D483-BY$403)^2)</f>
        <v>0.584760747664569</v>
      </c>
      <c r="BZ483" s="63" t="n">
        <f aca="false">MATCH(MIN(BT483:BY483),BT483:BY483,0)</f>
        <v>6</v>
      </c>
      <c r="CB483" s="17" t="n">
        <f aca="false">SQRT(($B483-CB$401)^2+($C483-CB$402)^2+($D483-CB$403)^2)</f>
        <v>6.78825355370312</v>
      </c>
      <c r="CC483" s="17" t="n">
        <f aca="false">SQRT(($B483-CC$401)^2+($C483-CC$402)^2+($D483-CC$403)^2)</f>
        <v>1.18744795482967</v>
      </c>
      <c r="CD483" s="17" t="n">
        <f aca="false">SQRT(($B483-CD$401)^2+($C483-CD$402)^2+($D483-CD$403)^2)</f>
        <v>2.19510020412722</v>
      </c>
      <c r="CE483" s="17" t="n">
        <f aca="false">SQRT(($B483-CE$401)^2+($C483-CE$402)^2+($D483-CE$403)^2)</f>
        <v>0.79122784664383</v>
      </c>
      <c r="CF483" s="17" t="n">
        <f aca="false">SQRT(($B483-CF$401)^2+($C483-CF$402)^2+($D483-CF$403)^2)</f>
        <v>4.51523181502588</v>
      </c>
      <c r="CG483" s="17" t="n">
        <f aca="false">SQRT(($B483-CG$401)^2+($C483-CG$402)^2+($D483-CG$403)^2)</f>
        <v>0.584760747664569</v>
      </c>
      <c r="CH483" s="63" t="n">
        <f aca="false">MATCH(MIN(CB483:CG483),CB483:CG483,0)</f>
        <v>6</v>
      </c>
      <c r="CJ483" s="17" t="n">
        <f aca="false">SQRT(($B483-CJ$401)^2+($C483-CJ$402)^2+($D483-CJ$403)^2)</f>
        <v>6.78825355370312</v>
      </c>
      <c r="CK483" s="17" t="n">
        <f aca="false">SQRT(($B483-CK$401)^2+($C483-CK$402)^2+($D483-CK$403)^2)</f>
        <v>1.18744795482967</v>
      </c>
      <c r="CL483" s="17" t="n">
        <f aca="false">SQRT(($B483-CL$401)^2+($C483-CL$402)^2+($D483-CL$403)^2)</f>
        <v>2.19510020412722</v>
      </c>
      <c r="CM483" s="17" t="n">
        <f aca="false">SQRT(($B483-CM$401)^2+($C483-CM$402)^2+($D483-CM$403)^2)</f>
        <v>0.79122784664383</v>
      </c>
      <c r="CN483" s="17" t="n">
        <f aca="false">SQRT(($B483-CN$401)^2+($C483-CN$402)^2+($D483-CN$403)^2)</f>
        <v>4.51523181502588</v>
      </c>
      <c r="CO483" s="17" t="n">
        <f aca="false">SQRT(($B483-CO$401)^2+($C483-CO$402)^2+($D483-CO$403)^2)</f>
        <v>0.584760747664569</v>
      </c>
      <c r="CP483" s="63" t="n">
        <f aca="false">MATCH(MIN(CJ483:CO483),CJ483:CO483,0)</f>
        <v>6</v>
      </c>
      <c r="CR483" s="17" t="n">
        <f aca="false">SQRT(($B483-CR$401)^2+($C483-CR$402)^2+($D483-CR$403)^2)</f>
        <v>6.78825355370312</v>
      </c>
      <c r="CS483" s="17" t="n">
        <f aca="false">SQRT(($B483-CS$401)^2+($C483-CS$402)^2+($D483-CS$403)^2)</f>
        <v>1.18744795482967</v>
      </c>
      <c r="CT483" s="17" t="n">
        <f aca="false">SQRT(($B483-CT$401)^2+($C483-CT$402)^2+($D483-CT$403)^2)</f>
        <v>2.19510020412722</v>
      </c>
      <c r="CU483" s="17" t="n">
        <f aca="false">SQRT(($B483-CU$401)^2+($C483-CU$402)^2+($D483-CU$403)^2)</f>
        <v>0.79122784664383</v>
      </c>
      <c r="CV483" s="17" t="n">
        <f aca="false">SQRT(($B483-CV$401)^2+($C483-CV$402)^2+($D483-CV$403)^2)</f>
        <v>4.51523181502588</v>
      </c>
      <c r="CW483" s="17" t="n">
        <f aca="false">SQRT(($B483-CW$401)^2+($C483-CW$402)^2+($D483-CW$403)^2)</f>
        <v>0.584760747664569</v>
      </c>
      <c r="CX483" s="63" t="n">
        <f aca="false">MATCH(MIN(CR483:CW483),CR483:CW483,0)</f>
        <v>6</v>
      </c>
      <c r="CZ483" s="17" t="n">
        <f aca="false">SQRT(($B483-CZ$401)^2+($C483-CZ$402)^2+($D483-CZ$403)^2)</f>
        <v>6.78825355370312</v>
      </c>
      <c r="DA483" s="17" t="n">
        <f aca="false">SQRT(($B483-DA$401)^2+($C483-DA$402)^2+($D483-DA$403)^2)</f>
        <v>1.18744795482967</v>
      </c>
      <c r="DB483" s="17" t="n">
        <f aca="false">SQRT(($B483-DB$401)^2+($C483-DB$402)^2+($D483-DB$403)^2)</f>
        <v>2.19510020412722</v>
      </c>
      <c r="DC483" s="17" t="n">
        <f aca="false">SQRT(($B483-DC$401)^2+($C483-DC$402)^2+($D483-DC$403)^2)</f>
        <v>0.79122784664383</v>
      </c>
      <c r="DD483" s="17" t="n">
        <f aca="false">SQRT(($B483-DD$401)^2+($C483-DD$402)^2+($D483-DD$403)^2)</f>
        <v>4.51523181502588</v>
      </c>
      <c r="DE483" s="17" t="n">
        <f aca="false">SQRT(($B483-DE$401)^2+($C483-DE$402)^2+($D483-DE$403)^2)</f>
        <v>0.584760747664569</v>
      </c>
      <c r="DF483" s="63" t="n">
        <f aca="false">MATCH(MIN(CZ483:DE483),CZ483:DE483,0)</f>
        <v>6</v>
      </c>
      <c r="DH483" s="17" t="n">
        <f aca="false">SQRT(($B483-DH$401)^2+($C483-DH$402)^2+($D483-DH$403)^2)</f>
        <v>6.78825355370312</v>
      </c>
      <c r="DI483" s="17" t="n">
        <f aca="false">SQRT(($B483-DI$401)^2+($C483-DI$402)^2+($D483-DI$403)^2)</f>
        <v>1.18744795482967</v>
      </c>
      <c r="DJ483" s="17" t="n">
        <f aca="false">SQRT(($B483-DJ$401)^2+($C483-DJ$402)^2+($D483-DJ$403)^2)</f>
        <v>2.19510020412722</v>
      </c>
      <c r="DK483" s="17" t="n">
        <f aca="false">SQRT(($B483-DK$401)^2+($C483-DK$402)^2+($D483-DK$403)^2)</f>
        <v>0.79122784664383</v>
      </c>
      <c r="DL483" s="17" t="n">
        <f aca="false">SQRT(($B483-DL$401)^2+($C483-DL$402)^2+($D483-DL$403)^2)</f>
        <v>4.51523181502588</v>
      </c>
      <c r="DM483" s="17" t="n">
        <f aca="false">SQRT(($B483-DM$401)^2+($C483-DM$402)^2+($D483-DM$403)^2)</f>
        <v>0.584760747664569</v>
      </c>
      <c r="DN483" s="63" t="n">
        <f aca="false">MATCH(MIN(DH483:DM483),DH483:DM483,0)</f>
        <v>6</v>
      </c>
    </row>
    <row r="484" customFormat="false" ht="15" hidden="false" customHeight="false" outlineLevel="0" collapsed="false">
      <c r="A484" s="36" t="str">
        <f aca="false">KMeans_Data!A81</f>
        <v>Khushab</v>
      </c>
      <c r="B484" s="17" t="n">
        <f aca="false">KMeans_Data!H81</f>
        <v>-0.34542544181187</v>
      </c>
      <c r="C484" s="17" t="n">
        <f aca="false">KMeans_Data!I81</f>
        <v>-0.672650545388274</v>
      </c>
      <c r="D484" s="17" t="n">
        <f aca="false">KMeans_Data!J81</f>
        <v>-1.14564411633355</v>
      </c>
      <c r="E484" s="63" t="n">
        <f aca="false">DN484</f>
        <v>4</v>
      </c>
      <c r="F484" s="38" t="n">
        <f aca="false">($B484-INDEX($L$401:$Q$401,E484))^2+($C484-INDEX($L$402:$Q$402,E484))^2+($D484-INDEX($L$403:$Q$403,E484))^2</f>
        <v>0.325670714033215</v>
      </c>
      <c r="G484" s="17" t="n">
        <f aca="false">IF(COUNTIF(Distance_Matrix!$E$12:$DQ$12,$E484)&lt;=1,0,SUMIF(Distance_Matrix!$E$12:$DQ$12,$E484,Distance_Matrix!$E$90:$DQ$90)/(COUNTIF(Distance_Matrix!$E$12:$DQ$12,$E484)-1))</f>
        <v>0.70484439048447</v>
      </c>
      <c r="H484" s="17" t="n">
        <f aca="false">MIN(IF(1=$E484,1E+099,IF(COUNTIF(Distance_Matrix!$E$12:$DQ$12,1)=0,1E+099,SUMIF(Distance_Matrix!$E$12:$DQ$12,1,Distance_Matrix!$E$90:$DQ$90)/COUNTIF(Distance_Matrix!$E$12:$DQ$12,1))),IF(2=$E484,1E+099,IF(COUNTIF(Distance_Matrix!$E$12:$DQ$12,2)=0,1E+099,SUMIF(Distance_Matrix!$E$12:$DQ$12,2,Distance_Matrix!$E$90:$DQ$90)/COUNTIF(Distance_Matrix!$E$12:$DQ$12,2))),IF(3=$E484,1E+099,IF(COUNTIF(Distance_Matrix!$E$12:$DQ$12,3)=0,1E+099,SUMIF(Distance_Matrix!$E$12:$DQ$12,3,Distance_Matrix!$E$90:$DQ$90)/COUNTIF(Distance_Matrix!$E$12:$DQ$12,3))),IF(4=$E484,1E+099,IF(COUNTIF(Distance_Matrix!$E$12:$DQ$12,4)=0,1E+099,SUMIF(Distance_Matrix!$E$12:$DQ$12,4,Distance_Matrix!$E$90:$DQ$90)/COUNTIF(Distance_Matrix!$E$12:$DQ$12,4))),IF(5=$E484,1E+099,IF(COUNTIF(Distance_Matrix!$E$12:$DQ$12,5)=0,1E+099,SUMIF(Distance_Matrix!$E$12:$DQ$12,5,Distance_Matrix!$E$90:$DQ$90)/COUNTIF(Distance_Matrix!$E$12:$DQ$12,5))),IF(6=$E484,1E+099,IF(COUNTIF(Distance_Matrix!$E$12:$DQ$12,6)=0,1E+099,SUMIF(Distance_Matrix!$E$12:$DQ$12,6,Distance_Matrix!$E$90:$DQ$90)/COUNTIF(Distance_Matrix!$E$12:$DQ$12,6))))</f>
        <v>0.960820415744914</v>
      </c>
      <c r="I484" s="17" t="n">
        <f aca="false">IF(COUNTIF(Distance_Matrix!$E$12:$DQ$12,$E484)&lt;=1,0,(H484-G484)/MAX(G484,H484))</f>
        <v>0.26641401563266</v>
      </c>
      <c r="X484" s="17" t="n">
        <f aca="false">SQRT(($B484-X$401)^2+($C484-X$402)^2+($D484-X$403)^2)</f>
        <v>7.39231183279798</v>
      </c>
      <c r="Y484" s="17" t="n">
        <f aca="false">SQRT(($B484-Y$401)^2+($C484-Y$402)^2+($D484-Y$403)^2)</f>
        <v>1.73431253999145</v>
      </c>
      <c r="Z484" s="17" t="n">
        <f aca="false">SQRT(($B484-Z$401)^2+($C484-Z$402)^2+($D484-Z$403)^2)</f>
        <v>3.1402305045998</v>
      </c>
      <c r="AA484" s="17" t="n">
        <f aca="false">SQRT(($B484-AA$401)^2+($C484-AA$402)^2+($D484-AA$403)^2)</f>
        <v>1.12187453179208</v>
      </c>
      <c r="AB484" s="17" t="n">
        <f aca="false">SQRT(($B484-AB$401)^2+($C484-AB$402)^2+($D484-AB$403)^2)</f>
        <v>5.34060306469735</v>
      </c>
      <c r="AC484" s="17" t="n">
        <f aca="false">SQRT(($B484-AC$401)^2+($C484-AC$402)^2+($D484-AC$403)^2)</f>
        <v>1.88523497223261</v>
      </c>
      <c r="AD484" s="63" t="n">
        <f aca="false">MATCH(MIN(X484:AC484),X484:AC484,0)</f>
        <v>4</v>
      </c>
      <c r="AF484" s="17" t="n">
        <f aca="false">SQRT(($B484-AF$401)^2+($C484-AF$402)^2+($D484-AF$403)^2)</f>
        <v>7.25833846563843</v>
      </c>
      <c r="AG484" s="17" t="n">
        <f aca="false">SQRT(($B484-AG$401)^2+($C484-AG$402)^2+($D484-AG$403)^2)</f>
        <v>0.976846519549545</v>
      </c>
      <c r="AH484" s="17" t="n">
        <f aca="false">SQRT(($B484-AH$401)^2+($C484-AH$402)^2+($D484-AH$403)^2)</f>
        <v>2.81135052311741</v>
      </c>
      <c r="AI484" s="17" t="n">
        <f aca="false">SQRT(($B484-AI$401)^2+($C484-AI$402)^2+($D484-AI$403)^2)</f>
        <v>0.584640806195955</v>
      </c>
      <c r="AJ484" s="17" t="n">
        <f aca="false">SQRT(($B484-AJ$401)^2+($C484-AJ$402)^2+($D484-AJ$403)^2)</f>
        <v>4.98647798585033</v>
      </c>
      <c r="AK484" s="17" t="n">
        <f aca="false">SQRT(($B484-AK$401)^2+($C484-AK$402)^2+($D484-AK$403)^2)</f>
        <v>1.34975882338815</v>
      </c>
      <c r="AL484" s="63" t="n">
        <f aca="false">MATCH(MIN(AF484:AK484),AF484:AK484,0)</f>
        <v>4</v>
      </c>
      <c r="AN484" s="17" t="n">
        <f aca="false">SQRT(($B484-AN$401)^2+($C484-AN$402)^2+($D484-AN$403)^2)</f>
        <v>7.25833846563843</v>
      </c>
      <c r="AO484" s="17" t="n">
        <f aca="false">SQRT(($B484-AO$401)^2+($C484-AO$402)^2+($D484-AO$403)^2)</f>
        <v>0.935543689995575</v>
      </c>
      <c r="AP484" s="17" t="n">
        <f aca="false">SQRT(($B484-AP$401)^2+($C484-AP$402)^2+($D484-AP$403)^2)</f>
        <v>2.7836321926604</v>
      </c>
      <c r="AQ484" s="17" t="n">
        <f aca="false">SQRT(($B484-AQ$401)^2+($C484-AQ$402)^2+($D484-AQ$403)^2)</f>
        <v>0.570675664483089</v>
      </c>
      <c r="AR484" s="17" t="n">
        <f aca="false">SQRT(($B484-AR$401)^2+($C484-AR$402)^2+($D484-AR$403)^2)</f>
        <v>4.98647798585033</v>
      </c>
      <c r="AS484" s="17" t="n">
        <f aca="false">SQRT(($B484-AS$401)^2+($C484-AS$402)^2+($D484-AS$403)^2)</f>
        <v>1.37584485877088</v>
      </c>
      <c r="AT484" s="63" t="n">
        <f aca="false">MATCH(MIN(AN484:AS484),AN484:AS484,0)</f>
        <v>4</v>
      </c>
      <c r="AV484" s="17" t="n">
        <f aca="false">SQRT(($B484-AV$401)^2+($C484-AV$402)^2+($D484-AV$403)^2)</f>
        <v>7.25833846563843</v>
      </c>
      <c r="AW484" s="17" t="n">
        <f aca="false">SQRT(($B484-AW$401)^2+($C484-AW$402)^2+($D484-AW$403)^2)</f>
        <v>0.919073941096776</v>
      </c>
      <c r="AX484" s="17" t="n">
        <f aca="false">SQRT(($B484-AX$401)^2+($C484-AX$402)^2+($D484-AX$403)^2)</f>
        <v>2.7836321926604</v>
      </c>
      <c r="AY484" s="17" t="n">
        <f aca="false">SQRT(($B484-AY$401)^2+($C484-AY$402)^2+($D484-AY$403)^2)</f>
        <v>0.570675664483089</v>
      </c>
      <c r="AZ484" s="17" t="n">
        <f aca="false">SQRT(($B484-AZ$401)^2+($C484-AZ$402)^2+($D484-AZ$403)^2)</f>
        <v>4.98647798585033</v>
      </c>
      <c r="BA484" s="17" t="n">
        <f aca="false">SQRT(($B484-BA$401)^2+($C484-BA$402)^2+($D484-BA$403)^2)</f>
        <v>1.39678794465469</v>
      </c>
      <c r="BB484" s="63" t="n">
        <f aca="false">MATCH(MIN(AV484:BA484),AV484:BA484,0)</f>
        <v>4</v>
      </c>
      <c r="BD484" s="17" t="n">
        <f aca="false">SQRT(($B484-BD$401)^2+($C484-BD$402)^2+($D484-BD$403)^2)</f>
        <v>7.25833846563843</v>
      </c>
      <c r="BE484" s="17" t="n">
        <f aca="false">SQRT(($B484-BE$401)^2+($C484-BE$402)^2+($D484-BE$403)^2)</f>
        <v>0.90665970448109</v>
      </c>
      <c r="BF484" s="17" t="n">
        <f aca="false">SQRT(($B484-BF$401)^2+($C484-BF$402)^2+($D484-BF$403)^2)</f>
        <v>2.7836321926604</v>
      </c>
      <c r="BG484" s="17" t="n">
        <f aca="false">SQRT(($B484-BG$401)^2+($C484-BG$402)^2+($D484-BG$403)^2)</f>
        <v>0.570675664483089</v>
      </c>
      <c r="BH484" s="17" t="n">
        <f aca="false">SQRT(($B484-BH$401)^2+($C484-BH$402)^2+($D484-BH$403)^2)</f>
        <v>4.98647798585033</v>
      </c>
      <c r="BI484" s="17" t="n">
        <f aca="false">SQRT(($B484-BI$401)^2+($C484-BI$402)^2+($D484-BI$403)^2)</f>
        <v>1.41682837421767</v>
      </c>
      <c r="BJ484" s="63" t="n">
        <f aca="false">MATCH(MIN(BD484:BI484),BD484:BI484,0)</f>
        <v>4</v>
      </c>
      <c r="BL484" s="17" t="n">
        <f aca="false">SQRT(($B484-BL$401)^2+($C484-BL$402)^2+($D484-BL$403)^2)</f>
        <v>7.25833846563843</v>
      </c>
      <c r="BM484" s="17" t="n">
        <f aca="false">SQRT(($B484-BM$401)^2+($C484-BM$402)^2+($D484-BM$403)^2)</f>
        <v>0.90665970448109</v>
      </c>
      <c r="BN484" s="17" t="n">
        <f aca="false">SQRT(($B484-BN$401)^2+($C484-BN$402)^2+($D484-BN$403)^2)</f>
        <v>2.7836321926604</v>
      </c>
      <c r="BO484" s="17" t="n">
        <f aca="false">SQRT(($B484-BO$401)^2+($C484-BO$402)^2+($D484-BO$403)^2)</f>
        <v>0.570675664483089</v>
      </c>
      <c r="BP484" s="17" t="n">
        <f aca="false">SQRT(($B484-BP$401)^2+($C484-BP$402)^2+($D484-BP$403)^2)</f>
        <v>4.98647798585033</v>
      </c>
      <c r="BQ484" s="17" t="n">
        <f aca="false">SQRT(($B484-BQ$401)^2+($C484-BQ$402)^2+($D484-BQ$403)^2)</f>
        <v>1.41682837421767</v>
      </c>
      <c r="BR484" s="63" t="n">
        <f aca="false">MATCH(MIN(BL484:BQ484),BL484:BQ484,0)</f>
        <v>4</v>
      </c>
      <c r="BT484" s="17" t="n">
        <f aca="false">SQRT(($B484-BT$401)^2+($C484-BT$402)^2+($D484-BT$403)^2)</f>
        <v>7.25833846563843</v>
      </c>
      <c r="BU484" s="17" t="n">
        <f aca="false">SQRT(($B484-BU$401)^2+($C484-BU$402)^2+($D484-BU$403)^2)</f>
        <v>0.90665970448109</v>
      </c>
      <c r="BV484" s="17" t="n">
        <f aca="false">SQRT(($B484-BV$401)^2+($C484-BV$402)^2+($D484-BV$403)^2)</f>
        <v>2.7836321926604</v>
      </c>
      <c r="BW484" s="17" t="n">
        <f aca="false">SQRT(($B484-BW$401)^2+($C484-BW$402)^2+($D484-BW$403)^2)</f>
        <v>0.570675664483089</v>
      </c>
      <c r="BX484" s="17" t="n">
        <f aca="false">SQRT(($B484-BX$401)^2+($C484-BX$402)^2+($D484-BX$403)^2)</f>
        <v>4.98647798585033</v>
      </c>
      <c r="BY484" s="17" t="n">
        <f aca="false">SQRT(($B484-BY$401)^2+($C484-BY$402)^2+($D484-BY$403)^2)</f>
        <v>1.41682837421767</v>
      </c>
      <c r="BZ484" s="63" t="n">
        <f aca="false">MATCH(MIN(BT484:BY484),BT484:BY484,0)</f>
        <v>4</v>
      </c>
      <c r="CB484" s="17" t="n">
        <f aca="false">SQRT(($B484-CB$401)^2+($C484-CB$402)^2+($D484-CB$403)^2)</f>
        <v>7.25833846563843</v>
      </c>
      <c r="CC484" s="17" t="n">
        <f aca="false">SQRT(($B484-CC$401)^2+($C484-CC$402)^2+($D484-CC$403)^2)</f>
        <v>0.90665970448109</v>
      </c>
      <c r="CD484" s="17" t="n">
        <f aca="false">SQRT(($B484-CD$401)^2+($C484-CD$402)^2+($D484-CD$403)^2)</f>
        <v>2.7836321926604</v>
      </c>
      <c r="CE484" s="17" t="n">
        <f aca="false">SQRT(($B484-CE$401)^2+($C484-CE$402)^2+($D484-CE$403)^2)</f>
        <v>0.570675664483089</v>
      </c>
      <c r="CF484" s="17" t="n">
        <f aca="false">SQRT(($B484-CF$401)^2+($C484-CF$402)^2+($D484-CF$403)^2)</f>
        <v>4.98647798585033</v>
      </c>
      <c r="CG484" s="17" t="n">
        <f aca="false">SQRT(($B484-CG$401)^2+($C484-CG$402)^2+($D484-CG$403)^2)</f>
        <v>1.41682837421767</v>
      </c>
      <c r="CH484" s="63" t="n">
        <f aca="false">MATCH(MIN(CB484:CG484),CB484:CG484,0)</f>
        <v>4</v>
      </c>
      <c r="CJ484" s="17" t="n">
        <f aca="false">SQRT(($B484-CJ$401)^2+($C484-CJ$402)^2+($D484-CJ$403)^2)</f>
        <v>7.25833846563843</v>
      </c>
      <c r="CK484" s="17" t="n">
        <f aca="false">SQRT(($B484-CK$401)^2+($C484-CK$402)^2+($D484-CK$403)^2)</f>
        <v>0.90665970448109</v>
      </c>
      <c r="CL484" s="17" t="n">
        <f aca="false">SQRT(($B484-CL$401)^2+($C484-CL$402)^2+($D484-CL$403)^2)</f>
        <v>2.7836321926604</v>
      </c>
      <c r="CM484" s="17" t="n">
        <f aca="false">SQRT(($B484-CM$401)^2+($C484-CM$402)^2+($D484-CM$403)^2)</f>
        <v>0.570675664483089</v>
      </c>
      <c r="CN484" s="17" t="n">
        <f aca="false">SQRT(($B484-CN$401)^2+($C484-CN$402)^2+($D484-CN$403)^2)</f>
        <v>4.98647798585033</v>
      </c>
      <c r="CO484" s="17" t="n">
        <f aca="false">SQRT(($B484-CO$401)^2+($C484-CO$402)^2+($D484-CO$403)^2)</f>
        <v>1.41682837421767</v>
      </c>
      <c r="CP484" s="63" t="n">
        <f aca="false">MATCH(MIN(CJ484:CO484),CJ484:CO484,0)</f>
        <v>4</v>
      </c>
      <c r="CR484" s="17" t="n">
        <f aca="false">SQRT(($B484-CR$401)^2+($C484-CR$402)^2+($D484-CR$403)^2)</f>
        <v>7.25833846563843</v>
      </c>
      <c r="CS484" s="17" t="n">
        <f aca="false">SQRT(($B484-CS$401)^2+($C484-CS$402)^2+($D484-CS$403)^2)</f>
        <v>0.90665970448109</v>
      </c>
      <c r="CT484" s="17" t="n">
        <f aca="false">SQRT(($B484-CT$401)^2+($C484-CT$402)^2+($D484-CT$403)^2)</f>
        <v>2.7836321926604</v>
      </c>
      <c r="CU484" s="17" t="n">
        <f aca="false">SQRT(($B484-CU$401)^2+($C484-CU$402)^2+($D484-CU$403)^2)</f>
        <v>0.570675664483089</v>
      </c>
      <c r="CV484" s="17" t="n">
        <f aca="false">SQRT(($B484-CV$401)^2+($C484-CV$402)^2+($D484-CV$403)^2)</f>
        <v>4.98647798585033</v>
      </c>
      <c r="CW484" s="17" t="n">
        <f aca="false">SQRT(($B484-CW$401)^2+($C484-CW$402)^2+($D484-CW$403)^2)</f>
        <v>1.41682837421767</v>
      </c>
      <c r="CX484" s="63" t="n">
        <f aca="false">MATCH(MIN(CR484:CW484),CR484:CW484,0)</f>
        <v>4</v>
      </c>
      <c r="CZ484" s="17" t="n">
        <f aca="false">SQRT(($B484-CZ$401)^2+($C484-CZ$402)^2+($D484-CZ$403)^2)</f>
        <v>7.25833846563843</v>
      </c>
      <c r="DA484" s="17" t="n">
        <f aca="false">SQRT(($B484-DA$401)^2+($C484-DA$402)^2+($D484-DA$403)^2)</f>
        <v>0.90665970448109</v>
      </c>
      <c r="DB484" s="17" t="n">
        <f aca="false">SQRT(($B484-DB$401)^2+($C484-DB$402)^2+($D484-DB$403)^2)</f>
        <v>2.7836321926604</v>
      </c>
      <c r="DC484" s="17" t="n">
        <f aca="false">SQRT(($B484-DC$401)^2+($C484-DC$402)^2+($D484-DC$403)^2)</f>
        <v>0.570675664483089</v>
      </c>
      <c r="DD484" s="17" t="n">
        <f aca="false">SQRT(($B484-DD$401)^2+($C484-DD$402)^2+($D484-DD$403)^2)</f>
        <v>4.98647798585033</v>
      </c>
      <c r="DE484" s="17" t="n">
        <f aca="false">SQRT(($B484-DE$401)^2+($C484-DE$402)^2+($D484-DE$403)^2)</f>
        <v>1.41682837421767</v>
      </c>
      <c r="DF484" s="63" t="n">
        <f aca="false">MATCH(MIN(CZ484:DE484),CZ484:DE484,0)</f>
        <v>4</v>
      </c>
      <c r="DH484" s="17" t="n">
        <f aca="false">SQRT(($B484-DH$401)^2+($C484-DH$402)^2+($D484-DH$403)^2)</f>
        <v>7.25833846563843</v>
      </c>
      <c r="DI484" s="17" t="n">
        <f aca="false">SQRT(($B484-DI$401)^2+($C484-DI$402)^2+($D484-DI$403)^2)</f>
        <v>0.90665970448109</v>
      </c>
      <c r="DJ484" s="17" t="n">
        <f aca="false">SQRT(($B484-DJ$401)^2+($C484-DJ$402)^2+($D484-DJ$403)^2)</f>
        <v>2.7836321926604</v>
      </c>
      <c r="DK484" s="17" t="n">
        <f aca="false">SQRT(($B484-DK$401)^2+($C484-DK$402)^2+($D484-DK$403)^2)</f>
        <v>0.570675664483089</v>
      </c>
      <c r="DL484" s="17" t="n">
        <f aca="false">SQRT(($B484-DL$401)^2+($C484-DL$402)^2+($D484-DL$403)^2)</f>
        <v>4.98647798585033</v>
      </c>
      <c r="DM484" s="17" t="n">
        <f aca="false">SQRT(($B484-DM$401)^2+($C484-DM$402)^2+($D484-DM$403)^2)</f>
        <v>1.41682837421767</v>
      </c>
      <c r="DN484" s="63" t="n">
        <f aca="false">MATCH(MIN(DH484:DM484),DH484:DM484,0)</f>
        <v>4</v>
      </c>
    </row>
    <row r="485" customFormat="false" ht="15" hidden="false" customHeight="false" outlineLevel="0" collapsed="false">
      <c r="A485" s="36" t="str">
        <f aca="false">KMeans_Data!A82</f>
        <v>Sheikhupura</v>
      </c>
      <c r="B485" s="17" t="n">
        <f aca="false">KMeans_Data!H82</f>
        <v>-0.383996419381545</v>
      </c>
      <c r="C485" s="17" t="n">
        <f aca="false">KMeans_Data!I82</f>
        <v>-0.672650545388274</v>
      </c>
      <c r="D485" s="17" t="n">
        <f aca="false">KMeans_Data!J82</f>
        <v>-1.14564411633355</v>
      </c>
      <c r="E485" s="63" t="n">
        <f aca="false">DN485</f>
        <v>4</v>
      </c>
      <c r="F485" s="38" t="n">
        <f aca="false">($B485-INDEX($L$401:$Q$401,E485))^2+($C485-INDEX($L$402:$Q$402,E485))^2+($D485-INDEX($L$403:$Q$403,E485))^2</f>
        <v>0.364463669344938</v>
      </c>
      <c r="G485" s="17" t="n">
        <f aca="false">IF(COUNTIF(Distance_Matrix!$E$12:$DQ$12,$E485)&lt;=1,0,SUMIF(Distance_Matrix!$E$12:$DQ$12,$E485,Distance_Matrix!$E$91:$DQ$91)/(COUNTIF(Distance_Matrix!$E$12:$DQ$12,$E485)-1))</f>
        <v>0.731734538502485</v>
      </c>
      <c r="H485" s="17" t="n">
        <f aca="false">MIN(IF(1=$E485,1E+099,IF(COUNTIF(Distance_Matrix!$E$12:$DQ$12,1)=0,1E+099,SUMIF(Distance_Matrix!$E$12:$DQ$12,1,Distance_Matrix!$E$91:$DQ$91)/COUNTIF(Distance_Matrix!$E$12:$DQ$12,1))),IF(2=$E485,1E+099,IF(COUNTIF(Distance_Matrix!$E$12:$DQ$12,2)=0,1E+099,SUMIF(Distance_Matrix!$E$12:$DQ$12,2,Distance_Matrix!$E$91:$DQ$91)/COUNTIF(Distance_Matrix!$E$12:$DQ$12,2))),IF(3=$E485,1E+099,IF(COUNTIF(Distance_Matrix!$E$12:$DQ$12,3)=0,1E+099,SUMIF(Distance_Matrix!$E$12:$DQ$12,3,Distance_Matrix!$E$91:$DQ$91)/COUNTIF(Distance_Matrix!$E$12:$DQ$12,3))),IF(4=$E485,1E+099,IF(COUNTIF(Distance_Matrix!$E$12:$DQ$12,4)=0,1E+099,SUMIF(Distance_Matrix!$E$12:$DQ$12,4,Distance_Matrix!$E$91:$DQ$91)/COUNTIF(Distance_Matrix!$E$12:$DQ$12,4))),IF(5=$E485,1E+099,IF(COUNTIF(Distance_Matrix!$E$12:$DQ$12,5)=0,1E+099,SUMIF(Distance_Matrix!$E$12:$DQ$12,5,Distance_Matrix!$E$91:$DQ$91)/COUNTIF(Distance_Matrix!$E$12:$DQ$12,5))),IF(6=$E485,1E+099,IF(COUNTIF(Distance_Matrix!$E$12:$DQ$12,6)=0,1E+099,SUMIF(Distance_Matrix!$E$12:$DQ$12,6,Distance_Matrix!$E$91:$DQ$91)/COUNTIF(Distance_Matrix!$E$12:$DQ$12,6))))</f>
        <v>0.925116037452973</v>
      </c>
      <c r="I485" s="17" t="n">
        <f aca="false">IF(COUNTIF(Distance_Matrix!$E$12:$DQ$12,$E485)&lt;=1,0,(H485-G485)/MAX(G485,H485))</f>
        <v>0.209034857381681</v>
      </c>
      <c r="X485" s="17" t="n">
        <f aca="false">SQRT(($B485-X$401)^2+($C485-X$402)^2+($D485-X$403)^2)</f>
        <v>7.41127487875453</v>
      </c>
      <c r="Y485" s="17" t="n">
        <f aca="false">SQRT(($B485-Y$401)^2+($C485-Y$402)^2+($D485-Y$403)^2)</f>
        <v>1.69574156242178</v>
      </c>
      <c r="Z485" s="17" t="n">
        <f aca="false">SQRT(($B485-Z$401)^2+($C485-Z$402)^2+($D485-Z$403)^2)</f>
        <v>3.1574046827609</v>
      </c>
      <c r="AA485" s="17" t="n">
        <f aca="false">SQRT(($B485-AA$401)^2+($C485-AA$402)^2+($D485-AA$403)^2)</f>
        <v>1.15609059396551</v>
      </c>
      <c r="AB485" s="17" t="n">
        <f aca="false">SQRT(($B485-AB$401)^2+($C485-AB$402)^2+($D485-AB$403)^2)</f>
        <v>5.36027799872395</v>
      </c>
      <c r="AC485" s="17" t="n">
        <f aca="false">SQRT(($B485-AC$401)^2+($C485-AC$402)^2+($D485-AC$403)^2)</f>
        <v>1.8782355309516</v>
      </c>
      <c r="AD485" s="63" t="n">
        <f aca="false">MATCH(MIN(X485:AC485),X485:AC485,0)</f>
        <v>4</v>
      </c>
      <c r="AF485" s="17" t="n">
        <f aca="false">SQRT(($B485-AF$401)^2+($C485-AF$402)^2+($D485-AF$403)^2)</f>
        <v>7.27758659193117</v>
      </c>
      <c r="AG485" s="17" t="n">
        <f aca="false">SQRT(($B485-AG$401)^2+($C485-AG$402)^2+($D485-AG$403)^2)</f>
        <v>0.938339320729425</v>
      </c>
      <c r="AH485" s="17" t="n">
        <f aca="false">SQRT(($B485-AH$401)^2+($C485-AH$402)^2+($D485-AH$403)^2)</f>
        <v>2.82687567288598</v>
      </c>
      <c r="AI485" s="17" t="n">
        <f aca="false">SQRT(($B485-AI$401)^2+($C485-AI$402)^2+($D485-AI$403)^2)</f>
        <v>0.617279127709889</v>
      </c>
      <c r="AJ485" s="17" t="n">
        <f aca="false">SQRT(($B485-AJ$401)^2+($C485-AJ$402)^2+($D485-AJ$403)^2)</f>
        <v>5.00545764970554</v>
      </c>
      <c r="AK485" s="17" t="n">
        <f aca="false">SQRT(($B485-AK$401)^2+($C485-AK$402)^2+($D485-AK$403)^2)</f>
        <v>1.35260973003616</v>
      </c>
      <c r="AL485" s="63" t="n">
        <f aca="false">MATCH(MIN(AF485:AK485),AF485:AK485,0)</f>
        <v>4</v>
      </c>
      <c r="AN485" s="17" t="n">
        <f aca="false">SQRT(($B485-AN$401)^2+($C485-AN$402)^2+($D485-AN$403)^2)</f>
        <v>7.27758659193117</v>
      </c>
      <c r="AO485" s="17" t="n">
        <f aca="false">SQRT(($B485-AO$401)^2+($C485-AO$402)^2+($D485-AO$403)^2)</f>
        <v>0.897101399590024</v>
      </c>
      <c r="AP485" s="17" t="n">
        <f aca="false">SQRT(($B485-AP$401)^2+($C485-AP$402)^2+($D485-AP$403)^2)</f>
        <v>2.79892935479625</v>
      </c>
      <c r="AQ485" s="17" t="n">
        <f aca="false">SQRT(($B485-AQ$401)^2+($C485-AQ$402)^2+($D485-AQ$403)^2)</f>
        <v>0.603708265095765</v>
      </c>
      <c r="AR485" s="17" t="n">
        <f aca="false">SQRT(($B485-AR$401)^2+($C485-AR$402)^2+($D485-AR$403)^2)</f>
        <v>5.00545764970554</v>
      </c>
      <c r="AS485" s="17" t="n">
        <f aca="false">SQRT(($B485-AS$401)^2+($C485-AS$402)^2+($D485-AS$403)^2)</f>
        <v>1.37975242388578</v>
      </c>
      <c r="AT485" s="63" t="n">
        <f aca="false">MATCH(MIN(AN485:AS485),AN485:AS485,0)</f>
        <v>4</v>
      </c>
      <c r="AV485" s="17" t="n">
        <f aca="false">SQRT(($B485-AV$401)^2+($C485-AV$402)^2+($D485-AV$403)^2)</f>
        <v>7.27758659193117</v>
      </c>
      <c r="AW485" s="17" t="n">
        <f aca="false">SQRT(($B485-AW$401)^2+($C485-AW$402)^2+($D485-AW$403)^2)</f>
        <v>0.880740759434504</v>
      </c>
      <c r="AX485" s="17" t="n">
        <f aca="false">SQRT(($B485-AX$401)^2+($C485-AX$402)^2+($D485-AX$403)^2)</f>
        <v>2.79892935479625</v>
      </c>
      <c r="AY485" s="17" t="n">
        <f aca="false">SQRT(($B485-AY$401)^2+($C485-AY$402)^2+($D485-AY$403)^2)</f>
        <v>0.603708265095765</v>
      </c>
      <c r="AZ485" s="17" t="n">
        <f aca="false">SQRT(($B485-AZ$401)^2+($C485-AZ$402)^2+($D485-AZ$403)^2)</f>
        <v>5.00545764970554</v>
      </c>
      <c r="BA485" s="17" t="n">
        <f aca="false">SQRT(($B485-BA$401)^2+($C485-BA$402)^2+($D485-BA$403)^2)</f>
        <v>1.40110539571459</v>
      </c>
      <c r="BB485" s="63" t="n">
        <f aca="false">MATCH(MIN(AV485:BA485),AV485:BA485,0)</f>
        <v>4</v>
      </c>
      <c r="BD485" s="17" t="n">
        <f aca="false">SQRT(($B485-BD$401)^2+($C485-BD$402)^2+($D485-BD$403)^2)</f>
        <v>7.27758659193117</v>
      </c>
      <c r="BE485" s="17" t="n">
        <f aca="false">SQRT(($B485-BE$401)^2+($C485-BE$402)^2+($D485-BE$403)^2)</f>
        <v>0.86848156223791</v>
      </c>
      <c r="BF485" s="17" t="n">
        <f aca="false">SQRT(($B485-BF$401)^2+($C485-BF$402)^2+($D485-BF$403)^2)</f>
        <v>2.79892935479625</v>
      </c>
      <c r="BG485" s="17" t="n">
        <f aca="false">SQRT(($B485-BG$401)^2+($C485-BG$402)^2+($D485-BG$403)^2)</f>
        <v>0.603708265095765</v>
      </c>
      <c r="BH485" s="17" t="n">
        <f aca="false">SQRT(($B485-BH$401)^2+($C485-BH$402)^2+($D485-BH$403)^2)</f>
        <v>5.00545764970554</v>
      </c>
      <c r="BI485" s="17" t="n">
        <f aca="false">SQRT(($B485-BI$401)^2+($C485-BI$402)^2+($D485-BI$403)^2)</f>
        <v>1.42161375884473</v>
      </c>
      <c r="BJ485" s="63" t="n">
        <f aca="false">MATCH(MIN(BD485:BI485),BD485:BI485,0)</f>
        <v>4</v>
      </c>
      <c r="BL485" s="17" t="n">
        <f aca="false">SQRT(($B485-BL$401)^2+($C485-BL$402)^2+($D485-BL$403)^2)</f>
        <v>7.27758659193117</v>
      </c>
      <c r="BM485" s="17" t="n">
        <f aca="false">SQRT(($B485-BM$401)^2+($C485-BM$402)^2+($D485-BM$403)^2)</f>
        <v>0.86848156223791</v>
      </c>
      <c r="BN485" s="17" t="n">
        <f aca="false">SQRT(($B485-BN$401)^2+($C485-BN$402)^2+($D485-BN$403)^2)</f>
        <v>2.79892935479625</v>
      </c>
      <c r="BO485" s="17" t="n">
        <f aca="false">SQRT(($B485-BO$401)^2+($C485-BO$402)^2+($D485-BO$403)^2)</f>
        <v>0.603708265095765</v>
      </c>
      <c r="BP485" s="17" t="n">
        <f aca="false">SQRT(($B485-BP$401)^2+($C485-BP$402)^2+($D485-BP$403)^2)</f>
        <v>5.00545764970554</v>
      </c>
      <c r="BQ485" s="17" t="n">
        <f aca="false">SQRT(($B485-BQ$401)^2+($C485-BQ$402)^2+($D485-BQ$403)^2)</f>
        <v>1.42161375884473</v>
      </c>
      <c r="BR485" s="63" t="n">
        <f aca="false">MATCH(MIN(BL485:BQ485),BL485:BQ485,0)</f>
        <v>4</v>
      </c>
      <c r="BT485" s="17" t="n">
        <f aca="false">SQRT(($B485-BT$401)^2+($C485-BT$402)^2+($D485-BT$403)^2)</f>
        <v>7.27758659193117</v>
      </c>
      <c r="BU485" s="17" t="n">
        <f aca="false">SQRT(($B485-BU$401)^2+($C485-BU$402)^2+($D485-BU$403)^2)</f>
        <v>0.86848156223791</v>
      </c>
      <c r="BV485" s="17" t="n">
        <f aca="false">SQRT(($B485-BV$401)^2+($C485-BV$402)^2+($D485-BV$403)^2)</f>
        <v>2.79892935479625</v>
      </c>
      <c r="BW485" s="17" t="n">
        <f aca="false">SQRT(($B485-BW$401)^2+($C485-BW$402)^2+($D485-BW$403)^2)</f>
        <v>0.603708265095765</v>
      </c>
      <c r="BX485" s="17" t="n">
        <f aca="false">SQRT(($B485-BX$401)^2+($C485-BX$402)^2+($D485-BX$403)^2)</f>
        <v>5.00545764970554</v>
      </c>
      <c r="BY485" s="17" t="n">
        <f aca="false">SQRT(($B485-BY$401)^2+($C485-BY$402)^2+($D485-BY$403)^2)</f>
        <v>1.42161375884473</v>
      </c>
      <c r="BZ485" s="63" t="n">
        <f aca="false">MATCH(MIN(BT485:BY485),BT485:BY485,0)</f>
        <v>4</v>
      </c>
      <c r="CB485" s="17" t="n">
        <f aca="false">SQRT(($B485-CB$401)^2+($C485-CB$402)^2+($D485-CB$403)^2)</f>
        <v>7.27758659193117</v>
      </c>
      <c r="CC485" s="17" t="n">
        <f aca="false">SQRT(($B485-CC$401)^2+($C485-CC$402)^2+($D485-CC$403)^2)</f>
        <v>0.86848156223791</v>
      </c>
      <c r="CD485" s="17" t="n">
        <f aca="false">SQRT(($B485-CD$401)^2+($C485-CD$402)^2+($D485-CD$403)^2)</f>
        <v>2.79892935479625</v>
      </c>
      <c r="CE485" s="17" t="n">
        <f aca="false">SQRT(($B485-CE$401)^2+($C485-CE$402)^2+($D485-CE$403)^2)</f>
        <v>0.603708265095765</v>
      </c>
      <c r="CF485" s="17" t="n">
        <f aca="false">SQRT(($B485-CF$401)^2+($C485-CF$402)^2+($D485-CF$403)^2)</f>
        <v>5.00545764970554</v>
      </c>
      <c r="CG485" s="17" t="n">
        <f aca="false">SQRT(($B485-CG$401)^2+($C485-CG$402)^2+($D485-CG$403)^2)</f>
        <v>1.42161375884473</v>
      </c>
      <c r="CH485" s="63" t="n">
        <f aca="false">MATCH(MIN(CB485:CG485),CB485:CG485,0)</f>
        <v>4</v>
      </c>
      <c r="CJ485" s="17" t="n">
        <f aca="false">SQRT(($B485-CJ$401)^2+($C485-CJ$402)^2+($D485-CJ$403)^2)</f>
        <v>7.27758659193117</v>
      </c>
      <c r="CK485" s="17" t="n">
        <f aca="false">SQRT(($B485-CK$401)^2+($C485-CK$402)^2+($D485-CK$403)^2)</f>
        <v>0.86848156223791</v>
      </c>
      <c r="CL485" s="17" t="n">
        <f aca="false">SQRT(($B485-CL$401)^2+($C485-CL$402)^2+($D485-CL$403)^2)</f>
        <v>2.79892935479625</v>
      </c>
      <c r="CM485" s="17" t="n">
        <f aca="false">SQRT(($B485-CM$401)^2+($C485-CM$402)^2+($D485-CM$403)^2)</f>
        <v>0.603708265095765</v>
      </c>
      <c r="CN485" s="17" t="n">
        <f aca="false">SQRT(($B485-CN$401)^2+($C485-CN$402)^2+($D485-CN$403)^2)</f>
        <v>5.00545764970554</v>
      </c>
      <c r="CO485" s="17" t="n">
        <f aca="false">SQRT(($B485-CO$401)^2+($C485-CO$402)^2+($D485-CO$403)^2)</f>
        <v>1.42161375884473</v>
      </c>
      <c r="CP485" s="63" t="n">
        <f aca="false">MATCH(MIN(CJ485:CO485),CJ485:CO485,0)</f>
        <v>4</v>
      </c>
      <c r="CR485" s="17" t="n">
        <f aca="false">SQRT(($B485-CR$401)^2+($C485-CR$402)^2+($D485-CR$403)^2)</f>
        <v>7.27758659193117</v>
      </c>
      <c r="CS485" s="17" t="n">
        <f aca="false">SQRT(($B485-CS$401)^2+($C485-CS$402)^2+($D485-CS$403)^2)</f>
        <v>0.86848156223791</v>
      </c>
      <c r="CT485" s="17" t="n">
        <f aca="false">SQRT(($B485-CT$401)^2+($C485-CT$402)^2+($D485-CT$403)^2)</f>
        <v>2.79892935479625</v>
      </c>
      <c r="CU485" s="17" t="n">
        <f aca="false">SQRT(($B485-CU$401)^2+($C485-CU$402)^2+($D485-CU$403)^2)</f>
        <v>0.603708265095765</v>
      </c>
      <c r="CV485" s="17" t="n">
        <f aca="false">SQRT(($B485-CV$401)^2+($C485-CV$402)^2+($D485-CV$403)^2)</f>
        <v>5.00545764970554</v>
      </c>
      <c r="CW485" s="17" t="n">
        <f aca="false">SQRT(($B485-CW$401)^2+($C485-CW$402)^2+($D485-CW$403)^2)</f>
        <v>1.42161375884473</v>
      </c>
      <c r="CX485" s="63" t="n">
        <f aca="false">MATCH(MIN(CR485:CW485),CR485:CW485,0)</f>
        <v>4</v>
      </c>
      <c r="CZ485" s="17" t="n">
        <f aca="false">SQRT(($B485-CZ$401)^2+($C485-CZ$402)^2+($D485-CZ$403)^2)</f>
        <v>7.27758659193117</v>
      </c>
      <c r="DA485" s="17" t="n">
        <f aca="false">SQRT(($B485-DA$401)^2+($C485-DA$402)^2+($D485-DA$403)^2)</f>
        <v>0.86848156223791</v>
      </c>
      <c r="DB485" s="17" t="n">
        <f aca="false">SQRT(($B485-DB$401)^2+($C485-DB$402)^2+($D485-DB$403)^2)</f>
        <v>2.79892935479625</v>
      </c>
      <c r="DC485" s="17" t="n">
        <f aca="false">SQRT(($B485-DC$401)^2+($C485-DC$402)^2+($D485-DC$403)^2)</f>
        <v>0.603708265095765</v>
      </c>
      <c r="DD485" s="17" t="n">
        <f aca="false">SQRT(($B485-DD$401)^2+($C485-DD$402)^2+($D485-DD$403)^2)</f>
        <v>5.00545764970554</v>
      </c>
      <c r="DE485" s="17" t="n">
        <f aca="false">SQRT(($B485-DE$401)^2+($C485-DE$402)^2+($D485-DE$403)^2)</f>
        <v>1.42161375884473</v>
      </c>
      <c r="DF485" s="63" t="n">
        <f aca="false">MATCH(MIN(CZ485:DE485),CZ485:DE485,0)</f>
        <v>4</v>
      </c>
      <c r="DH485" s="17" t="n">
        <f aca="false">SQRT(($B485-DH$401)^2+($C485-DH$402)^2+($D485-DH$403)^2)</f>
        <v>7.27758659193117</v>
      </c>
      <c r="DI485" s="17" t="n">
        <f aca="false">SQRT(($B485-DI$401)^2+($C485-DI$402)^2+($D485-DI$403)^2)</f>
        <v>0.86848156223791</v>
      </c>
      <c r="DJ485" s="17" t="n">
        <f aca="false">SQRT(($B485-DJ$401)^2+($C485-DJ$402)^2+($D485-DJ$403)^2)</f>
        <v>2.79892935479625</v>
      </c>
      <c r="DK485" s="17" t="n">
        <f aca="false">SQRT(($B485-DK$401)^2+($C485-DK$402)^2+($D485-DK$403)^2)</f>
        <v>0.603708265095765</v>
      </c>
      <c r="DL485" s="17" t="n">
        <f aca="false">SQRT(($B485-DL$401)^2+($C485-DL$402)^2+($D485-DL$403)^2)</f>
        <v>5.00545764970554</v>
      </c>
      <c r="DM485" s="17" t="n">
        <f aca="false">SQRT(($B485-DM$401)^2+($C485-DM$402)^2+($D485-DM$403)^2)</f>
        <v>1.42161375884473</v>
      </c>
      <c r="DN485" s="63" t="n">
        <f aca="false">MATCH(MIN(DH485:DM485),DH485:DM485,0)</f>
        <v>4</v>
      </c>
    </row>
    <row r="486" customFormat="false" ht="15" hidden="false" customHeight="false" outlineLevel="0" collapsed="false">
      <c r="A486" s="36" t="str">
        <f aca="false">KMeans_Data!A83</f>
        <v>Diamer</v>
      </c>
      <c r="B486" s="17" t="n">
        <f aca="false">KMeans_Data!H83</f>
        <v>-0.404409624645938</v>
      </c>
      <c r="C486" s="17" t="n">
        <f aca="false">KMeans_Data!I83</f>
        <v>-0.672650545388274</v>
      </c>
      <c r="D486" s="17" t="n">
        <f aca="false">KMeans_Data!J83</f>
        <v>0.042930091906806</v>
      </c>
      <c r="E486" s="63" t="n">
        <f aca="false">DN486</f>
        <v>6</v>
      </c>
      <c r="F486" s="38" t="n">
        <f aca="false">($B486-INDEX($L$401:$Q$401,E486))^2+($C486-INDEX($L$402:$Q$402,E486))^2+($D486-INDEX($L$403:$Q$403,E486))^2</f>
        <v>0.175051164586653</v>
      </c>
      <c r="G486" s="17" t="n">
        <f aca="false">IF(COUNTIF(Distance_Matrix!$E$12:$DQ$12,$E486)&lt;=1,0,SUMIF(Distance_Matrix!$E$12:$DQ$12,$E486,Distance_Matrix!$E$92:$DQ$92)/(COUNTIF(Distance_Matrix!$E$12:$DQ$12,$E486)-1))</f>
        <v>0.70361218882866</v>
      </c>
      <c r="H486" s="17" t="n">
        <f aca="false">MIN(IF(1=$E486,1E+099,IF(COUNTIF(Distance_Matrix!$E$12:$DQ$12,1)=0,1E+099,SUMIF(Distance_Matrix!$E$12:$DQ$12,1,Distance_Matrix!$E$92:$DQ$92)/COUNTIF(Distance_Matrix!$E$12:$DQ$12,1))),IF(2=$E486,1E+099,IF(COUNTIF(Distance_Matrix!$E$12:$DQ$12,2)=0,1E+099,SUMIF(Distance_Matrix!$E$12:$DQ$12,2,Distance_Matrix!$E$92:$DQ$92)/COUNTIF(Distance_Matrix!$E$12:$DQ$12,2))),IF(3=$E486,1E+099,IF(COUNTIF(Distance_Matrix!$E$12:$DQ$12,3)=0,1E+099,SUMIF(Distance_Matrix!$E$12:$DQ$12,3,Distance_Matrix!$E$92:$DQ$92)/COUNTIF(Distance_Matrix!$E$12:$DQ$12,3))),IF(4=$E486,1E+099,IF(COUNTIF(Distance_Matrix!$E$12:$DQ$12,4)=0,1E+099,SUMIF(Distance_Matrix!$E$12:$DQ$12,4,Distance_Matrix!$E$92:$DQ$92)/COUNTIF(Distance_Matrix!$E$12:$DQ$12,4))),IF(5=$E486,1E+099,IF(COUNTIF(Distance_Matrix!$E$12:$DQ$12,5)=0,1E+099,SUMIF(Distance_Matrix!$E$12:$DQ$12,5,Distance_Matrix!$E$92:$DQ$92)/COUNTIF(Distance_Matrix!$E$12:$DQ$12,5))),IF(6=$E486,1E+099,IF(COUNTIF(Distance_Matrix!$E$12:$DQ$12,6)=0,1E+099,SUMIF(Distance_Matrix!$E$12:$DQ$12,6,Distance_Matrix!$E$92:$DQ$92)/COUNTIF(Distance_Matrix!$E$12:$DQ$12,6))))</f>
        <v>1.17034854561097</v>
      </c>
      <c r="I486" s="17" t="n">
        <f aca="false">IF(COUNTIF(Distance_Matrix!$E$12:$DQ$12,$E486)&lt;=1,0,(H486-G486)/MAX(G486,H486))</f>
        <v>0.398801159306482</v>
      </c>
      <c r="X486" s="17" t="n">
        <f aca="false">SQRT(($B486-X$401)^2+($C486-X$402)^2+($D486-X$403)^2)</f>
        <v>6.78483078825686</v>
      </c>
      <c r="Y486" s="17" t="n">
        <f aca="false">SQRT(($B486-Y$401)^2+($C486-Y$402)^2+($D486-Y$403)^2)</f>
        <v>2.05412603137925</v>
      </c>
      <c r="Z486" s="17" t="n">
        <f aca="false">SQRT(($B486-Z$401)^2+($C486-Z$402)^2+($D486-Z$403)^2)</f>
        <v>2.28508675025144</v>
      </c>
      <c r="AA486" s="17" t="n">
        <f aca="false">SQRT(($B486-AA$401)^2+($C486-AA$402)^2+($D486-AA$403)^2)</f>
        <v>1.67084066197764</v>
      </c>
      <c r="AB486" s="17" t="n">
        <f aca="false">SQRT(($B486-AB$401)^2+($C486-AB$402)^2+($D486-AB$403)^2)</f>
        <v>4.67922116821655</v>
      </c>
      <c r="AC486" s="17" t="n">
        <f aca="false">SQRT(($B486-AC$401)^2+($C486-AC$402)^2+($D486-AC$403)^2)</f>
        <v>0.842795463140597</v>
      </c>
      <c r="AD486" s="63" t="n">
        <f aca="false">MATCH(MIN(X486:AC486),X486:AC486,0)</f>
        <v>6</v>
      </c>
      <c r="AF486" s="17" t="n">
        <f aca="false">SQRT(($B486-AF$401)^2+($C486-AF$402)^2+($D486-AF$403)^2)</f>
        <v>6.68952981050376</v>
      </c>
      <c r="AG486" s="17" t="n">
        <f aca="false">SQRT(($B486-AG$401)^2+($C486-AG$402)^2+($D486-AG$403)^2)</f>
        <v>1.46162657303775</v>
      </c>
      <c r="AH486" s="17" t="n">
        <f aca="false">SQRT(($B486-AH$401)^2+($C486-AH$402)^2+($D486-AH$403)^2)</f>
        <v>2.11685444481427</v>
      </c>
      <c r="AI486" s="17" t="n">
        <f aca="false">SQRT(($B486-AI$401)^2+($C486-AI$402)^2+($D486-AI$403)^2)</f>
        <v>1.06112177862408</v>
      </c>
      <c r="AJ486" s="17" t="n">
        <f aca="false">SQRT(($B486-AJ$401)^2+($C486-AJ$402)^2+($D486-AJ$403)^2)</f>
        <v>4.42662860466618</v>
      </c>
      <c r="AK486" s="17" t="n">
        <f aca="false">SQRT(($B486-AK$401)^2+($C486-AK$402)^2+($D486-AK$403)^2)</f>
        <v>0.340982961135196</v>
      </c>
      <c r="AL486" s="63" t="n">
        <f aca="false">MATCH(MIN(AF486:AK486),AF486:AK486,0)</f>
        <v>6</v>
      </c>
      <c r="AN486" s="17" t="n">
        <f aca="false">SQRT(($B486-AN$401)^2+($C486-AN$402)^2+($D486-AN$403)^2)</f>
        <v>6.68952981050376</v>
      </c>
      <c r="AO486" s="17" t="n">
        <f aca="false">SQRT(($B486-AO$401)^2+($C486-AO$402)^2+($D486-AO$403)^2)</f>
        <v>1.41804287023938</v>
      </c>
      <c r="AP486" s="17" t="n">
        <f aca="false">SQRT(($B486-AP$401)^2+($C486-AP$402)^2+($D486-AP$403)^2)</f>
        <v>2.0878376757048</v>
      </c>
      <c r="AQ486" s="17" t="n">
        <f aca="false">SQRT(($B486-AQ$401)^2+($C486-AQ$402)^2+($D486-AQ$403)^2)</f>
        <v>1.0597523877607</v>
      </c>
      <c r="AR486" s="17" t="n">
        <f aca="false">SQRT(($B486-AR$401)^2+($C486-AR$402)^2+($D486-AR$403)^2)</f>
        <v>4.42662860466618</v>
      </c>
      <c r="AS486" s="17" t="n">
        <f aca="false">SQRT(($B486-AS$401)^2+($C486-AS$402)^2+($D486-AS$403)^2)</f>
        <v>0.371856333889485</v>
      </c>
      <c r="AT486" s="63" t="n">
        <f aca="false">MATCH(MIN(AN486:AS486),AN486:AS486,0)</f>
        <v>6</v>
      </c>
      <c r="AV486" s="17" t="n">
        <f aca="false">SQRT(($B486-AV$401)^2+($C486-AV$402)^2+($D486-AV$403)^2)</f>
        <v>6.68952981050376</v>
      </c>
      <c r="AW486" s="17" t="n">
        <f aca="false">SQRT(($B486-AW$401)^2+($C486-AW$402)^2+($D486-AW$403)^2)</f>
        <v>1.38596674358832</v>
      </c>
      <c r="AX486" s="17" t="n">
        <f aca="false">SQRT(($B486-AX$401)^2+($C486-AX$402)^2+($D486-AX$403)^2)</f>
        <v>2.0878376757048</v>
      </c>
      <c r="AY486" s="17" t="n">
        <f aca="false">SQRT(($B486-AY$401)^2+($C486-AY$402)^2+($D486-AY$403)^2)</f>
        <v>1.0597523877607</v>
      </c>
      <c r="AZ486" s="17" t="n">
        <f aca="false">SQRT(($B486-AZ$401)^2+($C486-AZ$402)^2+($D486-AZ$403)^2)</f>
        <v>4.42662860466618</v>
      </c>
      <c r="BA486" s="17" t="n">
        <f aca="false">SQRT(($B486-BA$401)^2+($C486-BA$402)^2+($D486-BA$403)^2)</f>
        <v>0.394408288386255</v>
      </c>
      <c r="BB486" s="63" t="n">
        <f aca="false">MATCH(MIN(AV486:BA486),AV486:BA486,0)</f>
        <v>6</v>
      </c>
      <c r="BD486" s="17" t="n">
        <f aca="false">SQRT(($B486-BD$401)^2+($C486-BD$402)^2+($D486-BD$403)^2)</f>
        <v>6.68952981050376</v>
      </c>
      <c r="BE486" s="17" t="n">
        <f aca="false">SQRT(($B486-BE$401)^2+($C486-BE$402)^2+($D486-BE$403)^2)</f>
        <v>1.35484521486055</v>
      </c>
      <c r="BF486" s="17" t="n">
        <f aca="false">SQRT(($B486-BF$401)^2+($C486-BF$402)^2+($D486-BF$403)^2)</f>
        <v>2.0878376757048</v>
      </c>
      <c r="BG486" s="17" t="n">
        <f aca="false">SQRT(($B486-BG$401)^2+($C486-BG$402)^2+($D486-BG$403)^2)</f>
        <v>1.0597523877607</v>
      </c>
      <c r="BH486" s="17" t="n">
        <f aca="false">SQRT(($B486-BH$401)^2+($C486-BH$402)^2+($D486-BH$403)^2)</f>
        <v>4.42662860466618</v>
      </c>
      <c r="BI486" s="17" t="n">
        <f aca="false">SQRT(($B486-BI$401)^2+($C486-BI$402)^2+($D486-BI$403)^2)</f>
        <v>0.418391162175605</v>
      </c>
      <c r="BJ486" s="63" t="n">
        <f aca="false">MATCH(MIN(BD486:BI486),BD486:BI486,0)</f>
        <v>6</v>
      </c>
      <c r="BL486" s="17" t="n">
        <f aca="false">SQRT(($B486-BL$401)^2+($C486-BL$402)^2+($D486-BL$403)^2)</f>
        <v>6.68952981050376</v>
      </c>
      <c r="BM486" s="17" t="n">
        <f aca="false">SQRT(($B486-BM$401)^2+($C486-BM$402)^2+($D486-BM$403)^2)</f>
        <v>1.35484521486055</v>
      </c>
      <c r="BN486" s="17" t="n">
        <f aca="false">SQRT(($B486-BN$401)^2+($C486-BN$402)^2+($D486-BN$403)^2)</f>
        <v>2.0878376757048</v>
      </c>
      <c r="BO486" s="17" t="n">
        <f aca="false">SQRT(($B486-BO$401)^2+($C486-BO$402)^2+($D486-BO$403)^2)</f>
        <v>1.0597523877607</v>
      </c>
      <c r="BP486" s="17" t="n">
        <f aca="false">SQRT(($B486-BP$401)^2+($C486-BP$402)^2+($D486-BP$403)^2)</f>
        <v>4.42662860466618</v>
      </c>
      <c r="BQ486" s="17" t="n">
        <f aca="false">SQRT(($B486-BQ$401)^2+($C486-BQ$402)^2+($D486-BQ$403)^2)</f>
        <v>0.418391162175605</v>
      </c>
      <c r="BR486" s="63" t="n">
        <f aca="false">MATCH(MIN(BL486:BQ486),BL486:BQ486,0)</f>
        <v>6</v>
      </c>
      <c r="BT486" s="17" t="n">
        <f aca="false">SQRT(($B486-BT$401)^2+($C486-BT$402)^2+($D486-BT$403)^2)</f>
        <v>6.68952981050376</v>
      </c>
      <c r="BU486" s="17" t="n">
        <f aca="false">SQRT(($B486-BU$401)^2+($C486-BU$402)^2+($D486-BU$403)^2)</f>
        <v>1.35484521486055</v>
      </c>
      <c r="BV486" s="17" t="n">
        <f aca="false">SQRT(($B486-BV$401)^2+($C486-BV$402)^2+($D486-BV$403)^2)</f>
        <v>2.0878376757048</v>
      </c>
      <c r="BW486" s="17" t="n">
        <f aca="false">SQRT(($B486-BW$401)^2+($C486-BW$402)^2+($D486-BW$403)^2)</f>
        <v>1.0597523877607</v>
      </c>
      <c r="BX486" s="17" t="n">
        <f aca="false">SQRT(($B486-BX$401)^2+($C486-BX$402)^2+($D486-BX$403)^2)</f>
        <v>4.42662860466618</v>
      </c>
      <c r="BY486" s="17" t="n">
        <f aca="false">SQRT(($B486-BY$401)^2+($C486-BY$402)^2+($D486-BY$403)^2)</f>
        <v>0.418391162175605</v>
      </c>
      <c r="BZ486" s="63" t="n">
        <f aca="false">MATCH(MIN(BT486:BY486),BT486:BY486,0)</f>
        <v>6</v>
      </c>
      <c r="CB486" s="17" t="n">
        <f aca="false">SQRT(($B486-CB$401)^2+($C486-CB$402)^2+($D486-CB$403)^2)</f>
        <v>6.68952981050376</v>
      </c>
      <c r="CC486" s="17" t="n">
        <f aca="false">SQRT(($B486-CC$401)^2+($C486-CC$402)^2+($D486-CC$403)^2)</f>
        <v>1.35484521486055</v>
      </c>
      <c r="CD486" s="17" t="n">
        <f aca="false">SQRT(($B486-CD$401)^2+($C486-CD$402)^2+($D486-CD$403)^2)</f>
        <v>2.0878376757048</v>
      </c>
      <c r="CE486" s="17" t="n">
        <f aca="false">SQRT(($B486-CE$401)^2+($C486-CE$402)^2+($D486-CE$403)^2)</f>
        <v>1.0597523877607</v>
      </c>
      <c r="CF486" s="17" t="n">
        <f aca="false">SQRT(($B486-CF$401)^2+($C486-CF$402)^2+($D486-CF$403)^2)</f>
        <v>4.42662860466618</v>
      </c>
      <c r="CG486" s="17" t="n">
        <f aca="false">SQRT(($B486-CG$401)^2+($C486-CG$402)^2+($D486-CG$403)^2)</f>
        <v>0.418391162175605</v>
      </c>
      <c r="CH486" s="63" t="n">
        <f aca="false">MATCH(MIN(CB486:CG486),CB486:CG486,0)</f>
        <v>6</v>
      </c>
      <c r="CJ486" s="17" t="n">
        <f aca="false">SQRT(($B486-CJ$401)^2+($C486-CJ$402)^2+($D486-CJ$403)^2)</f>
        <v>6.68952981050376</v>
      </c>
      <c r="CK486" s="17" t="n">
        <f aca="false">SQRT(($B486-CK$401)^2+($C486-CK$402)^2+($D486-CK$403)^2)</f>
        <v>1.35484521486055</v>
      </c>
      <c r="CL486" s="17" t="n">
        <f aca="false">SQRT(($B486-CL$401)^2+($C486-CL$402)^2+($D486-CL$403)^2)</f>
        <v>2.0878376757048</v>
      </c>
      <c r="CM486" s="17" t="n">
        <f aca="false">SQRT(($B486-CM$401)^2+($C486-CM$402)^2+($D486-CM$403)^2)</f>
        <v>1.0597523877607</v>
      </c>
      <c r="CN486" s="17" t="n">
        <f aca="false">SQRT(($B486-CN$401)^2+($C486-CN$402)^2+($D486-CN$403)^2)</f>
        <v>4.42662860466618</v>
      </c>
      <c r="CO486" s="17" t="n">
        <f aca="false">SQRT(($B486-CO$401)^2+($C486-CO$402)^2+($D486-CO$403)^2)</f>
        <v>0.418391162175605</v>
      </c>
      <c r="CP486" s="63" t="n">
        <f aca="false">MATCH(MIN(CJ486:CO486),CJ486:CO486,0)</f>
        <v>6</v>
      </c>
      <c r="CR486" s="17" t="n">
        <f aca="false">SQRT(($B486-CR$401)^2+($C486-CR$402)^2+($D486-CR$403)^2)</f>
        <v>6.68952981050376</v>
      </c>
      <c r="CS486" s="17" t="n">
        <f aca="false">SQRT(($B486-CS$401)^2+($C486-CS$402)^2+($D486-CS$403)^2)</f>
        <v>1.35484521486055</v>
      </c>
      <c r="CT486" s="17" t="n">
        <f aca="false">SQRT(($B486-CT$401)^2+($C486-CT$402)^2+($D486-CT$403)^2)</f>
        <v>2.0878376757048</v>
      </c>
      <c r="CU486" s="17" t="n">
        <f aca="false">SQRT(($B486-CU$401)^2+($C486-CU$402)^2+($D486-CU$403)^2)</f>
        <v>1.0597523877607</v>
      </c>
      <c r="CV486" s="17" t="n">
        <f aca="false">SQRT(($B486-CV$401)^2+($C486-CV$402)^2+($D486-CV$403)^2)</f>
        <v>4.42662860466618</v>
      </c>
      <c r="CW486" s="17" t="n">
        <f aca="false">SQRT(($B486-CW$401)^2+($C486-CW$402)^2+($D486-CW$403)^2)</f>
        <v>0.418391162175605</v>
      </c>
      <c r="CX486" s="63" t="n">
        <f aca="false">MATCH(MIN(CR486:CW486),CR486:CW486,0)</f>
        <v>6</v>
      </c>
      <c r="CZ486" s="17" t="n">
        <f aca="false">SQRT(($B486-CZ$401)^2+($C486-CZ$402)^2+($D486-CZ$403)^2)</f>
        <v>6.68952981050376</v>
      </c>
      <c r="DA486" s="17" t="n">
        <f aca="false">SQRT(($B486-DA$401)^2+($C486-DA$402)^2+($D486-DA$403)^2)</f>
        <v>1.35484521486055</v>
      </c>
      <c r="DB486" s="17" t="n">
        <f aca="false">SQRT(($B486-DB$401)^2+($C486-DB$402)^2+($D486-DB$403)^2)</f>
        <v>2.0878376757048</v>
      </c>
      <c r="DC486" s="17" t="n">
        <f aca="false">SQRT(($B486-DC$401)^2+($C486-DC$402)^2+($D486-DC$403)^2)</f>
        <v>1.0597523877607</v>
      </c>
      <c r="DD486" s="17" t="n">
        <f aca="false">SQRT(($B486-DD$401)^2+($C486-DD$402)^2+($D486-DD$403)^2)</f>
        <v>4.42662860466618</v>
      </c>
      <c r="DE486" s="17" t="n">
        <f aca="false">SQRT(($B486-DE$401)^2+($C486-DE$402)^2+($D486-DE$403)^2)</f>
        <v>0.418391162175605</v>
      </c>
      <c r="DF486" s="63" t="n">
        <f aca="false">MATCH(MIN(CZ486:DE486),CZ486:DE486,0)</f>
        <v>6</v>
      </c>
      <c r="DH486" s="17" t="n">
        <f aca="false">SQRT(($B486-DH$401)^2+($C486-DH$402)^2+($D486-DH$403)^2)</f>
        <v>6.68952981050376</v>
      </c>
      <c r="DI486" s="17" t="n">
        <f aca="false">SQRT(($B486-DI$401)^2+($C486-DI$402)^2+($D486-DI$403)^2)</f>
        <v>1.35484521486055</v>
      </c>
      <c r="DJ486" s="17" t="n">
        <f aca="false">SQRT(($B486-DJ$401)^2+($C486-DJ$402)^2+($D486-DJ$403)^2)</f>
        <v>2.0878376757048</v>
      </c>
      <c r="DK486" s="17" t="n">
        <f aca="false">SQRT(($B486-DK$401)^2+($C486-DK$402)^2+($D486-DK$403)^2)</f>
        <v>1.0597523877607</v>
      </c>
      <c r="DL486" s="17" t="n">
        <f aca="false">SQRT(($B486-DL$401)^2+($C486-DL$402)^2+($D486-DL$403)^2)</f>
        <v>4.42662860466618</v>
      </c>
      <c r="DM486" s="17" t="n">
        <f aca="false">SQRT(($B486-DM$401)^2+($C486-DM$402)^2+($D486-DM$403)^2)</f>
        <v>0.418391162175605</v>
      </c>
      <c r="DN486" s="63" t="n">
        <f aca="false">MATCH(MIN(DH486:DM486),DH486:DM486,0)</f>
        <v>6</v>
      </c>
    </row>
    <row r="487" customFormat="false" ht="15" hidden="false" customHeight="false" outlineLevel="0" collapsed="false">
      <c r="A487" s="36" t="str">
        <f aca="false">KMeans_Data!A84</f>
        <v>Hangu</v>
      </c>
      <c r="B487" s="17" t="n">
        <f aca="false">KMeans_Data!H84</f>
        <v>-0.404409624645938</v>
      </c>
      <c r="C487" s="17" t="n">
        <f aca="false">KMeans_Data!I84</f>
        <v>-0.146983133929529</v>
      </c>
      <c r="D487" s="17" t="n">
        <f aca="false">KMeans_Data!J84</f>
        <v>0.139148285405597</v>
      </c>
      <c r="E487" s="63" t="n">
        <f aca="false">DN487</f>
        <v>6</v>
      </c>
      <c r="F487" s="38" t="n">
        <f aca="false">($B487-INDEX($L$401:$Q$401,E487))^2+($C487-INDEX($L$402:$Q$402,E487))^2+($D487-INDEX($L$403:$Q$403,E487))^2</f>
        <v>0.102588981967235</v>
      </c>
      <c r="G487" s="17" t="n">
        <f aca="false">IF(COUNTIF(Distance_Matrix!$E$12:$DQ$12,$E487)&lt;=1,0,SUMIF(Distance_Matrix!$E$12:$DQ$12,$E487,Distance_Matrix!$E$93:$DQ$93)/(COUNTIF(Distance_Matrix!$E$12:$DQ$12,$E487)-1))</f>
        <v>0.702186406606621</v>
      </c>
      <c r="H487" s="17" t="n">
        <f aca="false">MIN(IF(1=$E487,1E+099,IF(COUNTIF(Distance_Matrix!$E$12:$DQ$12,1)=0,1E+099,SUMIF(Distance_Matrix!$E$12:$DQ$12,1,Distance_Matrix!$E$93:$DQ$93)/COUNTIF(Distance_Matrix!$E$12:$DQ$12,1))),IF(2=$E487,1E+099,IF(COUNTIF(Distance_Matrix!$E$12:$DQ$12,2)=0,1E+099,SUMIF(Distance_Matrix!$E$12:$DQ$12,2,Distance_Matrix!$E$93:$DQ$93)/COUNTIF(Distance_Matrix!$E$12:$DQ$12,2))),IF(3=$E487,1E+099,IF(COUNTIF(Distance_Matrix!$E$12:$DQ$12,3)=0,1E+099,SUMIF(Distance_Matrix!$E$12:$DQ$12,3,Distance_Matrix!$E$93:$DQ$93)/COUNTIF(Distance_Matrix!$E$12:$DQ$12,3))),IF(4=$E487,1E+099,IF(COUNTIF(Distance_Matrix!$E$12:$DQ$12,4)=0,1E+099,SUMIF(Distance_Matrix!$E$12:$DQ$12,4,Distance_Matrix!$E$93:$DQ$93)/COUNTIF(Distance_Matrix!$E$12:$DQ$12,4))),IF(5=$E487,1E+099,IF(COUNTIF(Distance_Matrix!$E$12:$DQ$12,5)=0,1E+099,SUMIF(Distance_Matrix!$E$12:$DQ$12,5,Distance_Matrix!$E$93:$DQ$93)/COUNTIF(Distance_Matrix!$E$12:$DQ$12,5))),IF(6=$E487,1E+099,IF(COUNTIF(Distance_Matrix!$E$12:$DQ$12,6)=0,1E+099,SUMIF(Distance_Matrix!$E$12:$DQ$12,6,Distance_Matrix!$E$93:$DQ$93)/COUNTIF(Distance_Matrix!$E$12:$DQ$12,6))))</f>
        <v>1.32885025750682</v>
      </c>
      <c r="I487" s="17" t="n">
        <f aca="false">IF(COUNTIF(Distance_Matrix!$E$12:$DQ$12,$E487)&lt;=1,0,(H487-G487)/MAX(G487,H487))</f>
        <v>0.471583496605509</v>
      </c>
      <c r="X487" s="17" t="n">
        <f aca="false">SQRT(($B487-X$401)^2+($C487-X$402)^2+($D487-X$403)^2)</f>
        <v>6.38345263270034</v>
      </c>
      <c r="Y487" s="17" t="n">
        <f aca="false">SQRT(($B487-Y$401)^2+($C487-Y$402)^2+($D487-Y$403)^2)</f>
        <v>2.17571662845419</v>
      </c>
      <c r="Z487" s="17" t="n">
        <f aca="false">SQRT(($B487-Z$401)^2+($C487-Z$402)^2+($D487-Z$403)^2)</f>
        <v>2.03155178865032</v>
      </c>
      <c r="AA487" s="17" t="n">
        <f aca="false">SQRT(($B487-AA$401)^2+($C487-AA$402)^2+($D487-AA$403)^2)</f>
        <v>1.65932671807592</v>
      </c>
      <c r="AB487" s="17" t="n">
        <f aca="false">SQRT(($B487-AB$401)^2+($C487-AB$402)^2+($D487-AB$403)^2)</f>
        <v>4.31431775702019</v>
      </c>
      <c r="AC487" s="17" t="n">
        <f aca="false">SQRT(($B487-AC$401)^2+($C487-AC$402)^2+($D487-AC$403)^2)</f>
        <v>0.57493334592874</v>
      </c>
      <c r="AD487" s="63" t="n">
        <f aca="false">MATCH(MIN(X487:AC487),X487:AC487,0)</f>
        <v>6</v>
      </c>
      <c r="AF487" s="17" t="n">
        <f aca="false">SQRT(($B487-AF$401)^2+($C487-AF$402)^2+($D487-AF$403)^2)</f>
        <v>6.28151102222629</v>
      </c>
      <c r="AG487" s="17" t="n">
        <f aca="false">SQRT(($B487-AG$401)^2+($C487-AG$402)^2+($D487-AG$403)^2)</f>
        <v>1.6177140468626</v>
      </c>
      <c r="AH487" s="17" t="n">
        <f aca="false">SQRT(($B487-AH$401)^2+($C487-AH$402)^2+($D487-AH$403)^2)</f>
        <v>1.73288337633831</v>
      </c>
      <c r="AI487" s="17" t="n">
        <f aca="false">SQRT(($B487-AI$401)^2+($C487-AI$402)^2+($D487-AI$403)^2)</f>
        <v>1.20099010104372</v>
      </c>
      <c r="AJ487" s="17" t="n">
        <f aca="false">SQRT(($B487-AJ$401)^2+($C487-AJ$402)^2+($D487-AJ$403)^2)</f>
        <v>4.02109145039372</v>
      </c>
      <c r="AK487" s="17" t="n">
        <f aca="false">SQRT(($B487-AK$401)^2+($C487-AK$402)^2+($D487-AK$403)^2)</f>
        <v>0.281593120698615</v>
      </c>
      <c r="AL487" s="63" t="n">
        <f aca="false">MATCH(MIN(AF487:AK487),AF487:AK487,0)</f>
        <v>6</v>
      </c>
      <c r="AN487" s="17" t="n">
        <f aca="false">SQRT(($B487-AN$401)^2+($C487-AN$402)^2+($D487-AN$403)^2)</f>
        <v>6.28151102222629</v>
      </c>
      <c r="AO487" s="17" t="n">
        <f aca="false">SQRT(($B487-AO$401)^2+($C487-AO$402)^2+($D487-AO$403)^2)</f>
        <v>1.5777326363416</v>
      </c>
      <c r="AP487" s="17" t="n">
        <f aca="false">SQRT(($B487-AP$401)^2+($C487-AP$402)^2+($D487-AP$403)^2)</f>
        <v>1.70129467950739</v>
      </c>
      <c r="AQ487" s="17" t="n">
        <f aca="false">SQRT(($B487-AQ$401)^2+($C487-AQ$402)^2+($D487-AQ$403)^2)</f>
        <v>1.21346804210805</v>
      </c>
      <c r="AR487" s="17" t="n">
        <f aca="false">SQRT(($B487-AR$401)^2+($C487-AR$402)^2+($D487-AR$403)^2)</f>
        <v>4.02109145039372</v>
      </c>
      <c r="AS487" s="17" t="n">
        <f aca="false">SQRT(($B487-AS$401)^2+($C487-AS$402)^2+($D487-AS$403)^2)</f>
        <v>0.302341595394262</v>
      </c>
      <c r="AT487" s="63" t="n">
        <f aca="false">MATCH(MIN(AN487:AS487),AN487:AS487,0)</f>
        <v>6</v>
      </c>
      <c r="AV487" s="17" t="n">
        <f aca="false">SQRT(($B487-AV$401)^2+($C487-AV$402)^2+($D487-AV$403)^2)</f>
        <v>6.28151102222629</v>
      </c>
      <c r="AW487" s="17" t="n">
        <f aca="false">SQRT(($B487-AW$401)^2+($C487-AW$402)^2+($D487-AW$403)^2)</f>
        <v>1.54763040548142</v>
      </c>
      <c r="AX487" s="17" t="n">
        <f aca="false">SQRT(($B487-AX$401)^2+($C487-AX$402)^2+($D487-AX$403)^2)</f>
        <v>1.70129467950739</v>
      </c>
      <c r="AY487" s="17" t="n">
        <f aca="false">SQRT(($B487-AY$401)^2+($C487-AY$402)^2+($D487-AY$403)^2)</f>
        <v>1.21346804210805</v>
      </c>
      <c r="AZ487" s="17" t="n">
        <f aca="false">SQRT(($B487-AZ$401)^2+($C487-AZ$402)^2+($D487-AZ$403)^2)</f>
        <v>4.02109145039372</v>
      </c>
      <c r="BA487" s="17" t="n">
        <f aca="false">SQRT(($B487-BA$401)^2+($C487-BA$402)^2+($D487-BA$403)^2)</f>
        <v>0.309895037400181</v>
      </c>
      <c r="BB487" s="63" t="n">
        <f aca="false">MATCH(MIN(AV487:BA487),AV487:BA487,0)</f>
        <v>6</v>
      </c>
      <c r="BD487" s="17" t="n">
        <f aca="false">SQRT(($B487-BD$401)^2+($C487-BD$402)^2+($D487-BD$403)^2)</f>
        <v>6.28151102222629</v>
      </c>
      <c r="BE487" s="17" t="n">
        <f aca="false">SQRT(($B487-BE$401)^2+($C487-BE$402)^2+($D487-BE$403)^2)</f>
        <v>1.51836339227624</v>
      </c>
      <c r="BF487" s="17" t="n">
        <f aca="false">SQRT(($B487-BF$401)^2+($C487-BF$402)^2+($D487-BF$403)^2)</f>
        <v>1.70129467950739</v>
      </c>
      <c r="BG487" s="17" t="n">
        <f aca="false">SQRT(($B487-BG$401)^2+($C487-BG$402)^2+($D487-BG$403)^2)</f>
        <v>1.21346804210805</v>
      </c>
      <c r="BH487" s="17" t="n">
        <f aca="false">SQRT(($B487-BH$401)^2+($C487-BH$402)^2+($D487-BH$403)^2)</f>
        <v>4.02109145039372</v>
      </c>
      <c r="BI487" s="17" t="n">
        <f aca="false">SQRT(($B487-BI$401)^2+($C487-BI$402)^2+($D487-BI$403)^2)</f>
        <v>0.320295148210576</v>
      </c>
      <c r="BJ487" s="63" t="n">
        <f aca="false">MATCH(MIN(BD487:BI487),BD487:BI487,0)</f>
        <v>6</v>
      </c>
      <c r="BL487" s="17" t="n">
        <f aca="false">SQRT(($B487-BL$401)^2+($C487-BL$402)^2+($D487-BL$403)^2)</f>
        <v>6.28151102222629</v>
      </c>
      <c r="BM487" s="17" t="n">
        <f aca="false">SQRT(($B487-BM$401)^2+($C487-BM$402)^2+($D487-BM$403)^2)</f>
        <v>1.51836339227624</v>
      </c>
      <c r="BN487" s="17" t="n">
        <f aca="false">SQRT(($B487-BN$401)^2+($C487-BN$402)^2+($D487-BN$403)^2)</f>
        <v>1.70129467950739</v>
      </c>
      <c r="BO487" s="17" t="n">
        <f aca="false">SQRT(($B487-BO$401)^2+($C487-BO$402)^2+($D487-BO$403)^2)</f>
        <v>1.21346804210805</v>
      </c>
      <c r="BP487" s="17" t="n">
        <f aca="false">SQRT(($B487-BP$401)^2+($C487-BP$402)^2+($D487-BP$403)^2)</f>
        <v>4.02109145039372</v>
      </c>
      <c r="BQ487" s="17" t="n">
        <f aca="false">SQRT(($B487-BQ$401)^2+($C487-BQ$402)^2+($D487-BQ$403)^2)</f>
        <v>0.320295148210576</v>
      </c>
      <c r="BR487" s="63" t="n">
        <f aca="false">MATCH(MIN(BL487:BQ487),BL487:BQ487,0)</f>
        <v>6</v>
      </c>
      <c r="BT487" s="17" t="n">
        <f aca="false">SQRT(($B487-BT$401)^2+($C487-BT$402)^2+($D487-BT$403)^2)</f>
        <v>6.28151102222629</v>
      </c>
      <c r="BU487" s="17" t="n">
        <f aca="false">SQRT(($B487-BU$401)^2+($C487-BU$402)^2+($D487-BU$403)^2)</f>
        <v>1.51836339227624</v>
      </c>
      <c r="BV487" s="17" t="n">
        <f aca="false">SQRT(($B487-BV$401)^2+($C487-BV$402)^2+($D487-BV$403)^2)</f>
        <v>1.70129467950739</v>
      </c>
      <c r="BW487" s="17" t="n">
        <f aca="false">SQRT(($B487-BW$401)^2+($C487-BW$402)^2+($D487-BW$403)^2)</f>
        <v>1.21346804210805</v>
      </c>
      <c r="BX487" s="17" t="n">
        <f aca="false">SQRT(($B487-BX$401)^2+($C487-BX$402)^2+($D487-BX$403)^2)</f>
        <v>4.02109145039372</v>
      </c>
      <c r="BY487" s="17" t="n">
        <f aca="false">SQRT(($B487-BY$401)^2+($C487-BY$402)^2+($D487-BY$403)^2)</f>
        <v>0.320295148210576</v>
      </c>
      <c r="BZ487" s="63" t="n">
        <f aca="false">MATCH(MIN(BT487:BY487),BT487:BY487,0)</f>
        <v>6</v>
      </c>
      <c r="CB487" s="17" t="n">
        <f aca="false">SQRT(($B487-CB$401)^2+($C487-CB$402)^2+($D487-CB$403)^2)</f>
        <v>6.28151102222629</v>
      </c>
      <c r="CC487" s="17" t="n">
        <f aca="false">SQRT(($B487-CC$401)^2+($C487-CC$402)^2+($D487-CC$403)^2)</f>
        <v>1.51836339227624</v>
      </c>
      <c r="CD487" s="17" t="n">
        <f aca="false">SQRT(($B487-CD$401)^2+($C487-CD$402)^2+($D487-CD$403)^2)</f>
        <v>1.70129467950739</v>
      </c>
      <c r="CE487" s="17" t="n">
        <f aca="false">SQRT(($B487-CE$401)^2+($C487-CE$402)^2+($D487-CE$403)^2)</f>
        <v>1.21346804210805</v>
      </c>
      <c r="CF487" s="17" t="n">
        <f aca="false">SQRT(($B487-CF$401)^2+($C487-CF$402)^2+($D487-CF$403)^2)</f>
        <v>4.02109145039372</v>
      </c>
      <c r="CG487" s="17" t="n">
        <f aca="false">SQRT(($B487-CG$401)^2+($C487-CG$402)^2+($D487-CG$403)^2)</f>
        <v>0.320295148210576</v>
      </c>
      <c r="CH487" s="63" t="n">
        <f aca="false">MATCH(MIN(CB487:CG487),CB487:CG487,0)</f>
        <v>6</v>
      </c>
      <c r="CJ487" s="17" t="n">
        <f aca="false">SQRT(($B487-CJ$401)^2+($C487-CJ$402)^2+($D487-CJ$403)^2)</f>
        <v>6.28151102222629</v>
      </c>
      <c r="CK487" s="17" t="n">
        <f aca="false">SQRT(($B487-CK$401)^2+($C487-CK$402)^2+($D487-CK$403)^2)</f>
        <v>1.51836339227624</v>
      </c>
      <c r="CL487" s="17" t="n">
        <f aca="false">SQRT(($B487-CL$401)^2+($C487-CL$402)^2+($D487-CL$403)^2)</f>
        <v>1.70129467950739</v>
      </c>
      <c r="CM487" s="17" t="n">
        <f aca="false">SQRT(($B487-CM$401)^2+($C487-CM$402)^2+($D487-CM$403)^2)</f>
        <v>1.21346804210805</v>
      </c>
      <c r="CN487" s="17" t="n">
        <f aca="false">SQRT(($B487-CN$401)^2+($C487-CN$402)^2+($D487-CN$403)^2)</f>
        <v>4.02109145039372</v>
      </c>
      <c r="CO487" s="17" t="n">
        <f aca="false">SQRT(($B487-CO$401)^2+($C487-CO$402)^2+($D487-CO$403)^2)</f>
        <v>0.320295148210576</v>
      </c>
      <c r="CP487" s="63" t="n">
        <f aca="false">MATCH(MIN(CJ487:CO487),CJ487:CO487,0)</f>
        <v>6</v>
      </c>
      <c r="CR487" s="17" t="n">
        <f aca="false">SQRT(($B487-CR$401)^2+($C487-CR$402)^2+($D487-CR$403)^2)</f>
        <v>6.28151102222629</v>
      </c>
      <c r="CS487" s="17" t="n">
        <f aca="false">SQRT(($B487-CS$401)^2+($C487-CS$402)^2+($D487-CS$403)^2)</f>
        <v>1.51836339227624</v>
      </c>
      <c r="CT487" s="17" t="n">
        <f aca="false">SQRT(($B487-CT$401)^2+($C487-CT$402)^2+($D487-CT$403)^2)</f>
        <v>1.70129467950739</v>
      </c>
      <c r="CU487" s="17" t="n">
        <f aca="false">SQRT(($B487-CU$401)^2+($C487-CU$402)^2+($D487-CU$403)^2)</f>
        <v>1.21346804210805</v>
      </c>
      <c r="CV487" s="17" t="n">
        <f aca="false">SQRT(($B487-CV$401)^2+($C487-CV$402)^2+($D487-CV$403)^2)</f>
        <v>4.02109145039372</v>
      </c>
      <c r="CW487" s="17" t="n">
        <f aca="false">SQRT(($B487-CW$401)^2+($C487-CW$402)^2+($D487-CW$403)^2)</f>
        <v>0.320295148210576</v>
      </c>
      <c r="CX487" s="63" t="n">
        <f aca="false">MATCH(MIN(CR487:CW487),CR487:CW487,0)</f>
        <v>6</v>
      </c>
      <c r="CZ487" s="17" t="n">
        <f aca="false">SQRT(($B487-CZ$401)^2+($C487-CZ$402)^2+($D487-CZ$403)^2)</f>
        <v>6.28151102222629</v>
      </c>
      <c r="DA487" s="17" t="n">
        <f aca="false">SQRT(($B487-DA$401)^2+($C487-DA$402)^2+($D487-DA$403)^2)</f>
        <v>1.51836339227624</v>
      </c>
      <c r="DB487" s="17" t="n">
        <f aca="false">SQRT(($B487-DB$401)^2+($C487-DB$402)^2+($D487-DB$403)^2)</f>
        <v>1.70129467950739</v>
      </c>
      <c r="DC487" s="17" t="n">
        <f aca="false">SQRT(($B487-DC$401)^2+($C487-DC$402)^2+($D487-DC$403)^2)</f>
        <v>1.21346804210805</v>
      </c>
      <c r="DD487" s="17" t="n">
        <f aca="false">SQRT(($B487-DD$401)^2+($C487-DD$402)^2+($D487-DD$403)^2)</f>
        <v>4.02109145039372</v>
      </c>
      <c r="DE487" s="17" t="n">
        <f aca="false">SQRT(($B487-DE$401)^2+($C487-DE$402)^2+($D487-DE$403)^2)</f>
        <v>0.320295148210576</v>
      </c>
      <c r="DF487" s="63" t="n">
        <f aca="false">MATCH(MIN(CZ487:DE487),CZ487:DE487,0)</f>
        <v>6</v>
      </c>
      <c r="DH487" s="17" t="n">
        <f aca="false">SQRT(($B487-DH$401)^2+($C487-DH$402)^2+($D487-DH$403)^2)</f>
        <v>6.28151102222629</v>
      </c>
      <c r="DI487" s="17" t="n">
        <f aca="false">SQRT(($B487-DI$401)^2+($C487-DI$402)^2+($D487-DI$403)^2)</f>
        <v>1.51836339227624</v>
      </c>
      <c r="DJ487" s="17" t="n">
        <f aca="false">SQRT(($B487-DJ$401)^2+($C487-DJ$402)^2+($D487-DJ$403)^2)</f>
        <v>1.70129467950739</v>
      </c>
      <c r="DK487" s="17" t="n">
        <f aca="false">SQRT(($B487-DK$401)^2+($C487-DK$402)^2+($D487-DK$403)^2)</f>
        <v>1.21346804210805</v>
      </c>
      <c r="DL487" s="17" t="n">
        <f aca="false">SQRT(($B487-DL$401)^2+($C487-DL$402)^2+($D487-DL$403)^2)</f>
        <v>4.02109145039372</v>
      </c>
      <c r="DM487" s="17" t="n">
        <f aca="false">SQRT(($B487-DM$401)^2+($C487-DM$402)^2+($D487-DM$403)^2)</f>
        <v>0.320295148210576</v>
      </c>
      <c r="DN487" s="63" t="n">
        <f aca="false">MATCH(MIN(DH487:DM487),DH487:DM487,0)</f>
        <v>6</v>
      </c>
    </row>
    <row r="488" customFormat="false" ht="15" hidden="false" customHeight="false" outlineLevel="0" collapsed="false">
      <c r="A488" s="36" t="str">
        <f aca="false">KMeans_Data!A85</f>
        <v>Mohmand</v>
      </c>
      <c r="B488" s="17" t="n">
        <f aca="false">KMeans_Data!H85</f>
        <v>-0.470943061763014</v>
      </c>
      <c r="C488" s="17" t="n">
        <f aca="false">KMeans_Data!I85</f>
        <v>-0.146983133929529</v>
      </c>
      <c r="D488" s="17" t="n">
        <f aca="false">KMeans_Data!J85</f>
        <v>-0.399845222909568</v>
      </c>
      <c r="E488" s="63" t="n">
        <f aca="false">DN488</f>
        <v>6</v>
      </c>
      <c r="F488" s="38" t="n">
        <f aca="false">($B488-INDEX($L$401:$Q$401,E488))^2+($C488-INDEX($L$402:$Q$402,E488))^2+($D488-INDEX($L$403:$Q$403,E488))^2</f>
        <v>0.522785285078415</v>
      </c>
      <c r="G488" s="17" t="n">
        <f aca="false">IF(COUNTIF(Distance_Matrix!$E$12:$DQ$12,$E488)&lt;=1,0,SUMIF(Distance_Matrix!$E$12:$DQ$12,$E488,Distance_Matrix!$E$94:$DQ$94)/(COUNTIF(Distance_Matrix!$E$12:$DQ$12,$E488)-1))</f>
        <v>0.926712003892226</v>
      </c>
      <c r="H488" s="17" t="n">
        <f aca="false">MIN(IF(1=$E488,1E+099,IF(COUNTIF(Distance_Matrix!$E$12:$DQ$12,1)=0,1E+099,SUMIF(Distance_Matrix!$E$12:$DQ$12,1,Distance_Matrix!$E$94:$DQ$94)/COUNTIF(Distance_Matrix!$E$12:$DQ$12,1))),IF(2=$E488,1E+099,IF(COUNTIF(Distance_Matrix!$E$12:$DQ$12,2)=0,1E+099,SUMIF(Distance_Matrix!$E$12:$DQ$12,2,Distance_Matrix!$E$94:$DQ$94)/COUNTIF(Distance_Matrix!$E$12:$DQ$12,2))),IF(3=$E488,1E+099,IF(COUNTIF(Distance_Matrix!$E$12:$DQ$12,3)=0,1E+099,SUMIF(Distance_Matrix!$E$12:$DQ$12,3,Distance_Matrix!$E$94:$DQ$94)/COUNTIF(Distance_Matrix!$E$12:$DQ$12,3))),IF(4=$E488,1E+099,IF(COUNTIF(Distance_Matrix!$E$12:$DQ$12,4)=0,1E+099,SUMIF(Distance_Matrix!$E$12:$DQ$12,4,Distance_Matrix!$E$94:$DQ$94)/COUNTIF(Distance_Matrix!$E$12:$DQ$12,4))),IF(5=$E488,1E+099,IF(COUNTIF(Distance_Matrix!$E$12:$DQ$12,5)=0,1E+099,SUMIF(Distance_Matrix!$E$12:$DQ$12,5,Distance_Matrix!$E$94:$DQ$94)/COUNTIF(Distance_Matrix!$E$12:$DQ$12,5))),IF(6=$E488,1E+099,IF(COUNTIF(Distance_Matrix!$E$12:$DQ$12,6)=0,1E+099,SUMIF(Distance_Matrix!$E$12:$DQ$12,6,Distance_Matrix!$E$94:$DQ$94)/COUNTIF(Distance_Matrix!$E$12:$DQ$12,6))))</f>
        <v>1.02495897225872</v>
      </c>
      <c r="I488" s="17" t="n">
        <f aca="false">IF(COUNTIF(Distance_Matrix!$E$12:$DQ$12,$E488)&lt;=1,0,(H488-G488)/MAX(G488,H488))</f>
        <v>0.0958545376211371</v>
      </c>
      <c r="X488" s="17" t="n">
        <f aca="false">SQRT(($B488-X$401)^2+($C488-X$402)^2+($D488-X$403)^2)</f>
        <v>6.6999482057459</v>
      </c>
      <c r="Y488" s="17" t="n">
        <f aca="false">SQRT(($B488-Y$401)^2+($C488-Y$402)^2+($D488-Y$403)^2)</f>
        <v>1.84953056521099</v>
      </c>
      <c r="Z488" s="17" t="n">
        <f aca="false">SQRT(($B488-Z$401)^2+($C488-Z$402)^2+($D488-Z$403)^2)</f>
        <v>2.45948554295477</v>
      </c>
      <c r="AA488" s="17" t="n">
        <f aca="false">SQRT(($B488-AA$401)^2+($C488-AA$402)^2+($D488-AA$403)^2)</f>
        <v>1.34277606092541</v>
      </c>
      <c r="AB488" s="17" t="n">
        <f aca="false">SQRT(($B488-AB$401)^2+($C488-AB$402)^2+($D488-AB$403)^2)</f>
        <v>4.65661908028355</v>
      </c>
      <c r="AC488" s="17" t="n">
        <f aca="false">SQRT(($B488-AC$401)^2+($C488-AC$402)^2+($D488-AC$403)^2)</f>
        <v>1.05492261187754</v>
      </c>
      <c r="AD488" s="63" t="n">
        <f aca="false">MATCH(MIN(X488:AC488),X488:AC488,0)</f>
        <v>6</v>
      </c>
      <c r="AF488" s="17" t="n">
        <f aca="false">SQRT(($B488-AF$401)^2+($C488-AF$402)^2+($D488-AF$403)^2)</f>
        <v>6.57937685728038</v>
      </c>
      <c r="AG488" s="17" t="n">
        <f aca="false">SQRT(($B488-AG$401)^2+($C488-AG$402)^2+($D488-AG$403)^2)</f>
        <v>1.2078858220838</v>
      </c>
      <c r="AH488" s="17" t="n">
        <f aca="false">SQRT(($B488-AH$401)^2+($C488-AH$402)^2+($D488-AH$403)^2)</f>
        <v>2.07920193862076</v>
      </c>
      <c r="AI488" s="17" t="n">
        <f aca="false">SQRT(($B488-AI$401)^2+($C488-AI$402)^2+($D488-AI$403)^2)</f>
        <v>0.859101916516938</v>
      </c>
      <c r="AJ488" s="17" t="n">
        <f aca="false">SQRT(($B488-AJ$401)^2+($C488-AJ$402)^2+($D488-AJ$403)^2)</f>
        <v>4.30975991160048</v>
      </c>
      <c r="AK488" s="17" t="n">
        <f aca="false">SQRT(($B488-AK$401)^2+($C488-AK$402)^2+($D488-AK$403)^2)</f>
        <v>0.654052711052576</v>
      </c>
      <c r="AL488" s="63" t="n">
        <f aca="false">MATCH(MIN(AF488:AK488),AF488:AK488,0)</f>
        <v>6</v>
      </c>
      <c r="AN488" s="17" t="n">
        <f aca="false">SQRT(($B488-AN$401)^2+($C488-AN$402)^2+($D488-AN$403)^2)</f>
        <v>6.57937685728038</v>
      </c>
      <c r="AO488" s="17" t="n">
        <f aca="false">SQRT(($B488-AO$401)^2+($C488-AO$402)^2+($D488-AO$403)^2)</f>
        <v>1.16631891230302</v>
      </c>
      <c r="AP488" s="17" t="n">
        <f aca="false">SQRT(($B488-AP$401)^2+($C488-AP$402)^2+($D488-AP$403)^2)</f>
        <v>2.04803116848467</v>
      </c>
      <c r="AQ488" s="17" t="n">
        <f aca="false">SQRT(($B488-AQ$401)^2+($C488-AQ$402)^2+($D488-AQ$403)^2)</f>
        <v>0.872427882114655</v>
      </c>
      <c r="AR488" s="17" t="n">
        <f aca="false">SQRT(($B488-AR$401)^2+($C488-AR$402)^2+($D488-AR$403)^2)</f>
        <v>4.30975991160048</v>
      </c>
      <c r="AS488" s="17" t="n">
        <f aca="false">SQRT(($B488-AS$401)^2+($C488-AS$402)^2+($D488-AS$403)^2)</f>
        <v>0.685253181818552</v>
      </c>
      <c r="AT488" s="63" t="n">
        <f aca="false">MATCH(MIN(AN488:AS488),AN488:AS488,0)</f>
        <v>6</v>
      </c>
      <c r="AV488" s="17" t="n">
        <f aca="false">SQRT(($B488-AV$401)^2+($C488-AV$402)^2+($D488-AV$403)^2)</f>
        <v>6.57937685728038</v>
      </c>
      <c r="AW488" s="17" t="n">
        <f aca="false">SQRT(($B488-AW$401)^2+($C488-AW$402)^2+($D488-AW$403)^2)</f>
        <v>1.13871933744256</v>
      </c>
      <c r="AX488" s="17" t="n">
        <f aca="false">SQRT(($B488-AX$401)^2+($C488-AX$402)^2+($D488-AX$403)^2)</f>
        <v>2.04803116848467</v>
      </c>
      <c r="AY488" s="17" t="n">
        <f aca="false">SQRT(($B488-AY$401)^2+($C488-AY$402)^2+($D488-AY$403)^2)</f>
        <v>0.872427882114655</v>
      </c>
      <c r="AZ488" s="17" t="n">
        <f aca="false">SQRT(($B488-AZ$401)^2+($C488-AZ$402)^2+($D488-AZ$403)^2)</f>
        <v>4.30975991160048</v>
      </c>
      <c r="BA488" s="17" t="n">
        <f aca="false">SQRT(($B488-BA$401)^2+($C488-BA$402)^2+($D488-BA$403)^2)</f>
        <v>0.704177217869953</v>
      </c>
      <c r="BB488" s="63" t="n">
        <f aca="false">MATCH(MIN(AV488:BA488),AV488:BA488,0)</f>
        <v>6</v>
      </c>
      <c r="BD488" s="17" t="n">
        <f aca="false">SQRT(($B488-BD$401)^2+($C488-BD$402)^2+($D488-BD$403)^2)</f>
        <v>6.57937685728038</v>
      </c>
      <c r="BE488" s="17" t="n">
        <f aca="false">SQRT(($B488-BE$401)^2+($C488-BE$402)^2+($D488-BE$403)^2)</f>
        <v>1.11279156164722</v>
      </c>
      <c r="BF488" s="17" t="n">
        <f aca="false">SQRT(($B488-BF$401)^2+($C488-BF$402)^2+($D488-BF$403)^2)</f>
        <v>2.04803116848467</v>
      </c>
      <c r="BG488" s="17" t="n">
        <f aca="false">SQRT(($B488-BG$401)^2+($C488-BG$402)^2+($D488-BG$403)^2)</f>
        <v>0.872427882114655</v>
      </c>
      <c r="BH488" s="17" t="n">
        <f aca="false">SQRT(($B488-BH$401)^2+($C488-BH$402)^2+($D488-BH$403)^2)</f>
        <v>4.30975991160048</v>
      </c>
      <c r="BI488" s="17" t="n">
        <f aca="false">SQRT(($B488-BI$401)^2+($C488-BI$402)^2+($D488-BI$403)^2)</f>
        <v>0.723038923626118</v>
      </c>
      <c r="BJ488" s="63" t="n">
        <f aca="false">MATCH(MIN(BD488:BI488),BD488:BI488,0)</f>
        <v>6</v>
      </c>
      <c r="BL488" s="17" t="n">
        <f aca="false">SQRT(($B488-BL$401)^2+($C488-BL$402)^2+($D488-BL$403)^2)</f>
        <v>6.57937685728038</v>
      </c>
      <c r="BM488" s="17" t="n">
        <f aca="false">SQRT(($B488-BM$401)^2+($C488-BM$402)^2+($D488-BM$403)^2)</f>
        <v>1.11279156164722</v>
      </c>
      <c r="BN488" s="17" t="n">
        <f aca="false">SQRT(($B488-BN$401)^2+($C488-BN$402)^2+($D488-BN$403)^2)</f>
        <v>2.04803116848467</v>
      </c>
      <c r="BO488" s="17" t="n">
        <f aca="false">SQRT(($B488-BO$401)^2+($C488-BO$402)^2+($D488-BO$403)^2)</f>
        <v>0.872427882114655</v>
      </c>
      <c r="BP488" s="17" t="n">
        <f aca="false">SQRT(($B488-BP$401)^2+($C488-BP$402)^2+($D488-BP$403)^2)</f>
        <v>4.30975991160048</v>
      </c>
      <c r="BQ488" s="17" t="n">
        <f aca="false">SQRT(($B488-BQ$401)^2+($C488-BQ$402)^2+($D488-BQ$403)^2)</f>
        <v>0.723038923626118</v>
      </c>
      <c r="BR488" s="63" t="n">
        <f aca="false">MATCH(MIN(BL488:BQ488),BL488:BQ488,0)</f>
        <v>6</v>
      </c>
      <c r="BT488" s="17" t="n">
        <f aca="false">SQRT(($B488-BT$401)^2+($C488-BT$402)^2+($D488-BT$403)^2)</f>
        <v>6.57937685728038</v>
      </c>
      <c r="BU488" s="17" t="n">
        <f aca="false">SQRT(($B488-BU$401)^2+($C488-BU$402)^2+($D488-BU$403)^2)</f>
        <v>1.11279156164722</v>
      </c>
      <c r="BV488" s="17" t="n">
        <f aca="false">SQRT(($B488-BV$401)^2+($C488-BV$402)^2+($D488-BV$403)^2)</f>
        <v>2.04803116848467</v>
      </c>
      <c r="BW488" s="17" t="n">
        <f aca="false">SQRT(($B488-BW$401)^2+($C488-BW$402)^2+($D488-BW$403)^2)</f>
        <v>0.872427882114655</v>
      </c>
      <c r="BX488" s="17" t="n">
        <f aca="false">SQRT(($B488-BX$401)^2+($C488-BX$402)^2+($D488-BX$403)^2)</f>
        <v>4.30975991160048</v>
      </c>
      <c r="BY488" s="17" t="n">
        <f aca="false">SQRT(($B488-BY$401)^2+($C488-BY$402)^2+($D488-BY$403)^2)</f>
        <v>0.723038923626118</v>
      </c>
      <c r="BZ488" s="63" t="n">
        <f aca="false">MATCH(MIN(BT488:BY488),BT488:BY488,0)</f>
        <v>6</v>
      </c>
      <c r="CB488" s="17" t="n">
        <f aca="false">SQRT(($B488-CB$401)^2+($C488-CB$402)^2+($D488-CB$403)^2)</f>
        <v>6.57937685728038</v>
      </c>
      <c r="CC488" s="17" t="n">
        <f aca="false">SQRT(($B488-CC$401)^2+($C488-CC$402)^2+($D488-CC$403)^2)</f>
        <v>1.11279156164722</v>
      </c>
      <c r="CD488" s="17" t="n">
        <f aca="false">SQRT(($B488-CD$401)^2+($C488-CD$402)^2+($D488-CD$403)^2)</f>
        <v>2.04803116848467</v>
      </c>
      <c r="CE488" s="17" t="n">
        <f aca="false">SQRT(($B488-CE$401)^2+($C488-CE$402)^2+($D488-CE$403)^2)</f>
        <v>0.872427882114655</v>
      </c>
      <c r="CF488" s="17" t="n">
        <f aca="false">SQRT(($B488-CF$401)^2+($C488-CF$402)^2+($D488-CF$403)^2)</f>
        <v>4.30975991160048</v>
      </c>
      <c r="CG488" s="17" t="n">
        <f aca="false">SQRT(($B488-CG$401)^2+($C488-CG$402)^2+($D488-CG$403)^2)</f>
        <v>0.723038923626118</v>
      </c>
      <c r="CH488" s="63" t="n">
        <f aca="false">MATCH(MIN(CB488:CG488),CB488:CG488,0)</f>
        <v>6</v>
      </c>
      <c r="CJ488" s="17" t="n">
        <f aca="false">SQRT(($B488-CJ$401)^2+($C488-CJ$402)^2+($D488-CJ$403)^2)</f>
        <v>6.57937685728038</v>
      </c>
      <c r="CK488" s="17" t="n">
        <f aca="false">SQRT(($B488-CK$401)^2+($C488-CK$402)^2+($D488-CK$403)^2)</f>
        <v>1.11279156164722</v>
      </c>
      <c r="CL488" s="17" t="n">
        <f aca="false">SQRT(($B488-CL$401)^2+($C488-CL$402)^2+($D488-CL$403)^2)</f>
        <v>2.04803116848467</v>
      </c>
      <c r="CM488" s="17" t="n">
        <f aca="false">SQRT(($B488-CM$401)^2+($C488-CM$402)^2+($D488-CM$403)^2)</f>
        <v>0.872427882114655</v>
      </c>
      <c r="CN488" s="17" t="n">
        <f aca="false">SQRT(($B488-CN$401)^2+($C488-CN$402)^2+($D488-CN$403)^2)</f>
        <v>4.30975991160048</v>
      </c>
      <c r="CO488" s="17" t="n">
        <f aca="false">SQRT(($B488-CO$401)^2+($C488-CO$402)^2+($D488-CO$403)^2)</f>
        <v>0.723038923626118</v>
      </c>
      <c r="CP488" s="63" t="n">
        <f aca="false">MATCH(MIN(CJ488:CO488),CJ488:CO488,0)</f>
        <v>6</v>
      </c>
      <c r="CR488" s="17" t="n">
        <f aca="false">SQRT(($B488-CR$401)^2+($C488-CR$402)^2+($D488-CR$403)^2)</f>
        <v>6.57937685728038</v>
      </c>
      <c r="CS488" s="17" t="n">
        <f aca="false">SQRT(($B488-CS$401)^2+($C488-CS$402)^2+($D488-CS$403)^2)</f>
        <v>1.11279156164722</v>
      </c>
      <c r="CT488" s="17" t="n">
        <f aca="false">SQRT(($B488-CT$401)^2+($C488-CT$402)^2+($D488-CT$403)^2)</f>
        <v>2.04803116848467</v>
      </c>
      <c r="CU488" s="17" t="n">
        <f aca="false">SQRT(($B488-CU$401)^2+($C488-CU$402)^2+($D488-CU$403)^2)</f>
        <v>0.872427882114655</v>
      </c>
      <c r="CV488" s="17" t="n">
        <f aca="false">SQRT(($B488-CV$401)^2+($C488-CV$402)^2+($D488-CV$403)^2)</f>
        <v>4.30975991160048</v>
      </c>
      <c r="CW488" s="17" t="n">
        <f aca="false">SQRT(($B488-CW$401)^2+($C488-CW$402)^2+($D488-CW$403)^2)</f>
        <v>0.723038923626118</v>
      </c>
      <c r="CX488" s="63" t="n">
        <f aca="false">MATCH(MIN(CR488:CW488),CR488:CW488,0)</f>
        <v>6</v>
      </c>
      <c r="CZ488" s="17" t="n">
        <f aca="false">SQRT(($B488-CZ$401)^2+($C488-CZ$402)^2+($D488-CZ$403)^2)</f>
        <v>6.57937685728038</v>
      </c>
      <c r="DA488" s="17" t="n">
        <f aca="false">SQRT(($B488-DA$401)^2+($C488-DA$402)^2+($D488-DA$403)^2)</f>
        <v>1.11279156164722</v>
      </c>
      <c r="DB488" s="17" t="n">
        <f aca="false">SQRT(($B488-DB$401)^2+($C488-DB$402)^2+($D488-DB$403)^2)</f>
        <v>2.04803116848467</v>
      </c>
      <c r="DC488" s="17" t="n">
        <f aca="false">SQRT(($B488-DC$401)^2+($C488-DC$402)^2+($D488-DC$403)^2)</f>
        <v>0.872427882114655</v>
      </c>
      <c r="DD488" s="17" t="n">
        <f aca="false">SQRT(($B488-DD$401)^2+($C488-DD$402)^2+($D488-DD$403)^2)</f>
        <v>4.30975991160048</v>
      </c>
      <c r="DE488" s="17" t="n">
        <f aca="false">SQRT(($B488-DE$401)^2+($C488-DE$402)^2+($D488-DE$403)^2)</f>
        <v>0.723038923626118</v>
      </c>
      <c r="DF488" s="63" t="n">
        <f aca="false">MATCH(MIN(CZ488:DE488),CZ488:DE488,0)</f>
        <v>6</v>
      </c>
      <c r="DH488" s="17" t="n">
        <f aca="false">SQRT(($B488-DH$401)^2+($C488-DH$402)^2+($D488-DH$403)^2)</f>
        <v>6.57937685728038</v>
      </c>
      <c r="DI488" s="17" t="n">
        <f aca="false">SQRT(($B488-DI$401)^2+($C488-DI$402)^2+($D488-DI$403)^2)</f>
        <v>1.11279156164722</v>
      </c>
      <c r="DJ488" s="17" t="n">
        <f aca="false">SQRT(($B488-DJ$401)^2+($C488-DJ$402)^2+($D488-DJ$403)^2)</f>
        <v>2.04803116848467</v>
      </c>
      <c r="DK488" s="17" t="n">
        <f aca="false">SQRT(($B488-DK$401)^2+($C488-DK$402)^2+($D488-DK$403)^2)</f>
        <v>0.872427882114655</v>
      </c>
      <c r="DL488" s="17" t="n">
        <f aca="false">SQRT(($B488-DL$401)^2+($C488-DL$402)^2+($D488-DL$403)^2)</f>
        <v>4.30975991160048</v>
      </c>
      <c r="DM488" s="17" t="n">
        <f aca="false">SQRT(($B488-DM$401)^2+($C488-DM$402)^2+($D488-DM$403)^2)</f>
        <v>0.723038923626118</v>
      </c>
      <c r="DN488" s="63" t="n">
        <f aca="false">MATCH(MIN(DH488:DM488),DH488:DM488,0)</f>
        <v>6</v>
      </c>
    </row>
    <row r="489" customFormat="false" ht="15" hidden="false" customHeight="false" outlineLevel="0" collapsed="false">
      <c r="A489" s="36" t="str">
        <f aca="false">KMeans_Data!A86</f>
        <v>Bahawal Nagar</v>
      </c>
      <c r="B489" s="17" t="n">
        <f aca="false">KMeans_Data!H86</f>
        <v>-0.470943061763014</v>
      </c>
      <c r="C489" s="17" t="n">
        <f aca="false">KMeans_Data!I86</f>
        <v>-0.672650545388274</v>
      </c>
      <c r="D489" s="17" t="n">
        <f aca="false">KMeans_Data!J86</f>
        <v>-0.399845222909568</v>
      </c>
      <c r="E489" s="63" t="n">
        <f aca="false">DN489</f>
        <v>6</v>
      </c>
      <c r="F489" s="38" t="n">
        <f aca="false">($B489-INDEX($L$401:$Q$401,E489))^2+($C489-INDEX($L$402:$Q$402,E489))^2+($D489-INDEX($L$403:$Q$403,E489))^2</f>
        <v>0.568755228835847</v>
      </c>
      <c r="G489" s="17" t="n">
        <f aca="false">IF(COUNTIF(Distance_Matrix!$E$12:$DQ$12,$E489)&lt;=1,0,SUMIF(Distance_Matrix!$E$12:$DQ$12,$E489,Distance_Matrix!$E$95:$DQ$95)/(COUNTIF(Distance_Matrix!$E$12:$DQ$12,$E489)-1))</f>
        <v>0.911520796555582</v>
      </c>
      <c r="H489" s="17" t="n">
        <f aca="false">MIN(IF(1=$E489,1E+099,IF(COUNTIF(Distance_Matrix!$E$12:$DQ$12,1)=0,1E+099,SUMIF(Distance_Matrix!$E$12:$DQ$12,1,Distance_Matrix!$E$95:$DQ$95)/COUNTIF(Distance_Matrix!$E$12:$DQ$12,1))),IF(2=$E489,1E+099,IF(COUNTIF(Distance_Matrix!$E$12:$DQ$12,2)=0,1E+099,SUMIF(Distance_Matrix!$E$12:$DQ$12,2,Distance_Matrix!$E$95:$DQ$95)/COUNTIF(Distance_Matrix!$E$12:$DQ$12,2))),IF(3=$E489,1E+099,IF(COUNTIF(Distance_Matrix!$E$12:$DQ$12,3)=0,1E+099,SUMIF(Distance_Matrix!$E$12:$DQ$12,3,Distance_Matrix!$E$95:$DQ$95)/COUNTIF(Distance_Matrix!$E$12:$DQ$12,3))),IF(4=$E489,1E+099,IF(COUNTIF(Distance_Matrix!$E$12:$DQ$12,4)=0,1E+099,SUMIF(Distance_Matrix!$E$12:$DQ$12,4,Distance_Matrix!$E$95:$DQ$95)/COUNTIF(Distance_Matrix!$E$12:$DQ$12,4))),IF(5=$E489,1E+099,IF(COUNTIF(Distance_Matrix!$E$12:$DQ$12,5)=0,1E+099,SUMIF(Distance_Matrix!$E$12:$DQ$12,5,Distance_Matrix!$E$95:$DQ$95)/COUNTIF(Distance_Matrix!$E$12:$DQ$12,5))),IF(6=$E489,1E+099,IF(COUNTIF(Distance_Matrix!$E$12:$DQ$12,6)=0,1E+099,SUMIF(Distance_Matrix!$E$12:$DQ$12,6,Distance_Matrix!$E$95:$DQ$95)/COUNTIF(Distance_Matrix!$E$12:$DQ$12,6))))</f>
        <v>0.899972649803764</v>
      </c>
      <c r="I489" s="17" t="n">
        <f aca="false">IF(COUNTIF(Distance_Matrix!$E$12:$DQ$12,$E489)&lt;=1,0,(H489-G489)/MAX(G489,H489))</f>
        <v>-0.0126690984950152</v>
      </c>
      <c r="X489" s="17" t="n">
        <f aca="false">SQRT(($B489-X$401)^2+($C489-X$402)^2+($D489-X$403)^2)</f>
        <v>7.04033708091628</v>
      </c>
      <c r="Y489" s="17" t="n">
        <f aca="false">SQRT(($B489-Y$401)^2+($C489-Y$402)^2+($D489-Y$403)^2)</f>
        <v>1.77325606841763</v>
      </c>
      <c r="Z489" s="17" t="n">
        <f aca="false">SQRT(($B489-Z$401)^2+($C489-Z$402)^2+($D489-Z$403)^2)</f>
        <v>2.62260325219289</v>
      </c>
      <c r="AA489" s="17" t="n">
        <f aca="false">SQRT(($B489-AA$401)^2+($C489-AA$402)^2+($D489-AA$403)^2)</f>
        <v>1.4420033901708</v>
      </c>
      <c r="AB489" s="17" t="n">
        <f aca="false">SQRT(($B489-AB$401)^2+($C489-AB$402)^2+($D489-AB$403)^2)</f>
        <v>4.95246060155913</v>
      </c>
      <c r="AC489" s="17" t="n">
        <f aca="false">SQRT(($B489-AC$401)^2+($C489-AC$402)^2+($D489-AC$403)^2)</f>
        <v>1.17863817370738</v>
      </c>
      <c r="AD489" s="63" t="n">
        <f aca="false">MATCH(MIN(X489:AC489),X489:AC489,0)</f>
        <v>6</v>
      </c>
      <c r="AF489" s="17" t="n">
        <f aca="false">SQRT(($B489-AF$401)^2+($C489-AF$402)^2+($D489-AF$403)^2)</f>
        <v>6.93017050164202</v>
      </c>
      <c r="AG489" s="17" t="n">
        <f aca="false">SQRT(($B489-AG$401)^2+($C489-AG$402)^2+($D489-AG$403)^2)</f>
        <v>1.09849456044505</v>
      </c>
      <c r="AH489" s="17" t="n">
        <f aca="false">SQRT(($B489-AH$401)^2+($C489-AH$402)^2+($D489-AH$403)^2)</f>
        <v>2.37421254988318</v>
      </c>
      <c r="AI489" s="17" t="n">
        <f aca="false">SQRT(($B489-AI$401)^2+($C489-AI$402)^2+($D489-AI$403)^2)</f>
        <v>0.777049473185793</v>
      </c>
      <c r="AJ489" s="17" t="n">
        <f aca="false">SQRT(($B489-AJ$401)^2+($C489-AJ$402)^2+($D489-AJ$403)^2)</f>
        <v>4.65546203214361</v>
      </c>
      <c r="AK489" s="17" t="n">
        <f aca="false">SQRT(($B489-AK$401)^2+($C489-AK$402)^2+($D489-AK$403)^2)</f>
        <v>0.670266889074975</v>
      </c>
      <c r="AL489" s="63" t="n">
        <f aca="false">MATCH(MIN(AF489:AK489),AF489:AK489,0)</f>
        <v>6</v>
      </c>
      <c r="AN489" s="17" t="n">
        <f aca="false">SQRT(($B489-AN$401)^2+($C489-AN$402)^2+($D489-AN$403)^2)</f>
        <v>6.93017050164202</v>
      </c>
      <c r="AO489" s="17" t="n">
        <f aca="false">SQRT(($B489-AO$401)^2+($C489-AO$402)^2+($D489-AO$403)^2)</f>
        <v>1.05170322616389</v>
      </c>
      <c r="AP489" s="17" t="n">
        <f aca="false">SQRT(($B489-AP$401)^2+($C489-AP$402)^2+($D489-AP$403)^2)</f>
        <v>2.34470745350148</v>
      </c>
      <c r="AQ489" s="17" t="n">
        <f aca="false">SQRT(($B489-AQ$401)^2+($C489-AQ$402)^2+($D489-AQ$403)^2)</f>
        <v>0.771345153902371</v>
      </c>
      <c r="AR489" s="17" t="n">
        <f aca="false">SQRT(($B489-AR$401)^2+($C489-AR$402)^2+($D489-AR$403)^2)</f>
        <v>4.65546203214361</v>
      </c>
      <c r="AS489" s="17" t="n">
        <f aca="false">SQRT(($B489-AS$401)^2+($C489-AS$402)^2+($D489-AS$403)^2)</f>
        <v>0.704686645710276</v>
      </c>
      <c r="AT489" s="63" t="n">
        <f aca="false">MATCH(MIN(AN489:AS489),AN489:AS489,0)</f>
        <v>6</v>
      </c>
      <c r="AV489" s="17" t="n">
        <f aca="false">SQRT(($B489-AV$401)^2+($C489-AV$402)^2+($D489-AV$403)^2)</f>
        <v>6.93017050164202</v>
      </c>
      <c r="AW489" s="17" t="n">
        <f aca="false">SQRT(($B489-AW$401)^2+($C489-AW$402)^2+($D489-AW$403)^2)</f>
        <v>1.02059363394419</v>
      </c>
      <c r="AX489" s="17" t="n">
        <f aca="false">SQRT(($B489-AX$401)^2+($C489-AX$402)^2+($D489-AX$403)^2)</f>
        <v>2.34470745350148</v>
      </c>
      <c r="AY489" s="17" t="n">
        <f aca="false">SQRT(($B489-AY$401)^2+($C489-AY$402)^2+($D489-AY$403)^2)</f>
        <v>0.771345153902371</v>
      </c>
      <c r="AZ489" s="17" t="n">
        <f aca="false">SQRT(($B489-AZ$401)^2+($C489-AZ$402)^2+($D489-AZ$403)^2)</f>
        <v>4.65546203214361</v>
      </c>
      <c r="BA489" s="17" t="n">
        <f aca="false">SQRT(($B489-BA$401)^2+($C489-BA$402)^2+($D489-BA$403)^2)</f>
        <v>0.729430563714773</v>
      </c>
      <c r="BB489" s="63" t="n">
        <f aca="false">MATCH(MIN(AV489:BA489),AV489:BA489,0)</f>
        <v>6</v>
      </c>
      <c r="BD489" s="17" t="n">
        <f aca="false">SQRT(($B489-BD$401)^2+($C489-BD$402)^2+($D489-BD$403)^2)</f>
        <v>6.93017050164202</v>
      </c>
      <c r="BE489" s="17" t="n">
        <f aca="false">SQRT(($B489-BE$401)^2+($C489-BE$402)^2+($D489-BE$403)^2)</f>
        <v>0.991184867542746</v>
      </c>
      <c r="BF489" s="17" t="n">
        <f aca="false">SQRT(($B489-BF$401)^2+($C489-BF$402)^2+($D489-BF$403)^2)</f>
        <v>2.34470745350148</v>
      </c>
      <c r="BG489" s="17" t="n">
        <f aca="false">SQRT(($B489-BG$401)^2+($C489-BG$402)^2+($D489-BG$403)^2)</f>
        <v>0.771345153902371</v>
      </c>
      <c r="BH489" s="17" t="n">
        <f aca="false">SQRT(($B489-BH$401)^2+($C489-BH$402)^2+($D489-BH$403)^2)</f>
        <v>4.65546203214361</v>
      </c>
      <c r="BI489" s="17" t="n">
        <f aca="false">SQRT(($B489-BI$401)^2+($C489-BI$402)^2+($D489-BI$403)^2)</f>
        <v>0.75415862312636</v>
      </c>
      <c r="BJ489" s="63" t="n">
        <f aca="false">MATCH(MIN(BD489:BI489),BD489:BI489,0)</f>
        <v>6</v>
      </c>
      <c r="BL489" s="17" t="n">
        <f aca="false">SQRT(($B489-BL$401)^2+($C489-BL$402)^2+($D489-BL$403)^2)</f>
        <v>6.93017050164202</v>
      </c>
      <c r="BM489" s="17" t="n">
        <f aca="false">SQRT(($B489-BM$401)^2+($C489-BM$402)^2+($D489-BM$403)^2)</f>
        <v>0.991184867542746</v>
      </c>
      <c r="BN489" s="17" t="n">
        <f aca="false">SQRT(($B489-BN$401)^2+($C489-BN$402)^2+($D489-BN$403)^2)</f>
        <v>2.34470745350148</v>
      </c>
      <c r="BO489" s="17" t="n">
        <f aca="false">SQRT(($B489-BO$401)^2+($C489-BO$402)^2+($D489-BO$403)^2)</f>
        <v>0.771345153902371</v>
      </c>
      <c r="BP489" s="17" t="n">
        <f aca="false">SQRT(($B489-BP$401)^2+($C489-BP$402)^2+($D489-BP$403)^2)</f>
        <v>4.65546203214361</v>
      </c>
      <c r="BQ489" s="17" t="n">
        <f aca="false">SQRT(($B489-BQ$401)^2+($C489-BQ$402)^2+($D489-BQ$403)^2)</f>
        <v>0.75415862312636</v>
      </c>
      <c r="BR489" s="63" t="n">
        <f aca="false">MATCH(MIN(BL489:BQ489),BL489:BQ489,0)</f>
        <v>6</v>
      </c>
      <c r="BT489" s="17" t="n">
        <f aca="false">SQRT(($B489-BT$401)^2+($C489-BT$402)^2+($D489-BT$403)^2)</f>
        <v>6.93017050164202</v>
      </c>
      <c r="BU489" s="17" t="n">
        <f aca="false">SQRT(($B489-BU$401)^2+($C489-BU$402)^2+($D489-BU$403)^2)</f>
        <v>0.991184867542746</v>
      </c>
      <c r="BV489" s="17" t="n">
        <f aca="false">SQRT(($B489-BV$401)^2+($C489-BV$402)^2+($D489-BV$403)^2)</f>
        <v>2.34470745350148</v>
      </c>
      <c r="BW489" s="17" t="n">
        <f aca="false">SQRT(($B489-BW$401)^2+($C489-BW$402)^2+($D489-BW$403)^2)</f>
        <v>0.771345153902371</v>
      </c>
      <c r="BX489" s="17" t="n">
        <f aca="false">SQRT(($B489-BX$401)^2+($C489-BX$402)^2+($D489-BX$403)^2)</f>
        <v>4.65546203214361</v>
      </c>
      <c r="BY489" s="17" t="n">
        <f aca="false">SQRT(($B489-BY$401)^2+($C489-BY$402)^2+($D489-BY$403)^2)</f>
        <v>0.75415862312636</v>
      </c>
      <c r="BZ489" s="63" t="n">
        <f aca="false">MATCH(MIN(BT489:BY489),BT489:BY489,0)</f>
        <v>6</v>
      </c>
      <c r="CB489" s="17" t="n">
        <f aca="false">SQRT(($B489-CB$401)^2+($C489-CB$402)^2+($D489-CB$403)^2)</f>
        <v>6.93017050164202</v>
      </c>
      <c r="CC489" s="17" t="n">
        <f aca="false">SQRT(($B489-CC$401)^2+($C489-CC$402)^2+($D489-CC$403)^2)</f>
        <v>0.991184867542746</v>
      </c>
      <c r="CD489" s="17" t="n">
        <f aca="false">SQRT(($B489-CD$401)^2+($C489-CD$402)^2+($D489-CD$403)^2)</f>
        <v>2.34470745350148</v>
      </c>
      <c r="CE489" s="17" t="n">
        <f aca="false">SQRT(($B489-CE$401)^2+($C489-CE$402)^2+($D489-CE$403)^2)</f>
        <v>0.771345153902371</v>
      </c>
      <c r="CF489" s="17" t="n">
        <f aca="false">SQRT(($B489-CF$401)^2+($C489-CF$402)^2+($D489-CF$403)^2)</f>
        <v>4.65546203214361</v>
      </c>
      <c r="CG489" s="17" t="n">
        <f aca="false">SQRT(($B489-CG$401)^2+($C489-CG$402)^2+($D489-CG$403)^2)</f>
        <v>0.75415862312636</v>
      </c>
      <c r="CH489" s="63" t="n">
        <f aca="false">MATCH(MIN(CB489:CG489),CB489:CG489,0)</f>
        <v>6</v>
      </c>
      <c r="CJ489" s="17" t="n">
        <f aca="false">SQRT(($B489-CJ$401)^2+($C489-CJ$402)^2+($D489-CJ$403)^2)</f>
        <v>6.93017050164202</v>
      </c>
      <c r="CK489" s="17" t="n">
        <f aca="false">SQRT(($B489-CK$401)^2+($C489-CK$402)^2+($D489-CK$403)^2)</f>
        <v>0.991184867542746</v>
      </c>
      <c r="CL489" s="17" t="n">
        <f aca="false">SQRT(($B489-CL$401)^2+($C489-CL$402)^2+($D489-CL$403)^2)</f>
        <v>2.34470745350148</v>
      </c>
      <c r="CM489" s="17" t="n">
        <f aca="false">SQRT(($B489-CM$401)^2+($C489-CM$402)^2+($D489-CM$403)^2)</f>
        <v>0.771345153902371</v>
      </c>
      <c r="CN489" s="17" t="n">
        <f aca="false">SQRT(($B489-CN$401)^2+($C489-CN$402)^2+($D489-CN$403)^2)</f>
        <v>4.65546203214361</v>
      </c>
      <c r="CO489" s="17" t="n">
        <f aca="false">SQRT(($B489-CO$401)^2+($C489-CO$402)^2+($D489-CO$403)^2)</f>
        <v>0.75415862312636</v>
      </c>
      <c r="CP489" s="63" t="n">
        <f aca="false">MATCH(MIN(CJ489:CO489),CJ489:CO489,0)</f>
        <v>6</v>
      </c>
      <c r="CR489" s="17" t="n">
        <f aca="false">SQRT(($B489-CR$401)^2+($C489-CR$402)^2+($D489-CR$403)^2)</f>
        <v>6.93017050164202</v>
      </c>
      <c r="CS489" s="17" t="n">
        <f aca="false">SQRT(($B489-CS$401)^2+($C489-CS$402)^2+($D489-CS$403)^2)</f>
        <v>0.991184867542746</v>
      </c>
      <c r="CT489" s="17" t="n">
        <f aca="false">SQRT(($B489-CT$401)^2+($C489-CT$402)^2+($D489-CT$403)^2)</f>
        <v>2.34470745350148</v>
      </c>
      <c r="CU489" s="17" t="n">
        <f aca="false">SQRT(($B489-CU$401)^2+($C489-CU$402)^2+($D489-CU$403)^2)</f>
        <v>0.771345153902371</v>
      </c>
      <c r="CV489" s="17" t="n">
        <f aca="false">SQRT(($B489-CV$401)^2+($C489-CV$402)^2+($D489-CV$403)^2)</f>
        <v>4.65546203214361</v>
      </c>
      <c r="CW489" s="17" t="n">
        <f aca="false">SQRT(($B489-CW$401)^2+($C489-CW$402)^2+($D489-CW$403)^2)</f>
        <v>0.75415862312636</v>
      </c>
      <c r="CX489" s="63" t="n">
        <f aca="false">MATCH(MIN(CR489:CW489),CR489:CW489,0)</f>
        <v>6</v>
      </c>
      <c r="CZ489" s="17" t="n">
        <f aca="false">SQRT(($B489-CZ$401)^2+($C489-CZ$402)^2+($D489-CZ$403)^2)</f>
        <v>6.93017050164202</v>
      </c>
      <c r="DA489" s="17" t="n">
        <f aca="false">SQRT(($B489-DA$401)^2+($C489-DA$402)^2+($D489-DA$403)^2)</f>
        <v>0.991184867542746</v>
      </c>
      <c r="DB489" s="17" t="n">
        <f aca="false">SQRT(($B489-DB$401)^2+($C489-DB$402)^2+($D489-DB$403)^2)</f>
        <v>2.34470745350148</v>
      </c>
      <c r="DC489" s="17" t="n">
        <f aca="false">SQRT(($B489-DC$401)^2+($C489-DC$402)^2+($D489-DC$403)^2)</f>
        <v>0.771345153902371</v>
      </c>
      <c r="DD489" s="17" t="n">
        <f aca="false">SQRT(($B489-DD$401)^2+($C489-DD$402)^2+($D489-DD$403)^2)</f>
        <v>4.65546203214361</v>
      </c>
      <c r="DE489" s="17" t="n">
        <f aca="false">SQRT(($B489-DE$401)^2+($C489-DE$402)^2+($D489-DE$403)^2)</f>
        <v>0.75415862312636</v>
      </c>
      <c r="DF489" s="63" t="n">
        <f aca="false">MATCH(MIN(CZ489:DE489),CZ489:DE489,0)</f>
        <v>6</v>
      </c>
      <c r="DH489" s="17" t="n">
        <f aca="false">SQRT(($B489-DH$401)^2+($C489-DH$402)^2+($D489-DH$403)^2)</f>
        <v>6.93017050164202</v>
      </c>
      <c r="DI489" s="17" t="n">
        <f aca="false">SQRT(($B489-DI$401)^2+($C489-DI$402)^2+($D489-DI$403)^2)</f>
        <v>0.991184867542746</v>
      </c>
      <c r="DJ489" s="17" t="n">
        <f aca="false">SQRT(($B489-DJ$401)^2+($C489-DJ$402)^2+($D489-DJ$403)^2)</f>
        <v>2.34470745350148</v>
      </c>
      <c r="DK489" s="17" t="n">
        <f aca="false">SQRT(($B489-DK$401)^2+($C489-DK$402)^2+($D489-DK$403)^2)</f>
        <v>0.771345153902371</v>
      </c>
      <c r="DL489" s="17" t="n">
        <f aca="false">SQRT(($B489-DL$401)^2+($C489-DL$402)^2+($D489-DL$403)^2)</f>
        <v>4.65546203214361</v>
      </c>
      <c r="DM489" s="17" t="n">
        <f aca="false">SQRT(($B489-DM$401)^2+($C489-DM$402)^2+($D489-DM$403)^2)</f>
        <v>0.75415862312636</v>
      </c>
      <c r="DN489" s="63" t="n">
        <f aca="false">MATCH(MIN(DH489:DM489),DH489:DM489,0)</f>
        <v>6</v>
      </c>
    </row>
    <row r="490" customFormat="false" ht="15" hidden="false" customHeight="false" outlineLevel="0" collapsed="false">
      <c r="A490" s="36" t="str">
        <f aca="false">KMeans_Data!A87</f>
        <v>Ghizer</v>
      </c>
      <c r="B490" s="17" t="n">
        <f aca="false">KMeans_Data!H87</f>
        <v>-0.520549152721336</v>
      </c>
      <c r="C490" s="17" t="n">
        <f aca="false">KMeans_Data!I87</f>
        <v>-0.672650545388274</v>
      </c>
      <c r="D490" s="17" t="n">
        <f aca="false">KMeans_Data!J87</f>
        <v>-0.503247915463979</v>
      </c>
      <c r="E490" s="63" t="n">
        <f aca="false">DN490</f>
        <v>4</v>
      </c>
      <c r="F490" s="38" t="n">
        <f aca="false">($B490-INDEX($L$401:$Q$401,E490))^2+($C490-INDEX($L$402:$Q$402,E490))^2+($D490-INDEX($L$403:$Q$403,E490))^2</f>
        <v>0.573117620625011</v>
      </c>
      <c r="G490" s="17" t="n">
        <f aca="false">IF(COUNTIF(Distance_Matrix!$E$12:$DQ$12,$E490)&lt;=1,0,SUMIF(Distance_Matrix!$E$12:$DQ$12,$E490,Distance_Matrix!$E$96:$DQ$96)/(COUNTIF(Distance_Matrix!$E$12:$DQ$12,$E490)-1))</f>
        <v>0.915526427766498</v>
      </c>
      <c r="H490" s="17" t="n">
        <f aca="false">MIN(IF(1=$E490,1E+099,IF(COUNTIF(Distance_Matrix!$E$12:$DQ$12,1)=0,1E+099,SUMIF(Distance_Matrix!$E$12:$DQ$12,1,Distance_Matrix!$E$96:$DQ$96)/COUNTIF(Distance_Matrix!$E$12:$DQ$12,1))),IF(2=$E490,1E+099,IF(COUNTIF(Distance_Matrix!$E$12:$DQ$12,2)=0,1E+099,SUMIF(Distance_Matrix!$E$12:$DQ$12,2,Distance_Matrix!$E$96:$DQ$96)/COUNTIF(Distance_Matrix!$E$12:$DQ$12,2))),IF(3=$E490,1E+099,IF(COUNTIF(Distance_Matrix!$E$12:$DQ$12,3)=0,1E+099,SUMIF(Distance_Matrix!$E$12:$DQ$12,3,Distance_Matrix!$E$96:$DQ$96)/COUNTIF(Distance_Matrix!$E$12:$DQ$12,3))),IF(4=$E490,1E+099,IF(COUNTIF(Distance_Matrix!$E$12:$DQ$12,4)=0,1E+099,SUMIF(Distance_Matrix!$E$12:$DQ$12,4,Distance_Matrix!$E$96:$DQ$96)/COUNTIF(Distance_Matrix!$E$12:$DQ$12,4))),IF(5=$E490,1E+099,IF(COUNTIF(Distance_Matrix!$E$12:$DQ$12,5)=0,1E+099,SUMIF(Distance_Matrix!$E$12:$DQ$12,5,Distance_Matrix!$E$96:$DQ$96)/COUNTIF(Distance_Matrix!$E$12:$DQ$12,5))),IF(6=$E490,1E+099,IF(COUNTIF(Distance_Matrix!$E$12:$DQ$12,6)=0,1E+099,SUMIF(Distance_Matrix!$E$12:$DQ$12,6,Distance_Matrix!$E$96:$DQ$96)/COUNTIF(Distance_Matrix!$E$12:$DQ$12,6))))</f>
        <v>0.946940050454014</v>
      </c>
      <c r="I490" s="17" t="n">
        <f aca="false">IF(COUNTIF(Distance_Matrix!$E$12:$DQ$12,$E490)&lt;=1,0,(H490-G490)/MAX(G490,H490))</f>
        <v>0.0331738241216591</v>
      </c>
      <c r="X490" s="17" t="n">
        <f aca="false">SQRT(($B490-X$401)^2+($C490-X$402)^2+($D490-X$403)^2)</f>
        <v>7.12084562266141</v>
      </c>
      <c r="Y490" s="17" t="n">
        <f aca="false">SQRT(($B490-Y$401)^2+($C490-Y$402)^2+($D490-Y$403)^2)</f>
        <v>1.68634002609964</v>
      </c>
      <c r="Z490" s="17" t="n">
        <f aca="false">SQRT(($B490-Z$401)^2+($C490-Z$402)^2+($D490-Z$403)^2)</f>
        <v>2.72536569763079</v>
      </c>
      <c r="AA490" s="17" t="n">
        <f aca="false">SQRT(($B490-AA$401)^2+($C490-AA$402)^2+($D490-AA$403)^2)</f>
        <v>1.43145847046038</v>
      </c>
      <c r="AB490" s="17" t="n">
        <f aca="false">SQRT(($B490-AB$401)^2+($C490-AB$402)^2+($D490-AB$403)^2)</f>
        <v>5.03930933779083</v>
      </c>
      <c r="AC490" s="17" t="n">
        <f aca="false">SQRT(($B490-AC$401)^2+($C490-AC$402)^2+($D490-AC$403)^2)</f>
        <v>1.26161476096785</v>
      </c>
      <c r="AD490" s="63" t="n">
        <f aca="false">MATCH(MIN(X490:AC490),X490:AC490,0)</f>
        <v>6</v>
      </c>
      <c r="AF490" s="17" t="n">
        <f aca="false">SQRT(($B490-AF$401)^2+($C490-AF$402)^2+($D490-AF$403)^2)</f>
        <v>7.00763825983921</v>
      </c>
      <c r="AG490" s="17" t="n">
        <f aca="false">SQRT(($B490-AG$401)^2+($C490-AG$402)^2+($D490-AG$403)^2)</f>
        <v>0.995817900621125</v>
      </c>
      <c r="AH490" s="17" t="n">
        <f aca="false">SQRT(($B490-AH$401)^2+($C490-AH$402)^2+($D490-AH$403)^2)</f>
        <v>2.45994525895289</v>
      </c>
      <c r="AI490" s="17" t="n">
        <f aca="false">SQRT(($B490-AI$401)^2+($C490-AI$402)^2+($D490-AI$403)^2)</f>
        <v>0.764015332797849</v>
      </c>
      <c r="AJ490" s="17" t="n">
        <f aca="false">SQRT(($B490-AJ$401)^2+($C490-AJ$402)^2+($D490-AJ$403)^2)</f>
        <v>4.73216542823214</v>
      </c>
      <c r="AK490" s="17" t="n">
        <f aca="false">SQRT(($B490-AK$401)^2+($C490-AK$402)^2+($D490-AK$403)^2)</f>
        <v>0.775264768048211</v>
      </c>
      <c r="AL490" s="63" t="n">
        <f aca="false">MATCH(MIN(AF490:AK490),AF490:AK490,0)</f>
        <v>4</v>
      </c>
      <c r="AN490" s="17" t="n">
        <f aca="false">SQRT(($B490-AN$401)^2+($C490-AN$402)^2+($D490-AN$403)^2)</f>
        <v>7.00763825983921</v>
      </c>
      <c r="AO490" s="17" t="n">
        <f aca="false">SQRT(($B490-AO$401)^2+($C490-AO$402)^2+($D490-AO$403)^2)</f>
        <v>0.948561626556996</v>
      </c>
      <c r="AP490" s="17" t="n">
        <f aca="false">SQRT(($B490-AP$401)^2+($C490-AP$402)^2+($D490-AP$403)^2)</f>
        <v>2.43026505587503</v>
      </c>
      <c r="AQ490" s="17" t="n">
        <f aca="false">SQRT(($B490-AQ$401)^2+($C490-AQ$402)^2+($D490-AQ$403)^2)</f>
        <v>0.757045322702023</v>
      </c>
      <c r="AR490" s="17" t="n">
        <f aca="false">SQRT(($B490-AR$401)^2+($C490-AR$402)^2+($D490-AR$403)^2)</f>
        <v>4.73216542823214</v>
      </c>
      <c r="AS490" s="17" t="n">
        <f aca="false">SQRT(($B490-AS$401)^2+($C490-AS$402)^2+($D490-AS$403)^2)</f>
        <v>0.810542675912755</v>
      </c>
      <c r="AT490" s="63" t="n">
        <f aca="false">MATCH(MIN(AN490:AS490),AN490:AS490,0)</f>
        <v>4</v>
      </c>
      <c r="AV490" s="17" t="n">
        <f aca="false">SQRT(($B490-AV$401)^2+($C490-AV$402)^2+($D490-AV$403)^2)</f>
        <v>7.00763825983921</v>
      </c>
      <c r="AW490" s="17" t="n">
        <f aca="false">SQRT(($B490-AW$401)^2+($C490-AW$402)^2+($D490-AW$403)^2)</f>
        <v>0.917898654962329</v>
      </c>
      <c r="AX490" s="17" t="n">
        <f aca="false">SQRT(($B490-AX$401)^2+($C490-AX$402)^2+($D490-AX$403)^2)</f>
        <v>2.43026505587503</v>
      </c>
      <c r="AY490" s="17" t="n">
        <f aca="false">SQRT(($B490-AY$401)^2+($C490-AY$402)^2+($D490-AY$403)^2)</f>
        <v>0.757045322702023</v>
      </c>
      <c r="AZ490" s="17" t="n">
        <f aca="false">SQRT(($B490-AZ$401)^2+($C490-AZ$402)^2+($D490-AZ$403)^2)</f>
        <v>4.73216542823214</v>
      </c>
      <c r="BA490" s="17" t="n">
        <f aca="false">SQRT(($B490-BA$401)^2+($C490-BA$402)^2+($D490-BA$403)^2)</f>
        <v>0.835389418564781</v>
      </c>
      <c r="BB490" s="63" t="n">
        <f aca="false">MATCH(MIN(AV490:BA490),AV490:BA490,0)</f>
        <v>4</v>
      </c>
      <c r="BD490" s="17" t="n">
        <f aca="false">SQRT(($B490-BD$401)^2+($C490-BD$402)^2+($D490-BD$403)^2)</f>
        <v>7.00763825983921</v>
      </c>
      <c r="BE490" s="17" t="n">
        <f aca="false">SQRT(($B490-BE$401)^2+($C490-BE$402)^2+($D490-BE$403)^2)</f>
        <v>0.889132013959119</v>
      </c>
      <c r="BF490" s="17" t="n">
        <f aca="false">SQRT(($B490-BF$401)^2+($C490-BF$402)^2+($D490-BF$403)^2)</f>
        <v>2.43026505587503</v>
      </c>
      <c r="BG490" s="17" t="n">
        <f aca="false">SQRT(($B490-BG$401)^2+($C490-BG$402)^2+($D490-BG$403)^2)</f>
        <v>0.757045322702023</v>
      </c>
      <c r="BH490" s="17" t="n">
        <f aca="false">SQRT(($B490-BH$401)^2+($C490-BH$402)^2+($D490-BH$403)^2)</f>
        <v>4.73216542823214</v>
      </c>
      <c r="BI490" s="17" t="n">
        <f aca="false">SQRT(($B490-BI$401)^2+($C490-BI$402)^2+($D490-BI$403)^2)</f>
        <v>0.860177123278468</v>
      </c>
      <c r="BJ490" s="63" t="n">
        <f aca="false">MATCH(MIN(BD490:BI490),BD490:BI490,0)</f>
        <v>4</v>
      </c>
      <c r="BL490" s="17" t="n">
        <f aca="false">SQRT(($B490-BL$401)^2+($C490-BL$402)^2+($D490-BL$403)^2)</f>
        <v>7.00763825983921</v>
      </c>
      <c r="BM490" s="17" t="n">
        <f aca="false">SQRT(($B490-BM$401)^2+($C490-BM$402)^2+($D490-BM$403)^2)</f>
        <v>0.889132013959119</v>
      </c>
      <c r="BN490" s="17" t="n">
        <f aca="false">SQRT(($B490-BN$401)^2+($C490-BN$402)^2+($D490-BN$403)^2)</f>
        <v>2.43026505587503</v>
      </c>
      <c r="BO490" s="17" t="n">
        <f aca="false">SQRT(($B490-BO$401)^2+($C490-BO$402)^2+($D490-BO$403)^2)</f>
        <v>0.757045322702023</v>
      </c>
      <c r="BP490" s="17" t="n">
        <f aca="false">SQRT(($B490-BP$401)^2+($C490-BP$402)^2+($D490-BP$403)^2)</f>
        <v>4.73216542823214</v>
      </c>
      <c r="BQ490" s="17" t="n">
        <f aca="false">SQRT(($B490-BQ$401)^2+($C490-BQ$402)^2+($D490-BQ$403)^2)</f>
        <v>0.860177123278468</v>
      </c>
      <c r="BR490" s="63" t="n">
        <f aca="false">MATCH(MIN(BL490:BQ490),BL490:BQ490,0)</f>
        <v>4</v>
      </c>
      <c r="BT490" s="17" t="n">
        <f aca="false">SQRT(($B490-BT$401)^2+($C490-BT$402)^2+($D490-BT$403)^2)</f>
        <v>7.00763825983921</v>
      </c>
      <c r="BU490" s="17" t="n">
        <f aca="false">SQRT(($B490-BU$401)^2+($C490-BU$402)^2+($D490-BU$403)^2)</f>
        <v>0.889132013959119</v>
      </c>
      <c r="BV490" s="17" t="n">
        <f aca="false">SQRT(($B490-BV$401)^2+($C490-BV$402)^2+($D490-BV$403)^2)</f>
        <v>2.43026505587503</v>
      </c>
      <c r="BW490" s="17" t="n">
        <f aca="false">SQRT(($B490-BW$401)^2+($C490-BW$402)^2+($D490-BW$403)^2)</f>
        <v>0.757045322702023</v>
      </c>
      <c r="BX490" s="17" t="n">
        <f aca="false">SQRT(($B490-BX$401)^2+($C490-BX$402)^2+($D490-BX$403)^2)</f>
        <v>4.73216542823214</v>
      </c>
      <c r="BY490" s="17" t="n">
        <f aca="false">SQRT(($B490-BY$401)^2+($C490-BY$402)^2+($D490-BY$403)^2)</f>
        <v>0.860177123278468</v>
      </c>
      <c r="BZ490" s="63" t="n">
        <f aca="false">MATCH(MIN(BT490:BY490),BT490:BY490,0)</f>
        <v>4</v>
      </c>
      <c r="CB490" s="17" t="n">
        <f aca="false">SQRT(($B490-CB$401)^2+($C490-CB$402)^2+($D490-CB$403)^2)</f>
        <v>7.00763825983921</v>
      </c>
      <c r="CC490" s="17" t="n">
        <f aca="false">SQRT(($B490-CC$401)^2+($C490-CC$402)^2+($D490-CC$403)^2)</f>
        <v>0.889132013959119</v>
      </c>
      <c r="CD490" s="17" t="n">
        <f aca="false">SQRT(($B490-CD$401)^2+($C490-CD$402)^2+($D490-CD$403)^2)</f>
        <v>2.43026505587503</v>
      </c>
      <c r="CE490" s="17" t="n">
        <f aca="false">SQRT(($B490-CE$401)^2+($C490-CE$402)^2+($D490-CE$403)^2)</f>
        <v>0.757045322702023</v>
      </c>
      <c r="CF490" s="17" t="n">
        <f aca="false">SQRT(($B490-CF$401)^2+($C490-CF$402)^2+($D490-CF$403)^2)</f>
        <v>4.73216542823214</v>
      </c>
      <c r="CG490" s="17" t="n">
        <f aca="false">SQRT(($B490-CG$401)^2+($C490-CG$402)^2+($D490-CG$403)^2)</f>
        <v>0.860177123278468</v>
      </c>
      <c r="CH490" s="63" t="n">
        <f aca="false">MATCH(MIN(CB490:CG490),CB490:CG490,0)</f>
        <v>4</v>
      </c>
      <c r="CJ490" s="17" t="n">
        <f aca="false">SQRT(($B490-CJ$401)^2+($C490-CJ$402)^2+($D490-CJ$403)^2)</f>
        <v>7.00763825983921</v>
      </c>
      <c r="CK490" s="17" t="n">
        <f aca="false">SQRT(($B490-CK$401)^2+($C490-CK$402)^2+($D490-CK$403)^2)</f>
        <v>0.889132013959119</v>
      </c>
      <c r="CL490" s="17" t="n">
        <f aca="false">SQRT(($B490-CL$401)^2+($C490-CL$402)^2+($D490-CL$403)^2)</f>
        <v>2.43026505587503</v>
      </c>
      <c r="CM490" s="17" t="n">
        <f aca="false">SQRT(($B490-CM$401)^2+($C490-CM$402)^2+($D490-CM$403)^2)</f>
        <v>0.757045322702023</v>
      </c>
      <c r="CN490" s="17" t="n">
        <f aca="false">SQRT(($B490-CN$401)^2+($C490-CN$402)^2+($D490-CN$403)^2)</f>
        <v>4.73216542823214</v>
      </c>
      <c r="CO490" s="17" t="n">
        <f aca="false">SQRT(($B490-CO$401)^2+($C490-CO$402)^2+($D490-CO$403)^2)</f>
        <v>0.860177123278468</v>
      </c>
      <c r="CP490" s="63" t="n">
        <f aca="false">MATCH(MIN(CJ490:CO490),CJ490:CO490,0)</f>
        <v>4</v>
      </c>
      <c r="CR490" s="17" t="n">
        <f aca="false">SQRT(($B490-CR$401)^2+($C490-CR$402)^2+($D490-CR$403)^2)</f>
        <v>7.00763825983921</v>
      </c>
      <c r="CS490" s="17" t="n">
        <f aca="false">SQRT(($B490-CS$401)^2+($C490-CS$402)^2+($D490-CS$403)^2)</f>
        <v>0.889132013959119</v>
      </c>
      <c r="CT490" s="17" t="n">
        <f aca="false">SQRT(($B490-CT$401)^2+($C490-CT$402)^2+($D490-CT$403)^2)</f>
        <v>2.43026505587503</v>
      </c>
      <c r="CU490" s="17" t="n">
        <f aca="false">SQRT(($B490-CU$401)^2+($C490-CU$402)^2+($D490-CU$403)^2)</f>
        <v>0.757045322702023</v>
      </c>
      <c r="CV490" s="17" t="n">
        <f aca="false">SQRT(($B490-CV$401)^2+($C490-CV$402)^2+($D490-CV$403)^2)</f>
        <v>4.73216542823214</v>
      </c>
      <c r="CW490" s="17" t="n">
        <f aca="false">SQRT(($B490-CW$401)^2+($C490-CW$402)^2+($D490-CW$403)^2)</f>
        <v>0.860177123278468</v>
      </c>
      <c r="CX490" s="63" t="n">
        <f aca="false">MATCH(MIN(CR490:CW490),CR490:CW490,0)</f>
        <v>4</v>
      </c>
      <c r="CZ490" s="17" t="n">
        <f aca="false">SQRT(($B490-CZ$401)^2+($C490-CZ$402)^2+($D490-CZ$403)^2)</f>
        <v>7.00763825983921</v>
      </c>
      <c r="DA490" s="17" t="n">
        <f aca="false">SQRT(($B490-DA$401)^2+($C490-DA$402)^2+($D490-DA$403)^2)</f>
        <v>0.889132013959119</v>
      </c>
      <c r="DB490" s="17" t="n">
        <f aca="false">SQRT(($B490-DB$401)^2+($C490-DB$402)^2+($D490-DB$403)^2)</f>
        <v>2.43026505587503</v>
      </c>
      <c r="DC490" s="17" t="n">
        <f aca="false">SQRT(($B490-DC$401)^2+($C490-DC$402)^2+($D490-DC$403)^2)</f>
        <v>0.757045322702023</v>
      </c>
      <c r="DD490" s="17" t="n">
        <f aca="false">SQRT(($B490-DD$401)^2+($C490-DD$402)^2+($D490-DD$403)^2)</f>
        <v>4.73216542823214</v>
      </c>
      <c r="DE490" s="17" t="n">
        <f aca="false">SQRT(($B490-DE$401)^2+($C490-DE$402)^2+($D490-DE$403)^2)</f>
        <v>0.860177123278468</v>
      </c>
      <c r="DF490" s="63" t="n">
        <f aca="false">MATCH(MIN(CZ490:DE490),CZ490:DE490,0)</f>
        <v>4</v>
      </c>
      <c r="DH490" s="17" t="n">
        <f aca="false">SQRT(($B490-DH$401)^2+($C490-DH$402)^2+($D490-DH$403)^2)</f>
        <v>7.00763825983921</v>
      </c>
      <c r="DI490" s="17" t="n">
        <f aca="false">SQRT(($B490-DI$401)^2+($C490-DI$402)^2+($D490-DI$403)^2)</f>
        <v>0.889132013959119</v>
      </c>
      <c r="DJ490" s="17" t="n">
        <f aca="false">SQRT(($B490-DJ$401)^2+($C490-DJ$402)^2+($D490-DJ$403)^2)</f>
        <v>2.43026505587503</v>
      </c>
      <c r="DK490" s="17" t="n">
        <f aca="false">SQRT(($B490-DK$401)^2+($C490-DK$402)^2+($D490-DK$403)^2)</f>
        <v>0.757045322702023</v>
      </c>
      <c r="DL490" s="17" t="n">
        <f aca="false">SQRT(($B490-DL$401)^2+($C490-DL$402)^2+($D490-DL$403)^2)</f>
        <v>4.73216542823214</v>
      </c>
      <c r="DM490" s="17" t="n">
        <f aca="false">SQRT(($B490-DM$401)^2+($C490-DM$402)^2+($D490-DM$403)^2)</f>
        <v>0.860177123278468</v>
      </c>
      <c r="DN490" s="63" t="n">
        <f aca="false">MATCH(MIN(DH490:DM490),DH490:DM490,0)</f>
        <v>4</v>
      </c>
    </row>
    <row r="491" customFormat="false" ht="15" hidden="false" customHeight="false" outlineLevel="0" collapsed="false">
      <c r="A491" s="36" t="str">
        <f aca="false">KMeans_Data!A88</f>
        <v>Mianwali</v>
      </c>
      <c r="B491" s="17" t="n">
        <f aca="false">KMeans_Data!H88</f>
        <v>-0.547245774552967</v>
      </c>
      <c r="C491" s="17" t="n">
        <f aca="false">KMeans_Data!I88</f>
        <v>-0.672650545388274</v>
      </c>
      <c r="D491" s="17" t="n">
        <f aca="false">KMeans_Data!J88</f>
        <v>-0.824446015898766</v>
      </c>
      <c r="E491" s="63" t="n">
        <f aca="false">DN491</f>
        <v>4</v>
      </c>
      <c r="F491" s="38" t="n">
        <f aca="false">($B491-INDEX($L$401:$Q$401,E491))^2+($C491-INDEX($L$402:$Q$402,E491))^2+($D491-INDEX($L$403:$Q$403,E491))^2</f>
        <v>0.482132216142969</v>
      </c>
      <c r="G491" s="17" t="n">
        <f aca="false">IF(COUNTIF(Distance_Matrix!$E$12:$DQ$12,$E491)&lt;=1,0,SUMIF(Distance_Matrix!$E$12:$DQ$12,$E491,Distance_Matrix!$E$97:$DQ$97)/(COUNTIF(Distance_Matrix!$E$12:$DQ$12,$E491)-1))</f>
        <v>0.836640306407329</v>
      </c>
      <c r="H491" s="17" t="n">
        <f aca="false">MIN(IF(1=$E491,1E+099,IF(COUNTIF(Distance_Matrix!$E$12:$DQ$12,1)=0,1E+099,SUMIF(Distance_Matrix!$E$12:$DQ$12,1,Distance_Matrix!$E$97:$DQ$97)/COUNTIF(Distance_Matrix!$E$12:$DQ$12,1))),IF(2=$E491,1E+099,IF(COUNTIF(Distance_Matrix!$E$12:$DQ$12,2)=0,1E+099,SUMIF(Distance_Matrix!$E$12:$DQ$12,2,Distance_Matrix!$E$97:$DQ$97)/COUNTIF(Distance_Matrix!$E$12:$DQ$12,2))),IF(3=$E491,1E+099,IF(COUNTIF(Distance_Matrix!$E$12:$DQ$12,3)=0,1E+099,SUMIF(Distance_Matrix!$E$12:$DQ$12,3,Distance_Matrix!$E$97:$DQ$97)/COUNTIF(Distance_Matrix!$E$12:$DQ$12,3))),IF(4=$E491,1E+099,IF(COUNTIF(Distance_Matrix!$E$12:$DQ$12,4)=0,1E+099,SUMIF(Distance_Matrix!$E$12:$DQ$12,4,Distance_Matrix!$E$97:$DQ$97)/COUNTIF(Distance_Matrix!$E$12:$DQ$12,4))),IF(5=$E491,1E+099,IF(COUNTIF(Distance_Matrix!$E$12:$DQ$12,5)=0,1E+099,SUMIF(Distance_Matrix!$E$12:$DQ$12,5,Distance_Matrix!$E$97:$DQ$97)/COUNTIF(Distance_Matrix!$E$12:$DQ$12,5))),IF(6=$E491,1E+099,IF(COUNTIF(Distance_Matrix!$E$12:$DQ$12,6)=0,1E+099,SUMIF(Distance_Matrix!$E$12:$DQ$12,6,Distance_Matrix!$E$97:$DQ$97)/COUNTIF(Distance_Matrix!$E$12:$DQ$12,6))))</f>
        <v>0.799899033387981</v>
      </c>
      <c r="I491" s="17" t="n">
        <f aca="false">IF(COUNTIF(Distance_Matrix!$E$12:$DQ$12,$E491)&lt;=1,0,(H491-G491)/MAX(G491,H491))</f>
        <v>-0.0439152557412889</v>
      </c>
      <c r="X491" s="17" t="n">
        <f aca="false">SQRT(($B491-X$401)^2+($C491-X$402)^2+($D491-X$403)^2)</f>
        <v>7.30929257984732</v>
      </c>
      <c r="Y491" s="17" t="n">
        <f aca="false">SQRT(($B491-Y$401)^2+($C491-Y$402)^2+($D491-Y$403)^2)</f>
        <v>1.56579072196957</v>
      </c>
      <c r="Z491" s="17" t="n">
        <f aca="false">SQRT(($B491-Z$401)^2+($C491-Z$402)^2+($D491-Z$403)^2)</f>
        <v>2.98036014715079</v>
      </c>
      <c r="AA491" s="17" t="n">
        <f aca="false">SQRT(($B491-AA$401)^2+($C491-AA$402)^2+($D491-AA$403)^2)</f>
        <v>1.3425907007716</v>
      </c>
      <c r="AB491" s="17" t="n">
        <f aca="false">SQRT(($B491-AB$401)^2+($C491-AB$402)^2+($D491-AB$403)^2)</f>
        <v>5.24402899684985</v>
      </c>
      <c r="AC491" s="17" t="n">
        <f aca="false">SQRT(($B491-AC$401)^2+($C491-AC$402)^2+($D491-AC$403)^2)</f>
        <v>1.55328043663815</v>
      </c>
      <c r="AD491" s="63" t="n">
        <f aca="false">MATCH(MIN(X491:AC491),X491:AC491,0)</f>
        <v>4</v>
      </c>
      <c r="AF491" s="17" t="n">
        <f aca="false">SQRT(($B491-AF$401)^2+($C491-AF$402)^2+($D491-AF$403)^2)</f>
        <v>7.18622815918274</v>
      </c>
      <c r="AG491" s="17" t="n">
        <f aca="false">SQRT(($B491-AG$401)^2+($C491-AG$402)^2+($D491-AG$403)^2)</f>
        <v>0.819938312527175</v>
      </c>
      <c r="AH491" s="17" t="n">
        <f aca="false">SQRT(($B491-AH$401)^2+($C491-AH$402)^2+($D491-AH$403)^2)</f>
        <v>2.67481501347089</v>
      </c>
      <c r="AI491" s="17" t="n">
        <f aca="false">SQRT(($B491-AI$401)^2+($C491-AI$402)^2+($D491-AI$403)^2)</f>
        <v>0.704833917824082</v>
      </c>
      <c r="AJ491" s="17" t="n">
        <f aca="false">SQRT(($B491-AJ$401)^2+($C491-AJ$402)^2+($D491-AJ$403)^2)</f>
        <v>4.91006901540543</v>
      </c>
      <c r="AK491" s="17" t="n">
        <f aca="false">SQRT(($B491-AK$401)^2+($C491-AK$402)^2+($D491-AK$403)^2)</f>
        <v>1.07335281568607</v>
      </c>
      <c r="AL491" s="63" t="n">
        <f aca="false">MATCH(MIN(AF491:AK491),AF491:AK491,0)</f>
        <v>4</v>
      </c>
      <c r="AN491" s="17" t="n">
        <f aca="false">SQRT(($B491-AN$401)^2+($C491-AN$402)^2+($D491-AN$403)^2)</f>
        <v>7.18622815918274</v>
      </c>
      <c r="AO491" s="17" t="n">
        <f aca="false">SQRT(($B491-AO$401)^2+($C491-AO$402)^2+($D491-AO$403)^2)</f>
        <v>0.77241890813494</v>
      </c>
      <c r="AP491" s="17" t="n">
        <f aca="false">SQRT(($B491-AP$401)^2+($C491-AP$402)^2+($D491-AP$403)^2)</f>
        <v>2.64540962032501</v>
      </c>
      <c r="AQ491" s="17" t="n">
        <f aca="false">SQRT(($B491-AQ$401)^2+($C491-AQ$402)^2+($D491-AQ$403)^2)</f>
        <v>0.694357412391464</v>
      </c>
      <c r="AR491" s="17" t="n">
        <f aca="false">SQRT(($B491-AR$401)^2+($C491-AR$402)^2+($D491-AR$403)^2)</f>
        <v>4.91006901540543</v>
      </c>
      <c r="AS491" s="17" t="n">
        <f aca="false">SQRT(($B491-AS$401)^2+($C491-AS$402)^2+($D491-AS$403)^2)</f>
        <v>1.10665408111799</v>
      </c>
      <c r="AT491" s="63" t="n">
        <f aca="false">MATCH(MIN(AN491:AS491),AN491:AS491,0)</f>
        <v>4</v>
      </c>
      <c r="AV491" s="17" t="n">
        <f aca="false">SQRT(($B491-AV$401)^2+($C491-AV$402)^2+($D491-AV$403)^2)</f>
        <v>7.18622815918274</v>
      </c>
      <c r="AW491" s="17" t="n">
        <f aca="false">SQRT(($B491-AW$401)^2+($C491-AW$402)^2+($D491-AW$403)^2)</f>
        <v>0.74636664820622</v>
      </c>
      <c r="AX491" s="17" t="n">
        <f aca="false">SQRT(($B491-AX$401)^2+($C491-AX$402)^2+($D491-AX$403)^2)</f>
        <v>2.64540962032501</v>
      </c>
      <c r="AY491" s="17" t="n">
        <f aca="false">SQRT(($B491-AY$401)^2+($C491-AY$402)^2+($D491-AY$403)^2)</f>
        <v>0.694357412391464</v>
      </c>
      <c r="AZ491" s="17" t="n">
        <f aca="false">SQRT(($B491-AZ$401)^2+($C491-AZ$402)^2+($D491-AZ$403)^2)</f>
        <v>4.91006901540543</v>
      </c>
      <c r="BA491" s="17" t="n">
        <f aca="false">SQRT(($B491-BA$401)^2+($C491-BA$402)^2+($D491-BA$403)^2)</f>
        <v>1.13050954109262</v>
      </c>
      <c r="BB491" s="63" t="n">
        <f aca="false">MATCH(MIN(AV491:BA491),AV491:BA491,0)</f>
        <v>4</v>
      </c>
      <c r="BD491" s="17" t="n">
        <f aca="false">SQRT(($B491-BD$401)^2+($C491-BD$402)^2+($D491-BD$403)^2)</f>
        <v>7.18622815918274</v>
      </c>
      <c r="BE491" s="17" t="n">
        <f aca="false">SQRT(($B491-BE$401)^2+($C491-BE$402)^2+($D491-BE$403)^2)</f>
        <v>0.723433873019877</v>
      </c>
      <c r="BF491" s="17" t="n">
        <f aca="false">SQRT(($B491-BF$401)^2+($C491-BF$402)^2+($D491-BF$403)^2)</f>
        <v>2.64540962032501</v>
      </c>
      <c r="BG491" s="17" t="n">
        <f aca="false">SQRT(($B491-BG$401)^2+($C491-BG$402)^2+($D491-BG$403)^2)</f>
        <v>0.694357412391464</v>
      </c>
      <c r="BH491" s="17" t="n">
        <f aca="false">SQRT(($B491-BH$401)^2+($C491-BH$402)^2+($D491-BH$403)^2)</f>
        <v>4.91006901540543</v>
      </c>
      <c r="BI491" s="17" t="n">
        <f aca="false">SQRT(($B491-BI$401)^2+($C491-BI$402)^2+($D491-BI$403)^2)</f>
        <v>1.15399852120188</v>
      </c>
      <c r="BJ491" s="63" t="n">
        <f aca="false">MATCH(MIN(BD491:BI491),BD491:BI491,0)</f>
        <v>4</v>
      </c>
      <c r="BL491" s="17" t="n">
        <f aca="false">SQRT(($B491-BL$401)^2+($C491-BL$402)^2+($D491-BL$403)^2)</f>
        <v>7.18622815918274</v>
      </c>
      <c r="BM491" s="17" t="n">
        <f aca="false">SQRT(($B491-BM$401)^2+($C491-BM$402)^2+($D491-BM$403)^2)</f>
        <v>0.723433873019877</v>
      </c>
      <c r="BN491" s="17" t="n">
        <f aca="false">SQRT(($B491-BN$401)^2+($C491-BN$402)^2+($D491-BN$403)^2)</f>
        <v>2.64540962032501</v>
      </c>
      <c r="BO491" s="17" t="n">
        <f aca="false">SQRT(($B491-BO$401)^2+($C491-BO$402)^2+($D491-BO$403)^2)</f>
        <v>0.694357412391464</v>
      </c>
      <c r="BP491" s="17" t="n">
        <f aca="false">SQRT(($B491-BP$401)^2+($C491-BP$402)^2+($D491-BP$403)^2)</f>
        <v>4.91006901540543</v>
      </c>
      <c r="BQ491" s="17" t="n">
        <f aca="false">SQRT(($B491-BQ$401)^2+($C491-BQ$402)^2+($D491-BQ$403)^2)</f>
        <v>1.15399852120188</v>
      </c>
      <c r="BR491" s="63" t="n">
        <f aca="false">MATCH(MIN(BL491:BQ491),BL491:BQ491,0)</f>
        <v>4</v>
      </c>
      <c r="BT491" s="17" t="n">
        <f aca="false">SQRT(($B491-BT$401)^2+($C491-BT$402)^2+($D491-BT$403)^2)</f>
        <v>7.18622815918274</v>
      </c>
      <c r="BU491" s="17" t="n">
        <f aca="false">SQRT(($B491-BU$401)^2+($C491-BU$402)^2+($D491-BU$403)^2)</f>
        <v>0.723433873019877</v>
      </c>
      <c r="BV491" s="17" t="n">
        <f aca="false">SQRT(($B491-BV$401)^2+($C491-BV$402)^2+($D491-BV$403)^2)</f>
        <v>2.64540962032501</v>
      </c>
      <c r="BW491" s="17" t="n">
        <f aca="false">SQRT(($B491-BW$401)^2+($C491-BW$402)^2+($D491-BW$403)^2)</f>
        <v>0.694357412391464</v>
      </c>
      <c r="BX491" s="17" t="n">
        <f aca="false">SQRT(($B491-BX$401)^2+($C491-BX$402)^2+($D491-BX$403)^2)</f>
        <v>4.91006901540543</v>
      </c>
      <c r="BY491" s="17" t="n">
        <f aca="false">SQRT(($B491-BY$401)^2+($C491-BY$402)^2+($D491-BY$403)^2)</f>
        <v>1.15399852120188</v>
      </c>
      <c r="BZ491" s="63" t="n">
        <f aca="false">MATCH(MIN(BT491:BY491),BT491:BY491,0)</f>
        <v>4</v>
      </c>
      <c r="CB491" s="17" t="n">
        <f aca="false">SQRT(($B491-CB$401)^2+($C491-CB$402)^2+($D491-CB$403)^2)</f>
        <v>7.18622815918274</v>
      </c>
      <c r="CC491" s="17" t="n">
        <f aca="false">SQRT(($B491-CC$401)^2+($C491-CC$402)^2+($D491-CC$403)^2)</f>
        <v>0.723433873019877</v>
      </c>
      <c r="CD491" s="17" t="n">
        <f aca="false">SQRT(($B491-CD$401)^2+($C491-CD$402)^2+($D491-CD$403)^2)</f>
        <v>2.64540962032501</v>
      </c>
      <c r="CE491" s="17" t="n">
        <f aca="false">SQRT(($B491-CE$401)^2+($C491-CE$402)^2+($D491-CE$403)^2)</f>
        <v>0.694357412391464</v>
      </c>
      <c r="CF491" s="17" t="n">
        <f aca="false">SQRT(($B491-CF$401)^2+($C491-CF$402)^2+($D491-CF$403)^2)</f>
        <v>4.91006901540543</v>
      </c>
      <c r="CG491" s="17" t="n">
        <f aca="false">SQRT(($B491-CG$401)^2+($C491-CG$402)^2+($D491-CG$403)^2)</f>
        <v>1.15399852120188</v>
      </c>
      <c r="CH491" s="63" t="n">
        <f aca="false">MATCH(MIN(CB491:CG491),CB491:CG491,0)</f>
        <v>4</v>
      </c>
      <c r="CJ491" s="17" t="n">
        <f aca="false">SQRT(($B491-CJ$401)^2+($C491-CJ$402)^2+($D491-CJ$403)^2)</f>
        <v>7.18622815918274</v>
      </c>
      <c r="CK491" s="17" t="n">
        <f aca="false">SQRT(($B491-CK$401)^2+($C491-CK$402)^2+($D491-CK$403)^2)</f>
        <v>0.723433873019877</v>
      </c>
      <c r="CL491" s="17" t="n">
        <f aca="false">SQRT(($B491-CL$401)^2+($C491-CL$402)^2+($D491-CL$403)^2)</f>
        <v>2.64540962032501</v>
      </c>
      <c r="CM491" s="17" t="n">
        <f aca="false">SQRT(($B491-CM$401)^2+($C491-CM$402)^2+($D491-CM$403)^2)</f>
        <v>0.694357412391464</v>
      </c>
      <c r="CN491" s="17" t="n">
        <f aca="false">SQRT(($B491-CN$401)^2+($C491-CN$402)^2+($D491-CN$403)^2)</f>
        <v>4.91006901540543</v>
      </c>
      <c r="CO491" s="17" t="n">
        <f aca="false">SQRT(($B491-CO$401)^2+($C491-CO$402)^2+($D491-CO$403)^2)</f>
        <v>1.15399852120188</v>
      </c>
      <c r="CP491" s="63" t="n">
        <f aca="false">MATCH(MIN(CJ491:CO491),CJ491:CO491,0)</f>
        <v>4</v>
      </c>
      <c r="CR491" s="17" t="n">
        <f aca="false">SQRT(($B491-CR$401)^2+($C491-CR$402)^2+($D491-CR$403)^2)</f>
        <v>7.18622815918274</v>
      </c>
      <c r="CS491" s="17" t="n">
        <f aca="false">SQRT(($B491-CS$401)^2+($C491-CS$402)^2+($D491-CS$403)^2)</f>
        <v>0.723433873019877</v>
      </c>
      <c r="CT491" s="17" t="n">
        <f aca="false">SQRT(($B491-CT$401)^2+($C491-CT$402)^2+($D491-CT$403)^2)</f>
        <v>2.64540962032501</v>
      </c>
      <c r="CU491" s="17" t="n">
        <f aca="false">SQRT(($B491-CU$401)^2+($C491-CU$402)^2+($D491-CU$403)^2)</f>
        <v>0.694357412391464</v>
      </c>
      <c r="CV491" s="17" t="n">
        <f aca="false">SQRT(($B491-CV$401)^2+($C491-CV$402)^2+($D491-CV$403)^2)</f>
        <v>4.91006901540543</v>
      </c>
      <c r="CW491" s="17" t="n">
        <f aca="false">SQRT(($B491-CW$401)^2+($C491-CW$402)^2+($D491-CW$403)^2)</f>
        <v>1.15399852120188</v>
      </c>
      <c r="CX491" s="63" t="n">
        <f aca="false">MATCH(MIN(CR491:CW491),CR491:CW491,0)</f>
        <v>4</v>
      </c>
      <c r="CZ491" s="17" t="n">
        <f aca="false">SQRT(($B491-CZ$401)^2+($C491-CZ$402)^2+($D491-CZ$403)^2)</f>
        <v>7.18622815918274</v>
      </c>
      <c r="DA491" s="17" t="n">
        <f aca="false">SQRT(($B491-DA$401)^2+($C491-DA$402)^2+($D491-DA$403)^2)</f>
        <v>0.723433873019877</v>
      </c>
      <c r="DB491" s="17" t="n">
        <f aca="false">SQRT(($B491-DB$401)^2+($C491-DB$402)^2+($D491-DB$403)^2)</f>
        <v>2.64540962032501</v>
      </c>
      <c r="DC491" s="17" t="n">
        <f aca="false">SQRT(($B491-DC$401)^2+($C491-DC$402)^2+($D491-DC$403)^2)</f>
        <v>0.694357412391464</v>
      </c>
      <c r="DD491" s="17" t="n">
        <f aca="false">SQRT(($B491-DD$401)^2+($C491-DD$402)^2+($D491-DD$403)^2)</f>
        <v>4.91006901540543</v>
      </c>
      <c r="DE491" s="17" t="n">
        <f aca="false">SQRT(($B491-DE$401)^2+($C491-DE$402)^2+($D491-DE$403)^2)</f>
        <v>1.15399852120188</v>
      </c>
      <c r="DF491" s="63" t="n">
        <f aca="false">MATCH(MIN(CZ491:DE491),CZ491:DE491,0)</f>
        <v>4</v>
      </c>
      <c r="DH491" s="17" t="n">
        <f aca="false">SQRT(($B491-DH$401)^2+($C491-DH$402)^2+($D491-DH$403)^2)</f>
        <v>7.18622815918274</v>
      </c>
      <c r="DI491" s="17" t="n">
        <f aca="false">SQRT(($B491-DI$401)^2+($C491-DI$402)^2+($D491-DI$403)^2)</f>
        <v>0.723433873019877</v>
      </c>
      <c r="DJ491" s="17" t="n">
        <f aca="false">SQRT(($B491-DJ$401)^2+($C491-DJ$402)^2+($D491-DJ$403)^2)</f>
        <v>2.64540962032501</v>
      </c>
      <c r="DK491" s="17" t="n">
        <f aca="false">SQRT(($B491-DK$401)^2+($C491-DK$402)^2+($D491-DK$403)^2)</f>
        <v>0.694357412391464</v>
      </c>
      <c r="DL491" s="17" t="n">
        <f aca="false">SQRT(($B491-DL$401)^2+($C491-DL$402)^2+($D491-DL$403)^2)</f>
        <v>4.91006901540543</v>
      </c>
      <c r="DM491" s="17" t="n">
        <f aca="false">SQRT(($B491-DM$401)^2+($C491-DM$402)^2+($D491-DM$403)^2)</f>
        <v>1.15399852120188</v>
      </c>
      <c r="DN491" s="63" t="n">
        <f aca="false">MATCH(MIN(DH491:DM491),DH491:DM491,0)</f>
        <v>4</v>
      </c>
    </row>
    <row r="492" customFormat="false" ht="15" hidden="false" customHeight="false" outlineLevel="0" collapsed="false">
      <c r="A492" s="36" t="str">
        <f aca="false">KMeans_Data!A89</f>
        <v>Kharmang</v>
      </c>
      <c r="B492" s="17" t="n">
        <f aca="false">KMeans_Data!H89</f>
        <v>-0.605135382814146</v>
      </c>
      <c r="C492" s="17" t="n">
        <f aca="false">KMeans_Data!I89</f>
        <v>-0.672650545388274</v>
      </c>
      <c r="D492" s="17" t="n">
        <f aca="false">KMeans_Data!J89</f>
        <v>-0.0344812518432112</v>
      </c>
      <c r="E492" s="63" t="n">
        <f aca="false">DN492</f>
        <v>6</v>
      </c>
      <c r="F492" s="38" t="n">
        <f aca="false">($B492-INDEX($L$401:$Q$401,E492))^2+($C492-INDEX($L$402:$Q$402,E492))^2+($D492-INDEX($L$403:$Q$403,E492))^2</f>
        <v>0.336721014012935</v>
      </c>
      <c r="G492" s="17" t="n">
        <f aca="false">IF(COUNTIF(Distance_Matrix!$E$12:$DQ$12,$E492)&lt;=1,0,SUMIF(Distance_Matrix!$E$12:$DQ$12,$E492,Distance_Matrix!$E$98:$DQ$98)/(COUNTIF(Distance_Matrix!$E$12:$DQ$12,$E492)-1))</f>
        <v>0.790595568150477</v>
      </c>
      <c r="H492" s="17" t="n">
        <f aca="false">MIN(IF(1=$E492,1E+099,IF(COUNTIF(Distance_Matrix!$E$12:$DQ$12,1)=0,1E+099,SUMIF(Distance_Matrix!$E$12:$DQ$12,1,Distance_Matrix!$E$98:$DQ$98)/COUNTIF(Distance_Matrix!$E$12:$DQ$12,1))),IF(2=$E492,1E+099,IF(COUNTIF(Distance_Matrix!$E$12:$DQ$12,2)=0,1E+099,SUMIF(Distance_Matrix!$E$12:$DQ$12,2,Distance_Matrix!$E$98:$DQ$98)/COUNTIF(Distance_Matrix!$E$12:$DQ$12,2))),IF(3=$E492,1E+099,IF(COUNTIF(Distance_Matrix!$E$12:$DQ$12,3)=0,1E+099,SUMIF(Distance_Matrix!$E$12:$DQ$12,3,Distance_Matrix!$E$98:$DQ$98)/COUNTIF(Distance_Matrix!$E$12:$DQ$12,3))),IF(4=$E492,1E+099,IF(COUNTIF(Distance_Matrix!$E$12:$DQ$12,4)=0,1E+099,SUMIF(Distance_Matrix!$E$12:$DQ$12,4,Distance_Matrix!$E$98:$DQ$98)/COUNTIF(Distance_Matrix!$E$12:$DQ$12,4))),IF(5=$E492,1E+099,IF(COUNTIF(Distance_Matrix!$E$12:$DQ$12,5)=0,1E+099,SUMIF(Distance_Matrix!$E$12:$DQ$12,5,Distance_Matrix!$E$98:$DQ$98)/COUNTIF(Distance_Matrix!$E$12:$DQ$12,5))),IF(6=$E492,1E+099,IF(COUNTIF(Distance_Matrix!$E$12:$DQ$12,6)=0,1E+099,SUMIF(Distance_Matrix!$E$12:$DQ$12,6,Distance_Matrix!$E$98:$DQ$98)/COUNTIF(Distance_Matrix!$E$12:$DQ$12,6))))</f>
        <v>1.21499687539958</v>
      </c>
      <c r="I492" s="17" t="n">
        <f aca="false">IF(COUNTIF(Distance_Matrix!$E$12:$DQ$12,$E492)&lt;=1,0,(H492-G492)/MAX(G492,H492))</f>
        <v>0.349302385744434</v>
      </c>
      <c r="X492" s="17" t="n">
        <f aca="false">SQRT(($B492-X$401)^2+($C492-X$402)^2+($D492-X$403)^2)</f>
        <v>6.93209827157873</v>
      </c>
      <c r="Y492" s="17" t="n">
        <f aca="false">SQRT(($B492-Y$401)^2+($C492-Y$402)^2+($D492-Y$403)^2)</f>
        <v>1.84638450393411</v>
      </c>
      <c r="Z492" s="17" t="n">
        <f aca="false">SQRT(($B492-Z$401)^2+($C492-Z$402)^2+($D492-Z$403)^2)</f>
        <v>2.4632705018895</v>
      </c>
      <c r="AA492" s="17" t="n">
        <f aca="false">SQRT(($B492-AA$401)^2+($C492-AA$402)^2+($D492-AA$403)^2)</f>
        <v>1.75371916113307</v>
      </c>
      <c r="AB492" s="17" t="n">
        <f aca="false">SQRT(($B492-AB$401)^2+($C492-AB$402)^2+($D492-AB$403)^2)</f>
        <v>4.83876407548665</v>
      </c>
      <c r="AC492" s="17" t="n">
        <f aca="false">SQRT(($B492-AC$401)^2+($C492-AC$402)^2+($D492-AC$403)^2)</f>
        <v>0.852114922793132</v>
      </c>
      <c r="AD492" s="63" t="n">
        <f aca="false">MATCH(MIN(X492:AC492),X492:AC492,0)</f>
        <v>6</v>
      </c>
      <c r="AF492" s="17" t="n">
        <f aca="false">SQRT(($B492-AF$401)^2+($C492-AF$402)^2+($D492-AF$403)^2)</f>
        <v>6.83525587893167</v>
      </c>
      <c r="AG492" s="17" t="n">
        <f aca="false">SQRT(($B492-AG$401)^2+($C492-AG$402)^2+($D492-AG$403)^2)</f>
        <v>1.28004456471927</v>
      </c>
      <c r="AH492" s="17" t="n">
        <f aca="false">SQRT(($B492-AH$401)^2+($C492-AH$402)^2+($D492-AH$403)^2)</f>
        <v>2.26683225737833</v>
      </c>
      <c r="AI492" s="17" t="n">
        <f aca="false">SQRT(($B492-AI$401)^2+($C492-AI$402)^2+($D492-AI$403)^2)</f>
        <v>1.11948722515379</v>
      </c>
      <c r="AJ492" s="17" t="n">
        <f aca="false">SQRT(($B492-AJ$401)^2+($C492-AJ$402)^2+($D492-AJ$403)^2)</f>
        <v>4.57322244629921</v>
      </c>
      <c r="AK492" s="17" t="n">
        <f aca="false">SQRT(($B492-AK$401)^2+($C492-AK$402)^2+($D492-AK$403)^2)</f>
        <v>0.488367963469812</v>
      </c>
      <c r="AL492" s="63" t="n">
        <f aca="false">MATCH(MIN(AF492:AK492),AF492:AK492,0)</f>
        <v>6</v>
      </c>
      <c r="AN492" s="17" t="n">
        <f aca="false">SQRT(($B492-AN$401)^2+($C492-AN$402)^2+($D492-AN$403)^2)</f>
        <v>6.83525587893167</v>
      </c>
      <c r="AO492" s="17" t="n">
        <f aca="false">SQRT(($B492-AO$401)^2+($C492-AO$402)^2+($D492-AO$403)^2)</f>
        <v>1.23835590381937</v>
      </c>
      <c r="AP492" s="17" t="n">
        <f aca="false">SQRT(($B492-AP$401)^2+($C492-AP$402)^2+($D492-AP$403)^2)</f>
        <v>2.23674627905029</v>
      </c>
      <c r="AQ492" s="17" t="n">
        <f aca="false">SQRT(($B492-AQ$401)^2+($C492-AQ$402)^2+($D492-AQ$403)^2)</f>
        <v>1.1167698572612</v>
      </c>
      <c r="AR492" s="17" t="n">
        <f aca="false">SQRT(($B492-AR$401)^2+($C492-AR$402)^2+($D492-AR$403)^2)</f>
        <v>4.57322244629921</v>
      </c>
      <c r="AS492" s="17" t="n">
        <f aca="false">SQRT(($B492-AS$401)^2+($C492-AS$402)^2+($D492-AS$403)^2)</f>
        <v>0.529108707796003</v>
      </c>
      <c r="AT492" s="63" t="n">
        <f aca="false">MATCH(MIN(AN492:AS492),AN492:AS492,0)</f>
        <v>6</v>
      </c>
      <c r="AV492" s="17" t="n">
        <f aca="false">SQRT(($B492-AV$401)^2+($C492-AV$402)^2+($D492-AV$403)^2)</f>
        <v>6.83525587893167</v>
      </c>
      <c r="AW492" s="17" t="n">
        <f aca="false">SQRT(($B492-AW$401)^2+($C492-AW$402)^2+($D492-AW$403)^2)</f>
        <v>1.20631139699886</v>
      </c>
      <c r="AX492" s="17" t="n">
        <f aca="false">SQRT(($B492-AX$401)^2+($C492-AX$402)^2+($D492-AX$403)^2)</f>
        <v>2.23674627905029</v>
      </c>
      <c r="AY492" s="17" t="n">
        <f aca="false">SQRT(($B492-AY$401)^2+($C492-AY$402)^2+($D492-AY$403)^2)</f>
        <v>1.1167698572612</v>
      </c>
      <c r="AZ492" s="17" t="n">
        <f aca="false">SQRT(($B492-AZ$401)^2+($C492-AZ$402)^2+($D492-AZ$403)^2)</f>
        <v>4.57322244629921</v>
      </c>
      <c r="BA492" s="17" t="n">
        <f aca="false">SQRT(($B492-BA$401)^2+($C492-BA$402)^2+($D492-BA$403)^2)</f>
        <v>0.553942326534079</v>
      </c>
      <c r="BB492" s="63" t="n">
        <f aca="false">MATCH(MIN(AV492:BA492),AV492:BA492,0)</f>
        <v>6</v>
      </c>
      <c r="BD492" s="17" t="n">
        <f aca="false">SQRT(($B492-BD$401)^2+($C492-BD$402)^2+($D492-BD$403)^2)</f>
        <v>6.83525587893167</v>
      </c>
      <c r="BE492" s="17" t="n">
        <f aca="false">SQRT(($B492-BE$401)^2+($C492-BE$402)^2+($D492-BE$403)^2)</f>
        <v>1.17492302692834</v>
      </c>
      <c r="BF492" s="17" t="n">
        <f aca="false">SQRT(($B492-BF$401)^2+($C492-BF$402)^2+($D492-BF$403)^2)</f>
        <v>2.23674627905029</v>
      </c>
      <c r="BG492" s="17" t="n">
        <f aca="false">SQRT(($B492-BG$401)^2+($C492-BG$402)^2+($D492-BG$403)^2)</f>
        <v>1.1167698572612</v>
      </c>
      <c r="BH492" s="17" t="n">
        <f aca="false">SQRT(($B492-BH$401)^2+($C492-BH$402)^2+($D492-BH$403)^2)</f>
        <v>4.57322244629921</v>
      </c>
      <c r="BI492" s="17" t="n">
        <f aca="false">SQRT(($B492-BI$401)^2+($C492-BI$402)^2+($D492-BI$403)^2)</f>
        <v>0.580276670229758</v>
      </c>
      <c r="BJ492" s="63" t="n">
        <f aca="false">MATCH(MIN(BD492:BI492),BD492:BI492,0)</f>
        <v>6</v>
      </c>
      <c r="BL492" s="17" t="n">
        <f aca="false">SQRT(($B492-BL$401)^2+($C492-BL$402)^2+($D492-BL$403)^2)</f>
        <v>6.83525587893167</v>
      </c>
      <c r="BM492" s="17" t="n">
        <f aca="false">SQRT(($B492-BM$401)^2+($C492-BM$402)^2+($D492-BM$403)^2)</f>
        <v>1.17492302692834</v>
      </c>
      <c r="BN492" s="17" t="n">
        <f aca="false">SQRT(($B492-BN$401)^2+($C492-BN$402)^2+($D492-BN$403)^2)</f>
        <v>2.23674627905029</v>
      </c>
      <c r="BO492" s="17" t="n">
        <f aca="false">SQRT(($B492-BO$401)^2+($C492-BO$402)^2+($D492-BO$403)^2)</f>
        <v>1.1167698572612</v>
      </c>
      <c r="BP492" s="17" t="n">
        <f aca="false">SQRT(($B492-BP$401)^2+($C492-BP$402)^2+($D492-BP$403)^2)</f>
        <v>4.57322244629921</v>
      </c>
      <c r="BQ492" s="17" t="n">
        <f aca="false">SQRT(($B492-BQ$401)^2+($C492-BQ$402)^2+($D492-BQ$403)^2)</f>
        <v>0.580276670229758</v>
      </c>
      <c r="BR492" s="63" t="n">
        <f aca="false">MATCH(MIN(BL492:BQ492),BL492:BQ492,0)</f>
        <v>6</v>
      </c>
      <c r="BT492" s="17" t="n">
        <f aca="false">SQRT(($B492-BT$401)^2+($C492-BT$402)^2+($D492-BT$403)^2)</f>
        <v>6.83525587893167</v>
      </c>
      <c r="BU492" s="17" t="n">
        <f aca="false">SQRT(($B492-BU$401)^2+($C492-BU$402)^2+($D492-BU$403)^2)</f>
        <v>1.17492302692834</v>
      </c>
      <c r="BV492" s="17" t="n">
        <f aca="false">SQRT(($B492-BV$401)^2+($C492-BV$402)^2+($D492-BV$403)^2)</f>
        <v>2.23674627905029</v>
      </c>
      <c r="BW492" s="17" t="n">
        <f aca="false">SQRT(($B492-BW$401)^2+($C492-BW$402)^2+($D492-BW$403)^2)</f>
        <v>1.1167698572612</v>
      </c>
      <c r="BX492" s="17" t="n">
        <f aca="false">SQRT(($B492-BX$401)^2+($C492-BX$402)^2+($D492-BX$403)^2)</f>
        <v>4.57322244629921</v>
      </c>
      <c r="BY492" s="17" t="n">
        <f aca="false">SQRT(($B492-BY$401)^2+($C492-BY$402)^2+($D492-BY$403)^2)</f>
        <v>0.580276670229758</v>
      </c>
      <c r="BZ492" s="63" t="n">
        <f aca="false">MATCH(MIN(BT492:BY492),BT492:BY492,0)</f>
        <v>6</v>
      </c>
      <c r="CB492" s="17" t="n">
        <f aca="false">SQRT(($B492-CB$401)^2+($C492-CB$402)^2+($D492-CB$403)^2)</f>
        <v>6.83525587893167</v>
      </c>
      <c r="CC492" s="17" t="n">
        <f aca="false">SQRT(($B492-CC$401)^2+($C492-CC$402)^2+($D492-CC$403)^2)</f>
        <v>1.17492302692834</v>
      </c>
      <c r="CD492" s="17" t="n">
        <f aca="false">SQRT(($B492-CD$401)^2+($C492-CD$402)^2+($D492-CD$403)^2)</f>
        <v>2.23674627905029</v>
      </c>
      <c r="CE492" s="17" t="n">
        <f aca="false">SQRT(($B492-CE$401)^2+($C492-CE$402)^2+($D492-CE$403)^2)</f>
        <v>1.1167698572612</v>
      </c>
      <c r="CF492" s="17" t="n">
        <f aca="false">SQRT(($B492-CF$401)^2+($C492-CF$402)^2+($D492-CF$403)^2)</f>
        <v>4.57322244629921</v>
      </c>
      <c r="CG492" s="17" t="n">
        <f aca="false">SQRT(($B492-CG$401)^2+($C492-CG$402)^2+($D492-CG$403)^2)</f>
        <v>0.580276670229758</v>
      </c>
      <c r="CH492" s="63" t="n">
        <f aca="false">MATCH(MIN(CB492:CG492),CB492:CG492,0)</f>
        <v>6</v>
      </c>
      <c r="CJ492" s="17" t="n">
        <f aca="false">SQRT(($B492-CJ$401)^2+($C492-CJ$402)^2+($D492-CJ$403)^2)</f>
        <v>6.83525587893167</v>
      </c>
      <c r="CK492" s="17" t="n">
        <f aca="false">SQRT(($B492-CK$401)^2+($C492-CK$402)^2+($D492-CK$403)^2)</f>
        <v>1.17492302692834</v>
      </c>
      <c r="CL492" s="17" t="n">
        <f aca="false">SQRT(($B492-CL$401)^2+($C492-CL$402)^2+($D492-CL$403)^2)</f>
        <v>2.23674627905029</v>
      </c>
      <c r="CM492" s="17" t="n">
        <f aca="false">SQRT(($B492-CM$401)^2+($C492-CM$402)^2+($D492-CM$403)^2)</f>
        <v>1.1167698572612</v>
      </c>
      <c r="CN492" s="17" t="n">
        <f aca="false">SQRT(($B492-CN$401)^2+($C492-CN$402)^2+($D492-CN$403)^2)</f>
        <v>4.57322244629921</v>
      </c>
      <c r="CO492" s="17" t="n">
        <f aca="false">SQRT(($B492-CO$401)^2+($C492-CO$402)^2+($D492-CO$403)^2)</f>
        <v>0.580276670229758</v>
      </c>
      <c r="CP492" s="63" t="n">
        <f aca="false">MATCH(MIN(CJ492:CO492),CJ492:CO492,0)</f>
        <v>6</v>
      </c>
      <c r="CR492" s="17" t="n">
        <f aca="false">SQRT(($B492-CR$401)^2+($C492-CR$402)^2+($D492-CR$403)^2)</f>
        <v>6.83525587893167</v>
      </c>
      <c r="CS492" s="17" t="n">
        <f aca="false">SQRT(($B492-CS$401)^2+($C492-CS$402)^2+($D492-CS$403)^2)</f>
        <v>1.17492302692834</v>
      </c>
      <c r="CT492" s="17" t="n">
        <f aca="false">SQRT(($B492-CT$401)^2+($C492-CT$402)^2+($D492-CT$403)^2)</f>
        <v>2.23674627905029</v>
      </c>
      <c r="CU492" s="17" t="n">
        <f aca="false">SQRT(($B492-CU$401)^2+($C492-CU$402)^2+($D492-CU$403)^2)</f>
        <v>1.1167698572612</v>
      </c>
      <c r="CV492" s="17" t="n">
        <f aca="false">SQRT(($B492-CV$401)^2+($C492-CV$402)^2+($D492-CV$403)^2)</f>
        <v>4.57322244629921</v>
      </c>
      <c r="CW492" s="17" t="n">
        <f aca="false">SQRT(($B492-CW$401)^2+($C492-CW$402)^2+($D492-CW$403)^2)</f>
        <v>0.580276670229758</v>
      </c>
      <c r="CX492" s="63" t="n">
        <f aca="false">MATCH(MIN(CR492:CW492),CR492:CW492,0)</f>
        <v>6</v>
      </c>
      <c r="CZ492" s="17" t="n">
        <f aca="false">SQRT(($B492-CZ$401)^2+($C492-CZ$402)^2+($D492-CZ$403)^2)</f>
        <v>6.83525587893167</v>
      </c>
      <c r="DA492" s="17" t="n">
        <f aca="false">SQRT(($B492-DA$401)^2+($C492-DA$402)^2+($D492-DA$403)^2)</f>
        <v>1.17492302692834</v>
      </c>
      <c r="DB492" s="17" t="n">
        <f aca="false">SQRT(($B492-DB$401)^2+($C492-DB$402)^2+($D492-DB$403)^2)</f>
        <v>2.23674627905029</v>
      </c>
      <c r="DC492" s="17" t="n">
        <f aca="false">SQRT(($B492-DC$401)^2+($C492-DC$402)^2+($D492-DC$403)^2)</f>
        <v>1.1167698572612</v>
      </c>
      <c r="DD492" s="17" t="n">
        <f aca="false">SQRT(($B492-DD$401)^2+($C492-DD$402)^2+($D492-DD$403)^2)</f>
        <v>4.57322244629921</v>
      </c>
      <c r="DE492" s="17" t="n">
        <f aca="false">SQRT(($B492-DE$401)^2+($C492-DE$402)^2+($D492-DE$403)^2)</f>
        <v>0.580276670229758</v>
      </c>
      <c r="DF492" s="63" t="n">
        <f aca="false">MATCH(MIN(CZ492:DE492),CZ492:DE492,0)</f>
        <v>6</v>
      </c>
      <c r="DH492" s="17" t="n">
        <f aca="false">SQRT(($B492-DH$401)^2+($C492-DH$402)^2+($D492-DH$403)^2)</f>
        <v>6.83525587893167</v>
      </c>
      <c r="DI492" s="17" t="n">
        <f aca="false">SQRT(($B492-DI$401)^2+($C492-DI$402)^2+($D492-DI$403)^2)</f>
        <v>1.17492302692834</v>
      </c>
      <c r="DJ492" s="17" t="n">
        <f aca="false">SQRT(($B492-DJ$401)^2+($C492-DJ$402)^2+($D492-DJ$403)^2)</f>
        <v>2.23674627905029</v>
      </c>
      <c r="DK492" s="17" t="n">
        <f aca="false">SQRT(($B492-DK$401)^2+($C492-DK$402)^2+($D492-DK$403)^2)</f>
        <v>1.1167698572612</v>
      </c>
      <c r="DL492" s="17" t="n">
        <f aca="false">SQRT(($B492-DL$401)^2+($C492-DL$402)^2+($D492-DL$403)^2)</f>
        <v>4.57322244629921</v>
      </c>
      <c r="DM492" s="17" t="n">
        <f aca="false">SQRT(($B492-DM$401)^2+($C492-DM$402)^2+($D492-DM$403)^2)</f>
        <v>0.580276670229758</v>
      </c>
      <c r="DN492" s="63" t="n">
        <f aca="false">MATCH(MIN(DH492:DM492),DH492:DM492,0)</f>
        <v>6</v>
      </c>
    </row>
    <row r="493" customFormat="false" ht="15" hidden="false" customHeight="false" outlineLevel="0" collapsed="false">
      <c r="A493" s="36" t="str">
        <f aca="false">KMeans_Data!A90</f>
        <v>Attock</v>
      </c>
      <c r="B493" s="17" t="n">
        <f aca="false">KMeans_Data!H90</f>
        <v>-0.636688680796734</v>
      </c>
      <c r="C493" s="17" t="n">
        <f aca="false">KMeans_Data!I90</f>
        <v>-0.672650545388274</v>
      </c>
      <c r="D493" s="17" t="n">
        <f aca="false">KMeans_Data!J90</f>
        <v>-1.14564411633355</v>
      </c>
      <c r="E493" s="63" t="n">
        <f aca="false">DN493</f>
        <v>2</v>
      </c>
      <c r="F493" s="38" t="n">
        <f aca="false">($B493-INDEX($L$401:$Q$401,E493))^2+($C493-INDEX($L$402:$Q$402,E493))^2+($D493-INDEX($L$403:$Q$403,E493))^2</f>
        <v>0.383864241263393</v>
      </c>
      <c r="G493" s="17" t="n">
        <f aca="false">IF(COUNTIF(Distance_Matrix!$E$12:$DQ$12,$E493)&lt;=1,0,SUMIF(Distance_Matrix!$E$12:$DQ$12,$E493,Distance_Matrix!$E$99:$DQ$99)/(COUNTIF(Distance_Matrix!$E$12:$DQ$12,$E493)-1))</f>
        <v>0.724195816043573</v>
      </c>
      <c r="H493" s="17" t="n">
        <f aca="false">MIN(IF(1=$E493,1E+099,IF(COUNTIF(Distance_Matrix!$E$12:$DQ$12,1)=0,1E+099,SUMIF(Distance_Matrix!$E$12:$DQ$12,1,Distance_Matrix!$E$99:$DQ$99)/COUNTIF(Distance_Matrix!$E$12:$DQ$12,1))),IF(2=$E493,1E+099,IF(COUNTIF(Distance_Matrix!$E$12:$DQ$12,2)=0,1E+099,SUMIF(Distance_Matrix!$E$12:$DQ$12,2,Distance_Matrix!$E$99:$DQ$99)/COUNTIF(Distance_Matrix!$E$12:$DQ$12,2))),IF(3=$E493,1E+099,IF(COUNTIF(Distance_Matrix!$E$12:$DQ$12,3)=0,1E+099,SUMIF(Distance_Matrix!$E$12:$DQ$12,3,Distance_Matrix!$E$99:$DQ$99)/COUNTIF(Distance_Matrix!$E$12:$DQ$12,3))),IF(4=$E493,1E+099,IF(COUNTIF(Distance_Matrix!$E$12:$DQ$12,4)=0,1E+099,SUMIF(Distance_Matrix!$E$12:$DQ$12,4,Distance_Matrix!$E$99:$DQ$99)/COUNTIF(Distance_Matrix!$E$12:$DQ$12,4))),IF(5=$E493,1E+099,IF(COUNTIF(Distance_Matrix!$E$12:$DQ$12,5)=0,1E+099,SUMIF(Distance_Matrix!$E$12:$DQ$12,5,Distance_Matrix!$E$99:$DQ$99)/COUNTIF(Distance_Matrix!$E$12:$DQ$12,5))),IF(6=$E493,1E+099,IF(COUNTIF(Distance_Matrix!$E$12:$DQ$12,6)=0,1E+099,SUMIF(Distance_Matrix!$E$12:$DQ$12,6,Distance_Matrix!$E$99:$DQ$99)/COUNTIF(Distance_Matrix!$E$12:$DQ$12,6))))</f>
        <v>0.904247957532799</v>
      </c>
      <c r="I493" s="17" t="n">
        <f aca="false">IF(COUNTIF(Distance_Matrix!$E$12:$DQ$12,$E493)&lt;=1,0,(H493-G493)/MAX(G493,H493))</f>
        <v>0.199118106918915</v>
      </c>
      <c r="X493" s="17" t="n">
        <f aca="false">SQRT(($B493-X$401)^2+($C493-X$402)^2+($D493-X$403)^2)</f>
        <v>7.53921080313601</v>
      </c>
      <c r="Y493" s="17" t="n">
        <f aca="false">SQRT(($B493-Y$401)^2+($C493-Y$402)^2+($D493-Y$403)^2)</f>
        <v>1.44304930100659</v>
      </c>
      <c r="Z493" s="17" t="n">
        <f aca="false">SQRT(($B493-Z$401)^2+($C493-Z$402)^2+($D493-Z$403)^2)</f>
        <v>3.27892933089661</v>
      </c>
      <c r="AA493" s="17" t="n">
        <f aca="false">SQRT(($B493-AA$401)^2+($C493-AA$402)^2+($D493-AA$403)^2)</f>
        <v>1.38592130305499</v>
      </c>
      <c r="AB493" s="17" t="n">
        <f aca="false">SQRT(($B493-AB$401)^2+($C493-AB$402)^2+($D493-AB$403)^2)</f>
        <v>5.49413298728416</v>
      </c>
      <c r="AC493" s="17" t="n">
        <f aca="false">SQRT(($B493-AC$401)^2+($C493-AC$402)^2+($D493-AC$403)^2)</f>
        <v>1.85169964308466</v>
      </c>
      <c r="AD493" s="63" t="n">
        <f aca="false">MATCH(MIN(X493:AC493),X493:AC493,0)</f>
        <v>4</v>
      </c>
      <c r="AF493" s="17" t="n">
        <f aca="false">SQRT(($B493-AF$401)^2+($C493-AF$402)^2+($D493-AF$403)^2)</f>
        <v>7.40741968739509</v>
      </c>
      <c r="AG493" s="17" t="n">
        <f aca="false">SQRT(($B493-AG$401)^2+($C493-AG$402)^2+($D493-AG$403)^2)</f>
        <v>0.686242116594809</v>
      </c>
      <c r="AH493" s="17" t="n">
        <f aca="false">SQRT(($B493-AH$401)^2+($C493-AH$402)^2+($D493-AH$403)^2)</f>
        <v>2.9390975767041</v>
      </c>
      <c r="AI493" s="17" t="n">
        <f aca="false">SQRT(($B493-AI$401)^2+($C493-AI$402)^2+($D493-AI$403)^2)</f>
        <v>0.843584252832304</v>
      </c>
      <c r="AJ493" s="17" t="n">
        <f aca="false">SQRT(($B493-AJ$401)^2+($C493-AJ$402)^2+($D493-AJ$403)^2)</f>
        <v>5.13523408702426</v>
      </c>
      <c r="AK493" s="17" t="n">
        <f aca="false">SQRT(($B493-AK$401)^2+($C493-AK$402)^2+($D493-AK$403)^2)</f>
        <v>1.39772172463633</v>
      </c>
      <c r="AL493" s="63" t="n">
        <f aca="false">MATCH(MIN(AF493:AK493),AF493:AK493,0)</f>
        <v>2</v>
      </c>
      <c r="AN493" s="17" t="n">
        <f aca="false">SQRT(($B493-AN$401)^2+($C493-AN$402)^2+($D493-AN$403)^2)</f>
        <v>7.40741968739509</v>
      </c>
      <c r="AO493" s="17" t="n">
        <f aca="false">SQRT(($B493-AO$401)^2+($C493-AO$402)^2+($D493-AO$403)^2)</f>
        <v>0.645632026772309</v>
      </c>
      <c r="AP493" s="17" t="n">
        <f aca="false">SQRT(($B493-AP$401)^2+($C493-AP$402)^2+($D493-AP$403)^2)</f>
        <v>2.90982371621035</v>
      </c>
      <c r="AQ493" s="17" t="n">
        <f aca="false">SQRT(($B493-AQ$401)^2+($C493-AQ$402)^2+($D493-AQ$403)^2)</f>
        <v>0.8319916783366</v>
      </c>
      <c r="AR493" s="17" t="n">
        <f aca="false">SQRT(($B493-AR$401)^2+($C493-AR$402)^2+($D493-AR$403)^2)</f>
        <v>5.13523408702426</v>
      </c>
      <c r="AS493" s="17" t="n">
        <f aca="false">SQRT(($B493-AS$401)^2+($C493-AS$402)^2+($D493-AS$403)^2)</f>
        <v>1.43103445484118</v>
      </c>
      <c r="AT493" s="63" t="n">
        <f aca="false">MATCH(MIN(AN493:AS493),AN493:AS493,0)</f>
        <v>2</v>
      </c>
      <c r="AV493" s="17" t="n">
        <f aca="false">SQRT(($B493-AV$401)^2+($C493-AV$402)^2+($D493-AV$403)^2)</f>
        <v>7.40741968739509</v>
      </c>
      <c r="AW493" s="17" t="n">
        <f aca="false">SQRT(($B493-AW$401)^2+($C493-AW$402)^2+($D493-AW$403)^2)</f>
        <v>0.630324449119206</v>
      </c>
      <c r="AX493" s="17" t="n">
        <f aca="false">SQRT(($B493-AX$401)^2+($C493-AX$402)^2+($D493-AX$403)^2)</f>
        <v>2.90982371621035</v>
      </c>
      <c r="AY493" s="17" t="n">
        <f aca="false">SQRT(($B493-AY$401)^2+($C493-AY$402)^2+($D493-AY$403)^2)</f>
        <v>0.8319916783366</v>
      </c>
      <c r="AZ493" s="17" t="n">
        <f aca="false">SQRT(($B493-AZ$401)^2+($C493-AZ$402)^2+($D493-AZ$403)^2)</f>
        <v>5.13523408702426</v>
      </c>
      <c r="BA493" s="17" t="n">
        <f aca="false">SQRT(($B493-BA$401)^2+($C493-BA$402)^2+($D493-BA$403)^2)</f>
        <v>1.45459106683873</v>
      </c>
      <c r="BB493" s="63" t="n">
        <f aca="false">MATCH(MIN(AV493:BA493),AV493:BA493,0)</f>
        <v>2</v>
      </c>
      <c r="BD493" s="17" t="n">
        <f aca="false">SQRT(($B493-BD$401)^2+($C493-BD$402)^2+($D493-BD$403)^2)</f>
        <v>7.40741968739509</v>
      </c>
      <c r="BE493" s="17" t="n">
        <f aca="false">SQRT(($B493-BE$401)^2+($C493-BE$402)^2+($D493-BE$403)^2)</f>
        <v>0.619567785850259</v>
      </c>
      <c r="BF493" s="17" t="n">
        <f aca="false">SQRT(($B493-BF$401)^2+($C493-BF$402)^2+($D493-BF$403)^2)</f>
        <v>2.90982371621035</v>
      </c>
      <c r="BG493" s="17" t="n">
        <f aca="false">SQRT(($B493-BG$401)^2+($C493-BG$402)^2+($D493-BG$403)^2)</f>
        <v>0.8319916783366</v>
      </c>
      <c r="BH493" s="17" t="n">
        <f aca="false">SQRT(($B493-BH$401)^2+($C493-BH$402)^2+($D493-BH$403)^2)</f>
        <v>5.13523408702426</v>
      </c>
      <c r="BI493" s="17" t="n">
        <f aca="false">SQRT(($B493-BI$401)^2+($C493-BI$402)^2+($D493-BI$403)^2)</f>
        <v>1.47769177396541</v>
      </c>
      <c r="BJ493" s="63" t="n">
        <f aca="false">MATCH(MIN(BD493:BI493),BD493:BI493,0)</f>
        <v>2</v>
      </c>
      <c r="BL493" s="17" t="n">
        <f aca="false">SQRT(($B493-BL$401)^2+($C493-BL$402)^2+($D493-BL$403)^2)</f>
        <v>7.40741968739509</v>
      </c>
      <c r="BM493" s="17" t="n">
        <f aca="false">SQRT(($B493-BM$401)^2+($C493-BM$402)^2+($D493-BM$403)^2)</f>
        <v>0.619567785850259</v>
      </c>
      <c r="BN493" s="17" t="n">
        <f aca="false">SQRT(($B493-BN$401)^2+($C493-BN$402)^2+($D493-BN$403)^2)</f>
        <v>2.90982371621035</v>
      </c>
      <c r="BO493" s="17" t="n">
        <f aca="false">SQRT(($B493-BO$401)^2+($C493-BO$402)^2+($D493-BO$403)^2)</f>
        <v>0.8319916783366</v>
      </c>
      <c r="BP493" s="17" t="n">
        <f aca="false">SQRT(($B493-BP$401)^2+($C493-BP$402)^2+($D493-BP$403)^2)</f>
        <v>5.13523408702426</v>
      </c>
      <c r="BQ493" s="17" t="n">
        <f aca="false">SQRT(($B493-BQ$401)^2+($C493-BQ$402)^2+($D493-BQ$403)^2)</f>
        <v>1.47769177396541</v>
      </c>
      <c r="BR493" s="63" t="n">
        <f aca="false">MATCH(MIN(BL493:BQ493),BL493:BQ493,0)</f>
        <v>2</v>
      </c>
      <c r="BT493" s="17" t="n">
        <f aca="false">SQRT(($B493-BT$401)^2+($C493-BT$402)^2+($D493-BT$403)^2)</f>
        <v>7.40741968739509</v>
      </c>
      <c r="BU493" s="17" t="n">
        <f aca="false">SQRT(($B493-BU$401)^2+($C493-BU$402)^2+($D493-BU$403)^2)</f>
        <v>0.619567785850259</v>
      </c>
      <c r="BV493" s="17" t="n">
        <f aca="false">SQRT(($B493-BV$401)^2+($C493-BV$402)^2+($D493-BV$403)^2)</f>
        <v>2.90982371621035</v>
      </c>
      <c r="BW493" s="17" t="n">
        <f aca="false">SQRT(($B493-BW$401)^2+($C493-BW$402)^2+($D493-BW$403)^2)</f>
        <v>0.8319916783366</v>
      </c>
      <c r="BX493" s="17" t="n">
        <f aca="false">SQRT(($B493-BX$401)^2+($C493-BX$402)^2+($D493-BX$403)^2)</f>
        <v>5.13523408702426</v>
      </c>
      <c r="BY493" s="17" t="n">
        <f aca="false">SQRT(($B493-BY$401)^2+($C493-BY$402)^2+($D493-BY$403)^2)</f>
        <v>1.47769177396541</v>
      </c>
      <c r="BZ493" s="63" t="n">
        <f aca="false">MATCH(MIN(BT493:BY493),BT493:BY493,0)</f>
        <v>2</v>
      </c>
      <c r="CB493" s="17" t="n">
        <f aca="false">SQRT(($B493-CB$401)^2+($C493-CB$402)^2+($D493-CB$403)^2)</f>
        <v>7.40741968739509</v>
      </c>
      <c r="CC493" s="17" t="n">
        <f aca="false">SQRT(($B493-CC$401)^2+($C493-CC$402)^2+($D493-CC$403)^2)</f>
        <v>0.619567785850259</v>
      </c>
      <c r="CD493" s="17" t="n">
        <f aca="false">SQRT(($B493-CD$401)^2+($C493-CD$402)^2+($D493-CD$403)^2)</f>
        <v>2.90982371621035</v>
      </c>
      <c r="CE493" s="17" t="n">
        <f aca="false">SQRT(($B493-CE$401)^2+($C493-CE$402)^2+($D493-CE$403)^2)</f>
        <v>0.8319916783366</v>
      </c>
      <c r="CF493" s="17" t="n">
        <f aca="false">SQRT(($B493-CF$401)^2+($C493-CF$402)^2+($D493-CF$403)^2)</f>
        <v>5.13523408702426</v>
      </c>
      <c r="CG493" s="17" t="n">
        <f aca="false">SQRT(($B493-CG$401)^2+($C493-CG$402)^2+($D493-CG$403)^2)</f>
        <v>1.47769177396541</v>
      </c>
      <c r="CH493" s="63" t="n">
        <f aca="false">MATCH(MIN(CB493:CG493),CB493:CG493,0)</f>
        <v>2</v>
      </c>
      <c r="CJ493" s="17" t="n">
        <f aca="false">SQRT(($B493-CJ$401)^2+($C493-CJ$402)^2+($D493-CJ$403)^2)</f>
        <v>7.40741968739509</v>
      </c>
      <c r="CK493" s="17" t="n">
        <f aca="false">SQRT(($B493-CK$401)^2+($C493-CK$402)^2+($D493-CK$403)^2)</f>
        <v>0.619567785850259</v>
      </c>
      <c r="CL493" s="17" t="n">
        <f aca="false">SQRT(($B493-CL$401)^2+($C493-CL$402)^2+($D493-CL$403)^2)</f>
        <v>2.90982371621035</v>
      </c>
      <c r="CM493" s="17" t="n">
        <f aca="false">SQRT(($B493-CM$401)^2+($C493-CM$402)^2+($D493-CM$403)^2)</f>
        <v>0.8319916783366</v>
      </c>
      <c r="CN493" s="17" t="n">
        <f aca="false">SQRT(($B493-CN$401)^2+($C493-CN$402)^2+($D493-CN$403)^2)</f>
        <v>5.13523408702426</v>
      </c>
      <c r="CO493" s="17" t="n">
        <f aca="false">SQRT(($B493-CO$401)^2+($C493-CO$402)^2+($D493-CO$403)^2)</f>
        <v>1.47769177396541</v>
      </c>
      <c r="CP493" s="63" t="n">
        <f aca="false">MATCH(MIN(CJ493:CO493),CJ493:CO493,0)</f>
        <v>2</v>
      </c>
      <c r="CR493" s="17" t="n">
        <f aca="false">SQRT(($B493-CR$401)^2+($C493-CR$402)^2+($D493-CR$403)^2)</f>
        <v>7.40741968739509</v>
      </c>
      <c r="CS493" s="17" t="n">
        <f aca="false">SQRT(($B493-CS$401)^2+($C493-CS$402)^2+($D493-CS$403)^2)</f>
        <v>0.619567785850259</v>
      </c>
      <c r="CT493" s="17" t="n">
        <f aca="false">SQRT(($B493-CT$401)^2+($C493-CT$402)^2+($D493-CT$403)^2)</f>
        <v>2.90982371621035</v>
      </c>
      <c r="CU493" s="17" t="n">
        <f aca="false">SQRT(($B493-CU$401)^2+($C493-CU$402)^2+($D493-CU$403)^2)</f>
        <v>0.8319916783366</v>
      </c>
      <c r="CV493" s="17" t="n">
        <f aca="false">SQRT(($B493-CV$401)^2+($C493-CV$402)^2+($D493-CV$403)^2)</f>
        <v>5.13523408702426</v>
      </c>
      <c r="CW493" s="17" t="n">
        <f aca="false">SQRT(($B493-CW$401)^2+($C493-CW$402)^2+($D493-CW$403)^2)</f>
        <v>1.47769177396541</v>
      </c>
      <c r="CX493" s="63" t="n">
        <f aca="false">MATCH(MIN(CR493:CW493),CR493:CW493,0)</f>
        <v>2</v>
      </c>
      <c r="CZ493" s="17" t="n">
        <f aca="false">SQRT(($B493-CZ$401)^2+($C493-CZ$402)^2+($D493-CZ$403)^2)</f>
        <v>7.40741968739509</v>
      </c>
      <c r="DA493" s="17" t="n">
        <f aca="false">SQRT(($B493-DA$401)^2+($C493-DA$402)^2+($D493-DA$403)^2)</f>
        <v>0.619567785850259</v>
      </c>
      <c r="DB493" s="17" t="n">
        <f aca="false">SQRT(($B493-DB$401)^2+($C493-DB$402)^2+($D493-DB$403)^2)</f>
        <v>2.90982371621035</v>
      </c>
      <c r="DC493" s="17" t="n">
        <f aca="false">SQRT(($B493-DC$401)^2+($C493-DC$402)^2+($D493-DC$403)^2)</f>
        <v>0.8319916783366</v>
      </c>
      <c r="DD493" s="17" t="n">
        <f aca="false">SQRT(($B493-DD$401)^2+($C493-DD$402)^2+($D493-DD$403)^2)</f>
        <v>5.13523408702426</v>
      </c>
      <c r="DE493" s="17" t="n">
        <f aca="false">SQRT(($B493-DE$401)^2+($C493-DE$402)^2+($D493-DE$403)^2)</f>
        <v>1.47769177396541</v>
      </c>
      <c r="DF493" s="63" t="n">
        <f aca="false">MATCH(MIN(CZ493:DE493),CZ493:DE493,0)</f>
        <v>2</v>
      </c>
      <c r="DH493" s="17" t="n">
        <f aca="false">SQRT(($B493-DH$401)^2+($C493-DH$402)^2+($D493-DH$403)^2)</f>
        <v>7.40741968739509</v>
      </c>
      <c r="DI493" s="17" t="n">
        <f aca="false">SQRT(($B493-DI$401)^2+($C493-DI$402)^2+($D493-DI$403)^2)</f>
        <v>0.619567785850259</v>
      </c>
      <c r="DJ493" s="17" t="n">
        <f aca="false">SQRT(($B493-DJ$401)^2+($C493-DJ$402)^2+($D493-DJ$403)^2)</f>
        <v>2.90982371621035</v>
      </c>
      <c r="DK493" s="17" t="n">
        <f aca="false">SQRT(($B493-DK$401)^2+($C493-DK$402)^2+($D493-DK$403)^2)</f>
        <v>0.8319916783366</v>
      </c>
      <c r="DL493" s="17" t="n">
        <f aca="false">SQRT(($B493-DL$401)^2+($C493-DL$402)^2+($D493-DL$403)^2)</f>
        <v>5.13523408702426</v>
      </c>
      <c r="DM493" s="17" t="n">
        <f aca="false">SQRT(($B493-DM$401)^2+($C493-DM$402)^2+($D493-DM$403)^2)</f>
        <v>1.47769177396541</v>
      </c>
      <c r="DN493" s="63" t="n">
        <f aca="false">MATCH(MIN(DH493:DM493),DH493:DM493,0)</f>
        <v>2</v>
      </c>
    </row>
    <row r="494" customFormat="false" ht="15" hidden="false" customHeight="false" outlineLevel="0" collapsed="false">
      <c r="A494" s="36" t="str">
        <f aca="false">KMeans_Data!A91</f>
        <v>Chitral Upper</v>
      </c>
      <c r="B494" s="17" t="n">
        <f aca="false">KMeans_Data!H91</f>
        <v>-0.636688680796734</v>
      </c>
      <c r="C494" s="17" t="n">
        <f aca="false">KMeans_Data!I91</f>
        <v>-0.672650545388274</v>
      </c>
      <c r="D494" s="17" t="n">
        <f aca="false">KMeans_Data!J91</f>
        <v>-0.31535907140676</v>
      </c>
      <c r="E494" s="63" t="n">
        <f aca="false">DN494</f>
        <v>6</v>
      </c>
      <c r="F494" s="38" t="n">
        <f aca="false">($B494-INDEX($L$401:$Q$401,E494))^2+($C494-INDEX($L$402:$Q$402,E494))^2+($D494-INDEX($L$403:$Q$403,E494))^2</f>
        <v>0.5907403728944</v>
      </c>
      <c r="G494" s="17" t="n">
        <f aca="false">IF(COUNTIF(Distance_Matrix!$E$12:$DQ$12,$E494)&lt;=1,0,SUMIF(Distance_Matrix!$E$12:$DQ$12,$E494,Distance_Matrix!$E$100:$DQ$100)/(COUNTIF(Distance_Matrix!$E$12:$DQ$12,$E494)-1))</f>
        <v>0.917779002395242</v>
      </c>
      <c r="H494" s="17" t="n">
        <f aca="false">MIN(IF(1=$E494,1E+099,IF(COUNTIF(Distance_Matrix!$E$12:$DQ$12,1)=0,1E+099,SUMIF(Distance_Matrix!$E$12:$DQ$12,1,Distance_Matrix!$E$100:$DQ$100)/COUNTIF(Distance_Matrix!$E$12:$DQ$12,1))),IF(2=$E494,1E+099,IF(COUNTIF(Distance_Matrix!$E$12:$DQ$12,2)=0,1E+099,SUMIF(Distance_Matrix!$E$12:$DQ$12,2,Distance_Matrix!$E$100:$DQ$100)/COUNTIF(Distance_Matrix!$E$12:$DQ$12,2))),IF(3=$E494,1E+099,IF(COUNTIF(Distance_Matrix!$E$12:$DQ$12,3)=0,1E+099,SUMIF(Distance_Matrix!$E$12:$DQ$12,3,Distance_Matrix!$E$100:$DQ$100)/COUNTIF(Distance_Matrix!$E$12:$DQ$12,3))),IF(4=$E494,1E+099,IF(COUNTIF(Distance_Matrix!$E$12:$DQ$12,4)=0,1E+099,SUMIF(Distance_Matrix!$E$12:$DQ$12,4,Distance_Matrix!$E$100:$DQ$100)/COUNTIF(Distance_Matrix!$E$12:$DQ$12,4))),IF(5=$E494,1E+099,IF(COUNTIF(Distance_Matrix!$E$12:$DQ$12,5)=0,1E+099,SUMIF(Distance_Matrix!$E$12:$DQ$12,5,Distance_Matrix!$E$100:$DQ$100)/COUNTIF(Distance_Matrix!$E$12:$DQ$12,5))),IF(6=$E494,1E+099,IF(COUNTIF(Distance_Matrix!$E$12:$DQ$12,6)=0,1E+099,SUMIF(Distance_Matrix!$E$12:$DQ$12,6,Distance_Matrix!$E$100:$DQ$100)/COUNTIF(Distance_Matrix!$E$12:$DQ$12,6))))</f>
        <v>0.984727338421686</v>
      </c>
      <c r="I494" s="17" t="n">
        <f aca="false">IF(COUNTIF(Distance_Matrix!$E$12:$DQ$12,$E494)&lt;=1,0,(H494-G494)/MAX(G494,H494))</f>
        <v>0.0679866734823759</v>
      </c>
      <c r="X494" s="17" t="n">
        <f aca="false">SQRT(($B494-X$401)^2+($C494-X$402)^2+($D494-X$403)^2)</f>
        <v>7.08698051014777</v>
      </c>
      <c r="Y494" s="17" t="n">
        <f aca="false">SQRT(($B494-Y$401)^2+($C494-Y$402)^2+($D494-Y$403)^2)</f>
        <v>1.66486171827113</v>
      </c>
      <c r="Z494" s="17" t="n">
        <f aca="false">SQRT(($B494-Z$401)^2+($C494-Z$402)^2+($D494-Z$403)^2)</f>
        <v>2.66394791513506</v>
      </c>
      <c r="AA494" s="17" t="n">
        <f aca="false">SQRT(($B494-AA$401)^2+($C494-AA$402)^2+($D494-AA$403)^2)</f>
        <v>1.61559621010039</v>
      </c>
      <c r="AB494" s="17" t="n">
        <f aca="false">SQRT(($B494-AB$401)^2+($C494-AB$402)^2+($D494-AB$403)^2)</f>
        <v>5.00329746145876</v>
      </c>
      <c r="AC494" s="17" t="n">
        <f aca="false">SQRT(($B494-AC$401)^2+($C494-AC$402)^2+($D494-AC$403)^2)</f>
        <v>1.08261339620006</v>
      </c>
      <c r="AD494" s="63" t="n">
        <f aca="false">MATCH(MIN(X494:AC494),X494:AC494,0)</f>
        <v>6</v>
      </c>
      <c r="AF494" s="17" t="n">
        <f aca="false">SQRT(($B494-AF$401)^2+($C494-AF$402)^2+($D494-AF$403)^2)</f>
        <v>6.9807269472774</v>
      </c>
      <c r="AG494" s="17" t="n">
        <f aca="false">SQRT(($B494-AG$401)^2+($C494-AG$402)^2+($D494-AG$403)^2)</f>
        <v>1.03786603796375</v>
      </c>
      <c r="AH494" s="17" t="n">
        <f aca="false">SQRT(($B494-AH$401)^2+($C494-AH$402)^2+($D494-AH$403)^2)</f>
        <v>2.4198290951223</v>
      </c>
      <c r="AI494" s="17" t="n">
        <f aca="false">SQRT(($B494-AI$401)^2+($C494-AI$402)^2+($D494-AI$403)^2)</f>
        <v>0.958746220829919</v>
      </c>
      <c r="AJ494" s="17" t="n">
        <f aca="false">SQRT(($B494-AJ$401)^2+($C494-AJ$402)^2+($D494-AJ$403)^2)</f>
        <v>4.71045484731032</v>
      </c>
      <c r="AK494" s="17" t="n">
        <f aca="false">SQRT(($B494-AK$401)^2+($C494-AK$402)^2+($D494-AK$403)^2)</f>
        <v>0.675004284349025</v>
      </c>
      <c r="AL494" s="63" t="n">
        <f aca="false">MATCH(MIN(AF494:AK494),AF494:AK494,0)</f>
        <v>6</v>
      </c>
      <c r="AN494" s="17" t="n">
        <f aca="false">SQRT(($B494-AN$401)^2+($C494-AN$402)^2+($D494-AN$403)^2)</f>
        <v>6.9807269472774</v>
      </c>
      <c r="AO494" s="17" t="n">
        <f aca="false">SQRT(($B494-AO$401)^2+($C494-AO$402)^2+($D494-AO$403)^2)</f>
        <v>0.993508668475975</v>
      </c>
      <c r="AP494" s="17" t="n">
        <f aca="false">SQRT(($B494-AP$401)^2+($C494-AP$402)^2+($D494-AP$403)^2)</f>
        <v>2.38950649362004</v>
      </c>
      <c r="AQ494" s="17" t="n">
        <f aca="false">SQRT(($B494-AQ$401)^2+($C494-AQ$402)^2+($D494-AQ$403)^2)</f>
        <v>0.953665190996531</v>
      </c>
      <c r="AR494" s="17" t="n">
        <f aca="false">SQRT(($B494-AR$401)^2+($C494-AR$402)^2+($D494-AR$403)^2)</f>
        <v>4.71045484731032</v>
      </c>
      <c r="AS494" s="17" t="n">
        <f aca="false">SQRT(($B494-AS$401)^2+($C494-AS$402)^2+($D494-AS$403)^2)</f>
        <v>0.715749957287946</v>
      </c>
      <c r="AT494" s="63" t="n">
        <f aca="false">MATCH(MIN(AN494:AS494),AN494:AS494,0)</f>
        <v>6</v>
      </c>
      <c r="AV494" s="17" t="n">
        <f aca="false">SQRT(($B494-AV$401)^2+($C494-AV$402)^2+($D494-AV$403)^2)</f>
        <v>6.9807269472774</v>
      </c>
      <c r="AW494" s="17" t="n">
        <f aca="false">SQRT(($B494-AW$401)^2+($C494-AW$402)^2+($D494-AW$403)^2)</f>
        <v>0.961497682285021</v>
      </c>
      <c r="AX494" s="17" t="n">
        <f aca="false">SQRT(($B494-AX$401)^2+($C494-AX$402)^2+($D494-AX$403)^2)</f>
        <v>2.38950649362004</v>
      </c>
      <c r="AY494" s="17" t="n">
        <f aca="false">SQRT(($B494-AY$401)^2+($C494-AY$402)^2+($D494-AY$403)^2)</f>
        <v>0.953665190996531</v>
      </c>
      <c r="AZ494" s="17" t="n">
        <f aca="false">SQRT(($B494-AZ$401)^2+($C494-AZ$402)^2+($D494-AZ$403)^2)</f>
        <v>4.71045484731032</v>
      </c>
      <c r="BA494" s="17" t="n">
        <f aca="false">SQRT(($B494-BA$401)^2+($C494-BA$402)^2+($D494-BA$403)^2)</f>
        <v>0.741876082537156</v>
      </c>
      <c r="BB494" s="63" t="n">
        <f aca="false">MATCH(MIN(AV494:BA494),AV494:BA494,0)</f>
        <v>6</v>
      </c>
      <c r="BD494" s="17" t="n">
        <f aca="false">SQRT(($B494-BD$401)^2+($C494-BD$402)^2+($D494-BD$403)^2)</f>
        <v>6.9807269472774</v>
      </c>
      <c r="BE494" s="17" t="n">
        <f aca="false">SQRT(($B494-BE$401)^2+($C494-BE$402)^2+($D494-BE$403)^2)</f>
        <v>0.930578318538481</v>
      </c>
      <c r="BF494" s="17" t="n">
        <f aca="false">SQRT(($B494-BF$401)^2+($C494-BF$402)^2+($D494-BF$403)^2)</f>
        <v>2.38950649362004</v>
      </c>
      <c r="BG494" s="17" t="n">
        <f aca="false">SQRT(($B494-BG$401)^2+($C494-BG$402)^2+($D494-BG$403)^2)</f>
        <v>0.953665190996531</v>
      </c>
      <c r="BH494" s="17" t="n">
        <f aca="false">SQRT(($B494-BH$401)^2+($C494-BH$402)^2+($D494-BH$403)^2)</f>
        <v>4.71045484731032</v>
      </c>
      <c r="BI494" s="17" t="n">
        <f aca="false">SQRT(($B494-BI$401)^2+($C494-BI$402)^2+($D494-BI$403)^2)</f>
        <v>0.768596365392395</v>
      </c>
      <c r="BJ494" s="63" t="n">
        <f aca="false">MATCH(MIN(BD494:BI494),BD494:BI494,0)</f>
        <v>6</v>
      </c>
      <c r="BL494" s="17" t="n">
        <f aca="false">SQRT(($B494-BL$401)^2+($C494-BL$402)^2+($D494-BL$403)^2)</f>
        <v>6.9807269472774</v>
      </c>
      <c r="BM494" s="17" t="n">
        <f aca="false">SQRT(($B494-BM$401)^2+($C494-BM$402)^2+($D494-BM$403)^2)</f>
        <v>0.930578318538481</v>
      </c>
      <c r="BN494" s="17" t="n">
        <f aca="false">SQRT(($B494-BN$401)^2+($C494-BN$402)^2+($D494-BN$403)^2)</f>
        <v>2.38950649362004</v>
      </c>
      <c r="BO494" s="17" t="n">
        <f aca="false">SQRT(($B494-BO$401)^2+($C494-BO$402)^2+($D494-BO$403)^2)</f>
        <v>0.953665190996531</v>
      </c>
      <c r="BP494" s="17" t="n">
        <f aca="false">SQRT(($B494-BP$401)^2+($C494-BP$402)^2+($D494-BP$403)^2)</f>
        <v>4.71045484731032</v>
      </c>
      <c r="BQ494" s="17" t="n">
        <f aca="false">SQRT(($B494-BQ$401)^2+($C494-BQ$402)^2+($D494-BQ$403)^2)</f>
        <v>0.768596365392395</v>
      </c>
      <c r="BR494" s="63" t="n">
        <f aca="false">MATCH(MIN(BL494:BQ494),BL494:BQ494,0)</f>
        <v>6</v>
      </c>
      <c r="BT494" s="17" t="n">
        <f aca="false">SQRT(($B494-BT$401)^2+($C494-BT$402)^2+($D494-BT$403)^2)</f>
        <v>6.9807269472774</v>
      </c>
      <c r="BU494" s="17" t="n">
        <f aca="false">SQRT(($B494-BU$401)^2+($C494-BU$402)^2+($D494-BU$403)^2)</f>
        <v>0.930578318538481</v>
      </c>
      <c r="BV494" s="17" t="n">
        <f aca="false">SQRT(($B494-BV$401)^2+($C494-BV$402)^2+($D494-BV$403)^2)</f>
        <v>2.38950649362004</v>
      </c>
      <c r="BW494" s="17" t="n">
        <f aca="false">SQRT(($B494-BW$401)^2+($C494-BW$402)^2+($D494-BW$403)^2)</f>
        <v>0.953665190996531</v>
      </c>
      <c r="BX494" s="17" t="n">
        <f aca="false">SQRT(($B494-BX$401)^2+($C494-BX$402)^2+($D494-BX$403)^2)</f>
        <v>4.71045484731032</v>
      </c>
      <c r="BY494" s="17" t="n">
        <f aca="false">SQRT(($B494-BY$401)^2+($C494-BY$402)^2+($D494-BY$403)^2)</f>
        <v>0.768596365392395</v>
      </c>
      <c r="BZ494" s="63" t="n">
        <f aca="false">MATCH(MIN(BT494:BY494),BT494:BY494,0)</f>
        <v>6</v>
      </c>
      <c r="CB494" s="17" t="n">
        <f aca="false">SQRT(($B494-CB$401)^2+($C494-CB$402)^2+($D494-CB$403)^2)</f>
        <v>6.9807269472774</v>
      </c>
      <c r="CC494" s="17" t="n">
        <f aca="false">SQRT(($B494-CC$401)^2+($C494-CC$402)^2+($D494-CC$403)^2)</f>
        <v>0.930578318538481</v>
      </c>
      <c r="CD494" s="17" t="n">
        <f aca="false">SQRT(($B494-CD$401)^2+($C494-CD$402)^2+($D494-CD$403)^2)</f>
        <v>2.38950649362004</v>
      </c>
      <c r="CE494" s="17" t="n">
        <f aca="false">SQRT(($B494-CE$401)^2+($C494-CE$402)^2+($D494-CE$403)^2)</f>
        <v>0.953665190996531</v>
      </c>
      <c r="CF494" s="17" t="n">
        <f aca="false">SQRT(($B494-CF$401)^2+($C494-CF$402)^2+($D494-CF$403)^2)</f>
        <v>4.71045484731032</v>
      </c>
      <c r="CG494" s="17" t="n">
        <f aca="false">SQRT(($B494-CG$401)^2+($C494-CG$402)^2+($D494-CG$403)^2)</f>
        <v>0.768596365392395</v>
      </c>
      <c r="CH494" s="63" t="n">
        <f aca="false">MATCH(MIN(CB494:CG494),CB494:CG494,0)</f>
        <v>6</v>
      </c>
      <c r="CJ494" s="17" t="n">
        <f aca="false">SQRT(($B494-CJ$401)^2+($C494-CJ$402)^2+($D494-CJ$403)^2)</f>
        <v>6.9807269472774</v>
      </c>
      <c r="CK494" s="17" t="n">
        <f aca="false">SQRT(($B494-CK$401)^2+($C494-CK$402)^2+($D494-CK$403)^2)</f>
        <v>0.930578318538481</v>
      </c>
      <c r="CL494" s="17" t="n">
        <f aca="false">SQRT(($B494-CL$401)^2+($C494-CL$402)^2+($D494-CL$403)^2)</f>
        <v>2.38950649362004</v>
      </c>
      <c r="CM494" s="17" t="n">
        <f aca="false">SQRT(($B494-CM$401)^2+($C494-CM$402)^2+($D494-CM$403)^2)</f>
        <v>0.953665190996531</v>
      </c>
      <c r="CN494" s="17" t="n">
        <f aca="false">SQRT(($B494-CN$401)^2+($C494-CN$402)^2+($D494-CN$403)^2)</f>
        <v>4.71045484731032</v>
      </c>
      <c r="CO494" s="17" t="n">
        <f aca="false">SQRT(($B494-CO$401)^2+($C494-CO$402)^2+($D494-CO$403)^2)</f>
        <v>0.768596365392395</v>
      </c>
      <c r="CP494" s="63" t="n">
        <f aca="false">MATCH(MIN(CJ494:CO494),CJ494:CO494,0)</f>
        <v>6</v>
      </c>
      <c r="CR494" s="17" t="n">
        <f aca="false">SQRT(($B494-CR$401)^2+($C494-CR$402)^2+($D494-CR$403)^2)</f>
        <v>6.9807269472774</v>
      </c>
      <c r="CS494" s="17" t="n">
        <f aca="false">SQRT(($B494-CS$401)^2+($C494-CS$402)^2+($D494-CS$403)^2)</f>
        <v>0.930578318538481</v>
      </c>
      <c r="CT494" s="17" t="n">
        <f aca="false">SQRT(($B494-CT$401)^2+($C494-CT$402)^2+($D494-CT$403)^2)</f>
        <v>2.38950649362004</v>
      </c>
      <c r="CU494" s="17" t="n">
        <f aca="false">SQRT(($B494-CU$401)^2+($C494-CU$402)^2+($D494-CU$403)^2)</f>
        <v>0.953665190996531</v>
      </c>
      <c r="CV494" s="17" t="n">
        <f aca="false">SQRT(($B494-CV$401)^2+($C494-CV$402)^2+($D494-CV$403)^2)</f>
        <v>4.71045484731032</v>
      </c>
      <c r="CW494" s="17" t="n">
        <f aca="false">SQRT(($B494-CW$401)^2+($C494-CW$402)^2+($D494-CW$403)^2)</f>
        <v>0.768596365392395</v>
      </c>
      <c r="CX494" s="63" t="n">
        <f aca="false">MATCH(MIN(CR494:CW494),CR494:CW494,0)</f>
        <v>6</v>
      </c>
      <c r="CZ494" s="17" t="n">
        <f aca="false">SQRT(($B494-CZ$401)^2+($C494-CZ$402)^2+($D494-CZ$403)^2)</f>
        <v>6.9807269472774</v>
      </c>
      <c r="DA494" s="17" t="n">
        <f aca="false">SQRT(($B494-DA$401)^2+($C494-DA$402)^2+($D494-DA$403)^2)</f>
        <v>0.930578318538481</v>
      </c>
      <c r="DB494" s="17" t="n">
        <f aca="false">SQRT(($B494-DB$401)^2+($C494-DB$402)^2+($D494-DB$403)^2)</f>
        <v>2.38950649362004</v>
      </c>
      <c r="DC494" s="17" t="n">
        <f aca="false">SQRT(($B494-DC$401)^2+($C494-DC$402)^2+($D494-DC$403)^2)</f>
        <v>0.953665190996531</v>
      </c>
      <c r="DD494" s="17" t="n">
        <f aca="false">SQRT(($B494-DD$401)^2+($C494-DD$402)^2+($D494-DD$403)^2)</f>
        <v>4.71045484731032</v>
      </c>
      <c r="DE494" s="17" t="n">
        <f aca="false">SQRT(($B494-DE$401)^2+($C494-DE$402)^2+($D494-DE$403)^2)</f>
        <v>0.768596365392395</v>
      </c>
      <c r="DF494" s="63" t="n">
        <f aca="false">MATCH(MIN(CZ494:DE494),CZ494:DE494,0)</f>
        <v>6</v>
      </c>
      <c r="DH494" s="17" t="n">
        <f aca="false">SQRT(($B494-DH$401)^2+($C494-DH$402)^2+($D494-DH$403)^2)</f>
        <v>6.9807269472774</v>
      </c>
      <c r="DI494" s="17" t="n">
        <f aca="false">SQRT(($B494-DI$401)^2+($C494-DI$402)^2+($D494-DI$403)^2)</f>
        <v>0.930578318538481</v>
      </c>
      <c r="DJ494" s="17" t="n">
        <f aca="false">SQRT(($B494-DJ$401)^2+($C494-DJ$402)^2+($D494-DJ$403)^2)</f>
        <v>2.38950649362004</v>
      </c>
      <c r="DK494" s="17" t="n">
        <f aca="false">SQRT(($B494-DK$401)^2+($C494-DK$402)^2+($D494-DK$403)^2)</f>
        <v>0.953665190996531</v>
      </c>
      <c r="DL494" s="17" t="n">
        <f aca="false">SQRT(($B494-DL$401)^2+($C494-DL$402)^2+($D494-DL$403)^2)</f>
        <v>4.71045484731032</v>
      </c>
      <c r="DM494" s="17" t="n">
        <f aca="false">SQRT(($B494-DM$401)^2+($C494-DM$402)^2+($D494-DM$403)^2)</f>
        <v>0.768596365392395</v>
      </c>
      <c r="DN494" s="63" t="n">
        <f aca="false">MATCH(MIN(DH494:DM494),DH494:DM494,0)</f>
        <v>6</v>
      </c>
    </row>
    <row r="495" customFormat="false" ht="15" hidden="false" customHeight="false" outlineLevel="0" collapsed="false">
      <c r="A495" s="36" t="str">
        <f aca="false">KMeans_Data!A92</f>
        <v>Matiari</v>
      </c>
      <c r="B495" s="17" t="n">
        <f aca="false">KMeans_Data!H92</f>
        <v>-0.706187767063518</v>
      </c>
      <c r="C495" s="17" t="n">
        <f aca="false">KMeans_Data!I92</f>
        <v>-0.146983133929529</v>
      </c>
      <c r="D495" s="17" t="n">
        <f aca="false">KMeans_Data!J92</f>
        <v>0.628513491585819</v>
      </c>
      <c r="E495" s="63" t="n">
        <f aca="false">DN495</f>
        <v>6</v>
      </c>
      <c r="F495" s="38" t="n">
        <f aca="false">($B495-INDEX($L$401:$Q$401,E495))^2+($C495-INDEX($L$402:$Q$402,E495))^2+($D495-INDEX($L$403:$Q$403,E495))^2</f>
        <v>0.475717451107257</v>
      </c>
      <c r="G495" s="17" t="n">
        <f aca="false">IF(COUNTIF(Distance_Matrix!$E$12:$DQ$12,$E495)&lt;=1,0,SUMIF(Distance_Matrix!$E$12:$DQ$12,$E495,Distance_Matrix!$E$101:$DQ$101)/(COUNTIF(Distance_Matrix!$E$12:$DQ$12,$E495)-1))</f>
        <v>0.940350564387807</v>
      </c>
      <c r="H495" s="17" t="n">
        <f aca="false">MIN(IF(1=$E495,1E+099,IF(COUNTIF(Distance_Matrix!$E$12:$DQ$12,1)=0,1E+099,SUMIF(Distance_Matrix!$E$12:$DQ$12,1,Distance_Matrix!$E$101:$DQ$101)/COUNTIF(Distance_Matrix!$E$12:$DQ$12,1))),IF(2=$E495,1E+099,IF(COUNTIF(Distance_Matrix!$E$12:$DQ$12,2)=0,1E+099,SUMIF(Distance_Matrix!$E$12:$DQ$12,2,Distance_Matrix!$E$101:$DQ$101)/COUNTIF(Distance_Matrix!$E$12:$DQ$12,2))),IF(3=$E495,1E+099,IF(COUNTIF(Distance_Matrix!$E$12:$DQ$12,3)=0,1E+099,SUMIF(Distance_Matrix!$E$12:$DQ$12,3,Distance_Matrix!$E$101:$DQ$101)/COUNTIF(Distance_Matrix!$E$12:$DQ$12,3))),IF(4=$E495,1E+099,IF(COUNTIF(Distance_Matrix!$E$12:$DQ$12,4)=0,1E+099,SUMIF(Distance_Matrix!$E$12:$DQ$12,4,Distance_Matrix!$E$101:$DQ$101)/COUNTIF(Distance_Matrix!$E$12:$DQ$12,4))),IF(5=$E495,1E+099,IF(COUNTIF(Distance_Matrix!$E$12:$DQ$12,5)=0,1E+099,SUMIF(Distance_Matrix!$E$12:$DQ$12,5,Distance_Matrix!$E$101:$DQ$101)/COUNTIF(Distance_Matrix!$E$12:$DQ$12,5))),IF(6=$E495,1E+099,IF(COUNTIF(Distance_Matrix!$E$12:$DQ$12,6)=0,1E+099,SUMIF(Distance_Matrix!$E$12:$DQ$12,6,Distance_Matrix!$E$101:$DQ$101)/COUNTIF(Distance_Matrix!$E$12:$DQ$12,6))))</f>
        <v>1.84176404083802</v>
      </c>
      <c r="I495" s="17" t="n">
        <f aca="false">IF(COUNTIF(Distance_Matrix!$E$12:$DQ$12,$E495)&lt;=1,0,(H495-G495)/MAX(G495,H495))</f>
        <v>0.489429403801402</v>
      </c>
      <c r="X495" s="17" t="n">
        <f aca="false">SQRT(($B495-X$401)^2+($C495-X$402)^2+($D495-X$403)^2)</f>
        <v>6.34444553438655</v>
      </c>
      <c r="Y495" s="17" t="n">
        <f aca="false">SQRT(($B495-Y$401)^2+($C495-Y$402)^2+($D495-Y$403)^2)</f>
        <v>2.30447426490723</v>
      </c>
      <c r="Z495" s="17" t="n">
        <f aca="false">SQRT(($B495-Z$401)^2+($C495-Z$402)^2+($D495-Z$403)^2)</f>
        <v>2.00623655151962</v>
      </c>
      <c r="AA495" s="17" t="n">
        <f aca="false">SQRT(($B495-AA$401)^2+($C495-AA$402)^2+($D495-AA$403)^2)</f>
        <v>2.23050732117871</v>
      </c>
      <c r="AB495" s="17" t="n">
        <f aca="false">SQRT(($B495-AB$401)^2+($C495-AB$402)^2+($D495-AB$403)^2)</f>
        <v>4.29294656900473</v>
      </c>
      <c r="AC495" s="17" t="n">
        <f aca="false">SQRT(($B495-AC$401)^2+($C495-AC$402)^2+($D495-AC$403)^2)</f>
        <v>0</v>
      </c>
      <c r="AD495" s="63" t="n">
        <f aca="false">MATCH(MIN(X495:AC495),X495:AC495,0)</f>
        <v>6</v>
      </c>
      <c r="AF495" s="17" t="n">
        <f aca="false">SQRT(($B495-AF$401)^2+($C495-AF$402)^2+($D495-AF$403)^2)</f>
        <v>6.26367519345531</v>
      </c>
      <c r="AG495" s="17" t="n">
        <f aca="false">SQRT(($B495-AG$401)^2+($C495-AG$402)^2+($D495-AG$403)^2)</f>
        <v>1.89814849462638</v>
      </c>
      <c r="AH495" s="17" t="n">
        <f aca="false">SQRT(($B495-AH$401)^2+($C495-AH$402)^2+($D495-AH$403)^2)</f>
        <v>1.80368843056071</v>
      </c>
      <c r="AI495" s="17" t="n">
        <f aca="false">SQRT(($B495-AI$401)^2+($C495-AI$402)^2+($D495-AI$403)^2)</f>
        <v>1.75422265441686</v>
      </c>
      <c r="AJ495" s="17" t="n">
        <f aca="false">SQRT(($B495-AJ$401)^2+($C495-AJ$402)^2+($D495-AJ$403)^2)</f>
        <v>4.04890268209127</v>
      </c>
      <c r="AK495" s="17" t="n">
        <f aca="false">SQRT(($B495-AK$401)^2+($C495-AK$402)^2+($D495-AK$403)^2)</f>
        <v>0.6799440519034</v>
      </c>
      <c r="AL495" s="63" t="n">
        <f aca="false">MATCH(MIN(AF495:AK495),AF495:AK495,0)</f>
        <v>6</v>
      </c>
      <c r="AN495" s="17" t="n">
        <f aca="false">SQRT(($B495-AN$401)^2+($C495-AN$402)^2+($D495-AN$403)^2)</f>
        <v>6.26367519345531</v>
      </c>
      <c r="AO495" s="17" t="n">
        <f aca="false">SQRT(($B495-AO$401)^2+($C495-AO$402)^2+($D495-AO$403)^2)</f>
        <v>1.8654164157688</v>
      </c>
      <c r="AP495" s="17" t="n">
        <f aca="false">SQRT(($B495-AP$401)^2+($C495-AP$402)^2+($D495-AP$403)^2)</f>
        <v>1.77286642287953</v>
      </c>
      <c r="AQ495" s="17" t="n">
        <f aca="false">SQRT(($B495-AQ$401)^2+($C495-AQ$402)^2+($D495-AQ$403)^2)</f>
        <v>1.76344467188361</v>
      </c>
      <c r="AR495" s="17" t="n">
        <f aca="false">SQRT(($B495-AR$401)^2+($C495-AR$402)^2+($D495-AR$403)^2)</f>
        <v>4.04890268209127</v>
      </c>
      <c r="AS495" s="17" t="n">
        <f aca="false">SQRT(($B495-AS$401)^2+($C495-AS$402)^2+($D495-AS$403)^2)</f>
        <v>0.690120860123287</v>
      </c>
      <c r="AT495" s="63" t="n">
        <f aca="false">MATCH(MIN(AN495:AS495),AN495:AS495,0)</f>
        <v>6</v>
      </c>
      <c r="AV495" s="17" t="n">
        <f aca="false">SQRT(($B495-AV$401)^2+($C495-AV$402)^2+($D495-AV$403)^2)</f>
        <v>6.26367519345531</v>
      </c>
      <c r="AW495" s="17" t="n">
        <f aca="false">SQRT(($B495-AW$401)^2+($C495-AW$402)^2+($D495-AW$403)^2)</f>
        <v>1.83622861584551</v>
      </c>
      <c r="AX495" s="17" t="n">
        <f aca="false">SQRT(($B495-AX$401)^2+($C495-AX$402)^2+($D495-AX$403)^2)</f>
        <v>1.77286642287953</v>
      </c>
      <c r="AY495" s="17" t="n">
        <f aca="false">SQRT(($B495-AY$401)^2+($C495-AY$402)^2+($D495-AY$403)^2)</f>
        <v>1.76344467188361</v>
      </c>
      <c r="AZ495" s="17" t="n">
        <f aca="false">SQRT(($B495-AZ$401)^2+($C495-AZ$402)^2+($D495-AZ$403)^2)</f>
        <v>4.04890268209127</v>
      </c>
      <c r="BA495" s="17" t="n">
        <f aca="false">SQRT(($B495-BA$401)^2+($C495-BA$402)^2+($D495-BA$403)^2)</f>
        <v>0.68814100306788</v>
      </c>
      <c r="BB495" s="63" t="n">
        <f aca="false">MATCH(MIN(AV495:BA495),AV495:BA495,0)</f>
        <v>6</v>
      </c>
      <c r="BD495" s="17" t="n">
        <f aca="false">SQRT(($B495-BD$401)^2+($C495-BD$402)^2+($D495-BD$403)^2)</f>
        <v>6.26367519345531</v>
      </c>
      <c r="BE495" s="17" t="n">
        <f aca="false">SQRT(($B495-BE$401)^2+($C495-BE$402)^2+($D495-BE$403)^2)</f>
        <v>1.80693108088601</v>
      </c>
      <c r="BF495" s="17" t="n">
        <f aca="false">SQRT(($B495-BF$401)^2+($C495-BF$402)^2+($D495-BF$403)^2)</f>
        <v>1.77286642287953</v>
      </c>
      <c r="BG495" s="17" t="n">
        <f aca="false">SQRT(($B495-BG$401)^2+($C495-BG$402)^2+($D495-BG$403)^2)</f>
        <v>1.76344467188361</v>
      </c>
      <c r="BH495" s="17" t="n">
        <f aca="false">SQRT(($B495-BH$401)^2+($C495-BH$402)^2+($D495-BH$403)^2)</f>
        <v>4.04890268209127</v>
      </c>
      <c r="BI495" s="17" t="n">
        <f aca="false">SQRT(($B495-BI$401)^2+($C495-BI$402)^2+($D495-BI$403)^2)</f>
        <v>0.689722734950253</v>
      </c>
      <c r="BJ495" s="63" t="n">
        <f aca="false">MATCH(MIN(BD495:BI495),BD495:BI495,0)</f>
        <v>6</v>
      </c>
      <c r="BL495" s="17" t="n">
        <f aca="false">SQRT(($B495-BL$401)^2+($C495-BL$402)^2+($D495-BL$403)^2)</f>
        <v>6.26367519345531</v>
      </c>
      <c r="BM495" s="17" t="n">
        <f aca="false">SQRT(($B495-BM$401)^2+($C495-BM$402)^2+($D495-BM$403)^2)</f>
        <v>1.80693108088601</v>
      </c>
      <c r="BN495" s="17" t="n">
        <f aca="false">SQRT(($B495-BN$401)^2+($C495-BN$402)^2+($D495-BN$403)^2)</f>
        <v>1.77286642287953</v>
      </c>
      <c r="BO495" s="17" t="n">
        <f aca="false">SQRT(($B495-BO$401)^2+($C495-BO$402)^2+($D495-BO$403)^2)</f>
        <v>1.76344467188361</v>
      </c>
      <c r="BP495" s="17" t="n">
        <f aca="false">SQRT(($B495-BP$401)^2+($C495-BP$402)^2+($D495-BP$403)^2)</f>
        <v>4.04890268209127</v>
      </c>
      <c r="BQ495" s="17" t="n">
        <f aca="false">SQRT(($B495-BQ$401)^2+($C495-BQ$402)^2+($D495-BQ$403)^2)</f>
        <v>0.689722734950253</v>
      </c>
      <c r="BR495" s="63" t="n">
        <f aca="false">MATCH(MIN(BL495:BQ495),BL495:BQ495,0)</f>
        <v>6</v>
      </c>
      <c r="BT495" s="17" t="n">
        <f aca="false">SQRT(($B495-BT$401)^2+($C495-BT$402)^2+($D495-BT$403)^2)</f>
        <v>6.26367519345531</v>
      </c>
      <c r="BU495" s="17" t="n">
        <f aca="false">SQRT(($B495-BU$401)^2+($C495-BU$402)^2+($D495-BU$403)^2)</f>
        <v>1.80693108088601</v>
      </c>
      <c r="BV495" s="17" t="n">
        <f aca="false">SQRT(($B495-BV$401)^2+($C495-BV$402)^2+($D495-BV$403)^2)</f>
        <v>1.77286642287953</v>
      </c>
      <c r="BW495" s="17" t="n">
        <f aca="false">SQRT(($B495-BW$401)^2+($C495-BW$402)^2+($D495-BW$403)^2)</f>
        <v>1.76344467188361</v>
      </c>
      <c r="BX495" s="17" t="n">
        <f aca="false">SQRT(($B495-BX$401)^2+($C495-BX$402)^2+($D495-BX$403)^2)</f>
        <v>4.04890268209127</v>
      </c>
      <c r="BY495" s="17" t="n">
        <f aca="false">SQRT(($B495-BY$401)^2+($C495-BY$402)^2+($D495-BY$403)^2)</f>
        <v>0.689722734950253</v>
      </c>
      <c r="BZ495" s="63" t="n">
        <f aca="false">MATCH(MIN(BT495:BY495),BT495:BY495,0)</f>
        <v>6</v>
      </c>
      <c r="CB495" s="17" t="n">
        <f aca="false">SQRT(($B495-CB$401)^2+($C495-CB$402)^2+($D495-CB$403)^2)</f>
        <v>6.26367519345531</v>
      </c>
      <c r="CC495" s="17" t="n">
        <f aca="false">SQRT(($B495-CC$401)^2+($C495-CC$402)^2+($D495-CC$403)^2)</f>
        <v>1.80693108088601</v>
      </c>
      <c r="CD495" s="17" t="n">
        <f aca="false">SQRT(($B495-CD$401)^2+($C495-CD$402)^2+($D495-CD$403)^2)</f>
        <v>1.77286642287953</v>
      </c>
      <c r="CE495" s="17" t="n">
        <f aca="false">SQRT(($B495-CE$401)^2+($C495-CE$402)^2+($D495-CE$403)^2)</f>
        <v>1.76344467188361</v>
      </c>
      <c r="CF495" s="17" t="n">
        <f aca="false">SQRT(($B495-CF$401)^2+($C495-CF$402)^2+($D495-CF$403)^2)</f>
        <v>4.04890268209127</v>
      </c>
      <c r="CG495" s="17" t="n">
        <f aca="false">SQRT(($B495-CG$401)^2+($C495-CG$402)^2+($D495-CG$403)^2)</f>
        <v>0.689722734950253</v>
      </c>
      <c r="CH495" s="63" t="n">
        <f aca="false">MATCH(MIN(CB495:CG495),CB495:CG495,0)</f>
        <v>6</v>
      </c>
      <c r="CJ495" s="17" t="n">
        <f aca="false">SQRT(($B495-CJ$401)^2+($C495-CJ$402)^2+($D495-CJ$403)^2)</f>
        <v>6.26367519345531</v>
      </c>
      <c r="CK495" s="17" t="n">
        <f aca="false">SQRT(($B495-CK$401)^2+($C495-CK$402)^2+($D495-CK$403)^2)</f>
        <v>1.80693108088601</v>
      </c>
      <c r="CL495" s="17" t="n">
        <f aca="false">SQRT(($B495-CL$401)^2+($C495-CL$402)^2+($D495-CL$403)^2)</f>
        <v>1.77286642287953</v>
      </c>
      <c r="CM495" s="17" t="n">
        <f aca="false">SQRT(($B495-CM$401)^2+($C495-CM$402)^2+($D495-CM$403)^2)</f>
        <v>1.76344467188361</v>
      </c>
      <c r="CN495" s="17" t="n">
        <f aca="false">SQRT(($B495-CN$401)^2+($C495-CN$402)^2+($D495-CN$403)^2)</f>
        <v>4.04890268209127</v>
      </c>
      <c r="CO495" s="17" t="n">
        <f aca="false">SQRT(($B495-CO$401)^2+($C495-CO$402)^2+($D495-CO$403)^2)</f>
        <v>0.689722734950253</v>
      </c>
      <c r="CP495" s="63" t="n">
        <f aca="false">MATCH(MIN(CJ495:CO495),CJ495:CO495,0)</f>
        <v>6</v>
      </c>
      <c r="CR495" s="17" t="n">
        <f aca="false">SQRT(($B495-CR$401)^2+($C495-CR$402)^2+($D495-CR$403)^2)</f>
        <v>6.26367519345531</v>
      </c>
      <c r="CS495" s="17" t="n">
        <f aca="false">SQRT(($B495-CS$401)^2+($C495-CS$402)^2+($D495-CS$403)^2)</f>
        <v>1.80693108088601</v>
      </c>
      <c r="CT495" s="17" t="n">
        <f aca="false">SQRT(($B495-CT$401)^2+($C495-CT$402)^2+($D495-CT$403)^2)</f>
        <v>1.77286642287953</v>
      </c>
      <c r="CU495" s="17" t="n">
        <f aca="false">SQRT(($B495-CU$401)^2+($C495-CU$402)^2+($D495-CU$403)^2)</f>
        <v>1.76344467188361</v>
      </c>
      <c r="CV495" s="17" t="n">
        <f aca="false">SQRT(($B495-CV$401)^2+($C495-CV$402)^2+($D495-CV$403)^2)</f>
        <v>4.04890268209127</v>
      </c>
      <c r="CW495" s="17" t="n">
        <f aca="false">SQRT(($B495-CW$401)^2+($C495-CW$402)^2+($D495-CW$403)^2)</f>
        <v>0.689722734950253</v>
      </c>
      <c r="CX495" s="63" t="n">
        <f aca="false">MATCH(MIN(CR495:CW495),CR495:CW495,0)</f>
        <v>6</v>
      </c>
      <c r="CZ495" s="17" t="n">
        <f aca="false">SQRT(($B495-CZ$401)^2+($C495-CZ$402)^2+($D495-CZ$403)^2)</f>
        <v>6.26367519345531</v>
      </c>
      <c r="DA495" s="17" t="n">
        <f aca="false">SQRT(($B495-DA$401)^2+($C495-DA$402)^2+($D495-DA$403)^2)</f>
        <v>1.80693108088601</v>
      </c>
      <c r="DB495" s="17" t="n">
        <f aca="false">SQRT(($B495-DB$401)^2+($C495-DB$402)^2+($D495-DB$403)^2)</f>
        <v>1.77286642287953</v>
      </c>
      <c r="DC495" s="17" t="n">
        <f aca="false">SQRT(($B495-DC$401)^2+($C495-DC$402)^2+($D495-DC$403)^2)</f>
        <v>1.76344467188361</v>
      </c>
      <c r="DD495" s="17" t="n">
        <f aca="false">SQRT(($B495-DD$401)^2+($C495-DD$402)^2+($D495-DD$403)^2)</f>
        <v>4.04890268209127</v>
      </c>
      <c r="DE495" s="17" t="n">
        <f aca="false">SQRT(($B495-DE$401)^2+($C495-DE$402)^2+($D495-DE$403)^2)</f>
        <v>0.689722734950253</v>
      </c>
      <c r="DF495" s="63" t="n">
        <f aca="false">MATCH(MIN(CZ495:DE495),CZ495:DE495,0)</f>
        <v>6</v>
      </c>
      <c r="DH495" s="17" t="n">
        <f aca="false">SQRT(($B495-DH$401)^2+($C495-DH$402)^2+($D495-DH$403)^2)</f>
        <v>6.26367519345531</v>
      </c>
      <c r="DI495" s="17" t="n">
        <f aca="false">SQRT(($B495-DI$401)^2+($C495-DI$402)^2+($D495-DI$403)^2)</f>
        <v>1.80693108088601</v>
      </c>
      <c r="DJ495" s="17" t="n">
        <f aca="false">SQRT(($B495-DJ$401)^2+($C495-DJ$402)^2+($D495-DJ$403)^2)</f>
        <v>1.77286642287953</v>
      </c>
      <c r="DK495" s="17" t="n">
        <f aca="false">SQRT(($B495-DK$401)^2+($C495-DK$402)^2+($D495-DK$403)^2)</f>
        <v>1.76344467188361</v>
      </c>
      <c r="DL495" s="17" t="n">
        <f aca="false">SQRT(($B495-DL$401)^2+($C495-DL$402)^2+($D495-DL$403)^2)</f>
        <v>4.04890268209127</v>
      </c>
      <c r="DM495" s="17" t="n">
        <f aca="false">SQRT(($B495-DM$401)^2+($C495-DM$402)^2+($D495-DM$403)^2)</f>
        <v>0.689722734950253</v>
      </c>
      <c r="DN495" s="63" t="n">
        <f aca="false">MATCH(MIN(DH495:DM495),DH495:DM495,0)</f>
        <v>6</v>
      </c>
    </row>
    <row r="496" customFormat="false" ht="15" hidden="false" customHeight="false" outlineLevel="0" collapsed="false">
      <c r="A496" s="36" t="str">
        <f aca="false">KMeans_Data!A93</f>
        <v>Lakki Marwat</v>
      </c>
      <c r="B496" s="17" t="n">
        <f aca="false">KMeans_Data!H93</f>
        <v>-0.744758744633192</v>
      </c>
      <c r="C496" s="17" t="n">
        <f aca="false">KMeans_Data!I93</f>
        <v>-0.146983133929529</v>
      </c>
      <c r="D496" s="17" t="n">
        <f aca="false">KMeans_Data!J93</f>
        <v>-0.182049815029191</v>
      </c>
      <c r="E496" s="63" t="n">
        <f aca="false">DN496</f>
        <v>6</v>
      </c>
      <c r="F496" s="38" t="n">
        <f aca="false">($B496-INDEX($L$401:$Q$401,E496))^2+($C496-INDEX($L$402:$Q$402,E496))^2+($D496-INDEX($L$403:$Q$403,E496))^2</f>
        <v>0.526005846741046</v>
      </c>
      <c r="G496" s="17" t="n">
        <f aca="false">IF(COUNTIF(Distance_Matrix!$E$12:$DQ$12,$E496)&lt;=1,0,SUMIF(Distance_Matrix!$E$12:$DQ$12,$E496,Distance_Matrix!$E$102:$DQ$102)/(COUNTIF(Distance_Matrix!$E$12:$DQ$12,$E496)-1))</f>
        <v>0.926845881245243</v>
      </c>
      <c r="H496" s="17" t="n">
        <f aca="false">MIN(IF(1=$E496,1E+099,IF(COUNTIF(Distance_Matrix!$E$12:$DQ$12,1)=0,1E+099,SUMIF(Distance_Matrix!$E$12:$DQ$12,1,Distance_Matrix!$E$102:$DQ$102)/COUNTIF(Distance_Matrix!$E$12:$DQ$12,1))),IF(2=$E496,1E+099,IF(COUNTIF(Distance_Matrix!$E$12:$DQ$12,2)=0,1E+099,SUMIF(Distance_Matrix!$E$12:$DQ$12,2,Distance_Matrix!$E$102:$DQ$102)/COUNTIF(Distance_Matrix!$E$12:$DQ$12,2))),IF(3=$E496,1E+099,IF(COUNTIF(Distance_Matrix!$E$12:$DQ$12,3)=0,1E+099,SUMIF(Distance_Matrix!$E$12:$DQ$12,3,Distance_Matrix!$E$102:$DQ$102)/COUNTIF(Distance_Matrix!$E$12:$DQ$12,3))),IF(4=$E496,1E+099,IF(COUNTIF(Distance_Matrix!$E$12:$DQ$12,4)=0,1E+099,SUMIF(Distance_Matrix!$E$12:$DQ$12,4,Distance_Matrix!$E$102:$DQ$102)/COUNTIF(Distance_Matrix!$E$12:$DQ$12,4))),IF(5=$E496,1E+099,IF(COUNTIF(Distance_Matrix!$E$12:$DQ$12,5)=0,1E+099,SUMIF(Distance_Matrix!$E$12:$DQ$12,5,Distance_Matrix!$E$102:$DQ$102)/COUNTIF(Distance_Matrix!$E$12:$DQ$12,5))),IF(6=$E496,1E+099,IF(COUNTIF(Distance_Matrix!$E$12:$DQ$12,6)=0,1E+099,SUMIF(Distance_Matrix!$E$12:$DQ$12,6,Distance_Matrix!$E$102:$DQ$102)/COUNTIF(Distance_Matrix!$E$12:$DQ$12,6))))</f>
        <v>1.16586414863958</v>
      </c>
      <c r="I496" s="17" t="n">
        <f aca="false">IF(COUNTIF(Distance_Matrix!$E$12:$DQ$12,$E496)&lt;=1,0,(H496-G496)/MAX(G496,H496))</f>
        <v>0.205013824014784</v>
      </c>
      <c r="X496" s="17" t="n">
        <f aca="false">SQRT(($B496-X$401)^2+($C496-X$402)^2+($D496-X$403)^2)</f>
        <v>6.74327164312577</v>
      </c>
      <c r="Y496" s="17" t="n">
        <f aca="false">SQRT(($B496-Y$401)^2+($C496-Y$402)^2+($D496-Y$403)^2)</f>
        <v>1.72829678257275</v>
      </c>
      <c r="Z496" s="17" t="n">
        <f aca="false">SQRT(($B496-Z$401)^2+($C496-Z$402)^2+($D496-Z$403)^2)</f>
        <v>2.48652302232641</v>
      </c>
      <c r="AA496" s="17" t="n">
        <f aca="false">SQRT(($B496-AA$401)^2+($C496-AA$402)^2+($D496-AA$403)^2)</f>
        <v>1.69168985842034</v>
      </c>
      <c r="AB496" s="17" t="n">
        <f aca="false">SQRT(($B496-AB$401)^2+($C496-AB$402)^2+($D496-AB$403)^2)</f>
        <v>4.70656572841034</v>
      </c>
      <c r="AC496" s="17" t="n">
        <f aca="false">SQRT(($B496-AC$401)^2+($C496-AC$402)^2+($D496-AC$403)^2)</f>
        <v>0.811480495354841</v>
      </c>
      <c r="AD496" s="63" t="n">
        <f aca="false">MATCH(MIN(X496:AC496),X496:AC496,0)</f>
        <v>6</v>
      </c>
      <c r="AF496" s="17" t="n">
        <f aca="false">SQRT(($B496-AF$401)^2+($C496-AF$402)^2+($D496-AF$403)^2)</f>
        <v>6.6323912864965</v>
      </c>
      <c r="AG496" s="17" t="n">
        <f aca="false">SQRT(($B496-AG$401)^2+($C496-AG$402)^2+($D496-AG$403)^2)</f>
        <v>1.19125513847106</v>
      </c>
      <c r="AH496" s="17" t="n">
        <f aca="false">SQRT(($B496-AH$401)^2+($C496-AH$402)^2+($D496-AH$403)^2)</f>
        <v>2.13052982255629</v>
      </c>
      <c r="AI496" s="17" t="n">
        <f aca="false">SQRT(($B496-AI$401)^2+($C496-AI$402)^2+($D496-AI$403)^2)</f>
        <v>1.18135653965998</v>
      </c>
      <c r="AJ496" s="17" t="n">
        <f aca="false">SQRT(($B496-AJ$401)^2+($C496-AJ$402)^2+($D496-AJ$403)^2)</f>
        <v>4.37582761265911</v>
      </c>
      <c r="AK496" s="17" t="n">
        <f aca="false">SQRT(($B496-AK$401)^2+($C496-AK$402)^2+($D496-AK$403)^2)</f>
        <v>0.643543915876672</v>
      </c>
      <c r="AL496" s="63" t="n">
        <f aca="false">MATCH(MIN(AF496:AK496),AF496:AK496,0)</f>
        <v>6</v>
      </c>
      <c r="AN496" s="17" t="n">
        <f aca="false">SQRT(($B496-AN$401)^2+($C496-AN$402)^2+($D496-AN$403)^2)</f>
        <v>6.6323912864965</v>
      </c>
      <c r="AO496" s="17" t="n">
        <f aca="false">SQRT(($B496-AO$401)^2+($C496-AO$402)^2+($D496-AO$403)^2)</f>
        <v>1.15514510877123</v>
      </c>
      <c r="AP496" s="17" t="n">
        <f aca="false">SQRT(($B496-AP$401)^2+($C496-AP$402)^2+($D496-AP$403)^2)</f>
        <v>2.09809387063931</v>
      </c>
      <c r="AQ496" s="17" t="n">
        <f aca="false">SQRT(($B496-AQ$401)^2+($C496-AQ$402)^2+($D496-AQ$403)^2)</f>
        <v>1.19085302424345</v>
      </c>
      <c r="AR496" s="17" t="n">
        <f aca="false">SQRT(($B496-AR$401)^2+($C496-AR$402)^2+($D496-AR$403)^2)</f>
        <v>4.37582761265911</v>
      </c>
      <c r="AS496" s="17" t="n">
        <f aca="false">SQRT(($B496-AS$401)^2+($C496-AS$402)^2+($D496-AS$403)^2)</f>
        <v>0.683980405964773</v>
      </c>
      <c r="AT496" s="63" t="n">
        <f aca="false">MATCH(MIN(AN496:AS496),AN496:AS496,0)</f>
        <v>6</v>
      </c>
      <c r="AV496" s="17" t="n">
        <f aca="false">SQRT(($B496-AV$401)^2+($C496-AV$402)^2+($D496-AV$403)^2)</f>
        <v>6.6323912864965</v>
      </c>
      <c r="AW496" s="17" t="n">
        <f aca="false">SQRT(($B496-AW$401)^2+($C496-AW$402)^2+($D496-AW$403)^2)</f>
        <v>1.12685540974679</v>
      </c>
      <c r="AX496" s="17" t="n">
        <f aca="false">SQRT(($B496-AX$401)^2+($C496-AX$402)^2+($D496-AX$403)^2)</f>
        <v>2.09809387063931</v>
      </c>
      <c r="AY496" s="17" t="n">
        <f aca="false">SQRT(($B496-AY$401)^2+($C496-AY$402)^2+($D496-AY$403)^2)</f>
        <v>1.19085302424345</v>
      </c>
      <c r="AZ496" s="17" t="n">
        <f aca="false">SQRT(($B496-AZ$401)^2+($C496-AZ$402)^2+($D496-AZ$403)^2)</f>
        <v>4.37582761265911</v>
      </c>
      <c r="BA496" s="17" t="n">
        <f aca="false">SQRT(($B496-BA$401)^2+($C496-BA$402)^2+($D496-BA$403)^2)</f>
        <v>0.703985730142439</v>
      </c>
      <c r="BB496" s="63" t="n">
        <f aca="false">MATCH(MIN(AV496:BA496),AV496:BA496,0)</f>
        <v>6</v>
      </c>
      <c r="BD496" s="17" t="n">
        <f aca="false">SQRT(($B496-BD$401)^2+($C496-BD$402)^2+($D496-BD$403)^2)</f>
        <v>6.6323912864965</v>
      </c>
      <c r="BE496" s="17" t="n">
        <f aca="false">SQRT(($B496-BE$401)^2+($C496-BE$402)^2+($D496-BE$403)^2)</f>
        <v>1.09921582036128</v>
      </c>
      <c r="BF496" s="17" t="n">
        <f aca="false">SQRT(($B496-BF$401)^2+($C496-BF$402)^2+($D496-BF$403)^2)</f>
        <v>2.09809387063931</v>
      </c>
      <c r="BG496" s="17" t="n">
        <f aca="false">SQRT(($B496-BG$401)^2+($C496-BG$402)^2+($D496-BG$403)^2)</f>
        <v>1.19085302424345</v>
      </c>
      <c r="BH496" s="17" t="n">
        <f aca="false">SQRT(($B496-BH$401)^2+($C496-BH$402)^2+($D496-BH$403)^2)</f>
        <v>4.37582761265911</v>
      </c>
      <c r="BI496" s="17" t="n">
        <f aca="false">SQRT(($B496-BI$401)^2+($C496-BI$402)^2+($D496-BI$403)^2)</f>
        <v>0.72526260536515</v>
      </c>
      <c r="BJ496" s="63" t="n">
        <f aca="false">MATCH(MIN(BD496:BI496),BD496:BI496,0)</f>
        <v>6</v>
      </c>
      <c r="BL496" s="17" t="n">
        <f aca="false">SQRT(($B496-BL$401)^2+($C496-BL$402)^2+($D496-BL$403)^2)</f>
        <v>6.6323912864965</v>
      </c>
      <c r="BM496" s="17" t="n">
        <f aca="false">SQRT(($B496-BM$401)^2+($C496-BM$402)^2+($D496-BM$403)^2)</f>
        <v>1.09921582036128</v>
      </c>
      <c r="BN496" s="17" t="n">
        <f aca="false">SQRT(($B496-BN$401)^2+($C496-BN$402)^2+($D496-BN$403)^2)</f>
        <v>2.09809387063931</v>
      </c>
      <c r="BO496" s="17" t="n">
        <f aca="false">SQRT(($B496-BO$401)^2+($C496-BO$402)^2+($D496-BO$403)^2)</f>
        <v>1.19085302424345</v>
      </c>
      <c r="BP496" s="17" t="n">
        <f aca="false">SQRT(($B496-BP$401)^2+($C496-BP$402)^2+($D496-BP$403)^2)</f>
        <v>4.37582761265911</v>
      </c>
      <c r="BQ496" s="17" t="n">
        <f aca="false">SQRT(($B496-BQ$401)^2+($C496-BQ$402)^2+($D496-BQ$403)^2)</f>
        <v>0.72526260536515</v>
      </c>
      <c r="BR496" s="63" t="n">
        <f aca="false">MATCH(MIN(BL496:BQ496),BL496:BQ496,0)</f>
        <v>6</v>
      </c>
      <c r="BT496" s="17" t="n">
        <f aca="false">SQRT(($B496-BT$401)^2+($C496-BT$402)^2+($D496-BT$403)^2)</f>
        <v>6.6323912864965</v>
      </c>
      <c r="BU496" s="17" t="n">
        <f aca="false">SQRT(($B496-BU$401)^2+($C496-BU$402)^2+($D496-BU$403)^2)</f>
        <v>1.09921582036128</v>
      </c>
      <c r="BV496" s="17" t="n">
        <f aca="false">SQRT(($B496-BV$401)^2+($C496-BV$402)^2+($D496-BV$403)^2)</f>
        <v>2.09809387063931</v>
      </c>
      <c r="BW496" s="17" t="n">
        <f aca="false">SQRT(($B496-BW$401)^2+($C496-BW$402)^2+($D496-BW$403)^2)</f>
        <v>1.19085302424345</v>
      </c>
      <c r="BX496" s="17" t="n">
        <f aca="false">SQRT(($B496-BX$401)^2+($C496-BX$402)^2+($D496-BX$403)^2)</f>
        <v>4.37582761265911</v>
      </c>
      <c r="BY496" s="17" t="n">
        <f aca="false">SQRT(($B496-BY$401)^2+($C496-BY$402)^2+($D496-BY$403)^2)</f>
        <v>0.72526260536515</v>
      </c>
      <c r="BZ496" s="63" t="n">
        <f aca="false">MATCH(MIN(BT496:BY496),BT496:BY496,0)</f>
        <v>6</v>
      </c>
      <c r="CB496" s="17" t="n">
        <f aca="false">SQRT(($B496-CB$401)^2+($C496-CB$402)^2+($D496-CB$403)^2)</f>
        <v>6.6323912864965</v>
      </c>
      <c r="CC496" s="17" t="n">
        <f aca="false">SQRT(($B496-CC$401)^2+($C496-CC$402)^2+($D496-CC$403)^2)</f>
        <v>1.09921582036128</v>
      </c>
      <c r="CD496" s="17" t="n">
        <f aca="false">SQRT(($B496-CD$401)^2+($C496-CD$402)^2+($D496-CD$403)^2)</f>
        <v>2.09809387063931</v>
      </c>
      <c r="CE496" s="17" t="n">
        <f aca="false">SQRT(($B496-CE$401)^2+($C496-CE$402)^2+($D496-CE$403)^2)</f>
        <v>1.19085302424345</v>
      </c>
      <c r="CF496" s="17" t="n">
        <f aca="false">SQRT(($B496-CF$401)^2+($C496-CF$402)^2+($D496-CF$403)^2)</f>
        <v>4.37582761265911</v>
      </c>
      <c r="CG496" s="17" t="n">
        <f aca="false">SQRT(($B496-CG$401)^2+($C496-CG$402)^2+($D496-CG$403)^2)</f>
        <v>0.72526260536515</v>
      </c>
      <c r="CH496" s="63" t="n">
        <f aca="false">MATCH(MIN(CB496:CG496),CB496:CG496,0)</f>
        <v>6</v>
      </c>
      <c r="CJ496" s="17" t="n">
        <f aca="false">SQRT(($B496-CJ$401)^2+($C496-CJ$402)^2+($D496-CJ$403)^2)</f>
        <v>6.6323912864965</v>
      </c>
      <c r="CK496" s="17" t="n">
        <f aca="false">SQRT(($B496-CK$401)^2+($C496-CK$402)^2+($D496-CK$403)^2)</f>
        <v>1.09921582036128</v>
      </c>
      <c r="CL496" s="17" t="n">
        <f aca="false">SQRT(($B496-CL$401)^2+($C496-CL$402)^2+($D496-CL$403)^2)</f>
        <v>2.09809387063931</v>
      </c>
      <c r="CM496" s="17" t="n">
        <f aca="false">SQRT(($B496-CM$401)^2+($C496-CM$402)^2+($D496-CM$403)^2)</f>
        <v>1.19085302424345</v>
      </c>
      <c r="CN496" s="17" t="n">
        <f aca="false">SQRT(($B496-CN$401)^2+($C496-CN$402)^2+($D496-CN$403)^2)</f>
        <v>4.37582761265911</v>
      </c>
      <c r="CO496" s="17" t="n">
        <f aca="false">SQRT(($B496-CO$401)^2+($C496-CO$402)^2+($D496-CO$403)^2)</f>
        <v>0.72526260536515</v>
      </c>
      <c r="CP496" s="63" t="n">
        <f aca="false">MATCH(MIN(CJ496:CO496),CJ496:CO496,0)</f>
        <v>6</v>
      </c>
      <c r="CR496" s="17" t="n">
        <f aca="false">SQRT(($B496-CR$401)^2+($C496-CR$402)^2+($D496-CR$403)^2)</f>
        <v>6.6323912864965</v>
      </c>
      <c r="CS496" s="17" t="n">
        <f aca="false">SQRT(($B496-CS$401)^2+($C496-CS$402)^2+($D496-CS$403)^2)</f>
        <v>1.09921582036128</v>
      </c>
      <c r="CT496" s="17" t="n">
        <f aca="false">SQRT(($B496-CT$401)^2+($C496-CT$402)^2+($D496-CT$403)^2)</f>
        <v>2.09809387063931</v>
      </c>
      <c r="CU496" s="17" t="n">
        <f aca="false">SQRT(($B496-CU$401)^2+($C496-CU$402)^2+($D496-CU$403)^2)</f>
        <v>1.19085302424345</v>
      </c>
      <c r="CV496" s="17" t="n">
        <f aca="false">SQRT(($B496-CV$401)^2+($C496-CV$402)^2+($D496-CV$403)^2)</f>
        <v>4.37582761265911</v>
      </c>
      <c r="CW496" s="17" t="n">
        <f aca="false">SQRT(($B496-CW$401)^2+($C496-CW$402)^2+($D496-CW$403)^2)</f>
        <v>0.72526260536515</v>
      </c>
      <c r="CX496" s="63" t="n">
        <f aca="false">MATCH(MIN(CR496:CW496),CR496:CW496,0)</f>
        <v>6</v>
      </c>
      <c r="CZ496" s="17" t="n">
        <f aca="false">SQRT(($B496-CZ$401)^2+($C496-CZ$402)^2+($D496-CZ$403)^2)</f>
        <v>6.6323912864965</v>
      </c>
      <c r="DA496" s="17" t="n">
        <f aca="false">SQRT(($B496-DA$401)^2+($C496-DA$402)^2+($D496-DA$403)^2)</f>
        <v>1.09921582036128</v>
      </c>
      <c r="DB496" s="17" t="n">
        <f aca="false">SQRT(($B496-DB$401)^2+($C496-DB$402)^2+($D496-DB$403)^2)</f>
        <v>2.09809387063931</v>
      </c>
      <c r="DC496" s="17" t="n">
        <f aca="false">SQRT(($B496-DC$401)^2+($C496-DC$402)^2+($D496-DC$403)^2)</f>
        <v>1.19085302424345</v>
      </c>
      <c r="DD496" s="17" t="n">
        <f aca="false">SQRT(($B496-DD$401)^2+($C496-DD$402)^2+($D496-DD$403)^2)</f>
        <v>4.37582761265911</v>
      </c>
      <c r="DE496" s="17" t="n">
        <f aca="false">SQRT(($B496-DE$401)^2+($C496-DE$402)^2+($D496-DE$403)^2)</f>
        <v>0.72526260536515</v>
      </c>
      <c r="DF496" s="63" t="n">
        <f aca="false">MATCH(MIN(CZ496:DE496),CZ496:DE496,0)</f>
        <v>6</v>
      </c>
      <c r="DH496" s="17" t="n">
        <f aca="false">SQRT(($B496-DH$401)^2+($C496-DH$402)^2+($D496-DH$403)^2)</f>
        <v>6.6323912864965</v>
      </c>
      <c r="DI496" s="17" t="n">
        <f aca="false">SQRT(($B496-DI$401)^2+($C496-DI$402)^2+($D496-DI$403)^2)</f>
        <v>1.09921582036128</v>
      </c>
      <c r="DJ496" s="17" t="n">
        <f aca="false">SQRT(($B496-DJ$401)^2+($C496-DJ$402)^2+($D496-DJ$403)^2)</f>
        <v>2.09809387063931</v>
      </c>
      <c r="DK496" s="17" t="n">
        <f aca="false">SQRT(($B496-DK$401)^2+($C496-DK$402)^2+($D496-DK$403)^2)</f>
        <v>1.19085302424345</v>
      </c>
      <c r="DL496" s="17" t="n">
        <f aca="false">SQRT(($B496-DL$401)^2+($C496-DL$402)^2+($D496-DL$403)^2)</f>
        <v>4.37582761265911</v>
      </c>
      <c r="DM496" s="17" t="n">
        <f aca="false">SQRT(($B496-DM$401)^2+($C496-DM$402)^2+($D496-DM$403)^2)</f>
        <v>0.72526260536515</v>
      </c>
      <c r="DN496" s="63" t="n">
        <f aca="false">MATCH(MIN(DH496:DM496),DH496:DM496,0)</f>
        <v>6</v>
      </c>
    </row>
    <row r="497" customFormat="false" ht="15" hidden="false" customHeight="false" outlineLevel="0" collapsed="false">
      <c r="A497" s="36" t="str">
        <f aca="false">KMeans_Data!A94</f>
        <v>Taftan</v>
      </c>
      <c r="B497" s="17" t="n">
        <f aca="false">KMeans_Data!H94</f>
        <v>-0.744758744633192</v>
      </c>
      <c r="C497" s="17" t="n">
        <f aca="false">KMeans_Data!I94</f>
        <v>-0.672650545388274</v>
      </c>
      <c r="D497" s="17" t="n">
        <f aca="false">KMeans_Data!J94</f>
        <v>-1.14564411633355</v>
      </c>
      <c r="E497" s="63" t="n">
        <f aca="false">DN497</f>
        <v>2</v>
      </c>
      <c r="F497" s="38" t="n">
        <f aca="false">($B497-INDEX($L$401:$Q$401,E497))^2+($C497-INDEX($L$402:$Q$402,E497))^2+($D497-INDEX($L$403:$Q$403,E497))^2</f>
        <v>0.264442892097125</v>
      </c>
      <c r="G497" s="17" t="n">
        <f aca="false">IF(COUNTIF(Distance_Matrix!$E$12:$DQ$12,$E497)&lt;=1,0,SUMIF(Distance_Matrix!$E$12:$DQ$12,$E497,Distance_Matrix!$E$103:$DQ$103)/(COUNTIF(Distance_Matrix!$E$12:$DQ$12,$E497)-1))</f>
        <v>0.63576285746188</v>
      </c>
      <c r="H497" s="17" t="n">
        <f aca="false">MIN(IF(1=$E497,1E+099,IF(COUNTIF(Distance_Matrix!$E$12:$DQ$12,1)=0,1E+099,SUMIF(Distance_Matrix!$E$12:$DQ$12,1,Distance_Matrix!$E$103:$DQ$103)/COUNTIF(Distance_Matrix!$E$12:$DQ$12,1))),IF(2=$E497,1E+099,IF(COUNTIF(Distance_Matrix!$E$12:$DQ$12,2)=0,1E+099,SUMIF(Distance_Matrix!$E$12:$DQ$12,2,Distance_Matrix!$E$103:$DQ$103)/COUNTIF(Distance_Matrix!$E$12:$DQ$12,2))),IF(3=$E497,1E+099,IF(COUNTIF(Distance_Matrix!$E$12:$DQ$12,3)=0,1E+099,SUMIF(Distance_Matrix!$E$12:$DQ$12,3,Distance_Matrix!$E$103:$DQ$103)/COUNTIF(Distance_Matrix!$E$12:$DQ$12,3))),IF(4=$E497,1E+099,IF(COUNTIF(Distance_Matrix!$E$12:$DQ$12,4)=0,1E+099,SUMIF(Distance_Matrix!$E$12:$DQ$12,4,Distance_Matrix!$E$103:$DQ$103)/COUNTIF(Distance_Matrix!$E$12:$DQ$12,4))),IF(5=$E497,1E+099,IF(COUNTIF(Distance_Matrix!$E$12:$DQ$12,5)=0,1E+099,SUMIF(Distance_Matrix!$E$12:$DQ$12,5,Distance_Matrix!$E$103:$DQ$103)/COUNTIF(Distance_Matrix!$E$12:$DQ$12,5))),IF(6=$E497,1E+099,IF(COUNTIF(Distance_Matrix!$E$12:$DQ$12,6)=0,1E+099,SUMIF(Distance_Matrix!$E$12:$DQ$12,6,Distance_Matrix!$E$103:$DQ$103)/COUNTIF(Distance_Matrix!$E$12:$DQ$12,6))))</f>
        <v>0.99808734127167</v>
      </c>
      <c r="I497" s="17" t="n">
        <f aca="false">IF(COUNTIF(Distance_Matrix!$E$12:$DQ$12,$E497)&lt;=1,0,(H497-G497)/MAX(G497,H497))</f>
        <v>0.363018814914685</v>
      </c>
      <c r="X497" s="17" t="n">
        <f aca="false">SQRT(($B497-X$401)^2+($C497-X$402)^2+($D497-X$403)^2)</f>
        <v>7.59583452709132</v>
      </c>
      <c r="Y497" s="17" t="n">
        <f aca="false">SQRT(($B497-Y$401)^2+($C497-Y$402)^2+($D497-Y$403)^2)</f>
        <v>1.33497923717013</v>
      </c>
      <c r="Z497" s="17" t="n">
        <f aca="false">SQRT(($B497-Z$401)^2+($C497-Z$402)^2+($D497-Z$403)^2)</f>
        <v>3.33539814601637</v>
      </c>
      <c r="AA497" s="17" t="n">
        <f aca="false">SQRT(($B497-AA$401)^2+($C497-AA$402)^2+($D497-AA$403)^2)</f>
        <v>1.48648135778614</v>
      </c>
      <c r="AB497" s="17" t="n">
        <f aca="false">SQRT(($B497-AB$401)^2+($C497-AB$402)^2+($D497-AB$403)^2)</f>
        <v>5.55390498863844</v>
      </c>
      <c r="AC497" s="17" t="n">
        <f aca="false">SQRT(($B497-AC$401)^2+($C497-AC$402)^2+($D497-AC$403)^2)</f>
        <v>1.8507969001267</v>
      </c>
      <c r="AD497" s="63" t="n">
        <f aca="false">MATCH(MIN(X497:AC497),X497:AC497,0)</f>
        <v>2</v>
      </c>
      <c r="AF497" s="17" t="n">
        <f aca="false">SQRT(($B497-AF$401)^2+($C497-AF$402)^2+($D497-AF$403)^2)</f>
        <v>7.46486827507443</v>
      </c>
      <c r="AG497" s="17" t="n">
        <f aca="false">SQRT(($B497-AG$401)^2+($C497-AG$402)^2+($D497-AG$403)^2)</f>
        <v>0.578585059990009</v>
      </c>
      <c r="AH497" s="17" t="n">
        <f aca="false">SQRT(($B497-AH$401)^2+($C497-AH$402)^2+($D497-AH$403)^2)</f>
        <v>2.99232634216564</v>
      </c>
      <c r="AI497" s="17" t="n">
        <f aca="false">SQRT(($B497-AI$401)^2+($C497-AI$402)^2+($D497-AI$403)^2)</f>
        <v>0.944463655556893</v>
      </c>
      <c r="AJ497" s="17" t="n">
        <f aca="false">SQRT(($B497-AJ$401)^2+($C497-AJ$402)^2+($D497-AJ$403)^2)</f>
        <v>5.19350038900495</v>
      </c>
      <c r="AK497" s="17" t="n">
        <f aca="false">SQRT(($B497-AK$401)^2+($C497-AK$402)^2+($D497-AK$403)^2)</f>
        <v>1.43027146795411</v>
      </c>
      <c r="AL497" s="63" t="n">
        <f aca="false">MATCH(MIN(AF497:AK497),AF497:AK497,0)</f>
        <v>2</v>
      </c>
      <c r="AN497" s="17" t="n">
        <f aca="false">SQRT(($B497-AN$401)^2+($C497-AN$402)^2+($D497-AN$403)^2)</f>
        <v>7.46486827507443</v>
      </c>
      <c r="AO497" s="17" t="n">
        <f aca="false">SQRT(($B497-AO$401)^2+($C497-AO$402)^2+($D497-AO$403)^2)</f>
        <v>0.53843464669371</v>
      </c>
      <c r="AP497" s="17" t="n">
        <f aca="false">SQRT(($B497-AP$401)^2+($C497-AP$402)^2+($D497-AP$403)^2)</f>
        <v>2.96256797402719</v>
      </c>
      <c r="AQ497" s="17" t="n">
        <f aca="false">SQRT(($B497-AQ$401)^2+($C497-AQ$402)^2+($D497-AQ$403)^2)</f>
        <v>0.933470197260564</v>
      </c>
      <c r="AR497" s="17" t="n">
        <f aca="false">SQRT(($B497-AR$401)^2+($C497-AR$402)^2+($D497-AR$403)^2)</f>
        <v>5.19350038900495</v>
      </c>
      <c r="AS497" s="17" t="n">
        <f aca="false">SQRT(($B497-AS$401)^2+($C497-AS$402)^2+($D497-AS$403)^2)</f>
        <v>1.46577401378441</v>
      </c>
      <c r="AT497" s="63" t="n">
        <f aca="false">MATCH(MIN(AN497:AS497),AN497:AS497,0)</f>
        <v>2</v>
      </c>
      <c r="AV497" s="17" t="n">
        <f aca="false">SQRT(($B497-AV$401)^2+($C497-AV$402)^2+($D497-AV$403)^2)</f>
        <v>7.46486827507443</v>
      </c>
      <c r="AW497" s="17" t="n">
        <f aca="false">SQRT(($B497-AW$401)^2+($C497-AW$402)^2+($D497-AW$403)^2)</f>
        <v>0.523895433624461</v>
      </c>
      <c r="AX497" s="17" t="n">
        <f aca="false">SQRT(($B497-AX$401)^2+($C497-AX$402)^2+($D497-AX$403)^2)</f>
        <v>2.96256797402719</v>
      </c>
      <c r="AY497" s="17" t="n">
        <f aca="false">SQRT(($B497-AY$401)^2+($C497-AY$402)^2+($D497-AY$403)^2)</f>
        <v>0.933470197260564</v>
      </c>
      <c r="AZ497" s="17" t="n">
        <f aca="false">SQRT(($B497-AZ$401)^2+($C497-AZ$402)^2+($D497-AZ$403)^2)</f>
        <v>5.19350038900495</v>
      </c>
      <c r="BA497" s="17" t="n">
        <f aca="false">SQRT(($B497-BA$401)^2+($C497-BA$402)^2+($D497-BA$403)^2)</f>
        <v>1.49001520245463</v>
      </c>
      <c r="BB497" s="63" t="n">
        <f aca="false">MATCH(MIN(AV497:BA497),AV497:BA497,0)</f>
        <v>2</v>
      </c>
      <c r="BD497" s="17" t="n">
        <f aca="false">SQRT(($B497-BD$401)^2+($C497-BD$402)^2+($D497-BD$403)^2)</f>
        <v>7.46486827507443</v>
      </c>
      <c r="BE497" s="17" t="n">
        <f aca="false">SQRT(($B497-BE$401)^2+($C497-BE$402)^2+($D497-BE$403)^2)</f>
        <v>0.514240111326533</v>
      </c>
      <c r="BF497" s="17" t="n">
        <f aca="false">SQRT(($B497-BF$401)^2+($C497-BF$402)^2+($D497-BF$403)^2)</f>
        <v>2.96256797402719</v>
      </c>
      <c r="BG497" s="17" t="n">
        <f aca="false">SQRT(($B497-BG$401)^2+($C497-BG$402)^2+($D497-BG$403)^2)</f>
        <v>0.933470197260564</v>
      </c>
      <c r="BH497" s="17" t="n">
        <f aca="false">SQRT(($B497-BH$401)^2+($C497-BH$402)^2+($D497-BH$403)^2)</f>
        <v>5.19350038900495</v>
      </c>
      <c r="BI497" s="17" t="n">
        <f aca="false">SQRT(($B497-BI$401)^2+($C497-BI$402)^2+($D497-BI$403)^2)</f>
        <v>1.51396665945525</v>
      </c>
      <c r="BJ497" s="63" t="n">
        <f aca="false">MATCH(MIN(BD497:BI497),BD497:BI497,0)</f>
        <v>2</v>
      </c>
      <c r="BL497" s="17" t="n">
        <f aca="false">SQRT(($B497-BL$401)^2+($C497-BL$402)^2+($D497-BL$403)^2)</f>
        <v>7.46486827507443</v>
      </c>
      <c r="BM497" s="17" t="n">
        <f aca="false">SQRT(($B497-BM$401)^2+($C497-BM$402)^2+($D497-BM$403)^2)</f>
        <v>0.514240111326533</v>
      </c>
      <c r="BN497" s="17" t="n">
        <f aca="false">SQRT(($B497-BN$401)^2+($C497-BN$402)^2+($D497-BN$403)^2)</f>
        <v>2.96256797402719</v>
      </c>
      <c r="BO497" s="17" t="n">
        <f aca="false">SQRT(($B497-BO$401)^2+($C497-BO$402)^2+($D497-BO$403)^2)</f>
        <v>0.933470197260564</v>
      </c>
      <c r="BP497" s="17" t="n">
        <f aca="false">SQRT(($B497-BP$401)^2+($C497-BP$402)^2+($D497-BP$403)^2)</f>
        <v>5.19350038900495</v>
      </c>
      <c r="BQ497" s="17" t="n">
        <f aca="false">SQRT(($B497-BQ$401)^2+($C497-BQ$402)^2+($D497-BQ$403)^2)</f>
        <v>1.51396665945525</v>
      </c>
      <c r="BR497" s="63" t="n">
        <f aca="false">MATCH(MIN(BL497:BQ497),BL497:BQ497,0)</f>
        <v>2</v>
      </c>
      <c r="BT497" s="17" t="n">
        <f aca="false">SQRT(($B497-BT$401)^2+($C497-BT$402)^2+($D497-BT$403)^2)</f>
        <v>7.46486827507443</v>
      </c>
      <c r="BU497" s="17" t="n">
        <f aca="false">SQRT(($B497-BU$401)^2+($C497-BU$402)^2+($D497-BU$403)^2)</f>
        <v>0.514240111326533</v>
      </c>
      <c r="BV497" s="17" t="n">
        <f aca="false">SQRT(($B497-BV$401)^2+($C497-BV$402)^2+($D497-BV$403)^2)</f>
        <v>2.96256797402719</v>
      </c>
      <c r="BW497" s="17" t="n">
        <f aca="false">SQRT(($B497-BW$401)^2+($C497-BW$402)^2+($D497-BW$403)^2)</f>
        <v>0.933470197260564</v>
      </c>
      <c r="BX497" s="17" t="n">
        <f aca="false">SQRT(($B497-BX$401)^2+($C497-BX$402)^2+($D497-BX$403)^2)</f>
        <v>5.19350038900495</v>
      </c>
      <c r="BY497" s="17" t="n">
        <f aca="false">SQRT(($B497-BY$401)^2+($C497-BY$402)^2+($D497-BY$403)^2)</f>
        <v>1.51396665945525</v>
      </c>
      <c r="BZ497" s="63" t="n">
        <f aca="false">MATCH(MIN(BT497:BY497),BT497:BY497,0)</f>
        <v>2</v>
      </c>
      <c r="CB497" s="17" t="n">
        <f aca="false">SQRT(($B497-CB$401)^2+($C497-CB$402)^2+($D497-CB$403)^2)</f>
        <v>7.46486827507443</v>
      </c>
      <c r="CC497" s="17" t="n">
        <f aca="false">SQRT(($B497-CC$401)^2+($C497-CC$402)^2+($D497-CC$403)^2)</f>
        <v>0.514240111326533</v>
      </c>
      <c r="CD497" s="17" t="n">
        <f aca="false">SQRT(($B497-CD$401)^2+($C497-CD$402)^2+($D497-CD$403)^2)</f>
        <v>2.96256797402719</v>
      </c>
      <c r="CE497" s="17" t="n">
        <f aca="false">SQRT(($B497-CE$401)^2+($C497-CE$402)^2+($D497-CE$403)^2)</f>
        <v>0.933470197260564</v>
      </c>
      <c r="CF497" s="17" t="n">
        <f aca="false">SQRT(($B497-CF$401)^2+($C497-CF$402)^2+($D497-CF$403)^2)</f>
        <v>5.19350038900495</v>
      </c>
      <c r="CG497" s="17" t="n">
        <f aca="false">SQRT(($B497-CG$401)^2+($C497-CG$402)^2+($D497-CG$403)^2)</f>
        <v>1.51396665945525</v>
      </c>
      <c r="CH497" s="63" t="n">
        <f aca="false">MATCH(MIN(CB497:CG497),CB497:CG497,0)</f>
        <v>2</v>
      </c>
      <c r="CJ497" s="17" t="n">
        <f aca="false">SQRT(($B497-CJ$401)^2+($C497-CJ$402)^2+($D497-CJ$403)^2)</f>
        <v>7.46486827507443</v>
      </c>
      <c r="CK497" s="17" t="n">
        <f aca="false">SQRT(($B497-CK$401)^2+($C497-CK$402)^2+($D497-CK$403)^2)</f>
        <v>0.514240111326533</v>
      </c>
      <c r="CL497" s="17" t="n">
        <f aca="false">SQRT(($B497-CL$401)^2+($C497-CL$402)^2+($D497-CL$403)^2)</f>
        <v>2.96256797402719</v>
      </c>
      <c r="CM497" s="17" t="n">
        <f aca="false">SQRT(($B497-CM$401)^2+($C497-CM$402)^2+($D497-CM$403)^2)</f>
        <v>0.933470197260564</v>
      </c>
      <c r="CN497" s="17" t="n">
        <f aca="false">SQRT(($B497-CN$401)^2+($C497-CN$402)^2+($D497-CN$403)^2)</f>
        <v>5.19350038900495</v>
      </c>
      <c r="CO497" s="17" t="n">
        <f aca="false">SQRT(($B497-CO$401)^2+($C497-CO$402)^2+($D497-CO$403)^2)</f>
        <v>1.51396665945525</v>
      </c>
      <c r="CP497" s="63" t="n">
        <f aca="false">MATCH(MIN(CJ497:CO497),CJ497:CO497,0)</f>
        <v>2</v>
      </c>
      <c r="CR497" s="17" t="n">
        <f aca="false">SQRT(($B497-CR$401)^2+($C497-CR$402)^2+($D497-CR$403)^2)</f>
        <v>7.46486827507443</v>
      </c>
      <c r="CS497" s="17" t="n">
        <f aca="false">SQRT(($B497-CS$401)^2+($C497-CS$402)^2+($D497-CS$403)^2)</f>
        <v>0.514240111326533</v>
      </c>
      <c r="CT497" s="17" t="n">
        <f aca="false">SQRT(($B497-CT$401)^2+($C497-CT$402)^2+($D497-CT$403)^2)</f>
        <v>2.96256797402719</v>
      </c>
      <c r="CU497" s="17" t="n">
        <f aca="false">SQRT(($B497-CU$401)^2+($C497-CU$402)^2+($D497-CU$403)^2)</f>
        <v>0.933470197260564</v>
      </c>
      <c r="CV497" s="17" t="n">
        <f aca="false">SQRT(($B497-CV$401)^2+($C497-CV$402)^2+($D497-CV$403)^2)</f>
        <v>5.19350038900495</v>
      </c>
      <c r="CW497" s="17" t="n">
        <f aca="false">SQRT(($B497-CW$401)^2+($C497-CW$402)^2+($D497-CW$403)^2)</f>
        <v>1.51396665945525</v>
      </c>
      <c r="CX497" s="63" t="n">
        <f aca="false">MATCH(MIN(CR497:CW497),CR497:CW497,0)</f>
        <v>2</v>
      </c>
      <c r="CZ497" s="17" t="n">
        <f aca="false">SQRT(($B497-CZ$401)^2+($C497-CZ$402)^2+($D497-CZ$403)^2)</f>
        <v>7.46486827507443</v>
      </c>
      <c r="DA497" s="17" t="n">
        <f aca="false">SQRT(($B497-DA$401)^2+($C497-DA$402)^2+($D497-DA$403)^2)</f>
        <v>0.514240111326533</v>
      </c>
      <c r="DB497" s="17" t="n">
        <f aca="false">SQRT(($B497-DB$401)^2+($C497-DB$402)^2+($D497-DB$403)^2)</f>
        <v>2.96256797402719</v>
      </c>
      <c r="DC497" s="17" t="n">
        <f aca="false">SQRT(($B497-DC$401)^2+($C497-DC$402)^2+($D497-DC$403)^2)</f>
        <v>0.933470197260564</v>
      </c>
      <c r="DD497" s="17" t="n">
        <f aca="false">SQRT(($B497-DD$401)^2+($C497-DD$402)^2+($D497-DD$403)^2)</f>
        <v>5.19350038900495</v>
      </c>
      <c r="DE497" s="17" t="n">
        <f aca="false">SQRT(($B497-DE$401)^2+($C497-DE$402)^2+($D497-DE$403)^2)</f>
        <v>1.51396665945525</v>
      </c>
      <c r="DF497" s="63" t="n">
        <f aca="false">MATCH(MIN(CZ497:DE497),CZ497:DE497,0)</f>
        <v>2</v>
      </c>
      <c r="DH497" s="17" t="n">
        <f aca="false">SQRT(($B497-DH$401)^2+($C497-DH$402)^2+($D497-DH$403)^2)</f>
        <v>7.46486827507443</v>
      </c>
      <c r="DI497" s="17" t="n">
        <f aca="false">SQRT(($B497-DI$401)^2+($C497-DI$402)^2+($D497-DI$403)^2)</f>
        <v>0.514240111326533</v>
      </c>
      <c r="DJ497" s="17" t="n">
        <f aca="false">SQRT(($B497-DJ$401)^2+($C497-DJ$402)^2+($D497-DJ$403)^2)</f>
        <v>2.96256797402719</v>
      </c>
      <c r="DK497" s="17" t="n">
        <f aca="false">SQRT(($B497-DK$401)^2+($C497-DK$402)^2+($D497-DK$403)^2)</f>
        <v>0.933470197260564</v>
      </c>
      <c r="DL497" s="17" t="n">
        <f aca="false">SQRT(($B497-DL$401)^2+($C497-DL$402)^2+($D497-DL$403)^2)</f>
        <v>5.19350038900495</v>
      </c>
      <c r="DM497" s="17" t="n">
        <f aca="false">SQRT(($B497-DM$401)^2+($C497-DM$402)^2+($D497-DM$403)^2)</f>
        <v>1.51396665945525</v>
      </c>
      <c r="DN497" s="63" t="n">
        <f aca="false">MATCH(MIN(DH497:DM497),DH497:DM497,0)</f>
        <v>2</v>
      </c>
    </row>
    <row r="498" customFormat="false" ht="15" hidden="false" customHeight="false" outlineLevel="0" collapsed="false">
      <c r="A498" s="36" t="str">
        <f aca="false">KMeans_Data!A95</f>
        <v>Orakzai</v>
      </c>
      <c r="B498" s="17" t="n">
        <f aca="false">KMeans_Data!H95</f>
        <v>-0.786418574103199</v>
      </c>
      <c r="C498" s="17" t="n">
        <f aca="false">KMeans_Data!I95</f>
        <v>-0.672650545388274</v>
      </c>
      <c r="D498" s="17" t="n">
        <f aca="false">KMeans_Data!J95</f>
        <v>-0.399845222909568</v>
      </c>
      <c r="E498" s="63" t="n">
        <f aca="false">DN498</f>
        <v>2</v>
      </c>
      <c r="F498" s="38" t="n">
        <f aca="false">($B498-INDEX($L$401:$Q$401,E498))^2+($C498-INDEX($L$402:$Q$402,E498))^2+($D498-INDEX($L$403:$Q$403,E498))^2</f>
        <v>0.594689504120366</v>
      </c>
      <c r="G498" s="17" t="n">
        <f aca="false">IF(COUNTIF(Distance_Matrix!$E$12:$DQ$12,$E498)&lt;=1,0,SUMIF(Distance_Matrix!$E$12:$DQ$12,$E498,Distance_Matrix!$E$104:$DQ$104)/(COUNTIF(Distance_Matrix!$E$12:$DQ$12,$E498)-1))</f>
        <v>0.873515104028105</v>
      </c>
      <c r="H498" s="17" t="n">
        <f aca="false">MIN(IF(1=$E498,1E+099,IF(COUNTIF(Distance_Matrix!$E$12:$DQ$12,1)=0,1E+099,SUMIF(Distance_Matrix!$E$12:$DQ$12,1,Distance_Matrix!$E$104:$DQ$104)/COUNTIF(Distance_Matrix!$E$12:$DQ$12,1))),IF(2=$E498,1E+099,IF(COUNTIF(Distance_Matrix!$E$12:$DQ$12,2)=0,1E+099,SUMIF(Distance_Matrix!$E$12:$DQ$12,2,Distance_Matrix!$E$104:$DQ$104)/COUNTIF(Distance_Matrix!$E$12:$DQ$12,2))),IF(3=$E498,1E+099,IF(COUNTIF(Distance_Matrix!$E$12:$DQ$12,3)=0,1E+099,SUMIF(Distance_Matrix!$E$12:$DQ$12,3,Distance_Matrix!$E$104:$DQ$104)/COUNTIF(Distance_Matrix!$E$12:$DQ$12,3))),IF(4=$E498,1E+099,IF(COUNTIF(Distance_Matrix!$E$12:$DQ$12,4)=0,1E+099,SUMIF(Distance_Matrix!$E$12:$DQ$12,4,Distance_Matrix!$E$104:$DQ$104)/COUNTIF(Distance_Matrix!$E$12:$DQ$12,4))),IF(5=$E498,1E+099,IF(COUNTIF(Distance_Matrix!$E$12:$DQ$12,5)=0,1E+099,SUMIF(Distance_Matrix!$E$12:$DQ$12,5,Distance_Matrix!$E$104:$DQ$104)/COUNTIF(Distance_Matrix!$E$12:$DQ$12,5))),IF(6=$E498,1E+099,IF(COUNTIF(Distance_Matrix!$E$12:$DQ$12,6)=0,1E+099,SUMIF(Distance_Matrix!$E$12:$DQ$12,6,Distance_Matrix!$E$104:$DQ$104)/COUNTIF(Distance_Matrix!$E$12:$DQ$12,6))))</f>
        <v>1.01862107488629</v>
      </c>
      <c r="I498" s="17" t="n">
        <f aca="false">IF(COUNTIF(Distance_Matrix!$E$12:$DQ$12,$E498)&lt;=1,0,(H498-G498)/MAX(G498,H498))</f>
        <v>0.142453336609376</v>
      </c>
      <c r="X498" s="17" t="n">
        <f aca="false">SQRT(($B498-X$401)^2+($C498-X$402)^2+($D498-X$403)^2)</f>
        <v>7.21310900361067</v>
      </c>
      <c r="Y498" s="17" t="n">
        <f aca="false">SQRT(($B498-Y$401)^2+($C498-Y$402)^2+($D498-Y$403)^2)</f>
        <v>1.49294711217988</v>
      </c>
      <c r="Z498" s="17" t="n">
        <f aca="false">SQRT(($B498-Z$401)^2+($C498-Z$402)^2+($D498-Z$403)^2)</f>
        <v>2.81588767302514</v>
      </c>
      <c r="AA498" s="17" t="n">
        <f aca="false">SQRT(($B498-AA$401)^2+($C498-AA$402)^2+($D498-AA$403)^2)</f>
        <v>1.69806615345174</v>
      </c>
      <c r="AB498" s="17" t="n">
        <f aca="false">SQRT(($B498-AB$401)^2+($C498-AB$402)^2+($D498-AB$403)^2)</f>
        <v>5.1395949888301</v>
      </c>
      <c r="AC498" s="17" t="n">
        <f aca="false">SQRT(($B498-AC$401)^2+($C498-AC$402)^2+($D498-AC$403)^2)</f>
        <v>1.15770672259713</v>
      </c>
      <c r="AD498" s="63" t="n">
        <f aca="false">MATCH(MIN(X498:AC498),X498:AC498,0)</f>
        <v>6</v>
      </c>
      <c r="AF498" s="17" t="n">
        <f aca="false">SQRT(($B498-AF$401)^2+($C498-AF$402)^2+($D498-AF$403)^2)</f>
        <v>7.10508531999292</v>
      </c>
      <c r="AG498" s="17" t="n">
        <f aca="false">SQRT(($B498-AG$401)^2+($C498-AG$402)^2+($D498-AG$403)^2)</f>
        <v>0.877523331236986</v>
      </c>
      <c r="AH498" s="17" t="n">
        <f aca="false">SQRT(($B498-AH$401)^2+($C498-AH$402)^2+($D498-AH$403)^2)</f>
        <v>2.55330928517363</v>
      </c>
      <c r="AI498" s="17" t="n">
        <f aca="false">SQRT(($B498-AI$401)^2+($C498-AI$402)^2+($D498-AI$403)^2)</f>
        <v>1.04461123057192</v>
      </c>
      <c r="AJ498" s="17" t="n">
        <f aca="false">SQRT(($B498-AJ$401)^2+($C498-AJ$402)^2+($D498-AJ$403)^2)</f>
        <v>4.83642334634569</v>
      </c>
      <c r="AK498" s="17" t="n">
        <f aca="false">SQRT(($B498-AK$401)^2+($C498-AK$402)^2+($D498-AK$403)^2)</f>
        <v>0.823907231201006</v>
      </c>
      <c r="AL498" s="63" t="n">
        <f aca="false">MATCH(MIN(AF498:AK498),AF498:AK498,0)</f>
        <v>6</v>
      </c>
      <c r="AN498" s="17" t="n">
        <f aca="false">SQRT(($B498-AN$401)^2+($C498-AN$402)^2+($D498-AN$403)^2)</f>
        <v>7.10508531999292</v>
      </c>
      <c r="AO498" s="17" t="n">
        <f aca="false">SQRT(($B498-AO$401)^2+($C498-AO$402)^2+($D498-AO$403)^2)</f>
        <v>0.834509459351708</v>
      </c>
      <c r="AP498" s="17" t="n">
        <f aca="false">SQRT(($B498-AP$401)^2+($C498-AP$402)^2+($D498-AP$403)^2)</f>
        <v>2.52243488553737</v>
      </c>
      <c r="AQ498" s="17" t="n">
        <f aca="false">SQRT(($B498-AQ$401)^2+($C498-AQ$402)^2+($D498-AQ$403)^2)</f>
        <v>1.03866091950521</v>
      </c>
      <c r="AR498" s="17" t="n">
        <f aca="false">SQRT(($B498-AR$401)^2+($C498-AR$402)^2+($D498-AR$403)^2)</f>
        <v>4.83642334634569</v>
      </c>
      <c r="AS498" s="17" t="n">
        <f aca="false">SQRT(($B498-AS$401)^2+($C498-AS$402)^2+($D498-AS$403)^2)</f>
        <v>0.866720908600142</v>
      </c>
      <c r="AT498" s="63" t="n">
        <f aca="false">MATCH(MIN(AN498:AS498),AN498:AS498,0)</f>
        <v>2</v>
      </c>
      <c r="AV498" s="17" t="n">
        <f aca="false">SQRT(($B498-AV$401)^2+($C498-AV$402)^2+($D498-AV$403)^2)</f>
        <v>7.10508531999292</v>
      </c>
      <c r="AW498" s="17" t="n">
        <f aca="false">SQRT(($B498-AW$401)^2+($C498-AW$402)^2+($D498-AW$403)^2)</f>
        <v>0.802412941684335</v>
      </c>
      <c r="AX498" s="17" t="n">
        <f aca="false">SQRT(($B498-AX$401)^2+($C498-AX$402)^2+($D498-AX$403)^2)</f>
        <v>2.52243488553737</v>
      </c>
      <c r="AY498" s="17" t="n">
        <f aca="false">SQRT(($B498-AY$401)^2+($C498-AY$402)^2+($D498-AY$403)^2)</f>
        <v>1.03866091950521</v>
      </c>
      <c r="AZ498" s="17" t="n">
        <f aca="false">SQRT(($B498-AZ$401)^2+($C498-AZ$402)^2+($D498-AZ$403)^2)</f>
        <v>4.83642334634569</v>
      </c>
      <c r="BA498" s="17" t="n">
        <f aca="false">SQRT(($B498-BA$401)^2+($C498-BA$402)^2+($D498-BA$403)^2)</f>
        <v>0.892985178557722</v>
      </c>
      <c r="BB498" s="63" t="n">
        <f aca="false">MATCH(MIN(AV498:BA498),AV498:BA498,0)</f>
        <v>2</v>
      </c>
      <c r="BD498" s="17" t="n">
        <f aca="false">SQRT(($B498-BD$401)^2+($C498-BD$402)^2+($D498-BD$403)^2)</f>
        <v>7.10508531999292</v>
      </c>
      <c r="BE498" s="17" t="n">
        <f aca="false">SQRT(($B498-BE$401)^2+($C498-BE$402)^2+($D498-BE$403)^2)</f>
        <v>0.771161140177827</v>
      </c>
      <c r="BF498" s="17" t="n">
        <f aca="false">SQRT(($B498-BF$401)^2+($C498-BF$402)^2+($D498-BF$403)^2)</f>
        <v>2.52243488553737</v>
      </c>
      <c r="BG498" s="17" t="n">
        <f aca="false">SQRT(($B498-BG$401)^2+($C498-BG$402)^2+($D498-BG$403)^2)</f>
        <v>1.03866091950521</v>
      </c>
      <c r="BH498" s="17" t="n">
        <f aca="false">SQRT(($B498-BH$401)^2+($C498-BH$402)^2+($D498-BH$403)^2)</f>
        <v>4.83642334634569</v>
      </c>
      <c r="BI498" s="17" t="n">
        <f aca="false">SQRT(($B498-BI$401)^2+($C498-BI$402)^2+($D498-BI$403)^2)</f>
        <v>0.920002277229644</v>
      </c>
      <c r="BJ498" s="63" t="n">
        <f aca="false">MATCH(MIN(BD498:BI498),BD498:BI498,0)</f>
        <v>2</v>
      </c>
      <c r="BL498" s="17" t="n">
        <f aca="false">SQRT(($B498-BL$401)^2+($C498-BL$402)^2+($D498-BL$403)^2)</f>
        <v>7.10508531999292</v>
      </c>
      <c r="BM498" s="17" t="n">
        <f aca="false">SQRT(($B498-BM$401)^2+($C498-BM$402)^2+($D498-BM$403)^2)</f>
        <v>0.771161140177827</v>
      </c>
      <c r="BN498" s="17" t="n">
        <f aca="false">SQRT(($B498-BN$401)^2+($C498-BN$402)^2+($D498-BN$403)^2)</f>
        <v>2.52243488553737</v>
      </c>
      <c r="BO498" s="17" t="n">
        <f aca="false">SQRT(($B498-BO$401)^2+($C498-BO$402)^2+($D498-BO$403)^2)</f>
        <v>1.03866091950521</v>
      </c>
      <c r="BP498" s="17" t="n">
        <f aca="false">SQRT(($B498-BP$401)^2+($C498-BP$402)^2+($D498-BP$403)^2)</f>
        <v>4.83642334634569</v>
      </c>
      <c r="BQ498" s="17" t="n">
        <f aca="false">SQRT(($B498-BQ$401)^2+($C498-BQ$402)^2+($D498-BQ$403)^2)</f>
        <v>0.920002277229644</v>
      </c>
      <c r="BR498" s="63" t="n">
        <f aca="false">MATCH(MIN(BL498:BQ498),BL498:BQ498,0)</f>
        <v>2</v>
      </c>
      <c r="BT498" s="17" t="n">
        <f aca="false">SQRT(($B498-BT$401)^2+($C498-BT$402)^2+($D498-BT$403)^2)</f>
        <v>7.10508531999292</v>
      </c>
      <c r="BU498" s="17" t="n">
        <f aca="false">SQRT(($B498-BU$401)^2+($C498-BU$402)^2+($D498-BU$403)^2)</f>
        <v>0.771161140177827</v>
      </c>
      <c r="BV498" s="17" t="n">
        <f aca="false">SQRT(($B498-BV$401)^2+($C498-BV$402)^2+($D498-BV$403)^2)</f>
        <v>2.52243488553737</v>
      </c>
      <c r="BW498" s="17" t="n">
        <f aca="false">SQRT(($B498-BW$401)^2+($C498-BW$402)^2+($D498-BW$403)^2)</f>
        <v>1.03866091950521</v>
      </c>
      <c r="BX498" s="17" t="n">
        <f aca="false">SQRT(($B498-BX$401)^2+($C498-BX$402)^2+($D498-BX$403)^2)</f>
        <v>4.83642334634569</v>
      </c>
      <c r="BY498" s="17" t="n">
        <f aca="false">SQRT(($B498-BY$401)^2+($C498-BY$402)^2+($D498-BY$403)^2)</f>
        <v>0.920002277229644</v>
      </c>
      <c r="BZ498" s="63" t="n">
        <f aca="false">MATCH(MIN(BT498:BY498),BT498:BY498,0)</f>
        <v>2</v>
      </c>
      <c r="CB498" s="17" t="n">
        <f aca="false">SQRT(($B498-CB$401)^2+($C498-CB$402)^2+($D498-CB$403)^2)</f>
        <v>7.10508531999292</v>
      </c>
      <c r="CC498" s="17" t="n">
        <f aca="false">SQRT(($B498-CC$401)^2+($C498-CC$402)^2+($D498-CC$403)^2)</f>
        <v>0.771161140177827</v>
      </c>
      <c r="CD498" s="17" t="n">
        <f aca="false">SQRT(($B498-CD$401)^2+($C498-CD$402)^2+($D498-CD$403)^2)</f>
        <v>2.52243488553737</v>
      </c>
      <c r="CE498" s="17" t="n">
        <f aca="false">SQRT(($B498-CE$401)^2+($C498-CE$402)^2+($D498-CE$403)^2)</f>
        <v>1.03866091950521</v>
      </c>
      <c r="CF498" s="17" t="n">
        <f aca="false">SQRT(($B498-CF$401)^2+($C498-CF$402)^2+($D498-CF$403)^2)</f>
        <v>4.83642334634569</v>
      </c>
      <c r="CG498" s="17" t="n">
        <f aca="false">SQRT(($B498-CG$401)^2+($C498-CG$402)^2+($D498-CG$403)^2)</f>
        <v>0.920002277229644</v>
      </c>
      <c r="CH498" s="63" t="n">
        <f aca="false">MATCH(MIN(CB498:CG498),CB498:CG498,0)</f>
        <v>2</v>
      </c>
      <c r="CJ498" s="17" t="n">
        <f aca="false">SQRT(($B498-CJ$401)^2+($C498-CJ$402)^2+($D498-CJ$403)^2)</f>
        <v>7.10508531999292</v>
      </c>
      <c r="CK498" s="17" t="n">
        <f aca="false">SQRT(($B498-CK$401)^2+($C498-CK$402)^2+($D498-CK$403)^2)</f>
        <v>0.771161140177827</v>
      </c>
      <c r="CL498" s="17" t="n">
        <f aca="false">SQRT(($B498-CL$401)^2+($C498-CL$402)^2+($D498-CL$403)^2)</f>
        <v>2.52243488553737</v>
      </c>
      <c r="CM498" s="17" t="n">
        <f aca="false">SQRT(($B498-CM$401)^2+($C498-CM$402)^2+($D498-CM$403)^2)</f>
        <v>1.03866091950521</v>
      </c>
      <c r="CN498" s="17" t="n">
        <f aca="false">SQRT(($B498-CN$401)^2+($C498-CN$402)^2+($D498-CN$403)^2)</f>
        <v>4.83642334634569</v>
      </c>
      <c r="CO498" s="17" t="n">
        <f aca="false">SQRT(($B498-CO$401)^2+($C498-CO$402)^2+($D498-CO$403)^2)</f>
        <v>0.920002277229644</v>
      </c>
      <c r="CP498" s="63" t="n">
        <f aca="false">MATCH(MIN(CJ498:CO498),CJ498:CO498,0)</f>
        <v>2</v>
      </c>
      <c r="CR498" s="17" t="n">
        <f aca="false">SQRT(($B498-CR$401)^2+($C498-CR$402)^2+($D498-CR$403)^2)</f>
        <v>7.10508531999292</v>
      </c>
      <c r="CS498" s="17" t="n">
        <f aca="false">SQRT(($B498-CS$401)^2+($C498-CS$402)^2+($D498-CS$403)^2)</f>
        <v>0.771161140177827</v>
      </c>
      <c r="CT498" s="17" t="n">
        <f aca="false">SQRT(($B498-CT$401)^2+($C498-CT$402)^2+($D498-CT$403)^2)</f>
        <v>2.52243488553737</v>
      </c>
      <c r="CU498" s="17" t="n">
        <f aca="false">SQRT(($B498-CU$401)^2+($C498-CU$402)^2+($D498-CU$403)^2)</f>
        <v>1.03866091950521</v>
      </c>
      <c r="CV498" s="17" t="n">
        <f aca="false">SQRT(($B498-CV$401)^2+($C498-CV$402)^2+($D498-CV$403)^2)</f>
        <v>4.83642334634569</v>
      </c>
      <c r="CW498" s="17" t="n">
        <f aca="false">SQRT(($B498-CW$401)^2+($C498-CW$402)^2+($D498-CW$403)^2)</f>
        <v>0.920002277229644</v>
      </c>
      <c r="CX498" s="63" t="n">
        <f aca="false">MATCH(MIN(CR498:CW498),CR498:CW498,0)</f>
        <v>2</v>
      </c>
      <c r="CZ498" s="17" t="n">
        <f aca="false">SQRT(($B498-CZ$401)^2+($C498-CZ$402)^2+($D498-CZ$403)^2)</f>
        <v>7.10508531999292</v>
      </c>
      <c r="DA498" s="17" t="n">
        <f aca="false">SQRT(($B498-DA$401)^2+($C498-DA$402)^2+($D498-DA$403)^2)</f>
        <v>0.771161140177827</v>
      </c>
      <c r="DB498" s="17" t="n">
        <f aca="false">SQRT(($B498-DB$401)^2+($C498-DB$402)^2+($D498-DB$403)^2)</f>
        <v>2.52243488553737</v>
      </c>
      <c r="DC498" s="17" t="n">
        <f aca="false">SQRT(($B498-DC$401)^2+($C498-DC$402)^2+($D498-DC$403)^2)</f>
        <v>1.03866091950521</v>
      </c>
      <c r="DD498" s="17" t="n">
        <f aca="false">SQRT(($B498-DD$401)^2+($C498-DD$402)^2+($D498-DD$403)^2)</f>
        <v>4.83642334634569</v>
      </c>
      <c r="DE498" s="17" t="n">
        <f aca="false">SQRT(($B498-DE$401)^2+($C498-DE$402)^2+($D498-DE$403)^2)</f>
        <v>0.920002277229644</v>
      </c>
      <c r="DF498" s="63" t="n">
        <f aca="false">MATCH(MIN(CZ498:DE498),CZ498:DE498,0)</f>
        <v>2</v>
      </c>
      <c r="DH498" s="17" t="n">
        <f aca="false">SQRT(($B498-DH$401)^2+($C498-DH$402)^2+($D498-DH$403)^2)</f>
        <v>7.10508531999292</v>
      </c>
      <c r="DI498" s="17" t="n">
        <f aca="false">SQRT(($B498-DI$401)^2+($C498-DI$402)^2+($D498-DI$403)^2)</f>
        <v>0.771161140177827</v>
      </c>
      <c r="DJ498" s="17" t="n">
        <f aca="false">SQRT(($B498-DJ$401)^2+($C498-DJ$402)^2+($D498-DJ$403)^2)</f>
        <v>2.52243488553737</v>
      </c>
      <c r="DK498" s="17" t="n">
        <f aca="false">SQRT(($B498-DK$401)^2+($C498-DK$402)^2+($D498-DK$403)^2)</f>
        <v>1.03866091950521</v>
      </c>
      <c r="DL498" s="17" t="n">
        <f aca="false">SQRT(($B498-DL$401)^2+($C498-DL$402)^2+($D498-DL$403)^2)</f>
        <v>4.83642334634569</v>
      </c>
      <c r="DM498" s="17" t="n">
        <f aca="false">SQRT(($B498-DM$401)^2+($C498-DM$402)^2+($D498-DM$403)^2)</f>
        <v>0.920002277229644</v>
      </c>
      <c r="DN498" s="63" t="n">
        <f aca="false">MATCH(MIN(DH498:DM498),DH498:DM498,0)</f>
        <v>2</v>
      </c>
    </row>
    <row r="499" customFormat="false" ht="15" hidden="false" customHeight="false" outlineLevel="0" collapsed="false">
      <c r="A499" s="36" t="str">
        <f aca="false">KMeans_Data!A96</f>
        <v>North Waziristan</v>
      </c>
      <c r="B499" s="17" t="n">
        <f aca="false">KMeans_Data!H96</f>
        <v>-0.831705387014662</v>
      </c>
      <c r="C499" s="17" t="n">
        <f aca="false">KMeans_Data!I96</f>
        <v>-0.672650545388274</v>
      </c>
      <c r="D499" s="17" t="n">
        <f aca="false">KMeans_Data!J96</f>
        <v>-0.31535907140676</v>
      </c>
      <c r="E499" s="63" t="n">
        <f aca="false">DN499</f>
        <v>2</v>
      </c>
      <c r="F499" s="38" t="n">
        <f aca="false">($B499-INDEX($L$401:$Q$401,E499))^2+($C499-INDEX($L$402:$Q$402,E499))^2+($D499-INDEX($L$403:$Q$403,E499))^2</f>
        <v>0.667431505014205</v>
      </c>
      <c r="G499" s="17" t="n">
        <f aca="false">IF(COUNTIF(Distance_Matrix!$E$12:$DQ$12,$E499)&lt;=1,0,SUMIF(Distance_Matrix!$E$12:$DQ$12,$E499,Distance_Matrix!$E$105:$DQ$105)/(COUNTIF(Distance_Matrix!$E$12:$DQ$12,$E499)-1))</f>
        <v>0.918976579999342</v>
      </c>
      <c r="H499" s="17" t="n">
        <f aca="false">MIN(IF(1=$E499,1E+099,IF(COUNTIF(Distance_Matrix!$E$12:$DQ$12,1)=0,1E+099,SUMIF(Distance_Matrix!$E$12:$DQ$12,1,Distance_Matrix!$E$105:$DQ$105)/COUNTIF(Distance_Matrix!$E$12:$DQ$12,1))),IF(2=$E499,1E+099,IF(COUNTIF(Distance_Matrix!$E$12:$DQ$12,2)=0,1E+099,SUMIF(Distance_Matrix!$E$12:$DQ$12,2,Distance_Matrix!$E$105:$DQ$105)/COUNTIF(Distance_Matrix!$E$12:$DQ$12,2))),IF(3=$E499,1E+099,IF(COUNTIF(Distance_Matrix!$E$12:$DQ$12,3)=0,1E+099,SUMIF(Distance_Matrix!$E$12:$DQ$12,3,Distance_Matrix!$E$105:$DQ$105)/COUNTIF(Distance_Matrix!$E$12:$DQ$12,3))),IF(4=$E499,1E+099,IF(COUNTIF(Distance_Matrix!$E$12:$DQ$12,4)=0,1E+099,SUMIF(Distance_Matrix!$E$12:$DQ$12,4,Distance_Matrix!$E$105:$DQ$105)/COUNTIF(Distance_Matrix!$E$12:$DQ$12,4))),IF(5=$E499,1E+099,IF(COUNTIF(Distance_Matrix!$E$12:$DQ$12,5)=0,1E+099,SUMIF(Distance_Matrix!$E$12:$DQ$12,5,Distance_Matrix!$E$105:$DQ$105)/COUNTIF(Distance_Matrix!$E$12:$DQ$12,5))),IF(6=$E499,1E+099,IF(COUNTIF(Distance_Matrix!$E$12:$DQ$12,6)=0,1E+099,SUMIF(Distance_Matrix!$E$12:$DQ$12,6,Distance_Matrix!$E$105:$DQ$105)/COUNTIF(Distance_Matrix!$E$12:$DQ$12,6))))</f>
        <v>0.999665271682794</v>
      </c>
      <c r="I499" s="17" t="n">
        <f aca="false">IF(COUNTIF(Distance_Matrix!$E$12:$DQ$12,$E499)&lt;=1,0,(H499-G499)/MAX(G499,H499))</f>
        <v>0.0807157095170714</v>
      </c>
      <c r="X499" s="17" t="n">
        <f aca="false">SQRT(($B499-X$401)^2+($C499-X$402)^2+($D499-X$403)^2)</f>
        <v>7.19643967194252</v>
      </c>
      <c r="Y499" s="17" t="n">
        <f aca="false">SQRT(($B499-Y$401)^2+($C499-Y$402)^2+($D499-Y$403)^2)</f>
        <v>1.49898586166915</v>
      </c>
      <c r="Z499" s="17" t="n">
        <f aca="false">SQRT(($B499-Z$401)^2+($C499-Z$402)^2+($D499-Z$403)^2)</f>
        <v>2.79062285326594</v>
      </c>
      <c r="AA499" s="17" t="n">
        <f aca="false">SQRT(($B499-AA$401)^2+($C499-AA$402)^2+($D499-AA$403)^2)</f>
        <v>1.77435806843142</v>
      </c>
      <c r="AB499" s="17" t="n">
        <f aca="false">SQRT(($B499-AB$401)^2+($C499-AB$402)^2+($D499-AB$403)^2)</f>
        <v>5.12265490863213</v>
      </c>
      <c r="AC499" s="17" t="n">
        <f aca="false">SQRT(($B499-AC$401)^2+($C499-AC$402)^2+($D499-AC$403)^2)</f>
        <v>1.08764714662344</v>
      </c>
      <c r="AD499" s="63" t="n">
        <f aca="false">MATCH(MIN(X499:AC499),X499:AC499,0)</f>
        <v>6</v>
      </c>
      <c r="AF499" s="17" t="n">
        <f aca="false">SQRT(($B499-AF$401)^2+($C499-AF$402)^2+($D499-AF$403)^2)</f>
        <v>7.09149411760672</v>
      </c>
      <c r="AG499" s="17" t="n">
        <f aca="false">SQRT(($B499-AG$401)^2+($C499-AG$402)^2+($D499-AG$403)^2)</f>
        <v>0.921087504550461</v>
      </c>
      <c r="AH499" s="17" t="n">
        <f aca="false">SQRT(($B499-AH$401)^2+($C499-AH$402)^2+($D499-AH$403)^2)</f>
        <v>2.53816122637282</v>
      </c>
      <c r="AI499" s="17" t="n">
        <f aca="false">SQRT(($B499-AI$401)^2+($C499-AI$402)^2+($D499-AI$403)^2)</f>
        <v>1.1232311281653</v>
      </c>
      <c r="AJ499" s="17" t="n">
        <f aca="false">SQRT(($B499-AJ$401)^2+($C499-AJ$402)^2+($D499-AJ$403)^2)</f>
        <v>4.82611062839338</v>
      </c>
      <c r="AK499" s="17" t="n">
        <f aca="false">SQRT(($B499-AK$401)^2+($C499-AK$402)^2+($D499-AK$403)^2)</f>
        <v>0.799184281287032</v>
      </c>
      <c r="AL499" s="63" t="n">
        <f aca="false">MATCH(MIN(AF499:AK499),AF499:AK499,0)</f>
        <v>6</v>
      </c>
      <c r="AN499" s="17" t="n">
        <f aca="false">SQRT(($B499-AN$401)^2+($C499-AN$402)^2+($D499-AN$403)^2)</f>
        <v>7.09149411760672</v>
      </c>
      <c r="AO499" s="17" t="n">
        <f aca="false">SQRT(($B499-AO$401)^2+($C499-AO$402)^2+($D499-AO$403)^2)</f>
        <v>0.880322326601357</v>
      </c>
      <c r="AP499" s="17" t="n">
        <f aca="false">SQRT(($B499-AP$401)^2+($C499-AP$402)^2+($D499-AP$403)^2)</f>
        <v>2.50711513253645</v>
      </c>
      <c r="AQ499" s="17" t="n">
        <f aca="false">SQRT(($B499-AQ$401)^2+($C499-AQ$402)^2+($D499-AQ$403)^2)</f>
        <v>1.11791245566527</v>
      </c>
      <c r="AR499" s="17" t="n">
        <f aca="false">SQRT(($B499-AR$401)^2+($C499-AR$402)^2+($D499-AR$403)^2)</f>
        <v>4.82611062839338</v>
      </c>
      <c r="AS499" s="17" t="n">
        <f aca="false">SQRT(($B499-AS$401)^2+($C499-AS$402)^2+($D499-AS$403)^2)</f>
        <v>0.843120282440627</v>
      </c>
      <c r="AT499" s="63" t="n">
        <f aca="false">MATCH(MIN(AN499:AS499),AN499:AS499,0)</f>
        <v>6</v>
      </c>
      <c r="AV499" s="17" t="n">
        <f aca="false">SQRT(($B499-AV$401)^2+($C499-AV$402)^2+($D499-AV$403)^2)</f>
        <v>7.09149411760672</v>
      </c>
      <c r="AW499" s="17" t="n">
        <f aca="false">SQRT(($B499-AW$401)^2+($C499-AW$402)^2+($D499-AW$403)^2)</f>
        <v>0.848386536153691</v>
      </c>
      <c r="AX499" s="17" t="n">
        <f aca="false">SQRT(($B499-AX$401)^2+($C499-AX$402)^2+($D499-AX$403)^2)</f>
        <v>2.50711513253645</v>
      </c>
      <c r="AY499" s="17" t="n">
        <f aca="false">SQRT(($B499-AY$401)^2+($C499-AY$402)^2+($D499-AY$403)^2)</f>
        <v>1.11791245566527</v>
      </c>
      <c r="AZ499" s="17" t="n">
        <f aca="false">SQRT(($B499-AZ$401)^2+($C499-AZ$402)^2+($D499-AZ$403)^2)</f>
        <v>4.82611062839338</v>
      </c>
      <c r="BA499" s="17" t="n">
        <f aca="false">SQRT(($B499-BA$401)^2+($C499-BA$402)^2+($D499-BA$403)^2)</f>
        <v>0.869234105277161</v>
      </c>
      <c r="BB499" s="63" t="n">
        <f aca="false">MATCH(MIN(AV499:BA499),AV499:BA499,0)</f>
        <v>2</v>
      </c>
      <c r="BD499" s="17" t="n">
        <f aca="false">SQRT(($B499-BD$401)^2+($C499-BD$402)^2+($D499-BD$403)^2)</f>
        <v>7.09149411760672</v>
      </c>
      <c r="BE499" s="17" t="n">
        <f aca="false">SQRT(($B499-BE$401)^2+($C499-BE$402)^2+($D499-BE$403)^2)</f>
        <v>0.816964812592443</v>
      </c>
      <c r="BF499" s="17" t="n">
        <f aca="false">SQRT(($B499-BF$401)^2+($C499-BF$402)^2+($D499-BF$403)^2)</f>
        <v>2.50711513253645</v>
      </c>
      <c r="BG499" s="17" t="n">
        <f aca="false">SQRT(($B499-BG$401)^2+($C499-BG$402)^2+($D499-BG$403)^2)</f>
        <v>1.11791245566527</v>
      </c>
      <c r="BH499" s="17" t="n">
        <f aca="false">SQRT(($B499-BH$401)^2+($C499-BH$402)^2+($D499-BH$403)^2)</f>
        <v>4.82611062839338</v>
      </c>
      <c r="BI499" s="17" t="n">
        <f aca="false">SQRT(($B499-BI$401)^2+($C499-BI$402)^2+($D499-BI$403)^2)</f>
        <v>0.896397671067072</v>
      </c>
      <c r="BJ499" s="63" t="n">
        <f aca="false">MATCH(MIN(BD499:BI499),BD499:BI499,0)</f>
        <v>2</v>
      </c>
      <c r="BL499" s="17" t="n">
        <f aca="false">SQRT(($B499-BL$401)^2+($C499-BL$402)^2+($D499-BL$403)^2)</f>
        <v>7.09149411760672</v>
      </c>
      <c r="BM499" s="17" t="n">
        <f aca="false">SQRT(($B499-BM$401)^2+($C499-BM$402)^2+($D499-BM$403)^2)</f>
        <v>0.816964812592443</v>
      </c>
      <c r="BN499" s="17" t="n">
        <f aca="false">SQRT(($B499-BN$401)^2+($C499-BN$402)^2+($D499-BN$403)^2)</f>
        <v>2.50711513253645</v>
      </c>
      <c r="BO499" s="17" t="n">
        <f aca="false">SQRT(($B499-BO$401)^2+($C499-BO$402)^2+($D499-BO$403)^2)</f>
        <v>1.11791245566527</v>
      </c>
      <c r="BP499" s="17" t="n">
        <f aca="false">SQRT(($B499-BP$401)^2+($C499-BP$402)^2+($D499-BP$403)^2)</f>
        <v>4.82611062839338</v>
      </c>
      <c r="BQ499" s="17" t="n">
        <f aca="false">SQRT(($B499-BQ$401)^2+($C499-BQ$402)^2+($D499-BQ$403)^2)</f>
        <v>0.896397671067072</v>
      </c>
      <c r="BR499" s="63" t="n">
        <f aca="false">MATCH(MIN(BL499:BQ499),BL499:BQ499,0)</f>
        <v>2</v>
      </c>
      <c r="BT499" s="17" t="n">
        <f aca="false">SQRT(($B499-BT$401)^2+($C499-BT$402)^2+($D499-BT$403)^2)</f>
        <v>7.09149411760672</v>
      </c>
      <c r="BU499" s="17" t="n">
        <f aca="false">SQRT(($B499-BU$401)^2+($C499-BU$402)^2+($D499-BU$403)^2)</f>
        <v>0.816964812592443</v>
      </c>
      <c r="BV499" s="17" t="n">
        <f aca="false">SQRT(($B499-BV$401)^2+($C499-BV$402)^2+($D499-BV$403)^2)</f>
        <v>2.50711513253645</v>
      </c>
      <c r="BW499" s="17" t="n">
        <f aca="false">SQRT(($B499-BW$401)^2+($C499-BW$402)^2+($D499-BW$403)^2)</f>
        <v>1.11791245566527</v>
      </c>
      <c r="BX499" s="17" t="n">
        <f aca="false">SQRT(($B499-BX$401)^2+($C499-BX$402)^2+($D499-BX$403)^2)</f>
        <v>4.82611062839338</v>
      </c>
      <c r="BY499" s="17" t="n">
        <f aca="false">SQRT(($B499-BY$401)^2+($C499-BY$402)^2+($D499-BY$403)^2)</f>
        <v>0.896397671067072</v>
      </c>
      <c r="BZ499" s="63" t="n">
        <f aca="false">MATCH(MIN(BT499:BY499),BT499:BY499,0)</f>
        <v>2</v>
      </c>
      <c r="CB499" s="17" t="n">
        <f aca="false">SQRT(($B499-CB$401)^2+($C499-CB$402)^2+($D499-CB$403)^2)</f>
        <v>7.09149411760672</v>
      </c>
      <c r="CC499" s="17" t="n">
        <f aca="false">SQRT(($B499-CC$401)^2+($C499-CC$402)^2+($D499-CC$403)^2)</f>
        <v>0.816964812592443</v>
      </c>
      <c r="CD499" s="17" t="n">
        <f aca="false">SQRT(($B499-CD$401)^2+($C499-CD$402)^2+($D499-CD$403)^2)</f>
        <v>2.50711513253645</v>
      </c>
      <c r="CE499" s="17" t="n">
        <f aca="false">SQRT(($B499-CE$401)^2+($C499-CE$402)^2+($D499-CE$403)^2)</f>
        <v>1.11791245566527</v>
      </c>
      <c r="CF499" s="17" t="n">
        <f aca="false">SQRT(($B499-CF$401)^2+($C499-CF$402)^2+($D499-CF$403)^2)</f>
        <v>4.82611062839338</v>
      </c>
      <c r="CG499" s="17" t="n">
        <f aca="false">SQRT(($B499-CG$401)^2+($C499-CG$402)^2+($D499-CG$403)^2)</f>
        <v>0.896397671067072</v>
      </c>
      <c r="CH499" s="63" t="n">
        <f aca="false">MATCH(MIN(CB499:CG499),CB499:CG499,0)</f>
        <v>2</v>
      </c>
      <c r="CJ499" s="17" t="n">
        <f aca="false">SQRT(($B499-CJ$401)^2+($C499-CJ$402)^2+($D499-CJ$403)^2)</f>
        <v>7.09149411760672</v>
      </c>
      <c r="CK499" s="17" t="n">
        <f aca="false">SQRT(($B499-CK$401)^2+($C499-CK$402)^2+($D499-CK$403)^2)</f>
        <v>0.816964812592443</v>
      </c>
      <c r="CL499" s="17" t="n">
        <f aca="false">SQRT(($B499-CL$401)^2+($C499-CL$402)^2+($D499-CL$403)^2)</f>
        <v>2.50711513253645</v>
      </c>
      <c r="CM499" s="17" t="n">
        <f aca="false">SQRT(($B499-CM$401)^2+($C499-CM$402)^2+($D499-CM$403)^2)</f>
        <v>1.11791245566527</v>
      </c>
      <c r="CN499" s="17" t="n">
        <f aca="false">SQRT(($B499-CN$401)^2+($C499-CN$402)^2+($D499-CN$403)^2)</f>
        <v>4.82611062839338</v>
      </c>
      <c r="CO499" s="17" t="n">
        <f aca="false">SQRT(($B499-CO$401)^2+($C499-CO$402)^2+($D499-CO$403)^2)</f>
        <v>0.896397671067072</v>
      </c>
      <c r="CP499" s="63" t="n">
        <f aca="false">MATCH(MIN(CJ499:CO499),CJ499:CO499,0)</f>
        <v>2</v>
      </c>
      <c r="CR499" s="17" t="n">
        <f aca="false">SQRT(($B499-CR$401)^2+($C499-CR$402)^2+($D499-CR$403)^2)</f>
        <v>7.09149411760672</v>
      </c>
      <c r="CS499" s="17" t="n">
        <f aca="false">SQRT(($B499-CS$401)^2+($C499-CS$402)^2+($D499-CS$403)^2)</f>
        <v>0.816964812592443</v>
      </c>
      <c r="CT499" s="17" t="n">
        <f aca="false">SQRT(($B499-CT$401)^2+($C499-CT$402)^2+($D499-CT$403)^2)</f>
        <v>2.50711513253645</v>
      </c>
      <c r="CU499" s="17" t="n">
        <f aca="false">SQRT(($B499-CU$401)^2+($C499-CU$402)^2+($D499-CU$403)^2)</f>
        <v>1.11791245566527</v>
      </c>
      <c r="CV499" s="17" t="n">
        <f aca="false">SQRT(($B499-CV$401)^2+($C499-CV$402)^2+($D499-CV$403)^2)</f>
        <v>4.82611062839338</v>
      </c>
      <c r="CW499" s="17" t="n">
        <f aca="false">SQRT(($B499-CW$401)^2+($C499-CW$402)^2+($D499-CW$403)^2)</f>
        <v>0.896397671067072</v>
      </c>
      <c r="CX499" s="63" t="n">
        <f aca="false">MATCH(MIN(CR499:CW499),CR499:CW499,0)</f>
        <v>2</v>
      </c>
      <c r="CZ499" s="17" t="n">
        <f aca="false">SQRT(($B499-CZ$401)^2+($C499-CZ$402)^2+($D499-CZ$403)^2)</f>
        <v>7.09149411760672</v>
      </c>
      <c r="DA499" s="17" t="n">
        <f aca="false">SQRT(($B499-DA$401)^2+($C499-DA$402)^2+($D499-DA$403)^2)</f>
        <v>0.816964812592443</v>
      </c>
      <c r="DB499" s="17" t="n">
        <f aca="false">SQRT(($B499-DB$401)^2+($C499-DB$402)^2+($D499-DB$403)^2)</f>
        <v>2.50711513253645</v>
      </c>
      <c r="DC499" s="17" t="n">
        <f aca="false">SQRT(($B499-DC$401)^2+($C499-DC$402)^2+($D499-DC$403)^2)</f>
        <v>1.11791245566527</v>
      </c>
      <c r="DD499" s="17" t="n">
        <f aca="false">SQRT(($B499-DD$401)^2+($C499-DD$402)^2+($D499-DD$403)^2)</f>
        <v>4.82611062839338</v>
      </c>
      <c r="DE499" s="17" t="n">
        <f aca="false">SQRT(($B499-DE$401)^2+($C499-DE$402)^2+($D499-DE$403)^2)</f>
        <v>0.896397671067072</v>
      </c>
      <c r="DF499" s="63" t="n">
        <f aca="false">MATCH(MIN(CZ499:DE499),CZ499:DE499,0)</f>
        <v>2</v>
      </c>
      <c r="DH499" s="17" t="n">
        <f aca="false">SQRT(($B499-DH$401)^2+($C499-DH$402)^2+($D499-DH$403)^2)</f>
        <v>7.09149411760672</v>
      </c>
      <c r="DI499" s="17" t="n">
        <f aca="false">SQRT(($B499-DI$401)^2+($C499-DI$402)^2+($D499-DI$403)^2)</f>
        <v>0.816964812592443</v>
      </c>
      <c r="DJ499" s="17" t="n">
        <f aca="false">SQRT(($B499-DJ$401)^2+($C499-DJ$402)^2+($D499-DJ$403)^2)</f>
        <v>2.50711513253645</v>
      </c>
      <c r="DK499" s="17" t="n">
        <f aca="false">SQRT(($B499-DK$401)^2+($C499-DK$402)^2+($D499-DK$403)^2)</f>
        <v>1.11791245566527</v>
      </c>
      <c r="DL499" s="17" t="n">
        <f aca="false">SQRT(($B499-DL$401)^2+($C499-DL$402)^2+($D499-DL$403)^2)</f>
        <v>4.82611062839338</v>
      </c>
      <c r="DM499" s="17" t="n">
        <f aca="false">SQRT(($B499-DM$401)^2+($C499-DM$402)^2+($D499-DM$403)^2)</f>
        <v>0.896397671067072</v>
      </c>
      <c r="DN499" s="63" t="n">
        <f aca="false">MATCH(MIN(DH499:DM499),DH499:DM499,0)</f>
        <v>2</v>
      </c>
    </row>
    <row r="500" customFormat="false" ht="15" hidden="false" customHeight="false" outlineLevel="0" collapsed="false">
      <c r="A500" s="36" t="str">
        <f aca="false">KMeans_Data!A97</f>
        <v>Kasur</v>
      </c>
      <c r="B500" s="17" t="n">
        <f aca="false">KMeans_Data!H97</f>
        <v>-0.831705387014662</v>
      </c>
      <c r="C500" s="17" t="n">
        <f aca="false">KMeans_Data!I97</f>
        <v>-0.672650545388274</v>
      </c>
      <c r="D500" s="17" t="n">
        <f aca="false">KMeans_Data!J97</f>
        <v>-1.14564411633355</v>
      </c>
      <c r="E500" s="63" t="n">
        <f aca="false">DN500</f>
        <v>2</v>
      </c>
      <c r="F500" s="38" t="n">
        <f aca="false">($B500-INDEX($L$401:$Q$401,E500))^2+($C500-INDEX($L$402:$Q$402,E500))^2+($D500-INDEX($L$403:$Q$403,E500))^2</f>
        <v>0.185319739343692</v>
      </c>
      <c r="G500" s="17" t="n">
        <f aca="false">IF(COUNTIF(Distance_Matrix!$E$12:$DQ$12,$E500)&lt;=1,0,SUMIF(Distance_Matrix!$E$12:$DQ$12,$E500,Distance_Matrix!$E$106:$DQ$106)/(COUNTIF(Distance_Matrix!$E$12:$DQ$12,$E500)-1))</f>
        <v>0.573744077566792</v>
      </c>
      <c r="H500" s="17" t="n">
        <f aca="false">MIN(IF(1=$E500,1E+099,IF(COUNTIF(Distance_Matrix!$E$12:$DQ$12,1)=0,1E+099,SUMIF(Distance_Matrix!$E$12:$DQ$12,1,Distance_Matrix!$E$106:$DQ$106)/COUNTIF(Distance_Matrix!$E$12:$DQ$12,1))),IF(2=$E500,1E+099,IF(COUNTIF(Distance_Matrix!$E$12:$DQ$12,2)=0,1E+099,SUMIF(Distance_Matrix!$E$12:$DQ$12,2,Distance_Matrix!$E$106:$DQ$106)/COUNTIF(Distance_Matrix!$E$12:$DQ$12,2))),IF(3=$E500,1E+099,IF(COUNTIF(Distance_Matrix!$E$12:$DQ$12,3)=0,1E+099,SUMIF(Distance_Matrix!$E$12:$DQ$12,3,Distance_Matrix!$E$106:$DQ$106)/COUNTIF(Distance_Matrix!$E$12:$DQ$12,3))),IF(4=$E500,1E+099,IF(COUNTIF(Distance_Matrix!$E$12:$DQ$12,4)=0,1E+099,SUMIF(Distance_Matrix!$E$12:$DQ$12,4,Distance_Matrix!$E$106:$DQ$106)/COUNTIF(Distance_Matrix!$E$12:$DQ$12,4))),IF(5=$E500,1E+099,IF(COUNTIF(Distance_Matrix!$E$12:$DQ$12,5)=0,1E+099,SUMIF(Distance_Matrix!$E$12:$DQ$12,5,Distance_Matrix!$E$106:$DQ$106)/COUNTIF(Distance_Matrix!$E$12:$DQ$12,5))),IF(6=$E500,1E+099,IF(COUNTIF(Distance_Matrix!$E$12:$DQ$12,6)=0,1E+099,SUMIF(Distance_Matrix!$E$12:$DQ$12,6,Distance_Matrix!$E$106:$DQ$106)/COUNTIF(Distance_Matrix!$E$12:$DQ$12,6))))</f>
        <v>1.07566537566223</v>
      </c>
      <c r="I500" s="17" t="n">
        <f aca="false">IF(COUNTIF(Distance_Matrix!$E$12:$DQ$12,$E500)&lt;=1,0,(H500-G500)/MAX(G500,H500))</f>
        <v>0.46661472001591</v>
      </c>
      <c r="X500" s="17" t="n">
        <f aca="false">SQRT(($B500-X$401)^2+($C500-X$402)^2+($D500-X$403)^2)</f>
        <v>7.64219541328385</v>
      </c>
      <c r="Y500" s="17" t="n">
        <f aca="false">SQRT(($B500-Y$401)^2+($C500-Y$402)^2+($D500-Y$403)^2)</f>
        <v>1.24803259478866</v>
      </c>
      <c r="Z500" s="17" t="n">
        <f aca="false">SQRT(($B500-Z$401)^2+($C500-Z$402)^2+($D500-Z$403)^2)</f>
        <v>3.38265206186386</v>
      </c>
      <c r="AA500" s="17" t="n">
        <f aca="false">SQRT(($B500-AA$401)^2+($C500-AA$402)^2+($D500-AA$403)^2)</f>
        <v>1.56811137971082</v>
      </c>
      <c r="AB500" s="17" t="n">
        <f aca="false">SQRT(($B500-AB$401)^2+($C500-AB$402)^2+($D500-AB$403)^2)</f>
        <v>5.60304427138115</v>
      </c>
      <c r="AC500" s="17" t="n">
        <f aca="false">SQRT(($B500-AC$401)^2+($C500-AC$402)^2+($D500-AC$403)^2)</f>
        <v>1.8546471680959</v>
      </c>
      <c r="AD500" s="63" t="n">
        <f aca="false">MATCH(MIN(X500:AC500),X500:AC500,0)</f>
        <v>2</v>
      </c>
      <c r="AF500" s="17" t="n">
        <f aca="false">SQRT(($B500-AF$401)^2+($C500-AF$402)^2+($D500-AF$403)^2)</f>
        <v>7.5118976652251</v>
      </c>
      <c r="AG500" s="17" t="n">
        <f aca="false">SQRT(($B500-AG$401)^2+($C500-AG$402)^2+($D500-AG$403)^2)</f>
        <v>0.492102144751424</v>
      </c>
      <c r="AH500" s="17" t="n">
        <f aca="false">SQRT(($B500-AH$401)^2+($C500-AH$402)^2+($D500-AH$403)^2)</f>
        <v>3.037265896633</v>
      </c>
      <c r="AI500" s="17" t="n">
        <f aca="false">SQRT(($B500-AI$401)^2+($C500-AI$402)^2+($D500-AI$403)^2)</f>
        <v>1.02668799688633</v>
      </c>
      <c r="AJ500" s="17" t="n">
        <f aca="false">SQRT(($B500-AJ$401)^2+($C500-AJ$402)^2+($D500-AJ$403)^2)</f>
        <v>5.24152535598924</v>
      </c>
      <c r="AK500" s="17" t="n">
        <f aca="false">SQRT(($B500-AK$401)^2+($C500-AK$402)^2+($D500-AK$403)^2)</f>
        <v>1.46174236823289</v>
      </c>
      <c r="AL500" s="63" t="n">
        <f aca="false">MATCH(MIN(AF500:AK500),AF500:AK500,0)</f>
        <v>2</v>
      </c>
      <c r="AN500" s="17" t="n">
        <f aca="false">SQRT(($B500-AN$401)^2+($C500-AN$402)^2+($D500-AN$403)^2)</f>
        <v>7.5118976652251</v>
      </c>
      <c r="AO500" s="17" t="n">
        <f aca="false">SQRT(($B500-AO$401)^2+($C500-AO$402)^2+($D500-AO$403)^2)</f>
        <v>0.452491589280996</v>
      </c>
      <c r="AP500" s="17" t="n">
        <f aca="false">SQRT(($B500-AP$401)^2+($C500-AP$402)^2+($D500-AP$403)^2)</f>
        <v>3.00715132046279</v>
      </c>
      <c r="AQ500" s="17" t="n">
        <f aca="false">SQRT(($B500-AQ$401)^2+($C500-AQ$402)^2+($D500-AQ$403)^2)</f>
        <v>1.01610093732585</v>
      </c>
      <c r="AR500" s="17" t="n">
        <f aca="false">SQRT(($B500-AR$401)^2+($C500-AR$402)^2+($D500-AR$403)^2)</f>
        <v>5.24152535598924</v>
      </c>
      <c r="AS500" s="17" t="n">
        <f aca="false">SQRT(($B500-AS$401)^2+($C500-AS$402)^2+($D500-AS$403)^2)</f>
        <v>1.49880399660785</v>
      </c>
      <c r="AT500" s="63" t="n">
        <f aca="false">MATCH(MIN(AN500:AS500),AN500:AS500,0)</f>
        <v>2</v>
      </c>
      <c r="AV500" s="17" t="n">
        <f aca="false">SQRT(($B500-AV$401)^2+($C500-AV$402)^2+($D500-AV$403)^2)</f>
        <v>7.5118976652251</v>
      </c>
      <c r="AW500" s="17" t="n">
        <f aca="false">SQRT(($B500-AW$401)^2+($C500-AW$402)^2+($D500-AW$403)^2)</f>
        <v>0.438851720795101</v>
      </c>
      <c r="AX500" s="17" t="n">
        <f aca="false">SQRT(($B500-AX$401)^2+($C500-AX$402)^2+($D500-AX$403)^2)</f>
        <v>3.00715132046279</v>
      </c>
      <c r="AY500" s="17" t="n">
        <f aca="false">SQRT(($B500-AY$401)^2+($C500-AY$402)^2+($D500-AY$403)^2)</f>
        <v>1.01610093732585</v>
      </c>
      <c r="AZ500" s="17" t="n">
        <f aca="false">SQRT(($B500-AZ$401)^2+($C500-AZ$402)^2+($D500-AZ$403)^2)</f>
        <v>5.24152535598924</v>
      </c>
      <c r="BA500" s="17" t="n">
        <f aca="false">SQRT(($B500-BA$401)^2+($C500-BA$402)^2+($D500-BA$403)^2)</f>
        <v>1.52349039368923</v>
      </c>
      <c r="BB500" s="63" t="n">
        <f aca="false">MATCH(MIN(AV500:BA500),AV500:BA500,0)</f>
        <v>2</v>
      </c>
      <c r="BD500" s="17" t="n">
        <f aca="false">SQRT(($B500-BD$401)^2+($C500-BD$402)^2+($D500-BD$403)^2)</f>
        <v>7.5118976652251</v>
      </c>
      <c r="BE500" s="17" t="n">
        <f aca="false">SQRT(($B500-BE$401)^2+($C500-BE$402)^2+($D500-BE$403)^2)</f>
        <v>0.430487792328299</v>
      </c>
      <c r="BF500" s="17" t="n">
        <f aca="false">SQRT(($B500-BF$401)^2+($C500-BF$402)^2+($D500-BF$403)^2)</f>
        <v>3.00715132046279</v>
      </c>
      <c r="BG500" s="17" t="n">
        <f aca="false">SQRT(($B500-BG$401)^2+($C500-BG$402)^2+($D500-BG$403)^2)</f>
        <v>1.01610093732585</v>
      </c>
      <c r="BH500" s="17" t="n">
        <f aca="false">SQRT(($B500-BH$401)^2+($C500-BH$402)^2+($D500-BH$403)^2)</f>
        <v>5.24152535598924</v>
      </c>
      <c r="BI500" s="17" t="n">
        <f aca="false">SQRT(($B500-BI$401)^2+($C500-BI$402)^2+($D500-BI$403)^2)</f>
        <v>1.54801853691909</v>
      </c>
      <c r="BJ500" s="63" t="n">
        <f aca="false">MATCH(MIN(BD500:BI500),BD500:BI500,0)</f>
        <v>2</v>
      </c>
      <c r="BL500" s="17" t="n">
        <f aca="false">SQRT(($B500-BL$401)^2+($C500-BL$402)^2+($D500-BL$403)^2)</f>
        <v>7.5118976652251</v>
      </c>
      <c r="BM500" s="17" t="n">
        <f aca="false">SQRT(($B500-BM$401)^2+($C500-BM$402)^2+($D500-BM$403)^2)</f>
        <v>0.430487792328299</v>
      </c>
      <c r="BN500" s="17" t="n">
        <f aca="false">SQRT(($B500-BN$401)^2+($C500-BN$402)^2+($D500-BN$403)^2)</f>
        <v>3.00715132046279</v>
      </c>
      <c r="BO500" s="17" t="n">
        <f aca="false">SQRT(($B500-BO$401)^2+($C500-BO$402)^2+($D500-BO$403)^2)</f>
        <v>1.01610093732585</v>
      </c>
      <c r="BP500" s="17" t="n">
        <f aca="false">SQRT(($B500-BP$401)^2+($C500-BP$402)^2+($D500-BP$403)^2)</f>
        <v>5.24152535598924</v>
      </c>
      <c r="BQ500" s="17" t="n">
        <f aca="false">SQRT(($B500-BQ$401)^2+($C500-BQ$402)^2+($D500-BQ$403)^2)</f>
        <v>1.54801853691909</v>
      </c>
      <c r="BR500" s="63" t="n">
        <f aca="false">MATCH(MIN(BL500:BQ500),BL500:BQ500,0)</f>
        <v>2</v>
      </c>
      <c r="BT500" s="17" t="n">
        <f aca="false">SQRT(($B500-BT$401)^2+($C500-BT$402)^2+($D500-BT$403)^2)</f>
        <v>7.5118976652251</v>
      </c>
      <c r="BU500" s="17" t="n">
        <f aca="false">SQRT(($B500-BU$401)^2+($C500-BU$402)^2+($D500-BU$403)^2)</f>
        <v>0.430487792328299</v>
      </c>
      <c r="BV500" s="17" t="n">
        <f aca="false">SQRT(($B500-BV$401)^2+($C500-BV$402)^2+($D500-BV$403)^2)</f>
        <v>3.00715132046279</v>
      </c>
      <c r="BW500" s="17" t="n">
        <f aca="false">SQRT(($B500-BW$401)^2+($C500-BW$402)^2+($D500-BW$403)^2)</f>
        <v>1.01610093732585</v>
      </c>
      <c r="BX500" s="17" t="n">
        <f aca="false">SQRT(($B500-BX$401)^2+($C500-BX$402)^2+($D500-BX$403)^2)</f>
        <v>5.24152535598924</v>
      </c>
      <c r="BY500" s="17" t="n">
        <f aca="false">SQRT(($B500-BY$401)^2+($C500-BY$402)^2+($D500-BY$403)^2)</f>
        <v>1.54801853691909</v>
      </c>
      <c r="BZ500" s="63" t="n">
        <f aca="false">MATCH(MIN(BT500:BY500),BT500:BY500,0)</f>
        <v>2</v>
      </c>
      <c r="CB500" s="17" t="n">
        <f aca="false">SQRT(($B500-CB$401)^2+($C500-CB$402)^2+($D500-CB$403)^2)</f>
        <v>7.5118976652251</v>
      </c>
      <c r="CC500" s="17" t="n">
        <f aca="false">SQRT(($B500-CC$401)^2+($C500-CC$402)^2+($D500-CC$403)^2)</f>
        <v>0.430487792328299</v>
      </c>
      <c r="CD500" s="17" t="n">
        <f aca="false">SQRT(($B500-CD$401)^2+($C500-CD$402)^2+($D500-CD$403)^2)</f>
        <v>3.00715132046279</v>
      </c>
      <c r="CE500" s="17" t="n">
        <f aca="false">SQRT(($B500-CE$401)^2+($C500-CE$402)^2+($D500-CE$403)^2)</f>
        <v>1.01610093732585</v>
      </c>
      <c r="CF500" s="17" t="n">
        <f aca="false">SQRT(($B500-CF$401)^2+($C500-CF$402)^2+($D500-CF$403)^2)</f>
        <v>5.24152535598924</v>
      </c>
      <c r="CG500" s="17" t="n">
        <f aca="false">SQRT(($B500-CG$401)^2+($C500-CG$402)^2+($D500-CG$403)^2)</f>
        <v>1.54801853691909</v>
      </c>
      <c r="CH500" s="63" t="n">
        <f aca="false">MATCH(MIN(CB500:CG500),CB500:CG500,0)</f>
        <v>2</v>
      </c>
      <c r="CJ500" s="17" t="n">
        <f aca="false">SQRT(($B500-CJ$401)^2+($C500-CJ$402)^2+($D500-CJ$403)^2)</f>
        <v>7.5118976652251</v>
      </c>
      <c r="CK500" s="17" t="n">
        <f aca="false">SQRT(($B500-CK$401)^2+($C500-CK$402)^2+($D500-CK$403)^2)</f>
        <v>0.430487792328299</v>
      </c>
      <c r="CL500" s="17" t="n">
        <f aca="false">SQRT(($B500-CL$401)^2+($C500-CL$402)^2+($D500-CL$403)^2)</f>
        <v>3.00715132046279</v>
      </c>
      <c r="CM500" s="17" t="n">
        <f aca="false">SQRT(($B500-CM$401)^2+($C500-CM$402)^2+($D500-CM$403)^2)</f>
        <v>1.01610093732585</v>
      </c>
      <c r="CN500" s="17" t="n">
        <f aca="false">SQRT(($B500-CN$401)^2+($C500-CN$402)^2+($D500-CN$403)^2)</f>
        <v>5.24152535598924</v>
      </c>
      <c r="CO500" s="17" t="n">
        <f aca="false">SQRT(($B500-CO$401)^2+($C500-CO$402)^2+($D500-CO$403)^2)</f>
        <v>1.54801853691909</v>
      </c>
      <c r="CP500" s="63" t="n">
        <f aca="false">MATCH(MIN(CJ500:CO500),CJ500:CO500,0)</f>
        <v>2</v>
      </c>
      <c r="CR500" s="17" t="n">
        <f aca="false">SQRT(($B500-CR$401)^2+($C500-CR$402)^2+($D500-CR$403)^2)</f>
        <v>7.5118976652251</v>
      </c>
      <c r="CS500" s="17" t="n">
        <f aca="false">SQRT(($B500-CS$401)^2+($C500-CS$402)^2+($D500-CS$403)^2)</f>
        <v>0.430487792328299</v>
      </c>
      <c r="CT500" s="17" t="n">
        <f aca="false">SQRT(($B500-CT$401)^2+($C500-CT$402)^2+($D500-CT$403)^2)</f>
        <v>3.00715132046279</v>
      </c>
      <c r="CU500" s="17" t="n">
        <f aca="false">SQRT(($B500-CU$401)^2+($C500-CU$402)^2+($D500-CU$403)^2)</f>
        <v>1.01610093732585</v>
      </c>
      <c r="CV500" s="17" t="n">
        <f aca="false">SQRT(($B500-CV$401)^2+($C500-CV$402)^2+($D500-CV$403)^2)</f>
        <v>5.24152535598924</v>
      </c>
      <c r="CW500" s="17" t="n">
        <f aca="false">SQRT(($B500-CW$401)^2+($C500-CW$402)^2+($D500-CW$403)^2)</f>
        <v>1.54801853691909</v>
      </c>
      <c r="CX500" s="63" t="n">
        <f aca="false">MATCH(MIN(CR500:CW500),CR500:CW500,0)</f>
        <v>2</v>
      </c>
      <c r="CZ500" s="17" t="n">
        <f aca="false">SQRT(($B500-CZ$401)^2+($C500-CZ$402)^2+($D500-CZ$403)^2)</f>
        <v>7.5118976652251</v>
      </c>
      <c r="DA500" s="17" t="n">
        <f aca="false">SQRT(($B500-DA$401)^2+($C500-DA$402)^2+($D500-DA$403)^2)</f>
        <v>0.430487792328299</v>
      </c>
      <c r="DB500" s="17" t="n">
        <f aca="false">SQRT(($B500-DB$401)^2+($C500-DB$402)^2+($D500-DB$403)^2)</f>
        <v>3.00715132046279</v>
      </c>
      <c r="DC500" s="17" t="n">
        <f aca="false">SQRT(($B500-DC$401)^2+($C500-DC$402)^2+($D500-DC$403)^2)</f>
        <v>1.01610093732585</v>
      </c>
      <c r="DD500" s="17" t="n">
        <f aca="false">SQRT(($B500-DD$401)^2+($C500-DD$402)^2+($D500-DD$403)^2)</f>
        <v>5.24152535598924</v>
      </c>
      <c r="DE500" s="17" t="n">
        <f aca="false">SQRT(($B500-DE$401)^2+($C500-DE$402)^2+($D500-DE$403)^2)</f>
        <v>1.54801853691909</v>
      </c>
      <c r="DF500" s="63" t="n">
        <f aca="false">MATCH(MIN(CZ500:DE500),CZ500:DE500,0)</f>
        <v>2</v>
      </c>
      <c r="DH500" s="17" t="n">
        <f aca="false">SQRT(($B500-DH$401)^2+($C500-DH$402)^2+($D500-DH$403)^2)</f>
        <v>7.5118976652251</v>
      </c>
      <c r="DI500" s="17" t="n">
        <f aca="false">SQRT(($B500-DI$401)^2+($C500-DI$402)^2+($D500-DI$403)^2)</f>
        <v>0.430487792328299</v>
      </c>
      <c r="DJ500" s="17" t="n">
        <f aca="false">SQRT(($B500-DJ$401)^2+($C500-DJ$402)^2+($D500-DJ$403)^2)</f>
        <v>3.00715132046279</v>
      </c>
      <c r="DK500" s="17" t="n">
        <f aca="false">SQRT(($B500-DK$401)^2+($C500-DK$402)^2+($D500-DK$403)^2)</f>
        <v>1.01610093732585</v>
      </c>
      <c r="DL500" s="17" t="n">
        <f aca="false">SQRT(($B500-DL$401)^2+($C500-DL$402)^2+($D500-DL$403)^2)</f>
        <v>5.24152535598924</v>
      </c>
      <c r="DM500" s="17" t="n">
        <f aca="false">SQRT(($B500-DM$401)^2+($C500-DM$402)^2+($D500-DM$403)^2)</f>
        <v>1.54801853691909</v>
      </c>
      <c r="DN500" s="63" t="n">
        <f aca="false">MATCH(MIN(DH500:DM500),DH500:DM500,0)</f>
        <v>2</v>
      </c>
    </row>
    <row r="501" customFormat="false" ht="15" hidden="false" customHeight="false" outlineLevel="0" collapsed="false">
      <c r="A501" s="36" t="str">
        <f aca="false">KMeans_Data!A98</f>
        <v>Rajanpur</v>
      </c>
      <c r="B501" s="17" t="n">
        <f aca="false">KMeans_Data!H98</f>
        <v>-0.881311477972984</v>
      </c>
      <c r="C501" s="17" t="n">
        <f aca="false">KMeans_Data!I98</f>
        <v>-0.672650545388274</v>
      </c>
      <c r="D501" s="17" t="n">
        <f aca="false">KMeans_Data!J98</f>
        <v>-1.14564411633355</v>
      </c>
      <c r="E501" s="63" t="n">
        <f aca="false">DN501</f>
        <v>2</v>
      </c>
      <c r="F501" s="38" t="n">
        <f aca="false">($B501-INDEX($L$401:$Q$401,E501))^2+($C501-INDEX($L$402:$Q$402,E501))^2+($D501-INDEX($L$403:$Q$403,E501))^2</f>
        <v>0.146951069302442</v>
      </c>
      <c r="G501" s="17" t="n">
        <f aca="false">IF(COUNTIF(Distance_Matrix!$E$12:$DQ$12,$E501)&lt;=1,0,SUMIF(Distance_Matrix!$E$12:$DQ$12,$E501,Distance_Matrix!$E$107:$DQ$107)/(COUNTIF(Distance_Matrix!$E$12:$DQ$12,$E501)-1))</f>
        <v>0.543261683661596</v>
      </c>
      <c r="H501" s="17" t="n">
        <f aca="false">MIN(IF(1=$E501,1E+099,IF(COUNTIF(Distance_Matrix!$E$12:$DQ$12,1)=0,1E+099,SUMIF(Distance_Matrix!$E$12:$DQ$12,1,Distance_Matrix!$E$107:$DQ$107)/COUNTIF(Distance_Matrix!$E$12:$DQ$12,1))),IF(2=$E501,1E+099,IF(COUNTIF(Distance_Matrix!$E$12:$DQ$12,2)=0,1E+099,SUMIF(Distance_Matrix!$E$12:$DQ$12,2,Distance_Matrix!$E$107:$DQ$107)/COUNTIF(Distance_Matrix!$E$12:$DQ$12,2))),IF(3=$E501,1E+099,IF(COUNTIF(Distance_Matrix!$E$12:$DQ$12,3)=0,1E+099,SUMIF(Distance_Matrix!$E$12:$DQ$12,3,Distance_Matrix!$E$107:$DQ$107)/COUNTIF(Distance_Matrix!$E$12:$DQ$12,3))),IF(4=$E501,1E+099,IF(COUNTIF(Distance_Matrix!$E$12:$DQ$12,4)=0,1E+099,SUMIF(Distance_Matrix!$E$12:$DQ$12,4,Distance_Matrix!$E$107:$DQ$107)/COUNTIF(Distance_Matrix!$E$12:$DQ$12,4))),IF(5=$E501,1E+099,IF(COUNTIF(Distance_Matrix!$E$12:$DQ$12,5)=0,1E+099,SUMIF(Distance_Matrix!$E$12:$DQ$12,5,Distance_Matrix!$E$107:$DQ$107)/COUNTIF(Distance_Matrix!$E$12:$DQ$12,5))),IF(6=$E501,1E+099,IF(COUNTIF(Distance_Matrix!$E$12:$DQ$12,6)=0,1E+099,SUMIF(Distance_Matrix!$E$12:$DQ$12,6,Distance_Matrix!$E$107:$DQ$107)/COUNTIF(Distance_Matrix!$E$12:$DQ$12,6))))</f>
        <v>1.12059259122541</v>
      </c>
      <c r="I501" s="17" t="n">
        <f aca="false">IF(COUNTIF(Distance_Matrix!$E$12:$DQ$12,$E501)&lt;=1,0,(H501-G501)/MAX(G501,H501))</f>
        <v>0.515201431889247</v>
      </c>
      <c r="X501" s="17" t="n">
        <f aca="false">SQRT(($B501-X$401)^2+($C501-X$402)^2+($D501-X$403)^2)</f>
        <v>7.66896199778013</v>
      </c>
      <c r="Y501" s="17" t="n">
        <f aca="false">SQRT(($B501-Y$401)^2+($C501-Y$402)^2+($D501-Y$403)^2)</f>
        <v>1.19842650383034</v>
      </c>
      <c r="Z501" s="17" t="n">
        <f aca="false">SQRT(($B501-Z$401)^2+($C501-Z$402)^2+($D501-Z$403)^2)</f>
        <v>3.41031193536842</v>
      </c>
      <c r="AA501" s="17" t="n">
        <f aca="false">SQRT(($B501-AA$401)^2+($C501-AA$402)^2+($D501-AA$403)^2)</f>
        <v>1.6149328167294</v>
      </c>
      <c r="AB501" s="17" t="n">
        <f aca="false">SQRT(($B501-AB$401)^2+($C501-AB$402)^2+($D501-AB$403)^2)</f>
        <v>5.63148928328052</v>
      </c>
      <c r="AC501" s="17" t="n">
        <f aca="false">SQRT(($B501-AC$401)^2+($C501-AC$402)^2+($D501-AC$403)^2)</f>
        <v>1.85866343358087</v>
      </c>
      <c r="AD501" s="63" t="n">
        <f aca="false">MATCH(MIN(X501:AC501),X501:AC501,0)</f>
        <v>2</v>
      </c>
      <c r="AF501" s="17" t="n">
        <f aca="false">SQRT(($B501-AF$401)^2+($C501-AF$402)^2+($D501-AF$403)^2)</f>
        <v>7.53904739128889</v>
      </c>
      <c r="AG501" s="17" t="n">
        <f aca="false">SQRT(($B501-AG$401)^2+($C501-AG$402)^2+($D501-AG$403)^2)</f>
        <v>0.442841998581124</v>
      </c>
      <c r="AH501" s="17" t="n">
        <f aca="false">SQRT(($B501-AH$401)^2+($C501-AH$402)^2+($D501-AH$403)^2)</f>
        <v>3.06371575099989</v>
      </c>
      <c r="AI501" s="17" t="n">
        <f aca="false">SQRT(($B501-AI$401)^2+($C501-AI$402)^2+($D501-AI$403)^2)</f>
        <v>1.07393317665769</v>
      </c>
      <c r="AJ501" s="17" t="n">
        <f aca="false">SQRT(($B501-AJ$401)^2+($C501-AJ$402)^2+($D501-AJ$403)^2)</f>
        <v>5.26937195077302</v>
      </c>
      <c r="AK501" s="17" t="n">
        <f aca="false">SQRT(($B501-AK$401)^2+($C501-AK$402)^2+($D501-AK$403)^2)</f>
        <v>1.48168533025534</v>
      </c>
      <c r="AL501" s="63" t="n">
        <f aca="false">MATCH(MIN(AF501:AK501),AF501:AK501,0)</f>
        <v>2</v>
      </c>
      <c r="AN501" s="17" t="n">
        <f aca="false">SQRT(($B501-AN$401)^2+($C501-AN$402)^2+($D501-AN$403)^2)</f>
        <v>7.53904739128889</v>
      </c>
      <c r="AO501" s="17" t="n">
        <f aca="false">SQRT(($B501-AO$401)^2+($C501-AO$402)^2+($D501-AO$403)^2)</f>
        <v>0.403650707225737</v>
      </c>
      <c r="AP501" s="17" t="n">
        <f aca="false">SQRT(($B501-AP$401)^2+($C501-AP$402)^2+($D501-AP$403)^2)</f>
        <v>3.03341075396005</v>
      </c>
      <c r="AQ501" s="17" t="n">
        <f aca="false">SQRT(($B501-AQ$401)^2+($C501-AQ$402)^2+($D501-AQ$403)^2)</f>
        <v>1.06355300495182</v>
      </c>
      <c r="AR501" s="17" t="n">
        <f aca="false">SQRT(($B501-AR$401)^2+($C501-AR$402)^2+($D501-AR$403)^2)</f>
        <v>5.26937195077302</v>
      </c>
      <c r="AS501" s="17" t="n">
        <f aca="false">SQRT(($B501-AS$401)^2+($C501-AS$402)^2+($D501-AS$403)^2)</f>
        <v>1.51955717867022</v>
      </c>
      <c r="AT501" s="63" t="n">
        <f aca="false">MATCH(MIN(AN501:AS501),AN501:AS501,0)</f>
        <v>2</v>
      </c>
      <c r="AV501" s="17" t="n">
        <f aca="false">SQRT(($B501-AV$401)^2+($C501-AV$402)^2+($D501-AV$403)^2)</f>
        <v>7.53904739128889</v>
      </c>
      <c r="AW501" s="17" t="n">
        <f aca="false">SQRT(($B501-AW$401)^2+($C501-AW$402)^2+($D501-AW$403)^2)</f>
        <v>0.390706795366838</v>
      </c>
      <c r="AX501" s="17" t="n">
        <f aca="false">SQRT(($B501-AX$401)^2+($C501-AX$402)^2+($D501-AX$403)^2)</f>
        <v>3.03341075396005</v>
      </c>
      <c r="AY501" s="17" t="n">
        <f aca="false">SQRT(($B501-AY$401)^2+($C501-AY$402)^2+($D501-AY$403)^2)</f>
        <v>1.06355300495182</v>
      </c>
      <c r="AZ501" s="17" t="n">
        <f aca="false">SQRT(($B501-AZ$401)^2+($C501-AZ$402)^2+($D501-AZ$403)^2)</f>
        <v>5.26937195077302</v>
      </c>
      <c r="BA501" s="17" t="n">
        <f aca="false">SQRT(($B501-BA$401)^2+($C501-BA$402)^2+($D501-BA$403)^2)</f>
        <v>1.54445817631874</v>
      </c>
      <c r="BB501" s="63" t="n">
        <f aca="false">MATCH(MIN(AV501:BA501),AV501:BA501,0)</f>
        <v>2</v>
      </c>
      <c r="BD501" s="17" t="n">
        <f aca="false">SQRT(($B501-BD$401)^2+($C501-BD$402)^2+($D501-BD$403)^2)</f>
        <v>7.53904739128889</v>
      </c>
      <c r="BE501" s="17" t="n">
        <f aca="false">SQRT(($B501-BE$401)^2+($C501-BE$402)^2+($D501-BE$403)^2)</f>
        <v>0.383341974355068</v>
      </c>
      <c r="BF501" s="17" t="n">
        <f aca="false">SQRT(($B501-BF$401)^2+($C501-BF$402)^2+($D501-BF$403)^2)</f>
        <v>3.03341075396005</v>
      </c>
      <c r="BG501" s="17" t="n">
        <f aca="false">SQRT(($B501-BG$401)^2+($C501-BG$402)^2+($D501-BG$403)^2)</f>
        <v>1.06355300495182</v>
      </c>
      <c r="BH501" s="17" t="n">
        <f aca="false">SQRT(($B501-BH$401)^2+($C501-BH$402)^2+($D501-BH$403)^2)</f>
        <v>5.26937195077302</v>
      </c>
      <c r="BI501" s="17" t="n">
        <f aca="false">SQRT(($B501-BI$401)^2+($C501-BI$402)^2+($D501-BI$403)^2)</f>
        <v>1.56927461680769</v>
      </c>
      <c r="BJ501" s="63" t="n">
        <f aca="false">MATCH(MIN(BD501:BI501),BD501:BI501,0)</f>
        <v>2</v>
      </c>
      <c r="BL501" s="17" t="n">
        <f aca="false">SQRT(($B501-BL$401)^2+($C501-BL$402)^2+($D501-BL$403)^2)</f>
        <v>7.53904739128889</v>
      </c>
      <c r="BM501" s="17" t="n">
        <f aca="false">SQRT(($B501-BM$401)^2+($C501-BM$402)^2+($D501-BM$403)^2)</f>
        <v>0.383341974355068</v>
      </c>
      <c r="BN501" s="17" t="n">
        <f aca="false">SQRT(($B501-BN$401)^2+($C501-BN$402)^2+($D501-BN$403)^2)</f>
        <v>3.03341075396005</v>
      </c>
      <c r="BO501" s="17" t="n">
        <f aca="false">SQRT(($B501-BO$401)^2+($C501-BO$402)^2+($D501-BO$403)^2)</f>
        <v>1.06355300495182</v>
      </c>
      <c r="BP501" s="17" t="n">
        <f aca="false">SQRT(($B501-BP$401)^2+($C501-BP$402)^2+($D501-BP$403)^2)</f>
        <v>5.26937195077302</v>
      </c>
      <c r="BQ501" s="17" t="n">
        <f aca="false">SQRT(($B501-BQ$401)^2+($C501-BQ$402)^2+($D501-BQ$403)^2)</f>
        <v>1.56927461680769</v>
      </c>
      <c r="BR501" s="63" t="n">
        <f aca="false">MATCH(MIN(BL501:BQ501),BL501:BQ501,0)</f>
        <v>2</v>
      </c>
      <c r="BT501" s="17" t="n">
        <f aca="false">SQRT(($B501-BT$401)^2+($C501-BT$402)^2+($D501-BT$403)^2)</f>
        <v>7.53904739128889</v>
      </c>
      <c r="BU501" s="17" t="n">
        <f aca="false">SQRT(($B501-BU$401)^2+($C501-BU$402)^2+($D501-BU$403)^2)</f>
        <v>0.383341974355068</v>
      </c>
      <c r="BV501" s="17" t="n">
        <f aca="false">SQRT(($B501-BV$401)^2+($C501-BV$402)^2+($D501-BV$403)^2)</f>
        <v>3.03341075396005</v>
      </c>
      <c r="BW501" s="17" t="n">
        <f aca="false">SQRT(($B501-BW$401)^2+($C501-BW$402)^2+($D501-BW$403)^2)</f>
        <v>1.06355300495182</v>
      </c>
      <c r="BX501" s="17" t="n">
        <f aca="false">SQRT(($B501-BX$401)^2+($C501-BX$402)^2+($D501-BX$403)^2)</f>
        <v>5.26937195077302</v>
      </c>
      <c r="BY501" s="17" t="n">
        <f aca="false">SQRT(($B501-BY$401)^2+($C501-BY$402)^2+($D501-BY$403)^2)</f>
        <v>1.56927461680769</v>
      </c>
      <c r="BZ501" s="63" t="n">
        <f aca="false">MATCH(MIN(BT501:BY501),BT501:BY501,0)</f>
        <v>2</v>
      </c>
      <c r="CB501" s="17" t="n">
        <f aca="false">SQRT(($B501-CB$401)^2+($C501-CB$402)^2+($D501-CB$403)^2)</f>
        <v>7.53904739128889</v>
      </c>
      <c r="CC501" s="17" t="n">
        <f aca="false">SQRT(($B501-CC$401)^2+($C501-CC$402)^2+($D501-CC$403)^2)</f>
        <v>0.383341974355068</v>
      </c>
      <c r="CD501" s="17" t="n">
        <f aca="false">SQRT(($B501-CD$401)^2+($C501-CD$402)^2+($D501-CD$403)^2)</f>
        <v>3.03341075396005</v>
      </c>
      <c r="CE501" s="17" t="n">
        <f aca="false">SQRT(($B501-CE$401)^2+($C501-CE$402)^2+($D501-CE$403)^2)</f>
        <v>1.06355300495182</v>
      </c>
      <c r="CF501" s="17" t="n">
        <f aca="false">SQRT(($B501-CF$401)^2+($C501-CF$402)^2+($D501-CF$403)^2)</f>
        <v>5.26937195077302</v>
      </c>
      <c r="CG501" s="17" t="n">
        <f aca="false">SQRT(($B501-CG$401)^2+($C501-CG$402)^2+($D501-CG$403)^2)</f>
        <v>1.56927461680769</v>
      </c>
      <c r="CH501" s="63" t="n">
        <f aca="false">MATCH(MIN(CB501:CG501),CB501:CG501,0)</f>
        <v>2</v>
      </c>
      <c r="CJ501" s="17" t="n">
        <f aca="false">SQRT(($B501-CJ$401)^2+($C501-CJ$402)^2+($D501-CJ$403)^2)</f>
        <v>7.53904739128889</v>
      </c>
      <c r="CK501" s="17" t="n">
        <f aca="false">SQRT(($B501-CK$401)^2+($C501-CK$402)^2+($D501-CK$403)^2)</f>
        <v>0.383341974355068</v>
      </c>
      <c r="CL501" s="17" t="n">
        <f aca="false">SQRT(($B501-CL$401)^2+($C501-CL$402)^2+($D501-CL$403)^2)</f>
        <v>3.03341075396005</v>
      </c>
      <c r="CM501" s="17" t="n">
        <f aca="false">SQRT(($B501-CM$401)^2+($C501-CM$402)^2+($D501-CM$403)^2)</f>
        <v>1.06355300495182</v>
      </c>
      <c r="CN501" s="17" t="n">
        <f aca="false">SQRT(($B501-CN$401)^2+($C501-CN$402)^2+($D501-CN$403)^2)</f>
        <v>5.26937195077302</v>
      </c>
      <c r="CO501" s="17" t="n">
        <f aca="false">SQRT(($B501-CO$401)^2+($C501-CO$402)^2+($D501-CO$403)^2)</f>
        <v>1.56927461680769</v>
      </c>
      <c r="CP501" s="63" t="n">
        <f aca="false">MATCH(MIN(CJ501:CO501),CJ501:CO501,0)</f>
        <v>2</v>
      </c>
      <c r="CR501" s="17" t="n">
        <f aca="false">SQRT(($B501-CR$401)^2+($C501-CR$402)^2+($D501-CR$403)^2)</f>
        <v>7.53904739128889</v>
      </c>
      <c r="CS501" s="17" t="n">
        <f aca="false">SQRT(($B501-CS$401)^2+($C501-CS$402)^2+($D501-CS$403)^2)</f>
        <v>0.383341974355068</v>
      </c>
      <c r="CT501" s="17" t="n">
        <f aca="false">SQRT(($B501-CT$401)^2+($C501-CT$402)^2+($D501-CT$403)^2)</f>
        <v>3.03341075396005</v>
      </c>
      <c r="CU501" s="17" t="n">
        <f aca="false">SQRT(($B501-CU$401)^2+($C501-CU$402)^2+($D501-CU$403)^2)</f>
        <v>1.06355300495182</v>
      </c>
      <c r="CV501" s="17" t="n">
        <f aca="false">SQRT(($B501-CV$401)^2+($C501-CV$402)^2+($D501-CV$403)^2)</f>
        <v>5.26937195077302</v>
      </c>
      <c r="CW501" s="17" t="n">
        <f aca="false">SQRT(($B501-CW$401)^2+($C501-CW$402)^2+($D501-CW$403)^2)</f>
        <v>1.56927461680769</v>
      </c>
      <c r="CX501" s="63" t="n">
        <f aca="false">MATCH(MIN(CR501:CW501),CR501:CW501,0)</f>
        <v>2</v>
      </c>
      <c r="CZ501" s="17" t="n">
        <f aca="false">SQRT(($B501-CZ$401)^2+($C501-CZ$402)^2+($D501-CZ$403)^2)</f>
        <v>7.53904739128889</v>
      </c>
      <c r="DA501" s="17" t="n">
        <f aca="false">SQRT(($B501-DA$401)^2+($C501-DA$402)^2+($D501-DA$403)^2)</f>
        <v>0.383341974355068</v>
      </c>
      <c r="DB501" s="17" t="n">
        <f aca="false">SQRT(($B501-DB$401)^2+($C501-DB$402)^2+($D501-DB$403)^2)</f>
        <v>3.03341075396005</v>
      </c>
      <c r="DC501" s="17" t="n">
        <f aca="false">SQRT(($B501-DC$401)^2+($C501-DC$402)^2+($D501-DC$403)^2)</f>
        <v>1.06355300495182</v>
      </c>
      <c r="DD501" s="17" t="n">
        <f aca="false">SQRT(($B501-DD$401)^2+($C501-DD$402)^2+($D501-DD$403)^2)</f>
        <v>5.26937195077302</v>
      </c>
      <c r="DE501" s="17" t="n">
        <f aca="false">SQRT(($B501-DE$401)^2+($C501-DE$402)^2+($D501-DE$403)^2)</f>
        <v>1.56927461680769</v>
      </c>
      <c r="DF501" s="63" t="n">
        <f aca="false">MATCH(MIN(CZ501:DE501),CZ501:DE501,0)</f>
        <v>2</v>
      </c>
      <c r="DH501" s="17" t="n">
        <f aca="false">SQRT(($B501-DH$401)^2+($C501-DH$402)^2+($D501-DH$403)^2)</f>
        <v>7.53904739128889</v>
      </c>
      <c r="DI501" s="17" t="n">
        <f aca="false">SQRT(($B501-DI$401)^2+($C501-DI$402)^2+($D501-DI$403)^2)</f>
        <v>0.383341974355068</v>
      </c>
      <c r="DJ501" s="17" t="n">
        <f aca="false">SQRT(($B501-DJ$401)^2+($C501-DJ$402)^2+($D501-DJ$403)^2)</f>
        <v>3.03341075396005</v>
      </c>
      <c r="DK501" s="17" t="n">
        <f aca="false">SQRT(($B501-DK$401)^2+($C501-DK$402)^2+($D501-DK$403)^2)</f>
        <v>1.06355300495182</v>
      </c>
      <c r="DL501" s="17" t="n">
        <f aca="false">SQRT(($B501-DL$401)^2+($C501-DL$402)^2+($D501-DL$403)^2)</f>
        <v>5.26937195077302</v>
      </c>
      <c r="DM501" s="17" t="n">
        <f aca="false">SQRT(($B501-DM$401)^2+($C501-DM$402)^2+($D501-DM$403)^2)</f>
        <v>1.56927461680769</v>
      </c>
      <c r="DN501" s="63" t="n">
        <f aca="false">MATCH(MIN(DH501:DM501),DH501:DM501,0)</f>
        <v>2</v>
      </c>
    </row>
    <row r="502" customFormat="false" ht="15" hidden="false" customHeight="false" outlineLevel="0" collapsed="false">
      <c r="A502" s="36" t="str">
        <f aca="false">KMeans_Data!A99</f>
        <v>Umerkot</v>
      </c>
      <c r="B502" s="17" t="n">
        <f aca="false">KMeans_Data!H99</f>
        <v>-0.881311477972984</v>
      </c>
      <c r="C502" s="17" t="n">
        <f aca="false">KMeans_Data!I99</f>
        <v>-0.146983133929529</v>
      </c>
      <c r="D502" s="17" t="n">
        <f aca="false">KMeans_Data!J99</f>
        <v>-0.824446015898766</v>
      </c>
      <c r="E502" s="63" t="n">
        <f aca="false">DN502</f>
        <v>2</v>
      </c>
      <c r="F502" s="38" t="n">
        <f aca="false">($B502-INDEX($L$401:$Q$401,E502))^2+($C502-INDEX($L$402:$Q$402,E502))^2+($D502-INDEX($L$403:$Q$403,E502))^2</f>
        <v>0.425797217753434</v>
      </c>
      <c r="G502" s="17" t="n">
        <f aca="false">IF(COUNTIF(Distance_Matrix!$E$12:$DQ$12,$E502)&lt;=1,0,SUMIF(Distance_Matrix!$E$12:$DQ$12,$E502,Distance_Matrix!$E$108:$DQ$108)/(COUNTIF(Distance_Matrix!$E$12:$DQ$12,$E502)-1))</f>
        <v>0.808310298038156</v>
      </c>
      <c r="H502" s="17" t="n">
        <f aca="false">MIN(IF(1=$E502,1E+099,IF(COUNTIF(Distance_Matrix!$E$12:$DQ$12,1)=0,1E+099,SUMIF(Distance_Matrix!$E$12:$DQ$12,1,Distance_Matrix!$E$108:$DQ$108)/COUNTIF(Distance_Matrix!$E$12:$DQ$12,1))),IF(2=$E502,1E+099,IF(COUNTIF(Distance_Matrix!$E$12:$DQ$12,2)=0,1E+099,SUMIF(Distance_Matrix!$E$12:$DQ$12,2,Distance_Matrix!$E$108:$DQ$108)/COUNTIF(Distance_Matrix!$E$12:$DQ$12,2))),IF(3=$E502,1E+099,IF(COUNTIF(Distance_Matrix!$E$12:$DQ$12,3)=0,1E+099,SUMIF(Distance_Matrix!$E$12:$DQ$12,3,Distance_Matrix!$E$108:$DQ$108)/COUNTIF(Distance_Matrix!$E$12:$DQ$12,3))),IF(4=$E502,1E+099,IF(COUNTIF(Distance_Matrix!$E$12:$DQ$12,4)=0,1E+099,SUMIF(Distance_Matrix!$E$12:$DQ$12,4,Distance_Matrix!$E$108:$DQ$108)/COUNTIF(Distance_Matrix!$E$12:$DQ$12,4))),IF(5=$E502,1E+099,IF(COUNTIF(Distance_Matrix!$E$12:$DQ$12,5)=0,1E+099,SUMIF(Distance_Matrix!$E$12:$DQ$12,5,Distance_Matrix!$E$108:$DQ$108)/COUNTIF(Distance_Matrix!$E$12:$DQ$12,5))),IF(6=$E502,1E+099,IF(COUNTIF(Distance_Matrix!$E$12:$DQ$12,6)=0,1E+099,SUMIF(Distance_Matrix!$E$12:$DQ$12,6,Distance_Matrix!$E$108:$DQ$108)/COUNTIF(Distance_Matrix!$E$12:$DQ$12,6))))</f>
        <v>1.20014630951378</v>
      </c>
      <c r="I502" s="17" t="n">
        <f aca="false">IF(COUNTIF(Distance_Matrix!$E$12:$DQ$12,$E502)&lt;=1,0,(H502-G502)/MAX(G502,H502))</f>
        <v>0.326490202377385</v>
      </c>
      <c r="X502" s="17" t="n">
        <f aca="false">SQRT(($B502-X$401)^2+($C502-X$402)^2+($D502-X$403)^2)</f>
        <v>7.1703290216323</v>
      </c>
      <c r="Y502" s="17" t="n">
        <f aca="false">SQRT(($B502-Y$401)^2+($C502-Y$402)^2+($D502-Y$403)^2)</f>
        <v>1.34748674660483</v>
      </c>
      <c r="Z502" s="17" t="n">
        <f aca="false">SQRT(($B502-Z$401)^2+($C502-Z$402)^2+($D502-Z$403)^2)</f>
        <v>3.03708367541972</v>
      </c>
      <c r="AA502" s="17" t="n">
        <f aca="false">SQRT(($B502-AA$401)^2+($C502-AA$402)^2+($D502-AA$403)^2)</f>
        <v>1.56040058792694</v>
      </c>
      <c r="AB502" s="17" t="n">
        <f aca="false">SQRT(($B502-AB$401)^2+($C502-AB$402)^2+($D502-AB$403)^2)</f>
        <v>5.16857092291241</v>
      </c>
      <c r="AC502" s="17" t="n">
        <f aca="false">SQRT(($B502-AC$401)^2+($C502-AC$402)^2+($D502-AC$403)^2)</f>
        <v>1.46347519436188</v>
      </c>
      <c r="AD502" s="63" t="n">
        <f aca="false">MATCH(MIN(X502:AC502),X502:AC502,0)</f>
        <v>2</v>
      </c>
      <c r="AF502" s="17" t="n">
        <f aca="false">SQRT(($B502-AF$401)^2+($C502-AF$402)^2+($D502-AF$403)^2)</f>
        <v>7.03986094785778</v>
      </c>
      <c r="AG502" s="17" t="n">
        <f aca="false">SQRT(($B502-AG$401)^2+($C502-AG$402)^2+($D502-AG$403)^2)</f>
        <v>0.720703739827001</v>
      </c>
      <c r="AH502" s="17" t="n">
        <f aca="false">SQRT(($B502-AH$401)^2+($C502-AH$402)^2+($D502-AH$403)^2)</f>
        <v>2.61391051978342</v>
      </c>
      <c r="AI502" s="17" t="n">
        <f aca="false">SQRT(($B502-AI$401)^2+($C502-AI$402)^2+($D502-AI$403)^2)</f>
        <v>1.09743339979241</v>
      </c>
      <c r="AJ502" s="17" t="n">
        <f aca="false">SQRT(($B502-AJ$401)^2+($C502-AJ$402)^2+($D502-AJ$403)^2)</f>
        <v>4.78388480489006</v>
      </c>
      <c r="AK502" s="17" t="n">
        <f aca="false">SQRT(($B502-AK$401)^2+($C502-AK$402)^2+($D502-AK$403)^2)</f>
        <v>1.19620117141062</v>
      </c>
      <c r="AL502" s="63" t="n">
        <f aca="false">MATCH(MIN(AF502:AK502),AF502:AK502,0)</f>
        <v>2</v>
      </c>
      <c r="AN502" s="17" t="n">
        <f aca="false">SQRT(($B502-AN$401)^2+($C502-AN$402)^2+($D502-AN$403)^2)</f>
        <v>7.03986094785778</v>
      </c>
      <c r="AO502" s="17" t="n">
        <f aca="false">SQRT(($B502-AO$401)^2+($C502-AO$402)^2+($D502-AO$403)^2)</f>
        <v>0.688641409853794</v>
      </c>
      <c r="AP502" s="17" t="n">
        <f aca="false">SQRT(($B502-AP$401)^2+($C502-AP$402)^2+($D502-AP$403)^2)</f>
        <v>2.58227801413308</v>
      </c>
      <c r="AQ502" s="17" t="n">
        <f aca="false">SQRT(($B502-AQ$401)^2+($C502-AQ$402)^2+($D502-AQ$403)^2)</f>
        <v>1.10355548221034</v>
      </c>
      <c r="AR502" s="17" t="n">
        <f aca="false">SQRT(($B502-AR$401)^2+($C502-AR$402)^2+($D502-AR$403)^2)</f>
        <v>4.78388480489006</v>
      </c>
      <c r="AS502" s="17" t="n">
        <f aca="false">SQRT(($B502-AS$401)^2+($C502-AS$402)^2+($D502-AS$403)^2)</f>
        <v>1.23470182429677</v>
      </c>
      <c r="AT502" s="63" t="n">
        <f aca="false">MATCH(MIN(AN502:AS502),AN502:AS502,0)</f>
        <v>2</v>
      </c>
      <c r="AV502" s="17" t="n">
        <f aca="false">SQRT(($B502-AV$401)^2+($C502-AV$402)^2+($D502-AV$403)^2)</f>
        <v>7.03986094785778</v>
      </c>
      <c r="AW502" s="17" t="n">
        <f aca="false">SQRT(($B502-AW$401)^2+($C502-AW$402)^2+($D502-AW$403)^2)</f>
        <v>0.669433466507181</v>
      </c>
      <c r="AX502" s="17" t="n">
        <f aca="false">SQRT(($B502-AX$401)^2+($C502-AX$402)^2+($D502-AX$403)^2)</f>
        <v>2.58227801413308</v>
      </c>
      <c r="AY502" s="17" t="n">
        <f aca="false">SQRT(($B502-AY$401)^2+($C502-AY$402)^2+($D502-AY$403)^2)</f>
        <v>1.10355548221034</v>
      </c>
      <c r="AZ502" s="17" t="n">
        <f aca="false">SQRT(($B502-AZ$401)^2+($C502-AZ$402)^2+($D502-AZ$403)^2)</f>
        <v>4.78388480489006</v>
      </c>
      <c r="BA502" s="17" t="n">
        <f aca="false">SQRT(($B502-BA$401)^2+($C502-BA$402)^2+($D502-BA$403)^2)</f>
        <v>1.25699213406792</v>
      </c>
      <c r="BB502" s="63" t="n">
        <f aca="false">MATCH(MIN(AV502:BA502),AV502:BA502,0)</f>
        <v>2</v>
      </c>
      <c r="BD502" s="17" t="n">
        <f aca="false">SQRT(($B502-BD$401)^2+($C502-BD$402)^2+($D502-BD$403)^2)</f>
        <v>7.03986094785778</v>
      </c>
      <c r="BE502" s="17" t="n">
        <f aca="false">SQRT(($B502-BE$401)^2+($C502-BE$402)^2+($D502-BE$403)^2)</f>
        <v>0.652531392159361</v>
      </c>
      <c r="BF502" s="17" t="n">
        <f aca="false">SQRT(($B502-BF$401)^2+($C502-BF$402)^2+($D502-BF$403)^2)</f>
        <v>2.58227801413308</v>
      </c>
      <c r="BG502" s="17" t="n">
        <f aca="false">SQRT(($B502-BG$401)^2+($C502-BG$402)^2+($D502-BG$403)^2)</f>
        <v>1.10355548221034</v>
      </c>
      <c r="BH502" s="17" t="n">
        <f aca="false">SQRT(($B502-BH$401)^2+($C502-BH$402)^2+($D502-BH$403)^2)</f>
        <v>4.78388480489006</v>
      </c>
      <c r="BI502" s="17" t="n">
        <f aca="false">SQRT(($B502-BI$401)^2+($C502-BI$402)^2+($D502-BI$403)^2)</f>
        <v>1.27943087136655</v>
      </c>
      <c r="BJ502" s="63" t="n">
        <f aca="false">MATCH(MIN(BD502:BI502),BD502:BI502,0)</f>
        <v>2</v>
      </c>
      <c r="BL502" s="17" t="n">
        <f aca="false">SQRT(($B502-BL$401)^2+($C502-BL$402)^2+($D502-BL$403)^2)</f>
        <v>7.03986094785778</v>
      </c>
      <c r="BM502" s="17" t="n">
        <f aca="false">SQRT(($B502-BM$401)^2+($C502-BM$402)^2+($D502-BM$403)^2)</f>
        <v>0.652531392159361</v>
      </c>
      <c r="BN502" s="17" t="n">
        <f aca="false">SQRT(($B502-BN$401)^2+($C502-BN$402)^2+($D502-BN$403)^2)</f>
        <v>2.58227801413308</v>
      </c>
      <c r="BO502" s="17" t="n">
        <f aca="false">SQRT(($B502-BO$401)^2+($C502-BO$402)^2+($D502-BO$403)^2)</f>
        <v>1.10355548221034</v>
      </c>
      <c r="BP502" s="17" t="n">
        <f aca="false">SQRT(($B502-BP$401)^2+($C502-BP$402)^2+($D502-BP$403)^2)</f>
        <v>4.78388480489006</v>
      </c>
      <c r="BQ502" s="17" t="n">
        <f aca="false">SQRT(($B502-BQ$401)^2+($C502-BQ$402)^2+($D502-BQ$403)^2)</f>
        <v>1.27943087136655</v>
      </c>
      <c r="BR502" s="63" t="n">
        <f aca="false">MATCH(MIN(BL502:BQ502),BL502:BQ502,0)</f>
        <v>2</v>
      </c>
      <c r="BT502" s="17" t="n">
        <f aca="false">SQRT(($B502-BT$401)^2+($C502-BT$402)^2+($D502-BT$403)^2)</f>
        <v>7.03986094785778</v>
      </c>
      <c r="BU502" s="17" t="n">
        <f aca="false">SQRT(($B502-BU$401)^2+($C502-BU$402)^2+($D502-BU$403)^2)</f>
        <v>0.652531392159361</v>
      </c>
      <c r="BV502" s="17" t="n">
        <f aca="false">SQRT(($B502-BV$401)^2+($C502-BV$402)^2+($D502-BV$403)^2)</f>
        <v>2.58227801413308</v>
      </c>
      <c r="BW502" s="17" t="n">
        <f aca="false">SQRT(($B502-BW$401)^2+($C502-BW$402)^2+($D502-BW$403)^2)</f>
        <v>1.10355548221034</v>
      </c>
      <c r="BX502" s="17" t="n">
        <f aca="false">SQRT(($B502-BX$401)^2+($C502-BX$402)^2+($D502-BX$403)^2)</f>
        <v>4.78388480489006</v>
      </c>
      <c r="BY502" s="17" t="n">
        <f aca="false">SQRT(($B502-BY$401)^2+($C502-BY$402)^2+($D502-BY$403)^2)</f>
        <v>1.27943087136655</v>
      </c>
      <c r="BZ502" s="63" t="n">
        <f aca="false">MATCH(MIN(BT502:BY502),BT502:BY502,0)</f>
        <v>2</v>
      </c>
      <c r="CB502" s="17" t="n">
        <f aca="false">SQRT(($B502-CB$401)^2+($C502-CB$402)^2+($D502-CB$403)^2)</f>
        <v>7.03986094785778</v>
      </c>
      <c r="CC502" s="17" t="n">
        <f aca="false">SQRT(($B502-CC$401)^2+($C502-CC$402)^2+($D502-CC$403)^2)</f>
        <v>0.652531392159361</v>
      </c>
      <c r="CD502" s="17" t="n">
        <f aca="false">SQRT(($B502-CD$401)^2+($C502-CD$402)^2+($D502-CD$403)^2)</f>
        <v>2.58227801413308</v>
      </c>
      <c r="CE502" s="17" t="n">
        <f aca="false">SQRT(($B502-CE$401)^2+($C502-CE$402)^2+($D502-CE$403)^2)</f>
        <v>1.10355548221034</v>
      </c>
      <c r="CF502" s="17" t="n">
        <f aca="false">SQRT(($B502-CF$401)^2+($C502-CF$402)^2+($D502-CF$403)^2)</f>
        <v>4.78388480489006</v>
      </c>
      <c r="CG502" s="17" t="n">
        <f aca="false">SQRT(($B502-CG$401)^2+($C502-CG$402)^2+($D502-CG$403)^2)</f>
        <v>1.27943087136655</v>
      </c>
      <c r="CH502" s="63" t="n">
        <f aca="false">MATCH(MIN(CB502:CG502),CB502:CG502,0)</f>
        <v>2</v>
      </c>
      <c r="CJ502" s="17" t="n">
        <f aca="false">SQRT(($B502-CJ$401)^2+($C502-CJ$402)^2+($D502-CJ$403)^2)</f>
        <v>7.03986094785778</v>
      </c>
      <c r="CK502" s="17" t="n">
        <f aca="false">SQRT(($B502-CK$401)^2+($C502-CK$402)^2+($D502-CK$403)^2)</f>
        <v>0.652531392159361</v>
      </c>
      <c r="CL502" s="17" t="n">
        <f aca="false">SQRT(($B502-CL$401)^2+($C502-CL$402)^2+($D502-CL$403)^2)</f>
        <v>2.58227801413308</v>
      </c>
      <c r="CM502" s="17" t="n">
        <f aca="false">SQRT(($B502-CM$401)^2+($C502-CM$402)^2+($D502-CM$403)^2)</f>
        <v>1.10355548221034</v>
      </c>
      <c r="CN502" s="17" t="n">
        <f aca="false">SQRT(($B502-CN$401)^2+($C502-CN$402)^2+($D502-CN$403)^2)</f>
        <v>4.78388480489006</v>
      </c>
      <c r="CO502" s="17" t="n">
        <f aca="false">SQRT(($B502-CO$401)^2+($C502-CO$402)^2+($D502-CO$403)^2)</f>
        <v>1.27943087136655</v>
      </c>
      <c r="CP502" s="63" t="n">
        <f aca="false">MATCH(MIN(CJ502:CO502),CJ502:CO502,0)</f>
        <v>2</v>
      </c>
      <c r="CR502" s="17" t="n">
        <f aca="false">SQRT(($B502-CR$401)^2+($C502-CR$402)^2+($D502-CR$403)^2)</f>
        <v>7.03986094785778</v>
      </c>
      <c r="CS502" s="17" t="n">
        <f aca="false">SQRT(($B502-CS$401)^2+($C502-CS$402)^2+($D502-CS$403)^2)</f>
        <v>0.652531392159361</v>
      </c>
      <c r="CT502" s="17" t="n">
        <f aca="false">SQRT(($B502-CT$401)^2+($C502-CT$402)^2+($D502-CT$403)^2)</f>
        <v>2.58227801413308</v>
      </c>
      <c r="CU502" s="17" t="n">
        <f aca="false">SQRT(($B502-CU$401)^2+($C502-CU$402)^2+($D502-CU$403)^2)</f>
        <v>1.10355548221034</v>
      </c>
      <c r="CV502" s="17" t="n">
        <f aca="false">SQRT(($B502-CV$401)^2+($C502-CV$402)^2+($D502-CV$403)^2)</f>
        <v>4.78388480489006</v>
      </c>
      <c r="CW502" s="17" t="n">
        <f aca="false">SQRT(($B502-CW$401)^2+($C502-CW$402)^2+($D502-CW$403)^2)</f>
        <v>1.27943087136655</v>
      </c>
      <c r="CX502" s="63" t="n">
        <f aca="false">MATCH(MIN(CR502:CW502),CR502:CW502,0)</f>
        <v>2</v>
      </c>
      <c r="CZ502" s="17" t="n">
        <f aca="false">SQRT(($B502-CZ$401)^2+($C502-CZ$402)^2+($D502-CZ$403)^2)</f>
        <v>7.03986094785778</v>
      </c>
      <c r="DA502" s="17" t="n">
        <f aca="false">SQRT(($B502-DA$401)^2+($C502-DA$402)^2+($D502-DA$403)^2)</f>
        <v>0.652531392159361</v>
      </c>
      <c r="DB502" s="17" t="n">
        <f aca="false">SQRT(($B502-DB$401)^2+($C502-DB$402)^2+($D502-DB$403)^2)</f>
        <v>2.58227801413308</v>
      </c>
      <c r="DC502" s="17" t="n">
        <f aca="false">SQRT(($B502-DC$401)^2+($C502-DC$402)^2+($D502-DC$403)^2)</f>
        <v>1.10355548221034</v>
      </c>
      <c r="DD502" s="17" t="n">
        <f aca="false">SQRT(($B502-DD$401)^2+($C502-DD$402)^2+($D502-DD$403)^2)</f>
        <v>4.78388480489006</v>
      </c>
      <c r="DE502" s="17" t="n">
        <f aca="false">SQRT(($B502-DE$401)^2+($C502-DE$402)^2+($D502-DE$403)^2)</f>
        <v>1.27943087136655</v>
      </c>
      <c r="DF502" s="63" t="n">
        <f aca="false">MATCH(MIN(CZ502:DE502),CZ502:DE502,0)</f>
        <v>2</v>
      </c>
      <c r="DH502" s="17" t="n">
        <f aca="false">SQRT(($B502-DH$401)^2+($C502-DH$402)^2+($D502-DH$403)^2)</f>
        <v>7.03986094785778</v>
      </c>
      <c r="DI502" s="17" t="n">
        <f aca="false">SQRT(($B502-DI$401)^2+($C502-DI$402)^2+($D502-DI$403)^2)</f>
        <v>0.652531392159361</v>
      </c>
      <c r="DJ502" s="17" t="n">
        <f aca="false">SQRT(($B502-DJ$401)^2+($C502-DJ$402)^2+($D502-DJ$403)^2)</f>
        <v>2.58227801413308</v>
      </c>
      <c r="DK502" s="17" t="n">
        <f aca="false">SQRT(($B502-DK$401)^2+($C502-DK$402)^2+($D502-DK$403)^2)</f>
        <v>1.10355548221034</v>
      </c>
      <c r="DL502" s="17" t="n">
        <f aca="false">SQRT(($B502-DL$401)^2+($C502-DL$402)^2+($D502-DL$403)^2)</f>
        <v>4.78388480489006</v>
      </c>
      <c r="DM502" s="17" t="n">
        <f aca="false">SQRT(($B502-DM$401)^2+($C502-DM$402)^2+($D502-DM$403)^2)</f>
        <v>1.27943087136655</v>
      </c>
      <c r="DN502" s="63" t="n">
        <f aca="false">MATCH(MIN(DH502:DM502),DH502:DM502,0)</f>
        <v>2</v>
      </c>
    </row>
    <row r="503" customFormat="false" ht="15" hidden="false" customHeight="false" outlineLevel="0" collapsed="false">
      <c r="A503" s="36" t="str">
        <f aca="false">KMeans_Data!A100</f>
        <v>Tando Allahyar</v>
      </c>
      <c r="B503" s="17" t="n">
        <f aca="false">KMeans_Data!H100</f>
        <v>-0.881311477972984</v>
      </c>
      <c r="C503" s="17" t="n">
        <f aca="false">KMeans_Data!I100</f>
        <v>-0.672650545388274</v>
      </c>
      <c r="D503" s="17" t="n">
        <f aca="false">KMeans_Data!J100</f>
        <v>0.265159896369606</v>
      </c>
      <c r="E503" s="63" t="n">
        <f aca="false">DN503</f>
        <v>6</v>
      </c>
      <c r="F503" s="38" t="n">
        <f aca="false">($B503-INDEX($L$401:$Q$401,E503))^2+($C503-INDEX($L$402:$Q$402,E503))^2+($D503-INDEX($L$403:$Q$403,E503))^2</f>
        <v>0.575111486670751</v>
      </c>
      <c r="G503" s="17" t="n">
        <f aca="false">IF(COUNTIF(Distance_Matrix!$E$12:$DQ$12,$E503)&lt;=1,0,SUMIF(Distance_Matrix!$E$12:$DQ$12,$E503,Distance_Matrix!$E$109:$DQ$109)/(COUNTIF(Distance_Matrix!$E$12:$DQ$12,$E503)-1))</f>
        <v>0.950740690874136</v>
      </c>
      <c r="H503" s="17" t="n">
        <f aca="false">MIN(IF(1=$E503,1E+099,IF(COUNTIF(Distance_Matrix!$E$12:$DQ$12,1)=0,1E+099,SUMIF(Distance_Matrix!$E$12:$DQ$12,1,Distance_Matrix!$E$109:$DQ$109)/COUNTIF(Distance_Matrix!$E$12:$DQ$12,1))),IF(2=$E503,1E+099,IF(COUNTIF(Distance_Matrix!$E$12:$DQ$12,2)=0,1E+099,SUMIF(Distance_Matrix!$E$12:$DQ$12,2,Distance_Matrix!$E$109:$DQ$109)/COUNTIF(Distance_Matrix!$E$12:$DQ$12,2))),IF(3=$E503,1E+099,IF(COUNTIF(Distance_Matrix!$E$12:$DQ$12,3)=0,1E+099,SUMIF(Distance_Matrix!$E$12:$DQ$12,3,Distance_Matrix!$E$109:$DQ$109)/COUNTIF(Distance_Matrix!$E$12:$DQ$12,3))),IF(4=$E503,1E+099,IF(COUNTIF(Distance_Matrix!$E$12:$DQ$12,4)=0,1E+099,SUMIF(Distance_Matrix!$E$12:$DQ$12,4,Distance_Matrix!$E$109:$DQ$109)/COUNTIF(Distance_Matrix!$E$12:$DQ$12,4))),IF(5=$E503,1E+099,IF(COUNTIF(Distance_Matrix!$E$12:$DQ$12,5)=0,1E+099,SUMIF(Distance_Matrix!$E$12:$DQ$12,5,Distance_Matrix!$E$109:$DQ$109)/COUNTIF(Distance_Matrix!$E$12:$DQ$12,5))),IF(6=$E503,1E+099,IF(COUNTIF(Distance_Matrix!$E$12:$DQ$12,6)=0,1E+099,SUMIF(Distance_Matrix!$E$12:$DQ$12,6,Distance_Matrix!$E$109:$DQ$109)/COUNTIF(Distance_Matrix!$E$12:$DQ$12,6))))</f>
        <v>1.39158117413604</v>
      </c>
      <c r="I503" s="17" t="n">
        <f aca="false">IF(COUNTIF(Distance_Matrix!$E$12:$DQ$12,$E503)&lt;=1,0,(H503-G503)/MAX(G503,H503))</f>
        <v>0.316791065771354</v>
      </c>
      <c r="X503" s="17" t="n">
        <f aca="false">SQRT(($B503-X$401)^2+($C503-X$402)^2+($D503-X$403)^2)</f>
        <v>6.95650104174171</v>
      </c>
      <c r="Y503" s="17" t="n">
        <f aca="false">SQRT(($B503-Y$401)^2+($C503-Y$402)^2+($D503-Y$403)^2)</f>
        <v>1.8511061685766</v>
      </c>
      <c r="Z503" s="17" t="n">
        <f aca="false">SQRT(($B503-Z$401)^2+($C503-Z$402)^2+($D503-Z$403)^2)</f>
        <v>2.49782531278287</v>
      </c>
      <c r="AA503" s="17" t="n">
        <f aca="false">SQRT(($B503-AA$401)^2+($C503-AA$402)^2+($D503-AA$403)^2)</f>
        <v>2.14438242037396</v>
      </c>
      <c r="AB503" s="17" t="n">
        <f aca="false">SQRT(($B503-AB$401)^2+($C503-AB$402)^2+($D503-AB$403)^2)</f>
        <v>4.87623044683182</v>
      </c>
      <c r="AC503" s="17" t="n">
        <f aca="false">SQRT(($B503-AC$401)^2+($C503-AC$402)^2+($D503-AC$403)^2)</f>
        <v>0.662586127796973</v>
      </c>
      <c r="AD503" s="63" t="n">
        <f aca="false">MATCH(MIN(X503:AC503),X503:AC503,0)</f>
        <v>6</v>
      </c>
      <c r="AF503" s="17" t="n">
        <f aca="false">SQRT(($B503-AF$401)^2+($C503-AF$402)^2+($D503-AF$403)^2)</f>
        <v>6.87200306964403</v>
      </c>
      <c r="AG503" s="17" t="n">
        <f aca="false">SQRT(($B503-AG$401)^2+($C503-AG$402)^2+($D503-AG$403)^2)</f>
        <v>1.43011001202189</v>
      </c>
      <c r="AH503" s="17" t="n">
        <f aca="false">SQRT(($B503-AH$401)^2+($C503-AH$402)^2+($D503-AH$403)^2)</f>
        <v>2.34030055803828</v>
      </c>
      <c r="AI503" s="17" t="n">
        <f aca="false">SQRT(($B503-AI$401)^2+($C503-AI$402)^2+($D503-AI$403)^2)</f>
        <v>1.52479923165283</v>
      </c>
      <c r="AJ503" s="17" t="n">
        <f aca="false">SQRT(($B503-AJ$401)^2+($C503-AJ$402)^2+($D503-AJ$403)^2)</f>
        <v>4.63453256356583</v>
      </c>
      <c r="AK503" s="17" t="n">
        <f aca="false">SQRT(($B503-AK$401)^2+($C503-AK$402)^2+($D503-AK$403)^2)</f>
        <v>0.684854638120563</v>
      </c>
      <c r="AL503" s="63" t="n">
        <f aca="false">MATCH(MIN(AF503:AK503),AF503:AK503,0)</f>
        <v>6</v>
      </c>
      <c r="AN503" s="17" t="n">
        <f aca="false">SQRT(($B503-AN$401)^2+($C503-AN$402)^2+($D503-AN$403)^2)</f>
        <v>6.87200306964403</v>
      </c>
      <c r="AO503" s="17" t="n">
        <f aca="false">SQRT(($B503-AO$401)^2+($C503-AO$402)^2+($D503-AO$403)^2)</f>
        <v>1.39672362380885</v>
      </c>
      <c r="AP503" s="17" t="n">
        <f aca="false">SQRT(($B503-AP$401)^2+($C503-AP$402)^2+($D503-AP$403)^2)</f>
        <v>2.30984278417627</v>
      </c>
      <c r="AQ503" s="17" t="n">
        <f aca="false">SQRT(($B503-AQ$401)^2+($C503-AQ$402)^2+($D503-AQ$403)^2)</f>
        <v>1.52293123266559</v>
      </c>
      <c r="AR503" s="17" t="n">
        <f aca="false">SQRT(($B503-AR$401)^2+($C503-AR$402)^2+($D503-AR$403)^2)</f>
        <v>4.63453256356583</v>
      </c>
      <c r="AS503" s="17" t="n">
        <f aca="false">SQRT(($B503-AS$401)^2+($C503-AS$402)^2+($D503-AS$403)^2)</f>
        <v>0.720316897757634</v>
      </c>
      <c r="AT503" s="63" t="n">
        <f aca="false">MATCH(MIN(AN503:AS503),AN503:AS503,0)</f>
        <v>6</v>
      </c>
      <c r="AV503" s="17" t="n">
        <f aca="false">SQRT(($B503-AV$401)^2+($C503-AV$402)^2+($D503-AV$403)^2)</f>
        <v>6.87200306964403</v>
      </c>
      <c r="AW503" s="17" t="n">
        <f aca="false">SQRT(($B503-AW$401)^2+($C503-AW$402)^2+($D503-AW$403)^2)</f>
        <v>1.36653038068023</v>
      </c>
      <c r="AX503" s="17" t="n">
        <f aca="false">SQRT(($B503-AX$401)^2+($C503-AX$402)^2+($D503-AX$403)^2)</f>
        <v>2.30984278417627</v>
      </c>
      <c r="AY503" s="17" t="n">
        <f aca="false">SQRT(($B503-AY$401)^2+($C503-AY$402)^2+($D503-AY$403)^2)</f>
        <v>1.52293123266559</v>
      </c>
      <c r="AZ503" s="17" t="n">
        <f aca="false">SQRT(($B503-AZ$401)^2+($C503-AZ$402)^2+($D503-AZ$403)^2)</f>
        <v>4.63453256356583</v>
      </c>
      <c r="BA503" s="17" t="n">
        <f aca="false">SQRT(($B503-BA$401)^2+($C503-BA$402)^2+($D503-BA$403)^2)</f>
        <v>0.73780697118555</v>
      </c>
      <c r="BB503" s="63" t="n">
        <f aca="false">MATCH(MIN(AV503:BA503),AV503:BA503,0)</f>
        <v>6</v>
      </c>
      <c r="BD503" s="17" t="n">
        <f aca="false">SQRT(($B503-BD$401)^2+($C503-BD$402)^2+($D503-BD$403)^2)</f>
        <v>6.87200306964403</v>
      </c>
      <c r="BE503" s="17" t="n">
        <f aca="false">SQRT(($B503-BE$401)^2+($C503-BE$402)^2+($D503-BE$403)^2)</f>
        <v>1.33609295533611</v>
      </c>
      <c r="BF503" s="17" t="n">
        <f aca="false">SQRT(($B503-BF$401)^2+($C503-BF$402)^2+($D503-BF$403)^2)</f>
        <v>2.30984278417627</v>
      </c>
      <c r="BG503" s="17" t="n">
        <f aca="false">SQRT(($B503-BG$401)^2+($C503-BG$402)^2+($D503-BG$403)^2)</f>
        <v>1.52293123266559</v>
      </c>
      <c r="BH503" s="17" t="n">
        <f aca="false">SQRT(($B503-BH$401)^2+($C503-BH$402)^2+($D503-BH$403)^2)</f>
        <v>4.63453256356583</v>
      </c>
      <c r="BI503" s="17" t="n">
        <f aca="false">SQRT(($B503-BI$401)^2+($C503-BI$402)^2+($D503-BI$403)^2)</f>
        <v>0.758361052975923</v>
      </c>
      <c r="BJ503" s="63" t="n">
        <f aca="false">MATCH(MIN(BD503:BI503),BD503:BI503,0)</f>
        <v>6</v>
      </c>
      <c r="BL503" s="17" t="n">
        <f aca="false">SQRT(($B503-BL$401)^2+($C503-BL$402)^2+($D503-BL$403)^2)</f>
        <v>6.87200306964403</v>
      </c>
      <c r="BM503" s="17" t="n">
        <f aca="false">SQRT(($B503-BM$401)^2+($C503-BM$402)^2+($D503-BM$403)^2)</f>
        <v>1.33609295533611</v>
      </c>
      <c r="BN503" s="17" t="n">
        <f aca="false">SQRT(($B503-BN$401)^2+($C503-BN$402)^2+($D503-BN$403)^2)</f>
        <v>2.30984278417627</v>
      </c>
      <c r="BO503" s="17" t="n">
        <f aca="false">SQRT(($B503-BO$401)^2+($C503-BO$402)^2+($D503-BO$403)^2)</f>
        <v>1.52293123266559</v>
      </c>
      <c r="BP503" s="17" t="n">
        <f aca="false">SQRT(($B503-BP$401)^2+($C503-BP$402)^2+($D503-BP$403)^2)</f>
        <v>4.63453256356583</v>
      </c>
      <c r="BQ503" s="17" t="n">
        <f aca="false">SQRT(($B503-BQ$401)^2+($C503-BQ$402)^2+($D503-BQ$403)^2)</f>
        <v>0.758361052975923</v>
      </c>
      <c r="BR503" s="63" t="n">
        <f aca="false">MATCH(MIN(BL503:BQ503),BL503:BQ503,0)</f>
        <v>6</v>
      </c>
      <c r="BT503" s="17" t="n">
        <f aca="false">SQRT(($B503-BT$401)^2+($C503-BT$402)^2+($D503-BT$403)^2)</f>
        <v>6.87200306964403</v>
      </c>
      <c r="BU503" s="17" t="n">
        <f aca="false">SQRT(($B503-BU$401)^2+($C503-BU$402)^2+($D503-BU$403)^2)</f>
        <v>1.33609295533611</v>
      </c>
      <c r="BV503" s="17" t="n">
        <f aca="false">SQRT(($B503-BV$401)^2+($C503-BV$402)^2+($D503-BV$403)^2)</f>
        <v>2.30984278417627</v>
      </c>
      <c r="BW503" s="17" t="n">
        <f aca="false">SQRT(($B503-BW$401)^2+($C503-BW$402)^2+($D503-BW$403)^2)</f>
        <v>1.52293123266559</v>
      </c>
      <c r="BX503" s="17" t="n">
        <f aca="false">SQRT(($B503-BX$401)^2+($C503-BX$402)^2+($D503-BX$403)^2)</f>
        <v>4.63453256356583</v>
      </c>
      <c r="BY503" s="17" t="n">
        <f aca="false">SQRT(($B503-BY$401)^2+($C503-BY$402)^2+($D503-BY$403)^2)</f>
        <v>0.758361052975923</v>
      </c>
      <c r="BZ503" s="63" t="n">
        <f aca="false">MATCH(MIN(BT503:BY503),BT503:BY503,0)</f>
        <v>6</v>
      </c>
      <c r="CB503" s="17" t="n">
        <f aca="false">SQRT(($B503-CB$401)^2+($C503-CB$402)^2+($D503-CB$403)^2)</f>
        <v>6.87200306964403</v>
      </c>
      <c r="CC503" s="17" t="n">
        <f aca="false">SQRT(($B503-CC$401)^2+($C503-CC$402)^2+($D503-CC$403)^2)</f>
        <v>1.33609295533611</v>
      </c>
      <c r="CD503" s="17" t="n">
        <f aca="false">SQRT(($B503-CD$401)^2+($C503-CD$402)^2+($D503-CD$403)^2)</f>
        <v>2.30984278417627</v>
      </c>
      <c r="CE503" s="17" t="n">
        <f aca="false">SQRT(($B503-CE$401)^2+($C503-CE$402)^2+($D503-CE$403)^2)</f>
        <v>1.52293123266559</v>
      </c>
      <c r="CF503" s="17" t="n">
        <f aca="false">SQRT(($B503-CF$401)^2+($C503-CF$402)^2+($D503-CF$403)^2)</f>
        <v>4.63453256356583</v>
      </c>
      <c r="CG503" s="17" t="n">
        <f aca="false">SQRT(($B503-CG$401)^2+($C503-CG$402)^2+($D503-CG$403)^2)</f>
        <v>0.758361052975923</v>
      </c>
      <c r="CH503" s="63" t="n">
        <f aca="false">MATCH(MIN(CB503:CG503),CB503:CG503,0)</f>
        <v>6</v>
      </c>
      <c r="CJ503" s="17" t="n">
        <f aca="false">SQRT(($B503-CJ$401)^2+($C503-CJ$402)^2+($D503-CJ$403)^2)</f>
        <v>6.87200306964403</v>
      </c>
      <c r="CK503" s="17" t="n">
        <f aca="false">SQRT(($B503-CK$401)^2+($C503-CK$402)^2+($D503-CK$403)^2)</f>
        <v>1.33609295533611</v>
      </c>
      <c r="CL503" s="17" t="n">
        <f aca="false">SQRT(($B503-CL$401)^2+($C503-CL$402)^2+($D503-CL$403)^2)</f>
        <v>2.30984278417627</v>
      </c>
      <c r="CM503" s="17" t="n">
        <f aca="false">SQRT(($B503-CM$401)^2+($C503-CM$402)^2+($D503-CM$403)^2)</f>
        <v>1.52293123266559</v>
      </c>
      <c r="CN503" s="17" t="n">
        <f aca="false">SQRT(($B503-CN$401)^2+($C503-CN$402)^2+($D503-CN$403)^2)</f>
        <v>4.63453256356583</v>
      </c>
      <c r="CO503" s="17" t="n">
        <f aca="false">SQRT(($B503-CO$401)^2+($C503-CO$402)^2+($D503-CO$403)^2)</f>
        <v>0.758361052975923</v>
      </c>
      <c r="CP503" s="63" t="n">
        <f aca="false">MATCH(MIN(CJ503:CO503),CJ503:CO503,0)</f>
        <v>6</v>
      </c>
      <c r="CR503" s="17" t="n">
        <f aca="false">SQRT(($B503-CR$401)^2+($C503-CR$402)^2+($D503-CR$403)^2)</f>
        <v>6.87200306964403</v>
      </c>
      <c r="CS503" s="17" t="n">
        <f aca="false">SQRT(($B503-CS$401)^2+($C503-CS$402)^2+($D503-CS$403)^2)</f>
        <v>1.33609295533611</v>
      </c>
      <c r="CT503" s="17" t="n">
        <f aca="false">SQRT(($B503-CT$401)^2+($C503-CT$402)^2+($D503-CT$403)^2)</f>
        <v>2.30984278417627</v>
      </c>
      <c r="CU503" s="17" t="n">
        <f aca="false">SQRT(($B503-CU$401)^2+($C503-CU$402)^2+($D503-CU$403)^2)</f>
        <v>1.52293123266559</v>
      </c>
      <c r="CV503" s="17" t="n">
        <f aca="false">SQRT(($B503-CV$401)^2+($C503-CV$402)^2+($D503-CV$403)^2)</f>
        <v>4.63453256356583</v>
      </c>
      <c r="CW503" s="17" t="n">
        <f aca="false">SQRT(($B503-CW$401)^2+($C503-CW$402)^2+($D503-CW$403)^2)</f>
        <v>0.758361052975923</v>
      </c>
      <c r="CX503" s="63" t="n">
        <f aca="false">MATCH(MIN(CR503:CW503),CR503:CW503,0)</f>
        <v>6</v>
      </c>
      <c r="CZ503" s="17" t="n">
        <f aca="false">SQRT(($B503-CZ$401)^2+($C503-CZ$402)^2+($D503-CZ$403)^2)</f>
        <v>6.87200306964403</v>
      </c>
      <c r="DA503" s="17" t="n">
        <f aca="false">SQRT(($B503-DA$401)^2+($C503-DA$402)^2+($D503-DA$403)^2)</f>
        <v>1.33609295533611</v>
      </c>
      <c r="DB503" s="17" t="n">
        <f aca="false">SQRT(($B503-DB$401)^2+($C503-DB$402)^2+($D503-DB$403)^2)</f>
        <v>2.30984278417627</v>
      </c>
      <c r="DC503" s="17" t="n">
        <f aca="false">SQRT(($B503-DC$401)^2+($C503-DC$402)^2+($D503-DC$403)^2)</f>
        <v>1.52293123266559</v>
      </c>
      <c r="DD503" s="17" t="n">
        <f aca="false">SQRT(($B503-DD$401)^2+($C503-DD$402)^2+($D503-DD$403)^2)</f>
        <v>4.63453256356583</v>
      </c>
      <c r="DE503" s="17" t="n">
        <f aca="false">SQRT(($B503-DE$401)^2+($C503-DE$402)^2+($D503-DE$403)^2)</f>
        <v>0.758361052975923</v>
      </c>
      <c r="DF503" s="63" t="n">
        <f aca="false">MATCH(MIN(CZ503:DE503),CZ503:DE503,0)</f>
        <v>6</v>
      </c>
      <c r="DH503" s="17" t="n">
        <f aca="false">SQRT(($B503-DH$401)^2+($C503-DH$402)^2+($D503-DH$403)^2)</f>
        <v>6.87200306964403</v>
      </c>
      <c r="DI503" s="17" t="n">
        <f aca="false">SQRT(($B503-DI$401)^2+($C503-DI$402)^2+($D503-DI$403)^2)</f>
        <v>1.33609295533611</v>
      </c>
      <c r="DJ503" s="17" t="n">
        <f aca="false">SQRT(($B503-DJ$401)^2+($C503-DJ$402)^2+($D503-DJ$403)^2)</f>
        <v>2.30984278417627</v>
      </c>
      <c r="DK503" s="17" t="n">
        <f aca="false">SQRT(($B503-DK$401)^2+($C503-DK$402)^2+($D503-DK$403)^2)</f>
        <v>1.52293123266559</v>
      </c>
      <c r="DL503" s="17" t="n">
        <f aca="false">SQRT(($B503-DL$401)^2+($C503-DL$402)^2+($D503-DL$403)^2)</f>
        <v>4.63453256356583</v>
      </c>
      <c r="DM503" s="17" t="n">
        <f aca="false">SQRT(($B503-DM$401)^2+($C503-DM$402)^2+($D503-DM$403)^2)</f>
        <v>0.758361052975923</v>
      </c>
      <c r="DN503" s="63" t="n">
        <f aca="false">MATCH(MIN(DH503:DM503),DH503:DM503,0)</f>
        <v>6</v>
      </c>
    </row>
    <row r="504" customFormat="false" ht="15" hidden="false" customHeight="false" outlineLevel="0" collapsed="false">
      <c r="A504" s="36" t="str">
        <f aca="false">KMeans_Data!A101</f>
        <v>Mirpur</v>
      </c>
      <c r="B504" s="17" t="n">
        <f aca="false">KMeans_Data!H101</f>
        <v>-0.881311477972984</v>
      </c>
      <c r="C504" s="17" t="n">
        <f aca="false">KMeans_Data!I101</f>
        <v>-0.672650545388274</v>
      </c>
      <c r="D504" s="17" t="n">
        <f aca="false">KMeans_Data!J101</f>
        <v>-1.14564411633355</v>
      </c>
      <c r="E504" s="63" t="n">
        <f aca="false">DN504</f>
        <v>2</v>
      </c>
      <c r="F504" s="38" t="n">
        <f aca="false">($B504-INDEX($L$401:$Q$401,E504))^2+($C504-INDEX($L$402:$Q$402,E504))^2+($D504-INDEX($L$403:$Q$403,E504))^2</f>
        <v>0.146951069302442</v>
      </c>
      <c r="G504" s="17" t="n">
        <f aca="false">IF(COUNTIF(Distance_Matrix!$E$12:$DQ$12,$E504)&lt;=1,0,SUMIF(Distance_Matrix!$E$12:$DQ$12,$E504,Distance_Matrix!$E$110:$DQ$110)/(COUNTIF(Distance_Matrix!$E$12:$DQ$12,$E504)-1))</f>
        <v>0.543261683661596</v>
      </c>
      <c r="H504" s="17" t="n">
        <f aca="false">MIN(IF(1=$E504,1E+099,IF(COUNTIF(Distance_Matrix!$E$12:$DQ$12,1)=0,1E+099,SUMIF(Distance_Matrix!$E$12:$DQ$12,1,Distance_Matrix!$E$110:$DQ$110)/COUNTIF(Distance_Matrix!$E$12:$DQ$12,1))),IF(2=$E504,1E+099,IF(COUNTIF(Distance_Matrix!$E$12:$DQ$12,2)=0,1E+099,SUMIF(Distance_Matrix!$E$12:$DQ$12,2,Distance_Matrix!$E$110:$DQ$110)/COUNTIF(Distance_Matrix!$E$12:$DQ$12,2))),IF(3=$E504,1E+099,IF(COUNTIF(Distance_Matrix!$E$12:$DQ$12,3)=0,1E+099,SUMIF(Distance_Matrix!$E$12:$DQ$12,3,Distance_Matrix!$E$110:$DQ$110)/COUNTIF(Distance_Matrix!$E$12:$DQ$12,3))),IF(4=$E504,1E+099,IF(COUNTIF(Distance_Matrix!$E$12:$DQ$12,4)=0,1E+099,SUMIF(Distance_Matrix!$E$12:$DQ$12,4,Distance_Matrix!$E$110:$DQ$110)/COUNTIF(Distance_Matrix!$E$12:$DQ$12,4))),IF(5=$E504,1E+099,IF(COUNTIF(Distance_Matrix!$E$12:$DQ$12,5)=0,1E+099,SUMIF(Distance_Matrix!$E$12:$DQ$12,5,Distance_Matrix!$E$110:$DQ$110)/COUNTIF(Distance_Matrix!$E$12:$DQ$12,5))),IF(6=$E504,1E+099,IF(COUNTIF(Distance_Matrix!$E$12:$DQ$12,6)=0,1E+099,SUMIF(Distance_Matrix!$E$12:$DQ$12,6,Distance_Matrix!$E$110:$DQ$110)/COUNTIF(Distance_Matrix!$E$12:$DQ$12,6))))</f>
        <v>1.12059259122541</v>
      </c>
      <c r="I504" s="17" t="n">
        <f aca="false">IF(COUNTIF(Distance_Matrix!$E$12:$DQ$12,$E504)&lt;=1,0,(H504-G504)/MAX(G504,H504))</f>
        <v>0.515201431889247</v>
      </c>
      <c r="X504" s="17" t="n">
        <f aca="false">SQRT(($B504-X$401)^2+($C504-X$402)^2+($D504-X$403)^2)</f>
        <v>7.66896199778013</v>
      </c>
      <c r="Y504" s="17" t="n">
        <f aca="false">SQRT(($B504-Y$401)^2+($C504-Y$402)^2+($D504-Y$403)^2)</f>
        <v>1.19842650383034</v>
      </c>
      <c r="Z504" s="17" t="n">
        <f aca="false">SQRT(($B504-Z$401)^2+($C504-Z$402)^2+($D504-Z$403)^2)</f>
        <v>3.41031193536842</v>
      </c>
      <c r="AA504" s="17" t="n">
        <f aca="false">SQRT(($B504-AA$401)^2+($C504-AA$402)^2+($D504-AA$403)^2)</f>
        <v>1.6149328167294</v>
      </c>
      <c r="AB504" s="17" t="n">
        <f aca="false">SQRT(($B504-AB$401)^2+($C504-AB$402)^2+($D504-AB$403)^2)</f>
        <v>5.63148928328052</v>
      </c>
      <c r="AC504" s="17" t="n">
        <f aca="false">SQRT(($B504-AC$401)^2+($C504-AC$402)^2+($D504-AC$403)^2)</f>
        <v>1.85866343358087</v>
      </c>
      <c r="AD504" s="63" t="n">
        <f aca="false">MATCH(MIN(X504:AC504),X504:AC504,0)</f>
        <v>2</v>
      </c>
      <c r="AF504" s="17" t="n">
        <f aca="false">SQRT(($B504-AF$401)^2+($C504-AF$402)^2+($D504-AF$403)^2)</f>
        <v>7.53904739128889</v>
      </c>
      <c r="AG504" s="17" t="n">
        <f aca="false">SQRT(($B504-AG$401)^2+($C504-AG$402)^2+($D504-AG$403)^2)</f>
        <v>0.442841998581124</v>
      </c>
      <c r="AH504" s="17" t="n">
        <f aca="false">SQRT(($B504-AH$401)^2+($C504-AH$402)^2+($D504-AH$403)^2)</f>
        <v>3.06371575099989</v>
      </c>
      <c r="AI504" s="17" t="n">
        <f aca="false">SQRT(($B504-AI$401)^2+($C504-AI$402)^2+($D504-AI$403)^2)</f>
        <v>1.07393317665769</v>
      </c>
      <c r="AJ504" s="17" t="n">
        <f aca="false">SQRT(($B504-AJ$401)^2+($C504-AJ$402)^2+($D504-AJ$403)^2)</f>
        <v>5.26937195077302</v>
      </c>
      <c r="AK504" s="17" t="n">
        <f aca="false">SQRT(($B504-AK$401)^2+($C504-AK$402)^2+($D504-AK$403)^2)</f>
        <v>1.48168533025534</v>
      </c>
      <c r="AL504" s="63" t="n">
        <f aca="false">MATCH(MIN(AF504:AK504),AF504:AK504,0)</f>
        <v>2</v>
      </c>
      <c r="AN504" s="17" t="n">
        <f aca="false">SQRT(($B504-AN$401)^2+($C504-AN$402)^2+($D504-AN$403)^2)</f>
        <v>7.53904739128889</v>
      </c>
      <c r="AO504" s="17" t="n">
        <f aca="false">SQRT(($B504-AO$401)^2+($C504-AO$402)^2+($D504-AO$403)^2)</f>
        <v>0.403650707225737</v>
      </c>
      <c r="AP504" s="17" t="n">
        <f aca="false">SQRT(($B504-AP$401)^2+($C504-AP$402)^2+($D504-AP$403)^2)</f>
        <v>3.03341075396005</v>
      </c>
      <c r="AQ504" s="17" t="n">
        <f aca="false">SQRT(($B504-AQ$401)^2+($C504-AQ$402)^2+($D504-AQ$403)^2)</f>
        <v>1.06355300495182</v>
      </c>
      <c r="AR504" s="17" t="n">
        <f aca="false">SQRT(($B504-AR$401)^2+($C504-AR$402)^2+($D504-AR$403)^2)</f>
        <v>5.26937195077302</v>
      </c>
      <c r="AS504" s="17" t="n">
        <f aca="false">SQRT(($B504-AS$401)^2+($C504-AS$402)^2+($D504-AS$403)^2)</f>
        <v>1.51955717867022</v>
      </c>
      <c r="AT504" s="63" t="n">
        <f aca="false">MATCH(MIN(AN504:AS504),AN504:AS504,0)</f>
        <v>2</v>
      </c>
      <c r="AV504" s="17" t="n">
        <f aca="false">SQRT(($B504-AV$401)^2+($C504-AV$402)^2+($D504-AV$403)^2)</f>
        <v>7.53904739128889</v>
      </c>
      <c r="AW504" s="17" t="n">
        <f aca="false">SQRT(($B504-AW$401)^2+($C504-AW$402)^2+($D504-AW$403)^2)</f>
        <v>0.390706795366838</v>
      </c>
      <c r="AX504" s="17" t="n">
        <f aca="false">SQRT(($B504-AX$401)^2+($C504-AX$402)^2+($D504-AX$403)^2)</f>
        <v>3.03341075396005</v>
      </c>
      <c r="AY504" s="17" t="n">
        <f aca="false">SQRT(($B504-AY$401)^2+($C504-AY$402)^2+($D504-AY$403)^2)</f>
        <v>1.06355300495182</v>
      </c>
      <c r="AZ504" s="17" t="n">
        <f aca="false">SQRT(($B504-AZ$401)^2+($C504-AZ$402)^2+($D504-AZ$403)^2)</f>
        <v>5.26937195077302</v>
      </c>
      <c r="BA504" s="17" t="n">
        <f aca="false">SQRT(($B504-BA$401)^2+($C504-BA$402)^2+($D504-BA$403)^2)</f>
        <v>1.54445817631874</v>
      </c>
      <c r="BB504" s="63" t="n">
        <f aca="false">MATCH(MIN(AV504:BA504),AV504:BA504,0)</f>
        <v>2</v>
      </c>
      <c r="BD504" s="17" t="n">
        <f aca="false">SQRT(($B504-BD$401)^2+($C504-BD$402)^2+($D504-BD$403)^2)</f>
        <v>7.53904739128889</v>
      </c>
      <c r="BE504" s="17" t="n">
        <f aca="false">SQRT(($B504-BE$401)^2+($C504-BE$402)^2+($D504-BE$403)^2)</f>
        <v>0.383341974355068</v>
      </c>
      <c r="BF504" s="17" t="n">
        <f aca="false">SQRT(($B504-BF$401)^2+($C504-BF$402)^2+($D504-BF$403)^2)</f>
        <v>3.03341075396005</v>
      </c>
      <c r="BG504" s="17" t="n">
        <f aca="false">SQRT(($B504-BG$401)^2+($C504-BG$402)^2+($D504-BG$403)^2)</f>
        <v>1.06355300495182</v>
      </c>
      <c r="BH504" s="17" t="n">
        <f aca="false">SQRT(($B504-BH$401)^2+($C504-BH$402)^2+($D504-BH$403)^2)</f>
        <v>5.26937195077302</v>
      </c>
      <c r="BI504" s="17" t="n">
        <f aca="false">SQRT(($B504-BI$401)^2+($C504-BI$402)^2+($D504-BI$403)^2)</f>
        <v>1.56927461680769</v>
      </c>
      <c r="BJ504" s="63" t="n">
        <f aca="false">MATCH(MIN(BD504:BI504),BD504:BI504,0)</f>
        <v>2</v>
      </c>
      <c r="BL504" s="17" t="n">
        <f aca="false">SQRT(($B504-BL$401)^2+($C504-BL$402)^2+($D504-BL$403)^2)</f>
        <v>7.53904739128889</v>
      </c>
      <c r="BM504" s="17" t="n">
        <f aca="false">SQRT(($B504-BM$401)^2+($C504-BM$402)^2+($D504-BM$403)^2)</f>
        <v>0.383341974355068</v>
      </c>
      <c r="BN504" s="17" t="n">
        <f aca="false">SQRT(($B504-BN$401)^2+($C504-BN$402)^2+($D504-BN$403)^2)</f>
        <v>3.03341075396005</v>
      </c>
      <c r="BO504" s="17" t="n">
        <f aca="false">SQRT(($B504-BO$401)^2+($C504-BO$402)^2+($D504-BO$403)^2)</f>
        <v>1.06355300495182</v>
      </c>
      <c r="BP504" s="17" t="n">
        <f aca="false">SQRT(($B504-BP$401)^2+($C504-BP$402)^2+($D504-BP$403)^2)</f>
        <v>5.26937195077302</v>
      </c>
      <c r="BQ504" s="17" t="n">
        <f aca="false">SQRT(($B504-BQ$401)^2+($C504-BQ$402)^2+($D504-BQ$403)^2)</f>
        <v>1.56927461680769</v>
      </c>
      <c r="BR504" s="63" t="n">
        <f aca="false">MATCH(MIN(BL504:BQ504),BL504:BQ504,0)</f>
        <v>2</v>
      </c>
      <c r="BT504" s="17" t="n">
        <f aca="false">SQRT(($B504-BT$401)^2+($C504-BT$402)^2+($D504-BT$403)^2)</f>
        <v>7.53904739128889</v>
      </c>
      <c r="BU504" s="17" t="n">
        <f aca="false">SQRT(($B504-BU$401)^2+($C504-BU$402)^2+($D504-BU$403)^2)</f>
        <v>0.383341974355068</v>
      </c>
      <c r="BV504" s="17" t="n">
        <f aca="false">SQRT(($B504-BV$401)^2+($C504-BV$402)^2+($D504-BV$403)^2)</f>
        <v>3.03341075396005</v>
      </c>
      <c r="BW504" s="17" t="n">
        <f aca="false">SQRT(($B504-BW$401)^2+($C504-BW$402)^2+($D504-BW$403)^2)</f>
        <v>1.06355300495182</v>
      </c>
      <c r="BX504" s="17" t="n">
        <f aca="false">SQRT(($B504-BX$401)^2+($C504-BX$402)^2+($D504-BX$403)^2)</f>
        <v>5.26937195077302</v>
      </c>
      <c r="BY504" s="17" t="n">
        <f aca="false">SQRT(($B504-BY$401)^2+($C504-BY$402)^2+($D504-BY$403)^2)</f>
        <v>1.56927461680769</v>
      </c>
      <c r="BZ504" s="63" t="n">
        <f aca="false">MATCH(MIN(BT504:BY504),BT504:BY504,0)</f>
        <v>2</v>
      </c>
      <c r="CB504" s="17" t="n">
        <f aca="false">SQRT(($B504-CB$401)^2+($C504-CB$402)^2+($D504-CB$403)^2)</f>
        <v>7.53904739128889</v>
      </c>
      <c r="CC504" s="17" t="n">
        <f aca="false">SQRT(($B504-CC$401)^2+($C504-CC$402)^2+($D504-CC$403)^2)</f>
        <v>0.383341974355068</v>
      </c>
      <c r="CD504" s="17" t="n">
        <f aca="false">SQRT(($B504-CD$401)^2+($C504-CD$402)^2+($D504-CD$403)^2)</f>
        <v>3.03341075396005</v>
      </c>
      <c r="CE504" s="17" t="n">
        <f aca="false">SQRT(($B504-CE$401)^2+($C504-CE$402)^2+($D504-CE$403)^2)</f>
        <v>1.06355300495182</v>
      </c>
      <c r="CF504" s="17" t="n">
        <f aca="false">SQRT(($B504-CF$401)^2+($C504-CF$402)^2+($D504-CF$403)^2)</f>
        <v>5.26937195077302</v>
      </c>
      <c r="CG504" s="17" t="n">
        <f aca="false">SQRT(($B504-CG$401)^2+($C504-CG$402)^2+($D504-CG$403)^2)</f>
        <v>1.56927461680769</v>
      </c>
      <c r="CH504" s="63" t="n">
        <f aca="false">MATCH(MIN(CB504:CG504),CB504:CG504,0)</f>
        <v>2</v>
      </c>
      <c r="CJ504" s="17" t="n">
        <f aca="false">SQRT(($B504-CJ$401)^2+($C504-CJ$402)^2+($D504-CJ$403)^2)</f>
        <v>7.53904739128889</v>
      </c>
      <c r="CK504" s="17" t="n">
        <f aca="false">SQRT(($B504-CK$401)^2+($C504-CK$402)^2+($D504-CK$403)^2)</f>
        <v>0.383341974355068</v>
      </c>
      <c r="CL504" s="17" t="n">
        <f aca="false">SQRT(($B504-CL$401)^2+($C504-CL$402)^2+($D504-CL$403)^2)</f>
        <v>3.03341075396005</v>
      </c>
      <c r="CM504" s="17" t="n">
        <f aca="false">SQRT(($B504-CM$401)^2+($C504-CM$402)^2+($D504-CM$403)^2)</f>
        <v>1.06355300495182</v>
      </c>
      <c r="CN504" s="17" t="n">
        <f aca="false">SQRT(($B504-CN$401)^2+($C504-CN$402)^2+($D504-CN$403)^2)</f>
        <v>5.26937195077302</v>
      </c>
      <c r="CO504" s="17" t="n">
        <f aca="false">SQRT(($B504-CO$401)^2+($C504-CO$402)^2+($D504-CO$403)^2)</f>
        <v>1.56927461680769</v>
      </c>
      <c r="CP504" s="63" t="n">
        <f aca="false">MATCH(MIN(CJ504:CO504),CJ504:CO504,0)</f>
        <v>2</v>
      </c>
      <c r="CR504" s="17" t="n">
        <f aca="false">SQRT(($B504-CR$401)^2+($C504-CR$402)^2+($D504-CR$403)^2)</f>
        <v>7.53904739128889</v>
      </c>
      <c r="CS504" s="17" t="n">
        <f aca="false">SQRT(($B504-CS$401)^2+($C504-CS$402)^2+($D504-CS$403)^2)</f>
        <v>0.383341974355068</v>
      </c>
      <c r="CT504" s="17" t="n">
        <f aca="false">SQRT(($B504-CT$401)^2+($C504-CT$402)^2+($D504-CT$403)^2)</f>
        <v>3.03341075396005</v>
      </c>
      <c r="CU504" s="17" t="n">
        <f aca="false">SQRT(($B504-CU$401)^2+($C504-CU$402)^2+($D504-CU$403)^2)</f>
        <v>1.06355300495182</v>
      </c>
      <c r="CV504" s="17" t="n">
        <f aca="false">SQRT(($B504-CV$401)^2+($C504-CV$402)^2+($D504-CV$403)^2)</f>
        <v>5.26937195077302</v>
      </c>
      <c r="CW504" s="17" t="n">
        <f aca="false">SQRT(($B504-CW$401)^2+($C504-CW$402)^2+($D504-CW$403)^2)</f>
        <v>1.56927461680769</v>
      </c>
      <c r="CX504" s="63" t="n">
        <f aca="false">MATCH(MIN(CR504:CW504),CR504:CW504,0)</f>
        <v>2</v>
      </c>
      <c r="CZ504" s="17" t="n">
        <f aca="false">SQRT(($B504-CZ$401)^2+($C504-CZ$402)^2+($D504-CZ$403)^2)</f>
        <v>7.53904739128889</v>
      </c>
      <c r="DA504" s="17" t="n">
        <f aca="false">SQRT(($B504-DA$401)^2+($C504-DA$402)^2+($D504-DA$403)^2)</f>
        <v>0.383341974355068</v>
      </c>
      <c r="DB504" s="17" t="n">
        <f aca="false">SQRT(($B504-DB$401)^2+($C504-DB$402)^2+($D504-DB$403)^2)</f>
        <v>3.03341075396005</v>
      </c>
      <c r="DC504" s="17" t="n">
        <f aca="false">SQRT(($B504-DC$401)^2+($C504-DC$402)^2+($D504-DC$403)^2)</f>
        <v>1.06355300495182</v>
      </c>
      <c r="DD504" s="17" t="n">
        <f aca="false">SQRT(($B504-DD$401)^2+($C504-DD$402)^2+($D504-DD$403)^2)</f>
        <v>5.26937195077302</v>
      </c>
      <c r="DE504" s="17" t="n">
        <f aca="false">SQRT(($B504-DE$401)^2+($C504-DE$402)^2+($D504-DE$403)^2)</f>
        <v>1.56927461680769</v>
      </c>
      <c r="DF504" s="63" t="n">
        <f aca="false">MATCH(MIN(CZ504:DE504),CZ504:DE504,0)</f>
        <v>2</v>
      </c>
      <c r="DH504" s="17" t="n">
        <f aca="false">SQRT(($B504-DH$401)^2+($C504-DH$402)^2+($D504-DH$403)^2)</f>
        <v>7.53904739128889</v>
      </c>
      <c r="DI504" s="17" t="n">
        <f aca="false">SQRT(($B504-DI$401)^2+($C504-DI$402)^2+($D504-DI$403)^2)</f>
        <v>0.383341974355068</v>
      </c>
      <c r="DJ504" s="17" t="n">
        <f aca="false">SQRT(($B504-DJ$401)^2+($C504-DJ$402)^2+($D504-DJ$403)^2)</f>
        <v>3.03341075396005</v>
      </c>
      <c r="DK504" s="17" t="n">
        <f aca="false">SQRT(($B504-DK$401)^2+($C504-DK$402)^2+($D504-DK$403)^2)</f>
        <v>1.06355300495182</v>
      </c>
      <c r="DL504" s="17" t="n">
        <f aca="false">SQRT(($B504-DL$401)^2+($C504-DL$402)^2+($D504-DL$403)^2)</f>
        <v>5.26937195077302</v>
      </c>
      <c r="DM504" s="17" t="n">
        <f aca="false">SQRT(($B504-DM$401)^2+($C504-DM$402)^2+($D504-DM$403)^2)</f>
        <v>1.56927461680769</v>
      </c>
      <c r="DN504" s="63" t="n">
        <f aca="false">MATCH(MIN(DH504:DM504),DH504:DM504,0)</f>
        <v>2</v>
      </c>
    </row>
    <row r="505" customFormat="false" ht="15" hidden="false" customHeight="false" outlineLevel="0" collapsed="false">
      <c r="A505" s="36" t="str">
        <f aca="false">KMeans_Data!A102</f>
        <v>Tank</v>
      </c>
      <c r="B505" s="17" t="n">
        <f aca="false">KMeans_Data!H102</f>
        <v>-0.936148467409663</v>
      </c>
      <c r="C505" s="17" t="n">
        <f aca="false">KMeans_Data!I102</f>
        <v>-0.672650545388274</v>
      </c>
      <c r="D505" s="17" t="n">
        <f aca="false">KMeans_Data!J102</f>
        <v>-0.0344812518432112</v>
      </c>
      <c r="E505" s="63" t="n">
        <f aca="false">DN505</f>
        <v>6</v>
      </c>
      <c r="F505" s="38" t="n">
        <f aca="false">($B505-INDEX($L$401:$Q$401,E505))^2+($C505-INDEX($L$402:$Q$402,E505))^2+($D505-INDEX($L$403:$Q$403,E505))^2</f>
        <v>0.722026509506028</v>
      </c>
      <c r="G505" s="17" t="n">
        <f aca="false">IF(COUNTIF(Distance_Matrix!$E$12:$DQ$12,$E505)&lt;=1,0,SUMIF(Distance_Matrix!$E$12:$DQ$12,$E505,Distance_Matrix!$E$111:$DQ$111)/(COUNTIF(Distance_Matrix!$E$12:$DQ$12,$E505)-1))</f>
        <v>1.00095357296793</v>
      </c>
      <c r="H505" s="17" t="n">
        <f aca="false">MIN(IF(1=$E505,1E+099,IF(COUNTIF(Distance_Matrix!$E$12:$DQ$12,1)=0,1E+099,SUMIF(Distance_Matrix!$E$12:$DQ$12,1,Distance_Matrix!$E$111:$DQ$111)/COUNTIF(Distance_Matrix!$E$12:$DQ$12,1))),IF(2=$E505,1E+099,IF(COUNTIF(Distance_Matrix!$E$12:$DQ$12,2)=0,1E+099,SUMIF(Distance_Matrix!$E$12:$DQ$12,2,Distance_Matrix!$E$111:$DQ$111)/COUNTIF(Distance_Matrix!$E$12:$DQ$12,2))),IF(3=$E505,1E+099,IF(COUNTIF(Distance_Matrix!$E$12:$DQ$12,3)=0,1E+099,SUMIF(Distance_Matrix!$E$12:$DQ$12,3,Distance_Matrix!$E$111:$DQ$111)/COUNTIF(Distance_Matrix!$E$12:$DQ$12,3))),IF(4=$E505,1E+099,IF(COUNTIF(Distance_Matrix!$E$12:$DQ$12,4)=0,1E+099,SUMIF(Distance_Matrix!$E$12:$DQ$12,4,Distance_Matrix!$E$111:$DQ$111)/COUNTIF(Distance_Matrix!$E$12:$DQ$12,4))),IF(5=$E505,1E+099,IF(COUNTIF(Distance_Matrix!$E$12:$DQ$12,5)=0,1E+099,SUMIF(Distance_Matrix!$E$12:$DQ$12,5,Distance_Matrix!$E$111:$DQ$111)/COUNTIF(Distance_Matrix!$E$12:$DQ$12,5))),IF(6=$E505,1E+099,IF(COUNTIF(Distance_Matrix!$E$12:$DQ$12,6)=0,1E+099,SUMIF(Distance_Matrix!$E$12:$DQ$12,6,Distance_Matrix!$E$111:$DQ$111)/COUNTIF(Distance_Matrix!$E$12:$DQ$12,6))))</f>
        <v>1.10283207882316</v>
      </c>
      <c r="I505" s="17" t="n">
        <f aca="false">IF(COUNTIF(Distance_Matrix!$E$12:$DQ$12,$E505)&lt;=1,0,(H505-G505)/MAX(G505,H505))</f>
        <v>0.0923789829943499</v>
      </c>
      <c r="X505" s="17" t="n">
        <f aca="false">SQRT(($B505-X$401)^2+($C505-X$402)^2+($D505-X$403)^2)</f>
        <v>7.12262940672578</v>
      </c>
      <c r="Y505" s="17" t="n">
        <f aca="false">SQRT(($B505-Y$401)^2+($C505-Y$402)^2+($D505-Y$403)^2)</f>
        <v>1.59451556557266</v>
      </c>
      <c r="Z505" s="17" t="n">
        <f aca="false">SQRT(($B505-Z$401)^2+($C505-Z$402)^2+($D505-Z$403)^2)</f>
        <v>2.69529791351475</v>
      </c>
      <c r="AA505" s="17" t="n">
        <f aca="false">SQRT(($B505-AA$401)^2+($C505-AA$402)^2+($D505-AA$403)^2)</f>
        <v>2.00328941473561</v>
      </c>
      <c r="AB505" s="17" t="n">
        <f aca="false">SQRT(($B505-AB$401)^2+($C505-AB$402)^2+($D505-AB$403)^2)</f>
        <v>5.04868348220944</v>
      </c>
      <c r="AC505" s="17" t="n">
        <f aca="false">SQRT(($B505-AC$401)^2+($C505-AC$402)^2+($D505-AC$403)^2)</f>
        <v>0.876795404292217</v>
      </c>
      <c r="AD505" s="63" t="n">
        <f aca="false">MATCH(MIN(X505:AC505),X505:AC505,0)</f>
        <v>6</v>
      </c>
      <c r="AF505" s="17" t="n">
        <f aca="false">SQRT(($B505-AF$401)^2+($C505-AF$402)^2+($D505-AF$403)^2)</f>
        <v>7.0278438898168</v>
      </c>
      <c r="AG505" s="17" t="n">
        <f aca="false">SQRT(($B505-AG$401)^2+($C505-AG$402)^2+($D505-AG$403)^2)</f>
        <v>1.12887010865177</v>
      </c>
      <c r="AH505" s="17" t="n">
        <f aca="false">SQRT(($B505-AH$401)^2+($C505-AH$402)^2+($D505-AH$403)^2)</f>
        <v>2.48162808036726</v>
      </c>
      <c r="AI505" s="17" t="n">
        <f aca="false">SQRT(($B505-AI$401)^2+($C505-AI$402)^2+($D505-AI$403)^2)</f>
        <v>1.36332159062408</v>
      </c>
      <c r="AJ505" s="17" t="n">
        <f aca="false">SQRT(($B505-AJ$401)^2+($C505-AJ$402)^2+($D505-AJ$403)^2)</f>
        <v>4.77604509127697</v>
      </c>
      <c r="AK505" s="17" t="n">
        <f aca="false">SQRT(($B505-AK$401)^2+($C505-AK$402)^2+($D505-AK$403)^2)</f>
        <v>0.757203439820856</v>
      </c>
      <c r="AL505" s="63" t="n">
        <f aca="false">MATCH(MIN(AF505:AK505),AF505:AK505,0)</f>
        <v>6</v>
      </c>
      <c r="AN505" s="17" t="n">
        <f aca="false">SQRT(($B505-AN$401)^2+($C505-AN$402)^2+($D505-AN$403)^2)</f>
        <v>7.0278438898168</v>
      </c>
      <c r="AO505" s="17" t="n">
        <f aca="false">SQRT(($B505-AO$401)^2+($C505-AO$402)^2+($D505-AO$403)^2)</f>
        <v>1.09437503806587</v>
      </c>
      <c r="AP505" s="17" t="n">
        <f aca="false">SQRT(($B505-AP$401)^2+($C505-AP$402)^2+($D505-AP$403)^2)</f>
        <v>2.45043754598415</v>
      </c>
      <c r="AQ505" s="17" t="n">
        <f aca="false">SQRT(($B505-AQ$401)^2+($C505-AQ$402)^2+($D505-AQ$403)^2)</f>
        <v>1.35971685853938</v>
      </c>
      <c r="AR505" s="17" t="n">
        <f aca="false">SQRT(($B505-AR$401)^2+($C505-AR$402)^2+($D505-AR$403)^2)</f>
        <v>4.77604509127697</v>
      </c>
      <c r="AS505" s="17" t="n">
        <f aca="false">SQRT(($B505-AS$401)^2+($C505-AS$402)^2+($D505-AS$403)^2)</f>
        <v>0.800687398246261</v>
      </c>
      <c r="AT505" s="63" t="n">
        <f aca="false">MATCH(MIN(AN505:AS505),AN505:AS505,0)</f>
        <v>6</v>
      </c>
      <c r="AV505" s="17" t="n">
        <f aca="false">SQRT(($B505-AV$401)^2+($C505-AV$402)^2+($D505-AV$403)^2)</f>
        <v>7.0278438898168</v>
      </c>
      <c r="AW505" s="17" t="n">
        <f aca="false">SQRT(($B505-AW$401)^2+($C505-AW$402)^2+($D505-AW$403)^2)</f>
        <v>1.06387728436172</v>
      </c>
      <c r="AX505" s="17" t="n">
        <f aca="false">SQRT(($B505-AX$401)^2+($C505-AX$402)^2+($D505-AX$403)^2)</f>
        <v>2.45043754598415</v>
      </c>
      <c r="AY505" s="17" t="n">
        <f aca="false">SQRT(($B505-AY$401)^2+($C505-AY$402)^2+($D505-AY$403)^2)</f>
        <v>1.35971685853938</v>
      </c>
      <c r="AZ505" s="17" t="n">
        <f aca="false">SQRT(($B505-AZ$401)^2+($C505-AZ$402)^2+($D505-AZ$403)^2)</f>
        <v>4.77604509127697</v>
      </c>
      <c r="BA505" s="17" t="n">
        <f aca="false">SQRT(($B505-BA$401)^2+($C505-BA$402)^2+($D505-BA$403)^2)</f>
        <v>0.824170282184224</v>
      </c>
      <c r="BB505" s="63" t="n">
        <f aca="false">MATCH(MIN(AV505:BA505),AV505:BA505,0)</f>
        <v>6</v>
      </c>
      <c r="BD505" s="17" t="n">
        <f aca="false">SQRT(($B505-BD$401)^2+($C505-BD$402)^2+($D505-BD$403)^2)</f>
        <v>7.0278438898168</v>
      </c>
      <c r="BE505" s="17" t="n">
        <f aca="false">SQRT(($B505-BE$401)^2+($C505-BE$402)^2+($D505-BE$403)^2)</f>
        <v>1.03323306932483</v>
      </c>
      <c r="BF505" s="17" t="n">
        <f aca="false">SQRT(($B505-BF$401)^2+($C505-BF$402)^2+($D505-BF$403)^2)</f>
        <v>2.45043754598415</v>
      </c>
      <c r="BG505" s="17" t="n">
        <f aca="false">SQRT(($B505-BG$401)^2+($C505-BG$402)^2+($D505-BG$403)^2)</f>
        <v>1.35971685853938</v>
      </c>
      <c r="BH505" s="17" t="n">
        <f aca="false">SQRT(($B505-BH$401)^2+($C505-BH$402)^2+($D505-BH$403)^2)</f>
        <v>4.77604509127697</v>
      </c>
      <c r="BI505" s="17" t="n">
        <f aca="false">SQRT(($B505-BI$401)^2+($C505-BI$402)^2+($D505-BI$403)^2)</f>
        <v>0.8497214305324</v>
      </c>
      <c r="BJ505" s="63" t="n">
        <f aca="false">MATCH(MIN(BD505:BI505),BD505:BI505,0)</f>
        <v>6</v>
      </c>
      <c r="BL505" s="17" t="n">
        <f aca="false">SQRT(($B505-BL$401)^2+($C505-BL$402)^2+($D505-BL$403)^2)</f>
        <v>7.0278438898168</v>
      </c>
      <c r="BM505" s="17" t="n">
        <f aca="false">SQRT(($B505-BM$401)^2+($C505-BM$402)^2+($D505-BM$403)^2)</f>
        <v>1.03323306932483</v>
      </c>
      <c r="BN505" s="17" t="n">
        <f aca="false">SQRT(($B505-BN$401)^2+($C505-BN$402)^2+($D505-BN$403)^2)</f>
        <v>2.45043754598415</v>
      </c>
      <c r="BO505" s="17" t="n">
        <f aca="false">SQRT(($B505-BO$401)^2+($C505-BO$402)^2+($D505-BO$403)^2)</f>
        <v>1.35971685853938</v>
      </c>
      <c r="BP505" s="17" t="n">
        <f aca="false">SQRT(($B505-BP$401)^2+($C505-BP$402)^2+($D505-BP$403)^2)</f>
        <v>4.77604509127697</v>
      </c>
      <c r="BQ505" s="17" t="n">
        <f aca="false">SQRT(($B505-BQ$401)^2+($C505-BQ$402)^2+($D505-BQ$403)^2)</f>
        <v>0.8497214305324</v>
      </c>
      <c r="BR505" s="63" t="n">
        <f aca="false">MATCH(MIN(BL505:BQ505),BL505:BQ505,0)</f>
        <v>6</v>
      </c>
      <c r="BT505" s="17" t="n">
        <f aca="false">SQRT(($B505-BT$401)^2+($C505-BT$402)^2+($D505-BT$403)^2)</f>
        <v>7.0278438898168</v>
      </c>
      <c r="BU505" s="17" t="n">
        <f aca="false">SQRT(($B505-BU$401)^2+($C505-BU$402)^2+($D505-BU$403)^2)</f>
        <v>1.03323306932483</v>
      </c>
      <c r="BV505" s="17" t="n">
        <f aca="false">SQRT(($B505-BV$401)^2+($C505-BV$402)^2+($D505-BV$403)^2)</f>
        <v>2.45043754598415</v>
      </c>
      <c r="BW505" s="17" t="n">
        <f aca="false">SQRT(($B505-BW$401)^2+($C505-BW$402)^2+($D505-BW$403)^2)</f>
        <v>1.35971685853938</v>
      </c>
      <c r="BX505" s="17" t="n">
        <f aca="false">SQRT(($B505-BX$401)^2+($C505-BX$402)^2+($D505-BX$403)^2)</f>
        <v>4.77604509127697</v>
      </c>
      <c r="BY505" s="17" t="n">
        <f aca="false">SQRT(($B505-BY$401)^2+($C505-BY$402)^2+($D505-BY$403)^2)</f>
        <v>0.8497214305324</v>
      </c>
      <c r="BZ505" s="63" t="n">
        <f aca="false">MATCH(MIN(BT505:BY505),BT505:BY505,0)</f>
        <v>6</v>
      </c>
      <c r="CB505" s="17" t="n">
        <f aca="false">SQRT(($B505-CB$401)^2+($C505-CB$402)^2+($D505-CB$403)^2)</f>
        <v>7.0278438898168</v>
      </c>
      <c r="CC505" s="17" t="n">
        <f aca="false">SQRT(($B505-CC$401)^2+($C505-CC$402)^2+($D505-CC$403)^2)</f>
        <v>1.03323306932483</v>
      </c>
      <c r="CD505" s="17" t="n">
        <f aca="false">SQRT(($B505-CD$401)^2+($C505-CD$402)^2+($D505-CD$403)^2)</f>
        <v>2.45043754598415</v>
      </c>
      <c r="CE505" s="17" t="n">
        <f aca="false">SQRT(($B505-CE$401)^2+($C505-CE$402)^2+($D505-CE$403)^2)</f>
        <v>1.35971685853938</v>
      </c>
      <c r="CF505" s="17" t="n">
        <f aca="false">SQRT(($B505-CF$401)^2+($C505-CF$402)^2+($D505-CF$403)^2)</f>
        <v>4.77604509127697</v>
      </c>
      <c r="CG505" s="17" t="n">
        <f aca="false">SQRT(($B505-CG$401)^2+($C505-CG$402)^2+($D505-CG$403)^2)</f>
        <v>0.8497214305324</v>
      </c>
      <c r="CH505" s="63" t="n">
        <f aca="false">MATCH(MIN(CB505:CG505),CB505:CG505,0)</f>
        <v>6</v>
      </c>
      <c r="CJ505" s="17" t="n">
        <f aca="false">SQRT(($B505-CJ$401)^2+($C505-CJ$402)^2+($D505-CJ$403)^2)</f>
        <v>7.0278438898168</v>
      </c>
      <c r="CK505" s="17" t="n">
        <f aca="false">SQRT(($B505-CK$401)^2+($C505-CK$402)^2+($D505-CK$403)^2)</f>
        <v>1.03323306932483</v>
      </c>
      <c r="CL505" s="17" t="n">
        <f aca="false">SQRT(($B505-CL$401)^2+($C505-CL$402)^2+($D505-CL$403)^2)</f>
        <v>2.45043754598415</v>
      </c>
      <c r="CM505" s="17" t="n">
        <f aca="false">SQRT(($B505-CM$401)^2+($C505-CM$402)^2+($D505-CM$403)^2)</f>
        <v>1.35971685853938</v>
      </c>
      <c r="CN505" s="17" t="n">
        <f aca="false">SQRT(($B505-CN$401)^2+($C505-CN$402)^2+($D505-CN$403)^2)</f>
        <v>4.77604509127697</v>
      </c>
      <c r="CO505" s="17" t="n">
        <f aca="false">SQRT(($B505-CO$401)^2+($C505-CO$402)^2+($D505-CO$403)^2)</f>
        <v>0.8497214305324</v>
      </c>
      <c r="CP505" s="63" t="n">
        <f aca="false">MATCH(MIN(CJ505:CO505),CJ505:CO505,0)</f>
        <v>6</v>
      </c>
      <c r="CR505" s="17" t="n">
        <f aca="false">SQRT(($B505-CR$401)^2+($C505-CR$402)^2+($D505-CR$403)^2)</f>
        <v>7.0278438898168</v>
      </c>
      <c r="CS505" s="17" t="n">
        <f aca="false">SQRT(($B505-CS$401)^2+($C505-CS$402)^2+($D505-CS$403)^2)</f>
        <v>1.03323306932483</v>
      </c>
      <c r="CT505" s="17" t="n">
        <f aca="false">SQRT(($B505-CT$401)^2+($C505-CT$402)^2+($D505-CT$403)^2)</f>
        <v>2.45043754598415</v>
      </c>
      <c r="CU505" s="17" t="n">
        <f aca="false">SQRT(($B505-CU$401)^2+($C505-CU$402)^2+($D505-CU$403)^2)</f>
        <v>1.35971685853938</v>
      </c>
      <c r="CV505" s="17" t="n">
        <f aca="false">SQRT(($B505-CV$401)^2+($C505-CV$402)^2+($D505-CV$403)^2)</f>
        <v>4.77604509127697</v>
      </c>
      <c r="CW505" s="17" t="n">
        <f aca="false">SQRT(($B505-CW$401)^2+($C505-CW$402)^2+($D505-CW$403)^2)</f>
        <v>0.8497214305324</v>
      </c>
      <c r="CX505" s="63" t="n">
        <f aca="false">MATCH(MIN(CR505:CW505),CR505:CW505,0)</f>
        <v>6</v>
      </c>
      <c r="CZ505" s="17" t="n">
        <f aca="false">SQRT(($B505-CZ$401)^2+($C505-CZ$402)^2+($D505-CZ$403)^2)</f>
        <v>7.0278438898168</v>
      </c>
      <c r="DA505" s="17" t="n">
        <f aca="false">SQRT(($B505-DA$401)^2+($C505-DA$402)^2+($D505-DA$403)^2)</f>
        <v>1.03323306932483</v>
      </c>
      <c r="DB505" s="17" t="n">
        <f aca="false">SQRT(($B505-DB$401)^2+($C505-DB$402)^2+($D505-DB$403)^2)</f>
        <v>2.45043754598415</v>
      </c>
      <c r="DC505" s="17" t="n">
        <f aca="false">SQRT(($B505-DC$401)^2+($C505-DC$402)^2+($D505-DC$403)^2)</f>
        <v>1.35971685853938</v>
      </c>
      <c r="DD505" s="17" t="n">
        <f aca="false">SQRT(($B505-DD$401)^2+($C505-DD$402)^2+($D505-DD$403)^2)</f>
        <v>4.77604509127697</v>
      </c>
      <c r="DE505" s="17" t="n">
        <f aca="false">SQRT(($B505-DE$401)^2+($C505-DE$402)^2+($D505-DE$403)^2)</f>
        <v>0.8497214305324</v>
      </c>
      <c r="DF505" s="63" t="n">
        <f aca="false">MATCH(MIN(CZ505:DE505),CZ505:DE505,0)</f>
        <v>6</v>
      </c>
      <c r="DH505" s="17" t="n">
        <f aca="false">SQRT(($B505-DH$401)^2+($C505-DH$402)^2+($D505-DH$403)^2)</f>
        <v>7.0278438898168</v>
      </c>
      <c r="DI505" s="17" t="n">
        <f aca="false">SQRT(($B505-DI$401)^2+($C505-DI$402)^2+($D505-DI$403)^2)</f>
        <v>1.03323306932483</v>
      </c>
      <c r="DJ505" s="17" t="n">
        <f aca="false">SQRT(($B505-DJ$401)^2+($C505-DJ$402)^2+($D505-DJ$403)^2)</f>
        <v>2.45043754598415</v>
      </c>
      <c r="DK505" s="17" t="n">
        <f aca="false">SQRT(($B505-DK$401)^2+($C505-DK$402)^2+($D505-DK$403)^2)</f>
        <v>1.35971685853938</v>
      </c>
      <c r="DL505" s="17" t="n">
        <f aca="false">SQRT(($B505-DL$401)^2+($C505-DL$402)^2+($D505-DL$403)^2)</f>
        <v>4.77604509127697</v>
      </c>
      <c r="DM505" s="17" t="n">
        <f aca="false">SQRT(($B505-DM$401)^2+($C505-DM$402)^2+($D505-DM$403)^2)</f>
        <v>0.8497214305324</v>
      </c>
      <c r="DN505" s="63" t="n">
        <f aca="false">MATCH(MIN(DH505:DM505),DH505:DM505,0)</f>
        <v>6</v>
      </c>
    </row>
    <row r="506" customFormat="false" ht="15" hidden="false" customHeight="false" outlineLevel="0" collapsed="false">
      <c r="A506" s="36" t="str">
        <f aca="false">KMeans_Data!A103</f>
        <v>Sahiwal</v>
      </c>
      <c r="B506" s="17" t="n">
        <f aca="false">KMeans_Data!H103</f>
        <v>-0.936148467409663</v>
      </c>
      <c r="C506" s="17" t="n">
        <f aca="false">KMeans_Data!I103</f>
        <v>-0.672650545388274</v>
      </c>
      <c r="D506" s="17" t="n">
        <f aca="false">KMeans_Data!J103</f>
        <v>-1.14564411633355</v>
      </c>
      <c r="E506" s="63" t="n">
        <f aca="false">DN506</f>
        <v>2</v>
      </c>
      <c r="F506" s="38" t="n">
        <f aca="false">($B506-INDEX($L$401:$Q$401,E506))^2+($C506-INDEX($L$402:$Q$402,E506))^2+($D506-INDEX($L$403:$Q$403,E506))^2</f>
        <v>0.110263816459092</v>
      </c>
      <c r="G506" s="17" t="n">
        <f aca="false">IF(COUNTIF(Distance_Matrix!$E$12:$DQ$12,$E506)&lt;=1,0,SUMIF(Distance_Matrix!$E$12:$DQ$12,$E506,Distance_Matrix!$E$112:$DQ$112)/(COUNTIF(Distance_Matrix!$E$12:$DQ$12,$E506)-1))</f>
        <v>0.518984180364863</v>
      </c>
      <c r="H506" s="17" t="n">
        <f aca="false">MIN(IF(1=$E506,1E+099,IF(COUNTIF(Distance_Matrix!$E$12:$DQ$12,1)=0,1E+099,SUMIF(Distance_Matrix!$E$12:$DQ$12,1,Distance_Matrix!$E$112:$DQ$112)/COUNTIF(Distance_Matrix!$E$12:$DQ$12,1))),IF(2=$E506,1E+099,IF(COUNTIF(Distance_Matrix!$E$12:$DQ$12,2)=0,1E+099,SUMIF(Distance_Matrix!$E$12:$DQ$12,2,Distance_Matrix!$E$112:$DQ$112)/COUNTIF(Distance_Matrix!$E$12:$DQ$12,2))),IF(3=$E506,1E+099,IF(COUNTIF(Distance_Matrix!$E$12:$DQ$12,3)=0,1E+099,SUMIF(Distance_Matrix!$E$12:$DQ$12,3,Distance_Matrix!$E$112:$DQ$112)/COUNTIF(Distance_Matrix!$E$12:$DQ$12,3))),IF(4=$E506,1E+099,IF(COUNTIF(Distance_Matrix!$E$12:$DQ$12,4)=0,1E+099,SUMIF(Distance_Matrix!$E$12:$DQ$12,4,Distance_Matrix!$E$112:$DQ$112)/COUNTIF(Distance_Matrix!$E$12:$DQ$12,4))),IF(5=$E506,1E+099,IF(COUNTIF(Distance_Matrix!$E$12:$DQ$12,5)=0,1E+099,SUMIF(Distance_Matrix!$E$12:$DQ$12,5,Distance_Matrix!$E$112:$DQ$112)/COUNTIF(Distance_Matrix!$E$12:$DQ$12,5))),IF(6=$E506,1E+099,IF(COUNTIF(Distance_Matrix!$E$12:$DQ$12,6)=0,1E+099,SUMIF(Distance_Matrix!$E$12:$DQ$12,6,Distance_Matrix!$E$112:$DQ$112)/COUNTIF(Distance_Matrix!$E$12:$DQ$12,6))))</f>
        <v>1.17073017420596</v>
      </c>
      <c r="I506" s="17" t="n">
        <f aca="false">IF(COUNTIF(Distance_Matrix!$E$12:$DQ$12,$E506)&lt;=1,0,(H506-G506)/MAX(G506,H506))</f>
        <v>0.55670043208986</v>
      </c>
      <c r="X506" s="17" t="n">
        <f aca="false">SQRT(($B506-X$401)^2+($C506-X$402)^2+($D506-X$403)^2)</f>
        <v>7.69881475468762</v>
      </c>
      <c r="Y506" s="17" t="n">
        <f aca="false">SQRT(($B506-Y$401)^2+($C506-Y$402)^2+($D506-Y$403)^2)</f>
        <v>1.14358951439366</v>
      </c>
      <c r="Z506" s="17" t="n">
        <f aca="false">SQRT(($B506-Z$401)^2+($C506-Z$402)^2+($D506-Z$403)^2)</f>
        <v>3.44146195541105</v>
      </c>
      <c r="AA506" s="17" t="n">
        <f aca="false">SQRT(($B506-AA$401)^2+($C506-AA$402)^2+($D506-AA$403)^2)</f>
        <v>1.66687899013977</v>
      </c>
      <c r="AB506" s="17" t="n">
        <f aca="false">SQRT(($B506-AB$401)^2+($C506-AB$402)^2+($D506-AB$403)^2)</f>
        <v>5.6632731880532</v>
      </c>
      <c r="AC506" s="17" t="n">
        <f aca="false">SQRT(($B506-AC$401)^2+($C506-AC$402)^2+($D506-AC$403)^2)</f>
        <v>1.86462955272934</v>
      </c>
      <c r="AD506" s="63" t="n">
        <f aca="false">MATCH(MIN(X506:AC506),X506:AC506,0)</f>
        <v>2</v>
      </c>
      <c r="AF506" s="17" t="n">
        <f aca="false">SQRT(($B506-AF$401)^2+($C506-AF$402)^2+($D506-AF$403)^2)</f>
        <v>7.56932502628819</v>
      </c>
      <c r="AG506" s="17" t="n">
        <f aca="false">SQRT(($B506-AG$401)^2+($C506-AG$402)^2+($D506-AG$403)^2)</f>
        <v>0.388489900740627</v>
      </c>
      <c r="AH506" s="17" t="n">
        <f aca="false">SQRT(($B506-AH$401)^2+($C506-AH$402)^2+($D506-AH$403)^2)</f>
        <v>3.093617282411</v>
      </c>
      <c r="AI506" s="17" t="n">
        <f aca="false">SQRT(($B506-AI$401)^2+($C506-AI$402)^2+($D506-AI$403)^2)</f>
        <v>1.12639656109831</v>
      </c>
      <c r="AJ506" s="17" t="n">
        <f aca="false">SQRT(($B506-AJ$401)^2+($C506-AJ$402)^2+($D506-AJ$403)^2)</f>
        <v>5.30052496138845</v>
      </c>
      <c r="AK506" s="17" t="n">
        <f aca="false">SQRT(($B506-AK$401)^2+($C506-AK$402)^2+($D506-AK$403)^2)</f>
        <v>1.50532698726867</v>
      </c>
      <c r="AL506" s="63" t="n">
        <f aca="false">MATCH(MIN(AF506:AK506),AF506:AK506,0)</f>
        <v>2</v>
      </c>
      <c r="AN506" s="17" t="n">
        <f aca="false">SQRT(($B506-AN$401)^2+($C506-AN$402)^2+($D506-AN$403)^2)</f>
        <v>7.56932502628819</v>
      </c>
      <c r="AO506" s="17" t="n">
        <f aca="false">SQRT(($B506-AO$401)^2+($C506-AO$402)^2+($D506-AO$403)^2)</f>
        <v>0.349910247852135</v>
      </c>
      <c r="AP506" s="17" t="n">
        <f aca="false">SQRT(($B506-AP$401)^2+($C506-AP$402)^2+($D506-AP$403)^2)</f>
        <v>3.06311219883405</v>
      </c>
      <c r="AQ506" s="17" t="n">
        <f aca="false">SQRT(($B506-AQ$401)^2+($C506-AQ$402)^2+($D506-AQ$403)^2)</f>
        <v>1.11622681659834</v>
      </c>
      <c r="AR506" s="17" t="n">
        <f aca="false">SQRT(($B506-AR$401)^2+($C506-AR$402)^2+($D506-AR$403)^2)</f>
        <v>5.30052496138845</v>
      </c>
      <c r="AS506" s="17" t="n">
        <f aca="false">SQRT(($B506-AS$401)^2+($C506-AS$402)^2+($D506-AS$403)^2)</f>
        <v>1.54402957644242</v>
      </c>
      <c r="AT506" s="63" t="n">
        <f aca="false">MATCH(MIN(AN506:AS506),AN506:AS506,0)</f>
        <v>2</v>
      </c>
      <c r="AV506" s="17" t="n">
        <f aca="false">SQRT(($B506-AV$401)^2+($C506-AV$402)^2+($D506-AV$403)^2)</f>
        <v>7.56932502628819</v>
      </c>
      <c r="AW506" s="17" t="n">
        <f aca="false">SQRT(($B506-AW$401)^2+($C506-AW$402)^2+($D506-AW$403)^2)</f>
        <v>0.337977205594535</v>
      </c>
      <c r="AX506" s="17" t="n">
        <f aca="false">SQRT(($B506-AX$401)^2+($C506-AX$402)^2+($D506-AX$403)^2)</f>
        <v>3.06311219883405</v>
      </c>
      <c r="AY506" s="17" t="n">
        <f aca="false">SQRT(($B506-AY$401)^2+($C506-AY$402)^2+($D506-AY$403)^2)</f>
        <v>1.11622681659834</v>
      </c>
      <c r="AZ506" s="17" t="n">
        <f aca="false">SQRT(($B506-AZ$401)^2+($C506-AZ$402)^2+($D506-AZ$403)^2)</f>
        <v>5.30052496138845</v>
      </c>
      <c r="BA506" s="17" t="n">
        <f aca="false">SQRT(($B506-BA$401)^2+($C506-BA$402)^2+($D506-BA$403)^2)</f>
        <v>1.56913663980536</v>
      </c>
      <c r="BB506" s="63" t="n">
        <f aca="false">MATCH(MIN(AV506:BA506),AV506:BA506,0)</f>
        <v>2</v>
      </c>
      <c r="BD506" s="17" t="n">
        <f aca="false">SQRT(($B506-BD$401)^2+($C506-BD$402)^2+($D506-BD$403)^2)</f>
        <v>7.56932502628819</v>
      </c>
      <c r="BE506" s="17" t="n">
        <f aca="false">SQRT(($B506-BE$401)^2+($C506-BE$402)^2+($D506-BE$403)^2)</f>
        <v>0.332059959132522</v>
      </c>
      <c r="BF506" s="17" t="n">
        <f aca="false">SQRT(($B506-BF$401)^2+($C506-BF$402)^2+($D506-BF$403)^2)</f>
        <v>3.06311219883405</v>
      </c>
      <c r="BG506" s="17" t="n">
        <f aca="false">SQRT(($B506-BG$401)^2+($C506-BG$402)^2+($D506-BG$403)^2)</f>
        <v>1.11622681659834</v>
      </c>
      <c r="BH506" s="17" t="n">
        <f aca="false">SQRT(($B506-BH$401)^2+($C506-BH$402)^2+($D506-BH$403)^2)</f>
        <v>5.30052496138845</v>
      </c>
      <c r="BI506" s="17" t="n">
        <f aca="false">SQRT(($B506-BI$401)^2+($C506-BI$402)^2+($D506-BI$403)^2)</f>
        <v>1.59423924872139</v>
      </c>
      <c r="BJ506" s="63" t="n">
        <f aca="false">MATCH(MIN(BD506:BI506),BD506:BI506,0)</f>
        <v>2</v>
      </c>
      <c r="BL506" s="17" t="n">
        <f aca="false">SQRT(($B506-BL$401)^2+($C506-BL$402)^2+($D506-BL$403)^2)</f>
        <v>7.56932502628819</v>
      </c>
      <c r="BM506" s="17" t="n">
        <f aca="false">SQRT(($B506-BM$401)^2+($C506-BM$402)^2+($D506-BM$403)^2)</f>
        <v>0.332059959132522</v>
      </c>
      <c r="BN506" s="17" t="n">
        <f aca="false">SQRT(($B506-BN$401)^2+($C506-BN$402)^2+($D506-BN$403)^2)</f>
        <v>3.06311219883405</v>
      </c>
      <c r="BO506" s="17" t="n">
        <f aca="false">SQRT(($B506-BO$401)^2+($C506-BO$402)^2+($D506-BO$403)^2)</f>
        <v>1.11622681659834</v>
      </c>
      <c r="BP506" s="17" t="n">
        <f aca="false">SQRT(($B506-BP$401)^2+($C506-BP$402)^2+($D506-BP$403)^2)</f>
        <v>5.30052496138845</v>
      </c>
      <c r="BQ506" s="17" t="n">
        <f aca="false">SQRT(($B506-BQ$401)^2+($C506-BQ$402)^2+($D506-BQ$403)^2)</f>
        <v>1.59423924872139</v>
      </c>
      <c r="BR506" s="63" t="n">
        <f aca="false">MATCH(MIN(BL506:BQ506),BL506:BQ506,0)</f>
        <v>2</v>
      </c>
      <c r="BT506" s="17" t="n">
        <f aca="false">SQRT(($B506-BT$401)^2+($C506-BT$402)^2+($D506-BT$403)^2)</f>
        <v>7.56932502628819</v>
      </c>
      <c r="BU506" s="17" t="n">
        <f aca="false">SQRT(($B506-BU$401)^2+($C506-BU$402)^2+($D506-BU$403)^2)</f>
        <v>0.332059959132522</v>
      </c>
      <c r="BV506" s="17" t="n">
        <f aca="false">SQRT(($B506-BV$401)^2+($C506-BV$402)^2+($D506-BV$403)^2)</f>
        <v>3.06311219883405</v>
      </c>
      <c r="BW506" s="17" t="n">
        <f aca="false">SQRT(($B506-BW$401)^2+($C506-BW$402)^2+($D506-BW$403)^2)</f>
        <v>1.11622681659834</v>
      </c>
      <c r="BX506" s="17" t="n">
        <f aca="false">SQRT(($B506-BX$401)^2+($C506-BX$402)^2+($D506-BX$403)^2)</f>
        <v>5.30052496138845</v>
      </c>
      <c r="BY506" s="17" t="n">
        <f aca="false">SQRT(($B506-BY$401)^2+($C506-BY$402)^2+($D506-BY$403)^2)</f>
        <v>1.59423924872139</v>
      </c>
      <c r="BZ506" s="63" t="n">
        <f aca="false">MATCH(MIN(BT506:BY506),BT506:BY506,0)</f>
        <v>2</v>
      </c>
      <c r="CB506" s="17" t="n">
        <f aca="false">SQRT(($B506-CB$401)^2+($C506-CB$402)^2+($D506-CB$403)^2)</f>
        <v>7.56932502628819</v>
      </c>
      <c r="CC506" s="17" t="n">
        <f aca="false">SQRT(($B506-CC$401)^2+($C506-CC$402)^2+($D506-CC$403)^2)</f>
        <v>0.332059959132522</v>
      </c>
      <c r="CD506" s="17" t="n">
        <f aca="false">SQRT(($B506-CD$401)^2+($C506-CD$402)^2+($D506-CD$403)^2)</f>
        <v>3.06311219883405</v>
      </c>
      <c r="CE506" s="17" t="n">
        <f aca="false">SQRT(($B506-CE$401)^2+($C506-CE$402)^2+($D506-CE$403)^2)</f>
        <v>1.11622681659834</v>
      </c>
      <c r="CF506" s="17" t="n">
        <f aca="false">SQRT(($B506-CF$401)^2+($C506-CF$402)^2+($D506-CF$403)^2)</f>
        <v>5.30052496138845</v>
      </c>
      <c r="CG506" s="17" t="n">
        <f aca="false">SQRT(($B506-CG$401)^2+($C506-CG$402)^2+($D506-CG$403)^2)</f>
        <v>1.59423924872139</v>
      </c>
      <c r="CH506" s="63" t="n">
        <f aca="false">MATCH(MIN(CB506:CG506),CB506:CG506,0)</f>
        <v>2</v>
      </c>
      <c r="CJ506" s="17" t="n">
        <f aca="false">SQRT(($B506-CJ$401)^2+($C506-CJ$402)^2+($D506-CJ$403)^2)</f>
        <v>7.56932502628819</v>
      </c>
      <c r="CK506" s="17" t="n">
        <f aca="false">SQRT(($B506-CK$401)^2+($C506-CK$402)^2+($D506-CK$403)^2)</f>
        <v>0.332059959132522</v>
      </c>
      <c r="CL506" s="17" t="n">
        <f aca="false">SQRT(($B506-CL$401)^2+($C506-CL$402)^2+($D506-CL$403)^2)</f>
        <v>3.06311219883405</v>
      </c>
      <c r="CM506" s="17" t="n">
        <f aca="false">SQRT(($B506-CM$401)^2+($C506-CM$402)^2+($D506-CM$403)^2)</f>
        <v>1.11622681659834</v>
      </c>
      <c r="CN506" s="17" t="n">
        <f aca="false">SQRT(($B506-CN$401)^2+($C506-CN$402)^2+($D506-CN$403)^2)</f>
        <v>5.30052496138845</v>
      </c>
      <c r="CO506" s="17" t="n">
        <f aca="false">SQRT(($B506-CO$401)^2+($C506-CO$402)^2+($D506-CO$403)^2)</f>
        <v>1.59423924872139</v>
      </c>
      <c r="CP506" s="63" t="n">
        <f aca="false">MATCH(MIN(CJ506:CO506),CJ506:CO506,0)</f>
        <v>2</v>
      </c>
      <c r="CR506" s="17" t="n">
        <f aca="false">SQRT(($B506-CR$401)^2+($C506-CR$402)^2+($D506-CR$403)^2)</f>
        <v>7.56932502628819</v>
      </c>
      <c r="CS506" s="17" t="n">
        <f aca="false">SQRT(($B506-CS$401)^2+($C506-CS$402)^2+($D506-CS$403)^2)</f>
        <v>0.332059959132522</v>
      </c>
      <c r="CT506" s="17" t="n">
        <f aca="false">SQRT(($B506-CT$401)^2+($C506-CT$402)^2+($D506-CT$403)^2)</f>
        <v>3.06311219883405</v>
      </c>
      <c r="CU506" s="17" t="n">
        <f aca="false">SQRT(($B506-CU$401)^2+($C506-CU$402)^2+($D506-CU$403)^2)</f>
        <v>1.11622681659834</v>
      </c>
      <c r="CV506" s="17" t="n">
        <f aca="false">SQRT(($B506-CV$401)^2+($C506-CV$402)^2+($D506-CV$403)^2)</f>
        <v>5.30052496138845</v>
      </c>
      <c r="CW506" s="17" t="n">
        <f aca="false">SQRT(($B506-CW$401)^2+($C506-CW$402)^2+($D506-CW$403)^2)</f>
        <v>1.59423924872139</v>
      </c>
      <c r="CX506" s="63" t="n">
        <f aca="false">MATCH(MIN(CR506:CW506),CR506:CW506,0)</f>
        <v>2</v>
      </c>
      <c r="CZ506" s="17" t="n">
        <f aca="false">SQRT(($B506-CZ$401)^2+($C506-CZ$402)^2+($D506-CZ$403)^2)</f>
        <v>7.56932502628819</v>
      </c>
      <c r="DA506" s="17" t="n">
        <f aca="false">SQRT(($B506-DA$401)^2+($C506-DA$402)^2+($D506-DA$403)^2)</f>
        <v>0.332059959132522</v>
      </c>
      <c r="DB506" s="17" t="n">
        <f aca="false">SQRT(($B506-DB$401)^2+($C506-DB$402)^2+($D506-DB$403)^2)</f>
        <v>3.06311219883405</v>
      </c>
      <c r="DC506" s="17" t="n">
        <f aca="false">SQRT(($B506-DC$401)^2+($C506-DC$402)^2+($D506-DC$403)^2)</f>
        <v>1.11622681659834</v>
      </c>
      <c r="DD506" s="17" t="n">
        <f aca="false">SQRT(($B506-DD$401)^2+($C506-DD$402)^2+($D506-DD$403)^2)</f>
        <v>5.30052496138845</v>
      </c>
      <c r="DE506" s="17" t="n">
        <f aca="false">SQRT(($B506-DE$401)^2+($C506-DE$402)^2+($D506-DE$403)^2)</f>
        <v>1.59423924872139</v>
      </c>
      <c r="DF506" s="63" t="n">
        <f aca="false">MATCH(MIN(CZ506:DE506),CZ506:DE506,0)</f>
        <v>2</v>
      </c>
      <c r="DH506" s="17" t="n">
        <f aca="false">SQRT(($B506-DH$401)^2+($C506-DH$402)^2+($D506-DH$403)^2)</f>
        <v>7.56932502628819</v>
      </c>
      <c r="DI506" s="17" t="n">
        <f aca="false">SQRT(($B506-DI$401)^2+($C506-DI$402)^2+($D506-DI$403)^2)</f>
        <v>0.332059959132522</v>
      </c>
      <c r="DJ506" s="17" t="n">
        <f aca="false">SQRT(($B506-DJ$401)^2+($C506-DJ$402)^2+($D506-DJ$403)^2)</f>
        <v>3.06311219883405</v>
      </c>
      <c r="DK506" s="17" t="n">
        <f aca="false">SQRT(($B506-DK$401)^2+($C506-DK$402)^2+($D506-DK$403)^2)</f>
        <v>1.11622681659834</v>
      </c>
      <c r="DL506" s="17" t="n">
        <f aca="false">SQRT(($B506-DL$401)^2+($C506-DL$402)^2+($D506-DL$403)^2)</f>
        <v>5.30052496138845</v>
      </c>
      <c r="DM506" s="17" t="n">
        <f aca="false">SQRT(($B506-DM$401)^2+($C506-DM$402)^2+($D506-DM$403)^2)</f>
        <v>1.59423924872139</v>
      </c>
      <c r="DN506" s="63" t="n">
        <f aca="false">MATCH(MIN(DH506:DM506),DH506:DM506,0)</f>
        <v>2</v>
      </c>
    </row>
    <row r="507" customFormat="false" ht="15" hidden="false" customHeight="false" outlineLevel="0" collapsed="false">
      <c r="A507" s="36" t="str">
        <f aca="false">KMeans_Data!A104</f>
        <v>Chiniot</v>
      </c>
      <c r="B507" s="17" t="n">
        <f aca="false">KMeans_Data!H104</f>
        <v>-0.936148467409663</v>
      </c>
      <c r="C507" s="17" t="n">
        <f aca="false">KMeans_Data!I104</f>
        <v>-0.672650545388274</v>
      </c>
      <c r="D507" s="17" t="n">
        <f aca="false">KMeans_Data!J104</f>
        <v>-1.14564411633355</v>
      </c>
      <c r="E507" s="63" t="n">
        <f aca="false">DN507</f>
        <v>2</v>
      </c>
      <c r="F507" s="38" t="n">
        <f aca="false">($B507-INDEX($L$401:$Q$401,E507))^2+($C507-INDEX($L$402:$Q$402,E507))^2+($D507-INDEX($L$403:$Q$403,E507))^2</f>
        <v>0.110263816459092</v>
      </c>
      <c r="G507" s="17" t="n">
        <f aca="false">IF(COUNTIF(Distance_Matrix!$E$12:$DQ$12,$E507)&lt;=1,0,SUMIF(Distance_Matrix!$E$12:$DQ$12,$E507,Distance_Matrix!$E$113:$DQ$113)/(COUNTIF(Distance_Matrix!$E$12:$DQ$12,$E507)-1))</f>
        <v>0.518984180364863</v>
      </c>
      <c r="H507" s="17" t="n">
        <f aca="false">MIN(IF(1=$E507,1E+099,IF(COUNTIF(Distance_Matrix!$E$12:$DQ$12,1)=0,1E+099,SUMIF(Distance_Matrix!$E$12:$DQ$12,1,Distance_Matrix!$E$113:$DQ$113)/COUNTIF(Distance_Matrix!$E$12:$DQ$12,1))),IF(2=$E507,1E+099,IF(COUNTIF(Distance_Matrix!$E$12:$DQ$12,2)=0,1E+099,SUMIF(Distance_Matrix!$E$12:$DQ$12,2,Distance_Matrix!$E$113:$DQ$113)/COUNTIF(Distance_Matrix!$E$12:$DQ$12,2))),IF(3=$E507,1E+099,IF(COUNTIF(Distance_Matrix!$E$12:$DQ$12,3)=0,1E+099,SUMIF(Distance_Matrix!$E$12:$DQ$12,3,Distance_Matrix!$E$113:$DQ$113)/COUNTIF(Distance_Matrix!$E$12:$DQ$12,3))),IF(4=$E507,1E+099,IF(COUNTIF(Distance_Matrix!$E$12:$DQ$12,4)=0,1E+099,SUMIF(Distance_Matrix!$E$12:$DQ$12,4,Distance_Matrix!$E$113:$DQ$113)/COUNTIF(Distance_Matrix!$E$12:$DQ$12,4))),IF(5=$E507,1E+099,IF(COUNTIF(Distance_Matrix!$E$12:$DQ$12,5)=0,1E+099,SUMIF(Distance_Matrix!$E$12:$DQ$12,5,Distance_Matrix!$E$113:$DQ$113)/COUNTIF(Distance_Matrix!$E$12:$DQ$12,5))),IF(6=$E507,1E+099,IF(COUNTIF(Distance_Matrix!$E$12:$DQ$12,6)=0,1E+099,SUMIF(Distance_Matrix!$E$12:$DQ$12,6,Distance_Matrix!$E$113:$DQ$113)/COUNTIF(Distance_Matrix!$E$12:$DQ$12,6))))</f>
        <v>1.17073017420596</v>
      </c>
      <c r="I507" s="17" t="n">
        <f aca="false">IF(COUNTIF(Distance_Matrix!$E$12:$DQ$12,$E507)&lt;=1,0,(H507-G507)/MAX(G507,H507))</f>
        <v>0.55670043208986</v>
      </c>
      <c r="X507" s="17" t="n">
        <f aca="false">SQRT(($B507-X$401)^2+($C507-X$402)^2+($D507-X$403)^2)</f>
        <v>7.69881475468762</v>
      </c>
      <c r="Y507" s="17" t="n">
        <f aca="false">SQRT(($B507-Y$401)^2+($C507-Y$402)^2+($D507-Y$403)^2)</f>
        <v>1.14358951439366</v>
      </c>
      <c r="Z507" s="17" t="n">
        <f aca="false">SQRT(($B507-Z$401)^2+($C507-Z$402)^2+($D507-Z$403)^2)</f>
        <v>3.44146195541105</v>
      </c>
      <c r="AA507" s="17" t="n">
        <f aca="false">SQRT(($B507-AA$401)^2+($C507-AA$402)^2+($D507-AA$403)^2)</f>
        <v>1.66687899013977</v>
      </c>
      <c r="AB507" s="17" t="n">
        <f aca="false">SQRT(($B507-AB$401)^2+($C507-AB$402)^2+($D507-AB$403)^2)</f>
        <v>5.6632731880532</v>
      </c>
      <c r="AC507" s="17" t="n">
        <f aca="false">SQRT(($B507-AC$401)^2+($C507-AC$402)^2+($D507-AC$403)^2)</f>
        <v>1.86462955272934</v>
      </c>
      <c r="AD507" s="63" t="n">
        <f aca="false">MATCH(MIN(X507:AC507),X507:AC507,0)</f>
        <v>2</v>
      </c>
      <c r="AF507" s="17" t="n">
        <f aca="false">SQRT(($B507-AF$401)^2+($C507-AF$402)^2+($D507-AF$403)^2)</f>
        <v>7.56932502628819</v>
      </c>
      <c r="AG507" s="17" t="n">
        <f aca="false">SQRT(($B507-AG$401)^2+($C507-AG$402)^2+($D507-AG$403)^2)</f>
        <v>0.388489900740627</v>
      </c>
      <c r="AH507" s="17" t="n">
        <f aca="false">SQRT(($B507-AH$401)^2+($C507-AH$402)^2+($D507-AH$403)^2)</f>
        <v>3.093617282411</v>
      </c>
      <c r="AI507" s="17" t="n">
        <f aca="false">SQRT(($B507-AI$401)^2+($C507-AI$402)^2+($D507-AI$403)^2)</f>
        <v>1.12639656109831</v>
      </c>
      <c r="AJ507" s="17" t="n">
        <f aca="false">SQRT(($B507-AJ$401)^2+($C507-AJ$402)^2+($D507-AJ$403)^2)</f>
        <v>5.30052496138845</v>
      </c>
      <c r="AK507" s="17" t="n">
        <f aca="false">SQRT(($B507-AK$401)^2+($C507-AK$402)^2+($D507-AK$403)^2)</f>
        <v>1.50532698726867</v>
      </c>
      <c r="AL507" s="63" t="n">
        <f aca="false">MATCH(MIN(AF507:AK507),AF507:AK507,0)</f>
        <v>2</v>
      </c>
      <c r="AN507" s="17" t="n">
        <f aca="false">SQRT(($B507-AN$401)^2+($C507-AN$402)^2+($D507-AN$403)^2)</f>
        <v>7.56932502628819</v>
      </c>
      <c r="AO507" s="17" t="n">
        <f aca="false">SQRT(($B507-AO$401)^2+($C507-AO$402)^2+($D507-AO$403)^2)</f>
        <v>0.349910247852135</v>
      </c>
      <c r="AP507" s="17" t="n">
        <f aca="false">SQRT(($B507-AP$401)^2+($C507-AP$402)^2+($D507-AP$403)^2)</f>
        <v>3.06311219883405</v>
      </c>
      <c r="AQ507" s="17" t="n">
        <f aca="false">SQRT(($B507-AQ$401)^2+($C507-AQ$402)^2+($D507-AQ$403)^2)</f>
        <v>1.11622681659834</v>
      </c>
      <c r="AR507" s="17" t="n">
        <f aca="false">SQRT(($B507-AR$401)^2+($C507-AR$402)^2+($D507-AR$403)^2)</f>
        <v>5.30052496138845</v>
      </c>
      <c r="AS507" s="17" t="n">
        <f aca="false">SQRT(($B507-AS$401)^2+($C507-AS$402)^2+($D507-AS$403)^2)</f>
        <v>1.54402957644242</v>
      </c>
      <c r="AT507" s="63" t="n">
        <f aca="false">MATCH(MIN(AN507:AS507),AN507:AS507,0)</f>
        <v>2</v>
      </c>
      <c r="AV507" s="17" t="n">
        <f aca="false">SQRT(($B507-AV$401)^2+($C507-AV$402)^2+($D507-AV$403)^2)</f>
        <v>7.56932502628819</v>
      </c>
      <c r="AW507" s="17" t="n">
        <f aca="false">SQRT(($B507-AW$401)^2+($C507-AW$402)^2+($D507-AW$403)^2)</f>
        <v>0.337977205594535</v>
      </c>
      <c r="AX507" s="17" t="n">
        <f aca="false">SQRT(($B507-AX$401)^2+($C507-AX$402)^2+($D507-AX$403)^2)</f>
        <v>3.06311219883405</v>
      </c>
      <c r="AY507" s="17" t="n">
        <f aca="false">SQRT(($B507-AY$401)^2+($C507-AY$402)^2+($D507-AY$403)^2)</f>
        <v>1.11622681659834</v>
      </c>
      <c r="AZ507" s="17" t="n">
        <f aca="false">SQRT(($B507-AZ$401)^2+($C507-AZ$402)^2+($D507-AZ$403)^2)</f>
        <v>5.30052496138845</v>
      </c>
      <c r="BA507" s="17" t="n">
        <f aca="false">SQRT(($B507-BA$401)^2+($C507-BA$402)^2+($D507-BA$403)^2)</f>
        <v>1.56913663980536</v>
      </c>
      <c r="BB507" s="63" t="n">
        <f aca="false">MATCH(MIN(AV507:BA507),AV507:BA507,0)</f>
        <v>2</v>
      </c>
      <c r="BD507" s="17" t="n">
        <f aca="false">SQRT(($B507-BD$401)^2+($C507-BD$402)^2+($D507-BD$403)^2)</f>
        <v>7.56932502628819</v>
      </c>
      <c r="BE507" s="17" t="n">
        <f aca="false">SQRT(($B507-BE$401)^2+($C507-BE$402)^2+($D507-BE$403)^2)</f>
        <v>0.332059959132522</v>
      </c>
      <c r="BF507" s="17" t="n">
        <f aca="false">SQRT(($B507-BF$401)^2+($C507-BF$402)^2+($D507-BF$403)^2)</f>
        <v>3.06311219883405</v>
      </c>
      <c r="BG507" s="17" t="n">
        <f aca="false">SQRT(($B507-BG$401)^2+($C507-BG$402)^2+($D507-BG$403)^2)</f>
        <v>1.11622681659834</v>
      </c>
      <c r="BH507" s="17" t="n">
        <f aca="false">SQRT(($B507-BH$401)^2+($C507-BH$402)^2+($D507-BH$403)^2)</f>
        <v>5.30052496138845</v>
      </c>
      <c r="BI507" s="17" t="n">
        <f aca="false">SQRT(($B507-BI$401)^2+($C507-BI$402)^2+($D507-BI$403)^2)</f>
        <v>1.59423924872139</v>
      </c>
      <c r="BJ507" s="63" t="n">
        <f aca="false">MATCH(MIN(BD507:BI507),BD507:BI507,0)</f>
        <v>2</v>
      </c>
      <c r="BL507" s="17" t="n">
        <f aca="false">SQRT(($B507-BL$401)^2+($C507-BL$402)^2+($D507-BL$403)^2)</f>
        <v>7.56932502628819</v>
      </c>
      <c r="BM507" s="17" t="n">
        <f aca="false">SQRT(($B507-BM$401)^2+($C507-BM$402)^2+($D507-BM$403)^2)</f>
        <v>0.332059959132522</v>
      </c>
      <c r="BN507" s="17" t="n">
        <f aca="false">SQRT(($B507-BN$401)^2+($C507-BN$402)^2+($D507-BN$403)^2)</f>
        <v>3.06311219883405</v>
      </c>
      <c r="BO507" s="17" t="n">
        <f aca="false">SQRT(($B507-BO$401)^2+($C507-BO$402)^2+($D507-BO$403)^2)</f>
        <v>1.11622681659834</v>
      </c>
      <c r="BP507" s="17" t="n">
        <f aca="false">SQRT(($B507-BP$401)^2+($C507-BP$402)^2+($D507-BP$403)^2)</f>
        <v>5.30052496138845</v>
      </c>
      <c r="BQ507" s="17" t="n">
        <f aca="false">SQRT(($B507-BQ$401)^2+($C507-BQ$402)^2+($D507-BQ$403)^2)</f>
        <v>1.59423924872139</v>
      </c>
      <c r="BR507" s="63" t="n">
        <f aca="false">MATCH(MIN(BL507:BQ507),BL507:BQ507,0)</f>
        <v>2</v>
      </c>
      <c r="BT507" s="17" t="n">
        <f aca="false">SQRT(($B507-BT$401)^2+($C507-BT$402)^2+($D507-BT$403)^2)</f>
        <v>7.56932502628819</v>
      </c>
      <c r="BU507" s="17" t="n">
        <f aca="false">SQRT(($B507-BU$401)^2+($C507-BU$402)^2+($D507-BU$403)^2)</f>
        <v>0.332059959132522</v>
      </c>
      <c r="BV507" s="17" t="n">
        <f aca="false">SQRT(($B507-BV$401)^2+($C507-BV$402)^2+($D507-BV$403)^2)</f>
        <v>3.06311219883405</v>
      </c>
      <c r="BW507" s="17" t="n">
        <f aca="false">SQRT(($B507-BW$401)^2+($C507-BW$402)^2+($D507-BW$403)^2)</f>
        <v>1.11622681659834</v>
      </c>
      <c r="BX507" s="17" t="n">
        <f aca="false">SQRT(($B507-BX$401)^2+($C507-BX$402)^2+($D507-BX$403)^2)</f>
        <v>5.30052496138845</v>
      </c>
      <c r="BY507" s="17" t="n">
        <f aca="false">SQRT(($B507-BY$401)^2+($C507-BY$402)^2+($D507-BY$403)^2)</f>
        <v>1.59423924872139</v>
      </c>
      <c r="BZ507" s="63" t="n">
        <f aca="false">MATCH(MIN(BT507:BY507),BT507:BY507,0)</f>
        <v>2</v>
      </c>
      <c r="CB507" s="17" t="n">
        <f aca="false">SQRT(($B507-CB$401)^2+($C507-CB$402)^2+($D507-CB$403)^2)</f>
        <v>7.56932502628819</v>
      </c>
      <c r="CC507" s="17" t="n">
        <f aca="false">SQRT(($B507-CC$401)^2+($C507-CC$402)^2+($D507-CC$403)^2)</f>
        <v>0.332059959132522</v>
      </c>
      <c r="CD507" s="17" t="n">
        <f aca="false">SQRT(($B507-CD$401)^2+($C507-CD$402)^2+($D507-CD$403)^2)</f>
        <v>3.06311219883405</v>
      </c>
      <c r="CE507" s="17" t="n">
        <f aca="false">SQRT(($B507-CE$401)^2+($C507-CE$402)^2+($D507-CE$403)^2)</f>
        <v>1.11622681659834</v>
      </c>
      <c r="CF507" s="17" t="n">
        <f aca="false">SQRT(($B507-CF$401)^2+($C507-CF$402)^2+($D507-CF$403)^2)</f>
        <v>5.30052496138845</v>
      </c>
      <c r="CG507" s="17" t="n">
        <f aca="false">SQRT(($B507-CG$401)^2+($C507-CG$402)^2+($D507-CG$403)^2)</f>
        <v>1.59423924872139</v>
      </c>
      <c r="CH507" s="63" t="n">
        <f aca="false">MATCH(MIN(CB507:CG507),CB507:CG507,0)</f>
        <v>2</v>
      </c>
      <c r="CJ507" s="17" t="n">
        <f aca="false">SQRT(($B507-CJ$401)^2+($C507-CJ$402)^2+($D507-CJ$403)^2)</f>
        <v>7.56932502628819</v>
      </c>
      <c r="CK507" s="17" t="n">
        <f aca="false">SQRT(($B507-CK$401)^2+($C507-CK$402)^2+($D507-CK$403)^2)</f>
        <v>0.332059959132522</v>
      </c>
      <c r="CL507" s="17" t="n">
        <f aca="false">SQRT(($B507-CL$401)^2+($C507-CL$402)^2+($D507-CL$403)^2)</f>
        <v>3.06311219883405</v>
      </c>
      <c r="CM507" s="17" t="n">
        <f aca="false">SQRT(($B507-CM$401)^2+($C507-CM$402)^2+($D507-CM$403)^2)</f>
        <v>1.11622681659834</v>
      </c>
      <c r="CN507" s="17" t="n">
        <f aca="false">SQRT(($B507-CN$401)^2+($C507-CN$402)^2+($D507-CN$403)^2)</f>
        <v>5.30052496138845</v>
      </c>
      <c r="CO507" s="17" t="n">
        <f aca="false">SQRT(($B507-CO$401)^2+($C507-CO$402)^2+($D507-CO$403)^2)</f>
        <v>1.59423924872139</v>
      </c>
      <c r="CP507" s="63" t="n">
        <f aca="false">MATCH(MIN(CJ507:CO507),CJ507:CO507,0)</f>
        <v>2</v>
      </c>
      <c r="CR507" s="17" t="n">
        <f aca="false">SQRT(($B507-CR$401)^2+($C507-CR$402)^2+($D507-CR$403)^2)</f>
        <v>7.56932502628819</v>
      </c>
      <c r="CS507" s="17" t="n">
        <f aca="false">SQRT(($B507-CS$401)^2+($C507-CS$402)^2+($D507-CS$403)^2)</f>
        <v>0.332059959132522</v>
      </c>
      <c r="CT507" s="17" t="n">
        <f aca="false">SQRT(($B507-CT$401)^2+($C507-CT$402)^2+($D507-CT$403)^2)</f>
        <v>3.06311219883405</v>
      </c>
      <c r="CU507" s="17" t="n">
        <f aca="false">SQRT(($B507-CU$401)^2+($C507-CU$402)^2+($D507-CU$403)^2)</f>
        <v>1.11622681659834</v>
      </c>
      <c r="CV507" s="17" t="n">
        <f aca="false">SQRT(($B507-CV$401)^2+($C507-CV$402)^2+($D507-CV$403)^2)</f>
        <v>5.30052496138845</v>
      </c>
      <c r="CW507" s="17" t="n">
        <f aca="false">SQRT(($B507-CW$401)^2+($C507-CW$402)^2+($D507-CW$403)^2)</f>
        <v>1.59423924872139</v>
      </c>
      <c r="CX507" s="63" t="n">
        <f aca="false">MATCH(MIN(CR507:CW507),CR507:CW507,0)</f>
        <v>2</v>
      </c>
      <c r="CZ507" s="17" t="n">
        <f aca="false">SQRT(($B507-CZ$401)^2+($C507-CZ$402)^2+($D507-CZ$403)^2)</f>
        <v>7.56932502628819</v>
      </c>
      <c r="DA507" s="17" t="n">
        <f aca="false">SQRT(($B507-DA$401)^2+($C507-DA$402)^2+($D507-DA$403)^2)</f>
        <v>0.332059959132522</v>
      </c>
      <c r="DB507" s="17" t="n">
        <f aca="false">SQRT(($B507-DB$401)^2+($C507-DB$402)^2+($D507-DB$403)^2)</f>
        <v>3.06311219883405</v>
      </c>
      <c r="DC507" s="17" t="n">
        <f aca="false">SQRT(($B507-DC$401)^2+($C507-DC$402)^2+($D507-DC$403)^2)</f>
        <v>1.11622681659834</v>
      </c>
      <c r="DD507" s="17" t="n">
        <f aca="false">SQRT(($B507-DD$401)^2+($C507-DD$402)^2+($D507-DD$403)^2)</f>
        <v>5.30052496138845</v>
      </c>
      <c r="DE507" s="17" t="n">
        <f aca="false">SQRT(($B507-DE$401)^2+($C507-DE$402)^2+($D507-DE$403)^2)</f>
        <v>1.59423924872139</v>
      </c>
      <c r="DF507" s="63" t="n">
        <f aca="false">MATCH(MIN(CZ507:DE507),CZ507:DE507,0)</f>
        <v>2</v>
      </c>
      <c r="DH507" s="17" t="n">
        <f aca="false">SQRT(($B507-DH$401)^2+($C507-DH$402)^2+($D507-DH$403)^2)</f>
        <v>7.56932502628819</v>
      </c>
      <c r="DI507" s="17" t="n">
        <f aca="false">SQRT(($B507-DI$401)^2+($C507-DI$402)^2+($D507-DI$403)^2)</f>
        <v>0.332059959132522</v>
      </c>
      <c r="DJ507" s="17" t="n">
        <f aca="false">SQRT(($B507-DJ$401)^2+($C507-DJ$402)^2+($D507-DJ$403)^2)</f>
        <v>3.06311219883405</v>
      </c>
      <c r="DK507" s="17" t="n">
        <f aca="false">SQRT(($B507-DK$401)^2+($C507-DK$402)^2+($D507-DK$403)^2)</f>
        <v>1.11622681659834</v>
      </c>
      <c r="DL507" s="17" t="n">
        <f aca="false">SQRT(($B507-DL$401)^2+($C507-DL$402)^2+($D507-DL$403)^2)</f>
        <v>5.30052496138845</v>
      </c>
      <c r="DM507" s="17" t="n">
        <f aca="false">SQRT(($B507-DM$401)^2+($C507-DM$402)^2+($D507-DM$403)^2)</f>
        <v>1.59423924872139</v>
      </c>
      <c r="DN507" s="63" t="n">
        <f aca="false">MATCH(MIN(DH507:DM507),DH507:DM507,0)</f>
        <v>2</v>
      </c>
    </row>
    <row r="508" customFormat="false" ht="15" hidden="false" customHeight="false" outlineLevel="0" collapsed="false">
      <c r="A508" s="36" t="str">
        <f aca="false">KMeans_Data!A105</f>
        <v>South Waziristan</v>
      </c>
      <c r="B508" s="17" t="n">
        <f aca="false">KMeans_Data!H105</f>
        <v>-0.936148467409663</v>
      </c>
      <c r="C508" s="17" t="n">
        <f aca="false">KMeans_Data!I105</f>
        <v>-0.672650545388274</v>
      </c>
      <c r="D508" s="17" t="n">
        <f aca="false">KMeans_Data!J105</f>
        <v>-0.503247915463979</v>
      </c>
      <c r="E508" s="63" t="n">
        <f aca="false">DN508</f>
        <v>2</v>
      </c>
      <c r="F508" s="38" t="n">
        <f aca="false">($B508-INDEX($L$401:$Q$401,E508))^2+($C508-INDEX($L$402:$Q$402,E508))^2+($D508-INDEX($L$403:$Q$403,E508))^2</f>
        <v>0.362577316751838</v>
      </c>
      <c r="G508" s="17" t="n">
        <f aca="false">IF(COUNTIF(Distance_Matrix!$E$12:$DQ$12,$E508)&lt;=1,0,SUMIF(Distance_Matrix!$E$12:$DQ$12,$E508,Distance_Matrix!$E$114:$DQ$114)/(COUNTIF(Distance_Matrix!$E$12:$DQ$12,$E508)-1))</f>
        <v>0.743714908379332</v>
      </c>
      <c r="H508" s="17" t="n">
        <f aca="false">MIN(IF(1=$E508,1E+099,IF(COUNTIF(Distance_Matrix!$E$12:$DQ$12,1)=0,1E+099,SUMIF(Distance_Matrix!$E$12:$DQ$12,1,Distance_Matrix!$E$114:$DQ$114)/COUNTIF(Distance_Matrix!$E$12:$DQ$12,1))),IF(2=$E508,1E+099,IF(COUNTIF(Distance_Matrix!$E$12:$DQ$12,2)=0,1E+099,SUMIF(Distance_Matrix!$E$12:$DQ$12,2,Distance_Matrix!$E$114:$DQ$114)/COUNTIF(Distance_Matrix!$E$12:$DQ$12,2))),IF(3=$E508,1E+099,IF(COUNTIF(Distance_Matrix!$E$12:$DQ$12,3)=0,1E+099,SUMIF(Distance_Matrix!$E$12:$DQ$12,3,Distance_Matrix!$E$114:$DQ$114)/COUNTIF(Distance_Matrix!$E$12:$DQ$12,3))),IF(4=$E508,1E+099,IF(COUNTIF(Distance_Matrix!$E$12:$DQ$12,4)=0,1E+099,SUMIF(Distance_Matrix!$E$12:$DQ$12,4,Distance_Matrix!$E$114:$DQ$114)/COUNTIF(Distance_Matrix!$E$12:$DQ$12,4))),IF(5=$E508,1E+099,IF(COUNTIF(Distance_Matrix!$E$12:$DQ$12,5)=0,1E+099,SUMIF(Distance_Matrix!$E$12:$DQ$12,5,Distance_Matrix!$E$114:$DQ$114)/COUNTIF(Distance_Matrix!$E$12:$DQ$12,5))),IF(6=$E508,1E+099,IF(COUNTIF(Distance_Matrix!$E$12:$DQ$12,6)=0,1E+099,SUMIF(Distance_Matrix!$E$12:$DQ$12,6,Distance_Matrix!$E$114:$DQ$114)/COUNTIF(Distance_Matrix!$E$12:$DQ$12,6))))</f>
        <v>1.17216038870705</v>
      </c>
      <c r="I508" s="17" t="n">
        <f aca="false">IF(COUNTIF(Distance_Matrix!$E$12:$DQ$12,$E508)&lt;=1,0,(H508-G508)/MAX(G508,H508))</f>
        <v>0.365517794710938</v>
      </c>
      <c r="X508" s="17" t="n">
        <f aca="false">SQRT(($B508-X$401)^2+($C508-X$402)^2+($D508-X$403)^2)</f>
        <v>7.35074458018159</v>
      </c>
      <c r="Y508" s="17" t="n">
        <f aca="false">SQRT(($B508-Y$401)^2+($C508-Y$402)^2+($D508-Y$403)^2)</f>
        <v>1.31166682367238</v>
      </c>
      <c r="Z508" s="17" t="n">
        <f aca="false">SQRT(($B508-Z$401)^2+($C508-Z$402)^2+($D508-Z$403)^2)</f>
        <v>2.98249119106413</v>
      </c>
      <c r="AA508" s="17" t="n">
        <f aca="false">SQRT(($B508-AA$401)^2+($C508-AA$402)^2+($D508-AA$403)^2)</f>
        <v>1.78638138331685</v>
      </c>
      <c r="AB508" s="17" t="n">
        <f aca="false">SQRT(($B508-AB$401)^2+($C508-AB$402)^2+($D508-AB$403)^2)</f>
        <v>5.28823570004042</v>
      </c>
      <c r="AC508" s="17" t="n">
        <f aca="false">SQRT(($B508-AC$401)^2+($C508-AC$402)^2+($D508-AC$403)^2)</f>
        <v>1.26889401986957</v>
      </c>
      <c r="AD508" s="63" t="n">
        <f aca="false">MATCH(MIN(X508:AC508),X508:AC508,0)</f>
        <v>6</v>
      </c>
      <c r="AF508" s="17" t="n">
        <f aca="false">SQRT(($B508-AF$401)^2+($C508-AF$402)^2+($D508-AF$403)^2)</f>
        <v>7.24043905371835</v>
      </c>
      <c r="AG508" s="17" t="n">
        <f aca="false">SQRT(($B508-AG$401)^2+($C508-AG$402)^2+($D508-AG$403)^2)</f>
        <v>0.706593810107723</v>
      </c>
      <c r="AH508" s="17" t="n">
        <f aca="false">SQRT(($B508-AH$401)^2+($C508-AH$402)^2+($D508-AH$403)^2)</f>
        <v>2.70125182006677</v>
      </c>
      <c r="AI508" s="17" t="n">
        <f aca="false">SQRT(($B508-AI$401)^2+($C508-AI$402)^2+($D508-AI$403)^2)</f>
        <v>1.14396696282633</v>
      </c>
      <c r="AJ508" s="17" t="n">
        <f aca="false">SQRT(($B508-AJ$401)^2+($C508-AJ$402)^2+($D508-AJ$403)^2)</f>
        <v>4.97383553423927</v>
      </c>
      <c r="AK508" s="17" t="n">
        <f aca="false">SQRT(($B508-AK$401)^2+($C508-AK$402)^2+($D508-AK$403)^2)</f>
        <v>0.993127854173731</v>
      </c>
      <c r="AL508" s="63" t="n">
        <f aca="false">MATCH(MIN(AF508:AK508),AF508:AK508,0)</f>
        <v>2</v>
      </c>
      <c r="AN508" s="17" t="n">
        <f aca="false">SQRT(($B508-AN$401)^2+($C508-AN$402)^2+($D508-AN$403)^2)</f>
        <v>7.24043905371835</v>
      </c>
      <c r="AO508" s="17" t="n">
        <f aca="false">SQRT(($B508-AO$401)^2+($C508-AO$402)^2+($D508-AO$403)^2)</f>
        <v>0.665522019392764</v>
      </c>
      <c r="AP508" s="17" t="n">
        <f aca="false">SQRT(($B508-AP$401)^2+($C508-AP$402)^2+($D508-AP$403)^2)</f>
        <v>2.66994258608728</v>
      </c>
      <c r="AQ508" s="17" t="n">
        <f aca="false">SQRT(($B508-AQ$401)^2+($C508-AQ$402)^2+($D508-AQ$403)^2)</f>
        <v>1.13726163893944</v>
      </c>
      <c r="AR508" s="17" t="n">
        <f aca="false">SQRT(($B508-AR$401)^2+($C508-AR$402)^2+($D508-AR$403)^2)</f>
        <v>4.97383553423927</v>
      </c>
      <c r="AS508" s="17" t="n">
        <f aca="false">SQRT(($B508-AS$401)^2+($C508-AS$402)^2+($D508-AS$403)^2)</f>
        <v>1.03694532865614</v>
      </c>
      <c r="AT508" s="63" t="n">
        <f aca="false">MATCH(MIN(AN508:AS508),AN508:AS508,0)</f>
        <v>2</v>
      </c>
      <c r="AV508" s="17" t="n">
        <f aca="false">SQRT(($B508-AV$401)^2+($C508-AV$402)^2+($D508-AV$403)^2)</f>
        <v>7.24043905371835</v>
      </c>
      <c r="AW508" s="17" t="n">
        <f aca="false">SQRT(($B508-AW$401)^2+($C508-AW$402)^2+($D508-AW$403)^2)</f>
        <v>0.633563758100854</v>
      </c>
      <c r="AX508" s="17" t="n">
        <f aca="false">SQRT(($B508-AX$401)^2+($C508-AX$402)^2+($D508-AX$403)^2)</f>
        <v>2.66994258608728</v>
      </c>
      <c r="AY508" s="17" t="n">
        <f aca="false">SQRT(($B508-AY$401)^2+($C508-AY$402)^2+($D508-AY$403)^2)</f>
        <v>1.13726163893944</v>
      </c>
      <c r="AZ508" s="17" t="n">
        <f aca="false">SQRT(($B508-AZ$401)^2+($C508-AZ$402)^2+($D508-AZ$403)^2)</f>
        <v>4.97383553423927</v>
      </c>
      <c r="BA508" s="17" t="n">
        <f aca="false">SQRT(($B508-BA$401)^2+($C508-BA$402)^2+($D508-BA$403)^2)</f>
        <v>1.06315067298829</v>
      </c>
      <c r="BB508" s="63" t="n">
        <f aca="false">MATCH(MIN(AV508:BA508),AV508:BA508,0)</f>
        <v>2</v>
      </c>
      <c r="BD508" s="17" t="n">
        <f aca="false">SQRT(($B508-BD$401)^2+($C508-BD$402)^2+($D508-BD$403)^2)</f>
        <v>7.24043905371835</v>
      </c>
      <c r="BE508" s="17" t="n">
        <f aca="false">SQRT(($B508-BE$401)^2+($C508-BE$402)^2+($D508-BE$403)^2)</f>
        <v>0.602143933583855</v>
      </c>
      <c r="BF508" s="17" t="n">
        <f aca="false">SQRT(($B508-BF$401)^2+($C508-BF$402)^2+($D508-BF$403)^2)</f>
        <v>2.66994258608728</v>
      </c>
      <c r="BG508" s="17" t="n">
        <f aca="false">SQRT(($B508-BG$401)^2+($C508-BG$402)^2+($D508-BG$403)^2)</f>
        <v>1.13726163893944</v>
      </c>
      <c r="BH508" s="17" t="n">
        <f aca="false">SQRT(($B508-BH$401)^2+($C508-BH$402)^2+($D508-BH$403)^2)</f>
        <v>4.97383553423927</v>
      </c>
      <c r="BI508" s="17" t="n">
        <f aca="false">SQRT(($B508-BI$401)^2+($C508-BI$402)^2+($D508-BI$403)^2)</f>
        <v>1.09019088806601</v>
      </c>
      <c r="BJ508" s="63" t="n">
        <f aca="false">MATCH(MIN(BD508:BI508),BD508:BI508,0)</f>
        <v>2</v>
      </c>
      <c r="BL508" s="17" t="n">
        <f aca="false">SQRT(($B508-BL$401)^2+($C508-BL$402)^2+($D508-BL$403)^2)</f>
        <v>7.24043905371835</v>
      </c>
      <c r="BM508" s="17" t="n">
        <f aca="false">SQRT(($B508-BM$401)^2+($C508-BM$402)^2+($D508-BM$403)^2)</f>
        <v>0.602143933583855</v>
      </c>
      <c r="BN508" s="17" t="n">
        <f aca="false">SQRT(($B508-BN$401)^2+($C508-BN$402)^2+($D508-BN$403)^2)</f>
        <v>2.66994258608728</v>
      </c>
      <c r="BO508" s="17" t="n">
        <f aca="false">SQRT(($B508-BO$401)^2+($C508-BO$402)^2+($D508-BO$403)^2)</f>
        <v>1.13726163893944</v>
      </c>
      <c r="BP508" s="17" t="n">
        <f aca="false">SQRT(($B508-BP$401)^2+($C508-BP$402)^2+($D508-BP$403)^2)</f>
        <v>4.97383553423927</v>
      </c>
      <c r="BQ508" s="17" t="n">
        <f aca="false">SQRT(($B508-BQ$401)^2+($C508-BQ$402)^2+($D508-BQ$403)^2)</f>
        <v>1.09019088806601</v>
      </c>
      <c r="BR508" s="63" t="n">
        <f aca="false">MATCH(MIN(BL508:BQ508),BL508:BQ508,0)</f>
        <v>2</v>
      </c>
      <c r="BT508" s="17" t="n">
        <f aca="false">SQRT(($B508-BT$401)^2+($C508-BT$402)^2+($D508-BT$403)^2)</f>
        <v>7.24043905371835</v>
      </c>
      <c r="BU508" s="17" t="n">
        <f aca="false">SQRT(($B508-BU$401)^2+($C508-BU$402)^2+($D508-BU$403)^2)</f>
        <v>0.602143933583855</v>
      </c>
      <c r="BV508" s="17" t="n">
        <f aca="false">SQRT(($B508-BV$401)^2+($C508-BV$402)^2+($D508-BV$403)^2)</f>
        <v>2.66994258608728</v>
      </c>
      <c r="BW508" s="17" t="n">
        <f aca="false">SQRT(($B508-BW$401)^2+($C508-BW$402)^2+($D508-BW$403)^2)</f>
        <v>1.13726163893944</v>
      </c>
      <c r="BX508" s="17" t="n">
        <f aca="false">SQRT(($B508-BX$401)^2+($C508-BX$402)^2+($D508-BX$403)^2)</f>
        <v>4.97383553423927</v>
      </c>
      <c r="BY508" s="17" t="n">
        <f aca="false">SQRT(($B508-BY$401)^2+($C508-BY$402)^2+($D508-BY$403)^2)</f>
        <v>1.09019088806601</v>
      </c>
      <c r="BZ508" s="63" t="n">
        <f aca="false">MATCH(MIN(BT508:BY508),BT508:BY508,0)</f>
        <v>2</v>
      </c>
      <c r="CB508" s="17" t="n">
        <f aca="false">SQRT(($B508-CB$401)^2+($C508-CB$402)^2+($D508-CB$403)^2)</f>
        <v>7.24043905371835</v>
      </c>
      <c r="CC508" s="17" t="n">
        <f aca="false">SQRT(($B508-CC$401)^2+($C508-CC$402)^2+($D508-CC$403)^2)</f>
        <v>0.602143933583855</v>
      </c>
      <c r="CD508" s="17" t="n">
        <f aca="false">SQRT(($B508-CD$401)^2+($C508-CD$402)^2+($D508-CD$403)^2)</f>
        <v>2.66994258608728</v>
      </c>
      <c r="CE508" s="17" t="n">
        <f aca="false">SQRT(($B508-CE$401)^2+($C508-CE$402)^2+($D508-CE$403)^2)</f>
        <v>1.13726163893944</v>
      </c>
      <c r="CF508" s="17" t="n">
        <f aca="false">SQRT(($B508-CF$401)^2+($C508-CF$402)^2+($D508-CF$403)^2)</f>
        <v>4.97383553423927</v>
      </c>
      <c r="CG508" s="17" t="n">
        <f aca="false">SQRT(($B508-CG$401)^2+($C508-CG$402)^2+($D508-CG$403)^2)</f>
        <v>1.09019088806601</v>
      </c>
      <c r="CH508" s="63" t="n">
        <f aca="false">MATCH(MIN(CB508:CG508),CB508:CG508,0)</f>
        <v>2</v>
      </c>
      <c r="CJ508" s="17" t="n">
        <f aca="false">SQRT(($B508-CJ$401)^2+($C508-CJ$402)^2+($D508-CJ$403)^2)</f>
        <v>7.24043905371835</v>
      </c>
      <c r="CK508" s="17" t="n">
        <f aca="false">SQRT(($B508-CK$401)^2+($C508-CK$402)^2+($D508-CK$403)^2)</f>
        <v>0.602143933583855</v>
      </c>
      <c r="CL508" s="17" t="n">
        <f aca="false">SQRT(($B508-CL$401)^2+($C508-CL$402)^2+($D508-CL$403)^2)</f>
        <v>2.66994258608728</v>
      </c>
      <c r="CM508" s="17" t="n">
        <f aca="false">SQRT(($B508-CM$401)^2+($C508-CM$402)^2+($D508-CM$403)^2)</f>
        <v>1.13726163893944</v>
      </c>
      <c r="CN508" s="17" t="n">
        <f aca="false">SQRT(($B508-CN$401)^2+($C508-CN$402)^2+($D508-CN$403)^2)</f>
        <v>4.97383553423927</v>
      </c>
      <c r="CO508" s="17" t="n">
        <f aca="false">SQRT(($B508-CO$401)^2+($C508-CO$402)^2+($D508-CO$403)^2)</f>
        <v>1.09019088806601</v>
      </c>
      <c r="CP508" s="63" t="n">
        <f aca="false">MATCH(MIN(CJ508:CO508),CJ508:CO508,0)</f>
        <v>2</v>
      </c>
      <c r="CR508" s="17" t="n">
        <f aca="false">SQRT(($B508-CR$401)^2+($C508-CR$402)^2+($D508-CR$403)^2)</f>
        <v>7.24043905371835</v>
      </c>
      <c r="CS508" s="17" t="n">
        <f aca="false">SQRT(($B508-CS$401)^2+($C508-CS$402)^2+($D508-CS$403)^2)</f>
        <v>0.602143933583855</v>
      </c>
      <c r="CT508" s="17" t="n">
        <f aca="false">SQRT(($B508-CT$401)^2+($C508-CT$402)^2+($D508-CT$403)^2)</f>
        <v>2.66994258608728</v>
      </c>
      <c r="CU508" s="17" t="n">
        <f aca="false">SQRT(($B508-CU$401)^2+($C508-CU$402)^2+($D508-CU$403)^2)</f>
        <v>1.13726163893944</v>
      </c>
      <c r="CV508" s="17" t="n">
        <f aca="false">SQRT(($B508-CV$401)^2+($C508-CV$402)^2+($D508-CV$403)^2)</f>
        <v>4.97383553423927</v>
      </c>
      <c r="CW508" s="17" t="n">
        <f aca="false">SQRT(($B508-CW$401)^2+($C508-CW$402)^2+($D508-CW$403)^2)</f>
        <v>1.09019088806601</v>
      </c>
      <c r="CX508" s="63" t="n">
        <f aca="false">MATCH(MIN(CR508:CW508),CR508:CW508,0)</f>
        <v>2</v>
      </c>
      <c r="CZ508" s="17" t="n">
        <f aca="false">SQRT(($B508-CZ$401)^2+($C508-CZ$402)^2+($D508-CZ$403)^2)</f>
        <v>7.24043905371835</v>
      </c>
      <c r="DA508" s="17" t="n">
        <f aca="false">SQRT(($B508-DA$401)^2+($C508-DA$402)^2+($D508-DA$403)^2)</f>
        <v>0.602143933583855</v>
      </c>
      <c r="DB508" s="17" t="n">
        <f aca="false">SQRT(($B508-DB$401)^2+($C508-DB$402)^2+($D508-DB$403)^2)</f>
        <v>2.66994258608728</v>
      </c>
      <c r="DC508" s="17" t="n">
        <f aca="false">SQRT(($B508-DC$401)^2+($C508-DC$402)^2+($D508-DC$403)^2)</f>
        <v>1.13726163893944</v>
      </c>
      <c r="DD508" s="17" t="n">
        <f aca="false">SQRT(($B508-DD$401)^2+($C508-DD$402)^2+($D508-DD$403)^2)</f>
        <v>4.97383553423927</v>
      </c>
      <c r="DE508" s="17" t="n">
        <f aca="false">SQRT(($B508-DE$401)^2+($C508-DE$402)^2+($D508-DE$403)^2)</f>
        <v>1.09019088806601</v>
      </c>
      <c r="DF508" s="63" t="n">
        <f aca="false">MATCH(MIN(CZ508:DE508),CZ508:DE508,0)</f>
        <v>2</v>
      </c>
      <c r="DH508" s="17" t="n">
        <f aca="false">SQRT(($B508-DH$401)^2+($C508-DH$402)^2+($D508-DH$403)^2)</f>
        <v>7.24043905371835</v>
      </c>
      <c r="DI508" s="17" t="n">
        <f aca="false">SQRT(($B508-DI$401)^2+($C508-DI$402)^2+($D508-DI$403)^2)</f>
        <v>0.602143933583855</v>
      </c>
      <c r="DJ508" s="17" t="n">
        <f aca="false">SQRT(($B508-DJ$401)^2+($C508-DJ$402)^2+($D508-DJ$403)^2)</f>
        <v>2.66994258608728</v>
      </c>
      <c r="DK508" s="17" t="n">
        <f aca="false">SQRT(($B508-DK$401)^2+($C508-DK$402)^2+($D508-DK$403)^2)</f>
        <v>1.13726163893944</v>
      </c>
      <c r="DL508" s="17" t="n">
        <f aca="false">SQRT(($B508-DL$401)^2+($C508-DL$402)^2+($D508-DL$403)^2)</f>
        <v>4.97383553423927</v>
      </c>
      <c r="DM508" s="17" t="n">
        <f aca="false">SQRT(($B508-DM$401)^2+($C508-DM$402)^2+($D508-DM$403)^2)</f>
        <v>1.09019088806601</v>
      </c>
      <c r="DN508" s="63" t="n">
        <f aca="false">MATCH(MIN(DH508:DM508),DH508:DM508,0)</f>
        <v>2</v>
      </c>
    </row>
    <row r="509" customFormat="false" ht="15" hidden="false" customHeight="false" outlineLevel="0" collapsed="false">
      <c r="A509" s="36" t="str">
        <f aca="false">KMeans_Data!A106</f>
        <v>Toba Tek Singh</v>
      </c>
      <c r="B509" s="17" t="n">
        <f aca="false">KMeans_Data!H106</f>
        <v>-0.997451006048382</v>
      </c>
      <c r="C509" s="17" t="n">
        <f aca="false">KMeans_Data!I106</f>
        <v>-0.672650545388274</v>
      </c>
      <c r="D509" s="17" t="n">
        <f aca="false">KMeans_Data!J106</f>
        <v>-1.14564411633355</v>
      </c>
      <c r="E509" s="63" t="n">
        <f aca="false">DN509</f>
        <v>2</v>
      </c>
      <c r="F509" s="38" t="n">
        <f aca="false">($B509-INDEX($L$401:$Q$401,E509))^2+($C509-INDEX($L$402:$Q$402,E509))^2+($D509-INDEX($L$403:$Q$403,E509))^2</f>
        <v>0.0763706050157996</v>
      </c>
      <c r="G509" s="17" t="n">
        <f aca="false">IF(COUNTIF(Distance_Matrix!$E$12:$DQ$12,$E509)&lt;=1,0,SUMIF(Distance_Matrix!$E$12:$DQ$12,$E509,Distance_Matrix!$E$115:$DQ$115)/(COUNTIF(Distance_Matrix!$E$12:$DQ$12,$E509)-1))</f>
        <v>0.502554946180919</v>
      </c>
      <c r="H509" s="17" t="n">
        <f aca="false">MIN(IF(1=$E509,1E+099,IF(COUNTIF(Distance_Matrix!$E$12:$DQ$12,1)=0,1E+099,SUMIF(Distance_Matrix!$E$12:$DQ$12,1,Distance_Matrix!$E$115:$DQ$115)/COUNTIF(Distance_Matrix!$E$12:$DQ$12,1))),IF(2=$E509,1E+099,IF(COUNTIF(Distance_Matrix!$E$12:$DQ$12,2)=0,1E+099,SUMIF(Distance_Matrix!$E$12:$DQ$12,2,Distance_Matrix!$E$115:$DQ$115)/COUNTIF(Distance_Matrix!$E$12:$DQ$12,2))),IF(3=$E509,1E+099,IF(COUNTIF(Distance_Matrix!$E$12:$DQ$12,3)=0,1E+099,SUMIF(Distance_Matrix!$E$12:$DQ$12,3,Distance_Matrix!$E$115:$DQ$115)/COUNTIF(Distance_Matrix!$E$12:$DQ$12,3))),IF(4=$E509,1E+099,IF(COUNTIF(Distance_Matrix!$E$12:$DQ$12,4)=0,1E+099,SUMIF(Distance_Matrix!$E$12:$DQ$12,4,Distance_Matrix!$E$115:$DQ$115)/COUNTIF(Distance_Matrix!$E$12:$DQ$12,4))),IF(5=$E509,1E+099,IF(COUNTIF(Distance_Matrix!$E$12:$DQ$12,5)=0,1E+099,SUMIF(Distance_Matrix!$E$12:$DQ$12,5,Distance_Matrix!$E$115:$DQ$115)/COUNTIF(Distance_Matrix!$E$12:$DQ$12,5))),IF(6=$E509,1E+099,IF(COUNTIF(Distance_Matrix!$E$12:$DQ$12,6)=0,1E+099,SUMIF(Distance_Matrix!$E$12:$DQ$12,6,Distance_Matrix!$E$115:$DQ$115)/COUNTIF(Distance_Matrix!$E$12:$DQ$12,6))))</f>
        <v>1.22728705224919</v>
      </c>
      <c r="I509" s="17" t="n">
        <f aca="false">IF(COUNTIF(Distance_Matrix!$E$12:$DQ$12,$E509)&lt;=1,0,(H509-G509)/MAX(G509,H509))</f>
        <v>0.590515564178805</v>
      </c>
      <c r="X509" s="17" t="n">
        <f aca="false">SQRT(($B509-X$401)^2+($C509-X$402)^2+($D509-X$403)^2)</f>
        <v>7.73251123919131</v>
      </c>
      <c r="Y509" s="17" t="n">
        <f aca="false">SQRT(($B509-Y$401)^2+($C509-Y$402)^2+($D509-Y$403)^2)</f>
        <v>1.08228697575494</v>
      </c>
      <c r="Z509" s="17" t="n">
        <f aca="false">SQRT(($B509-Z$401)^2+($C509-Z$402)^2+($D509-Z$403)^2)</f>
        <v>3.47697824473286</v>
      </c>
      <c r="AA509" s="17" t="n">
        <f aca="false">SQRT(($B509-AA$401)^2+($C509-AA$402)^2+($D509-AA$403)^2)</f>
        <v>1.72516170820429</v>
      </c>
      <c r="AB509" s="17" t="n">
        <f aca="false">SQRT(($B509-AB$401)^2+($C509-AB$402)^2+($D509-AB$403)^2)</f>
        <v>5.69921936556099</v>
      </c>
      <c r="AC509" s="17" t="n">
        <f aca="false">SQRT(($B509-AC$401)^2+($C509-AC$402)^2+($D509-AC$403)^2)</f>
        <v>1.87317797328281</v>
      </c>
      <c r="AD509" s="63" t="n">
        <f aca="false">MATCH(MIN(X509:AC509),X509:AC509,0)</f>
        <v>2</v>
      </c>
      <c r="AF509" s="17" t="n">
        <f aca="false">SQRT(($B509-AF$401)^2+($C509-AF$402)^2+($D509-AF$403)^2)</f>
        <v>7.60349800302251</v>
      </c>
      <c r="AG509" s="17" t="n">
        <f aca="false">SQRT(($B509-AG$401)^2+($C509-AG$402)^2+($D509-AG$403)^2)</f>
        <v>0.327920613880385</v>
      </c>
      <c r="AH509" s="17" t="n">
        <f aca="false">SQRT(($B509-AH$401)^2+($C509-AH$402)^2+($D509-AH$403)^2)</f>
        <v>3.1278441663635</v>
      </c>
      <c r="AI509" s="17" t="n">
        <f aca="false">SQRT(($B509-AI$401)^2+($C509-AI$402)^2+($D509-AI$403)^2)</f>
        <v>1.18530003053688</v>
      </c>
      <c r="AJ509" s="17" t="n">
        <f aca="false">SQRT(($B509-AJ$401)^2+($C509-AJ$402)^2+($D509-AJ$403)^2)</f>
        <v>5.33580292287274</v>
      </c>
      <c r="AK509" s="17" t="n">
        <f aca="false">SQRT(($B509-AK$401)^2+($C509-AK$402)^2+($D509-AK$403)^2)</f>
        <v>1.53364699503438</v>
      </c>
      <c r="AL509" s="63" t="n">
        <f aca="false">MATCH(MIN(AF509:AK509),AF509:AK509,0)</f>
        <v>2</v>
      </c>
      <c r="AN509" s="17" t="n">
        <f aca="false">SQRT(($B509-AN$401)^2+($C509-AN$402)^2+($D509-AN$403)^2)</f>
        <v>7.60349800302251</v>
      </c>
      <c r="AO509" s="17" t="n">
        <f aca="false">SQRT(($B509-AO$401)^2+($C509-AO$402)^2+($D509-AO$403)^2)</f>
        <v>0.29031940550091</v>
      </c>
      <c r="AP509" s="17" t="n">
        <f aca="false">SQRT(($B509-AP$401)^2+($C509-AP$402)^2+($D509-AP$403)^2)</f>
        <v>3.09712789897577</v>
      </c>
      <c r="AQ509" s="17" t="n">
        <f aca="false">SQRT(($B509-AQ$401)^2+($C509-AQ$402)^2+($D509-AQ$403)^2)</f>
        <v>1.17534539104579</v>
      </c>
      <c r="AR509" s="17" t="n">
        <f aca="false">SQRT(($B509-AR$401)^2+($C509-AR$402)^2+($D509-AR$403)^2)</f>
        <v>5.33580292287274</v>
      </c>
      <c r="AS509" s="17" t="n">
        <f aca="false">SQRT(($B509-AS$401)^2+($C509-AS$402)^2+($D509-AS$403)^2)</f>
        <v>1.57320056407696</v>
      </c>
      <c r="AT509" s="63" t="n">
        <f aca="false">MATCH(MIN(AN509:AS509),AN509:AS509,0)</f>
        <v>2</v>
      </c>
      <c r="AV509" s="17" t="n">
        <f aca="false">SQRT(($B509-AV$401)^2+($C509-AV$402)^2+($D509-AV$403)^2)</f>
        <v>7.60349800302251</v>
      </c>
      <c r="AW509" s="17" t="n">
        <f aca="false">SQRT(($B509-AW$401)^2+($C509-AW$402)^2+($D509-AW$403)^2)</f>
        <v>0.279990619134297</v>
      </c>
      <c r="AX509" s="17" t="n">
        <f aca="false">SQRT(($B509-AX$401)^2+($C509-AX$402)^2+($D509-AX$403)^2)</f>
        <v>3.09712789897577</v>
      </c>
      <c r="AY509" s="17" t="n">
        <f aca="false">SQRT(($B509-AY$401)^2+($C509-AY$402)^2+($D509-AY$403)^2)</f>
        <v>1.17534539104579</v>
      </c>
      <c r="AZ509" s="17" t="n">
        <f aca="false">SQRT(($B509-AZ$401)^2+($C509-AZ$402)^2+($D509-AZ$403)^2)</f>
        <v>5.33580292287274</v>
      </c>
      <c r="BA509" s="17" t="n">
        <f aca="false">SQRT(($B509-BA$401)^2+($C509-BA$402)^2+($D509-BA$403)^2)</f>
        <v>1.59850174881821</v>
      </c>
      <c r="BB509" s="63" t="n">
        <f aca="false">MATCH(MIN(AV509:BA509),AV509:BA509,0)</f>
        <v>2</v>
      </c>
      <c r="BD509" s="17" t="n">
        <f aca="false">SQRT(($B509-BD$401)^2+($C509-BD$402)^2+($D509-BD$403)^2)</f>
        <v>7.60349800302251</v>
      </c>
      <c r="BE509" s="17" t="n">
        <f aca="false">SQRT(($B509-BE$401)^2+($C509-BE$402)^2+($D509-BE$403)^2)</f>
        <v>0.276352320445839</v>
      </c>
      <c r="BF509" s="17" t="n">
        <f aca="false">SQRT(($B509-BF$401)^2+($C509-BF$402)^2+($D509-BF$403)^2)</f>
        <v>3.09712789897577</v>
      </c>
      <c r="BG509" s="17" t="n">
        <f aca="false">SQRT(($B509-BG$401)^2+($C509-BG$402)^2+($D509-BG$403)^2)</f>
        <v>1.17534539104579</v>
      </c>
      <c r="BH509" s="17" t="n">
        <f aca="false">SQRT(($B509-BH$401)^2+($C509-BH$402)^2+($D509-BH$403)^2)</f>
        <v>5.33580292287274</v>
      </c>
      <c r="BI509" s="17" t="n">
        <f aca="false">SQRT(($B509-BI$401)^2+($C509-BI$402)^2+($D509-BI$403)^2)</f>
        <v>1.62388609238856</v>
      </c>
      <c r="BJ509" s="63" t="n">
        <f aca="false">MATCH(MIN(BD509:BI509),BD509:BI509,0)</f>
        <v>2</v>
      </c>
      <c r="BL509" s="17" t="n">
        <f aca="false">SQRT(($B509-BL$401)^2+($C509-BL$402)^2+($D509-BL$403)^2)</f>
        <v>7.60349800302251</v>
      </c>
      <c r="BM509" s="17" t="n">
        <f aca="false">SQRT(($B509-BM$401)^2+($C509-BM$402)^2+($D509-BM$403)^2)</f>
        <v>0.276352320445839</v>
      </c>
      <c r="BN509" s="17" t="n">
        <f aca="false">SQRT(($B509-BN$401)^2+($C509-BN$402)^2+($D509-BN$403)^2)</f>
        <v>3.09712789897577</v>
      </c>
      <c r="BO509" s="17" t="n">
        <f aca="false">SQRT(($B509-BO$401)^2+($C509-BO$402)^2+($D509-BO$403)^2)</f>
        <v>1.17534539104579</v>
      </c>
      <c r="BP509" s="17" t="n">
        <f aca="false">SQRT(($B509-BP$401)^2+($C509-BP$402)^2+($D509-BP$403)^2)</f>
        <v>5.33580292287274</v>
      </c>
      <c r="BQ509" s="17" t="n">
        <f aca="false">SQRT(($B509-BQ$401)^2+($C509-BQ$402)^2+($D509-BQ$403)^2)</f>
        <v>1.62388609238856</v>
      </c>
      <c r="BR509" s="63" t="n">
        <f aca="false">MATCH(MIN(BL509:BQ509),BL509:BQ509,0)</f>
        <v>2</v>
      </c>
      <c r="BT509" s="17" t="n">
        <f aca="false">SQRT(($B509-BT$401)^2+($C509-BT$402)^2+($D509-BT$403)^2)</f>
        <v>7.60349800302251</v>
      </c>
      <c r="BU509" s="17" t="n">
        <f aca="false">SQRT(($B509-BU$401)^2+($C509-BU$402)^2+($D509-BU$403)^2)</f>
        <v>0.276352320445839</v>
      </c>
      <c r="BV509" s="17" t="n">
        <f aca="false">SQRT(($B509-BV$401)^2+($C509-BV$402)^2+($D509-BV$403)^2)</f>
        <v>3.09712789897577</v>
      </c>
      <c r="BW509" s="17" t="n">
        <f aca="false">SQRT(($B509-BW$401)^2+($C509-BW$402)^2+($D509-BW$403)^2)</f>
        <v>1.17534539104579</v>
      </c>
      <c r="BX509" s="17" t="n">
        <f aca="false">SQRT(($B509-BX$401)^2+($C509-BX$402)^2+($D509-BX$403)^2)</f>
        <v>5.33580292287274</v>
      </c>
      <c r="BY509" s="17" t="n">
        <f aca="false">SQRT(($B509-BY$401)^2+($C509-BY$402)^2+($D509-BY$403)^2)</f>
        <v>1.62388609238856</v>
      </c>
      <c r="BZ509" s="63" t="n">
        <f aca="false">MATCH(MIN(BT509:BY509),BT509:BY509,0)</f>
        <v>2</v>
      </c>
      <c r="CB509" s="17" t="n">
        <f aca="false">SQRT(($B509-CB$401)^2+($C509-CB$402)^2+($D509-CB$403)^2)</f>
        <v>7.60349800302251</v>
      </c>
      <c r="CC509" s="17" t="n">
        <f aca="false">SQRT(($B509-CC$401)^2+($C509-CC$402)^2+($D509-CC$403)^2)</f>
        <v>0.276352320445839</v>
      </c>
      <c r="CD509" s="17" t="n">
        <f aca="false">SQRT(($B509-CD$401)^2+($C509-CD$402)^2+($D509-CD$403)^2)</f>
        <v>3.09712789897577</v>
      </c>
      <c r="CE509" s="17" t="n">
        <f aca="false">SQRT(($B509-CE$401)^2+($C509-CE$402)^2+($D509-CE$403)^2)</f>
        <v>1.17534539104579</v>
      </c>
      <c r="CF509" s="17" t="n">
        <f aca="false">SQRT(($B509-CF$401)^2+($C509-CF$402)^2+($D509-CF$403)^2)</f>
        <v>5.33580292287274</v>
      </c>
      <c r="CG509" s="17" t="n">
        <f aca="false">SQRT(($B509-CG$401)^2+($C509-CG$402)^2+($D509-CG$403)^2)</f>
        <v>1.62388609238856</v>
      </c>
      <c r="CH509" s="63" t="n">
        <f aca="false">MATCH(MIN(CB509:CG509),CB509:CG509,0)</f>
        <v>2</v>
      </c>
      <c r="CJ509" s="17" t="n">
        <f aca="false">SQRT(($B509-CJ$401)^2+($C509-CJ$402)^2+($D509-CJ$403)^2)</f>
        <v>7.60349800302251</v>
      </c>
      <c r="CK509" s="17" t="n">
        <f aca="false">SQRT(($B509-CK$401)^2+($C509-CK$402)^2+($D509-CK$403)^2)</f>
        <v>0.276352320445839</v>
      </c>
      <c r="CL509" s="17" t="n">
        <f aca="false">SQRT(($B509-CL$401)^2+($C509-CL$402)^2+($D509-CL$403)^2)</f>
        <v>3.09712789897577</v>
      </c>
      <c r="CM509" s="17" t="n">
        <f aca="false">SQRT(($B509-CM$401)^2+($C509-CM$402)^2+($D509-CM$403)^2)</f>
        <v>1.17534539104579</v>
      </c>
      <c r="CN509" s="17" t="n">
        <f aca="false">SQRT(($B509-CN$401)^2+($C509-CN$402)^2+($D509-CN$403)^2)</f>
        <v>5.33580292287274</v>
      </c>
      <c r="CO509" s="17" t="n">
        <f aca="false">SQRT(($B509-CO$401)^2+($C509-CO$402)^2+($D509-CO$403)^2)</f>
        <v>1.62388609238856</v>
      </c>
      <c r="CP509" s="63" t="n">
        <f aca="false">MATCH(MIN(CJ509:CO509),CJ509:CO509,0)</f>
        <v>2</v>
      </c>
      <c r="CR509" s="17" t="n">
        <f aca="false">SQRT(($B509-CR$401)^2+($C509-CR$402)^2+($D509-CR$403)^2)</f>
        <v>7.60349800302251</v>
      </c>
      <c r="CS509" s="17" t="n">
        <f aca="false">SQRT(($B509-CS$401)^2+($C509-CS$402)^2+($D509-CS$403)^2)</f>
        <v>0.276352320445839</v>
      </c>
      <c r="CT509" s="17" t="n">
        <f aca="false">SQRT(($B509-CT$401)^2+($C509-CT$402)^2+($D509-CT$403)^2)</f>
        <v>3.09712789897577</v>
      </c>
      <c r="CU509" s="17" t="n">
        <f aca="false">SQRT(($B509-CU$401)^2+($C509-CU$402)^2+($D509-CU$403)^2)</f>
        <v>1.17534539104579</v>
      </c>
      <c r="CV509" s="17" t="n">
        <f aca="false">SQRT(($B509-CV$401)^2+($C509-CV$402)^2+($D509-CV$403)^2)</f>
        <v>5.33580292287274</v>
      </c>
      <c r="CW509" s="17" t="n">
        <f aca="false">SQRT(($B509-CW$401)^2+($C509-CW$402)^2+($D509-CW$403)^2)</f>
        <v>1.62388609238856</v>
      </c>
      <c r="CX509" s="63" t="n">
        <f aca="false">MATCH(MIN(CR509:CW509),CR509:CW509,0)</f>
        <v>2</v>
      </c>
      <c r="CZ509" s="17" t="n">
        <f aca="false">SQRT(($B509-CZ$401)^2+($C509-CZ$402)^2+($D509-CZ$403)^2)</f>
        <v>7.60349800302251</v>
      </c>
      <c r="DA509" s="17" t="n">
        <f aca="false">SQRT(($B509-DA$401)^2+($C509-DA$402)^2+($D509-DA$403)^2)</f>
        <v>0.276352320445839</v>
      </c>
      <c r="DB509" s="17" t="n">
        <f aca="false">SQRT(($B509-DB$401)^2+($C509-DB$402)^2+($D509-DB$403)^2)</f>
        <v>3.09712789897577</v>
      </c>
      <c r="DC509" s="17" t="n">
        <f aca="false">SQRT(($B509-DC$401)^2+($C509-DC$402)^2+($D509-DC$403)^2)</f>
        <v>1.17534539104579</v>
      </c>
      <c r="DD509" s="17" t="n">
        <f aca="false">SQRT(($B509-DD$401)^2+($C509-DD$402)^2+($D509-DD$403)^2)</f>
        <v>5.33580292287274</v>
      </c>
      <c r="DE509" s="17" t="n">
        <f aca="false">SQRT(($B509-DE$401)^2+($C509-DE$402)^2+($D509-DE$403)^2)</f>
        <v>1.62388609238856</v>
      </c>
      <c r="DF509" s="63" t="n">
        <f aca="false">MATCH(MIN(CZ509:DE509),CZ509:DE509,0)</f>
        <v>2</v>
      </c>
      <c r="DH509" s="17" t="n">
        <f aca="false">SQRT(($B509-DH$401)^2+($C509-DH$402)^2+($D509-DH$403)^2)</f>
        <v>7.60349800302251</v>
      </c>
      <c r="DI509" s="17" t="n">
        <f aca="false">SQRT(($B509-DI$401)^2+($C509-DI$402)^2+($D509-DI$403)^2)</f>
        <v>0.276352320445839</v>
      </c>
      <c r="DJ509" s="17" t="n">
        <f aca="false">SQRT(($B509-DJ$401)^2+($C509-DJ$402)^2+($D509-DJ$403)^2)</f>
        <v>3.09712789897577</v>
      </c>
      <c r="DK509" s="17" t="n">
        <f aca="false">SQRT(($B509-DK$401)^2+($C509-DK$402)^2+($D509-DK$403)^2)</f>
        <v>1.17534539104579</v>
      </c>
      <c r="DL509" s="17" t="n">
        <f aca="false">SQRT(($B509-DL$401)^2+($C509-DL$402)^2+($D509-DL$403)^2)</f>
        <v>5.33580292287274</v>
      </c>
      <c r="DM509" s="17" t="n">
        <f aca="false">SQRT(($B509-DM$401)^2+($C509-DM$402)^2+($D509-DM$403)^2)</f>
        <v>1.62388609238856</v>
      </c>
      <c r="DN509" s="63" t="n">
        <f aca="false">MATCH(MIN(DH509:DM509),DH509:DM509,0)</f>
        <v>2</v>
      </c>
    </row>
    <row r="510" customFormat="false" ht="15" hidden="false" customHeight="false" outlineLevel="0" collapsed="false">
      <c r="A510" s="36" t="str">
        <f aca="false">KMeans_Data!A107</f>
        <v>Khanewal</v>
      </c>
      <c r="B510" s="17" t="n">
        <f aca="false">KMeans_Data!H107</f>
        <v>-0.997451006048382</v>
      </c>
      <c r="C510" s="17" t="n">
        <f aca="false">KMeans_Data!I107</f>
        <v>-0.672650545388274</v>
      </c>
      <c r="D510" s="17" t="n">
        <f aca="false">KMeans_Data!J107</f>
        <v>-1.14564411633355</v>
      </c>
      <c r="E510" s="63" t="n">
        <f aca="false">DN510</f>
        <v>2</v>
      </c>
      <c r="F510" s="38" t="n">
        <f aca="false">($B510-INDEX($L$401:$Q$401,E510))^2+($C510-INDEX($L$402:$Q$402,E510))^2+($D510-INDEX($L$403:$Q$403,E510))^2</f>
        <v>0.0763706050157996</v>
      </c>
      <c r="G510" s="17" t="n">
        <f aca="false">IF(COUNTIF(Distance_Matrix!$E$12:$DQ$12,$E510)&lt;=1,0,SUMIF(Distance_Matrix!$E$12:$DQ$12,$E510,Distance_Matrix!$E$116:$DQ$116)/(COUNTIF(Distance_Matrix!$E$12:$DQ$12,$E510)-1))</f>
        <v>0.502554946180919</v>
      </c>
      <c r="H510" s="17" t="n">
        <f aca="false">MIN(IF(1=$E510,1E+099,IF(COUNTIF(Distance_Matrix!$E$12:$DQ$12,1)=0,1E+099,SUMIF(Distance_Matrix!$E$12:$DQ$12,1,Distance_Matrix!$E$116:$DQ$116)/COUNTIF(Distance_Matrix!$E$12:$DQ$12,1))),IF(2=$E510,1E+099,IF(COUNTIF(Distance_Matrix!$E$12:$DQ$12,2)=0,1E+099,SUMIF(Distance_Matrix!$E$12:$DQ$12,2,Distance_Matrix!$E$116:$DQ$116)/COUNTIF(Distance_Matrix!$E$12:$DQ$12,2))),IF(3=$E510,1E+099,IF(COUNTIF(Distance_Matrix!$E$12:$DQ$12,3)=0,1E+099,SUMIF(Distance_Matrix!$E$12:$DQ$12,3,Distance_Matrix!$E$116:$DQ$116)/COUNTIF(Distance_Matrix!$E$12:$DQ$12,3))),IF(4=$E510,1E+099,IF(COUNTIF(Distance_Matrix!$E$12:$DQ$12,4)=0,1E+099,SUMIF(Distance_Matrix!$E$12:$DQ$12,4,Distance_Matrix!$E$116:$DQ$116)/COUNTIF(Distance_Matrix!$E$12:$DQ$12,4))),IF(5=$E510,1E+099,IF(COUNTIF(Distance_Matrix!$E$12:$DQ$12,5)=0,1E+099,SUMIF(Distance_Matrix!$E$12:$DQ$12,5,Distance_Matrix!$E$116:$DQ$116)/COUNTIF(Distance_Matrix!$E$12:$DQ$12,5))),IF(6=$E510,1E+099,IF(COUNTIF(Distance_Matrix!$E$12:$DQ$12,6)=0,1E+099,SUMIF(Distance_Matrix!$E$12:$DQ$12,6,Distance_Matrix!$E$116:$DQ$116)/COUNTIF(Distance_Matrix!$E$12:$DQ$12,6))))</f>
        <v>1.22728705224919</v>
      </c>
      <c r="I510" s="17" t="n">
        <f aca="false">IF(COUNTIF(Distance_Matrix!$E$12:$DQ$12,$E510)&lt;=1,0,(H510-G510)/MAX(G510,H510))</f>
        <v>0.590515564178805</v>
      </c>
      <c r="X510" s="17" t="n">
        <f aca="false">SQRT(($B510-X$401)^2+($C510-X$402)^2+($D510-X$403)^2)</f>
        <v>7.73251123919131</v>
      </c>
      <c r="Y510" s="17" t="n">
        <f aca="false">SQRT(($B510-Y$401)^2+($C510-Y$402)^2+($D510-Y$403)^2)</f>
        <v>1.08228697575494</v>
      </c>
      <c r="Z510" s="17" t="n">
        <f aca="false">SQRT(($B510-Z$401)^2+($C510-Z$402)^2+($D510-Z$403)^2)</f>
        <v>3.47697824473286</v>
      </c>
      <c r="AA510" s="17" t="n">
        <f aca="false">SQRT(($B510-AA$401)^2+($C510-AA$402)^2+($D510-AA$403)^2)</f>
        <v>1.72516170820429</v>
      </c>
      <c r="AB510" s="17" t="n">
        <f aca="false">SQRT(($B510-AB$401)^2+($C510-AB$402)^2+($D510-AB$403)^2)</f>
        <v>5.69921936556099</v>
      </c>
      <c r="AC510" s="17" t="n">
        <f aca="false">SQRT(($B510-AC$401)^2+($C510-AC$402)^2+($D510-AC$403)^2)</f>
        <v>1.87317797328281</v>
      </c>
      <c r="AD510" s="63" t="n">
        <f aca="false">MATCH(MIN(X510:AC510),X510:AC510,0)</f>
        <v>2</v>
      </c>
      <c r="AF510" s="17" t="n">
        <f aca="false">SQRT(($B510-AF$401)^2+($C510-AF$402)^2+($D510-AF$403)^2)</f>
        <v>7.60349800302251</v>
      </c>
      <c r="AG510" s="17" t="n">
        <f aca="false">SQRT(($B510-AG$401)^2+($C510-AG$402)^2+($D510-AG$403)^2)</f>
        <v>0.327920613880385</v>
      </c>
      <c r="AH510" s="17" t="n">
        <f aca="false">SQRT(($B510-AH$401)^2+($C510-AH$402)^2+($D510-AH$403)^2)</f>
        <v>3.1278441663635</v>
      </c>
      <c r="AI510" s="17" t="n">
        <f aca="false">SQRT(($B510-AI$401)^2+($C510-AI$402)^2+($D510-AI$403)^2)</f>
        <v>1.18530003053688</v>
      </c>
      <c r="AJ510" s="17" t="n">
        <f aca="false">SQRT(($B510-AJ$401)^2+($C510-AJ$402)^2+($D510-AJ$403)^2)</f>
        <v>5.33580292287274</v>
      </c>
      <c r="AK510" s="17" t="n">
        <f aca="false">SQRT(($B510-AK$401)^2+($C510-AK$402)^2+($D510-AK$403)^2)</f>
        <v>1.53364699503438</v>
      </c>
      <c r="AL510" s="63" t="n">
        <f aca="false">MATCH(MIN(AF510:AK510),AF510:AK510,0)</f>
        <v>2</v>
      </c>
      <c r="AN510" s="17" t="n">
        <f aca="false">SQRT(($B510-AN$401)^2+($C510-AN$402)^2+($D510-AN$403)^2)</f>
        <v>7.60349800302251</v>
      </c>
      <c r="AO510" s="17" t="n">
        <f aca="false">SQRT(($B510-AO$401)^2+($C510-AO$402)^2+($D510-AO$403)^2)</f>
        <v>0.29031940550091</v>
      </c>
      <c r="AP510" s="17" t="n">
        <f aca="false">SQRT(($B510-AP$401)^2+($C510-AP$402)^2+($D510-AP$403)^2)</f>
        <v>3.09712789897577</v>
      </c>
      <c r="AQ510" s="17" t="n">
        <f aca="false">SQRT(($B510-AQ$401)^2+($C510-AQ$402)^2+($D510-AQ$403)^2)</f>
        <v>1.17534539104579</v>
      </c>
      <c r="AR510" s="17" t="n">
        <f aca="false">SQRT(($B510-AR$401)^2+($C510-AR$402)^2+($D510-AR$403)^2)</f>
        <v>5.33580292287274</v>
      </c>
      <c r="AS510" s="17" t="n">
        <f aca="false">SQRT(($B510-AS$401)^2+($C510-AS$402)^2+($D510-AS$403)^2)</f>
        <v>1.57320056407696</v>
      </c>
      <c r="AT510" s="63" t="n">
        <f aca="false">MATCH(MIN(AN510:AS510),AN510:AS510,0)</f>
        <v>2</v>
      </c>
      <c r="AV510" s="17" t="n">
        <f aca="false">SQRT(($B510-AV$401)^2+($C510-AV$402)^2+($D510-AV$403)^2)</f>
        <v>7.60349800302251</v>
      </c>
      <c r="AW510" s="17" t="n">
        <f aca="false">SQRT(($B510-AW$401)^2+($C510-AW$402)^2+($D510-AW$403)^2)</f>
        <v>0.279990619134297</v>
      </c>
      <c r="AX510" s="17" t="n">
        <f aca="false">SQRT(($B510-AX$401)^2+($C510-AX$402)^2+($D510-AX$403)^2)</f>
        <v>3.09712789897577</v>
      </c>
      <c r="AY510" s="17" t="n">
        <f aca="false">SQRT(($B510-AY$401)^2+($C510-AY$402)^2+($D510-AY$403)^2)</f>
        <v>1.17534539104579</v>
      </c>
      <c r="AZ510" s="17" t="n">
        <f aca="false">SQRT(($B510-AZ$401)^2+($C510-AZ$402)^2+($D510-AZ$403)^2)</f>
        <v>5.33580292287274</v>
      </c>
      <c r="BA510" s="17" t="n">
        <f aca="false">SQRT(($B510-BA$401)^2+($C510-BA$402)^2+($D510-BA$403)^2)</f>
        <v>1.59850174881821</v>
      </c>
      <c r="BB510" s="63" t="n">
        <f aca="false">MATCH(MIN(AV510:BA510),AV510:BA510,0)</f>
        <v>2</v>
      </c>
      <c r="BD510" s="17" t="n">
        <f aca="false">SQRT(($B510-BD$401)^2+($C510-BD$402)^2+($D510-BD$403)^2)</f>
        <v>7.60349800302251</v>
      </c>
      <c r="BE510" s="17" t="n">
        <f aca="false">SQRT(($B510-BE$401)^2+($C510-BE$402)^2+($D510-BE$403)^2)</f>
        <v>0.276352320445839</v>
      </c>
      <c r="BF510" s="17" t="n">
        <f aca="false">SQRT(($B510-BF$401)^2+($C510-BF$402)^2+($D510-BF$403)^2)</f>
        <v>3.09712789897577</v>
      </c>
      <c r="BG510" s="17" t="n">
        <f aca="false">SQRT(($B510-BG$401)^2+($C510-BG$402)^2+($D510-BG$403)^2)</f>
        <v>1.17534539104579</v>
      </c>
      <c r="BH510" s="17" t="n">
        <f aca="false">SQRT(($B510-BH$401)^2+($C510-BH$402)^2+($D510-BH$403)^2)</f>
        <v>5.33580292287274</v>
      </c>
      <c r="BI510" s="17" t="n">
        <f aca="false">SQRT(($B510-BI$401)^2+($C510-BI$402)^2+($D510-BI$403)^2)</f>
        <v>1.62388609238856</v>
      </c>
      <c r="BJ510" s="63" t="n">
        <f aca="false">MATCH(MIN(BD510:BI510),BD510:BI510,0)</f>
        <v>2</v>
      </c>
      <c r="BL510" s="17" t="n">
        <f aca="false">SQRT(($B510-BL$401)^2+($C510-BL$402)^2+($D510-BL$403)^2)</f>
        <v>7.60349800302251</v>
      </c>
      <c r="BM510" s="17" t="n">
        <f aca="false">SQRT(($B510-BM$401)^2+($C510-BM$402)^2+($D510-BM$403)^2)</f>
        <v>0.276352320445839</v>
      </c>
      <c r="BN510" s="17" t="n">
        <f aca="false">SQRT(($B510-BN$401)^2+($C510-BN$402)^2+($D510-BN$403)^2)</f>
        <v>3.09712789897577</v>
      </c>
      <c r="BO510" s="17" t="n">
        <f aca="false">SQRT(($B510-BO$401)^2+($C510-BO$402)^2+($D510-BO$403)^2)</f>
        <v>1.17534539104579</v>
      </c>
      <c r="BP510" s="17" t="n">
        <f aca="false">SQRT(($B510-BP$401)^2+($C510-BP$402)^2+($D510-BP$403)^2)</f>
        <v>5.33580292287274</v>
      </c>
      <c r="BQ510" s="17" t="n">
        <f aca="false">SQRT(($B510-BQ$401)^2+($C510-BQ$402)^2+($D510-BQ$403)^2)</f>
        <v>1.62388609238856</v>
      </c>
      <c r="BR510" s="63" t="n">
        <f aca="false">MATCH(MIN(BL510:BQ510),BL510:BQ510,0)</f>
        <v>2</v>
      </c>
      <c r="BT510" s="17" t="n">
        <f aca="false">SQRT(($B510-BT$401)^2+($C510-BT$402)^2+($D510-BT$403)^2)</f>
        <v>7.60349800302251</v>
      </c>
      <c r="BU510" s="17" t="n">
        <f aca="false">SQRT(($B510-BU$401)^2+($C510-BU$402)^2+($D510-BU$403)^2)</f>
        <v>0.276352320445839</v>
      </c>
      <c r="BV510" s="17" t="n">
        <f aca="false">SQRT(($B510-BV$401)^2+($C510-BV$402)^2+($D510-BV$403)^2)</f>
        <v>3.09712789897577</v>
      </c>
      <c r="BW510" s="17" t="n">
        <f aca="false">SQRT(($B510-BW$401)^2+($C510-BW$402)^2+($D510-BW$403)^2)</f>
        <v>1.17534539104579</v>
      </c>
      <c r="BX510" s="17" t="n">
        <f aca="false">SQRT(($B510-BX$401)^2+($C510-BX$402)^2+($D510-BX$403)^2)</f>
        <v>5.33580292287274</v>
      </c>
      <c r="BY510" s="17" t="n">
        <f aca="false">SQRT(($B510-BY$401)^2+($C510-BY$402)^2+($D510-BY$403)^2)</f>
        <v>1.62388609238856</v>
      </c>
      <c r="BZ510" s="63" t="n">
        <f aca="false">MATCH(MIN(BT510:BY510),BT510:BY510,0)</f>
        <v>2</v>
      </c>
      <c r="CB510" s="17" t="n">
        <f aca="false">SQRT(($B510-CB$401)^2+($C510-CB$402)^2+($D510-CB$403)^2)</f>
        <v>7.60349800302251</v>
      </c>
      <c r="CC510" s="17" t="n">
        <f aca="false">SQRT(($B510-CC$401)^2+($C510-CC$402)^2+($D510-CC$403)^2)</f>
        <v>0.276352320445839</v>
      </c>
      <c r="CD510" s="17" t="n">
        <f aca="false">SQRT(($B510-CD$401)^2+($C510-CD$402)^2+($D510-CD$403)^2)</f>
        <v>3.09712789897577</v>
      </c>
      <c r="CE510" s="17" t="n">
        <f aca="false">SQRT(($B510-CE$401)^2+($C510-CE$402)^2+($D510-CE$403)^2)</f>
        <v>1.17534539104579</v>
      </c>
      <c r="CF510" s="17" t="n">
        <f aca="false">SQRT(($B510-CF$401)^2+($C510-CF$402)^2+($D510-CF$403)^2)</f>
        <v>5.33580292287274</v>
      </c>
      <c r="CG510" s="17" t="n">
        <f aca="false">SQRT(($B510-CG$401)^2+($C510-CG$402)^2+($D510-CG$403)^2)</f>
        <v>1.62388609238856</v>
      </c>
      <c r="CH510" s="63" t="n">
        <f aca="false">MATCH(MIN(CB510:CG510),CB510:CG510,0)</f>
        <v>2</v>
      </c>
      <c r="CJ510" s="17" t="n">
        <f aca="false">SQRT(($B510-CJ$401)^2+($C510-CJ$402)^2+($D510-CJ$403)^2)</f>
        <v>7.60349800302251</v>
      </c>
      <c r="CK510" s="17" t="n">
        <f aca="false">SQRT(($B510-CK$401)^2+($C510-CK$402)^2+($D510-CK$403)^2)</f>
        <v>0.276352320445839</v>
      </c>
      <c r="CL510" s="17" t="n">
        <f aca="false">SQRT(($B510-CL$401)^2+($C510-CL$402)^2+($D510-CL$403)^2)</f>
        <v>3.09712789897577</v>
      </c>
      <c r="CM510" s="17" t="n">
        <f aca="false">SQRT(($B510-CM$401)^2+($C510-CM$402)^2+($D510-CM$403)^2)</f>
        <v>1.17534539104579</v>
      </c>
      <c r="CN510" s="17" t="n">
        <f aca="false">SQRT(($B510-CN$401)^2+($C510-CN$402)^2+($D510-CN$403)^2)</f>
        <v>5.33580292287274</v>
      </c>
      <c r="CO510" s="17" t="n">
        <f aca="false">SQRT(($B510-CO$401)^2+($C510-CO$402)^2+($D510-CO$403)^2)</f>
        <v>1.62388609238856</v>
      </c>
      <c r="CP510" s="63" t="n">
        <f aca="false">MATCH(MIN(CJ510:CO510),CJ510:CO510,0)</f>
        <v>2</v>
      </c>
      <c r="CR510" s="17" t="n">
        <f aca="false">SQRT(($B510-CR$401)^2+($C510-CR$402)^2+($D510-CR$403)^2)</f>
        <v>7.60349800302251</v>
      </c>
      <c r="CS510" s="17" t="n">
        <f aca="false">SQRT(($B510-CS$401)^2+($C510-CS$402)^2+($D510-CS$403)^2)</f>
        <v>0.276352320445839</v>
      </c>
      <c r="CT510" s="17" t="n">
        <f aca="false">SQRT(($B510-CT$401)^2+($C510-CT$402)^2+($D510-CT$403)^2)</f>
        <v>3.09712789897577</v>
      </c>
      <c r="CU510" s="17" t="n">
        <f aca="false">SQRT(($B510-CU$401)^2+($C510-CU$402)^2+($D510-CU$403)^2)</f>
        <v>1.17534539104579</v>
      </c>
      <c r="CV510" s="17" t="n">
        <f aca="false">SQRT(($B510-CV$401)^2+($C510-CV$402)^2+($D510-CV$403)^2)</f>
        <v>5.33580292287274</v>
      </c>
      <c r="CW510" s="17" t="n">
        <f aca="false">SQRT(($B510-CW$401)^2+($C510-CW$402)^2+($D510-CW$403)^2)</f>
        <v>1.62388609238856</v>
      </c>
      <c r="CX510" s="63" t="n">
        <f aca="false">MATCH(MIN(CR510:CW510),CR510:CW510,0)</f>
        <v>2</v>
      </c>
      <c r="CZ510" s="17" t="n">
        <f aca="false">SQRT(($B510-CZ$401)^2+($C510-CZ$402)^2+($D510-CZ$403)^2)</f>
        <v>7.60349800302251</v>
      </c>
      <c r="DA510" s="17" t="n">
        <f aca="false">SQRT(($B510-DA$401)^2+($C510-DA$402)^2+($D510-DA$403)^2)</f>
        <v>0.276352320445839</v>
      </c>
      <c r="DB510" s="17" t="n">
        <f aca="false">SQRT(($B510-DB$401)^2+($C510-DB$402)^2+($D510-DB$403)^2)</f>
        <v>3.09712789897577</v>
      </c>
      <c r="DC510" s="17" t="n">
        <f aca="false">SQRT(($B510-DC$401)^2+($C510-DC$402)^2+($D510-DC$403)^2)</f>
        <v>1.17534539104579</v>
      </c>
      <c r="DD510" s="17" t="n">
        <f aca="false">SQRT(($B510-DD$401)^2+($C510-DD$402)^2+($D510-DD$403)^2)</f>
        <v>5.33580292287274</v>
      </c>
      <c r="DE510" s="17" t="n">
        <f aca="false">SQRT(($B510-DE$401)^2+($C510-DE$402)^2+($D510-DE$403)^2)</f>
        <v>1.62388609238856</v>
      </c>
      <c r="DF510" s="63" t="n">
        <f aca="false">MATCH(MIN(CZ510:DE510),CZ510:DE510,0)</f>
        <v>2</v>
      </c>
      <c r="DH510" s="17" t="n">
        <f aca="false">SQRT(($B510-DH$401)^2+($C510-DH$402)^2+($D510-DH$403)^2)</f>
        <v>7.60349800302251</v>
      </c>
      <c r="DI510" s="17" t="n">
        <f aca="false">SQRT(($B510-DI$401)^2+($C510-DI$402)^2+($D510-DI$403)^2)</f>
        <v>0.276352320445839</v>
      </c>
      <c r="DJ510" s="17" t="n">
        <f aca="false">SQRT(($B510-DJ$401)^2+($C510-DJ$402)^2+($D510-DJ$403)^2)</f>
        <v>3.09712789897577</v>
      </c>
      <c r="DK510" s="17" t="n">
        <f aca="false">SQRT(($B510-DK$401)^2+($C510-DK$402)^2+($D510-DK$403)^2)</f>
        <v>1.17534539104579</v>
      </c>
      <c r="DL510" s="17" t="n">
        <f aca="false">SQRT(($B510-DL$401)^2+($C510-DL$402)^2+($D510-DL$403)^2)</f>
        <v>5.33580292287274</v>
      </c>
      <c r="DM510" s="17" t="n">
        <f aca="false">SQRT(($B510-DM$401)^2+($C510-DM$402)^2+($D510-DM$403)^2)</f>
        <v>1.62388609238856</v>
      </c>
      <c r="DN510" s="63" t="n">
        <f aca="false">MATCH(MIN(DH510:DM510),DH510:DM510,0)</f>
        <v>2</v>
      </c>
    </row>
    <row r="511" customFormat="false" ht="15" hidden="false" customHeight="false" outlineLevel="0" collapsed="false">
      <c r="A511" s="36" t="str">
        <f aca="false">KMeans_Data!A108</f>
        <v>Tharparkar</v>
      </c>
      <c r="B511" s="17" t="n">
        <f aca="false">KMeans_Data!H108</f>
        <v>-0.997451006048382</v>
      </c>
      <c r="C511" s="17" t="n">
        <f aca="false">KMeans_Data!I108</f>
        <v>-0.672650545388274</v>
      </c>
      <c r="D511" s="17" t="n">
        <f aca="false">KMeans_Data!J108</f>
        <v>-0.636557171841548</v>
      </c>
      <c r="E511" s="63" t="n">
        <f aca="false">DN511</f>
        <v>2</v>
      </c>
      <c r="F511" s="38" t="n">
        <f aca="false">($B511-INDEX($L$401:$Q$401,E511))^2+($C511-INDEX($L$402:$Q$402,E511))^2+($D511-INDEX($L$403:$Q$403,E511))^2</f>
        <v>0.208458321208891</v>
      </c>
      <c r="G511" s="17" t="n">
        <f aca="false">IF(COUNTIF(Distance_Matrix!$E$12:$DQ$12,$E511)&lt;=1,0,SUMIF(Distance_Matrix!$E$12:$DQ$12,$E511,Distance_Matrix!$E$117:$DQ$117)/(COUNTIF(Distance_Matrix!$E$12:$DQ$12,$E511)-1))</f>
        <v>0.644866658676492</v>
      </c>
      <c r="H511" s="17" t="n">
        <f aca="false">MIN(IF(1=$E511,1E+099,IF(COUNTIF(Distance_Matrix!$E$12:$DQ$12,1)=0,1E+099,SUMIF(Distance_Matrix!$E$12:$DQ$12,1,Distance_Matrix!$E$117:$DQ$117)/COUNTIF(Distance_Matrix!$E$12:$DQ$12,1))),IF(2=$E511,1E+099,IF(COUNTIF(Distance_Matrix!$E$12:$DQ$12,2)=0,1E+099,SUMIF(Distance_Matrix!$E$12:$DQ$12,2,Distance_Matrix!$E$117:$DQ$117)/COUNTIF(Distance_Matrix!$E$12:$DQ$12,2))),IF(3=$E511,1E+099,IF(COUNTIF(Distance_Matrix!$E$12:$DQ$12,3)=0,1E+099,SUMIF(Distance_Matrix!$E$12:$DQ$12,3,Distance_Matrix!$E$117:$DQ$117)/COUNTIF(Distance_Matrix!$E$12:$DQ$12,3))),IF(4=$E511,1E+099,IF(COUNTIF(Distance_Matrix!$E$12:$DQ$12,4)=0,1E+099,SUMIF(Distance_Matrix!$E$12:$DQ$12,4,Distance_Matrix!$E$117:$DQ$117)/COUNTIF(Distance_Matrix!$E$12:$DQ$12,4))),IF(5=$E511,1E+099,IF(COUNTIF(Distance_Matrix!$E$12:$DQ$12,5)=0,1E+099,SUMIF(Distance_Matrix!$E$12:$DQ$12,5,Distance_Matrix!$E$117:$DQ$117)/COUNTIF(Distance_Matrix!$E$12:$DQ$12,5))),IF(6=$E511,1E+099,IF(COUNTIF(Distance_Matrix!$E$12:$DQ$12,6)=0,1E+099,SUMIF(Distance_Matrix!$E$12:$DQ$12,6,Distance_Matrix!$E$117:$DQ$117)/COUNTIF(Distance_Matrix!$E$12:$DQ$12,6))))</f>
        <v>1.22685506529621</v>
      </c>
      <c r="I511" s="17" t="n">
        <f aca="false">IF(COUNTIF(Distance_Matrix!$E$12:$DQ$12,$E511)&lt;=1,0,(H511-G511)/MAX(G511,H511))</f>
        <v>0.474374213452183</v>
      </c>
      <c r="X511" s="17" t="n">
        <f aca="false">SQRT(($B511-X$401)^2+($C511-X$402)^2+($D511-X$403)^2)</f>
        <v>7.45470370665017</v>
      </c>
      <c r="Y511" s="17" t="n">
        <f aca="false">SQRT(($B511-Y$401)^2+($C511-Y$402)^2+($D511-Y$403)^2)</f>
        <v>1.19604122627148</v>
      </c>
      <c r="Z511" s="17" t="n">
        <f aca="false">SQRT(($B511-Z$401)^2+($C511-Z$402)^2+($D511-Z$403)^2)</f>
        <v>3.11206598507103</v>
      </c>
      <c r="AA511" s="17" t="n">
        <f aca="false">SQRT(($B511-AA$401)^2+($C511-AA$402)^2+($D511-AA$403)^2)</f>
        <v>1.7987085468487</v>
      </c>
      <c r="AB511" s="17" t="n">
        <f aca="false">SQRT(($B511-AB$401)^2+($C511-AB$402)^2+($D511-AB$403)^2)</f>
        <v>5.39984587511534</v>
      </c>
      <c r="AC511" s="17" t="n">
        <f aca="false">SQRT(($B511-AC$401)^2+($C511-AC$402)^2+($D511-AC$403)^2)</f>
        <v>1.40055856190245</v>
      </c>
      <c r="AD511" s="63" t="n">
        <f aca="false">MATCH(MIN(X511:AC511),X511:AC511,0)</f>
        <v>2</v>
      </c>
      <c r="AF511" s="17" t="n">
        <f aca="false">SQRT(($B511-AF$401)^2+($C511-AF$402)^2+($D511-AF$403)^2)</f>
        <v>7.34066473157329</v>
      </c>
      <c r="AG511" s="17" t="n">
        <f aca="false">SQRT(($B511-AG$401)^2+($C511-AG$402)^2+($D511-AG$403)^2)</f>
        <v>0.561895982450615</v>
      </c>
      <c r="AH511" s="17" t="n">
        <f aca="false">SQRT(($B511-AH$401)^2+($C511-AH$402)^2+($D511-AH$403)^2)</f>
        <v>2.81312519473354</v>
      </c>
      <c r="AI511" s="17" t="n">
        <f aca="false">SQRT(($B511-AI$401)^2+($C511-AI$402)^2+($D511-AI$403)^2)</f>
        <v>1.16990734154321</v>
      </c>
      <c r="AJ511" s="17" t="n">
        <f aca="false">SQRT(($B511-AJ$401)^2+($C511-AJ$402)^2+($D511-AJ$403)^2)</f>
        <v>5.07375046141807</v>
      </c>
      <c r="AK511" s="17" t="n">
        <f aca="false">SQRT(($B511-AK$401)^2+($C511-AK$402)^2+($D511-AK$403)^2)</f>
        <v>1.1269710610073</v>
      </c>
      <c r="AL511" s="63" t="n">
        <f aca="false">MATCH(MIN(AF511:AK511),AF511:AK511,0)</f>
        <v>2</v>
      </c>
      <c r="AN511" s="17" t="n">
        <f aca="false">SQRT(($B511-AN$401)^2+($C511-AN$402)^2+($D511-AN$403)^2)</f>
        <v>7.34066473157329</v>
      </c>
      <c r="AO511" s="17" t="n">
        <f aca="false">SQRT(($B511-AO$401)^2+($C511-AO$402)^2+($D511-AO$403)^2)</f>
        <v>0.519995797915519</v>
      </c>
      <c r="AP511" s="17" t="n">
        <f aca="false">SQRT(($B511-AP$401)^2+($C511-AP$402)^2+($D511-AP$403)^2)</f>
        <v>2.78173194462316</v>
      </c>
      <c r="AQ511" s="17" t="n">
        <f aca="false">SQRT(($B511-AQ$401)^2+($C511-AQ$402)^2+($D511-AQ$403)^2)</f>
        <v>1.16238365781855</v>
      </c>
      <c r="AR511" s="17" t="n">
        <f aca="false">SQRT(($B511-AR$401)^2+($C511-AR$402)^2+($D511-AR$403)^2)</f>
        <v>5.07375046141807</v>
      </c>
      <c r="AS511" s="17" t="n">
        <f aca="false">SQRT(($B511-AS$401)^2+($C511-AS$402)^2+($D511-AS$403)^2)</f>
        <v>1.17043451976165</v>
      </c>
      <c r="AT511" s="63" t="n">
        <f aca="false">MATCH(MIN(AN511:AS511),AN511:AS511,0)</f>
        <v>2</v>
      </c>
      <c r="AV511" s="17" t="n">
        <f aca="false">SQRT(($B511-AV$401)^2+($C511-AV$402)^2+($D511-AV$403)^2)</f>
        <v>7.34066473157329</v>
      </c>
      <c r="AW511" s="17" t="n">
        <f aca="false">SQRT(($B511-AW$401)^2+($C511-AW$402)^2+($D511-AW$403)^2)</f>
        <v>0.487964247989031</v>
      </c>
      <c r="AX511" s="17" t="n">
        <f aca="false">SQRT(($B511-AX$401)^2+($C511-AX$402)^2+($D511-AX$403)^2)</f>
        <v>2.78173194462316</v>
      </c>
      <c r="AY511" s="17" t="n">
        <f aca="false">SQRT(($B511-AY$401)^2+($C511-AY$402)^2+($D511-AY$403)^2)</f>
        <v>1.16238365781855</v>
      </c>
      <c r="AZ511" s="17" t="n">
        <f aca="false">SQRT(($B511-AZ$401)^2+($C511-AZ$402)^2+($D511-AZ$403)^2)</f>
        <v>5.07375046141807</v>
      </c>
      <c r="BA511" s="17" t="n">
        <f aca="false">SQRT(($B511-BA$401)^2+($C511-BA$402)^2+($D511-BA$403)^2)</f>
        <v>1.19659337797331</v>
      </c>
      <c r="BB511" s="63" t="n">
        <f aca="false">MATCH(MIN(AV511:BA511),AV511:BA511,0)</f>
        <v>2</v>
      </c>
      <c r="BD511" s="17" t="n">
        <f aca="false">SQRT(($B511-BD$401)^2+($C511-BD$402)^2+($D511-BD$403)^2)</f>
        <v>7.34066473157329</v>
      </c>
      <c r="BE511" s="17" t="n">
        <f aca="false">SQRT(($B511-BE$401)^2+($C511-BE$402)^2+($D511-BE$403)^2)</f>
        <v>0.456572361415899</v>
      </c>
      <c r="BF511" s="17" t="n">
        <f aca="false">SQRT(($B511-BF$401)^2+($C511-BF$402)^2+($D511-BF$403)^2)</f>
        <v>2.78173194462316</v>
      </c>
      <c r="BG511" s="17" t="n">
        <f aca="false">SQRT(($B511-BG$401)^2+($C511-BG$402)^2+($D511-BG$403)^2)</f>
        <v>1.16238365781855</v>
      </c>
      <c r="BH511" s="17" t="n">
        <f aca="false">SQRT(($B511-BH$401)^2+($C511-BH$402)^2+($D511-BH$403)^2)</f>
        <v>5.07375046141807</v>
      </c>
      <c r="BI511" s="17" t="n">
        <f aca="false">SQRT(($B511-BI$401)^2+($C511-BI$402)^2+($D511-BI$403)^2)</f>
        <v>1.22345716747342</v>
      </c>
      <c r="BJ511" s="63" t="n">
        <f aca="false">MATCH(MIN(BD511:BI511),BD511:BI511,0)</f>
        <v>2</v>
      </c>
      <c r="BL511" s="17" t="n">
        <f aca="false">SQRT(($B511-BL$401)^2+($C511-BL$402)^2+($D511-BL$403)^2)</f>
        <v>7.34066473157329</v>
      </c>
      <c r="BM511" s="17" t="n">
        <f aca="false">SQRT(($B511-BM$401)^2+($C511-BM$402)^2+($D511-BM$403)^2)</f>
        <v>0.456572361415899</v>
      </c>
      <c r="BN511" s="17" t="n">
        <f aca="false">SQRT(($B511-BN$401)^2+($C511-BN$402)^2+($D511-BN$403)^2)</f>
        <v>2.78173194462316</v>
      </c>
      <c r="BO511" s="17" t="n">
        <f aca="false">SQRT(($B511-BO$401)^2+($C511-BO$402)^2+($D511-BO$403)^2)</f>
        <v>1.16238365781855</v>
      </c>
      <c r="BP511" s="17" t="n">
        <f aca="false">SQRT(($B511-BP$401)^2+($C511-BP$402)^2+($D511-BP$403)^2)</f>
        <v>5.07375046141807</v>
      </c>
      <c r="BQ511" s="17" t="n">
        <f aca="false">SQRT(($B511-BQ$401)^2+($C511-BQ$402)^2+($D511-BQ$403)^2)</f>
        <v>1.22345716747342</v>
      </c>
      <c r="BR511" s="63" t="n">
        <f aca="false">MATCH(MIN(BL511:BQ511),BL511:BQ511,0)</f>
        <v>2</v>
      </c>
      <c r="BT511" s="17" t="n">
        <f aca="false">SQRT(($B511-BT$401)^2+($C511-BT$402)^2+($D511-BT$403)^2)</f>
        <v>7.34066473157329</v>
      </c>
      <c r="BU511" s="17" t="n">
        <f aca="false">SQRT(($B511-BU$401)^2+($C511-BU$402)^2+($D511-BU$403)^2)</f>
        <v>0.456572361415899</v>
      </c>
      <c r="BV511" s="17" t="n">
        <f aca="false">SQRT(($B511-BV$401)^2+($C511-BV$402)^2+($D511-BV$403)^2)</f>
        <v>2.78173194462316</v>
      </c>
      <c r="BW511" s="17" t="n">
        <f aca="false">SQRT(($B511-BW$401)^2+($C511-BW$402)^2+($D511-BW$403)^2)</f>
        <v>1.16238365781855</v>
      </c>
      <c r="BX511" s="17" t="n">
        <f aca="false">SQRT(($B511-BX$401)^2+($C511-BX$402)^2+($D511-BX$403)^2)</f>
        <v>5.07375046141807</v>
      </c>
      <c r="BY511" s="17" t="n">
        <f aca="false">SQRT(($B511-BY$401)^2+($C511-BY$402)^2+($D511-BY$403)^2)</f>
        <v>1.22345716747342</v>
      </c>
      <c r="BZ511" s="63" t="n">
        <f aca="false">MATCH(MIN(BT511:BY511),BT511:BY511,0)</f>
        <v>2</v>
      </c>
      <c r="CB511" s="17" t="n">
        <f aca="false">SQRT(($B511-CB$401)^2+($C511-CB$402)^2+($D511-CB$403)^2)</f>
        <v>7.34066473157329</v>
      </c>
      <c r="CC511" s="17" t="n">
        <f aca="false">SQRT(($B511-CC$401)^2+($C511-CC$402)^2+($D511-CC$403)^2)</f>
        <v>0.456572361415899</v>
      </c>
      <c r="CD511" s="17" t="n">
        <f aca="false">SQRT(($B511-CD$401)^2+($C511-CD$402)^2+($D511-CD$403)^2)</f>
        <v>2.78173194462316</v>
      </c>
      <c r="CE511" s="17" t="n">
        <f aca="false">SQRT(($B511-CE$401)^2+($C511-CE$402)^2+($D511-CE$403)^2)</f>
        <v>1.16238365781855</v>
      </c>
      <c r="CF511" s="17" t="n">
        <f aca="false">SQRT(($B511-CF$401)^2+($C511-CF$402)^2+($D511-CF$403)^2)</f>
        <v>5.07375046141807</v>
      </c>
      <c r="CG511" s="17" t="n">
        <f aca="false">SQRT(($B511-CG$401)^2+($C511-CG$402)^2+($D511-CG$403)^2)</f>
        <v>1.22345716747342</v>
      </c>
      <c r="CH511" s="63" t="n">
        <f aca="false">MATCH(MIN(CB511:CG511),CB511:CG511,0)</f>
        <v>2</v>
      </c>
      <c r="CJ511" s="17" t="n">
        <f aca="false">SQRT(($B511-CJ$401)^2+($C511-CJ$402)^2+($D511-CJ$403)^2)</f>
        <v>7.34066473157329</v>
      </c>
      <c r="CK511" s="17" t="n">
        <f aca="false">SQRT(($B511-CK$401)^2+($C511-CK$402)^2+($D511-CK$403)^2)</f>
        <v>0.456572361415899</v>
      </c>
      <c r="CL511" s="17" t="n">
        <f aca="false">SQRT(($B511-CL$401)^2+($C511-CL$402)^2+($D511-CL$403)^2)</f>
        <v>2.78173194462316</v>
      </c>
      <c r="CM511" s="17" t="n">
        <f aca="false">SQRT(($B511-CM$401)^2+($C511-CM$402)^2+($D511-CM$403)^2)</f>
        <v>1.16238365781855</v>
      </c>
      <c r="CN511" s="17" t="n">
        <f aca="false">SQRT(($B511-CN$401)^2+($C511-CN$402)^2+($D511-CN$403)^2)</f>
        <v>5.07375046141807</v>
      </c>
      <c r="CO511" s="17" t="n">
        <f aca="false">SQRT(($B511-CO$401)^2+($C511-CO$402)^2+($D511-CO$403)^2)</f>
        <v>1.22345716747342</v>
      </c>
      <c r="CP511" s="63" t="n">
        <f aca="false">MATCH(MIN(CJ511:CO511),CJ511:CO511,0)</f>
        <v>2</v>
      </c>
      <c r="CR511" s="17" t="n">
        <f aca="false">SQRT(($B511-CR$401)^2+($C511-CR$402)^2+($D511-CR$403)^2)</f>
        <v>7.34066473157329</v>
      </c>
      <c r="CS511" s="17" t="n">
        <f aca="false">SQRT(($B511-CS$401)^2+($C511-CS$402)^2+($D511-CS$403)^2)</f>
        <v>0.456572361415899</v>
      </c>
      <c r="CT511" s="17" t="n">
        <f aca="false">SQRT(($B511-CT$401)^2+($C511-CT$402)^2+($D511-CT$403)^2)</f>
        <v>2.78173194462316</v>
      </c>
      <c r="CU511" s="17" t="n">
        <f aca="false">SQRT(($B511-CU$401)^2+($C511-CU$402)^2+($D511-CU$403)^2)</f>
        <v>1.16238365781855</v>
      </c>
      <c r="CV511" s="17" t="n">
        <f aca="false">SQRT(($B511-CV$401)^2+($C511-CV$402)^2+($D511-CV$403)^2)</f>
        <v>5.07375046141807</v>
      </c>
      <c r="CW511" s="17" t="n">
        <f aca="false">SQRT(($B511-CW$401)^2+($C511-CW$402)^2+($D511-CW$403)^2)</f>
        <v>1.22345716747342</v>
      </c>
      <c r="CX511" s="63" t="n">
        <f aca="false">MATCH(MIN(CR511:CW511),CR511:CW511,0)</f>
        <v>2</v>
      </c>
      <c r="CZ511" s="17" t="n">
        <f aca="false">SQRT(($B511-CZ$401)^2+($C511-CZ$402)^2+($D511-CZ$403)^2)</f>
        <v>7.34066473157329</v>
      </c>
      <c r="DA511" s="17" t="n">
        <f aca="false">SQRT(($B511-DA$401)^2+($C511-DA$402)^2+($D511-DA$403)^2)</f>
        <v>0.456572361415899</v>
      </c>
      <c r="DB511" s="17" t="n">
        <f aca="false">SQRT(($B511-DB$401)^2+($C511-DB$402)^2+($D511-DB$403)^2)</f>
        <v>2.78173194462316</v>
      </c>
      <c r="DC511" s="17" t="n">
        <f aca="false">SQRT(($B511-DC$401)^2+($C511-DC$402)^2+($D511-DC$403)^2)</f>
        <v>1.16238365781855</v>
      </c>
      <c r="DD511" s="17" t="n">
        <f aca="false">SQRT(($B511-DD$401)^2+($C511-DD$402)^2+($D511-DD$403)^2)</f>
        <v>5.07375046141807</v>
      </c>
      <c r="DE511" s="17" t="n">
        <f aca="false">SQRT(($B511-DE$401)^2+($C511-DE$402)^2+($D511-DE$403)^2)</f>
        <v>1.22345716747342</v>
      </c>
      <c r="DF511" s="63" t="n">
        <f aca="false">MATCH(MIN(CZ511:DE511),CZ511:DE511,0)</f>
        <v>2</v>
      </c>
      <c r="DH511" s="17" t="n">
        <f aca="false">SQRT(($B511-DH$401)^2+($C511-DH$402)^2+($D511-DH$403)^2)</f>
        <v>7.34066473157329</v>
      </c>
      <c r="DI511" s="17" t="n">
        <f aca="false">SQRT(($B511-DI$401)^2+($C511-DI$402)^2+($D511-DI$403)^2)</f>
        <v>0.456572361415899</v>
      </c>
      <c r="DJ511" s="17" t="n">
        <f aca="false">SQRT(($B511-DJ$401)^2+($C511-DJ$402)^2+($D511-DJ$403)^2)</f>
        <v>2.78173194462316</v>
      </c>
      <c r="DK511" s="17" t="n">
        <f aca="false">SQRT(($B511-DK$401)^2+($C511-DK$402)^2+($D511-DK$403)^2)</f>
        <v>1.16238365781855</v>
      </c>
      <c r="DL511" s="17" t="n">
        <f aca="false">SQRT(($B511-DL$401)^2+($C511-DL$402)^2+($D511-DL$403)^2)</f>
        <v>5.07375046141807</v>
      </c>
      <c r="DM511" s="17" t="n">
        <f aca="false">SQRT(($B511-DM$401)^2+($C511-DM$402)^2+($D511-DM$403)^2)</f>
        <v>1.22345716747342</v>
      </c>
      <c r="DN511" s="63" t="n">
        <f aca="false">MATCH(MIN(DH511:DM511),DH511:DM511,0)</f>
        <v>2</v>
      </c>
    </row>
    <row r="512" customFormat="false" ht="15" hidden="false" customHeight="false" outlineLevel="0" collapsed="false">
      <c r="A512" s="36" t="str">
        <f aca="false">KMeans_Data!A109</f>
        <v>Chakwal</v>
      </c>
      <c r="B512" s="17" t="n">
        <f aca="false">KMeans_Data!H109</f>
        <v>-1.14718089935485</v>
      </c>
      <c r="C512" s="17" t="n">
        <f aca="false">KMeans_Data!I109</f>
        <v>-0.672650545388274</v>
      </c>
      <c r="D512" s="17" t="n">
        <f aca="false">KMeans_Data!J109</f>
        <v>-0.824446015898766</v>
      </c>
      <c r="E512" s="63" t="n">
        <f aca="false">DN512</f>
        <v>2</v>
      </c>
      <c r="F512" s="38" t="n">
        <f aca="false">($B512-INDEX($L$401:$Q$401,E512))^2+($C512-INDEX($L$402:$Q$402,E512))^2+($D512-INDEX($L$403:$Q$403,E512))^2</f>
        <v>0.0481736910253837</v>
      </c>
      <c r="G512" s="17" t="n">
        <f aca="false">IF(COUNTIF(Distance_Matrix!$E$12:$DQ$12,$E512)&lt;=1,0,SUMIF(Distance_Matrix!$E$12:$DQ$12,$E512,Distance_Matrix!$E$118:$DQ$118)/(COUNTIF(Distance_Matrix!$E$12:$DQ$12,$E512)-1))</f>
        <v>0.531444069259408</v>
      </c>
      <c r="H512" s="17" t="n">
        <f aca="false">MIN(IF(1=$E512,1E+099,IF(COUNTIF(Distance_Matrix!$E$12:$DQ$12,1)=0,1E+099,SUMIF(Distance_Matrix!$E$12:$DQ$12,1,Distance_Matrix!$E$118:$DQ$118)/COUNTIF(Distance_Matrix!$E$12:$DQ$12,1))),IF(2=$E512,1E+099,IF(COUNTIF(Distance_Matrix!$E$12:$DQ$12,2)=0,1E+099,SUMIF(Distance_Matrix!$E$12:$DQ$12,2,Distance_Matrix!$E$118:$DQ$118)/COUNTIF(Distance_Matrix!$E$12:$DQ$12,2))),IF(3=$E512,1E+099,IF(COUNTIF(Distance_Matrix!$E$12:$DQ$12,3)=0,1E+099,SUMIF(Distance_Matrix!$E$12:$DQ$12,3,Distance_Matrix!$E$118:$DQ$118)/COUNTIF(Distance_Matrix!$E$12:$DQ$12,3))),IF(4=$E512,1E+099,IF(COUNTIF(Distance_Matrix!$E$12:$DQ$12,4)=0,1E+099,SUMIF(Distance_Matrix!$E$12:$DQ$12,4,Distance_Matrix!$E$118:$DQ$118)/COUNTIF(Distance_Matrix!$E$12:$DQ$12,4))),IF(5=$E512,1E+099,IF(COUNTIF(Distance_Matrix!$E$12:$DQ$12,5)=0,1E+099,SUMIF(Distance_Matrix!$E$12:$DQ$12,5,Distance_Matrix!$E$118:$DQ$118)/COUNTIF(Distance_Matrix!$E$12:$DQ$12,5))),IF(6=$E512,1E+099,IF(COUNTIF(Distance_Matrix!$E$12:$DQ$12,6)=0,1E+099,SUMIF(Distance_Matrix!$E$12:$DQ$12,6,Distance_Matrix!$E$118:$DQ$118)/COUNTIF(Distance_Matrix!$E$12:$DQ$12,6))))</f>
        <v>1.34272934953328</v>
      </c>
      <c r="I512" s="17" t="n">
        <f aca="false">IF(COUNTIF(Distance_Matrix!$E$12:$DQ$12,$E512)&lt;=1,0,(H512-G512)/MAX(G512,H512))</f>
        <v>0.604206112390311</v>
      </c>
      <c r="X512" s="17" t="n">
        <f aca="false">SQRT(($B512-X$401)^2+($C512-X$402)^2+($D512-X$403)^2)</f>
        <v>7.64009488075629</v>
      </c>
      <c r="Y512" s="17" t="n">
        <f aca="false">SQRT(($B512-Y$401)^2+($C512-Y$402)^2+($D512-Y$403)^2)</f>
        <v>0.986321920950627</v>
      </c>
      <c r="Z512" s="17" t="n">
        <f aca="false">SQRT(($B512-Z$401)^2+($C512-Z$402)^2+($D512-Z$403)^2)</f>
        <v>3.33822742432139</v>
      </c>
      <c r="AA512" s="17" t="n">
        <f aca="false">SQRT(($B512-AA$401)^2+($C512-AA$402)^2+($D512-AA$403)^2)</f>
        <v>1.89573726078257</v>
      </c>
      <c r="AB512" s="17" t="n">
        <f aca="false">SQRT(($B512-AB$401)^2+($C512-AB$402)^2+($D512-AB$403)^2)</f>
        <v>5.59942119273589</v>
      </c>
      <c r="AC512" s="17" t="n">
        <f aca="false">SQRT(($B512-AC$401)^2+($C512-AC$402)^2+($D512-AC$403)^2)</f>
        <v>1.60682684212945</v>
      </c>
      <c r="AD512" s="63" t="n">
        <f aca="false">MATCH(MIN(X512:AC512),X512:AC512,0)</f>
        <v>2</v>
      </c>
      <c r="AF512" s="17" t="n">
        <f aca="false">SQRT(($B512-AF$401)^2+($C512-AF$402)^2+($D512-AF$403)^2)</f>
        <v>7.52148084242281</v>
      </c>
      <c r="AG512" s="17" t="n">
        <f aca="false">SQRT(($B512-AG$401)^2+($C512-AG$402)^2+($D512-AG$403)^2)</f>
        <v>0.32272552148856</v>
      </c>
      <c r="AH512" s="17" t="n">
        <f aca="false">SQRT(($B512-AH$401)^2+($C512-AH$402)^2+($D512-AH$403)^2)</f>
        <v>3.01580654093273</v>
      </c>
      <c r="AI512" s="17" t="n">
        <f aca="false">SQRT(($B512-AI$401)^2+($C512-AI$402)^2+($D512-AI$403)^2)</f>
        <v>1.29842047151985</v>
      </c>
      <c r="AJ512" s="17" t="n">
        <f aca="false">SQRT(($B512-AJ$401)^2+($C512-AJ$402)^2+($D512-AJ$403)^2)</f>
        <v>5.25713275241983</v>
      </c>
      <c r="AK512" s="17" t="n">
        <f aca="false">SQRT(($B512-AK$401)^2+($C512-AK$402)^2+($D512-AK$403)^2)</f>
        <v>1.36046246227194</v>
      </c>
      <c r="AL512" s="63" t="n">
        <f aca="false">MATCH(MIN(AF512:AK512),AF512:AK512,0)</f>
        <v>2</v>
      </c>
      <c r="AN512" s="17" t="n">
        <f aca="false">SQRT(($B512-AN$401)^2+($C512-AN$402)^2+($D512-AN$403)^2)</f>
        <v>7.52148084242281</v>
      </c>
      <c r="AO512" s="17" t="n">
        <f aca="false">SQRT(($B512-AO$401)^2+($C512-AO$402)^2+($D512-AO$403)^2)</f>
        <v>0.282438183727015</v>
      </c>
      <c r="AP512" s="17" t="n">
        <f aca="false">SQRT(($B512-AP$401)^2+($C512-AP$402)^2+($D512-AP$403)^2)</f>
        <v>2.98419293070514</v>
      </c>
      <c r="AQ512" s="17" t="n">
        <f aca="false">SQRT(($B512-AQ$401)^2+($C512-AQ$402)^2+($D512-AQ$403)^2)</f>
        <v>1.29013963500424</v>
      </c>
      <c r="AR512" s="17" t="n">
        <f aca="false">SQRT(($B512-AR$401)^2+($C512-AR$402)^2+($D512-AR$403)^2)</f>
        <v>5.25713275241983</v>
      </c>
      <c r="AS512" s="17" t="n">
        <f aca="false">SQRT(($B512-AS$401)^2+($C512-AS$402)^2+($D512-AS$403)^2)</f>
        <v>1.40396031458052</v>
      </c>
      <c r="AT512" s="63" t="n">
        <f aca="false">MATCH(MIN(AN512:AS512),AN512:AS512,0)</f>
        <v>2</v>
      </c>
      <c r="AV512" s="17" t="n">
        <f aca="false">SQRT(($B512-AV$401)^2+($C512-AV$402)^2+($D512-AV$403)^2)</f>
        <v>7.52148084242281</v>
      </c>
      <c r="AW512" s="17" t="n">
        <f aca="false">SQRT(($B512-AW$401)^2+($C512-AW$402)^2+($D512-AW$403)^2)</f>
        <v>0.250775511721724</v>
      </c>
      <c r="AX512" s="17" t="n">
        <f aca="false">SQRT(($B512-AX$401)^2+($C512-AX$402)^2+($D512-AX$403)^2)</f>
        <v>2.98419293070514</v>
      </c>
      <c r="AY512" s="17" t="n">
        <f aca="false">SQRT(($B512-AY$401)^2+($C512-AY$402)^2+($D512-AY$403)^2)</f>
        <v>1.29013963500424</v>
      </c>
      <c r="AZ512" s="17" t="n">
        <f aca="false">SQRT(($B512-AZ$401)^2+($C512-AZ$402)^2+($D512-AZ$403)^2)</f>
        <v>5.25713275241983</v>
      </c>
      <c r="BA512" s="17" t="n">
        <f aca="false">SQRT(($B512-BA$401)^2+($C512-BA$402)^2+($D512-BA$403)^2)</f>
        <v>1.42999352450088</v>
      </c>
      <c r="BB512" s="63" t="n">
        <f aca="false">MATCH(MIN(AV512:BA512),AV512:BA512,0)</f>
        <v>2</v>
      </c>
      <c r="BD512" s="17" t="n">
        <f aca="false">SQRT(($B512-BD$401)^2+($C512-BD$402)^2+($D512-BD$403)^2)</f>
        <v>7.52148084242281</v>
      </c>
      <c r="BE512" s="17" t="n">
        <f aca="false">SQRT(($B512-BE$401)^2+($C512-BE$402)^2+($D512-BE$403)^2)</f>
        <v>0.219485058774814</v>
      </c>
      <c r="BF512" s="17" t="n">
        <f aca="false">SQRT(($B512-BF$401)^2+($C512-BF$402)^2+($D512-BF$403)^2)</f>
        <v>2.98419293070514</v>
      </c>
      <c r="BG512" s="17" t="n">
        <f aca="false">SQRT(($B512-BG$401)^2+($C512-BG$402)^2+($D512-BG$403)^2)</f>
        <v>1.29013963500424</v>
      </c>
      <c r="BH512" s="17" t="n">
        <f aca="false">SQRT(($B512-BH$401)^2+($C512-BH$402)^2+($D512-BH$403)^2)</f>
        <v>5.25713275241983</v>
      </c>
      <c r="BI512" s="17" t="n">
        <f aca="false">SQRT(($B512-BI$401)^2+($C512-BI$402)^2+($D512-BI$403)^2)</f>
        <v>1.45668259621199</v>
      </c>
      <c r="BJ512" s="63" t="n">
        <f aca="false">MATCH(MIN(BD512:BI512),BD512:BI512,0)</f>
        <v>2</v>
      </c>
      <c r="BL512" s="17" t="n">
        <f aca="false">SQRT(($B512-BL$401)^2+($C512-BL$402)^2+($D512-BL$403)^2)</f>
        <v>7.52148084242281</v>
      </c>
      <c r="BM512" s="17" t="n">
        <f aca="false">SQRT(($B512-BM$401)^2+($C512-BM$402)^2+($D512-BM$403)^2)</f>
        <v>0.219485058774814</v>
      </c>
      <c r="BN512" s="17" t="n">
        <f aca="false">SQRT(($B512-BN$401)^2+($C512-BN$402)^2+($D512-BN$403)^2)</f>
        <v>2.98419293070514</v>
      </c>
      <c r="BO512" s="17" t="n">
        <f aca="false">SQRT(($B512-BO$401)^2+($C512-BO$402)^2+($D512-BO$403)^2)</f>
        <v>1.29013963500424</v>
      </c>
      <c r="BP512" s="17" t="n">
        <f aca="false">SQRT(($B512-BP$401)^2+($C512-BP$402)^2+($D512-BP$403)^2)</f>
        <v>5.25713275241983</v>
      </c>
      <c r="BQ512" s="17" t="n">
        <f aca="false">SQRT(($B512-BQ$401)^2+($C512-BQ$402)^2+($D512-BQ$403)^2)</f>
        <v>1.45668259621199</v>
      </c>
      <c r="BR512" s="63" t="n">
        <f aca="false">MATCH(MIN(BL512:BQ512),BL512:BQ512,0)</f>
        <v>2</v>
      </c>
      <c r="BT512" s="17" t="n">
        <f aca="false">SQRT(($B512-BT$401)^2+($C512-BT$402)^2+($D512-BT$403)^2)</f>
        <v>7.52148084242281</v>
      </c>
      <c r="BU512" s="17" t="n">
        <f aca="false">SQRT(($B512-BU$401)^2+($C512-BU$402)^2+($D512-BU$403)^2)</f>
        <v>0.219485058774814</v>
      </c>
      <c r="BV512" s="17" t="n">
        <f aca="false">SQRT(($B512-BV$401)^2+($C512-BV$402)^2+($D512-BV$403)^2)</f>
        <v>2.98419293070514</v>
      </c>
      <c r="BW512" s="17" t="n">
        <f aca="false">SQRT(($B512-BW$401)^2+($C512-BW$402)^2+($D512-BW$403)^2)</f>
        <v>1.29013963500424</v>
      </c>
      <c r="BX512" s="17" t="n">
        <f aca="false">SQRT(($B512-BX$401)^2+($C512-BX$402)^2+($D512-BX$403)^2)</f>
        <v>5.25713275241983</v>
      </c>
      <c r="BY512" s="17" t="n">
        <f aca="false">SQRT(($B512-BY$401)^2+($C512-BY$402)^2+($D512-BY$403)^2)</f>
        <v>1.45668259621199</v>
      </c>
      <c r="BZ512" s="63" t="n">
        <f aca="false">MATCH(MIN(BT512:BY512),BT512:BY512,0)</f>
        <v>2</v>
      </c>
      <c r="CB512" s="17" t="n">
        <f aca="false">SQRT(($B512-CB$401)^2+($C512-CB$402)^2+($D512-CB$403)^2)</f>
        <v>7.52148084242281</v>
      </c>
      <c r="CC512" s="17" t="n">
        <f aca="false">SQRT(($B512-CC$401)^2+($C512-CC$402)^2+($D512-CC$403)^2)</f>
        <v>0.219485058774814</v>
      </c>
      <c r="CD512" s="17" t="n">
        <f aca="false">SQRT(($B512-CD$401)^2+($C512-CD$402)^2+($D512-CD$403)^2)</f>
        <v>2.98419293070514</v>
      </c>
      <c r="CE512" s="17" t="n">
        <f aca="false">SQRT(($B512-CE$401)^2+($C512-CE$402)^2+($D512-CE$403)^2)</f>
        <v>1.29013963500424</v>
      </c>
      <c r="CF512" s="17" t="n">
        <f aca="false">SQRT(($B512-CF$401)^2+($C512-CF$402)^2+($D512-CF$403)^2)</f>
        <v>5.25713275241983</v>
      </c>
      <c r="CG512" s="17" t="n">
        <f aca="false">SQRT(($B512-CG$401)^2+($C512-CG$402)^2+($D512-CG$403)^2)</f>
        <v>1.45668259621199</v>
      </c>
      <c r="CH512" s="63" t="n">
        <f aca="false">MATCH(MIN(CB512:CG512),CB512:CG512,0)</f>
        <v>2</v>
      </c>
      <c r="CJ512" s="17" t="n">
        <f aca="false">SQRT(($B512-CJ$401)^2+($C512-CJ$402)^2+($D512-CJ$403)^2)</f>
        <v>7.52148084242281</v>
      </c>
      <c r="CK512" s="17" t="n">
        <f aca="false">SQRT(($B512-CK$401)^2+($C512-CK$402)^2+($D512-CK$403)^2)</f>
        <v>0.219485058774814</v>
      </c>
      <c r="CL512" s="17" t="n">
        <f aca="false">SQRT(($B512-CL$401)^2+($C512-CL$402)^2+($D512-CL$403)^2)</f>
        <v>2.98419293070514</v>
      </c>
      <c r="CM512" s="17" t="n">
        <f aca="false">SQRT(($B512-CM$401)^2+($C512-CM$402)^2+($D512-CM$403)^2)</f>
        <v>1.29013963500424</v>
      </c>
      <c r="CN512" s="17" t="n">
        <f aca="false">SQRT(($B512-CN$401)^2+($C512-CN$402)^2+($D512-CN$403)^2)</f>
        <v>5.25713275241983</v>
      </c>
      <c r="CO512" s="17" t="n">
        <f aca="false">SQRT(($B512-CO$401)^2+($C512-CO$402)^2+($D512-CO$403)^2)</f>
        <v>1.45668259621199</v>
      </c>
      <c r="CP512" s="63" t="n">
        <f aca="false">MATCH(MIN(CJ512:CO512),CJ512:CO512,0)</f>
        <v>2</v>
      </c>
      <c r="CR512" s="17" t="n">
        <f aca="false">SQRT(($B512-CR$401)^2+($C512-CR$402)^2+($D512-CR$403)^2)</f>
        <v>7.52148084242281</v>
      </c>
      <c r="CS512" s="17" t="n">
        <f aca="false">SQRT(($B512-CS$401)^2+($C512-CS$402)^2+($D512-CS$403)^2)</f>
        <v>0.219485058774814</v>
      </c>
      <c r="CT512" s="17" t="n">
        <f aca="false">SQRT(($B512-CT$401)^2+($C512-CT$402)^2+($D512-CT$403)^2)</f>
        <v>2.98419293070514</v>
      </c>
      <c r="CU512" s="17" t="n">
        <f aca="false">SQRT(($B512-CU$401)^2+($C512-CU$402)^2+($D512-CU$403)^2)</f>
        <v>1.29013963500424</v>
      </c>
      <c r="CV512" s="17" t="n">
        <f aca="false">SQRT(($B512-CV$401)^2+($C512-CV$402)^2+($D512-CV$403)^2)</f>
        <v>5.25713275241983</v>
      </c>
      <c r="CW512" s="17" t="n">
        <f aca="false">SQRT(($B512-CW$401)^2+($C512-CW$402)^2+($D512-CW$403)^2)</f>
        <v>1.45668259621199</v>
      </c>
      <c r="CX512" s="63" t="n">
        <f aca="false">MATCH(MIN(CR512:CW512),CR512:CW512,0)</f>
        <v>2</v>
      </c>
      <c r="CZ512" s="17" t="n">
        <f aca="false">SQRT(($B512-CZ$401)^2+($C512-CZ$402)^2+($D512-CZ$403)^2)</f>
        <v>7.52148084242281</v>
      </c>
      <c r="DA512" s="17" t="n">
        <f aca="false">SQRT(($B512-DA$401)^2+($C512-DA$402)^2+($D512-DA$403)^2)</f>
        <v>0.219485058774814</v>
      </c>
      <c r="DB512" s="17" t="n">
        <f aca="false">SQRT(($B512-DB$401)^2+($C512-DB$402)^2+($D512-DB$403)^2)</f>
        <v>2.98419293070514</v>
      </c>
      <c r="DC512" s="17" t="n">
        <f aca="false">SQRT(($B512-DC$401)^2+($C512-DC$402)^2+($D512-DC$403)^2)</f>
        <v>1.29013963500424</v>
      </c>
      <c r="DD512" s="17" t="n">
        <f aca="false">SQRT(($B512-DD$401)^2+($C512-DD$402)^2+($D512-DD$403)^2)</f>
        <v>5.25713275241983</v>
      </c>
      <c r="DE512" s="17" t="n">
        <f aca="false">SQRT(($B512-DE$401)^2+($C512-DE$402)^2+($D512-DE$403)^2)</f>
        <v>1.45668259621199</v>
      </c>
      <c r="DF512" s="63" t="n">
        <f aca="false">MATCH(MIN(CZ512:DE512),CZ512:DE512,0)</f>
        <v>2</v>
      </c>
      <c r="DH512" s="17" t="n">
        <f aca="false">SQRT(($B512-DH$401)^2+($C512-DH$402)^2+($D512-DH$403)^2)</f>
        <v>7.52148084242281</v>
      </c>
      <c r="DI512" s="17" t="n">
        <f aca="false">SQRT(($B512-DI$401)^2+($C512-DI$402)^2+($D512-DI$403)^2)</f>
        <v>0.219485058774814</v>
      </c>
      <c r="DJ512" s="17" t="n">
        <f aca="false">SQRT(($B512-DJ$401)^2+($C512-DJ$402)^2+($D512-DJ$403)^2)</f>
        <v>2.98419293070514</v>
      </c>
      <c r="DK512" s="17" t="n">
        <f aca="false">SQRT(($B512-DK$401)^2+($C512-DK$402)^2+($D512-DK$403)^2)</f>
        <v>1.29013963500424</v>
      </c>
      <c r="DL512" s="17" t="n">
        <f aca="false">SQRT(($B512-DL$401)^2+($C512-DL$402)^2+($D512-DL$403)^2)</f>
        <v>5.25713275241983</v>
      </c>
      <c r="DM512" s="17" t="n">
        <f aca="false">SQRT(($B512-DM$401)^2+($C512-DM$402)^2+($D512-DM$403)^2)</f>
        <v>1.45668259621199</v>
      </c>
      <c r="DN512" s="63" t="n">
        <f aca="false">MATCH(MIN(DH512:DM512),DH512:DM512,0)</f>
        <v>2</v>
      </c>
    </row>
    <row r="513" customFormat="false" ht="15" hidden="false" customHeight="false" outlineLevel="0" collapsed="false">
      <c r="A513" s="36" t="str">
        <f aca="false">KMeans_Data!A110</f>
        <v>Pishin</v>
      </c>
      <c r="B513" s="17" t="n">
        <f aca="false">KMeans_Data!H110</f>
        <v>-1.35821333130003</v>
      </c>
      <c r="C513" s="17" t="n">
        <f aca="false">KMeans_Data!I110</f>
        <v>-0.672650545388274</v>
      </c>
      <c r="D513" s="17" t="n">
        <f aca="false">KMeans_Data!J110</f>
        <v>-1.14564411633355</v>
      </c>
      <c r="E513" s="63" t="n">
        <f aca="false">DN513</f>
        <v>2</v>
      </c>
      <c r="F513" s="38" t="n">
        <f aca="false">($B513-INDEX($L$401:$Q$401,E513))^2+($C513-INDEX($L$402:$Q$402,E513))^2+($D513-INDEX($L$403:$Q$403,E513))^2</f>
        <v>0.0291758794101575</v>
      </c>
      <c r="G513" s="17" t="n">
        <f aca="false">IF(COUNTIF(Distance_Matrix!$E$12:$DQ$12,$E513)&lt;=1,0,SUMIF(Distance_Matrix!$E$12:$DQ$12,$E513,Distance_Matrix!$E$119:$DQ$119)/(COUNTIF(Distance_Matrix!$E$12:$DQ$12,$E513)-1))</f>
        <v>0.488677686314208</v>
      </c>
      <c r="H513" s="17" t="n">
        <f aca="false">MIN(IF(1=$E513,1E+099,IF(COUNTIF(Distance_Matrix!$E$12:$DQ$12,1)=0,1E+099,SUMIF(Distance_Matrix!$E$12:$DQ$12,1,Distance_Matrix!$E$119:$DQ$119)/COUNTIF(Distance_Matrix!$E$12:$DQ$12,1))),IF(2=$E513,1E+099,IF(COUNTIF(Distance_Matrix!$E$12:$DQ$12,2)=0,1E+099,SUMIF(Distance_Matrix!$E$12:$DQ$12,2,Distance_Matrix!$E$119:$DQ$119)/COUNTIF(Distance_Matrix!$E$12:$DQ$12,2))),IF(3=$E513,1E+099,IF(COUNTIF(Distance_Matrix!$E$12:$DQ$12,3)=0,1E+099,SUMIF(Distance_Matrix!$E$12:$DQ$12,3,Distance_Matrix!$E$119:$DQ$119)/COUNTIF(Distance_Matrix!$E$12:$DQ$12,3))),IF(4=$E513,1E+099,IF(COUNTIF(Distance_Matrix!$E$12:$DQ$12,4)=0,1E+099,SUMIF(Distance_Matrix!$E$12:$DQ$12,4,Distance_Matrix!$E$119:$DQ$119)/COUNTIF(Distance_Matrix!$E$12:$DQ$12,4))),IF(5=$E513,1E+099,IF(COUNTIF(Distance_Matrix!$E$12:$DQ$12,5)=0,1E+099,SUMIF(Distance_Matrix!$E$12:$DQ$12,5,Distance_Matrix!$E$119:$DQ$119)/COUNTIF(Distance_Matrix!$E$12:$DQ$12,5))),IF(6=$E513,1E+099,IF(COUNTIF(Distance_Matrix!$E$12:$DQ$12,6)=0,1E+099,SUMIF(Distance_Matrix!$E$12:$DQ$12,6,Distance_Matrix!$E$119:$DQ$119)/COUNTIF(Distance_Matrix!$E$12:$DQ$12,6))))</f>
        <v>1.56765490633376</v>
      </c>
      <c r="I513" s="17" t="n">
        <f aca="false">IF(COUNTIF(Distance_Matrix!$E$12:$DQ$12,$E513)&lt;=1,0,(H513-G513)/MAX(G513,H513))</f>
        <v>0.688274706161532</v>
      </c>
      <c r="X513" s="17" t="n">
        <f aca="false">SQRT(($B513-X$401)^2+($C513-X$402)^2+($D513-X$403)^2)</f>
        <v>7.93750965384981</v>
      </c>
      <c r="Y513" s="17" t="n">
        <f aca="false">SQRT(($B513-Y$401)^2+($C513-Y$402)^2+($D513-Y$403)^2)</f>
        <v>0.721524650503296</v>
      </c>
      <c r="Z513" s="17" t="n">
        <f aca="false">SQRT(($B513-Z$401)^2+($C513-Z$402)^2+($D513-Z$403)^2)</f>
        <v>3.6996860383442</v>
      </c>
      <c r="AA513" s="17" t="n">
        <f aca="false">SQRT(($B513-AA$401)^2+($C513-AA$402)^2+($D513-AA$403)^2)</f>
        <v>2.07168696749508</v>
      </c>
      <c r="AB513" s="17" t="n">
        <f aca="false">SQRT(($B513-AB$401)^2+($C513-AB$402)^2+($D513-AB$403)^2)</f>
        <v>5.91920639801052</v>
      </c>
      <c r="AC513" s="17" t="n">
        <f aca="false">SQRT(($B513-AC$401)^2+($C513-AC$402)^2+($D513-AC$403)^2)</f>
        <v>1.96191202188729</v>
      </c>
      <c r="AD513" s="63" t="n">
        <f aca="false">MATCH(MIN(X513:AC513),X513:AC513,0)</f>
        <v>2</v>
      </c>
      <c r="AF513" s="17" t="n">
        <f aca="false">SQRT(($B513-AF$401)^2+($C513-AF$402)^2+($D513-AF$403)^2)</f>
        <v>7.81132487158024</v>
      </c>
      <c r="AG513" s="17" t="n">
        <f aca="false">SQRT(($B513-AG$401)^2+($C513-AG$402)^2+($D513-AG$403)^2)</f>
        <v>0.0665922373013953</v>
      </c>
      <c r="AH513" s="17" t="n">
        <f aca="false">SQRT(($B513-AH$401)^2+($C513-AH$402)^2+($D513-AH$403)^2)</f>
        <v>3.34496974625518</v>
      </c>
      <c r="AI513" s="17" t="n">
        <f aca="false">SQRT(($B513-AI$401)^2+($C513-AI$402)^2+($D513-AI$403)^2)</f>
        <v>1.53575285895771</v>
      </c>
      <c r="AJ513" s="17" t="n">
        <f aca="false">SQRT(($B513-AJ$401)^2+($C513-AJ$402)^2+($D513-AJ$403)^2)</f>
        <v>5.55258997636063</v>
      </c>
      <c r="AK513" s="17" t="n">
        <f aca="false">SQRT(($B513-AK$401)^2+($C513-AK$402)^2+($D513-AK$403)^2)</f>
        <v>1.73517120246895</v>
      </c>
      <c r="AL513" s="63" t="n">
        <f aca="false">MATCH(MIN(AF513:AK513),AF513:AK513,0)</f>
        <v>2</v>
      </c>
      <c r="AN513" s="17" t="n">
        <f aca="false">SQRT(($B513-AN$401)^2+($C513-AN$402)^2+($D513-AN$403)^2)</f>
        <v>7.81132487158024</v>
      </c>
      <c r="AO513" s="17" t="n">
        <f aca="false">SQRT(($B513-AO$401)^2+($C513-AO$402)^2+($D513-AO$403)^2)</f>
        <v>0.109676392485511</v>
      </c>
      <c r="AP513" s="17" t="n">
        <f aca="false">SQRT(($B513-AP$401)^2+($C513-AP$402)^2+($D513-AP$403)^2)</f>
        <v>3.31325026166903</v>
      </c>
      <c r="AQ513" s="17" t="n">
        <f aca="false">SQRT(($B513-AQ$401)^2+($C513-AQ$402)^2+($D513-AQ$403)^2)</f>
        <v>1.52674894279503</v>
      </c>
      <c r="AR513" s="17" t="n">
        <f aca="false">SQRT(($B513-AR$401)^2+($C513-AR$402)^2+($D513-AR$403)^2)</f>
        <v>5.55258997636063</v>
      </c>
      <c r="AS513" s="17" t="n">
        <f aca="false">SQRT(($B513-AS$401)^2+($C513-AS$402)^2+($D513-AS$403)^2)</f>
        <v>1.77830237286112</v>
      </c>
      <c r="AT513" s="63" t="n">
        <f aca="false">MATCH(MIN(AN513:AS513),AN513:AS513,0)</f>
        <v>2</v>
      </c>
      <c r="AV513" s="17" t="n">
        <f aca="false">SQRT(($B513-AV$401)^2+($C513-AV$402)^2+($D513-AV$403)^2)</f>
        <v>7.81132487158024</v>
      </c>
      <c r="AW513" s="17" t="n">
        <f aca="false">SQRT(($B513-AW$401)^2+($C513-AW$402)^2+($D513-AW$403)^2)</f>
        <v>0.14063958578912</v>
      </c>
      <c r="AX513" s="17" t="n">
        <f aca="false">SQRT(($B513-AX$401)^2+($C513-AX$402)^2+($D513-AX$403)^2)</f>
        <v>3.31325026166903</v>
      </c>
      <c r="AY513" s="17" t="n">
        <f aca="false">SQRT(($B513-AY$401)^2+($C513-AY$402)^2+($D513-AY$403)^2)</f>
        <v>1.52674894279503</v>
      </c>
      <c r="AZ513" s="17" t="n">
        <f aca="false">SQRT(($B513-AZ$401)^2+($C513-AZ$402)^2+($D513-AZ$403)^2)</f>
        <v>5.55258997636063</v>
      </c>
      <c r="BA513" s="17" t="n">
        <f aca="false">SQRT(($B513-BA$401)^2+($C513-BA$402)^2+($D513-BA$403)^2)</f>
        <v>1.80412843801784</v>
      </c>
      <c r="BB513" s="63" t="n">
        <f aca="false">MATCH(MIN(AV513:BA513),AV513:BA513,0)</f>
        <v>2</v>
      </c>
      <c r="BD513" s="17" t="n">
        <f aca="false">SQRT(($B513-BD$401)^2+($C513-BD$402)^2+($D513-BD$403)^2)</f>
        <v>7.81132487158024</v>
      </c>
      <c r="BE513" s="17" t="n">
        <f aca="false">SQRT(($B513-BE$401)^2+($C513-BE$402)^2+($D513-BE$403)^2)</f>
        <v>0.170809482787571</v>
      </c>
      <c r="BF513" s="17" t="n">
        <f aca="false">SQRT(($B513-BF$401)^2+($C513-BF$402)^2+($D513-BF$403)^2)</f>
        <v>3.31325026166903</v>
      </c>
      <c r="BG513" s="17" t="n">
        <f aca="false">SQRT(($B513-BG$401)^2+($C513-BG$402)^2+($D513-BG$403)^2)</f>
        <v>1.52674894279503</v>
      </c>
      <c r="BH513" s="17" t="n">
        <f aca="false">SQRT(($B513-BH$401)^2+($C513-BH$402)^2+($D513-BH$403)^2)</f>
        <v>5.55258997636063</v>
      </c>
      <c r="BI513" s="17" t="n">
        <f aca="false">SQRT(($B513-BI$401)^2+($C513-BI$402)^2+($D513-BI$403)^2)</f>
        <v>1.83050212070428</v>
      </c>
      <c r="BJ513" s="63" t="n">
        <f aca="false">MATCH(MIN(BD513:BI513),BD513:BI513,0)</f>
        <v>2</v>
      </c>
      <c r="BL513" s="17" t="n">
        <f aca="false">SQRT(($B513-BL$401)^2+($C513-BL$402)^2+($D513-BL$403)^2)</f>
        <v>7.81132487158024</v>
      </c>
      <c r="BM513" s="17" t="n">
        <f aca="false">SQRT(($B513-BM$401)^2+($C513-BM$402)^2+($D513-BM$403)^2)</f>
        <v>0.170809482787571</v>
      </c>
      <c r="BN513" s="17" t="n">
        <f aca="false">SQRT(($B513-BN$401)^2+($C513-BN$402)^2+($D513-BN$403)^2)</f>
        <v>3.31325026166903</v>
      </c>
      <c r="BO513" s="17" t="n">
        <f aca="false">SQRT(($B513-BO$401)^2+($C513-BO$402)^2+($D513-BO$403)^2)</f>
        <v>1.52674894279503</v>
      </c>
      <c r="BP513" s="17" t="n">
        <f aca="false">SQRT(($B513-BP$401)^2+($C513-BP$402)^2+($D513-BP$403)^2)</f>
        <v>5.55258997636063</v>
      </c>
      <c r="BQ513" s="17" t="n">
        <f aca="false">SQRT(($B513-BQ$401)^2+($C513-BQ$402)^2+($D513-BQ$403)^2)</f>
        <v>1.83050212070428</v>
      </c>
      <c r="BR513" s="63" t="n">
        <f aca="false">MATCH(MIN(BL513:BQ513),BL513:BQ513,0)</f>
        <v>2</v>
      </c>
      <c r="BT513" s="17" t="n">
        <f aca="false">SQRT(($B513-BT$401)^2+($C513-BT$402)^2+($D513-BT$403)^2)</f>
        <v>7.81132487158024</v>
      </c>
      <c r="BU513" s="17" t="n">
        <f aca="false">SQRT(($B513-BU$401)^2+($C513-BU$402)^2+($D513-BU$403)^2)</f>
        <v>0.170809482787571</v>
      </c>
      <c r="BV513" s="17" t="n">
        <f aca="false">SQRT(($B513-BV$401)^2+($C513-BV$402)^2+($D513-BV$403)^2)</f>
        <v>3.31325026166903</v>
      </c>
      <c r="BW513" s="17" t="n">
        <f aca="false">SQRT(($B513-BW$401)^2+($C513-BW$402)^2+($D513-BW$403)^2)</f>
        <v>1.52674894279503</v>
      </c>
      <c r="BX513" s="17" t="n">
        <f aca="false">SQRT(($B513-BX$401)^2+($C513-BX$402)^2+($D513-BX$403)^2)</f>
        <v>5.55258997636063</v>
      </c>
      <c r="BY513" s="17" t="n">
        <f aca="false">SQRT(($B513-BY$401)^2+($C513-BY$402)^2+($D513-BY$403)^2)</f>
        <v>1.83050212070428</v>
      </c>
      <c r="BZ513" s="63" t="n">
        <f aca="false">MATCH(MIN(BT513:BY513),BT513:BY513,0)</f>
        <v>2</v>
      </c>
      <c r="CB513" s="17" t="n">
        <f aca="false">SQRT(($B513-CB$401)^2+($C513-CB$402)^2+($D513-CB$403)^2)</f>
        <v>7.81132487158024</v>
      </c>
      <c r="CC513" s="17" t="n">
        <f aca="false">SQRT(($B513-CC$401)^2+($C513-CC$402)^2+($D513-CC$403)^2)</f>
        <v>0.170809482787571</v>
      </c>
      <c r="CD513" s="17" t="n">
        <f aca="false">SQRT(($B513-CD$401)^2+($C513-CD$402)^2+($D513-CD$403)^2)</f>
        <v>3.31325026166903</v>
      </c>
      <c r="CE513" s="17" t="n">
        <f aca="false">SQRT(($B513-CE$401)^2+($C513-CE$402)^2+($D513-CE$403)^2)</f>
        <v>1.52674894279503</v>
      </c>
      <c r="CF513" s="17" t="n">
        <f aca="false">SQRT(($B513-CF$401)^2+($C513-CF$402)^2+($D513-CF$403)^2)</f>
        <v>5.55258997636063</v>
      </c>
      <c r="CG513" s="17" t="n">
        <f aca="false">SQRT(($B513-CG$401)^2+($C513-CG$402)^2+($D513-CG$403)^2)</f>
        <v>1.83050212070428</v>
      </c>
      <c r="CH513" s="63" t="n">
        <f aca="false">MATCH(MIN(CB513:CG513),CB513:CG513,0)</f>
        <v>2</v>
      </c>
      <c r="CJ513" s="17" t="n">
        <f aca="false">SQRT(($B513-CJ$401)^2+($C513-CJ$402)^2+($D513-CJ$403)^2)</f>
        <v>7.81132487158024</v>
      </c>
      <c r="CK513" s="17" t="n">
        <f aca="false">SQRT(($B513-CK$401)^2+($C513-CK$402)^2+($D513-CK$403)^2)</f>
        <v>0.170809482787571</v>
      </c>
      <c r="CL513" s="17" t="n">
        <f aca="false">SQRT(($B513-CL$401)^2+($C513-CL$402)^2+($D513-CL$403)^2)</f>
        <v>3.31325026166903</v>
      </c>
      <c r="CM513" s="17" t="n">
        <f aca="false">SQRT(($B513-CM$401)^2+($C513-CM$402)^2+($D513-CM$403)^2)</f>
        <v>1.52674894279503</v>
      </c>
      <c r="CN513" s="17" t="n">
        <f aca="false">SQRT(($B513-CN$401)^2+($C513-CN$402)^2+($D513-CN$403)^2)</f>
        <v>5.55258997636063</v>
      </c>
      <c r="CO513" s="17" t="n">
        <f aca="false">SQRT(($B513-CO$401)^2+($C513-CO$402)^2+($D513-CO$403)^2)</f>
        <v>1.83050212070428</v>
      </c>
      <c r="CP513" s="63" t="n">
        <f aca="false">MATCH(MIN(CJ513:CO513),CJ513:CO513,0)</f>
        <v>2</v>
      </c>
      <c r="CR513" s="17" t="n">
        <f aca="false">SQRT(($B513-CR$401)^2+($C513-CR$402)^2+($D513-CR$403)^2)</f>
        <v>7.81132487158024</v>
      </c>
      <c r="CS513" s="17" t="n">
        <f aca="false">SQRT(($B513-CS$401)^2+($C513-CS$402)^2+($D513-CS$403)^2)</f>
        <v>0.170809482787571</v>
      </c>
      <c r="CT513" s="17" t="n">
        <f aca="false">SQRT(($B513-CT$401)^2+($C513-CT$402)^2+($D513-CT$403)^2)</f>
        <v>3.31325026166903</v>
      </c>
      <c r="CU513" s="17" t="n">
        <f aca="false">SQRT(($B513-CU$401)^2+($C513-CU$402)^2+($D513-CU$403)^2)</f>
        <v>1.52674894279503</v>
      </c>
      <c r="CV513" s="17" t="n">
        <f aca="false">SQRT(($B513-CV$401)^2+($C513-CV$402)^2+($D513-CV$403)^2)</f>
        <v>5.55258997636063</v>
      </c>
      <c r="CW513" s="17" t="n">
        <f aca="false">SQRT(($B513-CW$401)^2+($C513-CW$402)^2+($D513-CW$403)^2)</f>
        <v>1.83050212070428</v>
      </c>
      <c r="CX513" s="63" t="n">
        <f aca="false">MATCH(MIN(CR513:CW513),CR513:CW513,0)</f>
        <v>2</v>
      </c>
      <c r="CZ513" s="17" t="n">
        <f aca="false">SQRT(($B513-CZ$401)^2+($C513-CZ$402)^2+($D513-CZ$403)^2)</f>
        <v>7.81132487158024</v>
      </c>
      <c r="DA513" s="17" t="n">
        <f aca="false">SQRT(($B513-DA$401)^2+($C513-DA$402)^2+($D513-DA$403)^2)</f>
        <v>0.170809482787571</v>
      </c>
      <c r="DB513" s="17" t="n">
        <f aca="false">SQRT(($B513-DB$401)^2+($C513-DB$402)^2+($D513-DB$403)^2)</f>
        <v>3.31325026166903</v>
      </c>
      <c r="DC513" s="17" t="n">
        <f aca="false">SQRT(($B513-DC$401)^2+($C513-DC$402)^2+($D513-DC$403)^2)</f>
        <v>1.52674894279503</v>
      </c>
      <c r="DD513" s="17" t="n">
        <f aca="false">SQRT(($B513-DD$401)^2+($C513-DD$402)^2+($D513-DD$403)^2)</f>
        <v>5.55258997636063</v>
      </c>
      <c r="DE513" s="17" t="n">
        <f aca="false">SQRT(($B513-DE$401)^2+($C513-DE$402)^2+($D513-DE$403)^2)</f>
        <v>1.83050212070428</v>
      </c>
      <c r="DF513" s="63" t="n">
        <f aca="false">MATCH(MIN(CZ513:DE513),CZ513:DE513,0)</f>
        <v>2</v>
      </c>
      <c r="DH513" s="17" t="n">
        <f aca="false">SQRT(($B513-DH$401)^2+($C513-DH$402)^2+($D513-DH$403)^2)</f>
        <v>7.81132487158024</v>
      </c>
      <c r="DI513" s="17" t="n">
        <f aca="false">SQRT(($B513-DI$401)^2+($C513-DI$402)^2+($D513-DI$403)^2)</f>
        <v>0.170809482787571</v>
      </c>
      <c r="DJ513" s="17" t="n">
        <f aca="false">SQRT(($B513-DJ$401)^2+($C513-DJ$402)^2+($D513-DJ$403)^2)</f>
        <v>3.31325026166903</v>
      </c>
      <c r="DK513" s="17" t="n">
        <f aca="false">SQRT(($B513-DK$401)^2+($C513-DK$402)^2+($D513-DK$403)^2)</f>
        <v>1.52674894279503</v>
      </c>
      <c r="DL513" s="17" t="n">
        <f aca="false">SQRT(($B513-DL$401)^2+($C513-DL$402)^2+($D513-DL$403)^2)</f>
        <v>5.55258997636063</v>
      </c>
      <c r="DM513" s="17" t="n">
        <f aca="false">SQRT(($B513-DM$401)^2+($C513-DM$402)^2+($D513-DM$403)^2)</f>
        <v>1.83050212070428</v>
      </c>
      <c r="DN513" s="63" t="n">
        <f aca="false">MATCH(MIN(DH513:DM513),DH513:DM513,0)</f>
        <v>2</v>
      </c>
    </row>
    <row r="514" customFormat="false" ht="15" hidden="false" customHeight="false" outlineLevel="0" collapsed="false">
      <c r="A514" s="36" t="str">
        <f aca="false">KMeans_Data!A111</f>
        <v>Kohistan Lower</v>
      </c>
      <c r="B514" s="17" t="n">
        <f aca="false">KMeans_Data!H111</f>
        <v>-1.50794322460649</v>
      </c>
      <c r="C514" s="17" t="n">
        <f aca="false">KMeans_Data!I111</f>
        <v>-0.672650545388274</v>
      </c>
      <c r="D514" s="17" t="n">
        <f aca="false">KMeans_Data!J111</f>
        <v>-1.14564411633355</v>
      </c>
      <c r="E514" s="63" t="n">
        <f aca="false">DN514</f>
        <v>2</v>
      </c>
      <c r="F514" s="38" t="n">
        <f aca="false">($B514-INDEX($L$401:$Q$401,E514))^2+($C514-INDEX($L$402:$Q$402,E514))^2+($D514-INDEX($L$403:$Q$403,E514))^2</f>
        <v>0.0860242439341271</v>
      </c>
      <c r="G514" s="17" t="n">
        <f aca="false">IF(COUNTIF(Distance_Matrix!$E$12:$DQ$12,$E514)&lt;=1,0,SUMIF(Distance_Matrix!$E$12:$DQ$12,$E514,Distance_Matrix!$E$120:$DQ$120)/(COUNTIF(Distance_Matrix!$E$12:$DQ$12,$E514)-1))</f>
        <v>0.50493236156717</v>
      </c>
      <c r="H514" s="17" t="n">
        <f aca="false">MIN(IF(1=$E514,1E+099,IF(COUNTIF(Distance_Matrix!$E$12:$DQ$12,1)=0,1E+099,SUMIF(Distance_Matrix!$E$12:$DQ$12,1,Distance_Matrix!$E$120:$DQ$120)/COUNTIF(Distance_Matrix!$E$12:$DQ$12,1))),IF(2=$E514,1E+099,IF(COUNTIF(Distance_Matrix!$E$12:$DQ$12,2)=0,1E+099,SUMIF(Distance_Matrix!$E$12:$DQ$12,2,Distance_Matrix!$E$120:$DQ$120)/COUNTIF(Distance_Matrix!$E$12:$DQ$12,2))),IF(3=$E514,1E+099,IF(COUNTIF(Distance_Matrix!$E$12:$DQ$12,3)=0,1E+099,SUMIF(Distance_Matrix!$E$12:$DQ$12,3,Distance_Matrix!$E$120:$DQ$120)/COUNTIF(Distance_Matrix!$E$12:$DQ$12,3))),IF(4=$E514,1E+099,IF(COUNTIF(Distance_Matrix!$E$12:$DQ$12,4)=0,1E+099,SUMIF(Distance_Matrix!$E$12:$DQ$12,4,Distance_Matrix!$E$120:$DQ$120)/COUNTIF(Distance_Matrix!$E$12:$DQ$12,4))),IF(5=$E514,1E+099,IF(COUNTIF(Distance_Matrix!$E$12:$DQ$12,5)=0,1E+099,SUMIF(Distance_Matrix!$E$12:$DQ$12,5,Distance_Matrix!$E$120:$DQ$120)/COUNTIF(Distance_Matrix!$E$12:$DQ$12,5))),IF(6=$E514,1E+099,IF(COUNTIF(Distance_Matrix!$E$12:$DQ$12,6)=0,1E+099,SUMIF(Distance_Matrix!$E$12:$DQ$12,6,Distance_Matrix!$E$120:$DQ$120)/COUNTIF(Distance_Matrix!$E$12:$DQ$12,6))))</f>
        <v>1.71142765444251</v>
      </c>
      <c r="I514" s="17" t="n">
        <f aca="false">IF(COUNTIF(Distance_Matrix!$E$12:$DQ$12,$E514)&lt;=1,0,(H514-G514)/MAX(G514,H514))</f>
        <v>0.704964238332557</v>
      </c>
      <c r="X514" s="17" t="n">
        <f aca="false">SQRT(($B514-X$401)^2+($C514-X$402)^2+($D514-X$403)^2)</f>
        <v>8.02581663311103</v>
      </c>
      <c r="Y514" s="17" t="n">
        <f aca="false">SQRT(($B514-Y$401)^2+($C514-Y$402)^2+($D514-Y$403)^2)</f>
        <v>0.571794757196831</v>
      </c>
      <c r="Z514" s="17" t="n">
        <f aca="false">SQRT(($B514-Z$401)^2+($C514-Z$402)^2+($D514-Z$403)^2)</f>
        <v>3.79835053358808</v>
      </c>
      <c r="AA514" s="17" t="n">
        <f aca="false">SQRT(($B514-AA$401)^2+($C514-AA$402)^2+($D514-AA$403)^2)</f>
        <v>2.21684219622619</v>
      </c>
      <c r="AB514" s="17" t="n">
        <f aca="false">SQRT(($B514-AB$401)^2+($C514-AB$402)^2+($D514-AB$403)^2)</f>
        <v>6.01450213396371</v>
      </c>
      <c r="AC514" s="17" t="n">
        <f aca="false">SQRT(($B514-AC$401)^2+($C514-AC$402)^2+($D514-AC$403)^2)</f>
        <v>2.01662422352502</v>
      </c>
      <c r="AD514" s="63" t="n">
        <f aca="false">MATCH(MIN(X514:AC514),X514:AC514,0)</f>
        <v>2</v>
      </c>
      <c r="AF514" s="17" t="n">
        <f aca="false">SQRT(($B514-AF$401)^2+($C514-AF$402)^2+($D514-AF$403)^2)</f>
        <v>7.90081339423267</v>
      </c>
      <c r="AG514" s="17" t="n">
        <f aca="false">SQRT(($B514-AG$401)^2+($C514-AG$402)^2+($D514-AG$403)^2)</f>
        <v>0.195144006286113</v>
      </c>
      <c r="AH514" s="17" t="n">
        <f aca="false">SQRT(($B514-AH$401)^2+($C514-AH$402)^2+($D514-AH$403)^2)</f>
        <v>3.44217341843937</v>
      </c>
      <c r="AI514" s="17" t="n">
        <f aca="false">SQRT(($B514-AI$401)^2+($C514-AI$402)^2+($D514-AI$403)^2)</f>
        <v>1.68248412513658</v>
      </c>
      <c r="AJ514" s="17" t="n">
        <f aca="false">SQRT(($B514-AJ$401)^2+($C514-AJ$402)^2+($D514-AJ$403)^2)</f>
        <v>5.64689046213842</v>
      </c>
      <c r="AK514" s="17" t="n">
        <f aca="false">SQRT(($B514-AK$401)^2+($C514-AK$402)^2+($D514-AK$403)^2)</f>
        <v>1.83321011843792</v>
      </c>
      <c r="AL514" s="63" t="n">
        <f aca="false">MATCH(MIN(AF514:AK514),AF514:AK514,0)</f>
        <v>2</v>
      </c>
      <c r="AN514" s="17" t="n">
        <f aca="false">SQRT(($B514-AN$401)^2+($C514-AN$402)^2+($D514-AN$403)^2)</f>
        <v>7.90081339423267</v>
      </c>
      <c r="AO514" s="17" t="n">
        <f aca="false">SQRT(($B514-AO$401)^2+($C514-AO$402)^2+($D514-AO$403)^2)</f>
        <v>0.241817538184614</v>
      </c>
      <c r="AP514" s="17" t="n">
        <f aca="false">SQRT(($B514-AP$401)^2+($C514-AP$402)^2+($D514-AP$403)^2)</f>
        <v>3.41014178810631</v>
      </c>
      <c r="AQ514" s="17" t="n">
        <f aca="false">SQRT(($B514-AQ$401)^2+($C514-AQ$402)^2+($D514-AQ$403)^2)</f>
        <v>1.67376431670884</v>
      </c>
      <c r="AR514" s="17" t="n">
        <f aca="false">SQRT(($B514-AR$401)^2+($C514-AR$402)^2+($D514-AR$403)^2)</f>
        <v>5.64689046213842</v>
      </c>
      <c r="AS514" s="17" t="n">
        <f aca="false">SQRT(($B514-AS$401)^2+($C514-AS$402)^2+($D514-AS$403)^2)</f>
        <v>1.87725644685077</v>
      </c>
      <c r="AT514" s="63" t="n">
        <f aca="false">MATCH(MIN(AN514:AS514),AN514:AS514,0)</f>
        <v>2</v>
      </c>
      <c r="AV514" s="17" t="n">
        <f aca="false">SQRT(($B514-AV$401)^2+($C514-AV$402)^2+($D514-AV$403)^2)</f>
        <v>7.90081339423267</v>
      </c>
      <c r="AW514" s="17" t="n">
        <f aca="false">SQRT(($B514-AW$401)^2+($C514-AW$402)^2+($D514-AW$403)^2)</f>
        <v>0.268119208914776</v>
      </c>
      <c r="AX514" s="17" t="n">
        <f aca="false">SQRT(($B514-AX$401)^2+($C514-AX$402)^2+($D514-AX$403)^2)</f>
        <v>3.41014178810631</v>
      </c>
      <c r="AY514" s="17" t="n">
        <f aca="false">SQRT(($B514-AY$401)^2+($C514-AY$402)^2+($D514-AY$403)^2)</f>
        <v>1.67376431670884</v>
      </c>
      <c r="AZ514" s="17" t="n">
        <f aca="false">SQRT(($B514-AZ$401)^2+($C514-AZ$402)^2+($D514-AZ$403)^2)</f>
        <v>5.64689046213842</v>
      </c>
      <c r="BA514" s="17" t="n">
        <f aca="false">SQRT(($B514-BA$401)^2+($C514-BA$402)^2+($D514-BA$403)^2)</f>
        <v>1.90307785156496</v>
      </c>
      <c r="BB514" s="63" t="n">
        <f aca="false">MATCH(MIN(AV514:BA514),AV514:BA514,0)</f>
        <v>2</v>
      </c>
      <c r="BD514" s="17" t="n">
        <f aca="false">SQRT(($B514-BD$401)^2+($C514-BD$402)^2+($D514-BD$403)^2)</f>
        <v>7.90081339423267</v>
      </c>
      <c r="BE514" s="17" t="n">
        <f aca="false">SQRT(($B514-BE$401)^2+($C514-BE$402)^2+($D514-BE$403)^2)</f>
        <v>0.293298898624129</v>
      </c>
      <c r="BF514" s="17" t="n">
        <f aca="false">SQRT(($B514-BF$401)^2+($C514-BF$402)^2+($D514-BF$403)^2)</f>
        <v>3.41014178810631</v>
      </c>
      <c r="BG514" s="17" t="n">
        <f aca="false">SQRT(($B514-BG$401)^2+($C514-BG$402)^2+($D514-BG$403)^2)</f>
        <v>1.67376431670884</v>
      </c>
      <c r="BH514" s="17" t="n">
        <f aca="false">SQRT(($B514-BH$401)^2+($C514-BH$402)^2+($D514-BH$403)^2)</f>
        <v>5.64689046213842</v>
      </c>
      <c r="BI514" s="17" t="n">
        <f aca="false">SQRT(($B514-BI$401)^2+($C514-BI$402)^2+($D514-BI$403)^2)</f>
        <v>1.9296112283277</v>
      </c>
      <c r="BJ514" s="63" t="n">
        <f aca="false">MATCH(MIN(BD514:BI514),BD514:BI514,0)</f>
        <v>2</v>
      </c>
      <c r="BL514" s="17" t="n">
        <f aca="false">SQRT(($B514-BL$401)^2+($C514-BL$402)^2+($D514-BL$403)^2)</f>
        <v>7.90081339423267</v>
      </c>
      <c r="BM514" s="17" t="n">
        <f aca="false">SQRT(($B514-BM$401)^2+($C514-BM$402)^2+($D514-BM$403)^2)</f>
        <v>0.293298898624129</v>
      </c>
      <c r="BN514" s="17" t="n">
        <f aca="false">SQRT(($B514-BN$401)^2+($C514-BN$402)^2+($D514-BN$403)^2)</f>
        <v>3.41014178810631</v>
      </c>
      <c r="BO514" s="17" t="n">
        <f aca="false">SQRT(($B514-BO$401)^2+($C514-BO$402)^2+($D514-BO$403)^2)</f>
        <v>1.67376431670884</v>
      </c>
      <c r="BP514" s="17" t="n">
        <f aca="false">SQRT(($B514-BP$401)^2+($C514-BP$402)^2+($D514-BP$403)^2)</f>
        <v>5.64689046213842</v>
      </c>
      <c r="BQ514" s="17" t="n">
        <f aca="false">SQRT(($B514-BQ$401)^2+($C514-BQ$402)^2+($D514-BQ$403)^2)</f>
        <v>1.9296112283277</v>
      </c>
      <c r="BR514" s="63" t="n">
        <f aca="false">MATCH(MIN(BL514:BQ514),BL514:BQ514,0)</f>
        <v>2</v>
      </c>
      <c r="BT514" s="17" t="n">
        <f aca="false">SQRT(($B514-BT$401)^2+($C514-BT$402)^2+($D514-BT$403)^2)</f>
        <v>7.90081339423267</v>
      </c>
      <c r="BU514" s="17" t="n">
        <f aca="false">SQRT(($B514-BU$401)^2+($C514-BU$402)^2+($D514-BU$403)^2)</f>
        <v>0.293298898624129</v>
      </c>
      <c r="BV514" s="17" t="n">
        <f aca="false">SQRT(($B514-BV$401)^2+($C514-BV$402)^2+($D514-BV$403)^2)</f>
        <v>3.41014178810631</v>
      </c>
      <c r="BW514" s="17" t="n">
        <f aca="false">SQRT(($B514-BW$401)^2+($C514-BW$402)^2+($D514-BW$403)^2)</f>
        <v>1.67376431670884</v>
      </c>
      <c r="BX514" s="17" t="n">
        <f aca="false">SQRT(($B514-BX$401)^2+($C514-BX$402)^2+($D514-BX$403)^2)</f>
        <v>5.64689046213842</v>
      </c>
      <c r="BY514" s="17" t="n">
        <f aca="false">SQRT(($B514-BY$401)^2+($C514-BY$402)^2+($D514-BY$403)^2)</f>
        <v>1.9296112283277</v>
      </c>
      <c r="BZ514" s="63" t="n">
        <f aca="false">MATCH(MIN(BT514:BY514),BT514:BY514,0)</f>
        <v>2</v>
      </c>
      <c r="CB514" s="17" t="n">
        <f aca="false">SQRT(($B514-CB$401)^2+($C514-CB$402)^2+($D514-CB$403)^2)</f>
        <v>7.90081339423267</v>
      </c>
      <c r="CC514" s="17" t="n">
        <f aca="false">SQRT(($B514-CC$401)^2+($C514-CC$402)^2+($D514-CC$403)^2)</f>
        <v>0.293298898624129</v>
      </c>
      <c r="CD514" s="17" t="n">
        <f aca="false">SQRT(($B514-CD$401)^2+($C514-CD$402)^2+($D514-CD$403)^2)</f>
        <v>3.41014178810631</v>
      </c>
      <c r="CE514" s="17" t="n">
        <f aca="false">SQRT(($B514-CE$401)^2+($C514-CE$402)^2+($D514-CE$403)^2)</f>
        <v>1.67376431670884</v>
      </c>
      <c r="CF514" s="17" t="n">
        <f aca="false">SQRT(($B514-CF$401)^2+($C514-CF$402)^2+($D514-CF$403)^2)</f>
        <v>5.64689046213842</v>
      </c>
      <c r="CG514" s="17" t="n">
        <f aca="false">SQRT(($B514-CG$401)^2+($C514-CG$402)^2+($D514-CG$403)^2)</f>
        <v>1.9296112283277</v>
      </c>
      <c r="CH514" s="63" t="n">
        <f aca="false">MATCH(MIN(CB514:CG514),CB514:CG514,0)</f>
        <v>2</v>
      </c>
      <c r="CJ514" s="17" t="n">
        <f aca="false">SQRT(($B514-CJ$401)^2+($C514-CJ$402)^2+($D514-CJ$403)^2)</f>
        <v>7.90081339423267</v>
      </c>
      <c r="CK514" s="17" t="n">
        <f aca="false">SQRT(($B514-CK$401)^2+($C514-CK$402)^2+($D514-CK$403)^2)</f>
        <v>0.293298898624129</v>
      </c>
      <c r="CL514" s="17" t="n">
        <f aca="false">SQRT(($B514-CL$401)^2+($C514-CL$402)^2+($D514-CL$403)^2)</f>
        <v>3.41014178810631</v>
      </c>
      <c r="CM514" s="17" t="n">
        <f aca="false">SQRT(($B514-CM$401)^2+($C514-CM$402)^2+($D514-CM$403)^2)</f>
        <v>1.67376431670884</v>
      </c>
      <c r="CN514" s="17" t="n">
        <f aca="false">SQRT(($B514-CN$401)^2+($C514-CN$402)^2+($D514-CN$403)^2)</f>
        <v>5.64689046213842</v>
      </c>
      <c r="CO514" s="17" t="n">
        <f aca="false">SQRT(($B514-CO$401)^2+($C514-CO$402)^2+($D514-CO$403)^2)</f>
        <v>1.9296112283277</v>
      </c>
      <c r="CP514" s="63" t="n">
        <f aca="false">MATCH(MIN(CJ514:CO514),CJ514:CO514,0)</f>
        <v>2</v>
      </c>
      <c r="CR514" s="17" t="n">
        <f aca="false">SQRT(($B514-CR$401)^2+($C514-CR$402)^2+($D514-CR$403)^2)</f>
        <v>7.90081339423267</v>
      </c>
      <c r="CS514" s="17" t="n">
        <f aca="false">SQRT(($B514-CS$401)^2+($C514-CS$402)^2+($D514-CS$403)^2)</f>
        <v>0.293298898624129</v>
      </c>
      <c r="CT514" s="17" t="n">
        <f aca="false">SQRT(($B514-CT$401)^2+($C514-CT$402)^2+($D514-CT$403)^2)</f>
        <v>3.41014178810631</v>
      </c>
      <c r="CU514" s="17" t="n">
        <f aca="false">SQRT(($B514-CU$401)^2+($C514-CU$402)^2+($D514-CU$403)^2)</f>
        <v>1.67376431670884</v>
      </c>
      <c r="CV514" s="17" t="n">
        <f aca="false">SQRT(($B514-CV$401)^2+($C514-CV$402)^2+($D514-CV$403)^2)</f>
        <v>5.64689046213842</v>
      </c>
      <c r="CW514" s="17" t="n">
        <f aca="false">SQRT(($B514-CW$401)^2+($C514-CW$402)^2+($D514-CW$403)^2)</f>
        <v>1.9296112283277</v>
      </c>
      <c r="CX514" s="63" t="n">
        <f aca="false">MATCH(MIN(CR514:CW514),CR514:CW514,0)</f>
        <v>2</v>
      </c>
      <c r="CZ514" s="17" t="n">
        <f aca="false">SQRT(($B514-CZ$401)^2+($C514-CZ$402)^2+($D514-CZ$403)^2)</f>
        <v>7.90081339423267</v>
      </c>
      <c r="DA514" s="17" t="n">
        <f aca="false">SQRT(($B514-DA$401)^2+($C514-DA$402)^2+($D514-DA$403)^2)</f>
        <v>0.293298898624129</v>
      </c>
      <c r="DB514" s="17" t="n">
        <f aca="false">SQRT(($B514-DB$401)^2+($C514-DB$402)^2+($D514-DB$403)^2)</f>
        <v>3.41014178810631</v>
      </c>
      <c r="DC514" s="17" t="n">
        <f aca="false">SQRT(($B514-DC$401)^2+($C514-DC$402)^2+($D514-DC$403)^2)</f>
        <v>1.67376431670884</v>
      </c>
      <c r="DD514" s="17" t="n">
        <f aca="false">SQRT(($B514-DD$401)^2+($C514-DD$402)^2+($D514-DD$403)^2)</f>
        <v>5.64689046213842</v>
      </c>
      <c r="DE514" s="17" t="n">
        <f aca="false">SQRT(($B514-DE$401)^2+($C514-DE$402)^2+($D514-DE$403)^2)</f>
        <v>1.9296112283277</v>
      </c>
      <c r="DF514" s="63" t="n">
        <f aca="false">MATCH(MIN(CZ514:DE514),CZ514:DE514,0)</f>
        <v>2</v>
      </c>
      <c r="DH514" s="17" t="n">
        <f aca="false">SQRT(($B514-DH$401)^2+($C514-DH$402)^2+($D514-DH$403)^2)</f>
        <v>7.90081339423267</v>
      </c>
      <c r="DI514" s="17" t="n">
        <f aca="false">SQRT(($B514-DI$401)^2+($C514-DI$402)^2+($D514-DI$403)^2)</f>
        <v>0.293298898624129</v>
      </c>
      <c r="DJ514" s="17" t="n">
        <f aca="false">SQRT(($B514-DJ$401)^2+($C514-DJ$402)^2+($D514-DJ$403)^2)</f>
        <v>3.41014178810631</v>
      </c>
      <c r="DK514" s="17" t="n">
        <f aca="false">SQRT(($B514-DK$401)^2+($C514-DK$402)^2+($D514-DK$403)^2)</f>
        <v>1.67376431670884</v>
      </c>
      <c r="DL514" s="17" t="n">
        <f aca="false">SQRT(($B514-DL$401)^2+($C514-DL$402)^2+($D514-DL$403)^2)</f>
        <v>5.64689046213842</v>
      </c>
      <c r="DM514" s="17" t="n">
        <f aca="false">SQRT(($B514-DM$401)^2+($C514-DM$402)^2+($D514-DM$403)^2)</f>
        <v>1.9296112283277</v>
      </c>
      <c r="DN514" s="63" t="n">
        <f aca="false">MATCH(MIN(DH514:DM514),DH514:DM514,0)</f>
        <v>2</v>
      </c>
    </row>
    <row r="515" customFormat="false" ht="15" hidden="false" customHeight="false" outlineLevel="0" collapsed="false">
      <c r="A515" s="36" t="str">
        <f aca="false">KMeans_Data!A112</f>
        <v>Bhambore</v>
      </c>
      <c r="B515" s="17" t="n">
        <f aca="false">KMeans_Data!H112</f>
        <v>-1.50794322460649</v>
      </c>
      <c r="C515" s="17" t="n">
        <f aca="false">KMeans_Data!I112</f>
        <v>-0.672650545388274</v>
      </c>
      <c r="D515" s="17" t="n">
        <f aca="false">KMeans_Data!J112</f>
        <v>-1.14564411633355</v>
      </c>
      <c r="E515" s="63" t="n">
        <f aca="false">DN515</f>
        <v>2</v>
      </c>
      <c r="F515" s="38" t="n">
        <f aca="false">($B515-INDEX($L$401:$Q$401,E515))^2+($C515-INDEX($L$402:$Q$402,E515))^2+($D515-INDEX($L$403:$Q$403,E515))^2</f>
        <v>0.0860242439341271</v>
      </c>
      <c r="G515" s="17" t="n">
        <f aca="false">IF(COUNTIF(Distance_Matrix!$E$12:$DQ$12,$E515)&lt;=1,0,SUMIF(Distance_Matrix!$E$12:$DQ$12,$E515,Distance_Matrix!$E$121:$DQ$121)/(COUNTIF(Distance_Matrix!$E$12:$DQ$12,$E515)-1))</f>
        <v>0.50493236156717</v>
      </c>
      <c r="H515" s="17" t="n">
        <f aca="false">MIN(IF(1=$E515,1E+099,IF(COUNTIF(Distance_Matrix!$E$12:$DQ$12,1)=0,1E+099,SUMIF(Distance_Matrix!$E$12:$DQ$12,1,Distance_Matrix!$E$121:$DQ$121)/COUNTIF(Distance_Matrix!$E$12:$DQ$12,1))),IF(2=$E515,1E+099,IF(COUNTIF(Distance_Matrix!$E$12:$DQ$12,2)=0,1E+099,SUMIF(Distance_Matrix!$E$12:$DQ$12,2,Distance_Matrix!$E$121:$DQ$121)/COUNTIF(Distance_Matrix!$E$12:$DQ$12,2))),IF(3=$E515,1E+099,IF(COUNTIF(Distance_Matrix!$E$12:$DQ$12,3)=0,1E+099,SUMIF(Distance_Matrix!$E$12:$DQ$12,3,Distance_Matrix!$E$121:$DQ$121)/COUNTIF(Distance_Matrix!$E$12:$DQ$12,3))),IF(4=$E515,1E+099,IF(COUNTIF(Distance_Matrix!$E$12:$DQ$12,4)=0,1E+099,SUMIF(Distance_Matrix!$E$12:$DQ$12,4,Distance_Matrix!$E$121:$DQ$121)/COUNTIF(Distance_Matrix!$E$12:$DQ$12,4))),IF(5=$E515,1E+099,IF(COUNTIF(Distance_Matrix!$E$12:$DQ$12,5)=0,1E+099,SUMIF(Distance_Matrix!$E$12:$DQ$12,5,Distance_Matrix!$E$121:$DQ$121)/COUNTIF(Distance_Matrix!$E$12:$DQ$12,5))),IF(6=$E515,1E+099,IF(COUNTIF(Distance_Matrix!$E$12:$DQ$12,6)=0,1E+099,SUMIF(Distance_Matrix!$E$12:$DQ$12,6,Distance_Matrix!$E$121:$DQ$121)/COUNTIF(Distance_Matrix!$E$12:$DQ$12,6))))</f>
        <v>1.71142765444251</v>
      </c>
      <c r="I515" s="17" t="n">
        <f aca="false">IF(COUNTIF(Distance_Matrix!$E$12:$DQ$12,$E515)&lt;=1,0,(H515-G515)/MAX(G515,H515))</f>
        <v>0.704964238332557</v>
      </c>
      <c r="X515" s="17" t="n">
        <f aca="false">SQRT(($B515-X$401)^2+($C515-X$402)^2+($D515-X$403)^2)</f>
        <v>8.02581663311103</v>
      </c>
      <c r="Y515" s="17" t="n">
        <f aca="false">SQRT(($B515-Y$401)^2+($C515-Y$402)^2+($D515-Y$403)^2)</f>
        <v>0.571794757196831</v>
      </c>
      <c r="Z515" s="17" t="n">
        <f aca="false">SQRT(($B515-Z$401)^2+($C515-Z$402)^2+($D515-Z$403)^2)</f>
        <v>3.79835053358808</v>
      </c>
      <c r="AA515" s="17" t="n">
        <f aca="false">SQRT(($B515-AA$401)^2+($C515-AA$402)^2+($D515-AA$403)^2)</f>
        <v>2.21684219622619</v>
      </c>
      <c r="AB515" s="17" t="n">
        <f aca="false">SQRT(($B515-AB$401)^2+($C515-AB$402)^2+($D515-AB$403)^2)</f>
        <v>6.01450213396371</v>
      </c>
      <c r="AC515" s="17" t="n">
        <f aca="false">SQRT(($B515-AC$401)^2+($C515-AC$402)^2+($D515-AC$403)^2)</f>
        <v>2.01662422352502</v>
      </c>
      <c r="AD515" s="63" t="n">
        <f aca="false">MATCH(MIN(X515:AC515),X515:AC515,0)</f>
        <v>2</v>
      </c>
      <c r="AF515" s="17" t="n">
        <f aca="false">SQRT(($B515-AF$401)^2+($C515-AF$402)^2+($D515-AF$403)^2)</f>
        <v>7.90081339423267</v>
      </c>
      <c r="AG515" s="17" t="n">
        <f aca="false">SQRT(($B515-AG$401)^2+($C515-AG$402)^2+($D515-AG$403)^2)</f>
        <v>0.195144006286113</v>
      </c>
      <c r="AH515" s="17" t="n">
        <f aca="false">SQRT(($B515-AH$401)^2+($C515-AH$402)^2+($D515-AH$403)^2)</f>
        <v>3.44217341843937</v>
      </c>
      <c r="AI515" s="17" t="n">
        <f aca="false">SQRT(($B515-AI$401)^2+($C515-AI$402)^2+($D515-AI$403)^2)</f>
        <v>1.68248412513658</v>
      </c>
      <c r="AJ515" s="17" t="n">
        <f aca="false">SQRT(($B515-AJ$401)^2+($C515-AJ$402)^2+($D515-AJ$403)^2)</f>
        <v>5.64689046213842</v>
      </c>
      <c r="AK515" s="17" t="n">
        <f aca="false">SQRT(($B515-AK$401)^2+($C515-AK$402)^2+($D515-AK$403)^2)</f>
        <v>1.83321011843792</v>
      </c>
      <c r="AL515" s="63" t="n">
        <f aca="false">MATCH(MIN(AF515:AK515),AF515:AK515,0)</f>
        <v>2</v>
      </c>
      <c r="AN515" s="17" t="n">
        <f aca="false">SQRT(($B515-AN$401)^2+($C515-AN$402)^2+($D515-AN$403)^2)</f>
        <v>7.90081339423267</v>
      </c>
      <c r="AO515" s="17" t="n">
        <f aca="false">SQRT(($B515-AO$401)^2+($C515-AO$402)^2+($D515-AO$403)^2)</f>
        <v>0.241817538184614</v>
      </c>
      <c r="AP515" s="17" t="n">
        <f aca="false">SQRT(($B515-AP$401)^2+($C515-AP$402)^2+($D515-AP$403)^2)</f>
        <v>3.41014178810631</v>
      </c>
      <c r="AQ515" s="17" t="n">
        <f aca="false">SQRT(($B515-AQ$401)^2+($C515-AQ$402)^2+($D515-AQ$403)^2)</f>
        <v>1.67376431670884</v>
      </c>
      <c r="AR515" s="17" t="n">
        <f aca="false">SQRT(($B515-AR$401)^2+($C515-AR$402)^2+($D515-AR$403)^2)</f>
        <v>5.64689046213842</v>
      </c>
      <c r="AS515" s="17" t="n">
        <f aca="false">SQRT(($B515-AS$401)^2+($C515-AS$402)^2+($D515-AS$403)^2)</f>
        <v>1.87725644685077</v>
      </c>
      <c r="AT515" s="63" t="n">
        <f aca="false">MATCH(MIN(AN515:AS515),AN515:AS515,0)</f>
        <v>2</v>
      </c>
      <c r="AV515" s="17" t="n">
        <f aca="false">SQRT(($B515-AV$401)^2+($C515-AV$402)^2+($D515-AV$403)^2)</f>
        <v>7.90081339423267</v>
      </c>
      <c r="AW515" s="17" t="n">
        <f aca="false">SQRT(($B515-AW$401)^2+($C515-AW$402)^2+($D515-AW$403)^2)</f>
        <v>0.268119208914776</v>
      </c>
      <c r="AX515" s="17" t="n">
        <f aca="false">SQRT(($B515-AX$401)^2+($C515-AX$402)^2+($D515-AX$403)^2)</f>
        <v>3.41014178810631</v>
      </c>
      <c r="AY515" s="17" t="n">
        <f aca="false">SQRT(($B515-AY$401)^2+($C515-AY$402)^2+($D515-AY$403)^2)</f>
        <v>1.67376431670884</v>
      </c>
      <c r="AZ515" s="17" t="n">
        <f aca="false">SQRT(($B515-AZ$401)^2+($C515-AZ$402)^2+($D515-AZ$403)^2)</f>
        <v>5.64689046213842</v>
      </c>
      <c r="BA515" s="17" t="n">
        <f aca="false">SQRT(($B515-BA$401)^2+($C515-BA$402)^2+($D515-BA$403)^2)</f>
        <v>1.90307785156496</v>
      </c>
      <c r="BB515" s="63" t="n">
        <f aca="false">MATCH(MIN(AV515:BA515),AV515:BA515,0)</f>
        <v>2</v>
      </c>
      <c r="BD515" s="17" t="n">
        <f aca="false">SQRT(($B515-BD$401)^2+($C515-BD$402)^2+($D515-BD$403)^2)</f>
        <v>7.90081339423267</v>
      </c>
      <c r="BE515" s="17" t="n">
        <f aca="false">SQRT(($B515-BE$401)^2+($C515-BE$402)^2+($D515-BE$403)^2)</f>
        <v>0.293298898624129</v>
      </c>
      <c r="BF515" s="17" t="n">
        <f aca="false">SQRT(($B515-BF$401)^2+($C515-BF$402)^2+($D515-BF$403)^2)</f>
        <v>3.41014178810631</v>
      </c>
      <c r="BG515" s="17" t="n">
        <f aca="false">SQRT(($B515-BG$401)^2+($C515-BG$402)^2+($D515-BG$403)^2)</f>
        <v>1.67376431670884</v>
      </c>
      <c r="BH515" s="17" t="n">
        <f aca="false">SQRT(($B515-BH$401)^2+($C515-BH$402)^2+($D515-BH$403)^2)</f>
        <v>5.64689046213842</v>
      </c>
      <c r="BI515" s="17" t="n">
        <f aca="false">SQRT(($B515-BI$401)^2+($C515-BI$402)^2+($D515-BI$403)^2)</f>
        <v>1.9296112283277</v>
      </c>
      <c r="BJ515" s="63" t="n">
        <f aca="false">MATCH(MIN(BD515:BI515),BD515:BI515,0)</f>
        <v>2</v>
      </c>
      <c r="BL515" s="17" t="n">
        <f aca="false">SQRT(($B515-BL$401)^2+($C515-BL$402)^2+($D515-BL$403)^2)</f>
        <v>7.90081339423267</v>
      </c>
      <c r="BM515" s="17" t="n">
        <f aca="false">SQRT(($B515-BM$401)^2+($C515-BM$402)^2+($D515-BM$403)^2)</f>
        <v>0.293298898624129</v>
      </c>
      <c r="BN515" s="17" t="n">
        <f aca="false">SQRT(($B515-BN$401)^2+($C515-BN$402)^2+($D515-BN$403)^2)</f>
        <v>3.41014178810631</v>
      </c>
      <c r="BO515" s="17" t="n">
        <f aca="false">SQRT(($B515-BO$401)^2+($C515-BO$402)^2+($D515-BO$403)^2)</f>
        <v>1.67376431670884</v>
      </c>
      <c r="BP515" s="17" t="n">
        <f aca="false">SQRT(($B515-BP$401)^2+($C515-BP$402)^2+($D515-BP$403)^2)</f>
        <v>5.64689046213842</v>
      </c>
      <c r="BQ515" s="17" t="n">
        <f aca="false">SQRT(($B515-BQ$401)^2+($C515-BQ$402)^2+($D515-BQ$403)^2)</f>
        <v>1.9296112283277</v>
      </c>
      <c r="BR515" s="63" t="n">
        <f aca="false">MATCH(MIN(BL515:BQ515),BL515:BQ515,0)</f>
        <v>2</v>
      </c>
      <c r="BT515" s="17" t="n">
        <f aca="false">SQRT(($B515-BT$401)^2+($C515-BT$402)^2+($D515-BT$403)^2)</f>
        <v>7.90081339423267</v>
      </c>
      <c r="BU515" s="17" t="n">
        <f aca="false">SQRT(($B515-BU$401)^2+($C515-BU$402)^2+($D515-BU$403)^2)</f>
        <v>0.293298898624129</v>
      </c>
      <c r="BV515" s="17" t="n">
        <f aca="false">SQRT(($B515-BV$401)^2+($C515-BV$402)^2+($D515-BV$403)^2)</f>
        <v>3.41014178810631</v>
      </c>
      <c r="BW515" s="17" t="n">
        <f aca="false">SQRT(($B515-BW$401)^2+($C515-BW$402)^2+($D515-BW$403)^2)</f>
        <v>1.67376431670884</v>
      </c>
      <c r="BX515" s="17" t="n">
        <f aca="false">SQRT(($B515-BX$401)^2+($C515-BX$402)^2+($D515-BX$403)^2)</f>
        <v>5.64689046213842</v>
      </c>
      <c r="BY515" s="17" t="n">
        <f aca="false">SQRT(($B515-BY$401)^2+($C515-BY$402)^2+($D515-BY$403)^2)</f>
        <v>1.9296112283277</v>
      </c>
      <c r="BZ515" s="63" t="n">
        <f aca="false">MATCH(MIN(BT515:BY515),BT515:BY515,0)</f>
        <v>2</v>
      </c>
      <c r="CB515" s="17" t="n">
        <f aca="false">SQRT(($B515-CB$401)^2+($C515-CB$402)^2+($D515-CB$403)^2)</f>
        <v>7.90081339423267</v>
      </c>
      <c r="CC515" s="17" t="n">
        <f aca="false">SQRT(($B515-CC$401)^2+($C515-CC$402)^2+($D515-CC$403)^2)</f>
        <v>0.293298898624129</v>
      </c>
      <c r="CD515" s="17" t="n">
        <f aca="false">SQRT(($B515-CD$401)^2+($C515-CD$402)^2+($D515-CD$403)^2)</f>
        <v>3.41014178810631</v>
      </c>
      <c r="CE515" s="17" t="n">
        <f aca="false">SQRT(($B515-CE$401)^2+($C515-CE$402)^2+($D515-CE$403)^2)</f>
        <v>1.67376431670884</v>
      </c>
      <c r="CF515" s="17" t="n">
        <f aca="false">SQRT(($B515-CF$401)^2+($C515-CF$402)^2+($D515-CF$403)^2)</f>
        <v>5.64689046213842</v>
      </c>
      <c r="CG515" s="17" t="n">
        <f aca="false">SQRT(($B515-CG$401)^2+($C515-CG$402)^2+($D515-CG$403)^2)</f>
        <v>1.9296112283277</v>
      </c>
      <c r="CH515" s="63" t="n">
        <f aca="false">MATCH(MIN(CB515:CG515),CB515:CG515,0)</f>
        <v>2</v>
      </c>
      <c r="CJ515" s="17" t="n">
        <f aca="false">SQRT(($B515-CJ$401)^2+($C515-CJ$402)^2+($D515-CJ$403)^2)</f>
        <v>7.90081339423267</v>
      </c>
      <c r="CK515" s="17" t="n">
        <f aca="false">SQRT(($B515-CK$401)^2+($C515-CK$402)^2+($D515-CK$403)^2)</f>
        <v>0.293298898624129</v>
      </c>
      <c r="CL515" s="17" t="n">
        <f aca="false">SQRT(($B515-CL$401)^2+($C515-CL$402)^2+($D515-CL$403)^2)</f>
        <v>3.41014178810631</v>
      </c>
      <c r="CM515" s="17" t="n">
        <f aca="false">SQRT(($B515-CM$401)^2+($C515-CM$402)^2+($D515-CM$403)^2)</f>
        <v>1.67376431670884</v>
      </c>
      <c r="CN515" s="17" t="n">
        <f aca="false">SQRT(($B515-CN$401)^2+($C515-CN$402)^2+($D515-CN$403)^2)</f>
        <v>5.64689046213842</v>
      </c>
      <c r="CO515" s="17" t="n">
        <f aca="false">SQRT(($B515-CO$401)^2+($C515-CO$402)^2+($D515-CO$403)^2)</f>
        <v>1.9296112283277</v>
      </c>
      <c r="CP515" s="63" t="n">
        <f aca="false">MATCH(MIN(CJ515:CO515),CJ515:CO515,0)</f>
        <v>2</v>
      </c>
      <c r="CR515" s="17" t="n">
        <f aca="false">SQRT(($B515-CR$401)^2+($C515-CR$402)^2+($D515-CR$403)^2)</f>
        <v>7.90081339423267</v>
      </c>
      <c r="CS515" s="17" t="n">
        <f aca="false">SQRT(($B515-CS$401)^2+($C515-CS$402)^2+($D515-CS$403)^2)</f>
        <v>0.293298898624129</v>
      </c>
      <c r="CT515" s="17" t="n">
        <f aca="false">SQRT(($B515-CT$401)^2+($C515-CT$402)^2+($D515-CT$403)^2)</f>
        <v>3.41014178810631</v>
      </c>
      <c r="CU515" s="17" t="n">
        <f aca="false">SQRT(($B515-CU$401)^2+($C515-CU$402)^2+($D515-CU$403)^2)</f>
        <v>1.67376431670884</v>
      </c>
      <c r="CV515" s="17" t="n">
        <f aca="false">SQRT(($B515-CV$401)^2+($C515-CV$402)^2+($D515-CV$403)^2)</f>
        <v>5.64689046213842</v>
      </c>
      <c r="CW515" s="17" t="n">
        <f aca="false">SQRT(($B515-CW$401)^2+($C515-CW$402)^2+($D515-CW$403)^2)</f>
        <v>1.9296112283277</v>
      </c>
      <c r="CX515" s="63" t="n">
        <f aca="false">MATCH(MIN(CR515:CW515),CR515:CW515,0)</f>
        <v>2</v>
      </c>
      <c r="CZ515" s="17" t="n">
        <f aca="false">SQRT(($B515-CZ$401)^2+($C515-CZ$402)^2+($D515-CZ$403)^2)</f>
        <v>7.90081339423267</v>
      </c>
      <c r="DA515" s="17" t="n">
        <f aca="false">SQRT(($B515-DA$401)^2+($C515-DA$402)^2+($D515-DA$403)^2)</f>
        <v>0.293298898624129</v>
      </c>
      <c r="DB515" s="17" t="n">
        <f aca="false">SQRT(($B515-DB$401)^2+($C515-DB$402)^2+($D515-DB$403)^2)</f>
        <v>3.41014178810631</v>
      </c>
      <c r="DC515" s="17" t="n">
        <f aca="false">SQRT(($B515-DC$401)^2+($C515-DC$402)^2+($D515-DC$403)^2)</f>
        <v>1.67376431670884</v>
      </c>
      <c r="DD515" s="17" t="n">
        <f aca="false">SQRT(($B515-DD$401)^2+($C515-DD$402)^2+($D515-DD$403)^2)</f>
        <v>5.64689046213842</v>
      </c>
      <c r="DE515" s="17" t="n">
        <f aca="false">SQRT(($B515-DE$401)^2+($C515-DE$402)^2+($D515-DE$403)^2)</f>
        <v>1.9296112283277</v>
      </c>
      <c r="DF515" s="63" t="n">
        <f aca="false">MATCH(MIN(CZ515:DE515),CZ515:DE515,0)</f>
        <v>2</v>
      </c>
      <c r="DH515" s="17" t="n">
        <f aca="false">SQRT(($B515-DH$401)^2+($C515-DH$402)^2+($D515-DH$403)^2)</f>
        <v>7.90081339423267</v>
      </c>
      <c r="DI515" s="17" t="n">
        <f aca="false">SQRT(($B515-DI$401)^2+($C515-DI$402)^2+($D515-DI$403)^2)</f>
        <v>0.293298898624129</v>
      </c>
      <c r="DJ515" s="17" t="n">
        <f aca="false">SQRT(($B515-DJ$401)^2+($C515-DJ$402)^2+($D515-DJ$403)^2)</f>
        <v>3.41014178810631</v>
      </c>
      <c r="DK515" s="17" t="n">
        <f aca="false">SQRT(($B515-DK$401)^2+($C515-DK$402)^2+($D515-DK$403)^2)</f>
        <v>1.67376431670884</v>
      </c>
      <c r="DL515" s="17" t="n">
        <f aca="false">SQRT(($B515-DL$401)^2+($C515-DL$402)^2+($D515-DL$403)^2)</f>
        <v>5.64689046213842</v>
      </c>
      <c r="DM515" s="17" t="n">
        <f aca="false">SQRT(($B515-DM$401)^2+($C515-DM$402)^2+($D515-DM$403)^2)</f>
        <v>1.9296112283277</v>
      </c>
      <c r="DN515" s="63" t="n">
        <f aca="false">MATCH(MIN(DH515:DM515),DH515:DM515,0)</f>
        <v>2</v>
      </c>
    </row>
    <row r="516" customFormat="false" ht="15" hidden="false" customHeight="false" outlineLevel="0" collapsed="false">
      <c r="A516" s="36" t="str">
        <f aca="false">KMeans_Data!A113</f>
        <v>Jhang</v>
      </c>
      <c r="B516" s="17" t="n">
        <f aca="false">KMeans_Data!H113</f>
        <v>-1.50794322460649</v>
      </c>
      <c r="C516" s="17" t="n">
        <f aca="false">KMeans_Data!I113</f>
        <v>-0.672650545388274</v>
      </c>
      <c r="D516" s="17" t="n">
        <f aca="false">KMeans_Data!J113</f>
        <v>-1.14564411633355</v>
      </c>
      <c r="E516" s="63" t="n">
        <f aca="false">DN516</f>
        <v>2</v>
      </c>
      <c r="F516" s="38" t="n">
        <f aca="false">($B516-INDEX($L$401:$Q$401,E516))^2+($C516-INDEX($L$402:$Q$402,E516))^2+($D516-INDEX($L$403:$Q$403,E516))^2</f>
        <v>0.0860242439341271</v>
      </c>
      <c r="G516" s="17" t="n">
        <f aca="false">IF(COUNTIF(Distance_Matrix!$E$12:$DQ$12,$E516)&lt;=1,0,SUMIF(Distance_Matrix!$E$12:$DQ$12,$E516,Distance_Matrix!$E$122:$DQ$122)/(COUNTIF(Distance_Matrix!$E$12:$DQ$12,$E516)-1))</f>
        <v>0.50493236156717</v>
      </c>
      <c r="H516" s="17" t="n">
        <f aca="false">MIN(IF(1=$E516,1E+099,IF(COUNTIF(Distance_Matrix!$E$12:$DQ$12,1)=0,1E+099,SUMIF(Distance_Matrix!$E$12:$DQ$12,1,Distance_Matrix!$E$122:$DQ$122)/COUNTIF(Distance_Matrix!$E$12:$DQ$12,1))),IF(2=$E516,1E+099,IF(COUNTIF(Distance_Matrix!$E$12:$DQ$12,2)=0,1E+099,SUMIF(Distance_Matrix!$E$12:$DQ$12,2,Distance_Matrix!$E$122:$DQ$122)/COUNTIF(Distance_Matrix!$E$12:$DQ$12,2))),IF(3=$E516,1E+099,IF(COUNTIF(Distance_Matrix!$E$12:$DQ$12,3)=0,1E+099,SUMIF(Distance_Matrix!$E$12:$DQ$12,3,Distance_Matrix!$E$122:$DQ$122)/COUNTIF(Distance_Matrix!$E$12:$DQ$12,3))),IF(4=$E516,1E+099,IF(COUNTIF(Distance_Matrix!$E$12:$DQ$12,4)=0,1E+099,SUMIF(Distance_Matrix!$E$12:$DQ$12,4,Distance_Matrix!$E$122:$DQ$122)/COUNTIF(Distance_Matrix!$E$12:$DQ$12,4))),IF(5=$E516,1E+099,IF(COUNTIF(Distance_Matrix!$E$12:$DQ$12,5)=0,1E+099,SUMIF(Distance_Matrix!$E$12:$DQ$12,5,Distance_Matrix!$E$122:$DQ$122)/COUNTIF(Distance_Matrix!$E$12:$DQ$12,5))),IF(6=$E516,1E+099,IF(COUNTIF(Distance_Matrix!$E$12:$DQ$12,6)=0,1E+099,SUMIF(Distance_Matrix!$E$12:$DQ$12,6,Distance_Matrix!$E$122:$DQ$122)/COUNTIF(Distance_Matrix!$E$12:$DQ$12,6))))</f>
        <v>1.71142765444251</v>
      </c>
      <c r="I516" s="17" t="n">
        <f aca="false">IF(COUNTIF(Distance_Matrix!$E$12:$DQ$12,$E516)&lt;=1,0,(H516-G516)/MAX(G516,H516))</f>
        <v>0.704964238332557</v>
      </c>
      <c r="X516" s="17" t="n">
        <f aca="false">SQRT(($B516-X$401)^2+($C516-X$402)^2+($D516-X$403)^2)</f>
        <v>8.02581663311103</v>
      </c>
      <c r="Y516" s="17" t="n">
        <f aca="false">SQRT(($B516-Y$401)^2+($C516-Y$402)^2+($D516-Y$403)^2)</f>
        <v>0.571794757196831</v>
      </c>
      <c r="Z516" s="17" t="n">
        <f aca="false">SQRT(($B516-Z$401)^2+($C516-Z$402)^2+($D516-Z$403)^2)</f>
        <v>3.79835053358808</v>
      </c>
      <c r="AA516" s="17" t="n">
        <f aca="false">SQRT(($B516-AA$401)^2+($C516-AA$402)^2+($D516-AA$403)^2)</f>
        <v>2.21684219622619</v>
      </c>
      <c r="AB516" s="17" t="n">
        <f aca="false">SQRT(($B516-AB$401)^2+($C516-AB$402)^2+($D516-AB$403)^2)</f>
        <v>6.01450213396371</v>
      </c>
      <c r="AC516" s="17" t="n">
        <f aca="false">SQRT(($B516-AC$401)^2+($C516-AC$402)^2+($D516-AC$403)^2)</f>
        <v>2.01662422352502</v>
      </c>
      <c r="AD516" s="63" t="n">
        <f aca="false">MATCH(MIN(X516:AC516),X516:AC516,0)</f>
        <v>2</v>
      </c>
      <c r="AF516" s="17" t="n">
        <f aca="false">SQRT(($B516-AF$401)^2+($C516-AF$402)^2+($D516-AF$403)^2)</f>
        <v>7.90081339423267</v>
      </c>
      <c r="AG516" s="17" t="n">
        <f aca="false">SQRT(($B516-AG$401)^2+($C516-AG$402)^2+($D516-AG$403)^2)</f>
        <v>0.195144006286113</v>
      </c>
      <c r="AH516" s="17" t="n">
        <f aca="false">SQRT(($B516-AH$401)^2+($C516-AH$402)^2+($D516-AH$403)^2)</f>
        <v>3.44217341843937</v>
      </c>
      <c r="AI516" s="17" t="n">
        <f aca="false">SQRT(($B516-AI$401)^2+($C516-AI$402)^2+($D516-AI$403)^2)</f>
        <v>1.68248412513658</v>
      </c>
      <c r="AJ516" s="17" t="n">
        <f aca="false">SQRT(($B516-AJ$401)^2+($C516-AJ$402)^2+($D516-AJ$403)^2)</f>
        <v>5.64689046213842</v>
      </c>
      <c r="AK516" s="17" t="n">
        <f aca="false">SQRT(($B516-AK$401)^2+($C516-AK$402)^2+($D516-AK$403)^2)</f>
        <v>1.83321011843792</v>
      </c>
      <c r="AL516" s="63" t="n">
        <f aca="false">MATCH(MIN(AF516:AK516),AF516:AK516,0)</f>
        <v>2</v>
      </c>
      <c r="AN516" s="17" t="n">
        <f aca="false">SQRT(($B516-AN$401)^2+($C516-AN$402)^2+($D516-AN$403)^2)</f>
        <v>7.90081339423267</v>
      </c>
      <c r="AO516" s="17" t="n">
        <f aca="false">SQRT(($B516-AO$401)^2+($C516-AO$402)^2+($D516-AO$403)^2)</f>
        <v>0.241817538184614</v>
      </c>
      <c r="AP516" s="17" t="n">
        <f aca="false">SQRT(($B516-AP$401)^2+($C516-AP$402)^2+($D516-AP$403)^2)</f>
        <v>3.41014178810631</v>
      </c>
      <c r="AQ516" s="17" t="n">
        <f aca="false">SQRT(($B516-AQ$401)^2+($C516-AQ$402)^2+($D516-AQ$403)^2)</f>
        <v>1.67376431670884</v>
      </c>
      <c r="AR516" s="17" t="n">
        <f aca="false">SQRT(($B516-AR$401)^2+($C516-AR$402)^2+($D516-AR$403)^2)</f>
        <v>5.64689046213842</v>
      </c>
      <c r="AS516" s="17" t="n">
        <f aca="false">SQRT(($B516-AS$401)^2+($C516-AS$402)^2+($D516-AS$403)^2)</f>
        <v>1.87725644685077</v>
      </c>
      <c r="AT516" s="63" t="n">
        <f aca="false">MATCH(MIN(AN516:AS516),AN516:AS516,0)</f>
        <v>2</v>
      </c>
      <c r="AV516" s="17" t="n">
        <f aca="false">SQRT(($B516-AV$401)^2+($C516-AV$402)^2+($D516-AV$403)^2)</f>
        <v>7.90081339423267</v>
      </c>
      <c r="AW516" s="17" t="n">
        <f aca="false">SQRT(($B516-AW$401)^2+($C516-AW$402)^2+($D516-AW$403)^2)</f>
        <v>0.268119208914776</v>
      </c>
      <c r="AX516" s="17" t="n">
        <f aca="false">SQRT(($B516-AX$401)^2+($C516-AX$402)^2+($D516-AX$403)^2)</f>
        <v>3.41014178810631</v>
      </c>
      <c r="AY516" s="17" t="n">
        <f aca="false">SQRT(($B516-AY$401)^2+($C516-AY$402)^2+($D516-AY$403)^2)</f>
        <v>1.67376431670884</v>
      </c>
      <c r="AZ516" s="17" t="n">
        <f aca="false">SQRT(($B516-AZ$401)^2+($C516-AZ$402)^2+($D516-AZ$403)^2)</f>
        <v>5.64689046213842</v>
      </c>
      <c r="BA516" s="17" t="n">
        <f aca="false">SQRT(($B516-BA$401)^2+($C516-BA$402)^2+($D516-BA$403)^2)</f>
        <v>1.90307785156496</v>
      </c>
      <c r="BB516" s="63" t="n">
        <f aca="false">MATCH(MIN(AV516:BA516),AV516:BA516,0)</f>
        <v>2</v>
      </c>
      <c r="BD516" s="17" t="n">
        <f aca="false">SQRT(($B516-BD$401)^2+($C516-BD$402)^2+($D516-BD$403)^2)</f>
        <v>7.90081339423267</v>
      </c>
      <c r="BE516" s="17" t="n">
        <f aca="false">SQRT(($B516-BE$401)^2+($C516-BE$402)^2+($D516-BE$403)^2)</f>
        <v>0.293298898624129</v>
      </c>
      <c r="BF516" s="17" t="n">
        <f aca="false">SQRT(($B516-BF$401)^2+($C516-BF$402)^2+($D516-BF$403)^2)</f>
        <v>3.41014178810631</v>
      </c>
      <c r="BG516" s="17" t="n">
        <f aca="false">SQRT(($B516-BG$401)^2+($C516-BG$402)^2+($D516-BG$403)^2)</f>
        <v>1.67376431670884</v>
      </c>
      <c r="BH516" s="17" t="n">
        <f aca="false">SQRT(($B516-BH$401)^2+($C516-BH$402)^2+($D516-BH$403)^2)</f>
        <v>5.64689046213842</v>
      </c>
      <c r="BI516" s="17" t="n">
        <f aca="false">SQRT(($B516-BI$401)^2+($C516-BI$402)^2+($D516-BI$403)^2)</f>
        <v>1.9296112283277</v>
      </c>
      <c r="BJ516" s="63" t="n">
        <f aca="false">MATCH(MIN(BD516:BI516),BD516:BI516,0)</f>
        <v>2</v>
      </c>
      <c r="BL516" s="17" t="n">
        <f aca="false">SQRT(($B516-BL$401)^2+($C516-BL$402)^2+($D516-BL$403)^2)</f>
        <v>7.90081339423267</v>
      </c>
      <c r="BM516" s="17" t="n">
        <f aca="false">SQRT(($B516-BM$401)^2+($C516-BM$402)^2+($D516-BM$403)^2)</f>
        <v>0.293298898624129</v>
      </c>
      <c r="BN516" s="17" t="n">
        <f aca="false">SQRT(($B516-BN$401)^2+($C516-BN$402)^2+($D516-BN$403)^2)</f>
        <v>3.41014178810631</v>
      </c>
      <c r="BO516" s="17" t="n">
        <f aca="false">SQRT(($B516-BO$401)^2+($C516-BO$402)^2+($D516-BO$403)^2)</f>
        <v>1.67376431670884</v>
      </c>
      <c r="BP516" s="17" t="n">
        <f aca="false">SQRT(($B516-BP$401)^2+($C516-BP$402)^2+($D516-BP$403)^2)</f>
        <v>5.64689046213842</v>
      </c>
      <c r="BQ516" s="17" t="n">
        <f aca="false">SQRT(($B516-BQ$401)^2+($C516-BQ$402)^2+($D516-BQ$403)^2)</f>
        <v>1.9296112283277</v>
      </c>
      <c r="BR516" s="63" t="n">
        <f aca="false">MATCH(MIN(BL516:BQ516),BL516:BQ516,0)</f>
        <v>2</v>
      </c>
      <c r="BT516" s="17" t="n">
        <f aca="false">SQRT(($B516-BT$401)^2+($C516-BT$402)^2+($D516-BT$403)^2)</f>
        <v>7.90081339423267</v>
      </c>
      <c r="BU516" s="17" t="n">
        <f aca="false">SQRT(($B516-BU$401)^2+($C516-BU$402)^2+($D516-BU$403)^2)</f>
        <v>0.293298898624129</v>
      </c>
      <c r="BV516" s="17" t="n">
        <f aca="false">SQRT(($B516-BV$401)^2+($C516-BV$402)^2+($D516-BV$403)^2)</f>
        <v>3.41014178810631</v>
      </c>
      <c r="BW516" s="17" t="n">
        <f aca="false">SQRT(($B516-BW$401)^2+($C516-BW$402)^2+($D516-BW$403)^2)</f>
        <v>1.67376431670884</v>
      </c>
      <c r="BX516" s="17" t="n">
        <f aca="false">SQRT(($B516-BX$401)^2+($C516-BX$402)^2+($D516-BX$403)^2)</f>
        <v>5.64689046213842</v>
      </c>
      <c r="BY516" s="17" t="n">
        <f aca="false">SQRT(($B516-BY$401)^2+($C516-BY$402)^2+($D516-BY$403)^2)</f>
        <v>1.9296112283277</v>
      </c>
      <c r="BZ516" s="63" t="n">
        <f aca="false">MATCH(MIN(BT516:BY516),BT516:BY516,0)</f>
        <v>2</v>
      </c>
      <c r="CB516" s="17" t="n">
        <f aca="false">SQRT(($B516-CB$401)^2+($C516-CB$402)^2+($D516-CB$403)^2)</f>
        <v>7.90081339423267</v>
      </c>
      <c r="CC516" s="17" t="n">
        <f aca="false">SQRT(($B516-CC$401)^2+($C516-CC$402)^2+($D516-CC$403)^2)</f>
        <v>0.293298898624129</v>
      </c>
      <c r="CD516" s="17" t="n">
        <f aca="false">SQRT(($B516-CD$401)^2+($C516-CD$402)^2+($D516-CD$403)^2)</f>
        <v>3.41014178810631</v>
      </c>
      <c r="CE516" s="17" t="n">
        <f aca="false">SQRT(($B516-CE$401)^2+($C516-CE$402)^2+($D516-CE$403)^2)</f>
        <v>1.67376431670884</v>
      </c>
      <c r="CF516" s="17" t="n">
        <f aca="false">SQRT(($B516-CF$401)^2+($C516-CF$402)^2+($D516-CF$403)^2)</f>
        <v>5.64689046213842</v>
      </c>
      <c r="CG516" s="17" t="n">
        <f aca="false">SQRT(($B516-CG$401)^2+($C516-CG$402)^2+($D516-CG$403)^2)</f>
        <v>1.9296112283277</v>
      </c>
      <c r="CH516" s="63" t="n">
        <f aca="false">MATCH(MIN(CB516:CG516),CB516:CG516,0)</f>
        <v>2</v>
      </c>
      <c r="CJ516" s="17" t="n">
        <f aca="false">SQRT(($B516-CJ$401)^2+($C516-CJ$402)^2+($D516-CJ$403)^2)</f>
        <v>7.90081339423267</v>
      </c>
      <c r="CK516" s="17" t="n">
        <f aca="false">SQRT(($B516-CK$401)^2+($C516-CK$402)^2+($D516-CK$403)^2)</f>
        <v>0.293298898624129</v>
      </c>
      <c r="CL516" s="17" t="n">
        <f aca="false">SQRT(($B516-CL$401)^2+($C516-CL$402)^2+($D516-CL$403)^2)</f>
        <v>3.41014178810631</v>
      </c>
      <c r="CM516" s="17" t="n">
        <f aca="false">SQRT(($B516-CM$401)^2+($C516-CM$402)^2+($D516-CM$403)^2)</f>
        <v>1.67376431670884</v>
      </c>
      <c r="CN516" s="17" t="n">
        <f aca="false">SQRT(($B516-CN$401)^2+($C516-CN$402)^2+($D516-CN$403)^2)</f>
        <v>5.64689046213842</v>
      </c>
      <c r="CO516" s="17" t="n">
        <f aca="false">SQRT(($B516-CO$401)^2+($C516-CO$402)^2+($D516-CO$403)^2)</f>
        <v>1.9296112283277</v>
      </c>
      <c r="CP516" s="63" t="n">
        <f aca="false">MATCH(MIN(CJ516:CO516),CJ516:CO516,0)</f>
        <v>2</v>
      </c>
      <c r="CR516" s="17" t="n">
        <f aca="false">SQRT(($B516-CR$401)^2+($C516-CR$402)^2+($D516-CR$403)^2)</f>
        <v>7.90081339423267</v>
      </c>
      <c r="CS516" s="17" t="n">
        <f aca="false">SQRT(($B516-CS$401)^2+($C516-CS$402)^2+($D516-CS$403)^2)</f>
        <v>0.293298898624129</v>
      </c>
      <c r="CT516" s="17" t="n">
        <f aca="false">SQRT(($B516-CT$401)^2+($C516-CT$402)^2+($D516-CT$403)^2)</f>
        <v>3.41014178810631</v>
      </c>
      <c r="CU516" s="17" t="n">
        <f aca="false">SQRT(($B516-CU$401)^2+($C516-CU$402)^2+($D516-CU$403)^2)</f>
        <v>1.67376431670884</v>
      </c>
      <c r="CV516" s="17" t="n">
        <f aca="false">SQRT(($B516-CV$401)^2+($C516-CV$402)^2+($D516-CV$403)^2)</f>
        <v>5.64689046213842</v>
      </c>
      <c r="CW516" s="17" t="n">
        <f aca="false">SQRT(($B516-CW$401)^2+($C516-CW$402)^2+($D516-CW$403)^2)</f>
        <v>1.9296112283277</v>
      </c>
      <c r="CX516" s="63" t="n">
        <f aca="false">MATCH(MIN(CR516:CW516),CR516:CW516,0)</f>
        <v>2</v>
      </c>
      <c r="CZ516" s="17" t="n">
        <f aca="false">SQRT(($B516-CZ$401)^2+($C516-CZ$402)^2+($D516-CZ$403)^2)</f>
        <v>7.90081339423267</v>
      </c>
      <c r="DA516" s="17" t="n">
        <f aca="false">SQRT(($B516-DA$401)^2+($C516-DA$402)^2+($D516-DA$403)^2)</f>
        <v>0.293298898624129</v>
      </c>
      <c r="DB516" s="17" t="n">
        <f aca="false">SQRT(($B516-DB$401)^2+($C516-DB$402)^2+($D516-DB$403)^2)</f>
        <v>3.41014178810631</v>
      </c>
      <c r="DC516" s="17" t="n">
        <f aca="false">SQRT(($B516-DC$401)^2+($C516-DC$402)^2+($D516-DC$403)^2)</f>
        <v>1.67376431670884</v>
      </c>
      <c r="DD516" s="17" t="n">
        <f aca="false">SQRT(($B516-DD$401)^2+($C516-DD$402)^2+($D516-DD$403)^2)</f>
        <v>5.64689046213842</v>
      </c>
      <c r="DE516" s="17" t="n">
        <f aca="false">SQRT(($B516-DE$401)^2+($C516-DE$402)^2+($D516-DE$403)^2)</f>
        <v>1.9296112283277</v>
      </c>
      <c r="DF516" s="63" t="n">
        <f aca="false">MATCH(MIN(CZ516:DE516),CZ516:DE516,0)</f>
        <v>2</v>
      </c>
      <c r="DH516" s="17" t="n">
        <f aca="false">SQRT(($B516-DH$401)^2+($C516-DH$402)^2+($D516-DH$403)^2)</f>
        <v>7.90081339423267</v>
      </c>
      <c r="DI516" s="17" t="n">
        <f aca="false">SQRT(($B516-DI$401)^2+($C516-DI$402)^2+($D516-DI$403)^2)</f>
        <v>0.293298898624129</v>
      </c>
      <c r="DJ516" s="17" t="n">
        <f aca="false">SQRT(($B516-DJ$401)^2+($C516-DJ$402)^2+($D516-DJ$403)^2)</f>
        <v>3.41014178810631</v>
      </c>
      <c r="DK516" s="17" t="n">
        <f aca="false">SQRT(($B516-DK$401)^2+($C516-DK$402)^2+($D516-DK$403)^2)</f>
        <v>1.67376431670884</v>
      </c>
      <c r="DL516" s="17" t="n">
        <f aca="false">SQRT(($B516-DL$401)^2+($C516-DL$402)^2+($D516-DL$403)^2)</f>
        <v>5.64689046213842</v>
      </c>
      <c r="DM516" s="17" t="n">
        <f aca="false">SQRT(($B516-DM$401)^2+($C516-DM$402)^2+($D516-DM$403)^2)</f>
        <v>1.9296112283277</v>
      </c>
      <c r="DN516" s="63" t="n">
        <f aca="false">MATCH(MIN(DH516:DM516),DH516:DM516,0)</f>
        <v>2</v>
      </c>
    </row>
    <row r="517" customFormat="false" ht="15" hidden="false" customHeight="false" outlineLevel="0" collapsed="false">
      <c r="A517" s="36" t="str">
        <f aca="false">KMeans_Data!A114</f>
        <v>Tor Ghar</v>
      </c>
      <c r="B517" s="17" t="n">
        <f aca="false">KMeans_Data!H114</f>
        <v>-1.50794322460649</v>
      </c>
      <c r="C517" s="17" t="n">
        <f aca="false">KMeans_Data!I114</f>
        <v>-0.672650545388274</v>
      </c>
      <c r="D517" s="17" t="n">
        <f aca="false">KMeans_Data!J114</f>
        <v>-1.14564411633355</v>
      </c>
      <c r="E517" s="63" t="n">
        <f aca="false">DN517</f>
        <v>2</v>
      </c>
      <c r="F517" s="38" t="n">
        <f aca="false">($B517-INDEX($L$401:$Q$401,E517))^2+($C517-INDEX($L$402:$Q$402,E517))^2+($D517-INDEX($L$403:$Q$403,E517))^2</f>
        <v>0.0860242439341271</v>
      </c>
      <c r="G517" s="17" t="n">
        <f aca="false">IF(COUNTIF(Distance_Matrix!$E$12:$DQ$12,$E517)&lt;=1,0,SUMIF(Distance_Matrix!$E$12:$DQ$12,$E517,Distance_Matrix!$E$123:$DQ$123)/(COUNTIF(Distance_Matrix!$E$12:$DQ$12,$E517)-1))</f>
        <v>0.50493236156717</v>
      </c>
      <c r="H517" s="17" t="n">
        <f aca="false">MIN(IF(1=$E517,1E+099,IF(COUNTIF(Distance_Matrix!$E$12:$DQ$12,1)=0,1E+099,SUMIF(Distance_Matrix!$E$12:$DQ$12,1,Distance_Matrix!$E$123:$DQ$123)/COUNTIF(Distance_Matrix!$E$12:$DQ$12,1))),IF(2=$E517,1E+099,IF(COUNTIF(Distance_Matrix!$E$12:$DQ$12,2)=0,1E+099,SUMIF(Distance_Matrix!$E$12:$DQ$12,2,Distance_Matrix!$E$123:$DQ$123)/COUNTIF(Distance_Matrix!$E$12:$DQ$12,2))),IF(3=$E517,1E+099,IF(COUNTIF(Distance_Matrix!$E$12:$DQ$12,3)=0,1E+099,SUMIF(Distance_Matrix!$E$12:$DQ$12,3,Distance_Matrix!$E$123:$DQ$123)/COUNTIF(Distance_Matrix!$E$12:$DQ$12,3))),IF(4=$E517,1E+099,IF(COUNTIF(Distance_Matrix!$E$12:$DQ$12,4)=0,1E+099,SUMIF(Distance_Matrix!$E$12:$DQ$12,4,Distance_Matrix!$E$123:$DQ$123)/COUNTIF(Distance_Matrix!$E$12:$DQ$12,4))),IF(5=$E517,1E+099,IF(COUNTIF(Distance_Matrix!$E$12:$DQ$12,5)=0,1E+099,SUMIF(Distance_Matrix!$E$12:$DQ$12,5,Distance_Matrix!$E$123:$DQ$123)/COUNTIF(Distance_Matrix!$E$12:$DQ$12,5))),IF(6=$E517,1E+099,IF(COUNTIF(Distance_Matrix!$E$12:$DQ$12,6)=0,1E+099,SUMIF(Distance_Matrix!$E$12:$DQ$12,6,Distance_Matrix!$E$123:$DQ$123)/COUNTIF(Distance_Matrix!$E$12:$DQ$12,6))))</f>
        <v>1.71142765444251</v>
      </c>
      <c r="I517" s="17" t="n">
        <f aca="false">IF(COUNTIF(Distance_Matrix!$E$12:$DQ$12,$E517)&lt;=1,0,(H517-G517)/MAX(G517,H517))</f>
        <v>0.704964238332557</v>
      </c>
      <c r="X517" s="17" t="n">
        <f aca="false">SQRT(($B517-X$401)^2+($C517-X$402)^2+($D517-X$403)^2)</f>
        <v>8.02581663311103</v>
      </c>
      <c r="Y517" s="17" t="n">
        <f aca="false">SQRT(($B517-Y$401)^2+($C517-Y$402)^2+($D517-Y$403)^2)</f>
        <v>0.571794757196831</v>
      </c>
      <c r="Z517" s="17" t="n">
        <f aca="false">SQRT(($B517-Z$401)^2+($C517-Z$402)^2+($D517-Z$403)^2)</f>
        <v>3.79835053358808</v>
      </c>
      <c r="AA517" s="17" t="n">
        <f aca="false">SQRT(($B517-AA$401)^2+($C517-AA$402)^2+($D517-AA$403)^2)</f>
        <v>2.21684219622619</v>
      </c>
      <c r="AB517" s="17" t="n">
        <f aca="false">SQRT(($B517-AB$401)^2+($C517-AB$402)^2+($D517-AB$403)^2)</f>
        <v>6.01450213396371</v>
      </c>
      <c r="AC517" s="17" t="n">
        <f aca="false">SQRT(($B517-AC$401)^2+($C517-AC$402)^2+($D517-AC$403)^2)</f>
        <v>2.01662422352502</v>
      </c>
      <c r="AD517" s="63" t="n">
        <f aca="false">MATCH(MIN(X517:AC517),X517:AC517,0)</f>
        <v>2</v>
      </c>
      <c r="AF517" s="17" t="n">
        <f aca="false">SQRT(($B517-AF$401)^2+($C517-AF$402)^2+($D517-AF$403)^2)</f>
        <v>7.90081339423267</v>
      </c>
      <c r="AG517" s="17" t="n">
        <f aca="false">SQRT(($B517-AG$401)^2+($C517-AG$402)^2+($D517-AG$403)^2)</f>
        <v>0.195144006286113</v>
      </c>
      <c r="AH517" s="17" t="n">
        <f aca="false">SQRT(($B517-AH$401)^2+($C517-AH$402)^2+($D517-AH$403)^2)</f>
        <v>3.44217341843937</v>
      </c>
      <c r="AI517" s="17" t="n">
        <f aca="false">SQRT(($B517-AI$401)^2+($C517-AI$402)^2+($D517-AI$403)^2)</f>
        <v>1.68248412513658</v>
      </c>
      <c r="AJ517" s="17" t="n">
        <f aca="false">SQRT(($B517-AJ$401)^2+($C517-AJ$402)^2+($D517-AJ$403)^2)</f>
        <v>5.64689046213842</v>
      </c>
      <c r="AK517" s="17" t="n">
        <f aca="false">SQRT(($B517-AK$401)^2+($C517-AK$402)^2+($D517-AK$403)^2)</f>
        <v>1.83321011843792</v>
      </c>
      <c r="AL517" s="63" t="n">
        <f aca="false">MATCH(MIN(AF517:AK517),AF517:AK517,0)</f>
        <v>2</v>
      </c>
      <c r="AN517" s="17" t="n">
        <f aca="false">SQRT(($B517-AN$401)^2+($C517-AN$402)^2+($D517-AN$403)^2)</f>
        <v>7.90081339423267</v>
      </c>
      <c r="AO517" s="17" t="n">
        <f aca="false">SQRT(($B517-AO$401)^2+($C517-AO$402)^2+($D517-AO$403)^2)</f>
        <v>0.241817538184614</v>
      </c>
      <c r="AP517" s="17" t="n">
        <f aca="false">SQRT(($B517-AP$401)^2+($C517-AP$402)^2+($D517-AP$403)^2)</f>
        <v>3.41014178810631</v>
      </c>
      <c r="AQ517" s="17" t="n">
        <f aca="false">SQRT(($B517-AQ$401)^2+($C517-AQ$402)^2+($D517-AQ$403)^2)</f>
        <v>1.67376431670884</v>
      </c>
      <c r="AR517" s="17" t="n">
        <f aca="false">SQRT(($B517-AR$401)^2+($C517-AR$402)^2+($D517-AR$403)^2)</f>
        <v>5.64689046213842</v>
      </c>
      <c r="AS517" s="17" t="n">
        <f aca="false">SQRT(($B517-AS$401)^2+($C517-AS$402)^2+($D517-AS$403)^2)</f>
        <v>1.87725644685077</v>
      </c>
      <c r="AT517" s="63" t="n">
        <f aca="false">MATCH(MIN(AN517:AS517),AN517:AS517,0)</f>
        <v>2</v>
      </c>
      <c r="AV517" s="17" t="n">
        <f aca="false">SQRT(($B517-AV$401)^2+($C517-AV$402)^2+($D517-AV$403)^2)</f>
        <v>7.90081339423267</v>
      </c>
      <c r="AW517" s="17" t="n">
        <f aca="false">SQRT(($B517-AW$401)^2+($C517-AW$402)^2+($D517-AW$403)^2)</f>
        <v>0.268119208914776</v>
      </c>
      <c r="AX517" s="17" t="n">
        <f aca="false">SQRT(($B517-AX$401)^2+($C517-AX$402)^2+($D517-AX$403)^2)</f>
        <v>3.41014178810631</v>
      </c>
      <c r="AY517" s="17" t="n">
        <f aca="false">SQRT(($B517-AY$401)^2+($C517-AY$402)^2+($D517-AY$403)^2)</f>
        <v>1.67376431670884</v>
      </c>
      <c r="AZ517" s="17" t="n">
        <f aca="false">SQRT(($B517-AZ$401)^2+($C517-AZ$402)^2+($D517-AZ$403)^2)</f>
        <v>5.64689046213842</v>
      </c>
      <c r="BA517" s="17" t="n">
        <f aca="false">SQRT(($B517-BA$401)^2+($C517-BA$402)^2+($D517-BA$403)^2)</f>
        <v>1.90307785156496</v>
      </c>
      <c r="BB517" s="63" t="n">
        <f aca="false">MATCH(MIN(AV517:BA517),AV517:BA517,0)</f>
        <v>2</v>
      </c>
      <c r="BD517" s="17" t="n">
        <f aca="false">SQRT(($B517-BD$401)^2+($C517-BD$402)^2+($D517-BD$403)^2)</f>
        <v>7.90081339423267</v>
      </c>
      <c r="BE517" s="17" t="n">
        <f aca="false">SQRT(($B517-BE$401)^2+($C517-BE$402)^2+($D517-BE$403)^2)</f>
        <v>0.293298898624129</v>
      </c>
      <c r="BF517" s="17" t="n">
        <f aca="false">SQRT(($B517-BF$401)^2+($C517-BF$402)^2+($D517-BF$403)^2)</f>
        <v>3.41014178810631</v>
      </c>
      <c r="BG517" s="17" t="n">
        <f aca="false">SQRT(($B517-BG$401)^2+($C517-BG$402)^2+($D517-BG$403)^2)</f>
        <v>1.67376431670884</v>
      </c>
      <c r="BH517" s="17" t="n">
        <f aca="false">SQRT(($B517-BH$401)^2+($C517-BH$402)^2+($D517-BH$403)^2)</f>
        <v>5.64689046213842</v>
      </c>
      <c r="BI517" s="17" t="n">
        <f aca="false">SQRT(($B517-BI$401)^2+($C517-BI$402)^2+($D517-BI$403)^2)</f>
        <v>1.9296112283277</v>
      </c>
      <c r="BJ517" s="63" t="n">
        <f aca="false">MATCH(MIN(BD517:BI517),BD517:BI517,0)</f>
        <v>2</v>
      </c>
      <c r="BL517" s="17" t="n">
        <f aca="false">SQRT(($B517-BL$401)^2+($C517-BL$402)^2+($D517-BL$403)^2)</f>
        <v>7.90081339423267</v>
      </c>
      <c r="BM517" s="17" t="n">
        <f aca="false">SQRT(($B517-BM$401)^2+($C517-BM$402)^2+($D517-BM$403)^2)</f>
        <v>0.293298898624129</v>
      </c>
      <c r="BN517" s="17" t="n">
        <f aca="false">SQRT(($B517-BN$401)^2+($C517-BN$402)^2+($D517-BN$403)^2)</f>
        <v>3.41014178810631</v>
      </c>
      <c r="BO517" s="17" t="n">
        <f aca="false">SQRT(($B517-BO$401)^2+($C517-BO$402)^2+($D517-BO$403)^2)</f>
        <v>1.67376431670884</v>
      </c>
      <c r="BP517" s="17" t="n">
        <f aca="false">SQRT(($B517-BP$401)^2+($C517-BP$402)^2+($D517-BP$403)^2)</f>
        <v>5.64689046213842</v>
      </c>
      <c r="BQ517" s="17" t="n">
        <f aca="false">SQRT(($B517-BQ$401)^2+($C517-BQ$402)^2+($D517-BQ$403)^2)</f>
        <v>1.9296112283277</v>
      </c>
      <c r="BR517" s="63" t="n">
        <f aca="false">MATCH(MIN(BL517:BQ517),BL517:BQ517,0)</f>
        <v>2</v>
      </c>
      <c r="BT517" s="17" t="n">
        <f aca="false">SQRT(($B517-BT$401)^2+($C517-BT$402)^2+($D517-BT$403)^2)</f>
        <v>7.90081339423267</v>
      </c>
      <c r="BU517" s="17" t="n">
        <f aca="false">SQRT(($B517-BU$401)^2+($C517-BU$402)^2+($D517-BU$403)^2)</f>
        <v>0.293298898624129</v>
      </c>
      <c r="BV517" s="17" t="n">
        <f aca="false">SQRT(($B517-BV$401)^2+($C517-BV$402)^2+($D517-BV$403)^2)</f>
        <v>3.41014178810631</v>
      </c>
      <c r="BW517" s="17" t="n">
        <f aca="false">SQRT(($B517-BW$401)^2+($C517-BW$402)^2+($D517-BW$403)^2)</f>
        <v>1.67376431670884</v>
      </c>
      <c r="BX517" s="17" t="n">
        <f aca="false">SQRT(($B517-BX$401)^2+($C517-BX$402)^2+($D517-BX$403)^2)</f>
        <v>5.64689046213842</v>
      </c>
      <c r="BY517" s="17" t="n">
        <f aca="false">SQRT(($B517-BY$401)^2+($C517-BY$402)^2+($D517-BY$403)^2)</f>
        <v>1.9296112283277</v>
      </c>
      <c r="BZ517" s="63" t="n">
        <f aca="false">MATCH(MIN(BT517:BY517),BT517:BY517,0)</f>
        <v>2</v>
      </c>
      <c r="CB517" s="17" t="n">
        <f aca="false">SQRT(($B517-CB$401)^2+($C517-CB$402)^2+($D517-CB$403)^2)</f>
        <v>7.90081339423267</v>
      </c>
      <c r="CC517" s="17" t="n">
        <f aca="false">SQRT(($B517-CC$401)^2+($C517-CC$402)^2+($D517-CC$403)^2)</f>
        <v>0.293298898624129</v>
      </c>
      <c r="CD517" s="17" t="n">
        <f aca="false">SQRT(($B517-CD$401)^2+($C517-CD$402)^2+($D517-CD$403)^2)</f>
        <v>3.41014178810631</v>
      </c>
      <c r="CE517" s="17" t="n">
        <f aca="false">SQRT(($B517-CE$401)^2+($C517-CE$402)^2+($D517-CE$403)^2)</f>
        <v>1.67376431670884</v>
      </c>
      <c r="CF517" s="17" t="n">
        <f aca="false">SQRT(($B517-CF$401)^2+($C517-CF$402)^2+($D517-CF$403)^2)</f>
        <v>5.64689046213842</v>
      </c>
      <c r="CG517" s="17" t="n">
        <f aca="false">SQRT(($B517-CG$401)^2+($C517-CG$402)^2+($D517-CG$403)^2)</f>
        <v>1.9296112283277</v>
      </c>
      <c r="CH517" s="63" t="n">
        <f aca="false">MATCH(MIN(CB517:CG517),CB517:CG517,0)</f>
        <v>2</v>
      </c>
      <c r="CJ517" s="17" t="n">
        <f aca="false">SQRT(($B517-CJ$401)^2+($C517-CJ$402)^2+($D517-CJ$403)^2)</f>
        <v>7.90081339423267</v>
      </c>
      <c r="CK517" s="17" t="n">
        <f aca="false">SQRT(($B517-CK$401)^2+($C517-CK$402)^2+($D517-CK$403)^2)</f>
        <v>0.293298898624129</v>
      </c>
      <c r="CL517" s="17" t="n">
        <f aca="false">SQRT(($B517-CL$401)^2+($C517-CL$402)^2+($D517-CL$403)^2)</f>
        <v>3.41014178810631</v>
      </c>
      <c r="CM517" s="17" t="n">
        <f aca="false">SQRT(($B517-CM$401)^2+($C517-CM$402)^2+($D517-CM$403)^2)</f>
        <v>1.67376431670884</v>
      </c>
      <c r="CN517" s="17" t="n">
        <f aca="false">SQRT(($B517-CN$401)^2+($C517-CN$402)^2+($D517-CN$403)^2)</f>
        <v>5.64689046213842</v>
      </c>
      <c r="CO517" s="17" t="n">
        <f aca="false">SQRT(($B517-CO$401)^2+($C517-CO$402)^2+($D517-CO$403)^2)</f>
        <v>1.9296112283277</v>
      </c>
      <c r="CP517" s="63" t="n">
        <f aca="false">MATCH(MIN(CJ517:CO517),CJ517:CO517,0)</f>
        <v>2</v>
      </c>
      <c r="CR517" s="17" t="n">
        <f aca="false">SQRT(($B517-CR$401)^2+($C517-CR$402)^2+($D517-CR$403)^2)</f>
        <v>7.90081339423267</v>
      </c>
      <c r="CS517" s="17" t="n">
        <f aca="false">SQRT(($B517-CS$401)^2+($C517-CS$402)^2+($D517-CS$403)^2)</f>
        <v>0.293298898624129</v>
      </c>
      <c r="CT517" s="17" t="n">
        <f aca="false">SQRT(($B517-CT$401)^2+($C517-CT$402)^2+($D517-CT$403)^2)</f>
        <v>3.41014178810631</v>
      </c>
      <c r="CU517" s="17" t="n">
        <f aca="false">SQRT(($B517-CU$401)^2+($C517-CU$402)^2+($D517-CU$403)^2)</f>
        <v>1.67376431670884</v>
      </c>
      <c r="CV517" s="17" t="n">
        <f aca="false">SQRT(($B517-CV$401)^2+($C517-CV$402)^2+($D517-CV$403)^2)</f>
        <v>5.64689046213842</v>
      </c>
      <c r="CW517" s="17" t="n">
        <f aca="false">SQRT(($B517-CW$401)^2+($C517-CW$402)^2+($D517-CW$403)^2)</f>
        <v>1.9296112283277</v>
      </c>
      <c r="CX517" s="63" t="n">
        <f aca="false">MATCH(MIN(CR517:CW517),CR517:CW517,0)</f>
        <v>2</v>
      </c>
      <c r="CZ517" s="17" t="n">
        <f aca="false">SQRT(($B517-CZ$401)^2+($C517-CZ$402)^2+($D517-CZ$403)^2)</f>
        <v>7.90081339423267</v>
      </c>
      <c r="DA517" s="17" t="n">
        <f aca="false">SQRT(($B517-DA$401)^2+($C517-DA$402)^2+($D517-DA$403)^2)</f>
        <v>0.293298898624129</v>
      </c>
      <c r="DB517" s="17" t="n">
        <f aca="false">SQRT(($B517-DB$401)^2+($C517-DB$402)^2+($D517-DB$403)^2)</f>
        <v>3.41014178810631</v>
      </c>
      <c r="DC517" s="17" t="n">
        <f aca="false">SQRT(($B517-DC$401)^2+($C517-DC$402)^2+($D517-DC$403)^2)</f>
        <v>1.67376431670884</v>
      </c>
      <c r="DD517" s="17" t="n">
        <f aca="false">SQRT(($B517-DD$401)^2+($C517-DD$402)^2+($D517-DD$403)^2)</f>
        <v>5.64689046213842</v>
      </c>
      <c r="DE517" s="17" t="n">
        <f aca="false">SQRT(($B517-DE$401)^2+($C517-DE$402)^2+($D517-DE$403)^2)</f>
        <v>1.9296112283277</v>
      </c>
      <c r="DF517" s="63" t="n">
        <f aca="false">MATCH(MIN(CZ517:DE517),CZ517:DE517,0)</f>
        <v>2</v>
      </c>
      <c r="DH517" s="17" t="n">
        <f aca="false">SQRT(($B517-DH$401)^2+($C517-DH$402)^2+($D517-DH$403)^2)</f>
        <v>7.90081339423267</v>
      </c>
      <c r="DI517" s="17" t="n">
        <f aca="false">SQRT(($B517-DI$401)^2+($C517-DI$402)^2+($D517-DI$403)^2)</f>
        <v>0.293298898624129</v>
      </c>
      <c r="DJ517" s="17" t="n">
        <f aca="false">SQRT(($B517-DJ$401)^2+($C517-DJ$402)^2+($D517-DJ$403)^2)</f>
        <v>3.41014178810631</v>
      </c>
      <c r="DK517" s="17" t="n">
        <f aca="false">SQRT(($B517-DK$401)^2+($C517-DK$402)^2+($D517-DK$403)^2)</f>
        <v>1.67376431670884</v>
      </c>
      <c r="DL517" s="17" t="n">
        <f aca="false">SQRT(($B517-DL$401)^2+($C517-DL$402)^2+($D517-DL$403)^2)</f>
        <v>5.64689046213842</v>
      </c>
      <c r="DM517" s="17" t="n">
        <f aca="false">SQRT(($B517-DM$401)^2+($C517-DM$402)^2+($D517-DM$403)^2)</f>
        <v>1.9296112283277</v>
      </c>
      <c r="DN517" s="63" t="n">
        <f aca="false">MATCH(MIN(DH517:DM517),DH517:DM517,0)</f>
        <v>2</v>
      </c>
    </row>
    <row r="518" customFormat="false" ht="15" hidden="false" customHeight="false" outlineLevel="0" collapsed="false">
      <c r="A518" s="36" t="str">
        <f aca="false">KMeans_Data!A115</f>
        <v>Trarkhel</v>
      </c>
      <c r="B518" s="17" t="n">
        <f aca="false">KMeans_Data!H115</f>
        <v>-1.71897565655168</v>
      </c>
      <c r="C518" s="17" t="n">
        <f aca="false">KMeans_Data!I115</f>
        <v>-0.672650545388274</v>
      </c>
      <c r="D518" s="17" t="n">
        <f aca="false">KMeans_Data!J115</f>
        <v>-1.14564411633355</v>
      </c>
      <c r="E518" s="63" t="n">
        <f aca="false">DN518</f>
        <v>2</v>
      </c>
      <c r="F518" s="38" t="n">
        <f aca="false">($B518-INDEX($L$401:$Q$401,E518))^2+($C518-INDEX($L$402:$Q$402,E518))^2+($D518-INDEX($L$403:$Q$403,E518))^2</f>
        <v>0.242280064446467</v>
      </c>
      <c r="G518" s="17" t="n">
        <f aca="false">IF(COUNTIF(Distance_Matrix!$E$12:$DQ$12,$E518)&lt;=1,0,SUMIF(Distance_Matrix!$E$12:$DQ$12,$E518,Distance_Matrix!$E$124:$DQ$124)/(COUNTIF(Distance_Matrix!$E$12:$DQ$12,$E518)-1))</f>
        <v>0.598262577309978</v>
      </c>
      <c r="H518" s="17" t="n">
        <f aca="false">MIN(IF(1=$E518,1E+099,IF(COUNTIF(Distance_Matrix!$E$12:$DQ$12,1)=0,1E+099,SUMIF(Distance_Matrix!$E$12:$DQ$12,1,Distance_Matrix!$E$124:$DQ$124)/COUNTIF(Distance_Matrix!$E$12:$DQ$12,1))),IF(2=$E518,1E+099,IF(COUNTIF(Distance_Matrix!$E$12:$DQ$12,2)=0,1E+099,SUMIF(Distance_Matrix!$E$12:$DQ$12,2,Distance_Matrix!$E$124:$DQ$124)/COUNTIF(Distance_Matrix!$E$12:$DQ$12,2))),IF(3=$E518,1E+099,IF(COUNTIF(Distance_Matrix!$E$12:$DQ$12,3)=0,1E+099,SUMIF(Distance_Matrix!$E$12:$DQ$12,3,Distance_Matrix!$E$124:$DQ$124)/COUNTIF(Distance_Matrix!$E$12:$DQ$12,3))),IF(4=$E518,1E+099,IF(COUNTIF(Distance_Matrix!$E$12:$DQ$12,4)=0,1E+099,SUMIF(Distance_Matrix!$E$12:$DQ$12,4,Distance_Matrix!$E$124:$DQ$124)/COUNTIF(Distance_Matrix!$E$12:$DQ$12,4))),IF(5=$E518,1E+099,IF(COUNTIF(Distance_Matrix!$E$12:$DQ$12,5)=0,1E+099,SUMIF(Distance_Matrix!$E$12:$DQ$12,5,Distance_Matrix!$E$124:$DQ$124)/COUNTIF(Distance_Matrix!$E$12:$DQ$12,5))),IF(6=$E518,1E+099,IF(COUNTIF(Distance_Matrix!$E$12:$DQ$12,6)=0,1E+099,SUMIF(Distance_Matrix!$E$12:$DQ$12,6,Distance_Matrix!$E$124:$DQ$124)/COUNTIF(Distance_Matrix!$E$12:$DQ$12,6))))</f>
        <v>1.91561638040502</v>
      </c>
      <c r="I518" s="17" t="n">
        <f aca="false">IF(COUNTIF(Distance_Matrix!$E$12:$DQ$12,$E518)&lt;=1,0,(H518-G518)/MAX(G518,H518))</f>
        <v>0.687691865955184</v>
      </c>
      <c r="X518" s="17" t="n">
        <f aca="false">SQRT(($B518-X$401)^2+($C518-X$402)^2+($D518-X$403)^2)</f>
        <v>8.15332373062299</v>
      </c>
      <c r="Y518" s="17" t="n">
        <f aca="false">SQRT(($B518-Y$401)^2+($C518-Y$402)^2+($D518-Y$403)^2)</f>
        <v>0.360762325251648</v>
      </c>
      <c r="Z518" s="17" t="n">
        <f aca="false">SQRT(($B518-Z$401)^2+($C518-Z$402)^2+($D518-Z$403)^2)</f>
        <v>3.94287645773164</v>
      </c>
      <c r="AA518" s="17" t="n">
        <f aca="false">SQRT(($B518-AA$401)^2+($C518-AA$402)^2+($D518-AA$403)^2)</f>
        <v>2.42237275698138</v>
      </c>
      <c r="AB518" s="17" t="n">
        <f aca="false">SQRT(($B518-AB$401)^2+($C518-AB$402)^2+($D518-AB$403)^2)</f>
        <v>6.15249594053942</v>
      </c>
      <c r="AC518" s="17" t="n">
        <f aca="false">SQRT(($B518-AC$401)^2+($C518-AC$402)^2+($D518-AC$403)^2)</f>
        <v>2.10943138174765</v>
      </c>
      <c r="AD518" s="63" t="n">
        <f aca="false">MATCH(MIN(X518:AC518),X518:AC518,0)</f>
        <v>2</v>
      </c>
      <c r="AF518" s="17" t="n">
        <f aca="false">SQRT(($B518-AF$401)^2+($C518-AF$402)^2+($D518-AF$403)^2)</f>
        <v>8.02998813992964</v>
      </c>
      <c r="AG518" s="17" t="n">
        <f aca="false">SQRT(($B518-AG$401)^2+($C518-AG$402)^2+($D518-AG$403)^2)</f>
        <v>0.402039841025579</v>
      </c>
      <c r="AH518" s="17" t="n">
        <f aca="false">SQRT(($B518-AH$401)^2+($C518-AH$402)^2+($D518-AH$403)^2)</f>
        <v>3.58532215962703</v>
      </c>
      <c r="AI518" s="17" t="n">
        <f aca="false">SQRT(($B518-AI$401)^2+($C518-AI$402)^2+($D518-AI$403)^2)</f>
        <v>1.89008900209613</v>
      </c>
      <c r="AJ518" s="17" t="n">
        <f aca="false">SQRT(($B518-AJ$401)^2+($C518-AJ$402)^2+($D518-AJ$403)^2)</f>
        <v>5.78377186359091</v>
      </c>
      <c r="AK518" s="17" t="n">
        <f aca="false">SQRT(($B518-AK$401)^2+($C518-AK$402)^2+($D518-AK$403)^2)</f>
        <v>1.98238846067542</v>
      </c>
      <c r="AL518" s="63" t="n">
        <f aca="false">MATCH(MIN(AF518:AK518),AF518:AK518,0)</f>
        <v>2</v>
      </c>
      <c r="AN518" s="17" t="n">
        <f aca="false">SQRT(($B518-AN$401)^2+($C518-AN$402)^2+($D518-AN$403)^2)</f>
        <v>8.02998813992964</v>
      </c>
      <c r="AO518" s="17" t="n">
        <f aca="false">SQRT(($B518-AO$401)^2+($C518-AO$402)^2+($D518-AO$403)^2)</f>
        <v>0.447293388693396</v>
      </c>
      <c r="AP518" s="17" t="n">
        <f aca="false">SQRT(($B518-AP$401)^2+($C518-AP$402)^2+($D518-AP$403)^2)</f>
        <v>3.55293572710338</v>
      </c>
      <c r="AQ518" s="17" t="n">
        <f aca="false">SQRT(($B518-AQ$401)^2+($C518-AQ$402)^2+($D518-AQ$403)^2)</f>
        <v>1.88169784796626</v>
      </c>
      <c r="AR518" s="17" t="n">
        <f aca="false">SQRT(($B518-AR$401)^2+($C518-AR$402)^2+($D518-AR$403)^2)</f>
        <v>5.78377186359091</v>
      </c>
      <c r="AS518" s="17" t="n">
        <f aca="false">SQRT(($B518-AS$401)^2+($C518-AS$402)^2+($D518-AS$403)^2)</f>
        <v>2.02732768798654</v>
      </c>
      <c r="AT518" s="63" t="n">
        <f aca="false">MATCH(MIN(AN518:AS518),AN518:AS518,0)</f>
        <v>2</v>
      </c>
      <c r="AV518" s="17" t="n">
        <f aca="false">SQRT(($B518-AV$401)^2+($C518-AV$402)^2+($D518-AV$403)^2)</f>
        <v>8.02998813992964</v>
      </c>
      <c r="AW518" s="17" t="n">
        <f aca="false">SQRT(($B518-AW$401)^2+($C518-AW$402)^2+($D518-AW$403)^2)</f>
        <v>0.470598714427286</v>
      </c>
      <c r="AX518" s="17" t="n">
        <f aca="false">SQRT(($B518-AX$401)^2+($C518-AX$402)^2+($D518-AX$403)^2)</f>
        <v>3.55293572710338</v>
      </c>
      <c r="AY518" s="17" t="n">
        <f aca="false">SQRT(($B518-AY$401)^2+($C518-AY$402)^2+($D518-AY$403)^2)</f>
        <v>1.88169784796626</v>
      </c>
      <c r="AZ518" s="17" t="n">
        <f aca="false">SQRT(($B518-AZ$401)^2+($C518-AZ$402)^2+($D518-AZ$403)^2)</f>
        <v>5.78377186359091</v>
      </c>
      <c r="BA518" s="17" t="n">
        <f aca="false">SQRT(($B518-BA$401)^2+($C518-BA$402)^2+($D518-BA$403)^2)</f>
        <v>2.05300996378401</v>
      </c>
      <c r="BB518" s="63" t="n">
        <f aca="false">MATCH(MIN(AV518:BA518),AV518:BA518,0)</f>
        <v>2</v>
      </c>
      <c r="BD518" s="17" t="n">
        <f aca="false">SQRT(($B518-BD$401)^2+($C518-BD$402)^2+($D518-BD$403)^2)</f>
        <v>8.02998813992964</v>
      </c>
      <c r="BE518" s="17" t="n">
        <f aca="false">SQRT(($B518-BE$401)^2+($C518-BE$402)^2+($D518-BE$403)^2)</f>
        <v>0.492219528713019</v>
      </c>
      <c r="BF518" s="17" t="n">
        <f aca="false">SQRT(($B518-BF$401)^2+($C518-BF$402)^2+($D518-BF$403)^2)</f>
        <v>3.55293572710338</v>
      </c>
      <c r="BG518" s="17" t="n">
        <f aca="false">SQRT(($B518-BG$401)^2+($C518-BG$402)^2+($D518-BG$403)^2)</f>
        <v>1.88169784796626</v>
      </c>
      <c r="BH518" s="17" t="n">
        <f aca="false">SQRT(($B518-BH$401)^2+($C518-BH$402)^2+($D518-BH$403)^2)</f>
        <v>5.78377186359091</v>
      </c>
      <c r="BI518" s="17" t="n">
        <f aca="false">SQRT(($B518-BI$401)^2+($C518-BI$402)^2+($D518-BI$403)^2)</f>
        <v>2.07960787106481</v>
      </c>
      <c r="BJ518" s="63" t="n">
        <f aca="false">MATCH(MIN(BD518:BI518),BD518:BI518,0)</f>
        <v>2</v>
      </c>
      <c r="BL518" s="17" t="n">
        <f aca="false">SQRT(($B518-BL$401)^2+($C518-BL$402)^2+($D518-BL$403)^2)</f>
        <v>8.02998813992964</v>
      </c>
      <c r="BM518" s="17" t="n">
        <f aca="false">SQRT(($B518-BM$401)^2+($C518-BM$402)^2+($D518-BM$403)^2)</f>
        <v>0.492219528713019</v>
      </c>
      <c r="BN518" s="17" t="n">
        <f aca="false">SQRT(($B518-BN$401)^2+($C518-BN$402)^2+($D518-BN$403)^2)</f>
        <v>3.55293572710338</v>
      </c>
      <c r="BO518" s="17" t="n">
        <f aca="false">SQRT(($B518-BO$401)^2+($C518-BO$402)^2+($D518-BO$403)^2)</f>
        <v>1.88169784796626</v>
      </c>
      <c r="BP518" s="17" t="n">
        <f aca="false">SQRT(($B518-BP$401)^2+($C518-BP$402)^2+($D518-BP$403)^2)</f>
        <v>5.78377186359091</v>
      </c>
      <c r="BQ518" s="17" t="n">
        <f aca="false">SQRT(($B518-BQ$401)^2+($C518-BQ$402)^2+($D518-BQ$403)^2)</f>
        <v>2.07960787106481</v>
      </c>
      <c r="BR518" s="63" t="n">
        <f aca="false">MATCH(MIN(BL518:BQ518),BL518:BQ518,0)</f>
        <v>2</v>
      </c>
      <c r="BT518" s="17" t="n">
        <f aca="false">SQRT(($B518-BT$401)^2+($C518-BT$402)^2+($D518-BT$403)^2)</f>
        <v>8.02998813992964</v>
      </c>
      <c r="BU518" s="17" t="n">
        <f aca="false">SQRT(($B518-BU$401)^2+($C518-BU$402)^2+($D518-BU$403)^2)</f>
        <v>0.492219528713019</v>
      </c>
      <c r="BV518" s="17" t="n">
        <f aca="false">SQRT(($B518-BV$401)^2+($C518-BV$402)^2+($D518-BV$403)^2)</f>
        <v>3.55293572710338</v>
      </c>
      <c r="BW518" s="17" t="n">
        <f aca="false">SQRT(($B518-BW$401)^2+($C518-BW$402)^2+($D518-BW$403)^2)</f>
        <v>1.88169784796626</v>
      </c>
      <c r="BX518" s="17" t="n">
        <f aca="false">SQRT(($B518-BX$401)^2+($C518-BX$402)^2+($D518-BX$403)^2)</f>
        <v>5.78377186359091</v>
      </c>
      <c r="BY518" s="17" t="n">
        <f aca="false">SQRT(($B518-BY$401)^2+($C518-BY$402)^2+($D518-BY$403)^2)</f>
        <v>2.07960787106481</v>
      </c>
      <c r="BZ518" s="63" t="n">
        <f aca="false">MATCH(MIN(BT518:BY518),BT518:BY518,0)</f>
        <v>2</v>
      </c>
      <c r="CB518" s="17" t="n">
        <f aca="false">SQRT(($B518-CB$401)^2+($C518-CB$402)^2+($D518-CB$403)^2)</f>
        <v>8.02998813992964</v>
      </c>
      <c r="CC518" s="17" t="n">
        <f aca="false">SQRT(($B518-CC$401)^2+($C518-CC$402)^2+($D518-CC$403)^2)</f>
        <v>0.492219528713019</v>
      </c>
      <c r="CD518" s="17" t="n">
        <f aca="false">SQRT(($B518-CD$401)^2+($C518-CD$402)^2+($D518-CD$403)^2)</f>
        <v>3.55293572710338</v>
      </c>
      <c r="CE518" s="17" t="n">
        <f aca="false">SQRT(($B518-CE$401)^2+($C518-CE$402)^2+($D518-CE$403)^2)</f>
        <v>1.88169784796626</v>
      </c>
      <c r="CF518" s="17" t="n">
        <f aca="false">SQRT(($B518-CF$401)^2+($C518-CF$402)^2+($D518-CF$403)^2)</f>
        <v>5.78377186359091</v>
      </c>
      <c r="CG518" s="17" t="n">
        <f aca="false">SQRT(($B518-CG$401)^2+($C518-CG$402)^2+($D518-CG$403)^2)</f>
        <v>2.07960787106481</v>
      </c>
      <c r="CH518" s="63" t="n">
        <f aca="false">MATCH(MIN(CB518:CG518),CB518:CG518,0)</f>
        <v>2</v>
      </c>
      <c r="CJ518" s="17" t="n">
        <f aca="false">SQRT(($B518-CJ$401)^2+($C518-CJ$402)^2+($D518-CJ$403)^2)</f>
        <v>8.02998813992964</v>
      </c>
      <c r="CK518" s="17" t="n">
        <f aca="false">SQRT(($B518-CK$401)^2+($C518-CK$402)^2+($D518-CK$403)^2)</f>
        <v>0.492219528713019</v>
      </c>
      <c r="CL518" s="17" t="n">
        <f aca="false">SQRT(($B518-CL$401)^2+($C518-CL$402)^2+($D518-CL$403)^2)</f>
        <v>3.55293572710338</v>
      </c>
      <c r="CM518" s="17" t="n">
        <f aca="false">SQRT(($B518-CM$401)^2+($C518-CM$402)^2+($D518-CM$403)^2)</f>
        <v>1.88169784796626</v>
      </c>
      <c r="CN518" s="17" t="n">
        <f aca="false">SQRT(($B518-CN$401)^2+($C518-CN$402)^2+($D518-CN$403)^2)</f>
        <v>5.78377186359091</v>
      </c>
      <c r="CO518" s="17" t="n">
        <f aca="false">SQRT(($B518-CO$401)^2+($C518-CO$402)^2+($D518-CO$403)^2)</f>
        <v>2.07960787106481</v>
      </c>
      <c r="CP518" s="63" t="n">
        <f aca="false">MATCH(MIN(CJ518:CO518),CJ518:CO518,0)</f>
        <v>2</v>
      </c>
      <c r="CR518" s="17" t="n">
        <f aca="false">SQRT(($B518-CR$401)^2+($C518-CR$402)^2+($D518-CR$403)^2)</f>
        <v>8.02998813992964</v>
      </c>
      <c r="CS518" s="17" t="n">
        <f aca="false">SQRT(($B518-CS$401)^2+($C518-CS$402)^2+($D518-CS$403)^2)</f>
        <v>0.492219528713019</v>
      </c>
      <c r="CT518" s="17" t="n">
        <f aca="false">SQRT(($B518-CT$401)^2+($C518-CT$402)^2+($D518-CT$403)^2)</f>
        <v>3.55293572710338</v>
      </c>
      <c r="CU518" s="17" t="n">
        <f aca="false">SQRT(($B518-CU$401)^2+($C518-CU$402)^2+($D518-CU$403)^2)</f>
        <v>1.88169784796626</v>
      </c>
      <c r="CV518" s="17" t="n">
        <f aca="false">SQRT(($B518-CV$401)^2+($C518-CV$402)^2+($D518-CV$403)^2)</f>
        <v>5.78377186359091</v>
      </c>
      <c r="CW518" s="17" t="n">
        <f aca="false">SQRT(($B518-CW$401)^2+($C518-CW$402)^2+($D518-CW$403)^2)</f>
        <v>2.07960787106481</v>
      </c>
      <c r="CX518" s="63" t="n">
        <f aca="false">MATCH(MIN(CR518:CW518),CR518:CW518,0)</f>
        <v>2</v>
      </c>
      <c r="CZ518" s="17" t="n">
        <f aca="false">SQRT(($B518-CZ$401)^2+($C518-CZ$402)^2+($D518-CZ$403)^2)</f>
        <v>8.02998813992964</v>
      </c>
      <c r="DA518" s="17" t="n">
        <f aca="false">SQRT(($B518-DA$401)^2+($C518-DA$402)^2+($D518-DA$403)^2)</f>
        <v>0.492219528713019</v>
      </c>
      <c r="DB518" s="17" t="n">
        <f aca="false">SQRT(($B518-DB$401)^2+($C518-DB$402)^2+($D518-DB$403)^2)</f>
        <v>3.55293572710338</v>
      </c>
      <c r="DC518" s="17" t="n">
        <f aca="false">SQRT(($B518-DC$401)^2+($C518-DC$402)^2+($D518-DC$403)^2)</f>
        <v>1.88169784796626</v>
      </c>
      <c r="DD518" s="17" t="n">
        <f aca="false">SQRT(($B518-DD$401)^2+($C518-DD$402)^2+($D518-DD$403)^2)</f>
        <v>5.78377186359091</v>
      </c>
      <c r="DE518" s="17" t="n">
        <f aca="false">SQRT(($B518-DE$401)^2+($C518-DE$402)^2+($D518-DE$403)^2)</f>
        <v>2.07960787106481</v>
      </c>
      <c r="DF518" s="63" t="n">
        <f aca="false">MATCH(MIN(CZ518:DE518),CZ518:DE518,0)</f>
        <v>2</v>
      </c>
      <c r="DH518" s="17" t="n">
        <f aca="false">SQRT(($B518-DH$401)^2+($C518-DH$402)^2+($D518-DH$403)^2)</f>
        <v>8.02998813992964</v>
      </c>
      <c r="DI518" s="17" t="n">
        <f aca="false">SQRT(($B518-DI$401)^2+($C518-DI$402)^2+($D518-DI$403)^2)</f>
        <v>0.492219528713019</v>
      </c>
      <c r="DJ518" s="17" t="n">
        <f aca="false">SQRT(($B518-DJ$401)^2+($C518-DJ$402)^2+($D518-DJ$403)^2)</f>
        <v>3.55293572710338</v>
      </c>
      <c r="DK518" s="17" t="n">
        <f aca="false">SQRT(($B518-DK$401)^2+($C518-DK$402)^2+($D518-DK$403)^2)</f>
        <v>1.88169784796626</v>
      </c>
      <c r="DL518" s="17" t="n">
        <f aca="false">SQRT(($B518-DL$401)^2+($C518-DL$402)^2+($D518-DL$403)^2)</f>
        <v>5.78377186359091</v>
      </c>
      <c r="DM518" s="17" t="n">
        <f aca="false">SQRT(($B518-DM$401)^2+($C518-DM$402)^2+($D518-DM$403)^2)</f>
        <v>2.07960787106481</v>
      </c>
      <c r="DN518" s="63" t="n">
        <f aca="false">MATCH(MIN(DH518:DM518),DH518:DM518,0)</f>
        <v>2</v>
      </c>
    </row>
    <row r="519" customFormat="false" ht="15" hidden="false" customHeight="false" outlineLevel="0" collapsed="false">
      <c r="A519" s="36" t="str">
        <f aca="false">KMeans_Data!A116</f>
        <v>Kohistan Upper</v>
      </c>
      <c r="B519" s="17" t="n">
        <f aca="false">KMeans_Data!H116</f>
        <v>-1.71897565655168</v>
      </c>
      <c r="C519" s="17" t="n">
        <f aca="false">KMeans_Data!I116</f>
        <v>-0.672650545388274</v>
      </c>
      <c r="D519" s="17" t="n">
        <f aca="false">KMeans_Data!J116</f>
        <v>-1.14564411633355</v>
      </c>
      <c r="E519" s="63" t="n">
        <f aca="false">DN519</f>
        <v>2</v>
      </c>
      <c r="F519" s="38" t="n">
        <f aca="false">($B519-INDEX($L$401:$Q$401,E519))^2+($C519-INDEX($L$402:$Q$402,E519))^2+($D519-INDEX($L$403:$Q$403,E519))^2</f>
        <v>0.242280064446467</v>
      </c>
      <c r="G519" s="17" t="n">
        <f aca="false">IF(COUNTIF(Distance_Matrix!$E$12:$DQ$12,$E519)&lt;=1,0,SUMIF(Distance_Matrix!$E$12:$DQ$12,$E519,Distance_Matrix!$E$125:$DQ$125)/(COUNTIF(Distance_Matrix!$E$12:$DQ$12,$E519)-1))</f>
        <v>0.598262577309978</v>
      </c>
      <c r="H519" s="17" t="n">
        <f aca="false">MIN(IF(1=$E519,1E+099,IF(COUNTIF(Distance_Matrix!$E$12:$DQ$12,1)=0,1E+099,SUMIF(Distance_Matrix!$E$12:$DQ$12,1,Distance_Matrix!$E$125:$DQ$125)/COUNTIF(Distance_Matrix!$E$12:$DQ$12,1))),IF(2=$E519,1E+099,IF(COUNTIF(Distance_Matrix!$E$12:$DQ$12,2)=0,1E+099,SUMIF(Distance_Matrix!$E$12:$DQ$12,2,Distance_Matrix!$E$125:$DQ$125)/COUNTIF(Distance_Matrix!$E$12:$DQ$12,2))),IF(3=$E519,1E+099,IF(COUNTIF(Distance_Matrix!$E$12:$DQ$12,3)=0,1E+099,SUMIF(Distance_Matrix!$E$12:$DQ$12,3,Distance_Matrix!$E$125:$DQ$125)/COUNTIF(Distance_Matrix!$E$12:$DQ$12,3))),IF(4=$E519,1E+099,IF(COUNTIF(Distance_Matrix!$E$12:$DQ$12,4)=0,1E+099,SUMIF(Distance_Matrix!$E$12:$DQ$12,4,Distance_Matrix!$E$125:$DQ$125)/COUNTIF(Distance_Matrix!$E$12:$DQ$12,4))),IF(5=$E519,1E+099,IF(COUNTIF(Distance_Matrix!$E$12:$DQ$12,5)=0,1E+099,SUMIF(Distance_Matrix!$E$12:$DQ$12,5,Distance_Matrix!$E$125:$DQ$125)/COUNTIF(Distance_Matrix!$E$12:$DQ$12,5))),IF(6=$E519,1E+099,IF(COUNTIF(Distance_Matrix!$E$12:$DQ$12,6)=0,1E+099,SUMIF(Distance_Matrix!$E$12:$DQ$12,6,Distance_Matrix!$E$125:$DQ$125)/COUNTIF(Distance_Matrix!$E$12:$DQ$12,6))))</f>
        <v>1.91561638040502</v>
      </c>
      <c r="I519" s="17" t="n">
        <f aca="false">IF(COUNTIF(Distance_Matrix!$E$12:$DQ$12,$E519)&lt;=1,0,(H519-G519)/MAX(G519,H519))</f>
        <v>0.687691865955184</v>
      </c>
      <c r="X519" s="17" t="n">
        <f aca="false">SQRT(($B519-X$401)^2+($C519-X$402)^2+($D519-X$403)^2)</f>
        <v>8.15332373062299</v>
      </c>
      <c r="Y519" s="17" t="n">
        <f aca="false">SQRT(($B519-Y$401)^2+($C519-Y$402)^2+($D519-Y$403)^2)</f>
        <v>0.360762325251648</v>
      </c>
      <c r="Z519" s="17" t="n">
        <f aca="false">SQRT(($B519-Z$401)^2+($C519-Z$402)^2+($D519-Z$403)^2)</f>
        <v>3.94287645773164</v>
      </c>
      <c r="AA519" s="17" t="n">
        <f aca="false">SQRT(($B519-AA$401)^2+($C519-AA$402)^2+($D519-AA$403)^2)</f>
        <v>2.42237275698138</v>
      </c>
      <c r="AB519" s="17" t="n">
        <f aca="false">SQRT(($B519-AB$401)^2+($C519-AB$402)^2+($D519-AB$403)^2)</f>
        <v>6.15249594053942</v>
      </c>
      <c r="AC519" s="17" t="n">
        <f aca="false">SQRT(($B519-AC$401)^2+($C519-AC$402)^2+($D519-AC$403)^2)</f>
        <v>2.10943138174765</v>
      </c>
      <c r="AD519" s="63" t="n">
        <f aca="false">MATCH(MIN(X519:AC519),X519:AC519,0)</f>
        <v>2</v>
      </c>
      <c r="AF519" s="17" t="n">
        <f aca="false">SQRT(($B519-AF$401)^2+($C519-AF$402)^2+($D519-AF$403)^2)</f>
        <v>8.02998813992964</v>
      </c>
      <c r="AG519" s="17" t="n">
        <f aca="false">SQRT(($B519-AG$401)^2+($C519-AG$402)^2+($D519-AG$403)^2)</f>
        <v>0.402039841025579</v>
      </c>
      <c r="AH519" s="17" t="n">
        <f aca="false">SQRT(($B519-AH$401)^2+($C519-AH$402)^2+($D519-AH$403)^2)</f>
        <v>3.58532215962703</v>
      </c>
      <c r="AI519" s="17" t="n">
        <f aca="false">SQRT(($B519-AI$401)^2+($C519-AI$402)^2+($D519-AI$403)^2)</f>
        <v>1.89008900209613</v>
      </c>
      <c r="AJ519" s="17" t="n">
        <f aca="false">SQRT(($B519-AJ$401)^2+($C519-AJ$402)^2+($D519-AJ$403)^2)</f>
        <v>5.78377186359091</v>
      </c>
      <c r="AK519" s="17" t="n">
        <f aca="false">SQRT(($B519-AK$401)^2+($C519-AK$402)^2+($D519-AK$403)^2)</f>
        <v>1.98238846067542</v>
      </c>
      <c r="AL519" s="63" t="n">
        <f aca="false">MATCH(MIN(AF519:AK519),AF519:AK519,0)</f>
        <v>2</v>
      </c>
      <c r="AN519" s="17" t="n">
        <f aca="false">SQRT(($B519-AN$401)^2+($C519-AN$402)^2+($D519-AN$403)^2)</f>
        <v>8.02998813992964</v>
      </c>
      <c r="AO519" s="17" t="n">
        <f aca="false">SQRT(($B519-AO$401)^2+($C519-AO$402)^2+($D519-AO$403)^2)</f>
        <v>0.447293388693396</v>
      </c>
      <c r="AP519" s="17" t="n">
        <f aca="false">SQRT(($B519-AP$401)^2+($C519-AP$402)^2+($D519-AP$403)^2)</f>
        <v>3.55293572710338</v>
      </c>
      <c r="AQ519" s="17" t="n">
        <f aca="false">SQRT(($B519-AQ$401)^2+($C519-AQ$402)^2+($D519-AQ$403)^2)</f>
        <v>1.88169784796626</v>
      </c>
      <c r="AR519" s="17" t="n">
        <f aca="false">SQRT(($B519-AR$401)^2+($C519-AR$402)^2+($D519-AR$403)^2)</f>
        <v>5.78377186359091</v>
      </c>
      <c r="AS519" s="17" t="n">
        <f aca="false">SQRT(($B519-AS$401)^2+($C519-AS$402)^2+($D519-AS$403)^2)</f>
        <v>2.02732768798654</v>
      </c>
      <c r="AT519" s="63" t="n">
        <f aca="false">MATCH(MIN(AN519:AS519),AN519:AS519,0)</f>
        <v>2</v>
      </c>
      <c r="AV519" s="17" t="n">
        <f aca="false">SQRT(($B519-AV$401)^2+($C519-AV$402)^2+($D519-AV$403)^2)</f>
        <v>8.02998813992964</v>
      </c>
      <c r="AW519" s="17" t="n">
        <f aca="false">SQRT(($B519-AW$401)^2+($C519-AW$402)^2+($D519-AW$403)^2)</f>
        <v>0.470598714427286</v>
      </c>
      <c r="AX519" s="17" t="n">
        <f aca="false">SQRT(($B519-AX$401)^2+($C519-AX$402)^2+($D519-AX$403)^2)</f>
        <v>3.55293572710338</v>
      </c>
      <c r="AY519" s="17" t="n">
        <f aca="false">SQRT(($B519-AY$401)^2+($C519-AY$402)^2+($D519-AY$403)^2)</f>
        <v>1.88169784796626</v>
      </c>
      <c r="AZ519" s="17" t="n">
        <f aca="false">SQRT(($B519-AZ$401)^2+($C519-AZ$402)^2+($D519-AZ$403)^2)</f>
        <v>5.78377186359091</v>
      </c>
      <c r="BA519" s="17" t="n">
        <f aca="false">SQRT(($B519-BA$401)^2+($C519-BA$402)^2+($D519-BA$403)^2)</f>
        <v>2.05300996378401</v>
      </c>
      <c r="BB519" s="63" t="n">
        <f aca="false">MATCH(MIN(AV519:BA519),AV519:BA519,0)</f>
        <v>2</v>
      </c>
      <c r="BD519" s="17" t="n">
        <f aca="false">SQRT(($B519-BD$401)^2+($C519-BD$402)^2+($D519-BD$403)^2)</f>
        <v>8.02998813992964</v>
      </c>
      <c r="BE519" s="17" t="n">
        <f aca="false">SQRT(($B519-BE$401)^2+($C519-BE$402)^2+($D519-BE$403)^2)</f>
        <v>0.492219528713019</v>
      </c>
      <c r="BF519" s="17" t="n">
        <f aca="false">SQRT(($B519-BF$401)^2+($C519-BF$402)^2+($D519-BF$403)^2)</f>
        <v>3.55293572710338</v>
      </c>
      <c r="BG519" s="17" t="n">
        <f aca="false">SQRT(($B519-BG$401)^2+($C519-BG$402)^2+($D519-BG$403)^2)</f>
        <v>1.88169784796626</v>
      </c>
      <c r="BH519" s="17" t="n">
        <f aca="false">SQRT(($B519-BH$401)^2+($C519-BH$402)^2+($D519-BH$403)^2)</f>
        <v>5.78377186359091</v>
      </c>
      <c r="BI519" s="17" t="n">
        <f aca="false">SQRT(($B519-BI$401)^2+($C519-BI$402)^2+($D519-BI$403)^2)</f>
        <v>2.07960787106481</v>
      </c>
      <c r="BJ519" s="63" t="n">
        <f aca="false">MATCH(MIN(BD519:BI519),BD519:BI519,0)</f>
        <v>2</v>
      </c>
      <c r="BL519" s="17" t="n">
        <f aca="false">SQRT(($B519-BL$401)^2+($C519-BL$402)^2+($D519-BL$403)^2)</f>
        <v>8.02998813992964</v>
      </c>
      <c r="BM519" s="17" t="n">
        <f aca="false">SQRT(($B519-BM$401)^2+($C519-BM$402)^2+($D519-BM$403)^2)</f>
        <v>0.492219528713019</v>
      </c>
      <c r="BN519" s="17" t="n">
        <f aca="false">SQRT(($B519-BN$401)^2+($C519-BN$402)^2+($D519-BN$403)^2)</f>
        <v>3.55293572710338</v>
      </c>
      <c r="BO519" s="17" t="n">
        <f aca="false">SQRT(($B519-BO$401)^2+($C519-BO$402)^2+($D519-BO$403)^2)</f>
        <v>1.88169784796626</v>
      </c>
      <c r="BP519" s="17" t="n">
        <f aca="false">SQRT(($B519-BP$401)^2+($C519-BP$402)^2+($D519-BP$403)^2)</f>
        <v>5.78377186359091</v>
      </c>
      <c r="BQ519" s="17" t="n">
        <f aca="false">SQRT(($B519-BQ$401)^2+($C519-BQ$402)^2+($D519-BQ$403)^2)</f>
        <v>2.07960787106481</v>
      </c>
      <c r="BR519" s="63" t="n">
        <f aca="false">MATCH(MIN(BL519:BQ519),BL519:BQ519,0)</f>
        <v>2</v>
      </c>
      <c r="BT519" s="17" t="n">
        <f aca="false">SQRT(($B519-BT$401)^2+($C519-BT$402)^2+($D519-BT$403)^2)</f>
        <v>8.02998813992964</v>
      </c>
      <c r="BU519" s="17" t="n">
        <f aca="false">SQRT(($B519-BU$401)^2+($C519-BU$402)^2+($D519-BU$403)^2)</f>
        <v>0.492219528713019</v>
      </c>
      <c r="BV519" s="17" t="n">
        <f aca="false">SQRT(($B519-BV$401)^2+($C519-BV$402)^2+($D519-BV$403)^2)</f>
        <v>3.55293572710338</v>
      </c>
      <c r="BW519" s="17" t="n">
        <f aca="false">SQRT(($B519-BW$401)^2+($C519-BW$402)^2+($D519-BW$403)^2)</f>
        <v>1.88169784796626</v>
      </c>
      <c r="BX519" s="17" t="n">
        <f aca="false">SQRT(($B519-BX$401)^2+($C519-BX$402)^2+($D519-BX$403)^2)</f>
        <v>5.78377186359091</v>
      </c>
      <c r="BY519" s="17" t="n">
        <f aca="false">SQRT(($B519-BY$401)^2+($C519-BY$402)^2+($D519-BY$403)^2)</f>
        <v>2.07960787106481</v>
      </c>
      <c r="BZ519" s="63" t="n">
        <f aca="false">MATCH(MIN(BT519:BY519),BT519:BY519,0)</f>
        <v>2</v>
      </c>
      <c r="CB519" s="17" t="n">
        <f aca="false">SQRT(($B519-CB$401)^2+($C519-CB$402)^2+($D519-CB$403)^2)</f>
        <v>8.02998813992964</v>
      </c>
      <c r="CC519" s="17" t="n">
        <f aca="false">SQRT(($B519-CC$401)^2+($C519-CC$402)^2+($D519-CC$403)^2)</f>
        <v>0.492219528713019</v>
      </c>
      <c r="CD519" s="17" t="n">
        <f aca="false">SQRT(($B519-CD$401)^2+($C519-CD$402)^2+($D519-CD$403)^2)</f>
        <v>3.55293572710338</v>
      </c>
      <c r="CE519" s="17" t="n">
        <f aca="false">SQRT(($B519-CE$401)^2+($C519-CE$402)^2+($D519-CE$403)^2)</f>
        <v>1.88169784796626</v>
      </c>
      <c r="CF519" s="17" t="n">
        <f aca="false">SQRT(($B519-CF$401)^2+($C519-CF$402)^2+($D519-CF$403)^2)</f>
        <v>5.78377186359091</v>
      </c>
      <c r="CG519" s="17" t="n">
        <f aca="false">SQRT(($B519-CG$401)^2+($C519-CG$402)^2+($D519-CG$403)^2)</f>
        <v>2.07960787106481</v>
      </c>
      <c r="CH519" s="63" t="n">
        <f aca="false">MATCH(MIN(CB519:CG519),CB519:CG519,0)</f>
        <v>2</v>
      </c>
      <c r="CJ519" s="17" t="n">
        <f aca="false">SQRT(($B519-CJ$401)^2+($C519-CJ$402)^2+($D519-CJ$403)^2)</f>
        <v>8.02998813992964</v>
      </c>
      <c r="CK519" s="17" t="n">
        <f aca="false">SQRT(($B519-CK$401)^2+($C519-CK$402)^2+($D519-CK$403)^2)</f>
        <v>0.492219528713019</v>
      </c>
      <c r="CL519" s="17" t="n">
        <f aca="false">SQRT(($B519-CL$401)^2+($C519-CL$402)^2+($D519-CL$403)^2)</f>
        <v>3.55293572710338</v>
      </c>
      <c r="CM519" s="17" t="n">
        <f aca="false">SQRT(($B519-CM$401)^2+($C519-CM$402)^2+($D519-CM$403)^2)</f>
        <v>1.88169784796626</v>
      </c>
      <c r="CN519" s="17" t="n">
        <f aca="false">SQRT(($B519-CN$401)^2+($C519-CN$402)^2+($D519-CN$403)^2)</f>
        <v>5.78377186359091</v>
      </c>
      <c r="CO519" s="17" t="n">
        <f aca="false">SQRT(($B519-CO$401)^2+($C519-CO$402)^2+($D519-CO$403)^2)</f>
        <v>2.07960787106481</v>
      </c>
      <c r="CP519" s="63" t="n">
        <f aca="false">MATCH(MIN(CJ519:CO519),CJ519:CO519,0)</f>
        <v>2</v>
      </c>
      <c r="CR519" s="17" t="n">
        <f aca="false">SQRT(($B519-CR$401)^2+($C519-CR$402)^2+($D519-CR$403)^2)</f>
        <v>8.02998813992964</v>
      </c>
      <c r="CS519" s="17" t="n">
        <f aca="false">SQRT(($B519-CS$401)^2+($C519-CS$402)^2+($D519-CS$403)^2)</f>
        <v>0.492219528713019</v>
      </c>
      <c r="CT519" s="17" t="n">
        <f aca="false">SQRT(($B519-CT$401)^2+($C519-CT$402)^2+($D519-CT$403)^2)</f>
        <v>3.55293572710338</v>
      </c>
      <c r="CU519" s="17" t="n">
        <f aca="false">SQRT(($B519-CU$401)^2+($C519-CU$402)^2+($D519-CU$403)^2)</f>
        <v>1.88169784796626</v>
      </c>
      <c r="CV519" s="17" t="n">
        <f aca="false">SQRT(($B519-CV$401)^2+($C519-CV$402)^2+($D519-CV$403)^2)</f>
        <v>5.78377186359091</v>
      </c>
      <c r="CW519" s="17" t="n">
        <f aca="false">SQRT(($B519-CW$401)^2+($C519-CW$402)^2+($D519-CW$403)^2)</f>
        <v>2.07960787106481</v>
      </c>
      <c r="CX519" s="63" t="n">
        <f aca="false">MATCH(MIN(CR519:CW519),CR519:CW519,0)</f>
        <v>2</v>
      </c>
      <c r="CZ519" s="17" t="n">
        <f aca="false">SQRT(($B519-CZ$401)^2+($C519-CZ$402)^2+($D519-CZ$403)^2)</f>
        <v>8.02998813992964</v>
      </c>
      <c r="DA519" s="17" t="n">
        <f aca="false">SQRT(($B519-DA$401)^2+($C519-DA$402)^2+($D519-DA$403)^2)</f>
        <v>0.492219528713019</v>
      </c>
      <c r="DB519" s="17" t="n">
        <f aca="false">SQRT(($B519-DB$401)^2+($C519-DB$402)^2+($D519-DB$403)^2)</f>
        <v>3.55293572710338</v>
      </c>
      <c r="DC519" s="17" t="n">
        <f aca="false">SQRT(($B519-DC$401)^2+($C519-DC$402)^2+($D519-DC$403)^2)</f>
        <v>1.88169784796626</v>
      </c>
      <c r="DD519" s="17" t="n">
        <f aca="false">SQRT(($B519-DD$401)^2+($C519-DD$402)^2+($D519-DD$403)^2)</f>
        <v>5.78377186359091</v>
      </c>
      <c r="DE519" s="17" t="n">
        <f aca="false">SQRT(($B519-DE$401)^2+($C519-DE$402)^2+($D519-DE$403)^2)</f>
        <v>2.07960787106481</v>
      </c>
      <c r="DF519" s="63" t="n">
        <f aca="false">MATCH(MIN(CZ519:DE519),CZ519:DE519,0)</f>
        <v>2</v>
      </c>
      <c r="DH519" s="17" t="n">
        <f aca="false">SQRT(($B519-DH$401)^2+($C519-DH$402)^2+($D519-DH$403)^2)</f>
        <v>8.02998813992964</v>
      </c>
      <c r="DI519" s="17" t="n">
        <f aca="false">SQRT(($B519-DI$401)^2+($C519-DI$402)^2+($D519-DI$403)^2)</f>
        <v>0.492219528713019</v>
      </c>
      <c r="DJ519" s="17" t="n">
        <f aca="false">SQRT(($B519-DJ$401)^2+($C519-DJ$402)^2+($D519-DJ$403)^2)</f>
        <v>3.55293572710338</v>
      </c>
      <c r="DK519" s="17" t="n">
        <f aca="false">SQRT(($B519-DK$401)^2+($C519-DK$402)^2+($D519-DK$403)^2)</f>
        <v>1.88169784796626</v>
      </c>
      <c r="DL519" s="17" t="n">
        <f aca="false">SQRT(($B519-DL$401)^2+($C519-DL$402)^2+($D519-DL$403)^2)</f>
        <v>5.78377186359091</v>
      </c>
      <c r="DM519" s="17" t="n">
        <f aca="false">SQRT(($B519-DM$401)^2+($C519-DM$402)^2+($D519-DM$403)^2)</f>
        <v>2.07960787106481</v>
      </c>
      <c r="DN519" s="63" t="n">
        <f aca="false">MATCH(MIN(DH519:DM519),DH519:DM519,0)</f>
        <v>2</v>
      </c>
    </row>
    <row r="520" customFormat="false" ht="15" hidden="false" customHeight="false" outlineLevel="0" collapsed="false">
      <c r="A520" s="36" t="str">
        <f aca="false">KMeans_Data!A117</f>
        <v>Okara</v>
      </c>
      <c r="B520" s="17" t="n">
        <f aca="false">KMeans_Data!H117</f>
        <v>-1.71897565655168</v>
      </c>
      <c r="C520" s="17" t="n">
        <f aca="false">KMeans_Data!I117</f>
        <v>-0.672650545388274</v>
      </c>
      <c r="D520" s="17" t="n">
        <f aca="false">KMeans_Data!J117</f>
        <v>-1.14564411633355</v>
      </c>
      <c r="E520" s="63" t="n">
        <f aca="false">DN520</f>
        <v>2</v>
      </c>
      <c r="F520" s="38" t="n">
        <f aca="false">($B520-INDEX($L$401:$Q$401,E520))^2+($C520-INDEX($L$402:$Q$402,E520))^2+($D520-INDEX($L$403:$Q$403,E520))^2</f>
        <v>0.242280064446467</v>
      </c>
      <c r="G520" s="17" t="n">
        <f aca="false">IF(COUNTIF(Distance_Matrix!$E$12:$DQ$12,$E520)&lt;=1,0,SUMIF(Distance_Matrix!$E$12:$DQ$12,$E520,Distance_Matrix!$E$126:$DQ$126)/(COUNTIF(Distance_Matrix!$E$12:$DQ$12,$E520)-1))</f>
        <v>0.598262577309978</v>
      </c>
      <c r="H520" s="17" t="n">
        <f aca="false">MIN(IF(1=$E520,1E+099,IF(COUNTIF(Distance_Matrix!$E$12:$DQ$12,1)=0,1E+099,SUMIF(Distance_Matrix!$E$12:$DQ$12,1,Distance_Matrix!$E$126:$DQ$126)/COUNTIF(Distance_Matrix!$E$12:$DQ$12,1))),IF(2=$E520,1E+099,IF(COUNTIF(Distance_Matrix!$E$12:$DQ$12,2)=0,1E+099,SUMIF(Distance_Matrix!$E$12:$DQ$12,2,Distance_Matrix!$E$126:$DQ$126)/COUNTIF(Distance_Matrix!$E$12:$DQ$12,2))),IF(3=$E520,1E+099,IF(COUNTIF(Distance_Matrix!$E$12:$DQ$12,3)=0,1E+099,SUMIF(Distance_Matrix!$E$12:$DQ$12,3,Distance_Matrix!$E$126:$DQ$126)/COUNTIF(Distance_Matrix!$E$12:$DQ$12,3))),IF(4=$E520,1E+099,IF(COUNTIF(Distance_Matrix!$E$12:$DQ$12,4)=0,1E+099,SUMIF(Distance_Matrix!$E$12:$DQ$12,4,Distance_Matrix!$E$126:$DQ$126)/COUNTIF(Distance_Matrix!$E$12:$DQ$12,4))),IF(5=$E520,1E+099,IF(COUNTIF(Distance_Matrix!$E$12:$DQ$12,5)=0,1E+099,SUMIF(Distance_Matrix!$E$12:$DQ$12,5,Distance_Matrix!$E$126:$DQ$126)/COUNTIF(Distance_Matrix!$E$12:$DQ$12,5))),IF(6=$E520,1E+099,IF(COUNTIF(Distance_Matrix!$E$12:$DQ$12,6)=0,1E+099,SUMIF(Distance_Matrix!$E$12:$DQ$12,6,Distance_Matrix!$E$126:$DQ$126)/COUNTIF(Distance_Matrix!$E$12:$DQ$12,6))))</f>
        <v>1.91561638040502</v>
      </c>
      <c r="I520" s="17" t="n">
        <f aca="false">IF(COUNTIF(Distance_Matrix!$E$12:$DQ$12,$E520)&lt;=1,0,(H520-G520)/MAX(G520,H520))</f>
        <v>0.687691865955184</v>
      </c>
      <c r="X520" s="17" t="n">
        <f aca="false">SQRT(($B520-X$401)^2+($C520-X$402)^2+($D520-X$403)^2)</f>
        <v>8.15332373062299</v>
      </c>
      <c r="Y520" s="17" t="n">
        <f aca="false">SQRT(($B520-Y$401)^2+($C520-Y$402)^2+($D520-Y$403)^2)</f>
        <v>0.360762325251648</v>
      </c>
      <c r="Z520" s="17" t="n">
        <f aca="false">SQRT(($B520-Z$401)^2+($C520-Z$402)^2+($D520-Z$403)^2)</f>
        <v>3.94287645773164</v>
      </c>
      <c r="AA520" s="17" t="n">
        <f aca="false">SQRT(($B520-AA$401)^2+($C520-AA$402)^2+($D520-AA$403)^2)</f>
        <v>2.42237275698138</v>
      </c>
      <c r="AB520" s="17" t="n">
        <f aca="false">SQRT(($B520-AB$401)^2+($C520-AB$402)^2+($D520-AB$403)^2)</f>
        <v>6.15249594053942</v>
      </c>
      <c r="AC520" s="17" t="n">
        <f aca="false">SQRT(($B520-AC$401)^2+($C520-AC$402)^2+($D520-AC$403)^2)</f>
        <v>2.10943138174765</v>
      </c>
      <c r="AD520" s="63" t="n">
        <f aca="false">MATCH(MIN(X520:AC520),X520:AC520,0)</f>
        <v>2</v>
      </c>
      <c r="AF520" s="17" t="n">
        <f aca="false">SQRT(($B520-AF$401)^2+($C520-AF$402)^2+($D520-AF$403)^2)</f>
        <v>8.02998813992964</v>
      </c>
      <c r="AG520" s="17" t="n">
        <f aca="false">SQRT(($B520-AG$401)^2+($C520-AG$402)^2+($D520-AG$403)^2)</f>
        <v>0.402039841025579</v>
      </c>
      <c r="AH520" s="17" t="n">
        <f aca="false">SQRT(($B520-AH$401)^2+($C520-AH$402)^2+($D520-AH$403)^2)</f>
        <v>3.58532215962703</v>
      </c>
      <c r="AI520" s="17" t="n">
        <f aca="false">SQRT(($B520-AI$401)^2+($C520-AI$402)^2+($D520-AI$403)^2)</f>
        <v>1.89008900209613</v>
      </c>
      <c r="AJ520" s="17" t="n">
        <f aca="false">SQRT(($B520-AJ$401)^2+($C520-AJ$402)^2+($D520-AJ$403)^2)</f>
        <v>5.78377186359091</v>
      </c>
      <c r="AK520" s="17" t="n">
        <f aca="false">SQRT(($B520-AK$401)^2+($C520-AK$402)^2+($D520-AK$403)^2)</f>
        <v>1.98238846067542</v>
      </c>
      <c r="AL520" s="63" t="n">
        <f aca="false">MATCH(MIN(AF520:AK520),AF520:AK520,0)</f>
        <v>2</v>
      </c>
      <c r="AN520" s="17" t="n">
        <f aca="false">SQRT(($B520-AN$401)^2+($C520-AN$402)^2+($D520-AN$403)^2)</f>
        <v>8.02998813992964</v>
      </c>
      <c r="AO520" s="17" t="n">
        <f aca="false">SQRT(($B520-AO$401)^2+($C520-AO$402)^2+($D520-AO$403)^2)</f>
        <v>0.447293388693396</v>
      </c>
      <c r="AP520" s="17" t="n">
        <f aca="false">SQRT(($B520-AP$401)^2+($C520-AP$402)^2+($D520-AP$403)^2)</f>
        <v>3.55293572710338</v>
      </c>
      <c r="AQ520" s="17" t="n">
        <f aca="false">SQRT(($B520-AQ$401)^2+($C520-AQ$402)^2+($D520-AQ$403)^2)</f>
        <v>1.88169784796626</v>
      </c>
      <c r="AR520" s="17" t="n">
        <f aca="false">SQRT(($B520-AR$401)^2+($C520-AR$402)^2+($D520-AR$403)^2)</f>
        <v>5.78377186359091</v>
      </c>
      <c r="AS520" s="17" t="n">
        <f aca="false">SQRT(($B520-AS$401)^2+($C520-AS$402)^2+($D520-AS$403)^2)</f>
        <v>2.02732768798654</v>
      </c>
      <c r="AT520" s="63" t="n">
        <f aca="false">MATCH(MIN(AN520:AS520),AN520:AS520,0)</f>
        <v>2</v>
      </c>
      <c r="AV520" s="17" t="n">
        <f aca="false">SQRT(($B520-AV$401)^2+($C520-AV$402)^2+($D520-AV$403)^2)</f>
        <v>8.02998813992964</v>
      </c>
      <c r="AW520" s="17" t="n">
        <f aca="false">SQRT(($B520-AW$401)^2+($C520-AW$402)^2+($D520-AW$403)^2)</f>
        <v>0.470598714427286</v>
      </c>
      <c r="AX520" s="17" t="n">
        <f aca="false">SQRT(($B520-AX$401)^2+($C520-AX$402)^2+($D520-AX$403)^2)</f>
        <v>3.55293572710338</v>
      </c>
      <c r="AY520" s="17" t="n">
        <f aca="false">SQRT(($B520-AY$401)^2+($C520-AY$402)^2+($D520-AY$403)^2)</f>
        <v>1.88169784796626</v>
      </c>
      <c r="AZ520" s="17" t="n">
        <f aca="false">SQRT(($B520-AZ$401)^2+($C520-AZ$402)^2+($D520-AZ$403)^2)</f>
        <v>5.78377186359091</v>
      </c>
      <c r="BA520" s="17" t="n">
        <f aca="false">SQRT(($B520-BA$401)^2+($C520-BA$402)^2+($D520-BA$403)^2)</f>
        <v>2.05300996378401</v>
      </c>
      <c r="BB520" s="63" t="n">
        <f aca="false">MATCH(MIN(AV520:BA520),AV520:BA520,0)</f>
        <v>2</v>
      </c>
      <c r="BD520" s="17" t="n">
        <f aca="false">SQRT(($B520-BD$401)^2+($C520-BD$402)^2+($D520-BD$403)^2)</f>
        <v>8.02998813992964</v>
      </c>
      <c r="BE520" s="17" t="n">
        <f aca="false">SQRT(($B520-BE$401)^2+($C520-BE$402)^2+($D520-BE$403)^2)</f>
        <v>0.492219528713019</v>
      </c>
      <c r="BF520" s="17" t="n">
        <f aca="false">SQRT(($B520-BF$401)^2+($C520-BF$402)^2+($D520-BF$403)^2)</f>
        <v>3.55293572710338</v>
      </c>
      <c r="BG520" s="17" t="n">
        <f aca="false">SQRT(($B520-BG$401)^2+($C520-BG$402)^2+($D520-BG$403)^2)</f>
        <v>1.88169784796626</v>
      </c>
      <c r="BH520" s="17" t="n">
        <f aca="false">SQRT(($B520-BH$401)^2+($C520-BH$402)^2+($D520-BH$403)^2)</f>
        <v>5.78377186359091</v>
      </c>
      <c r="BI520" s="17" t="n">
        <f aca="false">SQRT(($B520-BI$401)^2+($C520-BI$402)^2+($D520-BI$403)^2)</f>
        <v>2.07960787106481</v>
      </c>
      <c r="BJ520" s="63" t="n">
        <f aca="false">MATCH(MIN(BD520:BI520),BD520:BI520,0)</f>
        <v>2</v>
      </c>
      <c r="BL520" s="17" t="n">
        <f aca="false">SQRT(($B520-BL$401)^2+($C520-BL$402)^2+($D520-BL$403)^2)</f>
        <v>8.02998813992964</v>
      </c>
      <c r="BM520" s="17" t="n">
        <f aca="false">SQRT(($B520-BM$401)^2+($C520-BM$402)^2+($D520-BM$403)^2)</f>
        <v>0.492219528713019</v>
      </c>
      <c r="BN520" s="17" t="n">
        <f aca="false">SQRT(($B520-BN$401)^2+($C520-BN$402)^2+($D520-BN$403)^2)</f>
        <v>3.55293572710338</v>
      </c>
      <c r="BO520" s="17" t="n">
        <f aca="false">SQRT(($B520-BO$401)^2+($C520-BO$402)^2+($D520-BO$403)^2)</f>
        <v>1.88169784796626</v>
      </c>
      <c r="BP520" s="17" t="n">
        <f aca="false">SQRT(($B520-BP$401)^2+($C520-BP$402)^2+($D520-BP$403)^2)</f>
        <v>5.78377186359091</v>
      </c>
      <c r="BQ520" s="17" t="n">
        <f aca="false">SQRT(($B520-BQ$401)^2+($C520-BQ$402)^2+($D520-BQ$403)^2)</f>
        <v>2.07960787106481</v>
      </c>
      <c r="BR520" s="63" t="n">
        <f aca="false">MATCH(MIN(BL520:BQ520),BL520:BQ520,0)</f>
        <v>2</v>
      </c>
      <c r="BT520" s="17" t="n">
        <f aca="false">SQRT(($B520-BT$401)^2+($C520-BT$402)^2+($D520-BT$403)^2)</f>
        <v>8.02998813992964</v>
      </c>
      <c r="BU520" s="17" t="n">
        <f aca="false">SQRT(($B520-BU$401)^2+($C520-BU$402)^2+($D520-BU$403)^2)</f>
        <v>0.492219528713019</v>
      </c>
      <c r="BV520" s="17" t="n">
        <f aca="false">SQRT(($B520-BV$401)^2+($C520-BV$402)^2+($D520-BV$403)^2)</f>
        <v>3.55293572710338</v>
      </c>
      <c r="BW520" s="17" t="n">
        <f aca="false">SQRT(($B520-BW$401)^2+($C520-BW$402)^2+($D520-BW$403)^2)</f>
        <v>1.88169784796626</v>
      </c>
      <c r="BX520" s="17" t="n">
        <f aca="false">SQRT(($B520-BX$401)^2+($C520-BX$402)^2+($D520-BX$403)^2)</f>
        <v>5.78377186359091</v>
      </c>
      <c r="BY520" s="17" t="n">
        <f aca="false">SQRT(($B520-BY$401)^2+($C520-BY$402)^2+($D520-BY$403)^2)</f>
        <v>2.07960787106481</v>
      </c>
      <c r="BZ520" s="63" t="n">
        <f aca="false">MATCH(MIN(BT520:BY520),BT520:BY520,0)</f>
        <v>2</v>
      </c>
      <c r="CB520" s="17" t="n">
        <f aca="false">SQRT(($B520-CB$401)^2+($C520-CB$402)^2+($D520-CB$403)^2)</f>
        <v>8.02998813992964</v>
      </c>
      <c r="CC520" s="17" t="n">
        <f aca="false">SQRT(($B520-CC$401)^2+($C520-CC$402)^2+($D520-CC$403)^2)</f>
        <v>0.492219528713019</v>
      </c>
      <c r="CD520" s="17" t="n">
        <f aca="false">SQRT(($B520-CD$401)^2+($C520-CD$402)^2+($D520-CD$403)^2)</f>
        <v>3.55293572710338</v>
      </c>
      <c r="CE520" s="17" t="n">
        <f aca="false">SQRT(($B520-CE$401)^2+($C520-CE$402)^2+($D520-CE$403)^2)</f>
        <v>1.88169784796626</v>
      </c>
      <c r="CF520" s="17" t="n">
        <f aca="false">SQRT(($B520-CF$401)^2+($C520-CF$402)^2+($D520-CF$403)^2)</f>
        <v>5.78377186359091</v>
      </c>
      <c r="CG520" s="17" t="n">
        <f aca="false">SQRT(($B520-CG$401)^2+($C520-CG$402)^2+($D520-CG$403)^2)</f>
        <v>2.07960787106481</v>
      </c>
      <c r="CH520" s="63" t="n">
        <f aca="false">MATCH(MIN(CB520:CG520),CB520:CG520,0)</f>
        <v>2</v>
      </c>
      <c r="CJ520" s="17" t="n">
        <f aca="false">SQRT(($B520-CJ$401)^2+($C520-CJ$402)^2+($D520-CJ$403)^2)</f>
        <v>8.02998813992964</v>
      </c>
      <c r="CK520" s="17" t="n">
        <f aca="false">SQRT(($B520-CK$401)^2+($C520-CK$402)^2+($D520-CK$403)^2)</f>
        <v>0.492219528713019</v>
      </c>
      <c r="CL520" s="17" t="n">
        <f aca="false">SQRT(($B520-CL$401)^2+($C520-CL$402)^2+($D520-CL$403)^2)</f>
        <v>3.55293572710338</v>
      </c>
      <c r="CM520" s="17" t="n">
        <f aca="false">SQRT(($B520-CM$401)^2+($C520-CM$402)^2+($D520-CM$403)^2)</f>
        <v>1.88169784796626</v>
      </c>
      <c r="CN520" s="17" t="n">
        <f aca="false">SQRT(($B520-CN$401)^2+($C520-CN$402)^2+($D520-CN$403)^2)</f>
        <v>5.78377186359091</v>
      </c>
      <c r="CO520" s="17" t="n">
        <f aca="false">SQRT(($B520-CO$401)^2+($C520-CO$402)^2+($D520-CO$403)^2)</f>
        <v>2.07960787106481</v>
      </c>
      <c r="CP520" s="63" t="n">
        <f aca="false">MATCH(MIN(CJ520:CO520),CJ520:CO520,0)</f>
        <v>2</v>
      </c>
      <c r="CR520" s="17" t="n">
        <f aca="false">SQRT(($B520-CR$401)^2+($C520-CR$402)^2+($D520-CR$403)^2)</f>
        <v>8.02998813992964</v>
      </c>
      <c r="CS520" s="17" t="n">
        <f aca="false">SQRT(($B520-CS$401)^2+($C520-CS$402)^2+($D520-CS$403)^2)</f>
        <v>0.492219528713019</v>
      </c>
      <c r="CT520" s="17" t="n">
        <f aca="false">SQRT(($B520-CT$401)^2+($C520-CT$402)^2+($D520-CT$403)^2)</f>
        <v>3.55293572710338</v>
      </c>
      <c r="CU520" s="17" t="n">
        <f aca="false">SQRT(($B520-CU$401)^2+($C520-CU$402)^2+($D520-CU$403)^2)</f>
        <v>1.88169784796626</v>
      </c>
      <c r="CV520" s="17" t="n">
        <f aca="false">SQRT(($B520-CV$401)^2+($C520-CV$402)^2+($D520-CV$403)^2)</f>
        <v>5.78377186359091</v>
      </c>
      <c r="CW520" s="17" t="n">
        <f aca="false">SQRT(($B520-CW$401)^2+($C520-CW$402)^2+($D520-CW$403)^2)</f>
        <v>2.07960787106481</v>
      </c>
      <c r="CX520" s="63" t="n">
        <f aca="false">MATCH(MIN(CR520:CW520),CR520:CW520,0)</f>
        <v>2</v>
      </c>
      <c r="CZ520" s="17" t="n">
        <f aca="false">SQRT(($B520-CZ$401)^2+($C520-CZ$402)^2+($D520-CZ$403)^2)</f>
        <v>8.02998813992964</v>
      </c>
      <c r="DA520" s="17" t="n">
        <f aca="false">SQRT(($B520-DA$401)^2+($C520-DA$402)^2+($D520-DA$403)^2)</f>
        <v>0.492219528713019</v>
      </c>
      <c r="DB520" s="17" t="n">
        <f aca="false">SQRT(($B520-DB$401)^2+($C520-DB$402)^2+($D520-DB$403)^2)</f>
        <v>3.55293572710338</v>
      </c>
      <c r="DC520" s="17" t="n">
        <f aca="false">SQRT(($B520-DC$401)^2+($C520-DC$402)^2+($D520-DC$403)^2)</f>
        <v>1.88169784796626</v>
      </c>
      <c r="DD520" s="17" t="n">
        <f aca="false">SQRT(($B520-DD$401)^2+($C520-DD$402)^2+($D520-DD$403)^2)</f>
        <v>5.78377186359091</v>
      </c>
      <c r="DE520" s="17" t="n">
        <f aca="false">SQRT(($B520-DE$401)^2+($C520-DE$402)^2+($D520-DE$403)^2)</f>
        <v>2.07960787106481</v>
      </c>
      <c r="DF520" s="63" t="n">
        <f aca="false">MATCH(MIN(CZ520:DE520),CZ520:DE520,0)</f>
        <v>2</v>
      </c>
      <c r="DH520" s="17" t="n">
        <f aca="false">SQRT(($B520-DH$401)^2+($C520-DH$402)^2+($D520-DH$403)^2)</f>
        <v>8.02998813992964</v>
      </c>
      <c r="DI520" s="17" t="n">
        <f aca="false">SQRT(($B520-DI$401)^2+($C520-DI$402)^2+($D520-DI$403)^2)</f>
        <v>0.492219528713019</v>
      </c>
      <c r="DJ520" s="17" t="n">
        <f aca="false">SQRT(($B520-DJ$401)^2+($C520-DJ$402)^2+($D520-DJ$403)^2)</f>
        <v>3.55293572710338</v>
      </c>
      <c r="DK520" s="17" t="n">
        <f aca="false">SQRT(($B520-DK$401)^2+($C520-DK$402)^2+($D520-DK$403)^2)</f>
        <v>1.88169784796626</v>
      </c>
      <c r="DL520" s="17" t="n">
        <f aca="false">SQRT(($B520-DL$401)^2+($C520-DL$402)^2+($D520-DL$403)^2)</f>
        <v>5.78377186359091</v>
      </c>
      <c r="DM520" s="17" t="n">
        <f aca="false">SQRT(($B520-DM$401)^2+($C520-DM$402)^2+($D520-DM$403)^2)</f>
        <v>2.07960787106481</v>
      </c>
      <c r="DN520" s="63" t="n">
        <f aca="false">MATCH(MIN(DH520:DM520),DH520:DM520,0)</f>
        <v>2</v>
      </c>
    </row>
    <row r="521" customFormat="false" ht="15" hidden="false" customHeight="false" outlineLevel="0" collapsed="false">
      <c r="A521" s="36" t="str">
        <f aca="false">KMeans_Data!A118</f>
        <v>Ziarat</v>
      </c>
      <c r="B521" s="17" t="n">
        <f aca="false">KMeans_Data!H118</f>
        <v>-1.71897565655168</v>
      </c>
      <c r="C521" s="17" t="n">
        <f aca="false">KMeans_Data!I118</f>
        <v>-0.672650545388274</v>
      </c>
      <c r="D521" s="17" t="n">
        <f aca="false">KMeans_Data!J118</f>
        <v>-1.14564411633355</v>
      </c>
      <c r="E521" s="63" t="n">
        <f aca="false">DN521</f>
        <v>2</v>
      </c>
      <c r="F521" s="38" t="n">
        <f aca="false">($B521-INDEX($L$401:$Q$401,E521))^2+($C521-INDEX($L$402:$Q$402,E521))^2+($D521-INDEX($L$403:$Q$403,E521))^2</f>
        <v>0.242280064446467</v>
      </c>
      <c r="G521" s="17" t="n">
        <f aca="false">IF(COUNTIF(Distance_Matrix!$E$12:$DQ$12,$E521)&lt;=1,0,SUMIF(Distance_Matrix!$E$12:$DQ$12,$E521,Distance_Matrix!$E$127:$DQ$127)/(COUNTIF(Distance_Matrix!$E$12:$DQ$12,$E521)-1))</f>
        <v>0.598262577309978</v>
      </c>
      <c r="H521" s="17" t="n">
        <f aca="false">MIN(IF(1=$E521,1E+099,IF(COUNTIF(Distance_Matrix!$E$12:$DQ$12,1)=0,1E+099,SUMIF(Distance_Matrix!$E$12:$DQ$12,1,Distance_Matrix!$E$127:$DQ$127)/COUNTIF(Distance_Matrix!$E$12:$DQ$12,1))),IF(2=$E521,1E+099,IF(COUNTIF(Distance_Matrix!$E$12:$DQ$12,2)=0,1E+099,SUMIF(Distance_Matrix!$E$12:$DQ$12,2,Distance_Matrix!$E$127:$DQ$127)/COUNTIF(Distance_Matrix!$E$12:$DQ$12,2))),IF(3=$E521,1E+099,IF(COUNTIF(Distance_Matrix!$E$12:$DQ$12,3)=0,1E+099,SUMIF(Distance_Matrix!$E$12:$DQ$12,3,Distance_Matrix!$E$127:$DQ$127)/COUNTIF(Distance_Matrix!$E$12:$DQ$12,3))),IF(4=$E521,1E+099,IF(COUNTIF(Distance_Matrix!$E$12:$DQ$12,4)=0,1E+099,SUMIF(Distance_Matrix!$E$12:$DQ$12,4,Distance_Matrix!$E$127:$DQ$127)/COUNTIF(Distance_Matrix!$E$12:$DQ$12,4))),IF(5=$E521,1E+099,IF(COUNTIF(Distance_Matrix!$E$12:$DQ$12,5)=0,1E+099,SUMIF(Distance_Matrix!$E$12:$DQ$12,5,Distance_Matrix!$E$127:$DQ$127)/COUNTIF(Distance_Matrix!$E$12:$DQ$12,5))),IF(6=$E521,1E+099,IF(COUNTIF(Distance_Matrix!$E$12:$DQ$12,6)=0,1E+099,SUMIF(Distance_Matrix!$E$12:$DQ$12,6,Distance_Matrix!$E$127:$DQ$127)/COUNTIF(Distance_Matrix!$E$12:$DQ$12,6))))</f>
        <v>1.91561638040502</v>
      </c>
      <c r="I521" s="17" t="n">
        <f aca="false">IF(COUNTIF(Distance_Matrix!$E$12:$DQ$12,$E521)&lt;=1,0,(H521-G521)/MAX(G521,H521))</f>
        <v>0.687691865955184</v>
      </c>
      <c r="X521" s="17" t="n">
        <f aca="false">SQRT(($B521-X$401)^2+($C521-X$402)^2+($D521-X$403)^2)</f>
        <v>8.15332373062299</v>
      </c>
      <c r="Y521" s="17" t="n">
        <f aca="false">SQRT(($B521-Y$401)^2+($C521-Y$402)^2+($D521-Y$403)^2)</f>
        <v>0.360762325251648</v>
      </c>
      <c r="Z521" s="17" t="n">
        <f aca="false">SQRT(($B521-Z$401)^2+($C521-Z$402)^2+($D521-Z$403)^2)</f>
        <v>3.94287645773164</v>
      </c>
      <c r="AA521" s="17" t="n">
        <f aca="false">SQRT(($B521-AA$401)^2+($C521-AA$402)^2+($D521-AA$403)^2)</f>
        <v>2.42237275698138</v>
      </c>
      <c r="AB521" s="17" t="n">
        <f aca="false">SQRT(($B521-AB$401)^2+($C521-AB$402)^2+($D521-AB$403)^2)</f>
        <v>6.15249594053942</v>
      </c>
      <c r="AC521" s="17" t="n">
        <f aca="false">SQRT(($B521-AC$401)^2+($C521-AC$402)^2+($D521-AC$403)^2)</f>
        <v>2.10943138174765</v>
      </c>
      <c r="AD521" s="63" t="n">
        <f aca="false">MATCH(MIN(X521:AC521),X521:AC521,0)</f>
        <v>2</v>
      </c>
      <c r="AF521" s="17" t="n">
        <f aca="false">SQRT(($B521-AF$401)^2+($C521-AF$402)^2+($D521-AF$403)^2)</f>
        <v>8.02998813992964</v>
      </c>
      <c r="AG521" s="17" t="n">
        <f aca="false">SQRT(($B521-AG$401)^2+($C521-AG$402)^2+($D521-AG$403)^2)</f>
        <v>0.402039841025579</v>
      </c>
      <c r="AH521" s="17" t="n">
        <f aca="false">SQRT(($B521-AH$401)^2+($C521-AH$402)^2+($D521-AH$403)^2)</f>
        <v>3.58532215962703</v>
      </c>
      <c r="AI521" s="17" t="n">
        <f aca="false">SQRT(($B521-AI$401)^2+($C521-AI$402)^2+($D521-AI$403)^2)</f>
        <v>1.89008900209613</v>
      </c>
      <c r="AJ521" s="17" t="n">
        <f aca="false">SQRT(($B521-AJ$401)^2+($C521-AJ$402)^2+($D521-AJ$403)^2)</f>
        <v>5.78377186359091</v>
      </c>
      <c r="AK521" s="17" t="n">
        <f aca="false">SQRT(($B521-AK$401)^2+($C521-AK$402)^2+($D521-AK$403)^2)</f>
        <v>1.98238846067542</v>
      </c>
      <c r="AL521" s="63" t="n">
        <f aca="false">MATCH(MIN(AF521:AK521),AF521:AK521,0)</f>
        <v>2</v>
      </c>
      <c r="AN521" s="17" t="n">
        <f aca="false">SQRT(($B521-AN$401)^2+($C521-AN$402)^2+($D521-AN$403)^2)</f>
        <v>8.02998813992964</v>
      </c>
      <c r="AO521" s="17" t="n">
        <f aca="false">SQRT(($B521-AO$401)^2+($C521-AO$402)^2+($D521-AO$403)^2)</f>
        <v>0.447293388693396</v>
      </c>
      <c r="AP521" s="17" t="n">
        <f aca="false">SQRT(($B521-AP$401)^2+($C521-AP$402)^2+($D521-AP$403)^2)</f>
        <v>3.55293572710338</v>
      </c>
      <c r="AQ521" s="17" t="n">
        <f aca="false">SQRT(($B521-AQ$401)^2+($C521-AQ$402)^2+($D521-AQ$403)^2)</f>
        <v>1.88169784796626</v>
      </c>
      <c r="AR521" s="17" t="n">
        <f aca="false">SQRT(($B521-AR$401)^2+($C521-AR$402)^2+($D521-AR$403)^2)</f>
        <v>5.78377186359091</v>
      </c>
      <c r="AS521" s="17" t="n">
        <f aca="false">SQRT(($B521-AS$401)^2+($C521-AS$402)^2+($D521-AS$403)^2)</f>
        <v>2.02732768798654</v>
      </c>
      <c r="AT521" s="63" t="n">
        <f aca="false">MATCH(MIN(AN521:AS521),AN521:AS521,0)</f>
        <v>2</v>
      </c>
      <c r="AV521" s="17" t="n">
        <f aca="false">SQRT(($B521-AV$401)^2+($C521-AV$402)^2+($D521-AV$403)^2)</f>
        <v>8.02998813992964</v>
      </c>
      <c r="AW521" s="17" t="n">
        <f aca="false">SQRT(($B521-AW$401)^2+($C521-AW$402)^2+($D521-AW$403)^2)</f>
        <v>0.470598714427286</v>
      </c>
      <c r="AX521" s="17" t="n">
        <f aca="false">SQRT(($B521-AX$401)^2+($C521-AX$402)^2+($D521-AX$403)^2)</f>
        <v>3.55293572710338</v>
      </c>
      <c r="AY521" s="17" t="n">
        <f aca="false">SQRT(($B521-AY$401)^2+($C521-AY$402)^2+($D521-AY$403)^2)</f>
        <v>1.88169784796626</v>
      </c>
      <c r="AZ521" s="17" t="n">
        <f aca="false">SQRT(($B521-AZ$401)^2+($C521-AZ$402)^2+($D521-AZ$403)^2)</f>
        <v>5.78377186359091</v>
      </c>
      <c r="BA521" s="17" t="n">
        <f aca="false">SQRT(($B521-BA$401)^2+($C521-BA$402)^2+($D521-BA$403)^2)</f>
        <v>2.05300996378401</v>
      </c>
      <c r="BB521" s="63" t="n">
        <f aca="false">MATCH(MIN(AV521:BA521),AV521:BA521,0)</f>
        <v>2</v>
      </c>
      <c r="BD521" s="17" t="n">
        <f aca="false">SQRT(($B521-BD$401)^2+($C521-BD$402)^2+($D521-BD$403)^2)</f>
        <v>8.02998813992964</v>
      </c>
      <c r="BE521" s="17" t="n">
        <f aca="false">SQRT(($B521-BE$401)^2+($C521-BE$402)^2+($D521-BE$403)^2)</f>
        <v>0.492219528713019</v>
      </c>
      <c r="BF521" s="17" t="n">
        <f aca="false">SQRT(($B521-BF$401)^2+($C521-BF$402)^2+($D521-BF$403)^2)</f>
        <v>3.55293572710338</v>
      </c>
      <c r="BG521" s="17" t="n">
        <f aca="false">SQRT(($B521-BG$401)^2+($C521-BG$402)^2+($D521-BG$403)^2)</f>
        <v>1.88169784796626</v>
      </c>
      <c r="BH521" s="17" t="n">
        <f aca="false">SQRT(($B521-BH$401)^2+($C521-BH$402)^2+($D521-BH$403)^2)</f>
        <v>5.78377186359091</v>
      </c>
      <c r="BI521" s="17" t="n">
        <f aca="false">SQRT(($B521-BI$401)^2+($C521-BI$402)^2+($D521-BI$403)^2)</f>
        <v>2.07960787106481</v>
      </c>
      <c r="BJ521" s="63" t="n">
        <f aca="false">MATCH(MIN(BD521:BI521),BD521:BI521,0)</f>
        <v>2</v>
      </c>
      <c r="BL521" s="17" t="n">
        <f aca="false">SQRT(($B521-BL$401)^2+($C521-BL$402)^2+($D521-BL$403)^2)</f>
        <v>8.02998813992964</v>
      </c>
      <c r="BM521" s="17" t="n">
        <f aca="false">SQRT(($B521-BM$401)^2+($C521-BM$402)^2+($D521-BM$403)^2)</f>
        <v>0.492219528713019</v>
      </c>
      <c r="BN521" s="17" t="n">
        <f aca="false">SQRT(($B521-BN$401)^2+($C521-BN$402)^2+($D521-BN$403)^2)</f>
        <v>3.55293572710338</v>
      </c>
      <c r="BO521" s="17" t="n">
        <f aca="false">SQRT(($B521-BO$401)^2+($C521-BO$402)^2+($D521-BO$403)^2)</f>
        <v>1.88169784796626</v>
      </c>
      <c r="BP521" s="17" t="n">
        <f aca="false">SQRT(($B521-BP$401)^2+($C521-BP$402)^2+($D521-BP$403)^2)</f>
        <v>5.78377186359091</v>
      </c>
      <c r="BQ521" s="17" t="n">
        <f aca="false">SQRT(($B521-BQ$401)^2+($C521-BQ$402)^2+($D521-BQ$403)^2)</f>
        <v>2.07960787106481</v>
      </c>
      <c r="BR521" s="63" t="n">
        <f aca="false">MATCH(MIN(BL521:BQ521),BL521:BQ521,0)</f>
        <v>2</v>
      </c>
      <c r="BT521" s="17" t="n">
        <f aca="false">SQRT(($B521-BT$401)^2+($C521-BT$402)^2+($D521-BT$403)^2)</f>
        <v>8.02998813992964</v>
      </c>
      <c r="BU521" s="17" t="n">
        <f aca="false">SQRT(($B521-BU$401)^2+($C521-BU$402)^2+($D521-BU$403)^2)</f>
        <v>0.492219528713019</v>
      </c>
      <c r="BV521" s="17" t="n">
        <f aca="false">SQRT(($B521-BV$401)^2+($C521-BV$402)^2+($D521-BV$403)^2)</f>
        <v>3.55293572710338</v>
      </c>
      <c r="BW521" s="17" t="n">
        <f aca="false">SQRT(($B521-BW$401)^2+($C521-BW$402)^2+($D521-BW$403)^2)</f>
        <v>1.88169784796626</v>
      </c>
      <c r="BX521" s="17" t="n">
        <f aca="false">SQRT(($B521-BX$401)^2+($C521-BX$402)^2+($D521-BX$403)^2)</f>
        <v>5.78377186359091</v>
      </c>
      <c r="BY521" s="17" t="n">
        <f aca="false">SQRT(($B521-BY$401)^2+($C521-BY$402)^2+($D521-BY$403)^2)</f>
        <v>2.07960787106481</v>
      </c>
      <c r="BZ521" s="63" t="n">
        <f aca="false">MATCH(MIN(BT521:BY521),BT521:BY521,0)</f>
        <v>2</v>
      </c>
      <c r="CB521" s="17" t="n">
        <f aca="false">SQRT(($B521-CB$401)^2+($C521-CB$402)^2+($D521-CB$403)^2)</f>
        <v>8.02998813992964</v>
      </c>
      <c r="CC521" s="17" t="n">
        <f aca="false">SQRT(($B521-CC$401)^2+($C521-CC$402)^2+($D521-CC$403)^2)</f>
        <v>0.492219528713019</v>
      </c>
      <c r="CD521" s="17" t="n">
        <f aca="false">SQRT(($B521-CD$401)^2+($C521-CD$402)^2+($D521-CD$403)^2)</f>
        <v>3.55293572710338</v>
      </c>
      <c r="CE521" s="17" t="n">
        <f aca="false">SQRT(($B521-CE$401)^2+($C521-CE$402)^2+($D521-CE$403)^2)</f>
        <v>1.88169784796626</v>
      </c>
      <c r="CF521" s="17" t="n">
        <f aca="false">SQRT(($B521-CF$401)^2+($C521-CF$402)^2+($D521-CF$403)^2)</f>
        <v>5.78377186359091</v>
      </c>
      <c r="CG521" s="17" t="n">
        <f aca="false">SQRT(($B521-CG$401)^2+($C521-CG$402)^2+($D521-CG$403)^2)</f>
        <v>2.07960787106481</v>
      </c>
      <c r="CH521" s="63" t="n">
        <f aca="false">MATCH(MIN(CB521:CG521),CB521:CG521,0)</f>
        <v>2</v>
      </c>
      <c r="CJ521" s="17" t="n">
        <f aca="false">SQRT(($B521-CJ$401)^2+($C521-CJ$402)^2+($D521-CJ$403)^2)</f>
        <v>8.02998813992964</v>
      </c>
      <c r="CK521" s="17" t="n">
        <f aca="false">SQRT(($B521-CK$401)^2+($C521-CK$402)^2+($D521-CK$403)^2)</f>
        <v>0.492219528713019</v>
      </c>
      <c r="CL521" s="17" t="n">
        <f aca="false">SQRT(($B521-CL$401)^2+($C521-CL$402)^2+($D521-CL$403)^2)</f>
        <v>3.55293572710338</v>
      </c>
      <c r="CM521" s="17" t="n">
        <f aca="false">SQRT(($B521-CM$401)^2+($C521-CM$402)^2+($D521-CM$403)^2)</f>
        <v>1.88169784796626</v>
      </c>
      <c r="CN521" s="17" t="n">
        <f aca="false">SQRT(($B521-CN$401)^2+($C521-CN$402)^2+($D521-CN$403)^2)</f>
        <v>5.78377186359091</v>
      </c>
      <c r="CO521" s="17" t="n">
        <f aca="false">SQRT(($B521-CO$401)^2+($C521-CO$402)^2+($D521-CO$403)^2)</f>
        <v>2.07960787106481</v>
      </c>
      <c r="CP521" s="63" t="n">
        <f aca="false">MATCH(MIN(CJ521:CO521),CJ521:CO521,0)</f>
        <v>2</v>
      </c>
      <c r="CR521" s="17" t="n">
        <f aca="false">SQRT(($B521-CR$401)^2+($C521-CR$402)^2+($D521-CR$403)^2)</f>
        <v>8.02998813992964</v>
      </c>
      <c r="CS521" s="17" t="n">
        <f aca="false">SQRT(($B521-CS$401)^2+($C521-CS$402)^2+($D521-CS$403)^2)</f>
        <v>0.492219528713019</v>
      </c>
      <c r="CT521" s="17" t="n">
        <f aca="false">SQRT(($B521-CT$401)^2+($C521-CT$402)^2+($D521-CT$403)^2)</f>
        <v>3.55293572710338</v>
      </c>
      <c r="CU521" s="17" t="n">
        <f aca="false">SQRT(($B521-CU$401)^2+($C521-CU$402)^2+($D521-CU$403)^2)</f>
        <v>1.88169784796626</v>
      </c>
      <c r="CV521" s="17" t="n">
        <f aca="false">SQRT(($B521-CV$401)^2+($C521-CV$402)^2+($D521-CV$403)^2)</f>
        <v>5.78377186359091</v>
      </c>
      <c r="CW521" s="17" t="n">
        <f aca="false">SQRT(($B521-CW$401)^2+($C521-CW$402)^2+($D521-CW$403)^2)</f>
        <v>2.07960787106481</v>
      </c>
      <c r="CX521" s="63" t="n">
        <f aca="false">MATCH(MIN(CR521:CW521),CR521:CW521,0)</f>
        <v>2</v>
      </c>
      <c r="CZ521" s="17" t="n">
        <f aca="false">SQRT(($B521-CZ$401)^2+($C521-CZ$402)^2+($D521-CZ$403)^2)</f>
        <v>8.02998813992964</v>
      </c>
      <c r="DA521" s="17" t="n">
        <f aca="false">SQRT(($B521-DA$401)^2+($C521-DA$402)^2+($D521-DA$403)^2)</f>
        <v>0.492219528713019</v>
      </c>
      <c r="DB521" s="17" t="n">
        <f aca="false">SQRT(($B521-DB$401)^2+($C521-DB$402)^2+($D521-DB$403)^2)</f>
        <v>3.55293572710338</v>
      </c>
      <c r="DC521" s="17" t="n">
        <f aca="false">SQRT(($B521-DC$401)^2+($C521-DC$402)^2+($D521-DC$403)^2)</f>
        <v>1.88169784796626</v>
      </c>
      <c r="DD521" s="17" t="n">
        <f aca="false">SQRT(($B521-DD$401)^2+($C521-DD$402)^2+($D521-DD$403)^2)</f>
        <v>5.78377186359091</v>
      </c>
      <c r="DE521" s="17" t="n">
        <f aca="false">SQRT(($B521-DE$401)^2+($C521-DE$402)^2+($D521-DE$403)^2)</f>
        <v>2.07960787106481</v>
      </c>
      <c r="DF521" s="63" t="n">
        <f aca="false">MATCH(MIN(CZ521:DE521),CZ521:DE521,0)</f>
        <v>2</v>
      </c>
      <c r="DH521" s="17" t="n">
        <f aca="false">SQRT(($B521-DH$401)^2+($C521-DH$402)^2+($D521-DH$403)^2)</f>
        <v>8.02998813992964</v>
      </c>
      <c r="DI521" s="17" t="n">
        <f aca="false">SQRT(($B521-DI$401)^2+($C521-DI$402)^2+($D521-DI$403)^2)</f>
        <v>0.492219528713019</v>
      </c>
      <c r="DJ521" s="17" t="n">
        <f aca="false">SQRT(($B521-DJ$401)^2+($C521-DJ$402)^2+($D521-DJ$403)^2)</f>
        <v>3.55293572710338</v>
      </c>
      <c r="DK521" s="17" t="n">
        <f aca="false">SQRT(($B521-DK$401)^2+($C521-DK$402)^2+($D521-DK$403)^2)</f>
        <v>1.88169784796626</v>
      </c>
      <c r="DL521" s="17" t="n">
        <f aca="false">SQRT(($B521-DL$401)^2+($C521-DL$402)^2+($D521-DL$403)^2)</f>
        <v>5.78377186359091</v>
      </c>
      <c r="DM521" s="17" t="n">
        <f aca="false">SQRT(($B521-DM$401)^2+($C521-DM$402)^2+($D521-DM$403)^2)</f>
        <v>2.07960787106481</v>
      </c>
      <c r="DN521" s="63" t="n">
        <f aca="false">MATCH(MIN(DH521:DM521),DH521:DM521,0)</f>
        <v>2</v>
      </c>
    </row>
    <row r="522" customFormat="false" ht="15" hidden="false" customHeight="false" outlineLevel="0" collapsed="false">
      <c r="A522" s="36" t="str">
        <f aca="false">KMeans_Data!A119</f>
        <v>Pakpatan</v>
      </c>
      <c r="B522" s="17" t="n">
        <f aca="false">KMeans_Data!H119</f>
        <v>-1.71897565655168</v>
      </c>
      <c r="C522" s="17" t="n">
        <f aca="false">KMeans_Data!I119</f>
        <v>-0.672650545388274</v>
      </c>
      <c r="D522" s="17" t="n">
        <f aca="false">KMeans_Data!J119</f>
        <v>-1.14564411633355</v>
      </c>
      <c r="E522" s="63" t="n">
        <f aca="false">DN522</f>
        <v>2</v>
      </c>
      <c r="F522" s="38" t="n">
        <f aca="false">($B522-INDEX($L$401:$Q$401,E522))^2+($C522-INDEX($L$402:$Q$402,E522))^2+($D522-INDEX($L$403:$Q$403,E522))^2</f>
        <v>0.242280064446467</v>
      </c>
      <c r="G522" s="17" t="n">
        <f aca="false">IF(COUNTIF(Distance_Matrix!$E$12:$DQ$12,$E522)&lt;=1,0,SUMIF(Distance_Matrix!$E$12:$DQ$12,$E522,Distance_Matrix!$E$128:$DQ$128)/(COUNTIF(Distance_Matrix!$E$12:$DQ$12,$E522)-1))</f>
        <v>0.598262577309978</v>
      </c>
      <c r="H522" s="17" t="n">
        <f aca="false">MIN(IF(1=$E522,1E+099,IF(COUNTIF(Distance_Matrix!$E$12:$DQ$12,1)=0,1E+099,SUMIF(Distance_Matrix!$E$12:$DQ$12,1,Distance_Matrix!$E$128:$DQ$128)/COUNTIF(Distance_Matrix!$E$12:$DQ$12,1))),IF(2=$E522,1E+099,IF(COUNTIF(Distance_Matrix!$E$12:$DQ$12,2)=0,1E+099,SUMIF(Distance_Matrix!$E$12:$DQ$12,2,Distance_Matrix!$E$128:$DQ$128)/COUNTIF(Distance_Matrix!$E$12:$DQ$12,2))),IF(3=$E522,1E+099,IF(COUNTIF(Distance_Matrix!$E$12:$DQ$12,3)=0,1E+099,SUMIF(Distance_Matrix!$E$12:$DQ$12,3,Distance_Matrix!$E$128:$DQ$128)/COUNTIF(Distance_Matrix!$E$12:$DQ$12,3))),IF(4=$E522,1E+099,IF(COUNTIF(Distance_Matrix!$E$12:$DQ$12,4)=0,1E+099,SUMIF(Distance_Matrix!$E$12:$DQ$12,4,Distance_Matrix!$E$128:$DQ$128)/COUNTIF(Distance_Matrix!$E$12:$DQ$12,4))),IF(5=$E522,1E+099,IF(COUNTIF(Distance_Matrix!$E$12:$DQ$12,5)=0,1E+099,SUMIF(Distance_Matrix!$E$12:$DQ$12,5,Distance_Matrix!$E$128:$DQ$128)/COUNTIF(Distance_Matrix!$E$12:$DQ$12,5))),IF(6=$E522,1E+099,IF(COUNTIF(Distance_Matrix!$E$12:$DQ$12,6)=0,1E+099,SUMIF(Distance_Matrix!$E$12:$DQ$12,6,Distance_Matrix!$E$128:$DQ$128)/COUNTIF(Distance_Matrix!$E$12:$DQ$12,6))))</f>
        <v>1.91561638040502</v>
      </c>
      <c r="I522" s="17" t="n">
        <f aca="false">IF(COUNTIF(Distance_Matrix!$E$12:$DQ$12,$E522)&lt;=1,0,(H522-G522)/MAX(G522,H522))</f>
        <v>0.687691865955184</v>
      </c>
      <c r="X522" s="17" t="n">
        <f aca="false">SQRT(($B522-X$401)^2+($C522-X$402)^2+($D522-X$403)^2)</f>
        <v>8.15332373062299</v>
      </c>
      <c r="Y522" s="17" t="n">
        <f aca="false">SQRT(($B522-Y$401)^2+($C522-Y$402)^2+($D522-Y$403)^2)</f>
        <v>0.360762325251648</v>
      </c>
      <c r="Z522" s="17" t="n">
        <f aca="false">SQRT(($B522-Z$401)^2+($C522-Z$402)^2+($D522-Z$403)^2)</f>
        <v>3.94287645773164</v>
      </c>
      <c r="AA522" s="17" t="n">
        <f aca="false">SQRT(($B522-AA$401)^2+($C522-AA$402)^2+($D522-AA$403)^2)</f>
        <v>2.42237275698138</v>
      </c>
      <c r="AB522" s="17" t="n">
        <f aca="false">SQRT(($B522-AB$401)^2+($C522-AB$402)^2+($D522-AB$403)^2)</f>
        <v>6.15249594053942</v>
      </c>
      <c r="AC522" s="17" t="n">
        <f aca="false">SQRT(($B522-AC$401)^2+($C522-AC$402)^2+($D522-AC$403)^2)</f>
        <v>2.10943138174765</v>
      </c>
      <c r="AD522" s="63" t="n">
        <f aca="false">MATCH(MIN(X522:AC522),X522:AC522,0)</f>
        <v>2</v>
      </c>
      <c r="AF522" s="17" t="n">
        <f aca="false">SQRT(($B522-AF$401)^2+($C522-AF$402)^2+($D522-AF$403)^2)</f>
        <v>8.02998813992964</v>
      </c>
      <c r="AG522" s="17" t="n">
        <f aca="false">SQRT(($B522-AG$401)^2+($C522-AG$402)^2+($D522-AG$403)^2)</f>
        <v>0.402039841025579</v>
      </c>
      <c r="AH522" s="17" t="n">
        <f aca="false">SQRT(($B522-AH$401)^2+($C522-AH$402)^2+($D522-AH$403)^2)</f>
        <v>3.58532215962703</v>
      </c>
      <c r="AI522" s="17" t="n">
        <f aca="false">SQRT(($B522-AI$401)^2+($C522-AI$402)^2+($D522-AI$403)^2)</f>
        <v>1.89008900209613</v>
      </c>
      <c r="AJ522" s="17" t="n">
        <f aca="false">SQRT(($B522-AJ$401)^2+($C522-AJ$402)^2+($D522-AJ$403)^2)</f>
        <v>5.78377186359091</v>
      </c>
      <c r="AK522" s="17" t="n">
        <f aca="false">SQRT(($B522-AK$401)^2+($C522-AK$402)^2+($D522-AK$403)^2)</f>
        <v>1.98238846067542</v>
      </c>
      <c r="AL522" s="63" t="n">
        <f aca="false">MATCH(MIN(AF522:AK522),AF522:AK522,0)</f>
        <v>2</v>
      </c>
      <c r="AN522" s="17" t="n">
        <f aca="false">SQRT(($B522-AN$401)^2+($C522-AN$402)^2+($D522-AN$403)^2)</f>
        <v>8.02998813992964</v>
      </c>
      <c r="AO522" s="17" t="n">
        <f aca="false">SQRT(($B522-AO$401)^2+($C522-AO$402)^2+($D522-AO$403)^2)</f>
        <v>0.447293388693396</v>
      </c>
      <c r="AP522" s="17" t="n">
        <f aca="false">SQRT(($B522-AP$401)^2+($C522-AP$402)^2+($D522-AP$403)^2)</f>
        <v>3.55293572710338</v>
      </c>
      <c r="AQ522" s="17" t="n">
        <f aca="false">SQRT(($B522-AQ$401)^2+($C522-AQ$402)^2+($D522-AQ$403)^2)</f>
        <v>1.88169784796626</v>
      </c>
      <c r="AR522" s="17" t="n">
        <f aca="false">SQRT(($B522-AR$401)^2+($C522-AR$402)^2+($D522-AR$403)^2)</f>
        <v>5.78377186359091</v>
      </c>
      <c r="AS522" s="17" t="n">
        <f aca="false">SQRT(($B522-AS$401)^2+($C522-AS$402)^2+($D522-AS$403)^2)</f>
        <v>2.02732768798654</v>
      </c>
      <c r="AT522" s="63" t="n">
        <f aca="false">MATCH(MIN(AN522:AS522),AN522:AS522,0)</f>
        <v>2</v>
      </c>
      <c r="AV522" s="17" t="n">
        <f aca="false">SQRT(($B522-AV$401)^2+($C522-AV$402)^2+($D522-AV$403)^2)</f>
        <v>8.02998813992964</v>
      </c>
      <c r="AW522" s="17" t="n">
        <f aca="false">SQRT(($B522-AW$401)^2+($C522-AW$402)^2+($D522-AW$403)^2)</f>
        <v>0.470598714427286</v>
      </c>
      <c r="AX522" s="17" t="n">
        <f aca="false">SQRT(($B522-AX$401)^2+($C522-AX$402)^2+($D522-AX$403)^2)</f>
        <v>3.55293572710338</v>
      </c>
      <c r="AY522" s="17" t="n">
        <f aca="false">SQRT(($B522-AY$401)^2+($C522-AY$402)^2+($D522-AY$403)^2)</f>
        <v>1.88169784796626</v>
      </c>
      <c r="AZ522" s="17" t="n">
        <f aca="false">SQRT(($B522-AZ$401)^2+($C522-AZ$402)^2+($D522-AZ$403)^2)</f>
        <v>5.78377186359091</v>
      </c>
      <c r="BA522" s="17" t="n">
        <f aca="false">SQRT(($B522-BA$401)^2+($C522-BA$402)^2+($D522-BA$403)^2)</f>
        <v>2.05300996378401</v>
      </c>
      <c r="BB522" s="63" t="n">
        <f aca="false">MATCH(MIN(AV522:BA522),AV522:BA522,0)</f>
        <v>2</v>
      </c>
      <c r="BD522" s="17" t="n">
        <f aca="false">SQRT(($B522-BD$401)^2+($C522-BD$402)^2+($D522-BD$403)^2)</f>
        <v>8.02998813992964</v>
      </c>
      <c r="BE522" s="17" t="n">
        <f aca="false">SQRT(($B522-BE$401)^2+($C522-BE$402)^2+($D522-BE$403)^2)</f>
        <v>0.492219528713019</v>
      </c>
      <c r="BF522" s="17" t="n">
        <f aca="false">SQRT(($B522-BF$401)^2+($C522-BF$402)^2+($D522-BF$403)^2)</f>
        <v>3.55293572710338</v>
      </c>
      <c r="BG522" s="17" t="n">
        <f aca="false">SQRT(($B522-BG$401)^2+($C522-BG$402)^2+($D522-BG$403)^2)</f>
        <v>1.88169784796626</v>
      </c>
      <c r="BH522" s="17" t="n">
        <f aca="false">SQRT(($B522-BH$401)^2+($C522-BH$402)^2+($D522-BH$403)^2)</f>
        <v>5.78377186359091</v>
      </c>
      <c r="BI522" s="17" t="n">
        <f aca="false">SQRT(($B522-BI$401)^2+($C522-BI$402)^2+($D522-BI$403)^2)</f>
        <v>2.07960787106481</v>
      </c>
      <c r="BJ522" s="63" t="n">
        <f aca="false">MATCH(MIN(BD522:BI522),BD522:BI522,0)</f>
        <v>2</v>
      </c>
      <c r="BL522" s="17" t="n">
        <f aca="false">SQRT(($B522-BL$401)^2+($C522-BL$402)^2+($D522-BL$403)^2)</f>
        <v>8.02998813992964</v>
      </c>
      <c r="BM522" s="17" t="n">
        <f aca="false">SQRT(($B522-BM$401)^2+($C522-BM$402)^2+($D522-BM$403)^2)</f>
        <v>0.492219528713019</v>
      </c>
      <c r="BN522" s="17" t="n">
        <f aca="false">SQRT(($B522-BN$401)^2+($C522-BN$402)^2+($D522-BN$403)^2)</f>
        <v>3.55293572710338</v>
      </c>
      <c r="BO522" s="17" t="n">
        <f aca="false">SQRT(($B522-BO$401)^2+($C522-BO$402)^2+($D522-BO$403)^2)</f>
        <v>1.88169784796626</v>
      </c>
      <c r="BP522" s="17" t="n">
        <f aca="false">SQRT(($B522-BP$401)^2+($C522-BP$402)^2+($D522-BP$403)^2)</f>
        <v>5.78377186359091</v>
      </c>
      <c r="BQ522" s="17" t="n">
        <f aca="false">SQRT(($B522-BQ$401)^2+($C522-BQ$402)^2+($D522-BQ$403)^2)</f>
        <v>2.07960787106481</v>
      </c>
      <c r="BR522" s="63" t="n">
        <f aca="false">MATCH(MIN(BL522:BQ522),BL522:BQ522,0)</f>
        <v>2</v>
      </c>
      <c r="BT522" s="17" t="n">
        <f aca="false">SQRT(($B522-BT$401)^2+($C522-BT$402)^2+($D522-BT$403)^2)</f>
        <v>8.02998813992964</v>
      </c>
      <c r="BU522" s="17" t="n">
        <f aca="false">SQRT(($B522-BU$401)^2+($C522-BU$402)^2+($D522-BU$403)^2)</f>
        <v>0.492219528713019</v>
      </c>
      <c r="BV522" s="17" t="n">
        <f aca="false">SQRT(($B522-BV$401)^2+($C522-BV$402)^2+($D522-BV$403)^2)</f>
        <v>3.55293572710338</v>
      </c>
      <c r="BW522" s="17" t="n">
        <f aca="false">SQRT(($B522-BW$401)^2+($C522-BW$402)^2+($D522-BW$403)^2)</f>
        <v>1.88169784796626</v>
      </c>
      <c r="BX522" s="17" t="n">
        <f aca="false">SQRT(($B522-BX$401)^2+($C522-BX$402)^2+($D522-BX$403)^2)</f>
        <v>5.78377186359091</v>
      </c>
      <c r="BY522" s="17" t="n">
        <f aca="false">SQRT(($B522-BY$401)^2+($C522-BY$402)^2+($D522-BY$403)^2)</f>
        <v>2.07960787106481</v>
      </c>
      <c r="BZ522" s="63" t="n">
        <f aca="false">MATCH(MIN(BT522:BY522),BT522:BY522,0)</f>
        <v>2</v>
      </c>
      <c r="CB522" s="17" t="n">
        <f aca="false">SQRT(($B522-CB$401)^2+($C522-CB$402)^2+($D522-CB$403)^2)</f>
        <v>8.02998813992964</v>
      </c>
      <c r="CC522" s="17" t="n">
        <f aca="false">SQRT(($B522-CC$401)^2+($C522-CC$402)^2+($D522-CC$403)^2)</f>
        <v>0.492219528713019</v>
      </c>
      <c r="CD522" s="17" t="n">
        <f aca="false">SQRT(($B522-CD$401)^2+($C522-CD$402)^2+($D522-CD$403)^2)</f>
        <v>3.55293572710338</v>
      </c>
      <c r="CE522" s="17" t="n">
        <f aca="false">SQRT(($B522-CE$401)^2+($C522-CE$402)^2+($D522-CE$403)^2)</f>
        <v>1.88169784796626</v>
      </c>
      <c r="CF522" s="17" t="n">
        <f aca="false">SQRT(($B522-CF$401)^2+($C522-CF$402)^2+($D522-CF$403)^2)</f>
        <v>5.78377186359091</v>
      </c>
      <c r="CG522" s="17" t="n">
        <f aca="false">SQRT(($B522-CG$401)^2+($C522-CG$402)^2+($D522-CG$403)^2)</f>
        <v>2.07960787106481</v>
      </c>
      <c r="CH522" s="63" t="n">
        <f aca="false">MATCH(MIN(CB522:CG522),CB522:CG522,0)</f>
        <v>2</v>
      </c>
      <c r="CJ522" s="17" t="n">
        <f aca="false">SQRT(($B522-CJ$401)^2+($C522-CJ$402)^2+($D522-CJ$403)^2)</f>
        <v>8.02998813992964</v>
      </c>
      <c r="CK522" s="17" t="n">
        <f aca="false">SQRT(($B522-CK$401)^2+($C522-CK$402)^2+($D522-CK$403)^2)</f>
        <v>0.492219528713019</v>
      </c>
      <c r="CL522" s="17" t="n">
        <f aca="false">SQRT(($B522-CL$401)^2+($C522-CL$402)^2+($D522-CL$403)^2)</f>
        <v>3.55293572710338</v>
      </c>
      <c r="CM522" s="17" t="n">
        <f aca="false">SQRT(($B522-CM$401)^2+($C522-CM$402)^2+($D522-CM$403)^2)</f>
        <v>1.88169784796626</v>
      </c>
      <c r="CN522" s="17" t="n">
        <f aca="false">SQRT(($B522-CN$401)^2+($C522-CN$402)^2+($D522-CN$403)^2)</f>
        <v>5.78377186359091</v>
      </c>
      <c r="CO522" s="17" t="n">
        <f aca="false">SQRT(($B522-CO$401)^2+($C522-CO$402)^2+($D522-CO$403)^2)</f>
        <v>2.07960787106481</v>
      </c>
      <c r="CP522" s="63" t="n">
        <f aca="false">MATCH(MIN(CJ522:CO522),CJ522:CO522,0)</f>
        <v>2</v>
      </c>
      <c r="CR522" s="17" t="n">
        <f aca="false">SQRT(($B522-CR$401)^2+($C522-CR$402)^2+($D522-CR$403)^2)</f>
        <v>8.02998813992964</v>
      </c>
      <c r="CS522" s="17" t="n">
        <f aca="false">SQRT(($B522-CS$401)^2+($C522-CS$402)^2+($D522-CS$403)^2)</f>
        <v>0.492219528713019</v>
      </c>
      <c r="CT522" s="17" t="n">
        <f aca="false">SQRT(($B522-CT$401)^2+($C522-CT$402)^2+($D522-CT$403)^2)</f>
        <v>3.55293572710338</v>
      </c>
      <c r="CU522" s="17" t="n">
        <f aca="false">SQRT(($B522-CU$401)^2+($C522-CU$402)^2+($D522-CU$403)^2)</f>
        <v>1.88169784796626</v>
      </c>
      <c r="CV522" s="17" t="n">
        <f aca="false">SQRT(($B522-CV$401)^2+($C522-CV$402)^2+($D522-CV$403)^2)</f>
        <v>5.78377186359091</v>
      </c>
      <c r="CW522" s="17" t="n">
        <f aca="false">SQRT(($B522-CW$401)^2+($C522-CW$402)^2+($D522-CW$403)^2)</f>
        <v>2.07960787106481</v>
      </c>
      <c r="CX522" s="63" t="n">
        <f aca="false">MATCH(MIN(CR522:CW522),CR522:CW522,0)</f>
        <v>2</v>
      </c>
      <c r="CZ522" s="17" t="n">
        <f aca="false">SQRT(($B522-CZ$401)^2+($C522-CZ$402)^2+($D522-CZ$403)^2)</f>
        <v>8.02998813992964</v>
      </c>
      <c r="DA522" s="17" t="n">
        <f aca="false">SQRT(($B522-DA$401)^2+($C522-DA$402)^2+($D522-DA$403)^2)</f>
        <v>0.492219528713019</v>
      </c>
      <c r="DB522" s="17" t="n">
        <f aca="false">SQRT(($B522-DB$401)^2+($C522-DB$402)^2+($D522-DB$403)^2)</f>
        <v>3.55293572710338</v>
      </c>
      <c r="DC522" s="17" t="n">
        <f aca="false">SQRT(($B522-DC$401)^2+($C522-DC$402)^2+($D522-DC$403)^2)</f>
        <v>1.88169784796626</v>
      </c>
      <c r="DD522" s="17" t="n">
        <f aca="false">SQRT(($B522-DD$401)^2+($C522-DD$402)^2+($D522-DD$403)^2)</f>
        <v>5.78377186359091</v>
      </c>
      <c r="DE522" s="17" t="n">
        <f aca="false">SQRT(($B522-DE$401)^2+($C522-DE$402)^2+($D522-DE$403)^2)</f>
        <v>2.07960787106481</v>
      </c>
      <c r="DF522" s="63" t="n">
        <f aca="false">MATCH(MIN(CZ522:DE522),CZ522:DE522,0)</f>
        <v>2</v>
      </c>
      <c r="DH522" s="17" t="n">
        <f aca="false">SQRT(($B522-DH$401)^2+($C522-DH$402)^2+($D522-DH$403)^2)</f>
        <v>8.02998813992964</v>
      </c>
      <c r="DI522" s="17" t="n">
        <f aca="false">SQRT(($B522-DI$401)^2+($C522-DI$402)^2+($D522-DI$403)^2)</f>
        <v>0.492219528713019</v>
      </c>
      <c r="DJ522" s="17" t="n">
        <f aca="false">SQRT(($B522-DJ$401)^2+($C522-DJ$402)^2+($D522-DJ$403)^2)</f>
        <v>3.55293572710338</v>
      </c>
      <c r="DK522" s="17" t="n">
        <f aca="false">SQRT(($B522-DK$401)^2+($C522-DK$402)^2+($D522-DK$403)^2)</f>
        <v>1.88169784796626</v>
      </c>
      <c r="DL522" s="17" t="n">
        <f aca="false">SQRT(($B522-DL$401)^2+($C522-DL$402)^2+($D522-DL$403)^2)</f>
        <v>5.78377186359091</v>
      </c>
      <c r="DM522" s="17" t="n">
        <f aca="false">SQRT(($B522-DM$401)^2+($C522-DM$402)^2+($D522-DM$403)^2)</f>
        <v>2.07960787106481</v>
      </c>
      <c r="DN522" s="63" t="n">
        <f aca="false">MATCH(MIN(DH522:DM522),DH522:DM522,0)</f>
        <v>2</v>
      </c>
    </row>
    <row r="523" customFormat="false" ht="15" hidden="false" customHeight="false" outlineLevel="0" collapsed="false">
      <c r="A523" s="36" t="str">
        <f aca="false">KMeans_Data!A120</f>
        <v>Chitral</v>
      </c>
      <c r="B523" s="17" t="n">
        <f aca="false">KMeans_Data!H120</f>
        <v>-2.07973798180332</v>
      </c>
      <c r="C523" s="17" t="n">
        <f aca="false">KMeans_Data!I120</f>
        <v>-0.672650545388274</v>
      </c>
      <c r="D523" s="17" t="n">
        <f aca="false">KMeans_Data!J120</f>
        <v>-1.14564411633355</v>
      </c>
      <c r="E523" s="63" t="n">
        <f aca="false">DN523</f>
        <v>2</v>
      </c>
      <c r="F523" s="38" t="n">
        <f aca="false">($B523-INDEX($L$401:$Q$401,E523))^2+($C523-INDEX($L$402:$Q$402,E523))^2+($D523-INDEX($L$403:$Q$403,E523))^2</f>
        <v>0.715683160124727</v>
      </c>
      <c r="G523" s="17" t="n">
        <f aca="false">IF(COUNTIF(Distance_Matrix!$E$12:$DQ$12,$E523)&lt;=1,0,SUMIF(Distance_Matrix!$E$12:$DQ$12,$E523,Distance_Matrix!$E$129:$DQ$129)/(COUNTIF(Distance_Matrix!$E$12:$DQ$12,$E523)-1))</f>
        <v>0.90463969683925</v>
      </c>
      <c r="H523" s="17" t="n">
        <f aca="false">MIN(IF(1=$E523,1E+099,IF(COUNTIF(Distance_Matrix!$E$12:$DQ$12,1)=0,1E+099,SUMIF(Distance_Matrix!$E$12:$DQ$12,1,Distance_Matrix!$E$129:$DQ$129)/COUNTIF(Distance_Matrix!$E$12:$DQ$12,1))),IF(2=$E523,1E+099,IF(COUNTIF(Distance_Matrix!$E$12:$DQ$12,2)=0,1E+099,SUMIF(Distance_Matrix!$E$12:$DQ$12,2,Distance_Matrix!$E$129:$DQ$129)/COUNTIF(Distance_Matrix!$E$12:$DQ$12,2))),IF(3=$E523,1E+099,IF(COUNTIF(Distance_Matrix!$E$12:$DQ$12,3)=0,1E+099,SUMIF(Distance_Matrix!$E$12:$DQ$12,3,Distance_Matrix!$E$129:$DQ$129)/COUNTIF(Distance_Matrix!$E$12:$DQ$12,3))),IF(4=$E523,1E+099,IF(COUNTIF(Distance_Matrix!$E$12:$DQ$12,4)=0,1E+099,SUMIF(Distance_Matrix!$E$12:$DQ$12,4,Distance_Matrix!$E$129:$DQ$129)/COUNTIF(Distance_Matrix!$E$12:$DQ$12,4))),IF(5=$E523,1E+099,IF(COUNTIF(Distance_Matrix!$E$12:$DQ$12,5)=0,1E+099,SUMIF(Distance_Matrix!$E$12:$DQ$12,5,Distance_Matrix!$E$129:$DQ$129)/COUNTIF(Distance_Matrix!$E$12:$DQ$12,5))),IF(6=$E523,1E+099,IF(COUNTIF(Distance_Matrix!$E$12:$DQ$12,6)=0,1E+099,SUMIF(Distance_Matrix!$E$12:$DQ$12,6,Distance_Matrix!$E$129:$DQ$129)/COUNTIF(Distance_Matrix!$E$12:$DQ$12,6))))</f>
        <v>2.26755314998847</v>
      </c>
      <c r="I523" s="17" t="n">
        <f aca="false">IF(COUNTIF(Distance_Matrix!$E$12:$DQ$12,$E523)&lt;=1,0,(H523-G523)/MAX(G523,H523))</f>
        <v>0.601050278868281</v>
      </c>
      <c r="X523" s="17" t="n">
        <f aca="false">SQRT(($B523-X$401)^2+($C523-X$402)^2+($D523-X$403)^2)</f>
        <v>8.37911780072121</v>
      </c>
      <c r="Y523" s="17" t="n">
        <f aca="false">SQRT(($B523-Y$401)^2+($C523-Y$402)^2+($D523-Y$403)^2)</f>
        <v>0</v>
      </c>
      <c r="Z523" s="17" t="n">
        <f aca="false">SQRT(($B523-Z$401)^2+($C523-Z$402)^2+($D523-Z$403)^2)</f>
        <v>4.20299555676564</v>
      </c>
      <c r="AA523" s="17" t="n">
        <f aca="false">SQRT(($B523-AA$401)^2+($C523-AA$402)^2+($D523-AA$403)^2)</f>
        <v>2.77564255027266</v>
      </c>
      <c r="AB523" s="17" t="n">
        <f aca="false">SQRT(($B523-AB$401)^2+($C523-AB$402)^2+($D523-AB$403)^2)</f>
        <v>6.3976329314131</v>
      </c>
      <c r="AC523" s="17" t="n">
        <f aca="false">SQRT(($B523-AC$401)^2+($C523-AC$402)^2+($D523-AC$403)^2)</f>
        <v>2.30447426490723</v>
      </c>
      <c r="AD523" s="63" t="n">
        <f aca="false">MATCH(MIN(X523:AC523),X523:AC523,0)</f>
        <v>2</v>
      </c>
      <c r="AF523" s="17" t="n">
        <f aca="false">SQRT(($B523-AF$401)^2+($C523-AF$402)^2+($D523-AF$403)^2)</f>
        <v>8.25862710843003</v>
      </c>
      <c r="AG523" s="17" t="n">
        <f aca="false">SQRT(($B523-AG$401)^2+($C523-AG$402)^2+($D523-AG$403)^2)</f>
        <v>0.761010152440092</v>
      </c>
      <c r="AH523" s="17" t="n">
        <f aca="false">SQRT(($B523-AH$401)^2+($C523-AH$402)^2+($D523-AH$403)^2)</f>
        <v>3.84454760458298</v>
      </c>
      <c r="AI523" s="17" t="n">
        <f aca="false">SQRT(($B523-AI$401)^2+($C523-AI$402)^2+($D523-AI$403)^2)</f>
        <v>2.2464716643071</v>
      </c>
      <c r="AJ523" s="17" t="n">
        <f aca="false">SQRT(($B523-AJ$401)^2+($C523-AJ$402)^2+($D523-AJ$403)^2)</f>
        <v>6.02769254401658</v>
      </c>
      <c r="AK523" s="17" t="n">
        <f aca="false">SQRT(($B523-AK$401)^2+($C523-AK$402)^2+($D523-AK$403)^2)</f>
        <v>2.26035568590489</v>
      </c>
      <c r="AL523" s="63" t="n">
        <f aca="false">MATCH(MIN(AF523:AK523),AF523:AK523,0)</f>
        <v>2</v>
      </c>
      <c r="AN523" s="17" t="n">
        <f aca="false">SQRT(($B523-AN$401)^2+($C523-AN$402)^2+($D523-AN$403)^2)</f>
        <v>8.25862710843003</v>
      </c>
      <c r="AO523" s="17" t="n">
        <f aca="false">SQRT(($B523-AO$401)^2+($C523-AO$402)^2+($D523-AO$403)^2)</f>
        <v>0.805240802934723</v>
      </c>
      <c r="AP523" s="17" t="n">
        <f aca="false">SQRT(($B523-AP$401)^2+($C523-AP$402)^2+($D523-AP$403)^2)</f>
        <v>3.81174188213832</v>
      </c>
      <c r="AQ523" s="17" t="n">
        <f aca="false">SQRT(($B523-AQ$401)^2+($C523-AQ$402)^2+($D523-AQ$403)^2)</f>
        <v>2.2385062337188</v>
      </c>
      <c r="AR523" s="17" t="n">
        <f aca="false">SQRT(($B523-AR$401)^2+($C523-AR$402)^2+($D523-AR$403)^2)</f>
        <v>6.02769254401658</v>
      </c>
      <c r="AS523" s="17" t="n">
        <f aca="false">SQRT(($B523-AS$401)^2+($C523-AS$402)^2+($D523-AS$403)^2)</f>
        <v>2.30609078101279</v>
      </c>
      <c r="AT523" s="63" t="n">
        <f aca="false">MATCH(MIN(AN523:AS523),AN523:AS523,0)</f>
        <v>2</v>
      </c>
      <c r="AV523" s="17" t="n">
        <f aca="false">SQRT(($B523-AV$401)^2+($C523-AV$402)^2+($D523-AV$403)^2)</f>
        <v>8.25862710843003</v>
      </c>
      <c r="AW523" s="17" t="n">
        <f aca="false">SQRT(($B523-AW$401)^2+($C523-AW$402)^2+($D523-AW$403)^2)</f>
        <v>0.826707758275103</v>
      </c>
      <c r="AX523" s="17" t="n">
        <f aca="false">SQRT(($B523-AX$401)^2+($C523-AX$402)^2+($D523-AX$403)^2)</f>
        <v>3.81174188213832</v>
      </c>
      <c r="AY523" s="17" t="n">
        <f aca="false">SQRT(($B523-AY$401)^2+($C523-AY$402)^2+($D523-AY$403)^2)</f>
        <v>2.2385062337188</v>
      </c>
      <c r="AZ523" s="17" t="n">
        <f aca="false">SQRT(($B523-AZ$401)^2+($C523-AZ$402)^2+($D523-AZ$403)^2)</f>
        <v>6.02769254401658</v>
      </c>
      <c r="BA523" s="17" t="n">
        <f aca="false">SQRT(($B523-BA$401)^2+($C523-BA$402)^2+($D523-BA$403)^2)</f>
        <v>2.33133423441816</v>
      </c>
      <c r="BB523" s="63" t="n">
        <f aca="false">MATCH(MIN(AV523:BA523),AV523:BA523,0)</f>
        <v>2</v>
      </c>
      <c r="BD523" s="17" t="n">
        <f aca="false">SQRT(($B523-BD$401)^2+($C523-BD$402)^2+($D523-BD$403)^2)</f>
        <v>8.25862710843003</v>
      </c>
      <c r="BE523" s="17" t="n">
        <f aca="false">SQRT(($B523-BE$401)^2+($C523-BE$402)^2+($D523-BE$403)^2)</f>
        <v>0.84598059086762</v>
      </c>
      <c r="BF523" s="17" t="n">
        <f aca="false">SQRT(($B523-BF$401)^2+($C523-BF$402)^2+($D523-BF$403)^2)</f>
        <v>3.81174188213832</v>
      </c>
      <c r="BG523" s="17" t="n">
        <f aca="false">SQRT(($B523-BG$401)^2+($C523-BG$402)^2+($D523-BG$403)^2)</f>
        <v>2.2385062337188</v>
      </c>
      <c r="BH523" s="17" t="n">
        <f aca="false">SQRT(($B523-BH$401)^2+($C523-BH$402)^2+($D523-BH$403)^2)</f>
        <v>6.02769254401658</v>
      </c>
      <c r="BI523" s="17" t="n">
        <f aca="false">SQRT(($B523-BI$401)^2+($C523-BI$402)^2+($D523-BI$403)^2)</f>
        <v>2.35777409679734</v>
      </c>
      <c r="BJ523" s="63" t="n">
        <f aca="false">MATCH(MIN(BD523:BI523),BD523:BI523,0)</f>
        <v>2</v>
      </c>
      <c r="BL523" s="17" t="n">
        <f aca="false">SQRT(($B523-BL$401)^2+($C523-BL$402)^2+($D523-BL$403)^2)</f>
        <v>8.25862710843003</v>
      </c>
      <c r="BM523" s="17" t="n">
        <f aca="false">SQRT(($B523-BM$401)^2+($C523-BM$402)^2+($D523-BM$403)^2)</f>
        <v>0.84598059086762</v>
      </c>
      <c r="BN523" s="17" t="n">
        <f aca="false">SQRT(($B523-BN$401)^2+($C523-BN$402)^2+($D523-BN$403)^2)</f>
        <v>3.81174188213832</v>
      </c>
      <c r="BO523" s="17" t="n">
        <f aca="false">SQRT(($B523-BO$401)^2+($C523-BO$402)^2+($D523-BO$403)^2)</f>
        <v>2.2385062337188</v>
      </c>
      <c r="BP523" s="17" t="n">
        <f aca="false">SQRT(($B523-BP$401)^2+($C523-BP$402)^2+($D523-BP$403)^2)</f>
        <v>6.02769254401658</v>
      </c>
      <c r="BQ523" s="17" t="n">
        <f aca="false">SQRT(($B523-BQ$401)^2+($C523-BQ$402)^2+($D523-BQ$403)^2)</f>
        <v>2.35777409679734</v>
      </c>
      <c r="BR523" s="63" t="n">
        <f aca="false">MATCH(MIN(BL523:BQ523),BL523:BQ523,0)</f>
        <v>2</v>
      </c>
      <c r="BT523" s="17" t="n">
        <f aca="false">SQRT(($B523-BT$401)^2+($C523-BT$402)^2+($D523-BT$403)^2)</f>
        <v>8.25862710843003</v>
      </c>
      <c r="BU523" s="17" t="n">
        <f aca="false">SQRT(($B523-BU$401)^2+($C523-BU$402)^2+($D523-BU$403)^2)</f>
        <v>0.84598059086762</v>
      </c>
      <c r="BV523" s="17" t="n">
        <f aca="false">SQRT(($B523-BV$401)^2+($C523-BV$402)^2+($D523-BV$403)^2)</f>
        <v>3.81174188213832</v>
      </c>
      <c r="BW523" s="17" t="n">
        <f aca="false">SQRT(($B523-BW$401)^2+($C523-BW$402)^2+($D523-BW$403)^2)</f>
        <v>2.2385062337188</v>
      </c>
      <c r="BX523" s="17" t="n">
        <f aca="false">SQRT(($B523-BX$401)^2+($C523-BX$402)^2+($D523-BX$403)^2)</f>
        <v>6.02769254401658</v>
      </c>
      <c r="BY523" s="17" t="n">
        <f aca="false">SQRT(($B523-BY$401)^2+($C523-BY$402)^2+($D523-BY$403)^2)</f>
        <v>2.35777409679734</v>
      </c>
      <c r="BZ523" s="63" t="n">
        <f aca="false">MATCH(MIN(BT523:BY523),BT523:BY523,0)</f>
        <v>2</v>
      </c>
      <c r="CB523" s="17" t="n">
        <f aca="false">SQRT(($B523-CB$401)^2+($C523-CB$402)^2+($D523-CB$403)^2)</f>
        <v>8.25862710843003</v>
      </c>
      <c r="CC523" s="17" t="n">
        <f aca="false">SQRT(($B523-CC$401)^2+($C523-CC$402)^2+($D523-CC$403)^2)</f>
        <v>0.84598059086762</v>
      </c>
      <c r="CD523" s="17" t="n">
        <f aca="false">SQRT(($B523-CD$401)^2+($C523-CD$402)^2+($D523-CD$403)^2)</f>
        <v>3.81174188213832</v>
      </c>
      <c r="CE523" s="17" t="n">
        <f aca="false">SQRT(($B523-CE$401)^2+($C523-CE$402)^2+($D523-CE$403)^2)</f>
        <v>2.2385062337188</v>
      </c>
      <c r="CF523" s="17" t="n">
        <f aca="false">SQRT(($B523-CF$401)^2+($C523-CF$402)^2+($D523-CF$403)^2)</f>
        <v>6.02769254401658</v>
      </c>
      <c r="CG523" s="17" t="n">
        <f aca="false">SQRT(($B523-CG$401)^2+($C523-CG$402)^2+($D523-CG$403)^2)</f>
        <v>2.35777409679734</v>
      </c>
      <c r="CH523" s="63" t="n">
        <f aca="false">MATCH(MIN(CB523:CG523),CB523:CG523,0)</f>
        <v>2</v>
      </c>
      <c r="CJ523" s="17" t="n">
        <f aca="false">SQRT(($B523-CJ$401)^2+($C523-CJ$402)^2+($D523-CJ$403)^2)</f>
        <v>8.25862710843003</v>
      </c>
      <c r="CK523" s="17" t="n">
        <f aca="false">SQRT(($B523-CK$401)^2+($C523-CK$402)^2+($D523-CK$403)^2)</f>
        <v>0.84598059086762</v>
      </c>
      <c r="CL523" s="17" t="n">
        <f aca="false">SQRT(($B523-CL$401)^2+($C523-CL$402)^2+($D523-CL$403)^2)</f>
        <v>3.81174188213832</v>
      </c>
      <c r="CM523" s="17" t="n">
        <f aca="false">SQRT(($B523-CM$401)^2+($C523-CM$402)^2+($D523-CM$403)^2)</f>
        <v>2.2385062337188</v>
      </c>
      <c r="CN523" s="17" t="n">
        <f aca="false">SQRT(($B523-CN$401)^2+($C523-CN$402)^2+($D523-CN$403)^2)</f>
        <v>6.02769254401658</v>
      </c>
      <c r="CO523" s="17" t="n">
        <f aca="false">SQRT(($B523-CO$401)^2+($C523-CO$402)^2+($D523-CO$403)^2)</f>
        <v>2.35777409679734</v>
      </c>
      <c r="CP523" s="63" t="n">
        <f aca="false">MATCH(MIN(CJ523:CO523),CJ523:CO523,0)</f>
        <v>2</v>
      </c>
      <c r="CR523" s="17" t="n">
        <f aca="false">SQRT(($B523-CR$401)^2+($C523-CR$402)^2+($D523-CR$403)^2)</f>
        <v>8.25862710843003</v>
      </c>
      <c r="CS523" s="17" t="n">
        <f aca="false">SQRT(($B523-CS$401)^2+($C523-CS$402)^2+($D523-CS$403)^2)</f>
        <v>0.84598059086762</v>
      </c>
      <c r="CT523" s="17" t="n">
        <f aca="false">SQRT(($B523-CT$401)^2+($C523-CT$402)^2+($D523-CT$403)^2)</f>
        <v>3.81174188213832</v>
      </c>
      <c r="CU523" s="17" t="n">
        <f aca="false">SQRT(($B523-CU$401)^2+($C523-CU$402)^2+($D523-CU$403)^2)</f>
        <v>2.2385062337188</v>
      </c>
      <c r="CV523" s="17" t="n">
        <f aca="false">SQRT(($B523-CV$401)^2+($C523-CV$402)^2+($D523-CV$403)^2)</f>
        <v>6.02769254401658</v>
      </c>
      <c r="CW523" s="17" t="n">
        <f aca="false">SQRT(($B523-CW$401)^2+($C523-CW$402)^2+($D523-CW$403)^2)</f>
        <v>2.35777409679734</v>
      </c>
      <c r="CX523" s="63" t="n">
        <f aca="false">MATCH(MIN(CR523:CW523),CR523:CW523,0)</f>
        <v>2</v>
      </c>
      <c r="CZ523" s="17" t="n">
        <f aca="false">SQRT(($B523-CZ$401)^2+($C523-CZ$402)^2+($D523-CZ$403)^2)</f>
        <v>8.25862710843003</v>
      </c>
      <c r="DA523" s="17" t="n">
        <f aca="false">SQRT(($B523-DA$401)^2+($C523-DA$402)^2+($D523-DA$403)^2)</f>
        <v>0.84598059086762</v>
      </c>
      <c r="DB523" s="17" t="n">
        <f aca="false">SQRT(($B523-DB$401)^2+($C523-DB$402)^2+($D523-DB$403)^2)</f>
        <v>3.81174188213832</v>
      </c>
      <c r="DC523" s="17" t="n">
        <f aca="false">SQRT(($B523-DC$401)^2+($C523-DC$402)^2+($D523-DC$403)^2)</f>
        <v>2.2385062337188</v>
      </c>
      <c r="DD523" s="17" t="n">
        <f aca="false">SQRT(($B523-DD$401)^2+($C523-DD$402)^2+($D523-DD$403)^2)</f>
        <v>6.02769254401658</v>
      </c>
      <c r="DE523" s="17" t="n">
        <f aca="false">SQRT(($B523-DE$401)^2+($C523-DE$402)^2+($D523-DE$403)^2)</f>
        <v>2.35777409679734</v>
      </c>
      <c r="DF523" s="63" t="n">
        <f aca="false">MATCH(MIN(CZ523:DE523),CZ523:DE523,0)</f>
        <v>2</v>
      </c>
      <c r="DH523" s="17" t="n">
        <f aca="false">SQRT(($B523-DH$401)^2+($C523-DH$402)^2+($D523-DH$403)^2)</f>
        <v>8.25862710843003</v>
      </c>
      <c r="DI523" s="17" t="n">
        <f aca="false">SQRT(($B523-DI$401)^2+($C523-DI$402)^2+($D523-DI$403)^2)</f>
        <v>0.84598059086762</v>
      </c>
      <c r="DJ523" s="17" t="n">
        <f aca="false">SQRT(($B523-DJ$401)^2+($C523-DJ$402)^2+($D523-DJ$403)^2)</f>
        <v>3.81174188213832</v>
      </c>
      <c r="DK523" s="17" t="n">
        <f aca="false">SQRT(($B523-DK$401)^2+($C523-DK$402)^2+($D523-DK$403)^2)</f>
        <v>2.2385062337188</v>
      </c>
      <c r="DL523" s="17" t="n">
        <f aca="false">SQRT(($B523-DL$401)^2+($C523-DL$402)^2+($D523-DL$403)^2)</f>
        <v>6.02769254401658</v>
      </c>
      <c r="DM523" s="17" t="n">
        <f aca="false">SQRT(($B523-DM$401)^2+($C523-DM$402)^2+($D523-DM$403)^2)</f>
        <v>2.35777409679734</v>
      </c>
      <c r="DN523" s="63" t="n">
        <f aca="false">MATCH(MIN(DH523:DM523),DH523:DM523,0)</f>
        <v>2</v>
      </c>
    </row>
    <row r="524" customFormat="false" ht="15" hidden="false" customHeight="false" outlineLevel="0" collapsed="false">
      <c r="A524" s="36" t="str">
        <f aca="false">KMeans_Data!A121</f>
        <v>Kolai Pallas</v>
      </c>
      <c r="B524" s="17" t="n">
        <f aca="false">KMeans_Data!H121</f>
        <v>-2.07973798180332</v>
      </c>
      <c r="C524" s="17" t="n">
        <f aca="false">KMeans_Data!I121</f>
        <v>-0.672650545388274</v>
      </c>
      <c r="D524" s="17" t="n">
        <f aca="false">KMeans_Data!J121</f>
        <v>-1.14564411633355</v>
      </c>
      <c r="E524" s="63" t="n">
        <f aca="false">DN524</f>
        <v>2</v>
      </c>
      <c r="F524" s="38" t="n">
        <f aca="false">($B524-INDEX($L$401:$Q$401,E524))^2+($C524-INDEX($L$402:$Q$402,E524))^2+($D524-INDEX($L$403:$Q$403,E524))^2</f>
        <v>0.715683160124727</v>
      </c>
      <c r="G524" s="17" t="n">
        <f aca="false">IF(COUNTIF(Distance_Matrix!$E$12:$DQ$12,$E524)&lt;=1,0,SUMIF(Distance_Matrix!$E$12:$DQ$12,$E524,Distance_Matrix!$E$130:$DQ$130)/(COUNTIF(Distance_Matrix!$E$12:$DQ$12,$E524)-1))</f>
        <v>0.90463969683925</v>
      </c>
      <c r="H524" s="17" t="n">
        <f aca="false">MIN(IF(1=$E524,1E+099,IF(COUNTIF(Distance_Matrix!$E$12:$DQ$12,1)=0,1E+099,SUMIF(Distance_Matrix!$E$12:$DQ$12,1,Distance_Matrix!$E$130:$DQ$130)/COUNTIF(Distance_Matrix!$E$12:$DQ$12,1))),IF(2=$E524,1E+099,IF(COUNTIF(Distance_Matrix!$E$12:$DQ$12,2)=0,1E+099,SUMIF(Distance_Matrix!$E$12:$DQ$12,2,Distance_Matrix!$E$130:$DQ$130)/COUNTIF(Distance_Matrix!$E$12:$DQ$12,2))),IF(3=$E524,1E+099,IF(COUNTIF(Distance_Matrix!$E$12:$DQ$12,3)=0,1E+099,SUMIF(Distance_Matrix!$E$12:$DQ$12,3,Distance_Matrix!$E$130:$DQ$130)/COUNTIF(Distance_Matrix!$E$12:$DQ$12,3))),IF(4=$E524,1E+099,IF(COUNTIF(Distance_Matrix!$E$12:$DQ$12,4)=0,1E+099,SUMIF(Distance_Matrix!$E$12:$DQ$12,4,Distance_Matrix!$E$130:$DQ$130)/COUNTIF(Distance_Matrix!$E$12:$DQ$12,4))),IF(5=$E524,1E+099,IF(COUNTIF(Distance_Matrix!$E$12:$DQ$12,5)=0,1E+099,SUMIF(Distance_Matrix!$E$12:$DQ$12,5,Distance_Matrix!$E$130:$DQ$130)/COUNTIF(Distance_Matrix!$E$12:$DQ$12,5))),IF(6=$E524,1E+099,IF(COUNTIF(Distance_Matrix!$E$12:$DQ$12,6)=0,1E+099,SUMIF(Distance_Matrix!$E$12:$DQ$12,6,Distance_Matrix!$E$130:$DQ$130)/COUNTIF(Distance_Matrix!$E$12:$DQ$12,6))))</f>
        <v>2.26755314998847</v>
      </c>
      <c r="I524" s="17" t="n">
        <f aca="false">IF(COUNTIF(Distance_Matrix!$E$12:$DQ$12,$E524)&lt;=1,0,(H524-G524)/MAX(G524,H524))</f>
        <v>0.601050278868281</v>
      </c>
      <c r="X524" s="17" t="n">
        <f aca="false">SQRT(($B524-X$401)^2+($C524-X$402)^2+($D524-X$403)^2)</f>
        <v>8.37911780072121</v>
      </c>
      <c r="Y524" s="17" t="n">
        <f aca="false">SQRT(($B524-Y$401)^2+($C524-Y$402)^2+($D524-Y$403)^2)</f>
        <v>0</v>
      </c>
      <c r="Z524" s="17" t="n">
        <f aca="false">SQRT(($B524-Z$401)^2+($C524-Z$402)^2+($D524-Z$403)^2)</f>
        <v>4.20299555676564</v>
      </c>
      <c r="AA524" s="17" t="n">
        <f aca="false">SQRT(($B524-AA$401)^2+($C524-AA$402)^2+($D524-AA$403)^2)</f>
        <v>2.77564255027266</v>
      </c>
      <c r="AB524" s="17" t="n">
        <f aca="false">SQRT(($B524-AB$401)^2+($C524-AB$402)^2+($D524-AB$403)^2)</f>
        <v>6.3976329314131</v>
      </c>
      <c r="AC524" s="17" t="n">
        <f aca="false">SQRT(($B524-AC$401)^2+($C524-AC$402)^2+($D524-AC$403)^2)</f>
        <v>2.30447426490723</v>
      </c>
      <c r="AD524" s="63" t="n">
        <f aca="false">MATCH(MIN(X524:AC524),X524:AC524,0)</f>
        <v>2</v>
      </c>
      <c r="AF524" s="17" t="n">
        <f aca="false">SQRT(($B524-AF$401)^2+($C524-AF$402)^2+($D524-AF$403)^2)</f>
        <v>8.25862710843003</v>
      </c>
      <c r="AG524" s="17" t="n">
        <f aca="false">SQRT(($B524-AG$401)^2+($C524-AG$402)^2+($D524-AG$403)^2)</f>
        <v>0.761010152440092</v>
      </c>
      <c r="AH524" s="17" t="n">
        <f aca="false">SQRT(($B524-AH$401)^2+($C524-AH$402)^2+($D524-AH$403)^2)</f>
        <v>3.84454760458298</v>
      </c>
      <c r="AI524" s="17" t="n">
        <f aca="false">SQRT(($B524-AI$401)^2+($C524-AI$402)^2+($D524-AI$403)^2)</f>
        <v>2.2464716643071</v>
      </c>
      <c r="AJ524" s="17" t="n">
        <f aca="false">SQRT(($B524-AJ$401)^2+($C524-AJ$402)^2+($D524-AJ$403)^2)</f>
        <v>6.02769254401658</v>
      </c>
      <c r="AK524" s="17" t="n">
        <f aca="false">SQRT(($B524-AK$401)^2+($C524-AK$402)^2+($D524-AK$403)^2)</f>
        <v>2.26035568590489</v>
      </c>
      <c r="AL524" s="63" t="n">
        <f aca="false">MATCH(MIN(AF524:AK524),AF524:AK524,0)</f>
        <v>2</v>
      </c>
      <c r="AN524" s="17" t="n">
        <f aca="false">SQRT(($B524-AN$401)^2+($C524-AN$402)^2+($D524-AN$403)^2)</f>
        <v>8.25862710843003</v>
      </c>
      <c r="AO524" s="17" t="n">
        <f aca="false">SQRT(($B524-AO$401)^2+($C524-AO$402)^2+($D524-AO$403)^2)</f>
        <v>0.805240802934723</v>
      </c>
      <c r="AP524" s="17" t="n">
        <f aca="false">SQRT(($B524-AP$401)^2+($C524-AP$402)^2+($D524-AP$403)^2)</f>
        <v>3.81174188213832</v>
      </c>
      <c r="AQ524" s="17" t="n">
        <f aca="false">SQRT(($B524-AQ$401)^2+($C524-AQ$402)^2+($D524-AQ$403)^2)</f>
        <v>2.2385062337188</v>
      </c>
      <c r="AR524" s="17" t="n">
        <f aca="false">SQRT(($B524-AR$401)^2+($C524-AR$402)^2+($D524-AR$403)^2)</f>
        <v>6.02769254401658</v>
      </c>
      <c r="AS524" s="17" t="n">
        <f aca="false">SQRT(($B524-AS$401)^2+($C524-AS$402)^2+($D524-AS$403)^2)</f>
        <v>2.30609078101279</v>
      </c>
      <c r="AT524" s="63" t="n">
        <f aca="false">MATCH(MIN(AN524:AS524),AN524:AS524,0)</f>
        <v>2</v>
      </c>
      <c r="AV524" s="17" t="n">
        <f aca="false">SQRT(($B524-AV$401)^2+($C524-AV$402)^2+($D524-AV$403)^2)</f>
        <v>8.25862710843003</v>
      </c>
      <c r="AW524" s="17" t="n">
        <f aca="false">SQRT(($B524-AW$401)^2+($C524-AW$402)^2+($D524-AW$403)^2)</f>
        <v>0.826707758275103</v>
      </c>
      <c r="AX524" s="17" t="n">
        <f aca="false">SQRT(($B524-AX$401)^2+($C524-AX$402)^2+($D524-AX$403)^2)</f>
        <v>3.81174188213832</v>
      </c>
      <c r="AY524" s="17" t="n">
        <f aca="false">SQRT(($B524-AY$401)^2+($C524-AY$402)^2+($D524-AY$403)^2)</f>
        <v>2.2385062337188</v>
      </c>
      <c r="AZ524" s="17" t="n">
        <f aca="false">SQRT(($B524-AZ$401)^2+($C524-AZ$402)^2+($D524-AZ$403)^2)</f>
        <v>6.02769254401658</v>
      </c>
      <c r="BA524" s="17" t="n">
        <f aca="false">SQRT(($B524-BA$401)^2+($C524-BA$402)^2+($D524-BA$403)^2)</f>
        <v>2.33133423441816</v>
      </c>
      <c r="BB524" s="63" t="n">
        <f aca="false">MATCH(MIN(AV524:BA524),AV524:BA524,0)</f>
        <v>2</v>
      </c>
      <c r="BD524" s="17" t="n">
        <f aca="false">SQRT(($B524-BD$401)^2+($C524-BD$402)^2+($D524-BD$403)^2)</f>
        <v>8.25862710843003</v>
      </c>
      <c r="BE524" s="17" t="n">
        <f aca="false">SQRT(($B524-BE$401)^2+($C524-BE$402)^2+($D524-BE$403)^2)</f>
        <v>0.84598059086762</v>
      </c>
      <c r="BF524" s="17" t="n">
        <f aca="false">SQRT(($B524-BF$401)^2+($C524-BF$402)^2+($D524-BF$403)^2)</f>
        <v>3.81174188213832</v>
      </c>
      <c r="BG524" s="17" t="n">
        <f aca="false">SQRT(($B524-BG$401)^2+($C524-BG$402)^2+($D524-BG$403)^2)</f>
        <v>2.2385062337188</v>
      </c>
      <c r="BH524" s="17" t="n">
        <f aca="false">SQRT(($B524-BH$401)^2+($C524-BH$402)^2+($D524-BH$403)^2)</f>
        <v>6.02769254401658</v>
      </c>
      <c r="BI524" s="17" t="n">
        <f aca="false">SQRT(($B524-BI$401)^2+($C524-BI$402)^2+($D524-BI$403)^2)</f>
        <v>2.35777409679734</v>
      </c>
      <c r="BJ524" s="63" t="n">
        <f aca="false">MATCH(MIN(BD524:BI524),BD524:BI524,0)</f>
        <v>2</v>
      </c>
      <c r="BL524" s="17" t="n">
        <f aca="false">SQRT(($B524-BL$401)^2+($C524-BL$402)^2+($D524-BL$403)^2)</f>
        <v>8.25862710843003</v>
      </c>
      <c r="BM524" s="17" t="n">
        <f aca="false">SQRT(($B524-BM$401)^2+($C524-BM$402)^2+($D524-BM$403)^2)</f>
        <v>0.84598059086762</v>
      </c>
      <c r="BN524" s="17" t="n">
        <f aca="false">SQRT(($B524-BN$401)^2+($C524-BN$402)^2+($D524-BN$403)^2)</f>
        <v>3.81174188213832</v>
      </c>
      <c r="BO524" s="17" t="n">
        <f aca="false">SQRT(($B524-BO$401)^2+($C524-BO$402)^2+($D524-BO$403)^2)</f>
        <v>2.2385062337188</v>
      </c>
      <c r="BP524" s="17" t="n">
        <f aca="false">SQRT(($B524-BP$401)^2+($C524-BP$402)^2+($D524-BP$403)^2)</f>
        <v>6.02769254401658</v>
      </c>
      <c r="BQ524" s="17" t="n">
        <f aca="false">SQRT(($B524-BQ$401)^2+($C524-BQ$402)^2+($D524-BQ$403)^2)</f>
        <v>2.35777409679734</v>
      </c>
      <c r="BR524" s="63" t="n">
        <f aca="false">MATCH(MIN(BL524:BQ524),BL524:BQ524,0)</f>
        <v>2</v>
      </c>
      <c r="BT524" s="17" t="n">
        <f aca="false">SQRT(($B524-BT$401)^2+($C524-BT$402)^2+($D524-BT$403)^2)</f>
        <v>8.25862710843003</v>
      </c>
      <c r="BU524" s="17" t="n">
        <f aca="false">SQRT(($B524-BU$401)^2+($C524-BU$402)^2+($D524-BU$403)^2)</f>
        <v>0.84598059086762</v>
      </c>
      <c r="BV524" s="17" t="n">
        <f aca="false">SQRT(($B524-BV$401)^2+($C524-BV$402)^2+($D524-BV$403)^2)</f>
        <v>3.81174188213832</v>
      </c>
      <c r="BW524" s="17" t="n">
        <f aca="false">SQRT(($B524-BW$401)^2+($C524-BW$402)^2+($D524-BW$403)^2)</f>
        <v>2.2385062337188</v>
      </c>
      <c r="BX524" s="17" t="n">
        <f aca="false">SQRT(($B524-BX$401)^2+($C524-BX$402)^2+($D524-BX$403)^2)</f>
        <v>6.02769254401658</v>
      </c>
      <c r="BY524" s="17" t="n">
        <f aca="false">SQRT(($B524-BY$401)^2+($C524-BY$402)^2+($D524-BY$403)^2)</f>
        <v>2.35777409679734</v>
      </c>
      <c r="BZ524" s="63" t="n">
        <f aca="false">MATCH(MIN(BT524:BY524),BT524:BY524,0)</f>
        <v>2</v>
      </c>
      <c r="CB524" s="17" t="n">
        <f aca="false">SQRT(($B524-CB$401)^2+($C524-CB$402)^2+($D524-CB$403)^2)</f>
        <v>8.25862710843003</v>
      </c>
      <c r="CC524" s="17" t="n">
        <f aca="false">SQRT(($B524-CC$401)^2+($C524-CC$402)^2+($D524-CC$403)^2)</f>
        <v>0.84598059086762</v>
      </c>
      <c r="CD524" s="17" t="n">
        <f aca="false">SQRT(($B524-CD$401)^2+($C524-CD$402)^2+($D524-CD$403)^2)</f>
        <v>3.81174188213832</v>
      </c>
      <c r="CE524" s="17" t="n">
        <f aca="false">SQRT(($B524-CE$401)^2+($C524-CE$402)^2+($D524-CE$403)^2)</f>
        <v>2.2385062337188</v>
      </c>
      <c r="CF524" s="17" t="n">
        <f aca="false">SQRT(($B524-CF$401)^2+($C524-CF$402)^2+($D524-CF$403)^2)</f>
        <v>6.02769254401658</v>
      </c>
      <c r="CG524" s="17" t="n">
        <f aca="false">SQRT(($B524-CG$401)^2+($C524-CG$402)^2+($D524-CG$403)^2)</f>
        <v>2.35777409679734</v>
      </c>
      <c r="CH524" s="63" t="n">
        <f aca="false">MATCH(MIN(CB524:CG524),CB524:CG524,0)</f>
        <v>2</v>
      </c>
      <c r="CJ524" s="17" t="n">
        <f aca="false">SQRT(($B524-CJ$401)^2+($C524-CJ$402)^2+($D524-CJ$403)^2)</f>
        <v>8.25862710843003</v>
      </c>
      <c r="CK524" s="17" t="n">
        <f aca="false">SQRT(($B524-CK$401)^2+($C524-CK$402)^2+($D524-CK$403)^2)</f>
        <v>0.84598059086762</v>
      </c>
      <c r="CL524" s="17" t="n">
        <f aca="false">SQRT(($B524-CL$401)^2+($C524-CL$402)^2+($D524-CL$403)^2)</f>
        <v>3.81174188213832</v>
      </c>
      <c r="CM524" s="17" t="n">
        <f aca="false">SQRT(($B524-CM$401)^2+($C524-CM$402)^2+($D524-CM$403)^2)</f>
        <v>2.2385062337188</v>
      </c>
      <c r="CN524" s="17" t="n">
        <f aca="false">SQRT(($B524-CN$401)^2+($C524-CN$402)^2+($D524-CN$403)^2)</f>
        <v>6.02769254401658</v>
      </c>
      <c r="CO524" s="17" t="n">
        <f aca="false">SQRT(($B524-CO$401)^2+($C524-CO$402)^2+($D524-CO$403)^2)</f>
        <v>2.35777409679734</v>
      </c>
      <c r="CP524" s="63" t="n">
        <f aca="false">MATCH(MIN(CJ524:CO524),CJ524:CO524,0)</f>
        <v>2</v>
      </c>
      <c r="CR524" s="17" t="n">
        <f aca="false">SQRT(($B524-CR$401)^2+($C524-CR$402)^2+($D524-CR$403)^2)</f>
        <v>8.25862710843003</v>
      </c>
      <c r="CS524" s="17" t="n">
        <f aca="false">SQRT(($B524-CS$401)^2+($C524-CS$402)^2+($D524-CS$403)^2)</f>
        <v>0.84598059086762</v>
      </c>
      <c r="CT524" s="17" t="n">
        <f aca="false">SQRT(($B524-CT$401)^2+($C524-CT$402)^2+($D524-CT$403)^2)</f>
        <v>3.81174188213832</v>
      </c>
      <c r="CU524" s="17" t="n">
        <f aca="false">SQRT(($B524-CU$401)^2+($C524-CU$402)^2+($D524-CU$403)^2)</f>
        <v>2.2385062337188</v>
      </c>
      <c r="CV524" s="17" t="n">
        <f aca="false">SQRT(($B524-CV$401)^2+($C524-CV$402)^2+($D524-CV$403)^2)</f>
        <v>6.02769254401658</v>
      </c>
      <c r="CW524" s="17" t="n">
        <f aca="false">SQRT(($B524-CW$401)^2+($C524-CW$402)^2+($D524-CW$403)^2)</f>
        <v>2.35777409679734</v>
      </c>
      <c r="CX524" s="63" t="n">
        <f aca="false">MATCH(MIN(CR524:CW524),CR524:CW524,0)</f>
        <v>2</v>
      </c>
      <c r="CZ524" s="17" t="n">
        <f aca="false">SQRT(($B524-CZ$401)^2+($C524-CZ$402)^2+($D524-CZ$403)^2)</f>
        <v>8.25862710843003</v>
      </c>
      <c r="DA524" s="17" t="n">
        <f aca="false">SQRT(($B524-DA$401)^2+($C524-DA$402)^2+($D524-DA$403)^2)</f>
        <v>0.84598059086762</v>
      </c>
      <c r="DB524" s="17" t="n">
        <f aca="false">SQRT(($B524-DB$401)^2+($C524-DB$402)^2+($D524-DB$403)^2)</f>
        <v>3.81174188213832</v>
      </c>
      <c r="DC524" s="17" t="n">
        <f aca="false">SQRT(($B524-DC$401)^2+($C524-DC$402)^2+($D524-DC$403)^2)</f>
        <v>2.2385062337188</v>
      </c>
      <c r="DD524" s="17" t="n">
        <f aca="false">SQRT(($B524-DD$401)^2+($C524-DD$402)^2+($D524-DD$403)^2)</f>
        <v>6.02769254401658</v>
      </c>
      <c r="DE524" s="17" t="n">
        <f aca="false">SQRT(($B524-DE$401)^2+($C524-DE$402)^2+($D524-DE$403)^2)</f>
        <v>2.35777409679734</v>
      </c>
      <c r="DF524" s="63" t="n">
        <f aca="false">MATCH(MIN(CZ524:DE524),CZ524:DE524,0)</f>
        <v>2</v>
      </c>
      <c r="DH524" s="17" t="n">
        <f aca="false">SQRT(($B524-DH$401)^2+($C524-DH$402)^2+($D524-DH$403)^2)</f>
        <v>8.25862710843003</v>
      </c>
      <c r="DI524" s="17" t="n">
        <f aca="false">SQRT(($B524-DI$401)^2+($C524-DI$402)^2+($D524-DI$403)^2)</f>
        <v>0.84598059086762</v>
      </c>
      <c r="DJ524" s="17" t="n">
        <f aca="false">SQRT(($B524-DJ$401)^2+($C524-DJ$402)^2+($D524-DJ$403)^2)</f>
        <v>3.81174188213832</v>
      </c>
      <c r="DK524" s="17" t="n">
        <f aca="false">SQRT(($B524-DK$401)^2+($C524-DK$402)^2+($D524-DK$403)^2)</f>
        <v>2.2385062337188</v>
      </c>
      <c r="DL524" s="17" t="n">
        <f aca="false">SQRT(($B524-DL$401)^2+($C524-DL$402)^2+($D524-DL$403)^2)</f>
        <v>6.02769254401658</v>
      </c>
      <c r="DM524" s="17" t="n">
        <f aca="false">SQRT(($B524-DM$401)^2+($C524-DM$402)^2+($D524-DM$403)^2)</f>
        <v>2.35777409679734</v>
      </c>
      <c r="DN524" s="63" t="n">
        <f aca="false">MATCH(MIN(DH524:DM524),DH524:DM524,0)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DQ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3" topLeftCell="E14" activePane="bottomRight" state="frozen"/>
      <selection pane="topLeft" activeCell="A1" activeCellId="0" sqref="A1"/>
      <selection pane="topRight" activeCell="E1" activeCellId="0" sqref="E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0"/>
    <col collapsed="false" customWidth="true" hidden="false" outlineLevel="0" max="121" min="5" style="0" width="8"/>
  </cols>
  <sheetData>
    <row r="1" customFormat="false" ht="19.7" hidden="false" customHeight="false" outlineLevel="0" collapsed="false">
      <c r="A1" s="1" t="s">
        <v>766</v>
      </c>
    </row>
    <row r="2" customFormat="false" ht="15" hidden="false" customHeight="false" outlineLevel="0" collapsed="false">
      <c r="A2" s="2" t="s">
        <v>767</v>
      </c>
    </row>
    <row r="4" customFormat="false" ht="90" hidden="false" customHeight="true" outlineLevel="0" collapsed="false">
      <c r="A4" s="40" t="s">
        <v>89</v>
      </c>
      <c r="E4" s="71" t="str">
        <f aca="false">INDEX(KMeans_Data!$A$5:$A$121,1)</f>
        <v>Karachi</v>
      </c>
      <c r="F4" s="71" t="str">
        <f aca="false">INDEX(KMeans_Data!$A$5:$A$121,2)</f>
        <v>Lahore</v>
      </c>
      <c r="G4" s="71" t="str">
        <f aca="false">INDEX(KMeans_Data!$A$5:$A$121,3)</f>
        <v>Quetta</v>
      </c>
      <c r="H4" s="71" t="str">
        <f aca="false">INDEX(KMeans_Data!$A$5:$A$121,4)</f>
        <v>Peshawar</v>
      </c>
      <c r="I4" s="71" t="str">
        <f aca="false">INDEX(KMeans_Data!$A$5:$A$121,5)</f>
        <v>Islamabad</v>
      </c>
      <c r="J4" s="71" t="str">
        <f aca="false">INDEX(KMeans_Data!$A$5:$A$121,6)</f>
        <v>Swat</v>
      </c>
      <c r="K4" s="71" t="str">
        <f aca="false">INDEX(KMeans_Data!$A$5:$A$121,7)</f>
        <v>Multan</v>
      </c>
      <c r="L4" s="71" t="str">
        <f aca="false">INDEX(KMeans_Data!$A$5:$A$121,8)</f>
        <v>Sukkur</v>
      </c>
      <c r="M4" s="71" t="str">
        <f aca="false">INDEX(KMeans_Data!$A$5:$A$121,9)</f>
        <v>Hyderabad</v>
      </c>
      <c r="N4" s="71" t="str">
        <f aca="false">INDEX(KMeans_Data!$A$5:$A$121,10)</f>
        <v>Raiwind</v>
      </c>
      <c r="O4" s="71" t="str">
        <f aca="false">INDEX(KMeans_Data!$A$5:$A$121,11)</f>
        <v>Malakand</v>
      </c>
      <c r="P4" s="71" t="str">
        <f aca="false">INDEX(KMeans_Data!$A$5:$A$121,12)</f>
        <v>Mardan</v>
      </c>
      <c r="Q4" s="71" t="str">
        <f aca="false">INDEX(KMeans_Data!$A$5:$A$121,13)</f>
        <v>Gilgit</v>
      </c>
      <c r="R4" s="71" t="str">
        <f aca="false">INDEX(KMeans_Data!$A$5:$A$121,14)</f>
        <v>Larkana</v>
      </c>
      <c r="S4" s="71" t="str">
        <f aca="false">INDEX(KMeans_Data!$A$5:$A$121,15)</f>
        <v>Ghotki</v>
      </c>
      <c r="T4" s="71" t="str">
        <f aca="false">INDEX(KMeans_Data!$A$5:$A$121,16)</f>
        <v>Dir Lower</v>
      </c>
      <c r="U4" s="71" t="str">
        <f aca="false">INDEX(KMeans_Data!$A$5:$A$121,17)</f>
        <v>Khairpur</v>
      </c>
      <c r="V4" s="71" t="str">
        <f aca="false">INDEX(KMeans_Data!$A$5:$A$121,18)</f>
        <v>Abbottabad</v>
      </c>
      <c r="W4" s="71" t="str">
        <f aca="false">INDEX(KMeans_Data!$A$5:$A$121,19)</f>
        <v>Nowshera</v>
      </c>
      <c r="X4" s="71" t="str">
        <f aca="false">INDEX(KMeans_Data!$A$5:$A$121,20)</f>
        <v>Muzaffarabad</v>
      </c>
      <c r="Y4" s="71" t="str">
        <f aca="false">INDEX(KMeans_Data!$A$5:$A$121,21)</f>
        <v>Dera Ghazi Khan</v>
      </c>
      <c r="Z4" s="71" t="str">
        <f aca="false">INDEX(KMeans_Data!$A$5:$A$121,22)</f>
        <v>Charsadda</v>
      </c>
      <c r="AA4" s="71" t="str">
        <f aca="false">INDEX(KMeans_Data!$A$5:$A$121,23)</f>
        <v>Dir Upper</v>
      </c>
      <c r="AB4" s="71" t="str">
        <f aca="false">INDEX(KMeans_Data!$A$5:$A$121,24)</f>
        <v>Khyber</v>
      </c>
      <c r="AC4" s="71" t="str">
        <f aca="false">INDEX(KMeans_Data!$A$5:$A$121,25)</f>
        <v>Bajaur</v>
      </c>
      <c r="AD4" s="71" t="str">
        <f aca="false">INDEX(KMeans_Data!$A$5:$A$121,26)</f>
        <v>Shikarpur</v>
      </c>
      <c r="AE4" s="71" t="str">
        <f aca="false">INDEX(KMeans_Data!$A$5:$A$121,27)</f>
        <v>Rawalpindi</v>
      </c>
      <c r="AF4" s="71" t="str">
        <f aca="false">INDEX(KMeans_Data!$A$5:$A$121,28)</f>
        <v>Buner</v>
      </c>
      <c r="AG4" s="71" t="str">
        <f aca="false">INDEX(KMeans_Data!$A$5:$A$121,29)</f>
        <v>Sargodha</v>
      </c>
      <c r="AH4" s="71" t="str">
        <f aca="false">INDEX(KMeans_Data!$A$5:$A$121,30)</f>
        <v>Shaheed Benazirabad</v>
      </c>
      <c r="AI4" s="71" t="str">
        <f aca="false">INDEX(KMeans_Data!$A$5:$A$121,31)</f>
        <v>Gujrat</v>
      </c>
      <c r="AJ4" s="71" t="str">
        <f aca="false">INDEX(KMeans_Data!$A$5:$A$121,32)</f>
        <v>Dera Ismail Khan</v>
      </c>
      <c r="AK4" s="71" t="str">
        <f aca="false">INDEX(KMeans_Data!$A$5:$A$121,33)</f>
        <v>Karak</v>
      </c>
      <c r="AL4" s="71" t="str">
        <f aca="false">INDEX(KMeans_Data!$A$5:$A$121,34)</f>
        <v>Shangla</v>
      </c>
      <c r="AM4" s="71" t="str">
        <f aca="false">INDEX(KMeans_Data!$A$5:$A$121,35)</f>
        <v>Mansehra</v>
      </c>
      <c r="AN4" s="71" t="str">
        <f aca="false">INDEX(KMeans_Data!$A$5:$A$121,36)</f>
        <v>Swabi</v>
      </c>
      <c r="AO4" s="71" t="str">
        <f aca="false">INDEX(KMeans_Data!$A$5:$A$121,37)</f>
        <v>Haripur</v>
      </c>
      <c r="AP4" s="71" t="str">
        <f aca="false">INDEX(KMeans_Data!$A$5:$A$121,38)</f>
        <v>Battagram</v>
      </c>
      <c r="AQ4" s="71" t="str">
        <f aca="false">INDEX(KMeans_Data!$A$5:$A$121,39)</f>
        <v>Kohat</v>
      </c>
      <c r="AR4" s="71" t="str">
        <f aca="false">INDEX(KMeans_Data!$A$5:$A$121,40)</f>
        <v>Kurram</v>
      </c>
      <c r="AS4" s="71" t="str">
        <f aca="false">INDEX(KMeans_Data!$A$5:$A$121,41)</f>
        <v>Kambar Shahdadkot</v>
      </c>
      <c r="AT4" s="71" t="str">
        <f aca="false">INDEX(KMeans_Data!$A$5:$A$121,42)</f>
        <v>Nagar</v>
      </c>
      <c r="AU4" s="71" t="str">
        <f aca="false">INDEX(KMeans_Data!$A$5:$A$121,43)</f>
        <v>Rahim Yar Khan</v>
      </c>
      <c r="AV4" s="71" t="str">
        <f aca="false">INDEX(KMeans_Data!$A$5:$A$121,44)</f>
        <v>Jamshoro</v>
      </c>
      <c r="AW4" s="71" t="str">
        <f aca="false">INDEX(KMeans_Data!$A$5:$A$121,45)</f>
        <v>Gujranwala</v>
      </c>
      <c r="AX4" s="71" t="str">
        <f aca="false">INDEX(KMeans_Data!$A$5:$A$121,46)</f>
        <v>Bannu</v>
      </c>
      <c r="AY4" s="71" t="str">
        <f aca="false">INDEX(KMeans_Data!$A$5:$A$121,47)</f>
        <v>Lodhran</v>
      </c>
      <c r="AZ4" s="71" t="str">
        <f aca="false">INDEX(KMeans_Data!$A$5:$A$121,48)</f>
        <v>Jacobabad</v>
      </c>
      <c r="BA4" s="71" t="str">
        <f aca="false">INDEX(KMeans_Data!$A$5:$A$121,49)</f>
        <v>Skardu</v>
      </c>
      <c r="BB4" s="71" t="str">
        <f aca="false">INDEX(KMeans_Data!$A$5:$A$121,50)</f>
        <v>Sialkot</v>
      </c>
      <c r="BC4" s="71" t="str">
        <f aca="false">INDEX(KMeans_Data!$A$5:$A$121,51)</f>
        <v>Faisalabad</v>
      </c>
      <c r="BD4" s="71" t="str">
        <f aca="false">INDEX(KMeans_Data!$A$5:$A$121,52)</f>
        <v>Jhelum</v>
      </c>
      <c r="BE4" s="71" t="str">
        <f aca="false">INDEX(KMeans_Data!$A$5:$A$121,53)</f>
        <v>Vehari</v>
      </c>
      <c r="BF4" s="71" t="str">
        <f aca="false">INDEX(KMeans_Data!$A$5:$A$121,54)</f>
        <v>Astore</v>
      </c>
      <c r="BG4" s="71" t="str">
        <f aca="false">INDEX(KMeans_Data!$A$5:$A$121,55)</f>
        <v>Sanghar</v>
      </c>
      <c r="BH4" s="71" t="str">
        <f aca="false">INDEX(KMeans_Data!$A$5:$A$121,56)</f>
        <v>Bhakkar</v>
      </c>
      <c r="BI4" s="71" t="str">
        <f aca="false">INDEX(KMeans_Data!$A$5:$A$121,57)</f>
        <v>Muzaffargar</v>
      </c>
      <c r="BJ4" s="71" t="str">
        <f aca="false">INDEX(KMeans_Data!$A$5:$A$121,58)</f>
        <v>Badin</v>
      </c>
      <c r="BK4" s="71" t="str">
        <f aca="false">INDEX(KMeans_Data!$A$5:$A$121,59)</f>
        <v>Bahawalpur</v>
      </c>
      <c r="BL4" s="71" t="str">
        <f aca="false">INDEX(KMeans_Data!$A$5:$A$121,60)</f>
        <v>Dadu</v>
      </c>
      <c r="BM4" s="71" t="str">
        <f aca="false">INDEX(KMeans_Data!$A$5:$A$121,61)</f>
        <v>Other</v>
      </c>
      <c r="BN4" s="71" t="str">
        <f aca="false">INDEX(KMeans_Data!$A$5:$A$121,62)</f>
        <v>Thatta</v>
      </c>
      <c r="BO4" s="71" t="str">
        <f aca="false">INDEX(KMeans_Data!$A$5:$A$121,63)</f>
        <v>Hafizabad</v>
      </c>
      <c r="BP4" s="71" t="str">
        <f aca="false">INDEX(KMeans_Data!$A$5:$A$121,64)</f>
        <v>Mirpurkhas</v>
      </c>
      <c r="BQ4" s="71" t="str">
        <f aca="false">INDEX(KMeans_Data!$A$5:$A$121,65)</f>
        <v>Kashmore</v>
      </c>
      <c r="BR4" s="71" t="str">
        <f aca="false">INDEX(KMeans_Data!$A$5:$A$121,66)</f>
        <v>Naushero Feroz</v>
      </c>
      <c r="BS4" s="71" t="str">
        <f aca="false">INDEX(KMeans_Data!$A$5:$A$121,67)</f>
        <v>Tando M. Khan</v>
      </c>
      <c r="BT4" s="71" t="str">
        <f aca="false">INDEX(KMeans_Data!$A$5:$A$121,68)</f>
        <v>Chitral Lower</v>
      </c>
      <c r="BU4" s="71" t="str">
        <f aca="false">INDEX(KMeans_Data!$A$5:$A$121,69)</f>
        <v>Sujawal</v>
      </c>
      <c r="BV4" s="71" t="str">
        <f aca="false">INDEX(KMeans_Data!$A$5:$A$121,70)</f>
        <v>Laiya</v>
      </c>
      <c r="BW4" s="71" t="str">
        <f aca="false">INDEX(KMeans_Data!$A$5:$A$121,71)</f>
        <v>Shigar</v>
      </c>
      <c r="BX4" s="71" t="str">
        <f aca="false">INDEX(KMeans_Data!$A$5:$A$121,72)</f>
        <v>Narowal</v>
      </c>
      <c r="BY4" s="71" t="str">
        <f aca="false">INDEX(KMeans_Data!$A$5:$A$121,73)</f>
        <v>Mandi Bahauddin</v>
      </c>
      <c r="BZ4" s="71" t="str">
        <f aca="false">INDEX(KMeans_Data!$A$5:$A$121,74)</f>
        <v>Ghanche</v>
      </c>
      <c r="CA4" s="71" t="str">
        <f aca="false">INDEX(KMeans_Data!$A$5:$A$121,75)</f>
        <v>Hunza</v>
      </c>
      <c r="CB4" s="71" t="str">
        <f aca="false">INDEX(KMeans_Data!$A$5:$A$121,76)</f>
        <v>Nankana Sahib</v>
      </c>
      <c r="CC4" s="71" t="str">
        <f aca="false">INDEX(KMeans_Data!$A$5:$A$121,77)</f>
        <v>Khushab</v>
      </c>
      <c r="CD4" s="71" t="str">
        <f aca="false">INDEX(KMeans_Data!$A$5:$A$121,78)</f>
        <v>Sheikhupura</v>
      </c>
      <c r="CE4" s="71" t="str">
        <f aca="false">INDEX(KMeans_Data!$A$5:$A$121,79)</f>
        <v>Diamer</v>
      </c>
      <c r="CF4" s="71" t="str">
        <f aca="false">INDEX(KMeans_Data!$A$5:$A$121,80)</f>
        <v>Hangu</v>
      </c>
      <c r="CG4" s="71" t="str">
        <f aca="false">INDEX(KMeans_Data!$A$5:$A$121,81)</f>
        <v>Mohmand</v>
      </c>
      <c r="CH4" s="71" t="str">
        <f aca="false">INDEX(KMeans_Data!$A$5:$A$121,82)</f>
        <v>Bahawal Nagar</v>
      </c>
      <c r="CI4" s="71" t="str">
        <f aca="false">INDEX(KMeans_Data!$A$5:$A$121,83)</f>
        <v>Ghizer</v>
      </c>
      <c r="CJ4" s="71" t="str">
        <f aca="false">INDEX(KMeans_Data!$A$5:$A$121,84)</f>
        <v>Mianwali</v>
      </c>
      <c r="CK4" s="71" t="str">
        <f aca="false">INDEX(KMeans_Data!$A$5:$A$121,85)</f>
        <v>Kharmang</v>
      </c>
      <c r="CL4" s="71" t="str">
        <f aca="false">INDEX(KMeans_Data!$A$5:$A$121,86)</f>
        <v>Attock</v>
      </c>
      <c r="CM4" s="71" t="str">
        <f aca="false">INDEX(KMeans_Data!$A$5:$A$121,87)</f>
        <v>Chitral Upper</v>
      </c>
      <c r="CN4" s="71" t="str">
        <f aca="false">INDEX(KMeans_Data!$A$5:$A$121,88)</f>
        <v>Matiari</v>
      </c>
      <c r="CO4" s="71" t="str">
        <f aca="false">INDEX(KMeans_Data!$A$5:$A$121,89)</f>
        <v>Lakki Marwat</v>
      </c>
      <c r="CP4" s="71" t="str">
        <f aca="false">INDEX(KMeans_Data!$A$5:$A$121,90)</f>
        <v>Taftan</v>
      </c>
      <c r="CQ4" s="71" t="str">
        <f aca="false">INDEX(KMeans_Data!$A$5:$A$121,91)</f>
        <v>Orakzai</v>
      </c>
      <c r="CR4" s="71" t="str">
        <f aca="false">INDEX(KMeans_Data!$A$5:$A$121,92)</f>
        <v>North Waziristan</v>
      </c>
      <c r="CS4" s="71" t="str">
        <f aca="false">INDEX(KMeans_Data!$A$5:$A$121,93)</f>
        <v>Kasur</v>
      </c>
      <c r="CT4" s="71" t="str">
        <f aca="false">INDEX(KMeans_Data!$A$5:$A$121,94)</f>
        <v>Rajanpur</v>
      </c>
      <c r="CU4" s="71" t="str">
        <f aca="false">INDEX(KMeans_Data!$A$5:$A$121,95)</f>
        <v>Umerkot</v>
      </c>
      <c r="CV4" s="71" t="str">
        <f aca="false">INDEX(KMeans_Data!$A$5:$A$121,96)</f>
        <v>Tando Allahyar</v>
      </c>
      <c r="CW4" s="71" t="str">
        <f aca="false">INDEX(KMeans_Data!$A$5:$A$121,97)</f>
        <v>Mirpur</v>
      </c>
      <c r="CX4" s="71" t="str">
        <f aca="false">INDEX(KMeans_Data!$A$5:$A$121,98)</f>
        <v>Tank</v>
      </c>
      <c r="CY4" s="71" t="str">
        <f aca="false">INDEX(KMeans_Data!$A$5:$A$121,99)</f>
        <v>Sahiwal</v>
      </c>
      <c r="CZ4" s="71" t="str">
        <f aca="false">INDEX(KMeans_Data!$A$5:$A$121,100)</f>
        <v>Chiniot</v>
      </c>
      <c r="DA4" s="71" t="str">
        <f aca="false">INDEX(KMeans_Data!$A$5:$A$121,101)</f>
        <v>South Waziristan</v>
      </c>
      <c r="DB4" s="71" t="str">
        <f aca="false">INDEX(KMeans_Data!$A$5:$A$121,102)</f>
        <v>Toba Tek Singh</v>
      </c>
      <c r="DC4" s="71" t="str">
        <f aca="false">INDEX(KMeans_Data!$A$5:$A$121,103)</f>
        <v>Khanewal</v>
      </c>
      <c r="DD4" s="71" t="str">
        <f aca="false">INDEX(KMeans_Data!$A$5:$A$121,104)</f>
        <v>Tharparkar</v>
      </c>
      <c r="DE4" s="71" t="str">
        <f aca="false">INDEX(KMeans_Data!$A$5:$A$121,105)</f>
        <v>Chakwal</v>
      </c>
      <c r="DF4" s="71" t="str">
        <f aca="false">INDEX(KMeans_Data!$A$5:$A$121,106)</f>
        <v>Pishin</v>
      </c>
      <c r="DG4" s="71" t="str">
        <f aca="false">INDEX(KMeans_Data!$A$5:$A$121,107)</f>
        <v>Kohistan Lower</v>
      </c>
      <c r="DH4" s="71" t="str">
        <f aca="false">INDEX(KMeans_Data!$A$5:$A$121,108)</f>
        <v>Bhambore</v>
      </c>
      <c r="DI4" s="71" t="str">
        <f aca="false">INDEX(KMeans_Data!$A$5:$A$121,109)</f>
        <v>Jhang</v>
      </c>
      <c r="DJ4" s="71" t="str">
        <f aca="false">INDEX(KMeans_Data!$A$5:$A$121,110)</f>
        <v>Tor Ghar</v>
      </c>
      <c r="DK4" s="71" t="str">
        <f aca="false">INDEX(KMeans_Data!$A$5:$A$121,111)</f>
        <v>Trarkhel</v>
      </c>
      <c r="DL4" s="71" t="str">
        <f aca="false">INDEX(KMeans_Data!$A$5:$A$121,112)</f>
        <v>Kohistan Upper</v>
      </c>
      <c r="DM4" s="71" t="str">
        <f aca="false">INDEX(KMeans_Data!$A$5:$A$121,113)</f>
        <v>Okara</v>
      </c>
      <c r="DN4" s="71" t="str">
        <f aca="false">INDEX(KMeans_Data!$A$5:$A$121,114)</f>
        <v>Ziarat</v>
      </c>
      <c r="DO4" s="71" t="str">
        <f aca="false">INDEX(KMeans_Data!$A$5:$A$121,115)</f>
        <v>Pakpatan</v>
      </c>
      <c r="DP4" s="71" t="str">
        <f aca="false">INDEX(KMeans_Data!$A$5:$A$121,116)</f>
        <v>Chitral</v>
      </c>
      <c r="DQ4" s="71" t="str">
        <f aca="false">INDEX(KMeans_Data!$A$5:$A$121,117)</f>
        <v>Kolai Pallas</v>
      </c>
    </row>
    <row r="5" customFormat="false" ht="15" hidden="false" customHeight="false" outlineLevel="0" collapsed="false">
      <c r="A5" s="40" t="s">
        <v>701</v>
      </c>
      <c r="E5" s="72" t="n">
        <f aca="false">INDEX(KMeans_Data!$H$5:$H$121,1)</f>
        <v>3.2743087782752</v>
      </c>
      <c r="F5" s="72" t="n">
        <f aca="false">INDEX(KMeans_Data!$H$5:$H$121,2)</f>
        <v>3.25015139617543</v>
      </c>
      <c r="G5" s="72" t="n">
        <f aca="false">INDEX(KMeans_Data!$H$5:$H$121,3)</f>
        <v>2.36453191227648</v>
      </c>
      <c r="H5" s="72" t="n">
        <f aca="false">INDEX(KMeans_Data!$H$5:$H$121,4)</f>
        <v>2.345233823008</v>
      </c>
      <c r="I5" s="72" t="n">
        <f aca="false">INDEX(KMeans_Data!$H$5:$H$121,5)</f>
        <v>2.1711238504828</v>
      </c>
      <c r="J5" s="72" t="n">
        <f aca="false">INDEX(KMeans_Data!$H$5:$H$121,6)</f>
        <v>1.49375246664447</v>
      </c>
      <c r="K5" s="72" t="n">
        <f aca="false">INDEX(KMeans_Data!$H$5:$H$121,7)</f>
        <v>1.339480128572</v>
      </c>
      <c r="L5" s="72" t="n">
        <f aca="false">INDEX(KMeans_Data!$H$5:$H$121,8)</f>
        <v>1.31634431892529</v>
      </c>
      <c r="M5" s="72" t="n">
        <f aca="false">INDEX(KMeans_Data!$H$5:$H$121,9)</f>
        <v>1.25912764531491</v>
      </c>
      <c r="N5" s="72" t="n">
        <f aca="false">INDEX(KMeans_Data!$H$5:$H$121,10)</f>
        <v>1.20153859722623</v>
      </c>
      <c r="O5" s="72" t="n">
        <f aca="false">INDEX(KMeans_Data!$H$5:$H$121,11)</f>
        <v>1.14106795512792</v>
      </c>
      <c r="P5" s="72" t="n">
        <f aca="false">INDEX(KMeans_Data!$H$5:$H$121,12)</f>
        <v>1.1269857012341</v>
      </c>
      <c r="Q5" s="72" t="n">
        <f aca="false">INDEX(KMeans_Data!$H$5:$H$121,13)</f>
        <v>1.04252863605511</v>
      </c>
      <c r="R5" s="72" t="n">
        <f aca="false">INDEX(KMeans_Data!$H$5:$H$121,14)</f>
        <v>1.03733687213202</v>
      </c>
      <c r="S5" s="72" t="n">
        <f aca="false">INDEX(KMeans_Data!$H$5:$H$121,15)</f>
        <v>1.00781777519734</v>
      </c>
      <c r="T5" s="72" t="n">
        <f aca="false">INDEX(KMeans_Data!$H$5:$H$121,16)</f>
        <v>0.970625526957299</v>
      </c>
      <c r="U5" s="72" t="n">
        <f aca="false">INDEX(KMeans_Data!$H$5:$H$121,17)</f>
        <v>0.88016218188859</v>
      </c>
      <c r="V5" s="72" t="n">
        <f aca="false">INDEX(KMeans_Data!$H$5:$H$121,18)</f>
        <v>0.853001062018471</v>
      </c>
      <c r="W5" s="72" t="n">
        <f aca="false">INDEX(KMeans_Data!$H$5:$H$121,19)</f>
        <v>0.851138913278639</v>
      </c>
      <c r="X5" s="72" t="n">
        <f aca="false">INDEX(KMeans_Data!$H$5:$H$121,20)</f>
        <v>0.841726902407959</v>
      </c>
      <c r="Y5" s="72" t="n">
        <f aca="false">INDEX(KMeans_Data!$H$5:$H$121,21)</f>
        <v>0.789836374639921</v>
      </c>
      <c r="Z5" s="72" t="n">
        <f aca="false">INDEX(KMeans_Data!$H$5:$H$121,22)</f>
        <v>0.7856220194878</v>
      </c>
      <c r="AA5" s="72" t="n">
        <f aca="false">INDEX(KMeans_Data!$H$5:$H$121,23)</f>
        <v>0.783501975751688</v>
      </c>
      <c r="AB5" s="72" t="n">
        <f aca="false">INDEX(KMeans_Data!$H$5:$H$121,24)</f>
        <v>0.783501975751688</v>
      </c>
      <c r="AC5" s="72" t="n">
        <f aca="false">INDEX(KMeans_Data!$H$5:$H$121,25)</f>
        <v>0.761812586723473</v>
      </c>
      <c r="AD5" s="72" t="n">
        <f aca="false">INDEX(KMeans_Data!$H$5:$H$121,26)</f>
        <v>0.708204570744665</v>
      </c>
      <c r="AE5" s="72" t="n">
        <f aca="false">INDEX(KMeans_Data!$H$5:$H$121,27)</f>
        <v>0.645673058648075</v>
      </c>
      <c r="AF5" s="72" t="n">
        <f aca="false">INDEX(KMeans_Data!$H$5:$H$121,28)</f>
        <v>0.602395784980437</v>
      </c>
      <c r="AG5" s="72" t="n">
        <f aca="false">INDEX(KMeans_Data!$H$5:$H$121,29)</f>
        <v>0.577753548760862</v>
      </c>
      <c r="AH5" s="72" t="n">
        <f aca="false">INDEX(KMeans_Data!$H$5:$H$121,30)</f>
        <v>0.577753548760862</v>
      </c>
      <c r="AI5" s="72" t="n">
        <f aca="false">INDEX(KMeans_Data!$H$5:$H$121,31)</f>
        <v>0.574589587542617</v>
      </c>
      <c r="AJ5" s="72" t="n">
        <f aca="false">INDEX(KMeans_Data!$H$5:$H$121,32)</f>
        <v>0.568203372235645</v>
      </c>
      <c r="AK5" s="72" t="n">
        <f aca="false">INDEX(KMeans_Data!$H$5:$H$121,33)</f>
        <v>0.531605743068138</v>
      </c>
      <c r="AL5" s="72" t="n">
        <f aca="false">INDEX(KMeans_Data!$H$5:$H$121,34)</f>
        <v>0.484749830332174</v>
      </c>
      <c r="AM5" s="72" t="n">
        <f aca="false">INDEX(KMeans_Data!$H$5:$H$121,35)</f>
        <v>0.484749830332174</v>
      </c>
      <c r="AN5" s="72" t="n">
        <f aca="false">INDEX(KMeans_Data!$H$5:$H$121,36)</f>
        <v>0.453667759197148</v>
      </c>
      <c r="AO5" s="72" t="n">
        <f aca="false">INDEX(KMeans_Data!$H$5:$H$121,37)</f>
        <v>0.433254553932755</v>
      </c>
      <c r="AP5" s="72" t="n">
        <f aca="false">INDEX(KMeans_Data!$H$5:$H$121,38)</f>
        <v>0.429074049388274</v>
      </c>
      <c r="AQ5" s="72" t="n">
        <f aca="false">INDEX(KMeans_Data!$H$5:$H$121,39)</f>
        <v>0.407652506674014</v>
      </c>
      <c r="AR5" s="72" t="n">
        <f aca="false">INDEX(KMeans_Data!$H$5:$H$121,40)</f>
        <v>0.389856926462388</v>
      </c>
      <c r="AS5" s="72" t="n">
        <f aca="false">INDEX(KMeans_Data!$H$5:$H$121,41)</f>
        <v>0.317115025857358</v>
      </c>
      <c r="AT5" s="72" t="n">
        <f aca="false">INDEX(KMeans_Data!$H$5:$H$121,42)</f>
        <v>0.273717398386991</v>
      </c>
      <c r="AU5" s="72" t="n">
        <f aca="false">INDEX(KMeans_Data!$H$5:$H$121,43)</f>
        <v>0.262278036420678</v>
      </c>
      <c r="AV5" s="72" t="n">
        <f aca="false">INDEX(KMeans_Data!$H$5:$H$121,44)</f>
        <v>0.256462668461943</v>
      </c>
      <c r="AW5" s="72" t="n">
        <f aca="false">INDEX(KMeans_Data!$H$5:$H$121,45)</f>
        <v>0.238616233785713</v>
      </c>
      <c r="AX5" s="72" t="n">
        <f aca="false">INDEX(KMeans_Data!$H$5:$H$121,46)</f>
        <v>0.232528795764548</v>
      </c>
      <c r="AY5" s="72" t="n">
        <f aca="false">INDEX(KMeans_Data!$H$5:$H$121,47)</f>
        <v>0.200975497781959</v>
      </c>
      <c r="AZ5" s="72" t="n">
        <f aca="false">INDEX(KMeans_Data!$H$5:$H$121,48)</f>
        <v>0.200975497781959</v>
      </c>
      <c r="BA5" s="72" t="n">
        <f aca="false">INDEX(KMeans_Data!$H$5:$H$121,49)</f>
        <v>0.194428618785618</v>
      </c>
      <c r="BB5" s="72" t="n">
        <f aca="false">INDEX(KMeans_Data!$H$5:$H$121,50)</f>
        <v>0.194428618785618</v>
      </c>
      <c r="BC5" s="72" t="n">
        <f aca="false">INDEX(KMeans_Data!$H$5:$H$121,51)</f>
        <v>0.187798337815286</v>
      </c>
      <c r="BD5" s="72" t="n">
        <f aca="false">INDEX(KMeans_Data!$H$5:$H$121,52)</f>
        <v>0.167385132550892</v>
      </c>
      <c r="BE5" s="72" t="n">
        <f aca="false">INDEX(KMeans_Data!$H$5:$H$121,53)</f>
        <v>0.153317518957985</v>
      </c>
      <c r="BF5" s="72" t="n">
        <f aca="false">INDEX(KMeans_Data!$H$5:$H$121,54)</f>
        <v>0.131476411515176</v>
      </c>
      <c r="BG5" s="72" t="n">
        <f aca="false">INDEX(KMeans_Data!$H$5:$H$121,55)</f>
        <v>0.100851695433816</v>
      </c>
      <c r="BH5" s="72" t="n">
        <f aca="false">INDEX(KMeans_Data!$H$5:$H$121,56)</f>
        <v>0.0848359697065613</v>
      </c>
      <c r="BI5" s="72" t="n">
        <f aca="false">INDEX(KMeans_Data!$H$5:$H$121,57)</f>
        <v>0.0683117241366259</v>
      </c>
      <c r="BJ5" s="72" t="n">
        <f aca="false">INDEX(KMeans_Data!$H$5:$H$121,58)</f>
        <v>0.0245489826438638</v>
      </c>
      <c r="BK5" s="72" t="n">
        <f aca="false">INDEX(KMeans_Data!$H$5:$H$121,59)</f>
        <v>0.00595879156403144</v>
      </c>
      <c r="BL5" s="72" t="n">
        <f aca="false">INDEX(KMeans_Data!$H$5:$H$121,60)</f>
        <v>-0.00359138496118499</v>
      </c>
      <c r="BM5" s="72" t="n">
        <f aca="false">INDEX(KMeans_Data!$H$5:$H$121,61)</f>
        <v>-0.0333406256173151</v>
      </c>
      <c r="BN5" s="72" t="n">
        <f aca="false">INDEX(KMeans_Data!$H$5:$H$121,62)</f>
        <v>-0.0436472993942904</v>
      </c>
      <c r="BO5" s="72" t="n">
        <f aca="false">INDEX(KMeans_Data!$H$5:$H$121,63)</f>
        <v>-0.0648939235999031</v>
      </c>
      <c r="BP5" s="72" t="n">
        <f aca="false">INDEX(KMeans_Data!$H$5:$H$121,64)</f>
        <v>-0.0984842888309702</v>
      </c>
      <c r="BQ5" s="72" t="n">
        <f aca="false">INDEX(KMeans_Data!$H$5:$H$121,65)</f>
        <v>-0.110180736511367</v>
      </c>
      <c r="BR5" s="72" t="n">
        <f aca="false">INDEX(KMeans_Data!$H$5:$H$121,66)</f>
        <v>-0.134393009866687</v>
      </c>
      <c r="BS5" s="72" t="n">
        <f aca="false">INDEX(KMeans_Data!$H$5:$H$121,67)</f>
        <v>-0.172963987436362</v>
      </c>
      <c r="BT5" s="72" t="n">
        <f aca="false">INDEX(KMeans_Data!$H$5:$H$121,68)</f>
        <v>-0.214623816906368</v>
      </c>
      <c r="BU5" s="72" t="n">
        <f aca="false">INDEX(KMeans_Data!$H$5:$H$121,69)</f>
        <v>-0.214623816906368</v>
      </c>
      <c r="BV5" s="72" t="n">
        <f aca="false">INDEX(KMeans_Data!$H$5:$H$121,70)</f>
        <v>-0.259910629817831</v>
      </c>
      <c r="BW5" s="72" t="n">
        <f aca="false">INDEX(KMeans_Data!$H$5:$H$121,71)</f>
        <v>-0.275926355545086</v>
      </c>
      <c r="BX5" s="72" t="n">
        <f aca="false">INDEX(KMeans_Data!$H$5:$H$121,72)</f>
        <v>-0.275926355545086</v>
      </c>
      <c r="BY5" s="72" t="n">
        <f aca="false">INDEX(KMeans_Data!$H$5:$H$121,73)</f>
        <v>-0.309516720776153</v>
      </c>
      <c r="BZ5" s="72" t="n">
        <f aca="false">INDEX(KMeans_Data!$H$5:$H$121,74)</f>
        <v>-0.327161461972788</v>
      </c>
      <c r="CA5" s="72" t="n">
        <f aca="false">INDEX(KMeans_Data!$H$5:$H$121,75)</f>
        <v>-0.327161461972788</v>
      </c>
      <c r="CB5" s="72" t="n">
        <f aca="false">INDEX(KMeans_Data!$H$5:$H$121,76)</f>
        <v>-0.34542544181187</v>
      </c>
      <c r="CC5" s="72" t="n">
        <f aca="false">INDEX(KMeans_Data!$H$5:$H$121,77)</f>
        <v>-0.34542544181187</v>
      </c>
      <c r="CD5" s="72" t="n">
        <f aca="false">INDEX(KMeans_Data!$H$5:$H$121,78)</f>
        <v>-0.383996419381545</v>
      </c>
      <c r="CE5" s="72" t="n">
        <f aca="false">INDEX(KMeans_Data!$H$5:$H$121,79)</f>
        <v>-0.404409624645938</v>
      </c>
      <c r="CF5" s="72" t="n">
        <f aca="false">INDEX(KMeans_Data!$H$5:$H$121,80)</f>
        <v>-0.404409624645938</v>
      </c>
      <c r="CG5" s="72" t="n">
        <f aca="false">INDEX(KMeans_Data!$H$5:$H$121,81)</f>
        <v>-0.470943061763014</v>
      </c>
      <c r="CH5" s="72" t="n">
        <f aca="false">INDEX(KMeans_Data!$H$5:$H$121,82)</f>
        <v>-0.470943061763014</v>
      </c>
      <c r="CI5" s="72" t="n">
        <f aca="false">INDEX(KMeans_Data!$H$5:$H$121,83)</f>
        <v>-0.520549152721336</v>
      </c>
      <c r="CJ5" s="72" t="n">
        <f aca="false">INDEX(KMeans_Data!$H$5:$H$121,84)</f>
        <v>-0.547245774552967</v>
      </c>
      <c r="CK5" s="72" t="n">
        <f aca="false">INDEX(KMeans_Data!$H$5:$H$121,85)</f>
        <v>-0.605135382814146</v>
      </c>
      <c r="CL5" s="72" t="n">
        <f aca="false">INDEX(KMeans_Data!$H$5:$H$121,86)</f>
        <v>-0.636688680796734</v>
      </c>
      <c r="CM5" s="72" t="n">
        <f aca="false">INDEX(KMeans_Data!$H$5:$H$121,87)</f>
        <v>-0.636688680796734</v>
      </c>
      <c r="CN5" s="72" t="n">
        <f aca="false">INDEX(KMeans_Data!$H$5:$H$121,88)</f>
        <v>-0.706187767063518</v>
      </c>
      <c r="CO5" s="72" t="n">
        <f aca="false">INDEX(KMeans_Data!$H$5:$H$121,89)</f>
        <v>-0.744758744633192</v>
      </c>
      <c r="CP5" s="72" t="n">
        <f aca="false">INDEX(KMeans_Data!$H$5:$H$121,90)</f>
        <v>-0.744758744633192</v>
      </c>
      <c r="CQ5" s="72" t="n">
        <f aca="false">INDEX(KMeans_Data!$H$5:$H$121,91)</f>
        <v>-0.786418574103199</v>
      </c>
      <c r="CR5" s="72" t="n">
        <f aca="false">INDEX(KMeans_Data!$H$5:$H$121,92)</f>
        <v>-0.831705387014662</v>
      </c>
      <c r="CS5" s="72" t="n">
        <f aca="false">INDEX(KMeans_Data!$H$5:$H$121,93)</f>
        <v>-0.831705387014662</v>
      </c>
      <c r="CT5" s="72" t="n">
        <f aca="false">INDEX(KMeans_Data!$H$5:$H$121,94)</f>
        <v>-0.881311477972984</v>
      </c>
      <c r="CU5" s="72" t="n">
        <f aca="false">INDEX(KMeans_Data!$H$5:$H$121,95)</f>
        <v>-0.881311477972984</v>
      </c>
      <c r="CV5" s="72" t="n">
        <f aca="false">INDEX(KMeans_Data!$H$5:$H$121,96)</f>
        <v>-0.881311477972984</v>
      </c>
      <c r="CW5" s="72" t="n">
        <f aca="false">INDEX(KMeans_Data!$H$5:$H$121,97)</f>
        <v>-0.881311477972984</v>
      </c>
      <c r="CX5" s="72" t="n">
        <f aca="false">INDEX(KMeans_Data!$H$5:$H$121,98)</f>
        <v>-0.936148467409663</v>
      </c>
      <c r="CY5" s="72" t="n">
        <f aca="false">INDEX(KMeans_Data!$H$5:$H$121,99)</f>
        <v>-0.936148467409663</v>
      </c>
      <c r="CZ5" s="72" t="n">
        <f aca="false">INDEX(KMeans_Data!$H$5:$H$121,100)</f>
        <v>-0.936148467409663</v>
      </c>
      <c r="DA5" s="72" t="n">
        <f aca="false">INDEX(KMeans_Data!$H$5:$H$121,101)</f>
        <v>-0.936148467409663</v>
      </c>
      <c r="DB5" s="72" t="n">
        <f aca="false">INDEX(KMeans_Data!$H$5:$H$121,102)</f>
        <v>-0.997451006048382</v>
      </c>
      <c r="DC5" s="72" t="n">
        <f aca="false">INDEX(KMeans_Data!$H$5:$H$121,103)</f>
        <v>-0.997451006048382</v>
      </c>
      <c r="DD5" s="72" t="n">
        <f aca="false">INDEX(KMeans_Data!$H$5:$H$121,104)</f>
        <v>-0.997451006048382</v>
      </c>
      <c r="DE5" s="72" t="n">
        <f aca="false">INDEX(KMeans_Data!$H$5:$H$121,105)</f>
        <v>-1.14718089935485</v>
      </c>
      <c r="DF5" s="72" t="n">
        <f aca="false">INDEX(KMeans_Data!$H$5:$H$121,106)</f>
        <v>-1.35821333130003</v>
      </c>
      <c r="DG5" s="72" t="n">
        <f aca="false">INDEX(KMeans_Data!$H$5:$H$121,107)</f>
        <v>-1.50794322460649</v>
      </c>
      <c r="DH5" s="72" t="n">
        <f aca="false">INDEX(KMeans_Data!$H$5:$H$121,108)</f>
        <v>-1.50794322460649</v>
      </c>
      <c r="DI5" s="72" t="n">
        <f aca="false">INDEX(KMeans_Data!$H$5:$H$121,109)</f>
        <v>-1.50794322460649</v>
      </c>
      <c r="DJ5" s="72" t="n">
        <f aca="false">INDEX(KMeans_Data!$H$5:$H$121,110)</f>
        <v>-1.50794322460649</v>
      </c>
      <c r="DK5" s="72" t="n">
        <f aca="false">INDEX(KMeans_Data!$H$5:$H$121,111)</f>
        <v>-1.71897565655168</v>
      </c>
      <c r="DL5" s="72" t="n">
        <f aca="false">INDEX(KMeans_Data!$H$5:$H$121,112)</f>
        <v>-1.71897565655168</v>
      </c>
      <c r="DM5" s="72" t="n">
        <f aca="false">INDEX(KMeans_Data!$H$5:$H$121,113)</f>
        <v>-1.71897565655168</v>
      </c>
      <c r="DN5" s="72" t="n">
        <f aca="false">INDEX(KMeans_Data!$H$5:$H$121,114)</f>
        <v>-1.71897565655168</v>
      </c>
      <c r="DO5" s="72" t="n">
        <f aca="false">INDEX(KMeans_Data!$H$5:$H$121,115)</f>
        <v>-1.71897565655168</v>
      </c>
      <c r="DP5" s="72" t="n">
        <f aca="false">INDEX(KMeans_Data!$H$5:$H$121,116)</f>
        <v>-2.07973798180332</v>
      </c>
      <c r="DQ5" s="72" t="n">
        <f aca="false">INDEX(KMeans_Data!$H$5:$H$121,117)</f>
        <v>-2.07973798180332</v>
      </c>
    </row>
    <row r="6" customFormat="false" ht="15" hidden="false" customHeight="false" outlineLevel="0" collapsed="false">
      <c r="A6" s="40" t="s">
        <v>702</v>
      </c>
      <c r="E6" s="72" t="n">
        <f aca="false">INDEX(KMeans_Data!$I$5:$I$121,1)</f>
        <v>4.03885179691129</v>
      </c>
      <c r="F6" s="72" t="n">
        <f aca="false">INDEX(KMeans_Data!$I$5:$I$121,2)</f>
        <v>4.15684103709117</v>
      </c>
      <c r="G6" s="72" t="n">
        <f aca="false">INDEX(KMeans_Data!$I$5:$I$121,3)</f>
        <v>2.29414072853602</v>
      </c>
      <c r="H6" s="72" t="n">
        <f aca="false">INDEX(KMeans_Data!$I$5:$I$121,4)</f>
        <v>3.56174892105073</v>
      </c>
      <c r="I6" s="72" t="n">
        <f aca="false">INDEX(KMeans_Data!$I$5:$I$121,5)</f>
        <v>2.06578932043694</v>
      </c>
      <c r="J6" s="72" t="n">
        <f aca="false">INDEX(KMeans_Data!$I$5:$I$121,6)</f>
        <v>2.23090597008422</v>
      </c>
      <c r="K6" s="72" t="n">
        <f aca="false">INDEX(KMeans_Data!$I$5:$I$121,7)</f>
        <v>0.160512589624996</v>
      </c>
      <c r="L6" s="72" t="n">
        <f aca="false">INDEX(KMeans_Data!$I$5:$I$121,8)</f>
        <v>0.686180001083741</v>
      </c>
      <c r="M6" s="72" t="n">
        <f aca="false">INDEX(KMeans_Data!$I$5:$I$121,9)</f>
        <v>1.21184741254249</v>
      </c>
      <c r="N6" s="72" t="n">
        <f aca="false">INDEX(KMeans_Data!$I$5:$I$121,10)</f>
        <v>-0.146983133929529</v>
      </c>
      <c r="O6" s="72" t="n">
        <f aca="false">INDEX(KMeans_Data!$I$5:$I$121,11)</f>
        <v>1.4759954658056</v>
      </c>
      <c r="P6" s="72" t="n">
        <f aca="false">INDEX(KMeans_Data!$I$5:$I$121,12)</f>
        <v>1.76847331707728</v>
      </c>
      <c r="Q6" s="72" t="n">
        <f aca="false">INDEX(KMeans_Data!$I$5:$I$121,13)</f>
        <v>0.993675724638266</v>
      </c>
      <c r="R6" s="72" t="n">
        <f aca="false">INDEX(KMeans_Data!$I$5:$I$121,14)</f>
        <v>0.378684277529216</v>
      </c>
      <c r="S6" s="72" t="n">
        <f aca="false">INDEX(KMeans_Data!$I$5:$I$121,15)</f>
        <v>-0.146983133929529</v>
      </c>
      <c r="T6" s="72" t="n">
        <f aca="false">INDEX(KMeans_Data!$I$5:$I$121,16)</f>
        <v>0.993675724638266</v>
      </c>
      <c r="U6" s="72" t="n">
        <f aca="false">INDEX(KMeans_Data!$I$5:$I$121,17)</f>
        <v>0.378684277529216</v>
      </c>
      <c r="V6" s="72" t="n">
        <f aca="false">INDEX(KMeans_Data!$I$5:$I$121,18)</f>
        <v>1.38107452085777</v>
      </c>
      <c r="W6" s="72" t="n">
        <f aca="false">INDEX(KMeans_Data!$I$5:$I$121,19)</f>
        <v>1.38107452085777</v>
      </c>
      <c r="X6" s="72" t="n">
        <f aca="false">INDEX(KMeans_Data!$I$5:$I$121,20)</f>
        <v>0.803084449535714</v>
      </c>
      <c r="Y6" s="72" t="n">
        <f aca="false">INDEX(KMeans_Data!$I$5:$I$121,21)</f>
        <v>0.803084449535714</v>
      </c>
      <c r="Z6" s="72" t="n">
        <f aca="false">INDEX(KMeans_Data!$I$5:$I$121,22)</f>
        <v>0.803084449535714</v>
      </c>
      <c r="AA6" s="72" t="n">
        <f aca="false">INDEX(KMeans_Data!$I$5:$I$121,23)</f>
        <v>0.160512589624996</v>
      </c>
      <c r="AB6" s="72" t="n">
        <f aca="false">INDEX(KMeans_Data!$I$5:$I$121,24)</f>
        <v>0.547911385844501</v>
      </c>
      <c r="AC6" s="72" t="n">
        <f aca="false">INDEX(KMeans_Data!$I$5:$I$121,25)</f>
        <v>1.38107452085777</v>
      </c>
      <c r="AD6" s="72" t="n">
        <f aca="false">INDEX(KMeans_Data!$I$5:$I$121,26)</f>
        <v>0.803084449535714</v>
      </c>
      <c r="AE6" s="72" t="n">
        <f aca="false">INDEX(KMeans_Data!$I$5:$I$121,27)</f>
        <v>-0.146983133929529</v>
      </c>
      <c r="AF6" s="72" t="n">
        <f aca="false">INDEX(KMeans_Data!$I$5:$I$121,28)</f>
        <v>0.686180001083741</v>
      </c>
      <c r="AG6" s="72" t="n">
        <f aca="false">INDEX(KMeans_Data!$I$5:$I$121,29)</f>
        <v>-0.672650545388274</v>
      </c>
      <c r="AH6" s="72" t="n">
        <f aca="false">INDEX(KMeans_Data!$I$5:$I$121,30)</f>
        <v>0.160512589624996</v>
      </c>
      <c r="AI6" s="72" t="n">
        <f aca="false">INDEX(KMeans_Data!$I$5:$I$121,31)</f>
        <v>-0.672650545388274</v>
      </c>
      <c r="AJ6" s="72" t="n">
        <f aca="false">INDEX(KMeans_Data!$I$5:$I$121,32)</f>
        <v>0.547911385844501</v>
      </c>
      <c r="AK6" s="72" t="n">
        <f aca="false">INDEX(KMeans_Data!$I$5:$I$121,33)</f>
        <v>0.378684277529216</v>
      </c>
      <c r="AL6" s="72" t="n">
        <f aca="false">INDEX(KMeans_Data!$I$5:$I$121,34)</f>
        <v>-0.146983133929529</v>
      </c>
      <c r="AM6" s="72" t="n">
        <f aca="false">INDEX(KMeans_Data!$I$5:$I$121,35)</f>
        <v>1.38107452085777</v>
      </c>
      <c r="AN6" s="72" t="n">
        <f aca="false">INDEX(KMeans_Data!$I$5:$I$121,36)</f>
        <v>1.14585991869933</v>
      </c>
      <c r="AO6" s="72" t="n">
        <f aca="false">INDEX(KMeans_Data!$I$5:$I$121,37)</f>
        <v>0.378684277529216</v>
      </c>
      <c r="AP6" s="72" t="n">
        <f aca="false">INDEX(KMeans_Data!$I$5:$I$121,38)</f>
        <v>0.378684277529216</v>
      </c>
      <c r="AQ6" s="72" t="n">
        <f aca="false">INDEX(KMeans_Data!$I$5:$I$121,39)</f>
        <v>1.27255002250608</v>
      </c>
      <c r="AR6" s="72" t="n">
        <f aca="false">INDEX(KMeans_Data!$I$5:$I$121,40)</f>
        <v>0.160512589624996</v>
      </c>
      <c r="AS6" s="72" t="n">
        <f aca="false">INDEX(KMeans_Data!$I$5:$I$121,41)</f>
        <v>-0.672650545388274</v>
      </c>
      <c r="AT6" s="72" t="n">
        <f aca="false">INDEX(KMeans_Data!$I$5:$I$121,42)</f>
        <v>-0.146983133929529</v>
      </c>
      <c r="AU6" s="72" t="n">
        <f aca="false">INDEX(KMeans_Data!$I$5:$I$121,43)</f>
        <v>-0.146983133929529</v>
      </c>
      <c r="AV6" s="72" t="n">
        <f aca="false">INDEX(KMeans_Data!$I$5:$I$121,44)</f>
        <v>-0.672650545388274</v>
      </c>
      <c r="AW6" s="72" t="n">
        <f aca="false">INDEX(KMeans_Data!$I$5:$I$121,45)</f>
        <v>-0.672650545388274</v>
      </c>
      <c r="AX6" s="72" t="n">
        <f aca="false">INDEX(KMeans_Data!$I$5:$I$121,46)</f>
        <v>0.160512589624996</v>
      </c>
      <c r="AY6" s="72" t="n">
        <f aca="false">INDEX(KMeans_Data!$I$5:$I$121,47)</f>
        <v>-0.672650545388274</v>
      </c>
      <c r="AZ6" s="72" t="n">
        <f aca="false">INDEX(KMeans_Data!$I$5:$I$121,48)</f>
        <v>-0.672650545388274</v>
      </c>
      <c r="BA6" s="72" t="n">
        <f aca="false">INDEX(KMeans_Data!$I$5:$I$121,49)</f>
        <v>-0.146983133929529</v>
      </c>
      <c r="BB6" s="72" t="n">
        <f aca="false">INDEX(KMeans_Data!$I$5:$I$121,50)</f>
        <v>-0.672650545388274</v>
      </c>
      <c r="BC6" s="72" t="n">
        <f aca="false">INDEX(KMeans_Data!$I$5:$I$121,51)</f>
        <v>-0.672650545388274</v>
      </c>
      <c r="BD6" s="72" t="n">
        <f aca="false">INDEX(KMeans_Data!$I$5:$I$121,52)</f>
        <v>-0.672650545388274</v>
      </c>
      <c r="BE6" s="72" t="n">
        <f aca="false">INDEX(KMeans_Data!$I$5:$I$121,53)</f>
        <v>-0.672650545388274</v>
      </c>
      <c r="BF6" s="72" t="n">
        <f aca="false">INDEX(KMeans_Data!$I$5:$I$121,54)</f>
        <v>1.38107452085777</v>
      </c>
      <c r="BG6" s="72" t="n">
        <f aca="false">INDEX(KMeans_Data!$I$5:$I$121,55)</f>
        <v>-0.146983133929529</v>
      </c>
      <c r="BH6" s="72" t="n">
        <f aca="false">INDEX(KMeans_Data!$I$5:$I$121,56)</f>
        <v>-0.672650545388274</v>
      </c>
      <c r="BI6" s="72" t="n">
        <f aca="false">INDEX(KMeans_Data!$I$5:$I$121,57)</f>
        <v>-0.672650545388274</v>
      </c>
      <c r="BJ6" s="72" t="n">
        <f aca="false">INDEX(KMeans_Data!$I$5:$I$121,58)</f>
        <v>0.547911385844501</v>
      </c>
      <c r="BK6" s="72" t="n">
        <f aca="false">INDEX(KMeans_Data!$I$5:$I$121,59)</f>
        <v>-0.672650545388274</v>
      </c>
      <c r="BL6" s="72" t="n">
        <f aca="false">INDEX(KMeans_Data!$I$5:$I$121,60)</f>
        <v>-0.672650545388274</v>
      </c>
      <c r="BM6" s="72" t="n">
        <f aca="false">INDEX(KMeans_Data!$I$5:$I$121,61)</f>
        <v>0.547911385844501</v>
      </c>
      <c r="BN6" s="72" t="n">
        <f aca="false">INDEX(KMeans_Data!$I$5:$I$121,62)</f>
        <v>0.160512589624996</v>
      </c>
      <c r="BO6" s="72" t="n">
        <f aca="false">INDEX(KMeans_Data!$I$5:$I$121,63)</f>
        <v>-0.672650545388274</v>
      </c>
      <c r="BP6" s="72" t="n">
        <f aca="false">INDEX(KMeans_Data!$I$5:$I$121,64)</f>
        <v>0.160512589624996</v>
      </c>
      <c r="BQ6" s="72" t="n">
        <f aca="false">INDEX(KMeans_Data!$I$5:$I$121,65)</f>
        <v>-0.146983133929529</v>
      </c>
      <c r="BR6" s="72" t="n">
        <f aca="false">INDEX(KMeans_Data!$I$5:$I$121,66)</f>
        <v>-0.146983133929529</v>
      </c>
      <c r="BS6" s="72" t="n">
        <f aca="false">INDEX(KMeans_Data!$I$5:$I$121,67)</f>
        <v>-0.672650545388274</v>
      </c>
      <c r="BT6" s="72" t="n">
        <f aca="false">INDEX(KMeans_Data!$I$5:$I$121,68)</f>
        <v>-0.672650545388274</v>
      </c>
      <c r="BU6" s="72" t="n">
        <f aca="false">INDEX(KMeans_Data!$I$5:$I$121,69)</f>
        <v>-0.672650545388274</v>
      </c>
      <c r="BV6" s="72" t="n">
        <f aca="false">INDEX(KMeans_Data!$I$5:$I$121,70)</f>
        <v>-0.672650545388274</v>
      </c>
      <c r="BW6" s="72" t="n">
        <f aca="false">INDEX(KMeans_Data!$I$5:$I$121,71)</f>
        <v>-0.672650545388274</v>
      </c>
      <c r="BX6" s="72" t="n">
        <f aca="false">INDEX(KMeans_Data!$I$5:$I$121,72)</f>
        <v>-0.672650545388274</v>
      </c>
      <c r="BY6" s="72" t="n">
        <f aca="false">INDEX(KMeans_Data!$I$5:$I$121,73)</f>
        <v>-0.672650545388274</v>
      </c>
      <c r="BZ6" s="72" t="n">
        <f aca="false">INDEX(KMeans_Data!$I$5:$I$121,74)</f>
        <v>-0.672650545388274</v>
      </c>
      <c r="CA6" s="72" t="n">
        <f aca="false">INDEX(KMeans_Data!$I$5:$I$121,75)</f>
        <v>-0.672650545388274</v>
      </c>
      <c r="CB6" s="72" t="n">
        <f aca="false">INDEX(KMeans_Data!$I$5:$I$121,76)</f>
        <v>-0.672650545388274</v>
      </c>
      <c r="CC6" s="72" t="n">
        <f aca="false">INDEX(KMeans_Data!$I$5:$I$121,77)</f>
        <v>-0.672650545388274</v>
      </c>
      <c r="CD6" s="72" t="n">
        <f aca="false">INDEX(KMeans_Data!$I$5:$I$121,78)</f>
        <v>-0.672650545388274</v>
      </c>
      <c r="CE6" s="72" t="n">
        <f aca="false">INDEX(KMeans_Data!$I$5:$I$121,79)</f>
        <v>-0.672650545388274</v>
      </c>
      <c r="CF6" s="72" t="n">
        <f aca="false">INDEX(KMeans_Data!$I$5:$I$121,80)</f>
        <v>-0.146983133929529</v>
      </c>
      <c r="CG6" s="72" t="n">
        <f aca="false">INDEX(KMeans_Data!$I$5:$I$121,81)</f>
        <v>-0.146983133929529</v>
      </c>
      <c r="CH6" s="72" t="n">
        <f aca="false">INDEX(KMeans_Data!$I$5:$I$121,82)</f>
        <v>-0.672650545388274</v>
      </c>
      <c r="CI6" s="72" t="n">
        <f aca="false">INDEX(KMeans_Data!$I$5:$I$121,83)</f>
        <v>-0.672650545388274</v>
      </c>
      <c r="CJ6" s="72" t="n">
        <f aca="false">INDEX(KMeans_Data!$I$5:$I$121,84)</f>
        <v>-0.672650545388274</v>
      </c>
      <c r="CK6" s="72" t="n">
        <f aca="false">INDEX(KMeans_Data!$I$5:$I$121,85)</f>
        <v>-0.672650545388274</v>
      </c>
      <c r="CL6" s="72" t="n">
        <f aca="false">INDEX(KMeans_Data!$I$5:$I$121,86)</f>
        <v>-0.672650545388274</v>
      </c>
      <c r="CM6" s="72" t="n">
        <f aca="false">INDEX(KMeans_Data!$I$5:$I$121,87)</f>
        <v>-0.672650545388274</v>
      </c>
      <c r="CN6" s="72" t="n">
        <f aca="false">INDEX(KMeans_Data!$I$5:$I$121,88)</f>
        <v>-0.146983133929529</v>
      </c>
      <c r="CO6" s="72" t="n">
        <f aca="false">INDEX(KMeans_Data!$I$5:$I$121,89)</f>
        <v>-0.146983133929529</v>
      </c>
      <c r="CP6" s="72" t="n">
        <f aca="false">INDEX(KMeans_Data!$I$5:$I$121,90)</f>
        <v>-0.672650545388274</v>
      </c>
      <c r="CQ6" s="72" t="n">
        <f aca="false">INDEX(KMeans_Data!$I$5:$I$121,91)</f>
        <v>-0.672650545388274</v>
      </c>
      <c r="CR6" s="72" t="n">
        <f aca="false">INDEX(KMeans_Data!$I$5:$I$121,92)</f>
        <v>-0.672650545388274</v>
      </c>
      <c r="CS6" s="72" t="n">
        <f aca="false">INDEX(KMeans_Data!$I$5:$I$121,93)</f>
        <v>-0.672650545388274</v>
      </c>
      <c r="CT6" s="72" t="n">
        <f aca="false">INDEX(KMeans_Data!$I$5:$I$121,94)</f>
        <v>-0.672650545388274</v>
      </c>
      <c r="CU6" s="72" t="n">
        <f aca="false">INDEX(KMeans_Data!$I$5:$I$121,95)</f>
        <v>-0.146983133929529</v>
      </c>
      <c r="CV6" s="72" t="n">
        <f aca="false">INDEX(KMeans_Data!$I$5:$I$121,96)</f>
        <v>-0.672650545388274</v>
      </c>
      <c r="CW6" s="72" t="n">
        <f aca="false">INDEX(KMeans_Data!$I$5:$I$121,97)</f>
        <v>-0.672650545388274</v>
      </c>
      <c r="CX6" s="72" t="n">
        <f aca="false">INDEX(KMeans_Data!$I$5:$I$121,98)</f>
        <v>-0.672650545388274</v>
      </c>
      <c r="CY6" s="72" t="n">
        <f aca="false">INDEX(KMeans_Data!$I$5:$I$121,99)</f>
        <v>-0.672650545388274</v>
      </c>
      <c r="CZ6" s="72" t="n">
        <f aca="false">INDEX(KMeans_Data!$I$5:$I$121,100)</f>
        <v>-0.672650545388274</v>
      </c>
      <c r="DA6" s="72" t="n">
        <f aca="false">INDEX(KMeans_Data!$I$5:$I$121,101)</f>
        <v>-0.672650545388274</v>
      </c>
      <c r="DB6" s="72" t="n">
        <f aca="false">INDEX(KMeans_Data!$I$5:$I$121,102)</f>
        <v>-0.672650545388274</v>
      </c>
      <c r="DC6" s="72" t="n">
        <f aca="false">INDEX(KMeans_Data!$I$5:$I$121,103)</f>
        <v>-0.672650545388274</v>
      </c>
      <c r="DD6" s="72" t="n">
        <f aca="false">INDEX(KMeans_Data!$I$5:$I$121,104)</f>
        <v>-0.672650545388274</v>
      </c>
      <c r="DE6" s="72" t="n">
        <f aca="false">INDEX(KMeans_Data!$I$5:$I$121,105)</f>
        <v>-0.672650545388274</v>
      </c>
      <c r="DF6" s="72" t="n">
        <f aca="false">INDEX(KMeans_Data!$I$5:$I$121,106)</f>
        <v>-0.672650545388274</v>
      </c>
      <c r="DG6" s="72" t="n">
        <f aca="false">INDEX(KMeans_Data!$I$5:$I$121,107)</f>
        <v>-0.672650545388274</v>
      </c>
      <c r="DH6" s="72" t="n">
        <f aca="false">INDEX(KMeans_Data!$I$5:$I$121,108)</f>
        <v>-0.672650545388274</v>
      </c>
      <c r="DI6" s="72" t="n">
        <f aca="false">INDEX(KMeans_Data!$I$5:$I$121,109)</f>
        <v>-0.672650545388274</v>
      </c>
      <c r="DJ6" s="72" t="n">
        <f aca="false">INDEX(KMeans_Data!$I$5:$I$121,110)</f>
        <v>-0.672650545388274</v>
      </c>
      <c r="DK6" s="72" t="n">
        <f aca="false">INDEX(KMeans_Data!$I$5:$I$121,111)</f>
        <v>-0.672650545388274</v>
      </c>
      <c r="DL6" s="72" t="n">
        <f aca="false">INDEX(KMeans_Data!$I$5:$I$121,112)</f>
        <v>-0.672650545388274</v>
      </c>
      <c r="DM6" s="72" t="n">
        <f aca="false">INDEX(KMeans_Data!$I$5:$I$121,113)</f>
        <v>-0.672650545388274</v>
      </c>
      <c r="DN6" s="72" t="n">
        <f aca="false">INDEX(KMeans_Data!$I$5:$I$121,114)</f>
        <v>-0.672650545388274</v>
      </c>
      <c r="DO6" s="72" t="n">
        <f aca="false">INDEX(KMeans_Data!$I$5:$I$121,115)</f>
        <v>-0.672650545388274</v>
      </c>
      <c r="DP6" s="72" t="n">
        <f aca="false">INDEX(KMeans_Data!$I$5:$I$121,116)</f>
        <v>-0.672650545388274</v>
      </c>
      <c r="DQ6" s="72" t="n">
        <f aca="false">INDEX(KMeans_Data!$I$5:$I$121,117)</f>
        <v>-0.672650545388274</v>
      </c>
    </row>
    <row r="7" customFormat="false" ht="15" hidden="false" customHeight="false" outlineLevel="0" collapsed="false">
      <c r="A7" s="40" t="s">
        <v>703</v>
      </c>
      <c r="E7" s="72" t="n">
        <f aca="false">INDEX(KMeans_Data!$J$5:$J$121,1)</f>
        <v>3.25271285960204</v>
      </c>
      <c r="F7" s="72" t="n">
        <f aca="false">INDEX(KMeans_Data!$J$5:$J$121,2)</f>
        <v>2.68051289882026</v>
      </c>
      <c r="G7" s="72" t="n">
        <f aca="false">INDEX(KMeans_Data!$J$5:$J$121,3)</f>
        <v>2.37235556681649</v>
      </c>
      <c r="H7" s="72" t="n">
        <f aca="false">INDEX(KMeans_Data!$J$5:$J$121,4)</f>
        <v>1.6399224296702</v>
      </c>
      <c r="I7" s="72" t="n">
        <f aca="false">INDEX(KMeans_Data!$J$5:$J$121,5)</f>
        <v>1.69651676359603</v>
      </c>
      <c r="J7" s="72" t="n">
        <f aca="false">INDEX(KMeans_Data!$J$5:$J$121,6)</f>
        <v>1.44343610510691</v>
      </c>
      <c r="K7" s="72" t="n">
        <f aca="false">INDEX(KMeans_Data!$J$5:$J$121,7)</f>
        <v>-0.824446015898766</v>
      </c>
      <c r="L7" s="72" t="n">
        <f aca="false">INDEX(KMeans_Data!$J$5:$J$121,8)</f>
        <v>1.72384035190912</v>
      </c>
      <c r="M7" s="72" t="n">
        <f aca="false">INDEX(KMeans_Data!$J$5:$J$121,9)</f>
        <v>1.69551048544459</v>
      </c>
      <c r="N7" s="72" t="n">
        <f aca="false">INDEX(KMeans_Data!$J$5:$J$121,10)</f>
        <v>-0.824446015898766</v>
      </c>
      <c r="O7" s="72" t="n">
        <f aca="false">INDEX(KMeans_Data!$J$5:$J$121,11)</f>
        <v>0.988349871383994</v>
      </c>
      <c r="P7" s="72" t="n">
        <f aca="false">INDEX(KMeans_Data!$J$5:$J$121,12)</f>
        <v>1.16687696458076</v>
      </c>
      <c r="Q7" s="72" t="n">
        <f aca="false">INDEX(KMeans_Data!$J$5:$J$121,13)</f>
        <v>1.0804955511041</v>
      </c>
      <c r="R7" s="72" t="n">
        <f aca="false">INDEX(KMeans_Data!$J$5:$J$121,14)</f>
        <v>1.47040463995458</v>
      </c>
      <c r="S7" s="72" t="n">
        <f aca="false">INDEX(KMeans_Data!$J$5:$J$121,15)</f>
        <v>1.16687696458076</v>
      </c>
      <c r="T7" s="72" t="n">
        <f aca="false">INDEX(KMeans_Data!$J$5:$J$121,16)</f>
        <v>0.997526228800629</v>
      </c>
      <c r="U7" s="72" t="n">
        <f aca="false">INDEX(KMeans_Data!$J$5:$J$121,17)</f>
        <v>1.58320837987195</v>
      </c>
      <c r="V7" s="72" t="n">
        <f aca="false">INDEX(KMeans_Data!$J$5:$J$121,18)</f>
        <v>0.618328666074444</v>
      </c>
      <c r="W7" s="72" t="n">
        <f aca="false">INDEX(KMeans_Data!$J$5:$J$121,19)</f>
        <v>0.934349160614903</v>
      </c>
      <c r="X7" s="72" t="n">
        <f aca="false">INDEX(KMeans_Data!$J$5:$J$121,20)</f>
        <v>1.03670935350208</v>
      </c>
      <c r="Y7" s="72" t="n">
        <f aca="false">INDEX(KMeans_Data!$J$5:$J$121,21)</f>
        <v>1.26838439516132</v>
      </c>
      <c r="Z7" s="72" t="n">
        <f aca="false">INDEX(KMeans_Data!$J$5:$J$121,22)</f>
        <v>0.618328666074444</v>
      </c>
      <c r="AA7" s="72" t="n">
        <f aca="false">INDEX(KMeans_Data!$J$5:$J$121,23)</f>
        <v>0.959677371956339</v>
      </c>
      <c r="AB7" s="72" t="n">
        <f aca="false">INDEX(KMeans_Data!$J$5:$J$121,24)</f>
        <v>0.667151770949206</v>
      </c>
      <c r="AC7" s="72" t="n">
        <f aca="false">INDEX(KMeans_Data!$J$5:$J$121,25)</f>
        <v>0.727869076261203</v>
      </c>
      <c r="AD7" s="72" t="n">
        <f aca="false">INDEX(KMeans_Data!$J$5:$J$121,26)</f>
        <v>1.27840404836418</v>
      </c>
      <c r="AE7" s="72" t="n">
        <f aca="false">INDEX(KMeans_Data!$J$5:$J$121,27)</f>
        <v>-1.14564411633355</v>
      </c>
      <c r="AF7" s="72" t="n">
        <f aca="false">INDEX(KMeans_Data!$J$5:$J$121,28)</f>
        <v>0.8732151368336</v>
      </c>
      <c r="AG7" s="72" t="n">
        <f aca="false">INDEX(KMeans_Data!$J$5:$J$121,29)</f>
        <v>-0.399845222909568</v>
      </c>
      <c r="AH7" s="72" t="n">
        <f aca="false">INDEX(KMeans_Data!$J$5:$J$121,30)</f>
        <v>0.781544486275172</v>
      </c>
      <c r="AI7" s="72" t="n">
        <f aca="false">INDEX(KMeans_Data!$J$5:$J$121,31)</f>
        <v>-0.399845222909568</v>
      </c>
      <c r="AJ7" s="72" t="n">
        <f aca="false">INDEX(KMeans_Data!$J$5:$J$121,32)</f>
        <v>1.11347799131462</v>
      </c>
      <c r="AK7" s="72" t="n">
        <f aca="false">INDEX(KMeans_Data!$J$5:$J$121,33)</f>
        <v>0.286716848591577</v>
      </c>
      <c r="AL7" s="72" t="n">
        <f aca="false">INDEX(KMeans_Data!$J$5:$J$121,34)</f>
        <v>0.552017036398812</v>
      </c>
      <c r="AM7" s="72" t="n">
        <f aca="false">INDEX(KMeans_Data!$J$5:$J$121,35)</f>
        <v>0.307315391151031</v>
      </c>
      <c r="AN7" s="72" t="n">
        <f aca="false">INDEX(KMeans_Data!$J$5:$J$121,36)</f>
        <v>0.719667253181963</v>
      </c>
      <c r="AO7" s="72" t="n">
        <f aca="false">INDEX(KMeans_Data!$J$5:$J$121,37)</f>
        <v>0.539980232203984</v>
      </c>
      <c r="AP7" s="72" t="n">
        <f aca="false">INDEX(KMeans_Data!$J$5:$J$121,38)</f>
        <v>0.460346385840384</v>
      </c>
      <c r="AQ7" s="72" t="n">
        <f aca="false">INDEX(KMeans_Data!$J$5:$J$121,39)</f>
        <v>0.628513491585819</v>
      </c>
      <c r="AR7" s="72" t="n">
        <f aca="false">INDEX(KMeans_Data!$J$5:$J$121,40)</f>
        <v>-0.0786471224747799</v>
      </c>
      <c r="AS7" s="72" t="n">
        <f aca="false">INDEX(KMeans_Data!$J$5:$J$121,41)</f>
        <v>1.01095878979359</v>
      </c>
      <c r="AT7" s="72" t="n">
        <f aca="false">INDEX(KMeans_Data!$J$5:$J$121,42)</f>
        <v>0.774246840861612</v>
      </c>
      <c r="AU7" s="72" t="n">
        <f aca="false">INDEX(KMeans_Data!$J$5:$J$121,43)</f>
        <v>-0.636557171841548</v>
      </c>
      <c r="AV7" s="72" t="n">
        <f aca="false">INDEX(KMeans_Data!$J$5:$J$121,44)</f>
        <v>0.514925973520034</v>
      </c>
      <c r="AW7" s="72" t="n">
        <f aca="false">INDEX(KMeans_Data!$J$5:$J$121,45)</f>
        <v>-0.824446015898766</v>
      </c>
      <c r="AX7" s="72" t="n">
        <f aca="false">INDEX(KMeans_Data!$J$5:$J$121,46)</f>
        <v>0.381616717142464</v>
      </c>
      <c r="AY7" s="72" t="n">
        <f aca="false">INDEX(KMeans_Data!$J$5:$J$121,47)</f>
        <v>-1.14564411633355</v>
      </c>
      <c r="AZ7" s="72" t="n">
        <f aca="false">INDEX(KMeans_Data!$J$5:$J$121,48)</f>
        <v>1.03251574201556</v>
      </c>
      <c r="BA7" s="72" t="n">
        <f aca="false">INDEX(KMeans_Data!$J$5:$J$121,49)</f>
        <v>0.795803793083582</v>
      </c>
      <c r="BB7" s="72" t="n">
        <f aca="false">INDEX(KMeans_Data!$J$5:$J$121,50)</f>
        <v>-1.14564411633355</v>
      </c>
      <c r="BC7" s="72" t="n">
        <f aca="false">INDEX(KMeans_Data!$J$5:$J$121,51)</f>
        <v>-1.14564411633355</v>
      </c>
      <c r="BD7" s="72" t="n">
        <f aca="false">INDEX(KMeans_Data!$J$5:$J$121,52)</f>
        <v>-0.503247915463979</v>
      </c>
      <c r="BE7" s="72" t="n">
        <f aca="false">INDEX(KMeans_Data!$J$5:$J$121,53)</f>
        <v>-0.2439270481224</v>
      </c>
      <c r="BF7" s="72" t="n">
        <f aca="false">INDEX(KMeans_Data!$J$5:$J$121,54)</f>
        <v>0.774246840861612</v>
      </c>
      <c r="BG7" s="72" t="n">
        <f aca="false">INDEX(KMeans_Data!$J$5:$J$121,55)</f>
        <v>0.618328666074444</v>
      </c>
      <c r="BH7" s="72" t="n">
        <f aca="false">INDEX(KMeans_Data!$J$5:$J$121,56)</f>
        <v>-1.14564411633355</v>
      </c>
      <c r="BI7" s="72" t="n">
        <f aca="false">INDEX(KMeans_Data!$J$5:$J$121,57)</f>
        <v>-1.14564411633355</v>
      </c>
      <c r="BJ7" s="72" t="n">
        <f aca="false">INDEX(KMeans_Data!$J$5:$J$121,58)</f>
        <v>0.00583902902802759</v>
      </c>
      <c r="BK7" s="72" t="n">
        <f aca="false">INDEX(KMeans_Data!$J$5:$J$121,59)</f>
        <v>-0.399845222909568</v>
      </c>
      <c r="BL7" s="72" t="n">
        <f aca="false">INDEX(KMeans_Data!$J$5:$J$121,60)</f>
        <v>0.364128192341594</v>
      </c>
      <c r="BM7" s="72" t="n">
        <f aca="false">INDEX(KMeans_Data!$J$5:$J$121,61)</f>
        <v>0.501871845301586</v>
      </c>
      <c r="BN7" s="72" t="n">
        <f aca="false">INDEX(KMeans_Data!$J$5:$J$121,62)</f>
        <v>0.042930091906806</v>
      </c>
      <c r="BO7" s="72" t="n">
        <f aca="false">INDEX(KMeans_Data!$J$5:$J$121,63)</f>
        <v>-0.824446015898766</v>
      </c>
      <c r="BP7" s="72" t="n">
        <f aca="false">INDEX(KMeans_Data!$J$5:$J$121,64)</f>
        <v>0.265159896369606</v>
      </c>
      <c r="BQ7" s="72" t="n">
        <f aca="false">INDEX(KMeans_Data!$J$5:$J$121,65)</f>
        <v>0.381616717142464</v>
      </c>
      <c r="BR7" s="72" t="n">
        <f aca="false">INDEX(KMeans_Data!$J$5:$J$121,66)</f>
        <v>0.430439822017226</v>
      </c>
      <c r="BS7" s="72" t="n">
        <f aca="false">INDEX(KMeans_Data!$J$5:$J$121,67)</f>
        <v>0.597261815332999</v>
      </c>
      <c r="BT7" s="72" t="n">
        <f aca="false">INDEX(KMeans_Data!$J$5:$J$121,68)</f>
        <v>0.193727873085246</v>
      </c>
      <c r="BU7" s="72" t="n">
        <f aca="false">INDEX(KMeans_Data!$J$5:$J$121,69)</f>
        <v>0.109241721582438</v>
      </c>
      <c r="BV7" s="72" t="n">
        <f aca="false">INDEX(KMeans_Data!$J$5:$J$121,70)</f>
        <v>-1.14564411633355</v>
      </c>
      <c r="BW7" s="72" t="n">
        <f aca="false">INDEX(KMeans_Data!$J$5:$J$121,71)</f>
        <v>0.286716848591577</v>
      </c>
      <c r="BX7" s="72" t="n">
        <f aca="false">INDEX(KMeans_Data!$J$5:$J$121,72)</f>
        <v>-1.14564411633355</v>
      </c>
      <c r="BY7" s="72" t="n">
        <f aca="false">INDEX(KMeans_Data!$J$5:$J$121,73)</f>
        <v>-0.182049815029191</v>
      </c>
      <c r="BZ7" s="72" t="n">
        <f aca="false">INDEX(KMeans_Data!$J$5:$J$121,74)</f>
        <v>-0.2439270481224</v>
      </c>
      <c r="CA7" s="72" t="n">
        <f aca="false">INDEX(KMeans_Data!$J$5:$J$121,75)</f>
        <v>-1.14564411633355</v>
      </c>
      <c r="CB7" s="72" t="n">
        <f aca="false">INDEX(KMeans_Data!$J$5:$J$121,76)</f>
        <v>-0.2439270481224</v>
      </c>
      <c r="CC7" s="72" t="n">
        <f aca="false">INDEX(KMeans_Data!$J$5:$J$121,77)</f>
        <v>-1.14564411633355</v>
      </c>
      <c r="CD7" s="72" t="n">
        <f aca="false">INDEX(KMeans_Data!$J$5:$J$121,78)</f>
        <v>-1.14564411633355</v>
      </c>
      <c r="CE7" s="72" t="n">
        <f aca="false">INDEX(KMeans_Data!$J$5:$J$121,79)</f>
        <v>0.042930091906806</v>
      </c>
      <c r="CF7" s="72" t="n">
        <f aca="false">INDEX(KMeans_Data!$J$5:$J$121,80)</f>
        <v>0.139148285405597</v>
      </c>
      <c r="CG7" s="72" t="n">
        <f aca="false">INDEX(KMeans_Data!$J$5:$J$121,81)</f>
        <v>-0.399845222909568</v>
      </c>
      <c r="CH7" s="72" t="n">
        <f aca="false">INDEX(KMeans_Data!$J$5:$J$121,82)</f>
        <v>-0.399845222909568</v>
      </c>
      <c r="CI7" s="72" t="n">
        <f aca="false">INDEX(KMeans_Data!$J$5:$J$121,83)</f>
        <v>-0.503247915463979</v>
      </c>
      <c r="CJ7" s="72" t="n">
        <f aca="false">INDEX(KMeans_Data!$J$5:$J$121,84)</f>
        <v>-0.824446015898766</v>
      </c>
      <c r="CK7" s="72" t="n">
        <f aca="false">INDEX(KMeans_Data!$J$5:$J$121,85)</f>
        <v>-0.0344812518432112</v>
      </c>
      <c r="CL7" s="72" t="n">
        <f aca="false">INDEX(KMeans_Data!$J$5:$J$121,86)</f>
        <v>-1.14564411633355</v>
      </c>
      <c r="CM7" s="72" t="n">
        <f aca="false">INDEX(KMeans_Data!$J$5:$J$121,87)</f>
        <v>-0.31535907140676</v>
      </c>
      <c r="CN7" s="72" t="n">
        <f aca="false">INDEX(KMeans_Data!$J$5:$J$121,88)</f>
        <v>0.628513491585819</v>
      </c>
      <c r="CO7" s="72" t="n">
        <f aca="false">INDEX(KMeans_Data!$J$5:$J$121,89)</f>
        <v>-0.182049815029191</v>
      </c>
      <c r="CP7" s="72" t="n">
        <f aca="false">INDEX(KMeans_Data!$J$5:$J$121,90)</f>
        <v>-1.14564411633355</v>
      </c>
      <c r="CQ7" s="72" t="n">
        <f aca="false">INDEX(KMeans_Data!$J$5:$J$121,91)</f>
        <v>-0.399845222909568</v>
      </c>
      <c r="CR7" s="72" t="n">
        <f aca="false">INDEX(KMeans_Data!$J$5:$J$121,92)</f>
        <v>-0.31535907140676</v>
      </c>
      <c r="CS7" s="72" t="n">
        <f aca="false">INDEX(KMeans_Data!$J$5:$J$121,93)</f>
        <v>-1.14564411633355</v>
      </c>
      <c r="CT7" s="72" t="n">
        <f aca="false">INDEX(KMeans_Data!$J$5:$J$121,94)</f>
        <v>-1.14564411633355</v>
      </c>
      <c r="CU7" s="72" t="n">
        <f aca="false">INDEX(KMeans_Data!$J$5:$J$121,95)</f>
        <v>-0.824446015898766</v>
      </c>
      <c r="CV7" s="72" t="n">
        <f aca="false">INDEX(KMeans_Data!$J$5:$J$121,96)</f>
        <v>0.265159896369606</v>
      </c>
      <c r="CW7" s="72" t="n">
        <f aca="false">INDEX(KMeans_Data!$J$5:$J$121,97)</f>
        <v>-1.14564411633355</v>
      </c>
      <c r="CX7" s="72" t="n">
        <f aca="false">INDEX(KMeans_Data!$J$5:$J$121,98)</f>
        <v>-0.0344812518432112</v>
      </c>
      <c r="CY7" s="72" t="n">
        <f aca="false">INDEX(KMeans_Data!$J$5:$J$121,99)</f>
        <v>-1.14564411633355</v>
      </c>
      <c r="CZ7" s="72" t="n">
        <f aca="false">INDEX(KMeans_Data!$J$5:$J$121,100)</f>
        <v>-1.14564411633355</v>
      </c>
      <c r="DA7" s="72" t="n">
        <f aca="false">INDEX(KMeans_Data!$J$5:$J$121,101)</f>
        <v>-0.503247915463979</v>
      </c>
      <c r="DB7" s="72" t="n">
        <f aca="false">INDEX(KMeans_Data!$J$5:$J$121,102)</f>
        <v>-1.14564411633355</v>
      </c>
      <c r="DC7" s="72" t="n">
        <f aca="false">INDEX(KMeans_Data!$J$5:$J$121,103)</f>
        <v>-1.14564411633355</v>
      </c>
      <c r="DD7" s="72" t="n">
        <f aca="false">INDEX(KMeans_Data!$J$5:$J$121,104)</f>
        <v>-0.636557171841548</v>
      </c>
      <c r="DE7" s="72" t="n">
        <f aca="false">INDEX(KMeans_Data!$J$5:$J$121,105)</f>
        <v>-0.824446015898766</v>
      </c>
      <c r="DF7" s="72" t="n">
        <f aca="false">INDEX(KMeans_Data!$J$5:$J$121,106)</f>
        <v>-1.14564411633355</v>
      </c>
      <c r="DG7" s="72" t="n">
        <f aca="false">INDEX(KMeans_Data!$J$5:$J$121,107)</f>
        <v>-1.14564411633355</v>
      </c>
      <c r="DH7" s="72" t="n">
        <f aca="false">INDEX(KMeans_Data!$J$5:$J$121,108)</f>
        <v>-1.14564411633355</v>
      </c>
      <c r="DI7" s="72" t="n">
        <f aca="false">INDEX(KMeans_Data!$J$5:$J$121,109)</f>
        <v>-1.14564411633355</v>
      </c>
      <c r="DJ7" s="72" t="n">
        <f aca="false">INDEX(KMeans_Data!$J$5:$J$121,110)</f>
        <v>-1.14564411633355</v>
      </c>
      <c r="DK7" s="72" t="n">
        <f aca="false">INDEX(KMeans_Data!$J$5:$J$121,111)</f>
        <v>-1.14564411633355</v>
      </c>
      <c r="DL7" s="72" t="n">
        <f aca="false">INDEX(KMeans_Data!$J$5:$J$121,112)</f>
        <v>-1.14564411633355</v>
      </c>
      <c r="DM7" s="72" t="n">
        <f aca="false">INDEX(KMeans_Data!$J$5:$J$121,113)</f>
        <v>-1.14564411633355</v>
      </c>
      <c r="DN7" s="72" t="n">
        <f aca="false">INDEX(KMeans_Data!$J$5:$J$121,114)</f>
        <v>-1.14564411633355</v>
      </c>
      <c r="DO7" s="72" t="n">
        <f aca="false">INDEX(KMeans_Data!$J$5:$J$121,115)</f>
        <v>-1.14564411633355</v>
      </c>
      <c r="DP7" s="72" t="n">
        <f aca="false">INDEX(KMeans_Data!$J$5:$J$121,116)</f>
        <v>-1.14564411633355</v>
      </c>
      <c r="DQ7" s="72" t="n">
        <f aca="false">INDEX(KMeans_Data!$J$5:$J$121,117)</f>
        <v>-1.14564411633355</v>
      </c>
    </row>
    <row r="8" customFormat="false" ht="15" hidden="false" customHeight="false" outlineLevel="0" collapsed="false">
      <c r="A8" s="40" t="s">
        <v>768</v>
      </c>
      <c r="E8" s="73" t="n">
        <f aca="false">INDEX(Elbow_Engine!$E$15:$E$131,1)</f>
        <v>1</v>
      </c>
      <c r="F8" s="73" t="n">
        <f aca="false">INDEX(Elbow_Engine!$E$15:$E$131,2)</f>
        <v>1</v>
      </c>
      <c r="G8" s="73" t="n">
        <f aca="false">INDEX(Elbow_Engine!$E$15:$E$131,3)</f>
        <v>1</v>
      </c>
      <c r="H8" s="73" t="n">
        <f aca="false">INDEX(Elbow_Engine!$E$15:$E$131,4)</f>
        <v>1</v>
      </c>
      <c r="I8" s="73" t="n">
        <f aca="false">INDEX(Elbow_Engine!$E$15:$E$131,5)</f>
        <v>1</v>
      </c>
      <c r="J8" s="73" t="n">
        <f aca="false">INDEX(Elbow_Engine!$E$15:$E$131,6)</f>
        <v>1</v>
      </c>
      <c r="K8" s="73" t="n">
        <f aca="false">INDEX(Elbow_Engine!$E$15:$E$131,7)</f>
        <v>2</v>
      </c>
      <c r="L8" s="73" t="n">
        <f aca="false">INDEX(Elbow_Engine!$E$15:$E$131,8)</f>
        <v>1</v>
      </c>
      <c r="M8" s="73" t="n">
        <f aca="false">INDEX(Elbow_Engine!$E$15:$E$131,9)</f>
        <v>1</v>
      </c>
      <c r="N8" s="73" t="n">
        <f aca="false">INDEX(Elbow_Engine!$E$15:$E$131,10)</f>
        <v>2</v>
      </c>
      <c r="O8" s="73" t="n">
        <f aca="false">INDEX(Elbow_Engine!$E$15:$E$131,11)</f>
        <v>1</v>
      </c>
      <c r="P8" s="73" t="n">
        <f aca="false">INDEX(Elbow_Engine!$E$15:$E$131,12)</f>
        <v>1</v>
      </c>
      <c r="Q8" s="73" t="n">
        <f aca="false">INDEX(Elbow_Engine!$E$15:$E$131,13)</f>
        <v>1</v>
      </c>
      <c r="R8" s="73" t="n">
        <f aca="false">INDEX(Elbow_Engine!$E$15:$E$131,14)</f>
        <v>1</v>
      </c>
      <c r="S8" s="73" t="n">
        <f aca="false">INDEX(Elbow_Engine!$E$15:$E$131,15)</f>
        <v>1</v>
      </c>
      <c r="T8" s="73" t="n">
        <f aca="false">INDEX(Elbow_Engine!$E$15:$E$131,16)</f>
        <v>1</v>
      </c>
      <c r="U8" s="73" t="n">
        <f aca="false">INDEX(Elbow_Engine!$E$15:$E$131,17)</f>
        <v>1</v>
      </c>
      <c r="V8" s="73" t="n">
        <f aca="false">INDEX(Elbow_Engine!$E$15:$E$131,18)</f>
        <v>1</v>
      </c>
      <c r="W8" s="73" t="n">
        <f aca="false">INDEX(Elbow_Engine!$E$15:$E$131,19)</f>
        <v>1</v>
      </c>
      <c r="X8" s="73" t="n">
        <f aca="false">INDEX(Elbow_Engine!$E$15:$E$131,20)</f>
        <v>1</v>
      </c>
      <c r="Y8" s="73" t="n">
        <f aca="false">INDEX(Elbow_Engine!$E$15:$E$131,21)</f>
        <v>1</v>
      </c>
      <c r="Z8" s="73" t="n">
        <f aca="false">INDEX(Elbow_Engine!$E$15:$E$131,22)</f>
        <v>1</v>
      </c>
      <c r="AA8" s="73" t="n">
        <f aca="false">INDEX(Elbow_Engine!$E$15:$E$131,23)</f>
        <v>1</v>
      </c>
      <c r="AB8" s="73" t="n">
        <f aca="false">INDEX(Elbow_Engine!$E$15:$E$131,24)</f>
        <v>1</v>
      </c>
      <c r="AC8" s="73" t="n">
        <f aca="false">INDEX(Elbow_Engine!$E$15:$E$131,25)</f>
        <v>1</v>
      </c>
      <c r="AD8" s="73" t="n">
        <f aca="false">INDEX(Elbow_Engine!$E$15:$E$131,26)</f>
        <v>1</v>
      </c>
      <c r="AE8" s="73" t="n">
        <f aca="false">INDEX(Elbow_Engine!$E$15:$E$131,27)</f>
        <v>2</v>
      </c>
      <c r="AF8" s="73" t="n">
        <f aca="false">INDEX(Elbow_Engine!$E$15:$E$131,28)</f>
        <v>1</v>
      </c>
      <c r="AG8" s="73" t="n">
        <f aca="false">INDEX(Elbow_Engine!$E$15:$E$131,29)</f>
        <v>2</v>
      </c>
      <c r="AH8" s="73" t="n">
        <f aca="false">INDEX(Elbow_Engine!$E$15:$E$131,30)</f>
        <v>1</v>
      </c>
      <c r="AI8" s="73" t="n">
        <f aca="false">INDEX(Elbow_Engine!$E$15:$E$131,31)</f>
        <v>2</v>
      </c>
      <c r="AJ8" s="73" t="n">
        <f aca="false">INDEX(Elbow_Engine!$E$15:$E$131,32)</f>
        <v>1</v>
      </c>
      <c r="AK8" s="73" t="n">
        <f aca="false">INDEX(Elbow_Engine!$E$15:$E$131,33)</f>
        <v>1</v>
      </c>
      <c r="AL8" s="73" t="n">
        <f aca="false">INDEX(Elbow_Engine!$E$15:$E$131,34)</f>
        <v>2</v>
      </c>
      <c r="AM8" s="73" t="n">
        <f aca="false">INDEX(Elbow_Engine!$E$15:$E$131,35)</f>
        <v>1</v>
      </c>
      <c r="AN8" s="73" t="n">
        <f aca="false">INDEX(Elbow_Engine!$E$15:$E$131,36)</f>
        <v>1</v>
      </c>
      <c r="AO8" s="73" t="n">
        <f aca="false">INDEX(Elbow_Engine!$E$15:$E$131,37)</f>
        <v>1</v>
      </c>
      <c r="AP8" s="73" t="n">
        <f aca="false">INDEX(Elbow_Engine!$E$15:$E$131,38)</f>
        <v>1</v>
      </c>
      <c r="AQ8" s="73" t="n">
        <f aca="false">INDEX(Elbow_Engine!$E$15:$E$131,39)</f>
        <v>1</v>
      </c>
      <c r="AR8" s="73" t="n">
        <f aca="false">INDEX(Elbow_Engine!$E$15:$E$131,40)</f>
        <v>2</v>
      </c>
      <c r="AS8" s="73" t="n">
        <f aca="false">INDEX(Elbow_Engine!$E$15:$E$131,41)</f>
        <v>2</v>
      </c>
      <c r="AT8" s="73" t="n">
        <f aca="false">INDEX(Elbow_Engine!$E$15:$E$131,42)</f>
        <v>2</v>
      </c>
      <c r="AU8" s="73" t="n">
        <f aca="false">INDEX(Elbow_Engine!$E$15:$E$131,43)</f>
        <v>2</v>
      </c>
      <c r="AV8" s="73" t="n">
        <f aca="false">INDEX(Elbow_Engine!$E$15:$E$131,44)</f>
        <v>2</v>
      </c>
      <c r="AW8" s="73" t="n">
        <f aca="false">INDEX(Elbow_Engine!$E$15:$E$131,45)</f>
        <v>2</v>
      </c>
      <c r="AX8" s="73" t="n">
        <f aca="false">INDEX(Elbow_Engine!$E$15:$E$131,46)</f>
        <v>2</v>
      </c>
      <c r="AY8" s="73" t="n">
        <f aca="false">INDEX(Elbow_Engine!$E$15:$E$131,47)</f>
        <v>2</v>
      </c>
      <c r="AZ8" s="73" t="n">
        <f aca="false">INDEX(Elbow_Engine!$E$15:$E$131,48)</f>
        <v>2</v>
      </c>
      <c r="BA8" s="73" t="n">
        <f aca="false">INDEX(Elbow_Engine!$E$15:$E$131,49)</f>
        <v>2</v>
      </c>
      <c r="BB8" s="73" t="n">
        <f aca="false">INDEX(Elbow_Engine!$E$15:$E$131,50)</f>
        <v>2</v>
      </c>
      <c r="BC8" s="73" t="n">
        <f aca="false">INDEX(Elbow_Engine!$E$15:$E$131,51)</f>
        <v>2</v>
      </c>
      <c r="BD8" s="73" t="n">
        <f aca="false">INDEX(Elbow_Engine!$E$15:$E$131,52)</f>
        <v>2</v>
      </c>
      <c r="BE8" s="73" t="n">
        <f aca="false">INDEX(Elbow_Engine!$E$15:$E$131,53)</f>
        <v>2</v>
      </c>
      <c r="BF8" s="73" t="n">
        <f aca="false">INDEX(Elbow_Engine!$E$15:$E$131,54)</f>
        <v>1</v>
      </c>
      <c r="BG8" s="73" t="n">
        <f aca="false">INDEX(Elbow_Engine!$E$15:$E$131,55)</f>
        <v>2</v>
      </c>
      <c r="BH8" s="73" t="n">
        <f aca="false">INDEX(Elbow_Engine!$E$15:$E$131,56)</f>
        <v>2</v>
      </c>
      <c r="BI8" s="73" t="n">
        <f aca="false">INDEX(Elbow_Engine!$E$15:$E$131,57)</f>
        <v>2</v>
      </c>
      <c r="BJ8" s="73" t="n">
        <f aca="false">INDEX(Elbow_Engine!$E$15:$E$131,58)</f>
        <v>2</v>
      </c>
      <c r="BK8" s="73" t="n">
        <f aca="false">INDEX(Elbow_Engine!$E$15:$E$131,59)</f>
        <v>2</v>
      </c>
      <c r="BL8" s="73" t="n">
        <f aca="false">INDEX(Elbow_Engine!$E$15:$E$131,60)</f>
        <v>2</v>
      </c>
      <c r="BM8" s="73" t="n">
        <f aca="false">INDEX(Elbow_Engine!$E$15:$E$131,61)</f>
        <v>1</v>
      </c>
      <c r="BN8" s="73" t="n">
        <f aca="false">INDEX(Elbow_Engine!$E$15:$E$131,62)</f>
        <v>2</v>
      </c>
      <c r="BO8" s="73" t="n">
        <f aca="false">INDEX(Elbow_Engine!$E$15:$E$131,63)</f>
        <v>2</v>
      </c>
      <c r="BP8" s="73" t="n">
        <f aca="false">INDEX(Elbow_Engine!$E$15:$E$131,64)</f>
        <v>2</v>
      </c>
      <c r="BQ8" s="73" t="n">
        <f aca="false">INDEX(Elbow_Engine!$E$15:$E$131,65)</f>
        <v>2</v>
      </c>
      <c r="BR8" s="73" t="n">
        <f aca="false">INDEX(Elbow_Engine!$E$15:$E$131,66)</f>
        <v>2</v>
      </c>
      <c r="BS8" s="73" t="n">
        <f aca="false">INDEX(Elbow_Engine!$E$15:$E$131,67)</f>
        <v>2</v>
      </c>
      <c r="BT8" s="73" t="n">
        <f aca="false">INDEX(Elbow_Engine!$E$15:$E$131,68)</f>
        <v>2</v>
      </c>
      <c r="BU8" s="73" t="n">
        <f aca="false">INDEX(Elbow_Engine!$E$15:$E$131,69)</f>
        <v>2</v>
      </c>
      <c r="BV8" s="73" t="n">
        <f aca="false">INDEX(Elbow_Engine!$E$15:$E$131,70)</f>
        <v>2</v>
      </c>
      <c r="BW8" s="73" t="n">
        <f aca="false">INDEX(Elbow_Engine!$E$15:$E$131,71)</f>
        <v>2</v>
      </c>
      <c r="BX8" s="73" t="n">
        <f aca="false">INDEX(Elbow_Engine!$E$15:$E$131,72)</f>
        <v>2</v>
      </c>
      <c r="BY8" s="73" t="n">
        <f aca="false">INDEX(Elbow_Engine!$E$15:$E$131,73)</f>
        <v>2</v>
      </c>
      <c r="BZ8" s="73" t="n">
        <f aca="false">INDEX(Elbow_Engine!$E$15:$E$131,74)</f>
        <v>2</v>
      </c>
      <c r="CA8" s="73" t="n">
        <f aca="false">INDEX(Elbow_Engine!$E$15:$E$131,75)</f>
        <v>2</v>
      </c>
      <c r="CB8" s="73" t="n">
        <f aca="false">INDEX(Elbow_Engine!$E$15:$E$131,76)</f>
        <v>2</v>
      </c>
      <c r="CC8" s="73" t="n">
        <f aca="false">INDEX(Elbow_Engine!$E$15:$E$131,77)</f>
        <v>2</v>
      </c>
      <c r="CD8" s="73" t="n">
        <f aca="false">INDEX(Elbow_Engine!$E$15:$E$131,78)</f>
        <v>2</v>
      </c>
      <c r="CE8" s="73" t="n">
        <f aca="false">INDEX(Elbow_Engine!$E$15:$E$131,79)</f>
        <v>2</v>
      </c>
      <c r="CF8" s="73" t="n">
        <f aca="false">INDEX(Elbow_Engine!$E$15:$E$131,80)</f>
        <v>2</v>
      </c>
      <c r="CG8" s="73" t="n">
        <f aca="false">INDEX(Elbow_Engine!$E$15:$E$131,81)</f>
        <v>2</v>
      </c>
      <c r="CH8" s="73" t="n">
        <f aca="false">INDEX(Elbow_Engine!$E$15:$E$131,82)</f>
        <v>2</v>
      </c>
      <c r="CI8" s="73" t="n">
        <f aca="false">INDEX(Elbow_Engine!$E$15:$E$131,83)</f>
        <v>2</v>
      </c>
      <c r="CJ8" s="73" t="n">
        <f aca="false">INDEX(Elbow_Engine!$E$15:$E$131,84)</f>
        <v>2</v>
      </c>
      <c r="CK8" s="73" t="n">
        <f aca="false">INDEX(Elbow_Engine!$E$15:$E$131,85)</f>
        <v>2</v>
      </c>
      <c r="CL8" s="73" t="n">
        <f aca="false">INDEX(Elbow_Engine!$E$15:$E$131,86)</f>
        <v>2</v>
      </c>
      <c r="CM8" s="73" t="n">
        <f aca="false">INDEX(Elbow_Engine!$E$15:$E$131,87)</f>
        <v>2</v>
      </c>
      <c r="CN8" s="73" t="n">
        <f aca="false">INDEX(Elbow_Engine!$E$15:$E$131,88)</f>
        <v>2</v>
      </c>
      <c r="CO8" s="73" t="n">
        <f aca="false">INDEX(Elbow_Engine!$E$15:$E$131,89)</f>
        <v>2</v>
      </c>
      <c r="CP8" s="73" t="n">
        <f aca="false">INDEX(Elbow_Engine!$E$15:$E$131,90)</f>
        <v>2</v>
      </c>
      <c r="CQ8" s="73" t="n">
        <f aca="false">INDEX(Elbow_Engine!$E$15:$E$131,91)</f>
        <v>2</v>
      </c>
      <c r="CR8" s="73" t="n">
        <f aca="false">INDEX(Elbow_Engine!$E$15:$E$131,92)</f>
        <v>2</v>
      </c>
      <c r="CS8" s="73" t="n">
        <f aca="false">INDEX(Elbow_Engine!$E$15:$E$131,93)</f>
        <v>2</v>
      </c>
      <c r="CT8" s="73" t="n">
        <f aca="false">INDEX(Elbow_Engine!$E$15:$E$131,94)</f>
        <v>2</v>
      </c>
      <c r="CU8" s="73" t="n">
        <f aca="false">INDEX(Elbow_Engine!$E$15:$E$131,95)</f>
        <v>2</v>
      </c>
      <c r="CV8" s="73" t="n">
        <f aca="false">INDEX(Elbow_Engine!$E$15:$E$131,96)</f>
        <v>2</v>
      </c>
      <c r="CW8" s="73" t="n">
        <f aca="false">INDEX(Elbow_Engine!$E$15:$E$131,97)</f>
        <v>2</v>
      </c>
      <c r="CX8" s="73" t="n">
        <f aca="false">INDEX(Elbow_Engine!$E$15:$E$131,98)</f>
        <v>2</v>
      </c>
      <c r="CY8" s="73" t="n">
        <f aca="false">INDEX(Elbow_Engine!$E$15:$E$131,99)</f>
        <v>2</v>
      </c>
      <c r="CZ8" s="73" t="n">
        <f aca="false">INDEX(Elbow_Engine!$E$15:$E$131,100)</f>
        <v>2</v>
      </c>
      <c r="DA8" s="73" t="n">
        <f aca="false">INDEX(Elbow_Engine!$E$15:$E$131,101)</f>
        <v>2</v>
      </c>
      <c r="DB8" s="73" t="n">
        <f aca="false">INDEX(Elbow_Engine!$E$15:$E$131,102)</f>
        <v>2</v>
      </c>
      <c r="DC8" s="73" t="n">
        <f aca="false">INDEX(Elbow_Engine!$E$15:$E$131,103)</f>
        <v>2</v>
      </c>
      <c r="DD8" s="73" t="n">
        <f aca="false">INDEX(Elbow_Engine!$E$15:$E$131,104)</f>
        <v>2</v>
      </c>
      <c r="DE8" s="73" t="n">
        <f aca="false">INDEX(Elbow_Engine!$E$15:$E$131,105)</f>
        <v>2</v>
      </c>
      <c r="DF8" s="73" t="n">
        <f aca="false">INDEX(Elbow_Engine!$E$15:$E$131,106)</f>
        <v>2</v>
      </c>
      <c r="DG8" s="73" t="n">
        <f aca="false">INDEX(Elbow_Engine!$E$15:$E$131,107)</f>
        <v>2</v>
      </c>
      <c r="DH8" s="73" t="n">
        <f aca="false">INDEX(Elbow_Engine!$E$15:$E$131,108)</f>
        <v>2</v>
      </c>
      <c r="DI8" s="73" t="n">
        <f aca="false">INDEX(Elbow_Engine!$E$15:$E$131,109)</f>
        <v>2</v>
      </c>
      <c r="DJ8" s="73" t="n">
        <f aca="false">INDEX(Elbow_Engine!$E$15:$E$131,110)</f>
        <v>2</v>
      </c>
      <c r="DK8" s="73" t="n">
        <f aca="false">INDEX(Elbow_Engine!$E$15:$E$131,111)</f>
        <v>2</v>
      </c>
      <c r="DL8" s="73" t="n">
        <f aca="false">INDEX(Elbow_Engine!$E$15:$E$131,112)</f>
        <v>2</v>
      </c>
      <c r="DM8" s="73" t="n">
        <f aca="false">INDEX(Elbow_Engine!$E$15:$E$131,113)</f>
        <v>2</v>
      </c>
      <c r="DN8" s="73" t="n">
        <f aca="false">INDEX(Elbow_Engine!$E$15:$E$131,114)</f>
        <v>2</v>
      </c>
      <c r="DO8" s="73" t="n">
        <f aca="false">INDEX(Elbow_Engine!$E$15:$E$131,115)</f>
        <v>2</v>
      </c>
      <c r="DP8" s="73" t="n">
        <f aca="false">INDEX(Elbow_Engine!$E$15:$E$131,116)</f>
        <v>2</v>
      </c>
      <c r="DQ8" s="73" t="n">
        <f aca="false">INDEX(Elbow_Engine!$E$15:$E$131,117)</f>
        <v>2</v>
      </c>
    </row>
    <row r="9" customFormat="false" ht="15" hidden="false" customHeight="false" outlineLevel="0" collapsed="false">
      <c r="A9" s="40" t="s">
        <v>769</v>
      </c>
      <c r="E9" s="73" t="n">
        <f aca="false">INDEX(KMeans_City!$E$23:$E$139,1)</f>
        <v>1</v>
      </c>
      <c r="F9" s="73" t="n">
        <f aca="false">INDEX(KMeans_City!$E$23:$E$139,2)</f>
        <v>1</v>
      </c>
      <c r="G9" s="73" t="n">
        <f aca="false">INDEX(KMeans_City!$E$23:$E$139,3)</f>
        <v>1</v>
      </c>
      <c r="H9" s="73" t="n">
        <f aca="false">INDEX(KMeans_City!$E$23:$E$139,4)</f>
        <v>1</v>
      </c>
      <c r="I9" s="73" t="n">
        <f aca="false">INDEX(KMeans_City!$E$23:$E$139,5)</f>
        <v>1</v>
      </c>
      <c r="J9" s="73" t="n">
        <f aca="false">INDEX(KMeans_City!$E$23:$E$139,6)</f>
        <v>1</v>
      </c>
      <c r="K9" s="73" t="n">
        <f aca="false">INDEX(KMeans_City!$E$23:$E$139,7)</f>
        <v>3</v>
      </c>
      <c r="L9" s="73" t="n">
        <f aca="false">INDEX(KMeans_City!$E$23:$E$139,8)</f>
        <v>3</v>
      </c>
      <c r="M9" s="73" t="n">
        <f aca="false">INDEX(KMeans_City!$E$23:$E$139,9)</f>
        <v>3</v>
      </c>
      <c r="N9" s="73" t="n">
        <f aca="false">INDEX(KMeans_City!$E$23:$E$139,10)</f>
        <v>3</v>
      </c>
      <c r="O9" s="73" t="n">
        <f aca="false">INDEX(KMeans_City!$E$23:$E$139,11)</f>
        <v>3</v>
      </c>
      <c r="P9" s="73" t="n">
        <f aca="false">INDEX(KMeans_City!$E$23:$E$139,12)</f>
        <v>3</v>
      </c>
      <c r="Q9" s="73" t="n">
        <f aca="false">INDEX(KMeans_City!$E$23:$E$139,13)</f>
        <v>3</v>
      </c>
      <c r="R9" s="73" t="n">
        <f aca="false">INDEX(KMeans_City!$E$23:$E$139,14)</f>
        <v>3</v>
      </c>
      <c r="S9" s="73" t="n">
        <f aca="false">INDEX(KMeans_City!$E$23:$E$139,15)</f>
        <v>3</v>
      </c>
      <c r="T9" s="73" t="n">
        <f aca="false">INDEX(KMeans_City!$E$23:$E$139,16)</f>
        <v>3</v>
      </c>
      <c r="U9" s="73" t="n">
        <f aca="false">INDEX(KMeans_City!$E$23:$E$139,17)</f>
        <v>3</v>
      </c>
      <c r="V9" s="73" t="n">
        <f aca="false">INDEX(KMeans_City!$E$23:$E$139,18)</f>
        <v>3</v>
      </c>
      <c r="W9" s="73" t="n">
        <f aca="false">INDEX(KMeans_City!$E$23:$E$139,19)</f>
        <v>3</v>
      </c>
      <c r="X9" s="73" t="n">
        <f aca="false">INDEX(KMeans_City!$E$23:$E$139,20)</f>
        <v>3</v>
      </c>
      <c r="Y9" s="73" t="n">
        <f aca="false">INDEX(KMeans_City!$E$23:$E$139,21)</f>
        <v>3</v>
      </c>
      <c r="Z9" s="73" t="n">
        <f aca="false">INDEX(KMeans_City!$E$23:$E$139,22)</f>
        <v>3</v>
      </c>
      <c r="AA9" s="73" t="n">
        <f aca="false">INDEX(KMeans_City!$E$23:$E$139,23)</f>
        <v>3</v>
      </c>
      <c r="AB9" s="73" t="n">
        <f aca="false">INDEX(KMeans_City!$E$23:$E$139,24)</f>
        <v>3</v>
      </c>
      <c r="AC9" s="73" t="n">
        <f aca="false">INDEX(KMeans_City!$E$23:$E$139,25)</f>
        <v>3</v>
      </c>
      <c r="AD9" s="73" t="n">
        <f aca="false">INDEX(KMeans_City!$E$23:$E$139,26)</f>
        <v>3</v>
      </c>
      <c r="AE9" s="73" t="n">
        <f aca="false">INDEX(KMeans_City!$E$23:$E$139,27)</f>
        <v>2</v>
      </c>
      <c r="AF9" s="73" t="n">
        <f aca="false">INDEX(KMeans_City!$E$23:$E$139,28)</f>
        <v>3</v>
      </c>
      <c r="AG9" s="73" t="n">
        <f aca="false">INDEX(KMeans_City!$E$23:$E$139,29)</f>
        <v>2</v>
      </c>
      <c r="AH9" s="73" t="n">
        <f aca="false">INDEX(KMeans_City!$E$23:$E$139,30)</f>
        <v>3</v>
      </c>
      <c r="AI9" s="73" t="n">
        <f aca="false">INDEX(KMeans_City!$E$23:$E$139,31)</f>
        <v>2</v>
      </c>
      <c r="AJ9" s="73" t="n">
        <f aca="false">INDEX(KMeans_City!$E$23:$E$139,32)</f>
        <v>3</v>
      </c>
      <c r="AK9" s="73" t="n">
        <f aca="false">INDEX(KMeans_City!$E$23:$E$139,33)</f>
        <v>3</v>
      </c>
      <c r="AL9" s="73" t="n">
        <f aca="false">INDEX(KMeans_City!$E$23:$E$139,34)</f>
        <v>3</v>
      </c>
      <c r="AM9" s="73" t="n">
        <f aca="false">INDEX(KMeans_City!$E$23:$E$139,35)</f>
        <v>3</v>
      </c>
      <c r="AN9" s="73" t="n">
        <f aca="false">INDEX(KMeans_City!$E$23:$E$139,36)</f>
        <v>3</v>
      </c>
      <c r="AO9" s="73" t="n">
        <f aca="false">INDEX(KMeans_City!$E$23:$E$139,37)</f>
        <v>3</v>
      </c>
      <c r="AP9" s="73" t="n">
        <f aca="false">INDEX(KMeans_City!$E$23:$E$139,38)</f>
        <v>3</v>
      </c>
      <c r="AQ9" s="73" t="n">
        <f aca="false">INDEX(KMeans_City!$E$23:$E$139,39)</f>
        <v>3</v>
      </c>
      <c r="AR9" s="73" t="n">
        <f aca="false">INDEX(KMeans_City!$E$23:$E$139,40)</f>
        <v>3</v>
      </c>
      <c r="AS9" s="73" t="n">
        <f aca="false">INDEX(KMeans_City!$E$23:$E$139,41)</f>
        <v>3</v>
      </c>
      <c r="AT9" s="73" t="n">
        <f aca="false">INDEX(KMeans_City!$E$23:$E$139,42)</f>
        <v>3</v>
      </c>
      <c r="AU9" s="73" t="n">
        <f aca="false">INDEX(KMeans_City!$E$23:$E$139,43)</f>
        <v>2</v>
      </c>
      <c r="AV9" s="73" t="n">
        <f aca="false">INDEX(KMeans_City!$E$23:$E$139,44)</f>
        <v>3</v>
      </c>
      <c r="AW9" s="73" t="n">
        <f aca="false">INDEX(KMeans_City!$E$23:$E$139,45)</f>
        <v>2</v>
      </c>
      <c r="AX9" s="73" t="n">
        <f aca="false">INDEX(KMeans_City!$E$23:$E$139,46)</f>
        <v>3</v>
      </c>
      <c r="AY9" s="73" t="n">
        <f aca="false">INDEX(KMeans_City!$E$23:$E$139,47)</f>
        <v>2</v>
      </c>
      <c r="AZ9" s="73" t="n">
        <f aca="false">INDEX(KMeans_City!$E$23:$E$139,48)</f>
        <v>3</v>
      </c>
      <c r="BA9" s="73" t="n">
        <f aca="false">INDEX(KMeans_City!$E$23:$E$139,49)</f>
        <v>3</v>
      </c>
      <c r="BB9" s="73" t="n">
        <f aca="false">INDEX(KMeans_City!$E$23:$E$139,50)</f>
        <v>2</v>
      </c>
      <c r="BC9" s="73" t="n">
        <f aca="false">INDEX(KMeans_City!$E$23:$E$139,51)</f>
        <v>2</v>
      </c>
      <c r="BD9" s="73" t="n">
        <f aca="false">INDEX(KMeans_City!$E$23:$E$139,52)</f>
        <v>2</v>
      </c>
      <c r="BE9" s="73" t="n">
        <f aca="false">INDEX(KMeans_City!$E$23:$E$139,53)</f>
        <v>2</v>
      </c>
      <c r="BF9" s="73" t="n">
        <f aca="false">INDEX(KMeans_City!$E$23:$E$139,54)</f>
        <v>3</v>
      </c>
      <c r="BG9" s="73" t="n">
        <f aca="false">INDEX(KMeans_City!$E$23:$E$139,55)</f>
        <v>3</v>
      </c>
      <c r="BH9" s="73" t="n">
        <f aca="false">INDEX(KMeans_City!$E$23:$E$139,56)</f>
        <v>2</v>
      </c>
      <c r="BI9" s="73" t="n">
        <f aca="false">INDEX(KMeans_City!$E$23:$E$139,57)</f>
        <v>2</v>
      </c>
      <c r="BJ9" s="73" t="n">
        <f aca="false">INDEX(KMeans_City!$E$23:$E$139,58)</f>
        <v>3</v>
      </c>
      <c r="BK9" s="73" t="n">
        <f aca="false">INDEX(KMeans_City!$E$23:$E$139,59)</f>
        <v>2</v>
      </c>
      <c r="BL9" s="73" t="n">
        <f aca="false">INDEX(KMeans_City!$E$23:$E$139,60)</f>
        <v>3</v>
      </c>
      <c r="BM9" s="73" t="n">
        <f aca="false">INDEX(KMeans_City!$E$23:$E$139,61)</f>
        <v>3</v>
      </c>
      <c r="BN9" s="73" t="n">
        <f aca="false">INDEX(KMeans_City!$E$23:$E$139,62)</f>
        <v>3</v>
      </c>
      <c r="BO9" s="73" t="n">
        <f aca="false">INDEX(KMeans_City!$E$23:$E$139,63)</f>
        <v>2</v>
      </c>
      <c r="BP9" s="73" t="n">
        <f aca="false">INDEX(KMeans_City!$E$23:$E$139,64)</f>
        <v>3</v>
      </c>
      <c r="BQ9" s="73" t="n">
        <f aca="false">INDEX(KMeans_City!$E$23:$E$139,65)</f>
        <v>3</v>
      </c>
      <c r="BR9" s="73" t="n">
        <f aca="false">INDEX(KMeans_City!$E$23:$E$139,66)</f>
        <v>3</v>
      </c>
      <c r="BS9" s="73" t="n">
        <f aca="false">INDEX(KMeans_City!$E$23:$E$139,67)</f>
        <v>3</v>
      </c>
      <c r="BT9" s="73" t="n">
        <f aca="false">INDEX(KMeans_City!$E$23:$E$139,68)</f>
        <v>2</v>
      </c>
      <c r="BU9" s="73" t="n">
        <f aca="false">INDEX(KMeans_City!$E$23:$E$139,69)</f>
        <v>2</v>
      </c>
      <c r="BV9" s="73" t="n">
        <f aca="false">INDEX(KMeans_City!$E$23:$E$139,70)</f>
        <v>2</v>
      </c>
      <c r="BW9" s="73" t="n">
        <f aca="false">INDEX(KMeans_City!$E$23:$E$139,71)</f>
        <v>2</v>
      </c>
      <c r="BX9" s="73" t="n">
        <f aca="false">INDEX(KMeans_City!$E$23:$E$139,72)</f>
        <v>2</v>
      </c>
      <c r="BY9" s="73" t="n">
        <f aca="false">INDEX(KMeans_City!$E$23:$E$139,73)</f>
        <v>2</v>
      </c>
      <c r="BZ9" s="73" t="n">
        <f aca="false">INDEX(KMeans_City!$E$23:$E$139,74)</f>
        <v>2</v>
      </c>
      <c r="CA9" s="73" t="n">
        <f aca="false">INDEX(KMeans_City!$E$23:$E$139,75)</f>
        <v>2</v>
      </c>
      <c r="CB9" s="73" t="n">
        <f aca="false">INDEX(KMeans_City!$E$23:$E$139,76)</f>
        <v>2</v>
      </c>
      <c r="CC9" s="73" t="n">
        <f aca="false">INDEX(KMeans_City!$E$23:$E$139,77)</f>
        <v>2</v>
      </c>
      <c r="CD9" s="73" t="n">
        <f aca="false">INDEX(KMeans_City!$E$23:$E$139,78)</f>
        <v>2</v>
      </c>
      <c r="CE9" s="73" t="n">
        <f aca="false">INDEX(KMeans_City!$E$23:$E$139,79)</f>
        <v>2</v>
      </c>
      <c r="CF9" s="73" t="n">
        <f aca="false">INDEX(KMeans_City!$E$23:$E$139,80)</f>
        <v>2</v>
      </c>
      <c r="CG9" s="73" t="n">
        <f aca="false">INDEX(KMeans_City!$E$23:$E$139,81)</f>
        <v>2</v>
      </c>
      <c r="CH9" s="73" t="n">
        <f aca="false">INDEX(KMeans_City!$E$23:$E$139,82)</f>
        <v>2</v>
      </c>
      <c r="CI9" s="73" t="n">
        <f aca="false">INDEX(KMeans_City!$E$23:$E$139,83)</f>
        <v>2</v>
      </c>
      <c r="CJ9" s="73" t="n">
        <f aca="false">INDEX(KMeans_City!$E$23:$E$139,84)</f>
        <v>2</v>
      </c>
      <c r="CK9" s="73" t="n">
        <f aca="false">INDEX(KMeans_City!$E$23:$E$139,85)</f>
        <v>2</v>
      </c>
      <c r="CL9" s="73" t="n">
        <f aca="false">INDEX(KMeans_City!$E$23:$E$139,86)</f>
        <v>2</v>
      </c>
      <c r="CM9" s="73" t="n">
        <f aca="false">INDEX(KMeans_City!$E$23:$E$139,87)</f>
        <v>2</v>
      </c>
      <c r="CN9" s="73" t="n">
        <f aca="false">INDEX(KMeans_City!$E$23:$E$139,88)</f>
        <v>3</v>
      </c>
      <c r="CO9" s="73" t="n">
        <f aca="false">INDEX(KMeans_City!$E$23:$E$139,89)</f>
        <v>2</v>
      </c>
      <c r="CP9" s="73" t="n">
        <f aca="false">INDEX(KMeans_City!$E$23:$E$139,90)</f>
        <v>2</v>
      </c>
      <c r="CQ9" s="73" t="n">
        <f aca="false">INDEX(KMeans_City!$E$23:$E$139,91)</f>
        <v>2</v>
      </c>
      <c r="CR9" s="73" t="n">
        <f aca="false">INDEX(KMeans_City!$E$23:$E$139,92)</f>
        <v>2</v>
      </c>
      <c r="CS9" s="73" t="n">
        <f aca="false">INDEX(KMeans_City!$E$23:$E$139,93)</f>
        <v>2</v>
      </c>
      <c r="CT9" s="73" t="n">
        <f aca="false">INDEX(KMeans_City!$E$23:$E$139,94)</f>
        <v>2</v>
      </c>
      <c r="CU9" s="73" t="n">
        <f aca="false">INDEX(KMeans_City!$E$23:$E$139,95)</f>
        <v>2</v>
      </c>
      <c r="CV9" s="73" t="n">
        <f aca="false">INDEX(KMeans_City!$E$23:$E$139,96)</f>
        <v>2</v>
      </c>
      <c r="CW9" s="73" t="n">
        <f aca="false">INDEX(KMeans_City!$E$23:$E$139,97)</f>
        <v>2</v>
      </c>
      <c r="CX9" s="73" t="n">
        <f aca="false">INDEX(KMeans_City!$E$23:$E$139,98)</f>
        <v>2</v>
      </c>
      <c r="CY9" s="73" t="n">
        <f aca="false">INDEX(KMeans_City!$E$23:$E$139,99)</f>
        <v>2</v>
      </c>
      <c r="CZ9" s="73" t="n">
        <f aca="false">INDEX(KMeans_City!$E$23:$E$139,100)</f>
        <v>2</v>
      </c>
      <c r="DA9" s="73" t="n">
        <f aca="false">INDEX(KMeans_City!$E$23:$E$139,101)</f>
        <v>2</v>
      </c>
      <c r="DB9" s="73" t="n">
        <f aca="false">INDEX(KMeans_City!$E$23:$E$139,102)</f>
        <v>2</v>
      </c>
      <c r="DC9" s="73" t="n">
        <f aca="false">INDEX(KMeans_City!$E$23:$E$139,103)</f>
        <v>2</v>
      </c>
      <c r="DD9" s="73" t="n">
        <f aca="false">INDEX(KMeans_City!$E$23:$E$139,104)</f>
        <v>2</v>
      </c>
      <c r="DE9" s="73" t="n">
        <f aca="false">INDEX(KMeans_City!$E$23:$E$139,105)</f>
        <v>2</v>
      </c>
      <c r="DF9" s="73" t="n">
        <f aca="false">INDEX(KMeans_City!$E$23:$E$139,106)</f>
        <v>2</v>
      </c>
      <c r="DG9" s="73" t="n">
        <f aca="false">INDEX(KMeans_City!$E$23:$E$139,107)</f>
        <v>2</v>
      </c>
      <c r="DH9" s="73" t="n">
        <f aca="false">INDEX(KMeans_City!$E$23:$E$139,108)</f>
        <v>2</v>
      </c>
      <c r="DI9" s="73" t="n">
        <f aca="false">INDEX(KMeans_City!$E$23:$E$139,109)</f>
        <v>2</v>
      </c>
      <c r="DJ9" s="73" t="n">
        <f aca="false">INDEX(KMeans_City!$E$23:$E$139,110)</f>
        <v>2</v>
      </c>
      <c r="DK9" s="73" t="n">
        <f aca="false">INDEX(KMeans_City!$E$23:$E$139,111)</f>
        <v>2</v>
      </c>
      <c r="DL9" s="73" t="n">
        <f aca="false">INDEX(KMeans_City!$E$23:$E$139,112)</f>
        <v>2</v>
      </c>
      <c r="DM9" s="73" t="n">
        <f aca="false">INDEX(KMeans_City!$E$23:$E$139,113)</f>
        <v>2</v>
      </c>
      <c r="DN9" s="73" t="n">
        <f aca="false">INDEX(KMeans_City!$E$23:$E$139,114)</f>
        <v>2</v>
      </c>
      <c r="DO9" s="73" t="n">
        <f aca="false">INDEX(KMeans_City!$E$23:$E$139,115)</f>
        <v>2</v>
      </c>
      <c r="DP9" s="73" t="n">
        <f aca="false">INDEX(KMeans_City!$E$23:$E$139,116)</f>
        <v>2</v>
      </c>
      <c r="DQ9" s="73" t="n">
        <f aca="false">INDEX(KMeans_City!$E$23:$E$139,117)</f>
        <v>2</v>
      </c>
    </row>
    <row r="10" customFormat="false" ht="15" hidden="false" customHeight="false" outlineLevel="0" collapsed="false">
      <c r="A10" s="40" t="s">
        <v>770</v>
      </c>
      <c r="E10" s="73" t="n">
        <f aca="false">INDEX(Elbow_Engine!$E$146:$E$262,1)</f>
        <v>1</v>
      </c>
      <c r="F10" s="73" t="n">
        <f aca="false">INDEX(Elbow_Engine!$E$146:$E$262,2)</f>
        <v>1</v>
      </c>
      <c r="G10" s="73" t="n">
        <f aca="false">INDEX(Elbow_Engine!$E$146:$E$262,3)</f>
        <v>1</v>
      </c>
      <c r="H10" s="73" t="n">
        <f aca="false">INDEX(Elbow_Engine!$E$146:$E$262,4)</f>
        <v>1</v>
      </c>
      <c r="I10" s="73" t="n">
        <f aca="false">INDEX(Elbow_Engine!$E$146:$E$262,5)</f>
        <v>1</v>
      </c>
      <c r="J10" s="73" t="n">
        <f aca="false">INDEX(Elbow_Engine!$E$146:$E$262,6)</f>
        <v>1</v>
      </c>
      <c r="K10" s="73" t="n">
        <f aca="false">INDEX(Elbow_Engine!$E$146:$E$262,7)</f>
        <v>4</v>
      </c>
      <c r="L10" s="73" t="n">
        <f aca="false">INDEX(Elbow_Engine!$E$146:$E$262,8)</f>
        <v>3</v>
      </c>
      <c r="M10" s="73" t="n">
        <f aca="false">INDEX(Elbow_Engine!$E$146:$E$262,9)</f>
        <v>3</v>
      </c>
      <c r="N10" s="73" t="n">
        <f aca="false">INDEX(Elbow_Engine!$E$146:$E$262,10)</f>
        <v>4</v>
      </c>
      <c r="O10" s="73" t="n">
        <f aca="false">INDEX(Elbow_Engine!$E$146:$E$262,11)</f>
        <v>3</v>
      </c>
      <c r="P10" s="73" t="n">
        <f aca="false">INDEX(Elbow_Engine!$E$146:$E$262,12)</f>
        <v>3</v>
      </c>
      <c r="Q10" s="73" t="n">
        <f aca="false">INDEX(Elbow_Engine!$E$146:$E$262,13)</f>
        <v>3</v>
      </c>
      <c r="R10" s="73" t="n">
        <f aca="false">INDEX(Elbow_Engine!$E$146:$E$262,14)</f>
        <v>3</v>
      </c>
      <c r="S10" s="73" t="n">
        <f aca="false">INDEX(Elbow_Engine!$E$146:$E$262,15)</f>
        <v>3</v>
      </c>
      <c r="T10" s="73" t="n">
        <f aca="false">INDEX(Elbow_Engine!$E$146:$E$262,16)</f>
        <v>3</v>
      </c>
      <c r="U10" s="73" t="n">
        <f aca="false">INDEX(Elbow_Engine!$E$146:$E$262,17)</f>
        <v>3</v>
      </c>
      <c r="V10" s="73" t="n">
        <f aca="false">INDEX(Elbow_Engine!$E$146:$E$262,18)</f>
        <v>3</v>
      </c>
      <c r="W10" s="73" t="n">
        <f aca="false">INDEX(Elbow_Engine!$E$146:$E$262,19)</f>
        <v>3</v>
      </c>
      <c r="X10" s="73" t="n">
        <f aca="false">INDEX(Elbow_Engine!$E$146:$E$262,20)</f>
        <v>3</v>
      </c>
      <c r="Y10" s="73" t="n">
        <f aca="false">INDEX(Elbow_Engine!$E$146:$E$262,21)</f>
        <v>3</v>
      </c>
      <c r="Z10" s="73" t="n">
        <f aca="false">INDEX(Elbow_Engine!$E$146:$E$262,22)</f>
        <v>3</v>
      </c>
      <c r="AA10" s="73" t="n">
        <f aca="false">INDEX(Elbow_Engine!$E$146:$E$262,23)</f>
        <v>3</v>
      </c>
      <c r="AB10" s="73" t="n">
        <f aca="false">INDEX(Elbow_Engine!$E$146:$E$262,24)</f>
        <v>3</v>
      </c>
      <c r="AC10" s="73" t="n">
        <f aca="false">INDEX(Elbow_Engine!$E$146:$E$262,25)</f>
        <v>3</v>
      </c>
      <c r="AD10" s="73" t="n">
        <f aca="false">INDEX(Elbow_Engine!$E$146:$E$262,26)</f>
        <v>3</v>
      </c>
      <c r="AE10" s="73" t="n">
        <f aca="false">INDEX(Elbow_Engine!$E$146:$E$262,27)</f>
        <v>4</v>
      </c>
      <c r="AF10" s="73" t="n">
        <f aca="false">INDEX(Elbow_Engine!$E$146:$E$262,28)</f>
        <v>3</v>
      </c>
      <c r="AG10" s="73" t="n">
        <f aca="false">INDEX(Elbow_Engine!$E$146:$E$262,29)</f>
        <v>4</v>
      </c>
      <c r="AH10" s="73" t="n">
        <f aca="false">INDEX(Elbow_Engine!$E$146:$E$262,30)</f>
        <v>3</v>
      </c>
      <c r="AI10" s="73" t="n">
        <f aca="false">INDEX(Elbow_Engine!$E$146:$E$262,31)</f>
        <v>4</v>
      </c>
      <c r="AJ10" s="73" t="n">
        <f aca="false">INDEX(Elbow_Engine!$E$146:$E$262,32)</f>
        <v>3</v>
      </c>
      <c r="AK10" s="73" t="n">
        <f aca="false">INDEX(Elbow_Engine!$E$146:$E$262,33)</f>
        <v>3</v>
      </c>
      <c r="AL10" s="73" t="n">
        <f aca="false">INDEX(Elbow_Engine!$E$146:$E$262,34)</f>
        <v>3</v>
      </c>
      <c r="AM10" s="73" t="n">
        <f aca="false">INDEX(Elbow_Engine!$E$146:$E$262,35)</f>
        <v>3</v>
      </c>
      <c r="AN10" s="73" t="n">
        <f aca="false">INDEX(Elbow_Engine!$E$146:$E$262,36)</f>
        <v>3</v>
      </c>
      <c r="AO10" s="73" t="n">
        <f aca="false">INDEX(Elbow_Engine!$E$146:$E$262,37)</f>
        <v>3</v>
      </c>
      <c r="AP10" s="73" t="n">
        <f aca="false">INDEX(Elbow_Engine!$E$146:$E$262,38)</f>
        <v>3</v>
      </c>
      <c r="AQ10" s="73" t="n">
        <f aca="false">INDEX(Elbow_Engine!$E$146:$E$262,39)</f>
        <v>3</v>
      </c>
      <c r="AR10" s="73" t="n">
        <f aca="false">INDEX(Elbow_Engine!$E$146:$E$262,40)</f>
        <v>4</v>
      </c>
      <c r="AS10" s="73" t="n">
        <f aca="false">INDEX(Elbow_Engine!$E$146:$E$262,41)</f>
        <v>3</v>
      </c>
      <c r="AT10" s="73" t="n">
        <f aca="false">INDEX(Elbow_Engine!$E$146:$E$262,42)</f>
        <v>3</v>
      </c>
      <c r="AU10" s="73" t="n">
        <f aca="false">INDEX(Elbow_Engine!$E$146:$E$262,43)</f>
        <v>4</v>
      </c>
      <c r="AV10" s="73" t="n">
        <f aca="false">INDEX(Elbow_Engine!$E$146:$E$262,44)</f>
        <v>4</v>
      </c>
      <c r="AW10" s="73" t="n">
        <f aca="false">INDEX(Elbow_Engine!$E$146:$E$262,45)</f>
        <v>4</v>
      </c>
      <c r="AX10" s="73" t="n">
        <f aca="false">INDEX(Elbow_Engine!$E$146:$E$262,46)</f>
        <v>3</v>
      </c>
      <c r="AY10" s="73" t="n">
        <f aca="false">INDEX(Elbow_Engine!$E$146:$E$262,47)</f>
        <v>4</v>
      </c>
      <c r="AZ10" s="73" t="n">
        <f aca="false">INDEX(Elbow_Engine!$E$146:$E$262,48)</f>
        <v>3</v>
      </c>
      <c r="BA10" s="73" t="n">
        <f aca="false">INDEX(Elbow_Engine!$E$146:$E$262,49)</f>
        <v>3</v>
      </c>
      <c r="BB10" s="73" t="n">
        <f aca="false">INDEX(Elbow_Engine!$E$146:$E$262,50)</f>
        <v>4</v>
      </c>
      <c r="BC10" s="73" t="n">
        <f aca="false">INDEX(Elbow_Engine!$E$146:$E$262,51)</f>
        <v>4</v>
      </c>
      <c r="BD10" s="73" t="n">
        <f aca="false">INDEX(Elbow_Engine!$E$146:$E$262,52)</f>
        <v>4</v>
      </c>
      <c r="BE10" s="73" t="n">
        <f aca="false">INDEX(Elbow_Engine!$E$146:$E$262,53)</f>
        <v>4</v>
      </c>
      <c r="BF10" s="73" t="n">
        <f aca="false">INDEX(Elbow_Engine!$E$146:$E$262,54)</f>
        <v>3</v>
      </c>
      <c r="BG10" s="73" t="n">
        <f aca="false">INDEX(Elbow_Engine!$E$146:$E$262,55)</f>
        <v>3</v>
      </c>
      <c r="BH10" s="73" t="n">
        <f aca="false">INDEX(Elbow_Engine!$E$146:$E$262,56)</f>
        <v>4</v>
      </c>
      <c r="BI10" s="73" t="n">
        <f aca="false">INDEX(Elbow_Engine!$E$146:$E$262,57)</f>
        <v>4</v>
      </c>
      <c r="BJ10" s="73" t="n">
        <f aca="false">INDEX(Elbow_Engine!$E$146:$E$262,58)</f>
        <v>3</v>
      </c>
      <c r="BK10" s="73" t="n">
        <f aca="false">INDEX(Elbow_Engine!$E$146:$E$262,59)</f>
        <v>4</v>
      </c>
      <c r="BL10" s="73" t="n">
        <f aca="false">INDEX(Elbow_Engine!$E$146:$E$262,60)</f>
        <v>4</v>
      </c>
      <c r="BM10" s="73" t="n">
        <f aca="false">INDEX(Elbow_Engine!$E$146:$E$262,61)</f>
        <v>3</v>
      </c>
      <c r="BN10" s="73" t="n">
        <f aca="false">INDEX(Elbow_Engine!$E$146:$E$262,62)</f>
        <v>4</v>
      </c>
      <c r="BO10" s="73" t="n">
        <f aca="false">INDEX(Elbow_Engine!$E$146:$E$262,63)</f>
        <v>4</v>
      </c>
      <c r="BP10" s="73" t="n">
        <f aca="false">INDEX(Elbow_Engine!$E$146:$E$262,64)</f>
        <v>4</v>
      </c>
      <c r="BQ10" s="73" t="n">
        <f aca="false">INDEX(Elbow_Engine!$E$146:$E$262,65)</f>
        <v>4</v>
      </c>
      <c r="BR10" s="73" t="n">
        <f aca="false">INDEX(Elbow_Engine!$E$146:$E$262,66)</f>
        <v>4</v>
      </c>
      <c r="BS10" s="73" t="n">
        <f aca="false">INDEX(Elbow_Engine!$E$146:$E$262,67)</f>
        <v>4</v>
      </c>
      <c r="BT10" s="73" t="n">
        <f aca="false">INDEX(Elbow_Engine!$E$146:$E$262,68)</f>
        <v>4</v>
      </c>
      <c r="BU10" s="73" t="n">
        <f aca="false">INDEX(Elbow_Engine!$E$146:$E$262,69)</f>
        <v>4</v>
      </c>
      <c r="BV10" s="73" t="n">
        <f aca="false">INDEX(Elbow_Engine!$E$146:$E$262,70)</f>
        <v>4</v>
      </c>
      <c r="BW10" s="73" t="n">
        <f aca="false">INDEX(Elbow_Engine!$E$146:$E$262,71)</f>
        <v>4</v>
      </c>
      <c r="BX10" s="73" t="n">
        <f aca="false">INDEX(Elbow_Engine!$E$146:$E$262,72)</f>
        <v>4</v>
      </c>
      <c r="BY10" s="73" t="n">
        <f aca="false">INDEX(Elbow_Engine!$E$146:$E$262,73)</f>
        <v>4</v>
      </c>
      <c r="BZ10" s="73" t="n">
        <f aca="false">INDEX(Elbow_Engine!$E$146:$E$262,74)</f>
        <v>4</v>
      </c>
      <c r="CA10" s="73" t="n">
        <f aca="false">INDEX(Elbow_Engine!$E$146:$E$262,75)</f>
        <v>4</v>
      </c>
      <c r="CB10" s="73" t="n">
        <f aca="false">INDEX(Elbow_Engine!$E$146:$E$262,76)</f>
        <v>4</v>
      </c>
      <c r="CC10" s="73" t="n">
        <f aca="false">INDEX(Elbow_Engine!$E$146:$E$262,77)</f>
        <v>4</v>
      </c>
      <c r="CD10" s="73" t="n">
        <f aca="false">INDEX(Elbow_Engine!$E$146:$E$262,78)</f>
        <v>4</v>
      </c>
      <c r="CE10" s="73" t="n">
        <f aca="false">INDEX(Elbow_Engine!$E$146:$E$262,79)</f>
        <v>4</v>
      </c>
      <c r="CF10" s="73" t="n">
        <f aca="false">INDEX(Elbow_Engine!$E$146:$E$262,80)</f>
        <v>4</v>
      </c>
      <c r="CG10" s="73" t="n">
        <f aca="false">INDEX(Elbow_Engine!$E$146:$E$262,81)</f>
        <v>4</v>
      </c>
      <c r="CH10" s="73" t="n">
        <f aca="false">INDEX(Elbow_Engine!$E$146:$E$262,82)</f>
        <v>4</v>
      </c>
      <c r="CI10" s="73" t="n">
        <f aca="false">INDEX(Elbow_Engine!$E$146:$E$262,83)</f>
        <v>4</v>
      </c>
      <c r="CJ10" s="73" t="n">
        <f aca="false">INDEX(Elbow_Engine!$E$146:$E$262,84)</f>
        <v>4</v>
      </c>
      <c r="CK10" s="73" t="n">
        <f aca="false">INDEX(Elbow_Engine!$E$146:$E$262,85)</f>
        <v>4</v>
      </c>
      <c r="CL10" s="73" t="n">
        <f aca="false">INDEX(Elbow_Engine!$E$146:$E$262,86)</f>
        <v>2</v>
      </c>
      <c r="CM10" s="73" t="n">
        <f aca="false">INDEX(Elbow_Engine!$E$146:$E$262,87)</f>
        <v>4</v>
      </c>
      <c r="CN10" s="73" t="n">
        <f aca="false">INDEX(Elbow_Engine!$E$146:$E$262,88)</f>
        <v>4</v>
      </c>
      <c r="CO10" s="73" t="n">
        <f aca="false">INDEX(Elbow_Engine!$E$146:$E$262,89)</f>
        <v>4</v>
      </c>
      <c r="CP10" s="73" t="n">
        <f aca="false">INDEX(Elbow_Engine!$E$146:$E$262,90)</f>
        <v>2</v>
      </c>
      <c r="CQ10" s="73" t="n">
        <f aca="false">INDEX(Elbow_Engine!$E$146:$E$262,91)</f>
        <v>4</v>
      </c>
      <c r="CR10" s="73" t="n">
        <f aca="false">INDEX(Elbow_Engine!$E$146:$E$262,92)</f>
        <v>4</v>
      </c>
      <c r="CS10" s="73" t="n">
        <f aca="false">INDEX(Elbow_Engine!$E$146:$E$262,93)</f>
        <v>2</v>
      </c>
      <c r="CT10" s="73" t="n">
        <f aca="false">INDEX(Elbow_Engine!$E$146:$E$262,94)</f>
        <v>2</v>
      </c>
      <c r="CU10" s="73" t="n">
        <f aca="false">INDEX(Elbow_Engine!$E$146:$E$262,95)</f>
        <v>2</v>
      </c>
      <c r="CV10" s="73" t="n">
        <f aca="false">INDEX(Elbow_Engine!$E$146:$E$262,96)</f>
        <v>4</v>
      </c>
      <c r="CW10" s="73" t="n">
        <f aca="false">INDEX(Elbow_Engine!$E$146:$E$262,97)</f>
        <v>2</v>
      </c>
      <c r="CX10" s="73" t="n">
        <f aca="false">INDEX(Elbow_Engine!$E$146:$E$262,98)</f>
        <v>4</v>
      </c>
      <c r="CY10" s="73" t="n">
        <f aca="false">INDEX(Elbow_Engine!$E$146:$E$262,99)</f>
        <v>2</v>
      </c>
      <c r="CZ10" s="73" t="n">
        <f aca="false">INDEX(Elbow_Engine!$E$146:$E$262,100)</f>
        <v>2</v>
      </c>
      <c r="DA10" s="73" t="n">
        <f aca="false">INDEX(Elbow_Engine!$E$146:$E$262,101)</f>
        <v>2</v>
      </c>
      <c r="DB10" s="73" t="n">
        <f aca="false">INDEX(Elbow_Engine!$E$146:$E$262,102)</f>
        <v>2</v>
      </c>
      <c r="DC10" s="73" t="n">
        <f aca="false">INDEX(Elbow_Engine!$E$146:$E$262,103)</f>
        <v>2</v>
      </c>
      <c r="DD10" s="73" t="n">
        <f aca="false">INDEX(Elbow_Engine!$E$146:$E$262,104)</f>
        <v>2</v>
      </c>
      <c r="DE10" s="73" t="n">
        <f aca="false">INDEX(Elbow_Engine!$E$146:$E$262,105)</f>
        <v>2</v>
      </c>
      <c r="DF10" s="73" t="n">
        <f aca="false">INDEX(Elbow_Engine!$E$146:$E$262,106)</f>
        <v>2</v>
      </c>
      <c r="DG10" s="73" t="n">
        <f aca="false">INDEX(Elbow_Engine!$E$146:$E$262,107)</f>
        <v>2</v>
      </c>
      <c r="DH10" s="73" t="n">
        <f aca="false">INDEX(Elbow_Engine!$E$146:$E$262,108)</f>
        <v>2</v>
      </c>
      <c r="DI10" s="73" t="n">
        <f aca="false">INDEX(Elbow_Engine!$E$146:$E$262,109)</f>
        <v>2</v>
      </c>
      <c r="DJ10" s="73" t="n">
        <f aca="false">INDEX(Elbow_Engine!$E$146:$E$262,110)</f>
        <v>2</v>
      </c>
      <c r="DK10" s="73" t="n">
        <f aca="false">INDEX(Elbow_Engine!$E$146:$E$262,111)</f>
        <v>2</v>
      </c>
      <c r="DL10" s="73" t="n">
        <f aca="false">INDEX(Elbow_Engine!$E$146:$E$262,112)</f>
        <v>2</v>
      </c>
      <c r="DM10" s="73" t="n">
        <f aca="false">INDEX(Elbow_Engine!$E$146:$E$262,113)</f>
        <v>2</v>
      </c>
      <c r="DN10" s="73" t="n">
        <f aca="false">INDEX(Elbow_Engine!$E$146:$E$262,114)</f>
        <v>2</v>
      </c>
      <c r="DO10" s="73" t="n">
        <f aca="false">INDEX(Elbow_Engine!$E$146:$E$262,115)</f>
        <v>2</v>
      </c>
      <c r="DP10" s="73" t="n">
        <f aca="false">INDEX(Elbow_Engine!$E$146:$E$262,116)</f>
        <v>2</v>
      </c>
      <c r="DQ10" s="73" t="n">
        <f aca="false">INDEX(Elbow_Engine!$E$146:$E$262,117)</f>
        <v>2</v>
      </c>
    </row>
    <row r="11" customFormat="false" ht="15" hidden="false" customHeight="false" outlineLevel="0" collapsed="false">
      <c r="A11" s="40" t="s">
        <v>771</v>
      </c>
      <c r="E11" s="73" t="n">
        <f aca="false">INDEX(Elbow_Engine!$E$277:$E$393,1)</f>
        <v>1</v>
      </c>
      <c r="F11" s="73" t="n">
        <f aca="false">INDEX(Elbow_Engine!$E$277:$E$393,2)</f>
        <v>1</v>
      </c>
      <c r="G11" s="73" t="n">
        <f aca="false">INDEX(Elbow_Engine!$E$277:$E$393,3)</f>
        <v>5</v>
      </c>
      <c r="H11" s="73" t="n">
        <f aca="false">INDEX(Elbow_Engine!$E$277:$E$393,4)</f>
        <v>5</v>
      </c>
      <c r="I11" s="73" t="n">
        <f aca="false">INDEX(Elbow_Engine!$E$277:$E$393,5)</f>
        <v>5</v>
      </c>
      <c r="J11" s="73" t="n">
        <f aca="false">INDEX(Elbow_Engine!$E$277:$E$393,6)</f>
        <v>5</v>
      </c>
      <c r="K11" s="73" t="n">
        <f aca="false">INDEX(Elbow_Engine!$E$277:$E$393,7)</f>
        <v>4</v>
      </c>
      <c r="L11" s="73" t="n">
        <f aca="false">INDEX(Elbow_Engine!$E$277:$E$393,8)</f>
        <v>3</v>
      </c>
      <c r="M11" s="73" t="n">
        <f aca="false">INDEX(Elbow_Engine!$E$277:$E$393,9)</f>
        <v>3</v>
      </c>
      <c r="N11" s="73" t="n">
        <f aca="false">INDEX(Elbow_Engine!$E$277:$E$393,10)</f>
        <v>4</v>
      </c>
      <c r="O11" s="73" t="n">
        <f aca="false">INDEX(Elbow_Engine!$E$277:$E$393,11)</f>
        <v>3</v>
      </c>
      <c r="P11" s="73" t="n">
        <f aca="false">INDEX(Elbow_Engine!$E$277:$E$393,12)</f>
        <v>5</v>
      </c>
      <c r="Q11" s="73" t="n">
        <f aca="false">INDEX(Elbow_Engine!$E$277:$E$393,13)</f>
        <v>3</v>
      </c>
      <c r="R11" s="73" t="n">
        <f aca="false">INDEX(Elbow_Engine!$E$277:$E$393,14)</f>
        <v>3</v>
      </c>
      <c r="S11" s="73" t="n">
        <f aca="false">INDEX(Elbow_Engine!$E$277:$E$393,15)</f>
        <v>3</v>
      </c>
      <c r="T11" s="73" t="n">
        <f aca="false">INDEX(Elbow_Engine!$E$277:$E$393,16)</f>
        <v>3</v>
      </c>
      <c r="U11" s="73" t="n">
        <f aca="false">INDEX(Elbow_Engine!$E$277:$E$393,17)</f>
        <v>3</v>
      </c>
      <c r="V11" s="73" t="n">
        <f aca="false">INDEX(Elbow_Engine!$E$277:$E$393,18)</f>
        <v>3</v>
      </c>
      <c r="W11" s="73" t="n">
        <f aca="false">INDEX(Elbow_Engine!$E$277:$E$393,19)</f>
        <v>3</v>
      </c>
      <c r="X11" s="73" t="n">
        <f aca="false">INDEX(Elbow_Engine!$E$277:$E$393,20)</f>
        <v>3</v>
      </c>
      <c r="Y11" s="73" t="n">
        <f aca="false">INDEX(Elbow_Engine!$E$277:$E$393,21)</f>
        <v>3</v>
      </c>
      <c r="Z11" s="73" t="n">
        <f aca="false">INDEX(Elbow_Engine!$E$277:$E$393,22)</f>
        <v>3</v>
      </c>
      <c r="AA11" s="73" t="n">
        <f aca="false">INDEX(Elbow_Engine!$E$277:$E$393,23)</f>
        <v>3</v>
      </c>
      <c r="AB11" s="73" t="n">
        <f aca="false">INDEX(Elbow_Engine!$E$277:$E$393,24)</f>
        <v>3</v>
      </c>
      <c r="AC11" s="73" t="n">
        <f aca="false">INDEX(Elbow_Engine!$E$277:$E$393,25)</f>
        <v>3</v>
      </c>
      <c r="AD11" s="73" t="n">
        <f aca="false">INDEX(Elbow_Engine!$E$277:$E$393,26)</f>
        <v>3</v>
      </c>
      <c r="AE11" s="73" t="n">
        <f aca="false">INDEX(Elbow_Engine!$E$277:$E$393,27)</f>
        <v>4</v>
      </c>
      <c r="AF11" s="73" t="n">
        <f aca="false">INDEX(Elbow_Engine!$E$277:$E$393,28)</f>
        <v>3</v>
      </c>
      <c r="AG11" s="73" t="n">
        <f aca="false">INDEX(Elbow_Engine!$E$277:$E$393,29)</f>
        <v>4</v>
      </c>
      <c r="AH11" s="73" t="n">
        <f aca="false">INDEX(Elbow_Engine!$E$277:$E$393,30)</f>
        <v>3</v>
      </c>
      <c r="AI11" s="73" t="n">
        <f aca="false">INDEX(Elbow_Engine!$E$277:$E$393,31)</f>
        <v>4</v>
      </c>
      <c r="AJ11" s="73" t="n">
        <f aca="false">INDEX(Elbow_Engine!$E$277:$E$393,32)</f>
        <v>3</v>
      </c>
      <c r="AK11" s="73" t="n">
        <f aca="false">INDEX(Elbow_Engine!$E$277:$E$393,33)</f>
        <v>3</v>
      </c>
      <c r="AL11" s="73" t="n">
        <f aca="false">INDEX(Elbow_Engine!$E$277:$E$393,34)</f>
        <v>3</v>
      </c>
      <c r="AM11" s="73" t="n">
        <f aca="false">INDEX(Elbow_Engine!$E$277:$E$393,35)</f>
        <v>3</v>
      </c>
      <c r="AN11" s="73" t="n">
        <f aca="false">INDEX(Elbow_Engine!$E$277:$E$393,36)</f>
        <v>3</v>
      </c>
      <c r="AO11" s="73" t="n">
        <f aca="false">INDEX(Elbow_Engine!$E$277:$E$393,37)</f>
        <v>3</v>
      </c>
      <c r="AP11" s="73" t="n">
        <f aca="false">INDEX(Elbow_Engine!$E$277:$E$393,38)</f>
        <v>3</v>
      </c>
      <c r="AQ11" s="73" t="n">
        <f aca="false">INDEX(Elbow_Engine!$E$277:$E$393,39)</f>
        <v>3</v>
      </c>
      <c r="AR11" s="73" t="n">
        <f aca="false">INDEX(Elbow_Engine!$E$277:$E$393,40)</f>
        <v>4</v>
      </c>
      <c r="AS11" s="73" t="n">
        <f aca="false">INDEX(Elbow_Engine!$E$277:$E$393,41)</f>
        <v>3</v>
      </c>
      <c r="AT11" s="73" t="n">
        <f aca="false">INDEX(Elbow_Engine!$E$277:$E$393,42)</f>
        <v>3</v>
      </c>
      <c r="AU11" s="73" t="n">
        <f aca="false">INDEX(Elbow_Engine!$E$277:$E$393,43)</f>
        <v>4</v>
      </c>
      <c r="AV11" s="73" t="n">
        <f aca="false">INDEX(Elbow_Engine!$E$277:$E$393,44)</f>
        <v>4</v>
      </c>
      <c r="AW11" s="73" t="n">
        <f aca="false">INDEX(Elbow_Engine!$E$277:$E$393,45)</f>
        <v>4</v>
      </c>
      <c r="AX11" s="73" t="n">
        <f aca="false">INDEX(Elbow_Engine!$E$277:$E$393,46)</f>
        <v>3</v>
      </c>
      <c r="AY11" s="73" t="n">
        <f aca="false">INDEX(Elbow_Engine!$E$277:$E$393,47)</f>
        <v>4</v>
      </c>
      <c r="AZ11" s="73" t="n">
        <f aca="false">INDEX(Elbow_Engine!$E$277:$E$393,48)</f>
        <v>3</v>
      </c>
      <c r="BA11" s="73" t="n">
        <f aca="false">INDEX(Elbow_Engine!$E$277:$E$393,49)</f>
        <v>3</v>
      </c>
      <c r="BB11" s="73" t="n">
        <f aca="false">INDEX(Elbow_Engine!$E$277:$E$393,50)</f>
        <v>4</v>
      </c>
      <c r="BC11" s="73" t="n">
        <f aca="false">INDEX(Elbow_Engine!$E$277:$E$393,51)</f>
        <v>4</v>
      </c>
      <c r="BD11" s="73" t="n">
        <f aca="false">INDEX(Elbow_Engine!$E$277:$E$393,52)</f>
        <v>4</v>
      </c>
      <c r="BE11" s="73" t="n">
        <f aca="false">INDEX(Elbow_Engine!$E$277:$E$393,53)</f>
        <v>4</v>
      </c>
      <c r="BF11" s="73" t="n">
        <f aca="false">INDEX(Elbow_Engine!$E$277:$E$393,54)</f>
        <v>3</v>
      </c>
      <c r="BG11" s="73" t="n">
        <f aca="false">INDEX(Elbow_Engine!$E$277:$E$393,55)</f>
        <v>3</v>
      </c>
      <c r="BH11" s="73" t="n">
        <f aca="false">INDEX(Elbow_Engine!$E$277:$E$393,56)</f>
        <v>4</v>
      </c>
      <c r="BI11" s="73" t="n">
        <f aca="false">INDEX(Elbow_Engine!$E$277:$E$393,57)</f>
        <v>4</v>
      </c>
      <c r="BJ11" s="73" t="n">
        <f aca="false">INDEX(Elbow_Engine!$E$277:$E$393,58)</f>
        <v>3</v>
      </c>
      <c r="BK11" s="73" t="n">
        <f aca="false">INDEX(Elbow_Engine!$E$277:$E$393,59)</f>
        <v>4</v>
      </c>
      <c r="BL11" s="73" t="n">
        <f aca="false">INDEX(Elbow_Engine!$E$277:$E$393,60)</f>
        <v>4</v>
      </c>
      <c r="BM11" s="73" t="n">
        <f aca="false">INDEX(Elbow_Engine!$E$277:$E$393,61)</f>
        <v>3</v>
      </c>
      <c r="BN11" s="73" t="n">
        <f aca="false">INDEX(Elbow_Engine!$E$277:$E$393,62)</f>
        <v>4</v>
      </c>
      <c r="BO11" s="73" t="n">
        <f aca="false">INDEX(Elbow_Engine!$E$277:$E$393,63)</f>
        <v>4</v>
      </c>
      <c r="BP11" s="73" t="n">
        <f aca="false">INDEX(Elbow_Engine!$E$277:$E$393,64)</f>
        <v>4</v>
      </c>
      <c r="BQ11" s="73" t="n">
        <f aca="false">INDEX(Elbow_Engine!$E$277:$E$393,65)</f>
        <v>4</v>
      </c>
      <c r="BR11" s="73" t="n">
        <f aca="false">INDEX(Elbow_Engine!$E$277:$E$393,66)</f>
        <v>4</v>
      </c>
      <c r="BS11" s="73" t="n">
        <f aca="false">INDEX(Elbow_Engine!$E$277:$E$393,67)</f>
        <v>4</v>
      </c>
      <c r="BT11" s="73" t="n">
        <f aca="false">INDEX(Elbow_Engine!$E$277:$E$393,68)</f>
        <v>4</v>
      </c>
      <c r="BU11" s="73" t="n">
        <f aca="false">INDEX(Elbow_Engine!$E$277:$E$393,69)</f>
        <v>4</v>
      </c>
      <c r="BV11" s="73" t="n">
        <f aca="false">INDEX(Elbow_Engine!$E$277:$E$393,70)</f>
        <v>4</v>
      </c>
      <c r="BW11" s="73" t="n">
        <f aca="false">INDEX(Elbow_Engine!$E$277:$E$393,71)</f>
        <v>4</v>
      </c>
      <c r="BX11" s="73" t="n">
        <f aca="false">INDEX(Elbow_Engine!$E$277:$E$393,72)</f>
        <v>4</v>
      </c>
      <c r="BY11" s="73" t="n">
        <f aca="false">INDEX(Elbow_Engine!$E$277:$E$393,73)</f>
        <v>4</v>
      </c>
      <c r="BZ11" s="73" t="n">
        <f aca="false">INDEX(Elbow_Engine!$E$277:$E$393,74)</f>
        <v>4</v>
      </c>
      <c r="CA11" s="73" t="n">
        <f aca="false">INDEX(Elbow_Engine!$E$277:$E$393,75)</f>
        <v>4</v>
      </c>
      <c r="CB11" s="73" t="n">
        <f aca="false">INDEX(Elbow_Engine!$E$277:$E$393,76)</f>
        <v>4</v>
      </c>
      <c r="CC11" s="73" t="n">
        <f aca="false">INDEX(Elbow_Engine!$E$277:$E$393,77)</f>
        <v>4</v>
      </c>
      <c r="CD11" s="73" t="n">
        <f aca="false">INDEX(Elbow_Engine!$E$277:$E$393,78)</f>
        <v>4</v>
      </c>
      <c r="CE11" s="73" t="n">
        <f aca="false">INDEX(Elbow_Engine!$E$277:$E$393,79)</f>
        <v>4</v>
      </c>
      <c r="CF11" s="73" t="n">
        <f aca="false">INDEX(Elbow_Engine!$E$277:$E$393,80)</f>
        <v>4</v>
      </c>
      <c r="CG11" s="73" t="n">
        <f aca="false">INDEX(Elbow_Engine!$E$277:$E$393,81)</f>
        <v>4</v>
      </c>
      <c r="CH11" s="73" t="n">
        <f aca="false">INDEX(Elbow_Engine!$E$277:$E$393,82)</f>
        <v>4</v>
      </c>
      <c r="CI11" s="73" t="n">
        <f aca="false">INDEX(Elbow_Engine!$E$277:$E$393,83)</f>
        <v>4</v>
      </c>
      <c r="CJ11" s="73" t="n">
        <f aca="false">INDEX(Elbow_Engine!$E$277:$E$393,84)</f>
        <v>4</v>
      </c>
      <c r="CK11" s="73" t="n">
        <f aca="false">INDEX(Elbow_Engine!$E$277:$E$393,85)</f>
        <v>4</v>
      </c>
      <c r="CL11" s="73" t="n">
        <f aca="false">INDEX(Elbow_Engine!$E$277:$E$393,86)</f>
        <v>2</v>
      </c>
      <c r="CM11" s="73" t="n">
        <f aca="false">INDEX(Elbow_Engine!$E$277:$E$393,87)</f>
        <v>4</v>
      </c>
      <c r="CN11" s="73" t="n">
        <f aca="false">INDEX(Elbow_Engine!$E$277:$E$393,88)</f>
        <v>4</v>
      </c>
      <c r="CO11" s="73" t="n">
        <f aca="false">INDEX(Elbow_Engine!$E$277:$E$393,89)</f>
        <v>4</v>
      </c>
      <c r="CP11" s="73" t="n">
        <f aca="false">INDEX(Elbow_Engine!$E$277:$E$393,90)</f>
        <v>2</v>
      </c>
      <c r="CQ11" s="73" t="n">
        <f aca="false">INDEX(Elbow_Engine!$E$277:$E$393,91)</f>
        <v>4</v>
      </c>
      <c r="CR11" s="73" t="n">
        <f aca="false">INDEX(Elbow_Engine!$E$277:$E$393,92)</f>
        <v>4</v>
      </c>
      <c r="CS11" s="73" t="n">
        <f aca="false">INDEX(Elbow_Engine!$E$277:$E$393,93)</f>
        <v>2</v>
      </c>
      <c r="CT11" s="73" t="n">
        <f aca="false">INDEX(Elbow_Engine!$E$277:$E$393,94)</f>
        <v>2</v>
      </c>
      <c r="CU11" s="73" t="n">
        <f aca="false">INDEX(Elbow_Engine!$E$277:$E$393,95)</f>
        <v>2</v>
      </c>
      <c r="CV11" s="73" t="n">
        <f aca="false">INDEX(Elbow_Engine!$E$277:$E$393,96)</f>
        <v>4</v>
      </c>
      <c r="CW11" s="73" t="n">
        <f aca="false">INDEX(Elbow_Engine!$E$277:$E$393,97)</f>
        <v>2</v>
      </c>
      <c r="CX11" s="73" t="n">
        <f aca="false">INDEX(Elbow_Engine!$E$277:$E$393,98)</f>
        <v>4</v>
      </c>
      <c r="CY11" s="73" t="n">
        <f aca="false">INDEX(Elbow_Engine!$E$277:$E$393,99)</f>
        <v>2</v>
      </c>
      <c r="CZ11" s="73" t="n">
        <f aca="false">INDEX(Elbow_Engine!$E$277:$E$393,100)</f>
        <v>2</v>
      </c>
      <c r="DA11" s="73" t="n">
        <f aca="false">INDEX(Elbow_Engine!$E$277:$E$393,101)</f>
        <v>2</v>
      </c>
      <c r="DB11" s="73" t="n">
        <f aca="false">INDEX(Elbow_Engine!$E$277:$E$393,102)</f>
        <v>2</v>
      </c>
      <c r="DC11" s="73" t="n">
        <f aca="false">INDEX(Elbow_Engine!$E$277:$E$393,103)</f>
        <v>2</v>
      </c>
      <c r="DD11" s="73" t="n">
        <f aca="false">INDEX(Elbow_Engine!$E$277:$E$393,104)</f>
        <v>2</v>
      </c>
      <c r="DE11" s="73" t="n">
        <f aca="false">INDEX(Elbow_Engine!$E$277:$E$393,105)</f>
        <v>2</v>
      </c>
      <c r="DF11" s="73" t="n">
        <f aca="false">INDEX(Elbow_Engine!$E$277:$E$393,106)</f>
        <v>2</v>
      </c>
      <c r="DG11" s="73" t="n">
        <f aca="false">INDEX(Elbow_Engine!$E$277:$E$393,107)</f>
        <v>2</v>
      </c>
      <c r="DH11" s="73" t="n">
        <f aca="false">INDEX(Elbow_Engine!$E$277:$E$393,108)</f>
        <v>2</v>
      </c>
      <c r="DI11" s="73" t="n">
        <f aca="false">INDEX(Elbow_Engine!$E$277:$E$393,109)</f>
        <v>2</v>
      </c>
      <c r="DJ11" s="73" t="n">
        <f aca="false">INDEX(Elbow_Engine!$E$277:$E$393,110)</f>
        <v>2</v>
      </c>
      <c r="DK11" s="73" t="n">
        <f aca="false">INDEX(Elbow_Engine!$E$277:$E$393,111)</f>
        <v>2</v>
      </c>
      <c r="DL11" s="73" t="n">
        <f aca="false">INDEX(Elbow_Engine!$E$277:$E$393,112)</f>
        <v>2</v>
      </c>
      <c r="DM11" s="73" t="n">
        <f aca="false">INDEX(Elbow_Engine!$E$277:$E$393,113)</f>
        <v>2</v>
      </c>
      <c r="DN11" s="73" t="n">
        <f aca="false">INDEX(Elbow_Engine!$E$277:$E$393,114)</f>
        <v>2</v>
      </c>
      <c r="DO11" s="73" t="n">
        <f aca="false">INDEX(Elbow_Engine!$E$277:$E$393,115)</f>
        <v>2</v>
      </c>
      <c r="DP11" s="73" t="n">
        <f aca="false">INDEX(Elbow_Engine!$E$277:$E$393,116)</f>
        <v>2</v>
      </c>
      <c r="DQ11" s="73" t="n">
        <f aca="false">INDEX(Elbow_Engine!$E$277:$E$393,117)</f>
        <v>2</v>
      </c>
    </row>
    <row r="12" customFormat="false" ht="15" hidden="false" customHeight="false" outlineLevel="0" collapsed="false">
      <c r="A12" s="40" t="s">
        <v>772</v>
      </c>
      <c r="E12" s="73" t="n">
        <f aca="false">INDEX(Elbow_Engine!$E$408:$E$524,1)</f>
        <v>1</v>
      </c>
      <c r="F12" s="73" t="n">
        <f aca="false">INDEX(Elbow_Engine!$E$408:$E$524,2)</f>
        <v>1</v>
      </c>
      <c r="G12" s="73" t="n">
        <f aca="false">INDEX(Elbow_Engine!$E$408:$E$524,3)</f>
        <v>5</v>
      </c>
      <c r="H12" s="73" t="n">
        <f aca="false">INDEX(Elbow_Engine!$E$408:$E$524,4)</f>
        <v>5</v>
      </c>
      <c r="I12" s="73" t="n">
        <f aca="false">INDEX(Elbow_Engine!$E$408:$E$524,5)</f>
        <v>5</v>
      </c>
      <c r="J12" s="73" t="n">
        <f aca="false">INDEX(Elbow_Engine!$E$408:$E$524,6)</f>
        <v>5</v>
      </c>
      <c r="K12" s="73" t="n">
        <f aca="false">INDEX(Elbow_Engine!$E$408:$E$524,7)</f>
        <v>4</v>
      </c>
      <c r="L12" s="73" t="n">
        <f aca="false">INDEX(Elbow_Engine!$E$408:$E$524,8)</f>
        <v>3</v>
      </c>
      <c r="M12" s="73" t="n">
        <f aca="false">INDEX(Elbow_Engine!$E$408:$E$524,9)</f>
        <v>3</v>
      </c>
      <c r="N12" s="73" t="n">
        <f aca="false">INDEX(Elbow_Engine!$E$408:$E$524,10)</f>
        <v>4</v>
      </c>
      <c r="O12" s="73" t="n">
        <f aca="false">INDEX(Elbow_Engine!$E$408:$E$524,11)</f>
        <v>3</v>
      </c>
      <c r="P12" s="73" t="n">
        <f aca="false">INDEX(Elbow_Engine!$E$408:$E$524,12)</f>
        <v>3</v>
      </c>
      <c r="Q12" s="73" t="n">
        <f aca="false">INDEX(Elbow_Engine!$E$408:$E$524,13)</f>
        <v>3</v>
      </c>
      <c r="R12" s="73" t="n">
        <f aca="false">INDEX(Elbow_Engine!$E$408:$E$524,14)</f>
        <v>3</v>
      </c>
      <c r="S12" s="73" t="n">
        <f aca="false">INDEX(Elbow_Engine!$E$408:$E$524,15)</f>
        <v>3</v>
      </c>
      <c r="T12" s="73" t="n">
        <f aca="false">INDEX(Elbow_Engine!$E$408:$E$524,16)</f>
        <v>3</v>
      </c>
      <c r="U12" s="73" t="n">
        <f aca="false">INDEX(Elbow_Engine!$E$408:$E$524,17)</f>
        <v>3</v>
      </c>
      <c r="V12" s="73" t="n">
        <f aca="false">INDEX(Elbow_Engine!$E$408:$E$524,18)</f>
        <v>3</v>
      </c>
      <c r="W12" s="73" t="n">
        <f aca="false">INDEX(Elbow_Engine!$E$408:$E$524,19)</f>
        <v>3</v>
      </c>
      <c r="X12" s="73" t="n">
        <f aca="false">INDEX(Elbow_Engine!$E$408:$E$524,20)</f>
        <v>3</v>
      </c>
      <c r="Y12" s="73" t="n">
        <f aca="false">INDEX(Elbow_Engine!$E$408:$E$524,21)</f>
        <v>3</v>
      </c>
      <c r="Z12" s="73" t="n">
        <f aca="false">INDEX(Elbow_Engine!$E$408:$E$524,22)</f>
        <v>3</v>
      </c>
      <c r="AA12" s="73" t="n">
        <f aca="false">INDEX(Elbow_Engine!$E$408:$E$524,23)</f>
        <v>3</v>
      </c>
      <c r="AB12" s="73" t="n">
        <f aca="false">INDEX(Elbow_Engine!$E$408:$E$524,24)</f>
        <v>3</v>
      </c>
      <c r="AC12" s="73" t="n">
        <f aca="false">INDEX(Elbow_Engine!$E$408:$E$524,25)</f>
        <v>3</v>
      </c>
      <c r="AD12" s="73" t="n">
        <f aca="false">INDEX(Elbow_Engine!$E$408:$E$524,26)</f>
        <v>3</v>
      </c>
      <c r="AE12" s="73" t="n">
        <f aca="false">INDEX(Elbow_Engine!$E$408:$E$524,27)</f>
        <v>4</v>
      </c>
      <c r="AF12" s="73" t="n">
        <f aca="false">INDEX(Elbow_Engine!$E$408:$E$524,28)</f>
        <v>3</v>
      </c>
      <c r="AG12" s="73" t="n">
        <f aca="false">INDEX(Elbow_Engine!$E$408:$E$524,29)</f>
        <v>4</v>
      </c>
      <c r="AH12" s="73" t="n">
        <f aca="false">INDEX(Elbow_Engine!$E$408:$E$524,30)</f>
        <v>3</v>
      </c>
      <c r="AI12" s="73" t="n">
        <f aca="false">INDEX(Elbow_Engine!$E$408:$E$524,31)</f>
        <v>4</v>
      </c>
      <c r="AJ12" s="73" t="n">
        <f aca="false">INDEX(Elbow_Engine!$E$408:$E$524,32)</f>
        <v>3</v>
      </c>
      <c r="AK12" s="73" t="n">
        <f aca="false">INDEX(Elbow_Engine!$E$408:$E$524,33)</f>
        <v>3</v>
      </c>
      <c r="AL12" s="73" t="n">
        <f aca="false">INDEX(Elbow_Engine!$E$408:$E$524,34)</f>
        <v>6</v>
      </c>
      <c r="AM12" s="73" t="n">
        <f aca="false">INDEX(Elbow_Engine!$E$408:$E$524,35)</f>
        <v>3</v>
      </c>
      <c r="AN12" s="73" t="n">
        <f aca="false">INDEX(Elbow_Engine!$E$408:$E$524,36)</f>
        <v>3</v>
      </c>
      <c r="AO12" s="73" t="n">
        <f aca="false">INDEX(Elbow_Engine!$E$408:$E$524,37)</f>
        <v>3</v>
      </c>
      <c r="AP12" s="73" t="n">
        <f aca="false">INDEX(Elbow_Engine!$E$408:$E$524,38)</f>
        <v>3</v>
      </c>
      <c r="AQ12" s="73" t="n">
        <f aca="false">INDEX(Elbow_Engine!$E$408:$E$524,39)</f>
        <v>3</v>
      </c>
      <c r="AR12" s="73" t="n">
        <f aca="false">INDEX(Elbow_Engine!$E$408:$E$524,40)</f>
        <v>6</v>
      </c>
      <c r="AS12" s="73" t="n">
        <f aca="false">INDEX(Elbow_Engine!$E$408:$E$524,41)</f>
        <v>6</v>
      </c>
      <c r="AT12" s="73" t="n">
        <f aca="false">INDEX(Elbow_Engine!$E$408:$E$524,42)</f>
        <v>6</v>
      </c>
      <c r="AU12" s="73" t="n">
        <f aca="false">INDEX(Elbow_Engine!$E$408:$E$524,43)</f>
        <v>4</v>
      </c>
      <c r="AV12" s="73" t="n">
        <f aca="false">INDEX(Elbow_Engine!$E$408:$E$524,44)</f>
        <v>6</v>
      </c>
      <c r="AW12" s="73" t="n">
        <f aca="false">INDEX(Elbow_Engine!$E$408:$E$524,45)</f>
        <v>4</v>
      </c>
      <c r="AX12" s="73" t="n">
        <f aca="false">INDEX(Elbow_Engine!$E$408:$E$524,46)</f>
        <v>6</v>
      </c>
      <c r="AY12" s="73" t="n">
        <f aca="false">INDEX(Elbow_Engine!$E$408:$E$524,47)</f>
        <v>4</v>
      </c>
      <c r="AZ12" s="73" t="n">
        <f aca="false">INDEX(Elbow_Engine!$E$408:$E$524,48)</f>
        <v>6</v>
      </c>
      <c r="BA12" s="73" t="n">
        <f aca="false">INDEX(Elbow_Engine!$E$408:$E$524,49)</f>
        <v>6</v>
      </c>
      <c r="BB12" s="73" t="n">
        <f aca="false">INDEX(Elbow_Engine!$E$408:$E$524,50)</f>
        <v>4</v>
      </c>
      <c r="BC12" s="73" t="n">
        <f aca="false">INDEX(Elbow_Engine!$E$408:$E$524,51)</f>
        <v>4</v>
      </c>
      <c r="BD12" s="73" t="n">
        <f aca="false">INDEX(Elbow_Engine!$E$408:$E$524,52)</f>
        <v>4</v>
      </c>
      <c r="BE12" s="73" t="n">
        <f aca="false">INDEX(Elbow_Engine!$E$408:$E$524,53)</f>
        <v>4</v>
      </c>
      <c r="BF12" s="73" t="n">
        <f aca="false">INDEX(Elbow_Engine!$E$408:$E$524,54)</f>
        <v>3</v>
      </c>
      <c r="BG12" s="73" t="n">
        <f aca="false">INDEX(Elbow_Engine!$E$408:$E$524,55)</f>
        <v>6</v>
      </c>
      <c r="BH12" s="73" t="n">
        <f aca="false">INDEX(Elbow_Engine!$E$408:$E$524,56)</f>
        <v>4</v>
      </c>
      <c r="BI12" s="73" t="n">
        <f aca="false">INDEX(Elbow_Engine!$E$408:$E$524,57)</f>
        <v>4</v>
      </c>
      <c r="BJ12" s="73" t="n">
        <f aca="false">INDEX(Elbow_Engine!$E$408:$E$524,58)</f>
        <v>6</v>
      </c>
      <c r="BK12" s="73" t="n">
        <f aca="false">INDEX(Elbow_Engine!$E$408:$E$524,59)</f>
        <v>4</v>
      </c>
      <c r="BL12" s="73" t="n">
        <f aca="false">INDEX(Elbow_Engine!$E$408:$E$524,60)</f>
        <v>6</v>
      </c>
      <c r="BM12" s="73" t="n">
        <f aca="false">INDEX(Elbow_Engine!$E$408:$E$524,61)</f>
        <v>3</v>
      </c>
      <c r="BN12" s="73" t="n">
        <f aca="false">INDEX(Elbow_Engine!$E$408:$E$524,62)</f>
        <v>6</v>
      </c>
      <c r="BO12" s="73" t="n">
        <f aca="false">INDEX(Elbow_Engine!$E$408:$E$524,63)</f>
        <v>4</v>
      </c>
      <c r="BP12" s="73" t="n">
        <f aca="false">INDEX(Elbow_Engine!$E$408:$E$524,64)</f>
        <v>6</v>
      </c>
      <c r="BQ12" s="73" t="n">
        <f aca="false">INDEX(Elbow_Engine!$E$408:$E$524,65)</f>
        <v>6</v>
      </c>
      <c r="BR12" s="73" t="n">
        <f aca="false">INDEX(Elbow_Engine!$E$408:$E$524,66)</f>
        <v>6</v>
      </c>
      <c r="BS12" s="73" t="n">
        <f aca="false">INDEX(Elbow_Engine!$E$408:$E$524,67)</f>
        <v>6</v>
      </c>
      <c r="BT12" s="73" t="n">
        <f aca="false">INDEX(Elbow_Engine!$E$408:$E$524,68)</f>
        <v>6</v>
      </c>
      <c r="BU12" s="73" t="n">
        <f aca="false">INDEX(Elbow_Engine!$E$408:$E$524,69)</f>
        <v>6</v>
      </c>
      <c r="BV12" s="73" t="n">
        <f aca="false">INDEX(Elbow_Engine!$E$408:$E$524,70)</f>
        <v>4</v>
      </c>
      <c r="BW12" s="73" t="n">
        <f aca="false">INDEX(Elbow_Engine!$E$408:$E$524,71)</f>
        <v>6</v>
      </c>
      <c r="BX12" s="73" t="n">
        <f aca="false">INDEX(Elbow_Engine!$E$408:$E$524,72)</f>
        <v>4</v>
      </c>
      <c r="BY12" s="73" t="n">
        <f aca="false">INDEX(Elbow_Engine!$E$408:$E$524,73)</f>
        <v>6</v>
      </c>
      <c r="BZ12" s="73" t="n">
        <f aca="false">INDEX(Elbow_Engine!$E$408:$E$524,74)</f>
        <v>6</v>
      </c>
      <c r="CA12" s="73" t="n">
        <f aca="false">INDEX(Elbow_Engine!$E$408:$E$524,75)</f>
        <v>4</v>
      </c>
      <c r="CB12" s="73" t="n">
        <f aca="false">INDEX(Elbow_Engine!$E$408:$E$524,76)</f>
        <v>6</v>
      </c>
      <c r="CC12" s="73" t="n">
        <f aca="false">INDEX(Elbow_Engine!$E$408:$E$524,77)</f>
        <v>4</v>
      </c>
      <c r="CD12" s="73" t="n">
        <f aca="false">INDEX(Elbow_Engine!$E$408:$E$524,78)</f>
        <v>4</v>
      </c>
      <c r="CE12" s="73" t="n">
        <f aca="false">INDEX(Elbow_Engine!$E$408:$E$524,79)</f>
        <v>6</v>
      </c>
      <c r="CF12" s="73" t="n">
        <f aca="false">INDEX(Elbow_Engine!$E$408:$E$524,80)</f>
        <v>6</v>
      </c>
      <c r="CG12" s="73" t="n">
        <f aca="false">INDEX(Elbow_Engine!$E$408:$E$524,81)</f>
        <v>6</v>
      </c>
      <c r="CH12" s="73" t="n">
        <f aca="false">INDEX(Elbow_Engine!$E$408:$E$524,82)</f>
        <v>6</v>
      </c>
      <c r="CI12" s="73" t="n">
        <f aca="false">INDEX(Elbow_Engine!$E$408:$E$524,83)</f>
        <v>4</v>
      </c>
      <c r="CJ12" s="73" t="n">
        <f aca="false">INDEX(Elbow_Engine!$E$408:$E$524,84)</f>
        <v>4</v>
      </c>
      <c r="CK12" s="73" t="n">
        <f aca="false">INDEX(Elbow_Engine!$E$408:$E$524,85)</f>
        <v>6</v>
      </c>
      <c r="CL12" s="73" t="n">
        <f aca="false">INDEX(Elbow_Engine!$E$408:$E$524,86)</f>
        <v>2</v>
      </c>
      <c r="CM12" s="73" t="n">
        <f aca="false">INDEX(Elbow_Engine!$E$408:$E$524,87)</f>
        <v>6</v>
      </c>
      <c r="CN12" s="73" t="n">
        <f aca="false">INDEX(Elbow_Engine!$E$408:$E$524,88)</f>
        <v>6</v>
      </c>
      <c r="CO12" s="73" t="n">
        <f aca="false">INDEX(Elbow_Engine!$E$408:$E$524,89)</f>
        <v>6</v>
      </c>
      <c r="CP12" s="73" t="n">
        <f aca="false">INDEX(Elbow_Engine!$E$408:$E$524,90)</f>
        <v>2</v>
      </c>
      <c r="CQ12" s="73" t="n">
        <f aca="false">INDEX(Elbow_Engine!$E$408:$E$524,91)</f>
        <v>2</v>
      </c>
      <c r="CR12" s="73" t="n">
        <f aca="false">INDEX(Elbow_Engine!$E$408:$E$524,92)</f>
        <v>2</v>
      </c>
      <c r="CS12" s="73" t="n">
        <f aca="false">INDEX(Elbow_Engine!$E$408:$E$524,93)</f>
        <v>2</v>
      </c>
      <c r="CT12" s="73" t="n">
        <f aca="false">INDEX(Elbow_Engine!$E$408:$E$524,94)</f>
        <v>2</v>
      </c>
      <c r="CU12" s="73" t="n">
        <f aca="false">INDEX(Elbow_Engine!$E$408:$E$524,95)</f>
        <v>2</v>
      </c>
      <c r="CV12" s="73" t="n">
        <f aca="false">INDEX(Elbow_Engine!$E$408:$E$524,96)</f>
        <v>6</v>
      </c>
      <c r="CW12" s="73" t="n">
        <f aca="false">INDEX(Elbow_Engine!$E$408:$E$524,97)</f>
        <v>2</v>
      </c>
      <c r="CX12" s="73" t="n">
        <f aca="false">INDEX(Elbow_Engine!$E$408:$E$524,98)</f>
        <v>6</v>
      </c>
      <c r="CY12" s="73" t="n">
        <f aca="false">INDEX(Elbow_Engine!$E$408:$E$524,99)</f>
        <v>2</v>
      </c>
      <c r="CZ12" s="73" t="n">
        <f aca="false">INDEX(Elbow_Engine!$E$408:$E$524,100)</f>
        <v>2</v>
      </c>
      <c r="DA12" s="73" t="n">
        <f aca="false">INDEX(Elbow_Engine!$E$408:$E$524,101)</f>
        <v>2</v>
      </c>
      <c r="DB12" s="73" t="n">
        <f aca="false">INDEX(Elbow_Engine!$E$408:$E$524,102)</f>
        <v>2</v>
      </c>
      <c r="DC12" s="73" t="n">
        <f aca="false">INDEX(Elbow_Engine!$E$408:$E$524,103)</f>
        <v>2</v>
      </c>
      <c r="DD12" s="73" t="n">
        <f aca="false">INDEX(Elbow_Engine!$E$408:$E$524,104)</f>
        <v>2</v>
      </c>
      <c r="DE12" s="73" t="n">
        <f aca="false">INDEX(Elbow_Engine!$E$408:$E$524,105)</f>
        <v>2</v>
      </c>
      <c r="DF12" s="73" t="n">
        <f aca="false">INDEX(Elbow_Engine!$E$408:$E$524,106)</f>
        <v>2</v>
      </c>
      <c r="DG12" s="73" t="n">
        <f aca="false">INDEX(Elbow_Engine!$E$408:$E$524,107)</f>
        <v>2</v>
      </c>
      <c r="DH12" s="73" t="n">
        <f aca="false">INDEX(Elbow_Engine!$E$408:$E$524,108)</f>
        <v>2</v>
      </c>
      <c r="DI12" s="73" t="n">
        <f aca="false">INDEX(Elbow_Engine!$E$408:$E$524,109)</f>
        <v>2</v>
      </c>
      <c r="DJ12" s="73" t="n">
        <f aca="false">INDEX(Elbow_Engine!$E$408:$E$524,110)</f>
        <v>2</v>
      </c>
      <c r="DK12" s="73" t="n">
        <f aca="false">INDEX(Elbow_Engine!$E$408:$E$524,111)</f>
        <v>2</v>
      </c>
      <c r="DL12" s="73" t="n">
        <f aca="false">INDEX(Elbow_Engine!$E$408:$E$524,112)</f>
        <v>2</v>
      </c>
      <c r="DM12" s="73" t="n">
        <f aca="false">INDEX(Elbow_Engine!$E$408:$E$524,113)</f>
        <v>2</v>
      </c>
      <c r="DN12" s="73" t="n">
        <f aca="false">INDEX(Elbow_Engine!$E$408:$E$524,114)</f>
        <v>2</v>
      </c>
      <c r="DO12" s="73" t="n">
        <f aca="false">INDEX(Elbow_Engine!$E$408:$E$524,115)</f>
        <v>2</v>
      </c>
      <c r="DP12" s="73" t="n">
        <f aca="false">INDEX(Elbow_Engine!$E$408:$E$524,116)</f>
        <v>2</v>
      </c>
      <c r="DQ12" s="73" t="n">
        <f aca="false">INDEX(Elbow_Engine!$E$408:$E$524,117)</f>
        <v>2</v>
      </c>
    </row>
    <row r="13" customFormat="false" ht="31.5" hidden="false" customHeight="true" outlineLevel="0" collapsed="false">
      <c r="A13" s="10" t="s">
        <v>89</v>
      </c>
      <c r="B13" s="10" t="s">
        <v>701</v>
      </c>
      <c r="C13" s="10" t="s">
        <v>702</v>
      </c>
      <c r="D13" s="10" t="s">
        <v>703</v>
      </c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</row>
    <row r="14" customFormat="false" ht="15" hidden="false" customHeight="false" outlineLevel="0" collapsed="false">
      <c r="A14" s="48" t="str">
        <f aca="false">KMeans_Data!A5</f>
        <v>Karachi</v>
      </c>
      <c r="B14" s="72" t="n">
        <f aca="false">KMeans_Data!H5</f>
        <v>3.2743087782752</v>
      </c>
      <c r="C14" s="72" t="n">
        <f aca="false">KMeans_Data!I5</f>
        <v>4.03885179691129</v>
      </c>
      <c r="D14" s="72" t="n">
        <f aca="false">KMeans_Data!J5</f>
        <v>3.25271285960204</v>
      </c>
      <c r="E14" s="74" t="n">
        <f aca="false">SQRT(($B14-E$5)^2+($C14-E$6)^2+($D14-E$7)^2)</f>
        <v>0</v>
      </c>
      <c r="F14" s="74" t="n">
        <f aca="false">SQRT(($B14-F$5)^2+($C14-F$6)^2+($D14-F$7)^2)</f>
        <v>0.584737406898874</v>
      </c>
      <c r="G14" s="74" t="n">
        <f aca="false">SQRT(($B14-G$5)^2+($C14-G$6)^2+($D14-G$7)^2)</f>
        <v>2.15562975043914</v>
      </c>
      <c r="H14" s="74" t="n">
        <f aca="false">SQRT(($B14-H$5)^2+($C14-H$6)^2+($D14-H$7)^2)</f>
        <v>1.92143186127921</v>
      </c>
      <c r="I14" s="74" t="n">
        <f aca="false">SQRT(($B14-I$5)^2+($C14-I$6)^2+($D14-I$7)^2)</f>
        <v>2.74440135734622</v>
      </c>
      <c r="J14" s="74" t="n">
        <f aca="false">SQRT(($B14-J$5)^2+($C14-J$6)^2+($D14-J$7)^2)</f>
        <v>3.11649342466592</v>
      </c>
      <c r="K14" s="74" t="n">
        <f aca="false">SQRT(($B14-K$5)^2+($C14-K$6)^2+($D14-K$7)^2)</f>
        <v>5.95048749318587</v>
      </c>
      <c r="L14" s="74" t="n">
        <f aca="false">SQRT(($B14-L$5)^2+($C14-L$6)^2+($D14-L$7)^2)</f>
        <v>4.17270705171046</v>
      </c>
      <c r="M14" s="74" t="n">
        <f aca="false">SQRT(($B14-M$5)^2+($C14-M$6)^2+($D14-M$7)^2)</f>
        <v>3.80496885952581</v>
      </c>
      <c r="N14" s="74" t="n">
        <f aca="false">SQRT(($B14-N$5)^2+($C14-N$6)^2+($D14-N$7)^2)</f>
        <v>6.20006570834277</v>
      </c>
      <c r="O14" s="74" t="n">
        <f aca="false">SQRT(($B14-O$5)^2+($C14-O$6)^2+($D14-O$7)^2)</f>
        <v>4.03066852095808</v>
      </c>
      <c r="P14" s="74" t="n">
        <f aca="false">SQRT(($B14-P$5)^2+($C14-P$6)^2+($D14-P$7)^2)</f>
        <v>3.7571699748409</v>
      </c>
      <c r="Q14" s="74" t="n">
        <f aca="false">SQRT(($B14-Q$5)^2+($C14-Q$6)^2+($D14-Q$7)^2)</f>
        <v>4.35573965586675</v>
      </c>
      <c r="R14" s="74" t="n">
        <f aca="false">SQRT(($B14-R$5)^2+($C14-R$6)^2+($D14-R$7)^2)</f>
        <v>4.64515792720078</v>
      </c>
      <c r="S14" s="74" t="n">
        <f aca="false">SQRT(($B14-S$5)^2+($C14-S$6)^2+($D14-S$7)^2)</f>
        <v>5.19700942044935</v>
      </c>
      <c r="T14" s="74" t="n">
        <f aca="false">SQRT(($B14-T$5)^2+($C14-T$6)^2+($D14-T$7)^2)</f>
        <v>4.43462744470065</v>
      </c>
      <c r="U14" s="74" t="n">
        <f aca="false">SQRT(($B14-U$5)^2+($C14-U$6)^2+($D14-U$7)^2)</f>
        <v>4.68145377022651</v>
      </c>
      <c r="V14" s="74" t="n">
        <f aca="false">SQRT(($B14-V$5)^2+($C14-V$6)^2+($D14-V$7)^2)</f>
        <v>4.45718422157071</v>
      </c>
      <c r="W14" s="74" t="n">
        <f aca="false">SQRT(($B14-W$5)^2+($C14-W$6)^2+($D14-W$7)^2)</f>
        <v>4.2790585979296</v>
      </c>
      <c r="X14" s="74" t="n">
        <f aca="false">SQRT(($B14-X$5)^2+($C14-X$6)^2+($D14-X$7)^2)</f>
        <v>4.61500990770194</v>
      </c>
      <c r="Y14" s="74" t="n">
        <f aca="false">SQRT(($B14-Y$5)^2+($C14-Y$6)^2+($D14-Y$7)^2)</f>
        <v>4.53655738479708</v>
      </c>
      <c r="Z14" s="74" t="n">
        <f aca="false">SQRT(($B14-Z$5)^2+($C14-Z$6)^2+($D14-Z$7)^2)</f>
        <v>4.85836723486541</v>
      </c>
      <c r="AA14" s="74" t="n">
        <f aca="false">SQRT(($B14-AA$5)^2+($C14-AA$6)^2+($D14-AA$7)^2)</f>
        <v>5.14816911939323</v>
      </c>
      <c r="AB14" s="74" t="n">
        <f aca="false">SQRT(($B14-AB$5)^2+($C14-AB$6)^2+($D14-AB$7)^2)</f>
        <v>5.00758520888784</v>
      </c>
      <c r="AC14" s="74" t="n">
        <f aca="false">SQRT(($B14-AC$5)^2+($C14-AC$6)^2+($D14-AC$7)^2)</f>
        <v>4.44423821278105</v>
      </c>
      <c r="AD14" s="74" t="n">
        <f aca="false">SQRT(($B14-AD$5)^2+($C14-AD$6)^2+($D14-AD$7)^2)</f>
        <v>4.57744212550846</v>
      </c>
      <c r="AE14" s="74" t="n">
        <f aca="false">SQRT(($B14-AE$5)^2+($C14-AE$6)^2+($D14-AE$7)^2)</f>
        <v>6.61637996962902</v>
      </c>
      <c r="AF14" s="74" t="n">
        <f aca="false">SQRT(($B14-AF$5)^2+($C14-AF$6)^2+($D14-AF$7)^2)</f>
        <v>4.90321696714872</v>
      </c>
      <c r="AG14" s="74" t="n">
        <f aca="false">SQRT(($B14-AG$5)^2+($C14-AG$6)^2+($D14-AG$7)^2)</f>
        <v>6.54299969229988</v>
      </c>
      <c r="AH14" s="74" t="n">
        <f aca="false">SQRT(($B14-AH$5)^2+($C14-AH$6)^2+($D14-AH$7)^2)</f>
        <v>5.33100349295761</v>
      </c>
      <c r="AI14" s="74" t="n">
        <f aca="false">SQRT(($B14-AI$5)^2+($C14-AI$6)^2+($D14-AI$7)^2)</f>
        <v>6.54430428513413</v>
      </c>
      <c r="AJ14" s="74" t="n">
        <f aca="false">SQRT(($B14-AJ$5)^2+($C14-AJ$6)^2+($D14-AJ$7)^2)</f>
        <v>4.90774869404622</v>
      </c>
      <c r="AK14" s="74" t="n">
        <f aca="false">SQRT(($B14-AK$5)^2+($C14-AK$6)^2+($D14-AK$7)^2)</f>
        <v>5.45127311245764</v>
      </c>
      <c r="AL14" s="74" t="n">
        <f aca="false">SQRT(($B14-AL$5)^2+($C14-AL$6)^2+($D14-AL$7)^2)</f>
        <v>5.70934419366739</v>
      </c>
      <c r="AM14" s="74" t="n">
        <f aca="false">SQRT(($B14-AM$5)^2+($C14-AM$6)^2+($D14-AM$7)^2)</f>
        <v>4.84982323598635</v>
      </c>
      <c r="AN14" s="74" t="n">
        <f aca="false">SQRT(($B14-AN$5)^2+($C14-AN$6)^2+($D14-AN$7)^2)</f>
        <v>4.76882981559524</v>
      </c>
      <c r="AO14" s="74" t="n">
        <f aca="false">SQRT(($B14-AO$5)^2+($C14-AO$6)^2+($D14-AO$7)^2)</f>
        <v>5.36910920761941</v>
      </c>
      <c r="AP14" s="74" t="n">
        <f aca="false">SQRT(($B14-AP$5)^2+($C14-AP$6)^2+($D14-AP$7)^2)</f>
        <v>5.41197722243839</v>
      </c>
      <c r="AQ14" s="74" t="n">
        <f aca="false">SQRT(($B14-AQ$5)^2+($C14-AQ$6)^2+($D14-AQ$7)^2)</f>
        <v>4.77038426226699</v>
      </c>
      <c r="AR14" s="74" t="n">
        <f aca="false">SQRT(($B14-AR$5)^2+($C14-AR$6)^2+($D14-AR$7)^2)</f>
        <v>5.87022459726912</v>
      </c>
      <c r="AS14" s="74" t="n">
        <f aca="false">SQRT(($B14-AS$5)^2+($C14-AS$6)^2+($D14-AS$7)^2)</f>
        <v>5.99739197654582</v>
      </c>
      <c r="AT14" s="74" t="n">
        <f aca="false">SQRT(($B14-AT$5)^2+($C14-AT$6)^2+($D14-AT$7)^2)</f>
        <v>5.71555391045852</v>
      </c>
      <c r="AU14" s="74" t="n">
        <f aca="false">SQRT(($B14-AU$5)^2+($C14-AU$6)^2+($D14-AU$7)^2)</f>
        <v>6.45909936721902</v>
      </c>
      <c r="AV14" s="74" t="n">
        <f aca="false">SQRT(($B14-AV$5)^2+($C14-AV$6)^2+($D14-AV$7)^2)</f>
        <v>6.22905502444889</v>
      </c>
      <c r="AW14" s="74" t="n">
        <f aca="false">SQRT(($B14-AW$5)^2+($C14-AW$6)^2+($D14-AW$7)^2)</f>
        <v>6.93086632696364</v>
      </c>
      <c r="AX14" s="74" t="n">
        <f aca="false">SQRT(($B14-AX$5)^2+($C14-AX$6)^2+($D14-AX$7)^2)</f>
        <v>5.70413302159258</v>
      </c>
      <c r="AY14" s="74" t="n">
        <f aca="false">SQRT(($B14-AY$5)^2+($C14-AY$6)^2+($D14-AY$7)^2)</f>
        <v>7.14067054710151</v>
      </c>
      <c r="AZ14" s="74" t="n">
        <f aca="false">SQRT(($B14-AZ$5)^2+($C14-AZ$6)^2+($D14-AZ$7)^2)</f>
        <v>6.04755380426011</v>
      </c>
      <c r="BA14" s="74" t="n">
        <f aca="false">SQRT(($B14-BA$5)^2+($C14-BA$6)^2+($D14-BA$7)^2)</f>
        <v>5.7483282810053</v>
      </c>
      <c r="BB14" s="74" t="n">
        <f aca="false">SQRT(($B14-BB$5)^2+($C14-BB$6)^2+($D14-BB$7)^2)</f>
        <v>7.14349075775095</v>
      </c>
      <c r="BC14" s="74" t="n">
        <f aca="false">SQRT(($B14-BC$5)^2+($C14-BC$6)^2+($D14-BC$7)^2)</f>
        <v>7.14635187409098</v>
      </c>
      <c r="BD14" s="74" t="n">
        <f aca="false">SQRT(($B14-BD$5)^2+($C14-BD$6)^2+($D14-BD$7)^2)</f>
        <v>6.77926767473373</v>
      </c>
      <c r="BE14" s="74" t="n">
        <f aca="false">SQRT(($B14-BE$5)^2+($C14-BE$6)^2+($D14-BE$7)^2)</f>
        <v>6.6457002194291</v>
      </c>
      <c r="BF14" s="74" t="n">
        <f aca="false">SQRT(($B14-BF$5)^2+($C14-BF$6)^2+($D14-BF$7)^2)</f>
        <v>4.80457793575169</v>
      </c>
      <c r="BG14" s="74" t="n">
        <f aca="false">SQRT(($B14-BG$5)^2+($C14-BG$6)^2+($D14-BG$7)^2)</f>
        <v>5.87639549417765</v>
      </c>
      <c r="BH14" s="74" t="n">
        <f aca="false">SQRT(($B14-BH$5)^2+($C14-BH$6)^2+($D14-BH$7)^2)</f>
        <v>7.19142094483798</v>
      </c>
      <c r="BI14" s="74" t="n">
        <f aca="false">SQRT(($B14-BI$5)^2+($C14-BI$6)^2+($D14-BI$7)^2)</f>
        <v>7.19876486075222</v>
      </c>
      <c r="BJ14" s="74" t="n">
        <f aca="false">SQRT(($B14-BJ$5)^2+($C14-BJ$6)^2+($D14-BJ$7)^2)</f>
        <v>5.76973078701142</v>
      </c>
      <c r="BK14" s="74" t="n">
        <f aca="false">SQRT(($B14-BK$5)^2+($C14-BK$6)^2+($D14-BK$7)^2)</f>
        <v>6.79864298983629</v>
      </c>
      <c r="BL14" s="74" t="n">
        <f aca="false">SQRT(($B14-BL$5)^2+($C14-BL$6)^2+($D14-BL$7)^2)</f>
        <v>6.42548092998272</v>
      </c>
      <c r="BM14" s="74" t="n">
        <f aca="false">SQRT(($B14-BM$5)^2+($C14-BM$6)^2+($D14-BM$7)^2)</f>
        <v>5.54024690953817</v>
      </c>
      <c r="BN14" s="74" t="n">
        <f aca="false">SQRT(($B14-BN$5)^2+($C14-BN$6)^2+($D14-BN$7)^2)</f>
        <v>6.02934929788541</v>
      </c>
      <c r="BO14" s="74" t="n">
        <f aca="false">SQRT(($B14-BO$5)^2+($C14-BO$6)^2+($D14-BO$7)^2)</f>
        <v>7.06907020065435</v>
      </c>
      <c r="BP14" s="74" t="n">
        <f aca="false">SQRT(($B14-BP$5)^2+($C14-BP$6)^2+($D14-BP$7)^2)</f>
        <v>5.94497441444557</v>
      </c>
      <c r="BQ14" s="74" t="n">
        <f aca="false">SQRT(($B14-BQ$5)^2+($C14-BQ$6)^2+($D14-BQ$7)^2)</f>
        <v>6.10075211782889</v>
      </c>
      <c r="BR14" s="74" t="n">
        <f aca="false">SQRT(($B14-BR$5)^2+($C14-BR$6)^2+($D14-BR$7)^2)</f>
        <v>6.09144375722268</v>
      </c>
      <c r="BS14" s="74" t="n">
        <f aca="false">SQRT(($B14-BS$5)^2+($C14-BS$6)^2+($D14-BS$7)^2)</f>
        <v>6.41352976848323</v>
      </c>
      <c r="BT14" s="74" t="n">
        <f aca="false">SQRT(($B14-BT$5)^2+($C14-BT$6)^2+($D14-BT$7)^2)</f>
        <v>6.61273726401933</v>
      </c>
      <c r="BU14" s="74" t="n">
        <f aca="false">SQRT(($B14-BU$5)^2+($C14-BU$6)^2+($D14-BU$7)^2)</f>
        <v>6.65224140953836</v>
      </c>
      <c r="BV14" s="74" t="n">
        <f aca="false">SQRT(($B14-BV$5)^2+($C14-BV$6)^2+($D14-BV$7)^2)</f>
        <v>7.35081663720413</v>
      </c>
      <c r="BW14" s="74" t="n">
        <f aca="false">SQRT(($B14-BW$5)^2+($C14-BW$6)^2+($D14-BW$7)^2)</f>
        <v>6.602995999108</v>
      </c>
      <c r="BX14" s="74" t="n">
        <f aca="false">SQRT(($B14-BX$5)^2+($C14-BX$6)^2+($D14-BX$7)^2)</f>
        <v>7.35853028224167</v>
      </c>
      <c r="BY14" s="74" t="n">
        <f aca="false">SQRT(($B14-BY$5)^2+($C14-BY$6)^2+($D14-BY$7)^2)</f>
        <v>6.84395018685736</v>
      </c>
      <c r="BZ14" s="74" t="n">
        <f aca="false">SQRT(($B14-BZ$5)^2+($C14-BZ$6)^2+($D14-BZ$7)^2)</f>
        <v>6.88442683577779</v>
      </c>
      <c r="CA14" s="74" t="n">
        <f aca="false">SQRT(($B14-CA$5)^2+($C14-CA$6)^2+($D14-CA$7)^2)</f>
        <v>7.38338582905211</v>
      </c>
      <c r="CB14" s="74" t="n">
        <f aca="false">SQRT(($B14-CB$5)^2+($C14-CB$6)^2+($D14-CB$7)^2)</f>
        <v>6.89399889685623</v>
      </c>
      <c r="CC14" s="74" t="n">
        <f aca="false">SQRT(($B14-CC$5)^2+($C14-CC$6)^2+($D14-CC$7)^2)</f>
        <v>7.39231183279798</v>
      </c>
      <c r="CD14" s="74" t="n">
        <f aca="false">SQRT(($B14-CD$5)^2+($C14-CD$6)^2+($D14-CD$7)^2)</f>
        <v>7.41127487875453</v>
      </c>
      <c r="CE14" s="74" t="n">
        <f aca="false">SQRT(($B14-CE$5)^2+($C14-CE$6)^2+($D14-CE$7)^2)</f>
        <v>6.78483078825686</v>
      </c>
      <c r="CF14" s="74" t="n">
        <f aca="false">SQRT(($B14-CF$5)^2+($C14-CF$6)^2+($D14-CF$7)^2)</f>
        <v>6.38345263270034</v>
      </c>
      <c r="CG14" s="74" t="n">
        <f aca="false">SQRT(($B14-CG$5)^2+($C14-CG$6)^2+($D14-CG$7)^2)</f>
        <v>6.6999482057459</v>
      </c>
      <c r="CH14" s="74" t="n">
        <f aca="false">SQRT(($B14-CH$5)^2+($C14-CH$6)^2+($D14-CH$7)^2)</f>
        <v>7.04033708091628</v>
      </c>
      <c r="CI14" s="74" t="n">
        <f aca="false">SQRT(($B14-CI$5)^2+($C14-CI$6)^2+($D14-CI$7)^2)</f>
        <v>7.12084562266141</v>
      </c>
      <c r="CJ14" s="74" t="n">
        <f aca="false">SQRT(($B14-CJ$5)^2+($C14-CJ$6)^2+($D14-CJ$7)^2)</f>
        <v>7.30929257984732</v>
      </c>
      <c r="CK14" s="74" t="n">
        <f aca="false">SQRT(($B14-CK$5)^2+($C14-CK$6)^2+($D14-CK$7)^2)</f>
        <v>6.93209827157873</v>
      </c>
      <c r="CL14" s="74" t="n">
        <f aca="false">SQRT(($B14-CL$5)^2+($C14-CL$6)^2+($D14-CL$7)^2)</f>
        <v>7.53921080313601</v>
      </c>
      <c r="CM14" s="74" t="n">
        <f aca="false">SQRT(($B14-CM$5)^2+($C14-CM$6)^2+($D14-CM$7)^2)</f>
        <v>7.08698051014777</v>
      </c>
      <c r="CN14" s="74" t="n">
        <f aca="false">SQRT(($B14-CN$5)^2+($C14-CN$6)^2+($D14-CN$7)^2)</f>
        <v>6.34444553438655</v>
      </c>
      <c r="CO14" s="74" t="n">
        <f aca="false">SQRT(($B14-CO$5)^2+($C14-CO$6)^2+($D14-CO$7)^2)</f>
        <v>6.74327164312577</v>
      </c>
      <c r="CP14" s="74" t="n">
        <f aca="false">SQRT(($B14-CP$5)^2+($C14-CP$6)^2+($D14-CP$7)^2)</f>
        <v>7.59583452709132</v>
      </c>
      <c r="CQ14" s="74" t="n">
        <f aca="false">SQRT(($B14-CQ$5)^2+($C14-CQ$6)^2+($D14-CQ$7)^2)</f>
        <v>7.21310900361067</v>
      </c>
      <c r="CR14" s="74" t="n">
        <f aca="false">SQRT(($B14-CR$5)^2+($C14-CR$6)^2+($D14-CR$7)^2)</f>
        <v>7.19643967194252</v>
      </c>
      <c r="CS14" s="74" t="n">
        <f aca="false">SQRT(($B14-CS$5)^2+($C14-CS$6)^2+($D14-CS$7)^2)</f>
        <v>7.64219541328385</v>
      </c>
      <c r="CT14" s="74" t="n">
        <f aca="false">SQRT(($B14-CT$5)^2+($C14-CT$6)^2+($D14-CT$7)^2)</f>
        <v>7.66896199778013</v>
      </c>
      <c r="CU14" s="74" t="n">
        <f aca="false">SQRT(($B14-CU$5)^2+($C14-CU$6)^2+($D14-CU$7)^2)</f>
        <v>7.1703290216323</v>
      </c>
      <c r="CV14" s="74" t="n">
        <f aca="false">SQRT(($B14-CV$5)^2+($C14-CV$6)^2+($D14-CV$7)^2)</f>
        <v>6.95650104174171</v>
      </c>
      <c r="CW14" s="74" t="n">
        <f aca="false">SQRT(($B14-CW$5)^2+($C14-CW$6)^2+($D14-CW$7)^2)</f>
        <v>7.66896199778013</v>
      </c>
      <c r="CX14" s="74" t="n">
        <f aca="false">SQRT(($B14-CX$5)^2+($C14-CX$6)^2+($D14-CX$7)^2)</f>
        <v>7.12262940672578</v>
      </c>
      <c r="CY14" s="74" t="n">
        <f aca="false">SQRT(($B14-CY$5)^2+($C14-CY$6)^2+($D14-CY$7)^2)</f>
        <v>7.69881475468762</v>
      </c>
      <c r="CZ14" s="74" t="n">
        <f aca="false">SQRT(($B14-CZ$5)^2+($C14-CZ$6)^2+($D14-CZ$7)^2)</f>
        <v>7.69881475468762</v>
      </c>
      <c r="DA14" s="74" t="n">
        <f aca="false">SQRT(($B14-DA$5)^2+($C14-DA$6)^2+($D14-DA$7)^2)</f>
        <v>7.35074458018159</v>
      </c>
      <c r="DB14" s="74" t="n">
        <f aca="false">SQRT(($B14-DB$5)^2+($C14-DB$6)^2+($D14-DB$7)^2)</f>
        <v>7.73251123919131</v>
      </c>
      <c r="DC14" s="74" t="n">
        <f aca="false">SQRT(($B14-DC$5)^2+($C14-DC$6)^2+($D14-DC$7)^2)</f>
        <v>7.73251123919131</v>
      </c>
      <c r="DD14" s="74" t="n">
        <f aca="false">SQRT(($B14-DD$5)^2+($C14-DD$6)^2+($D14-DD$7)^2)</f>
        <v>7.45470370665017</v>
      </c>
      <c r="DE14" s="74" t="n">
        <f aca="false">SQRT(($B14-DE$5)^2+($C14-DE$6)^2+($D14-DE$7)^2)</f>
        <v>7.64009488075629</v>
      </c>
      <c r="DF14" s="74" t="n">
        <f aca="false">SQRT(($B14-DF$5)^2+($C14-DF$6)^2+($D14-DF$7)^2)</f>
        <v>7.93750965384981</v>
      </c>
      <c r="DG14" s="74" t="n">
        <f aca="false">SQRT(($B14-DG$5)^2+($C14-DG$6)^2+($D14-DG$7)^2)</f>
        <v>8.02581663311103</v>
      </c>
      <c r="DH14" s="74" t="n">
        <f aca="false">SQRT(($B14-DH$5)^2+($C14-DH$6)^2+($D14-DH$7)^2)</f>
        <v>8.02581663311103</v>
      </c>
      <c r="DI14" s="74" t="n">
        <f aca="false">SQRT(($B14-DI$5)^2+($C14-DI$6)^2+($D14-DI$7)^2)</f>
        <v>8.02581663311103</v>
      </c>
      <c r="DJ14" s="74" t="n">
        <f aca="false">SQRT(($B14-DJ$5)^2+($C14-DJ$6)^2+($D14-DJ$7)^2)</f>
        <v>8.02581663311103</v>
      </c>
      <c r="DK14" s="74" t="n">
        <f aca="false">SQRT(($B14-DK$5)^2+($C14-DK$6)^2+($D14-DK$7)^2)</f>
        <v>8.15332373062299</v>
      </c>
      <c r="DL14" s="74" t="n">
        <f aca="false">SQRT(($B14-DL$5)^2+($C14-DL$6)^2+($D14-DL$7)^2)</f>
        <v>8.15332373062299</v>
      </c>
      <c r="DM14" s="74" t="n">
        <f aca="false">SQRT(($B14-DM$5)^2+($C14-DM$6)^2+($D14-DM$7)^2)</f>
        <v>8.15332373062299</v>
      </c>
      <c r="DN14" s="74" t="n">
        <f aca="false">SQRT(($B14-DN$5)^2+($C14-DN$6)^2+($D14-DN$7)^2)</f>
        <v>8.15332373062299</v>
      </c>
      <c r="DO14" s="74" t="n">
        <f aca="false">SQRT(($B14-DO$5)^2+($C14-DO$6)^2+($D14-DO$7)^2)</f>
        <v>8.15332373062299</v>
      </c>
      <c r="DP14" s="74" t="n">
        <f aca="false">SQRT(($B14-DP$5)^2+($C14-DP$6)^2+($D14-DP$7)^2)</f>
        <v>8.37911780072121</v>
      </c>
      <c r="DQ14" s="74" t="n">
        <f aca="false">SQRT(($B14-DQ$5)^2+($C14-DQ$6)^2+($D14-DQ$7)^2)</f>
        <v>8.37911780072121</v>
      </c>
    </row>
    <row r="15" customFormat="false" ht="15" hidden="false" customHeight="false" outlineLevel="0" collapsed="false">
      <c r="A15" s="48" t="str">
        <f aca="false">KMeans_Data!A6</f>
        <v>Lahore</v>
      </c>
      <c r="B15" s="72" t="n">
        <f aca="false">KMeans_Data!H6</f>
        <v>3.25015139617543</v>
      </c>
      <c r="C15" s="72" t="n">
        <f aca="false">KMeans_Data!I6</f>
        <v>4.15684103709117</v>
      </c>
      <c r="D15" s="72" t="n">
        <f aca="false">KMeans_Data!J6</f>
        <v>2.68051289882026</v>
      </c>
      <c r="E15" s="74" t="n">
        <f aca="false">SQRT(($B15-E$5)^2+($C15-E$6)^2+($D15-E$7)^2)</f>
        <v>0.584737406898874</v>
      </c>
      <c r="F15" s="74" t="n">
        <f aca="false">SQRT(($B15-F$5)^2+($C15-F$6)^2+($D15-F$7)^2)</f>
        <v>0</v>
      </c>
      <c r="G15" s="74" t="n">
        <f aca="false">SQRT(($B15-G$5)^2+($C15-G$6)^2+($D15-G$7)^2)</f>
        <v>2.08541009180941</v>
      </c>
      <c r="H15" s="74" t="n">
        <f aca="false">SQRT(($B15-H$5)^2+($C15-H$6)^2+($D15-H$7)^2)</f>
        <v>1.5019450606752</v>
      </c>
      <c r="I15" s="74" t="n">
        <f aca="false">SQRT(($B15-I$5)^2+($C15-I$6)^2+($D15-I$7)^2)</f>
        <v>2.55049919039827</v>
      </c>
      <c r="J15" s="74" t="n">
        <f aca="false">SQRT(($B15-J$5)^2+($C15-J$6)^2+($D15-J$7)^2)</f>
        <v>2.88522478769483</v>
      </c>
      <c r="K15" s="74" t="n">
        <f aca="false">SQRT(($B15-K$5)^2+($C15-K$6)^2+($D15-K$7)^2)</f>
        <v>5.64854341815136</v>
      </c>
      <c r="L15" s="74" t="n">
        <f aca="false">SQRT(($B15-L$5)^2+($C15-L$6)^2+($D15-L$7)^2)</f>
        <v>4.08660252543556</v>
      </c>
      <c r="M15" s="74" t="n">
        <f aca="false">SQRT(($B15-M$5)^2+($C15-M$6)^2+($D15-M$7)^2)</f>
        <v>3.68881997113968</v>
      </c>
      <c r="N15" s="74" t="n">
        <f aca="false">SQRT(($B15-N$5)^2+($C15-N$6)^2+($D15-N$7)^2)</f>
        <v>5.91645619344459</v>
      </c>
      <c r="O15" s="74" t="n">
        <f aca="false">SQRT(($B15-O$5)^2+($C15-O$6)^2+($D15-O$7)^2)</f>
        <v>3.80770030987268</v>
      </c>
      <c r="P15" s="74" t="n">
        <f aca="false">SQRT(($B15-P$5)^2+($C15-P$6)^2+($D15-P$7)^2)</f>
        <v>3.5359901973282</v>
      </c>
      <c r="Q15" s="74" t="n">
        <f aca="false">SQRT(($B15-Q$5)^2+($C15-Q$6)^2+($D15-Q$7)^2)</f>
        <v>4.17603502833719</v>
      </c>
      <c r="R15" s="74" t="n">
        <f aca="false">SQRT(($B15-R$5)^2+($C15-R$6)^2+($D15-R$7)^2)</f>
        <v>4.54261803543023</v>
      </c>
      <c r="S15" s="74" t="n">
        <f aca="false">SQRT(($B15-S$5)^2+($C15-S$6)^2+($D15-S$7)^2)</f>
        <v>5.08350826735354</v>
      </c>
      <c r="T15" s="74" t="n">
        <f aca="false">SQRT(($B15-T$5)^2+($C15-T$6)^2+($D15-T$7)^2)</f>
        <v>4.24668071719592</v>
      </c>
      <c r="U15" s="74" t="n">
        <f aca="false">SQRT(($B15-U$5)^2+($C15-U$6)^2+($D15-U$7)^2)</f>
        <v>4.59297230374449</v>
      </c>
      <c r="V15" s="74" t="n">
        <f aca="false">SQRT(($B15-V$5)^2+($C15-V$6)^2+($D15-V$7)^2)</f>
        <v>4.20758996184</v>
      </c>
      <c r="W15" s="74" t="n">
        <f aca="false">SQRT(($B15-W$5)^2+($C15-W$6)^2+($D15-W$7)^2)</f>
        <v>4.06315498675111</v>
      </c>
      <c r="X15" s="74" t="n">
        <f aca="false">SQRT(($B15-X$5)^2+($C15-X$6)^2+($D15-X$7)^2)</f>
        <v>4.44412892323696</v>
      </c>
      <c r="Y15" s="74" t="n">
        <f aca="false">SQRT(($B15-Y$5)^2+($C15-Y$6)^2+($D15-Y$7)^2)</f>
        <v>4.39260061519493</v>
      </c>
      <c r="Z15" s="74" t="n">
        <f aca="false">SQRT(($B15-Z$5)^2+($C15-Z$6)^2+($D15-Z$7)^2)</f>
        <v>4.64480269838379</v>
      </c>
      <c r="AA15" s="74" t="n">
        <f aca="false">SQRT(($B15-AA$5)^2+($C15-AA$6)^2+($D15-AA$7)^2)</f>
        <v>5.00162726858181</v>
      </c>
      <c r="AB15" s="74" t="n">
        <f aca="false">SQRT(($B15-AB$5)^2+($C15-AB$6)^2+($D15-AB$7)^2)</f>
        <v>4.81272850077234</v>
      </c>
      <c r="AC15" s="74" t="n">
        <f aca="false">SQRT(($B15-AC$5)^2+($C15-AC$6)^2+($D15-AC$7)^2)</f>
        <v>4.20826896491245</v>
      </c>
      <c r="AD15" s="74" t="n">
        <f aca="false">SQRT(($B15-AD$5)^2+($C15-AD$6)^2+($D15-AD$7)^2)</f>
        <v>4.43566073324104</v>
      </c>
      <c r="AE15" s="74" t="n">
        <f aca="false">SQRT(($B15-AE$5)^2+($C15-AE$6)^2+($D15-AE$7)^2)</f>
        <v>6.32026007457936</v>
      </c>
      <c r="AF15" s="74" t="n">
        <f aca="false">SQRT(($B15-AF$5)^2+($C15-AF$6)^2+($D15-AF$7)^2)</f>
        <v>4.72466115228983</v>
      </c>
      <c r="AG15" s="74" t="n">
        <f aca="false">SQRT(($B15-AG$5)^2+($C15-AG$6)^2+($D15-AG$7)^2)</f>
        <v>6.32094180943099</v>
      </c>
      <c r="AH15" s="74" t="n">
        <f aca="false">SQRT(($B15-AH$5)^2+($C15-AH$6)^2+($D15-AH$7)^2)</f>
        <v>5.16898755528947</v>
      </c>
      <c r="AI15" s="74" t="n">
        <f aca="false">SQRT(($B15-AI$5)^2+($C15-AI$6)^2+($D15-AI$7)^2)</f>
        <v>6.32228013418902</v>
      </c>
      <c r="AJ15" s="74" t="n">
        <f aca="false">SQRT(($B15-AJ$5)^2+($C15-AJ$6)^2+($D15-AJ$7)^2)</f>
        <v>4.76159813845132</v>
      </c>
      <c r="AK15" s="74" t="n">
        <f aca="false">SQRT(($B15-AK$5)^2+($C15-AK$6)^2+($D15-AK$7)^2)</f>
        <v>5.23404418188676</v>
      </c>
      <c r="AL15" s="74" t="n">
        <f aca="false">SQRT(($B15-AL$5)^2+($C15-AL$6)^2+($D15-AL$7)^2)</f>
        <v>5.5408341386271</v>
      </c>
      <c r="AM15" s="74" t="n">
        <f aca="false">SQRT(($B15-AM$5)^2+($C15-AM$6)^2+($D15-AM$7)^2)</f>
        <v>4.58087240418441</v>
      </c>
      <c r="AN15" s="74" t="n">
        <f aca="false">SQRT(($B15-AN$5)^2+($C15-AN$6)^2+($D15-AN$7)^2)</f>
        <v>4.55315754979092</v>
      </c>
      <c r="AO15" s="74" t="n">
        <f aca="false">SQRT(($B15-AO$5)^2+($C15-AO$6)^2+($D15-AO$7)^2)</f>
        <v>5.17602708807748</v>
      </c>
      <c r="AP15" s="74" t="n">
        <f aca="false">SQRT(($B15-AP$5)^2+($C15-AP$6)^2+($D15-AP$7)^2)</f>
        <v>5.21172574506147</v>
      </c>
      <c r="AQ15" s="74" t="n">
        <f aca="false">SQRT(($B15-AQ$5)^2+($C15-AQ$6)^2+($D15-AQ$7)^2)</f>
        <v>4.5397837130114</v>
      </c>
      <c r="AR15" s="74" t="n">
        <f aca="false">SQRT(($B15-AR$5)^2+($C15-AR$6)^2+($D15-AR$7)^2)</f>
        <v>5.63603491265014</v>
      </c>
      <c r="AS15" s="74" t="n">
        <f aca="false">SQRT(($B15-AS$5)^2+($C15-AS$6)^2+($D15-AS$7)^2)</f>
        <v>5.89186746437971</v>
      </c>
      <c r="AT15" s="74" t="n">
        <f aca="false">SQRT(($B15-AT$5)^2+($C15-AT$6)^2+($D15-AT$7)^2)</f>
        <v>5.56919313024589</v>
      </c>
      <c r="AU15" s="74" t="n">
        <f aca="false">SQRT(($B15-AU$5)^2+($C15-AU$6)^2+($D15-AU$7)^2)</f>
        <v>6.20106793727294</v>
      </c>
      <c r="AV15" s="74" t="n">
        <f aca="false">SQRT(($B15-AV$5)^2+($C15-AV$6)^2+($D15-AV$7)^2)</f>
        <v>6.08078349184625</v>
      </c>
      <c r="AW15" s="74" t="n">
        <f aca="false">SQRT(($B15-AW$5)^2+($C15-AW$6)^2+($D15-AW$7)^2)</f>
        <v>6.68416561534929</v>
      </c>
      <c r="AX15" s="74" t="n">
        <f aca="false">SQRT(($B15-AX$5)^2+($C15-AX$6)^2+($D15-AX$7)^2)</f>
        <v>5.51013710107749</v>
      </c>
      <c r="AY15" s="74" t="n">
        <f aca="false">SQRT(($B15-AY$5)^2+($C15-AY$6)^2+($D15-AY$7)^2)</f>
        <v>6.87465927222536</v>
      </c>
      <c r="AZ15" s="74" t="n">
        <f aca="false">SQRT(($B15-AZ$5)^2+($C15-AZ$6)^2+($D15-AZ$7)^2)</f>
        <v>5.94452329740744</v>
      </c>
      <c r="BA15" s="74" t="n">
        <f aca="false">SQRT(($B15-BA$5)^2+($C15-BA$6)^2+($D15-BA$7)^2)</f>
        <v>5.6046830954629</v>
      </c>
      <c r="BB15" s="74" t="n">
        <f aca="false">SQRT(($B15-BB$5)^2+($C15-BB$6)^2+($D15-BB$7)^2)</f>
        <v>6.87756556799784</v>
      </c>
      <c r="BC15" s="74" t="n">
        <f aca="false">SQRT(($B15-BC$5)^2+($C15-BC$6)^2+($D15-BC$7)^2)</f>
        <v>6.88051398544456</v>
      </c>
      <c r="BD15" s="74" t="n">
        <f aca="false">SQRT(($B15-BD$5)^2+($C15-BD$6)^2+($D15-BD$7)^2)</f>
        <v>6.55467540797812</v>
      </c>
      <c r="BE15" s="74" t="n">
        <f aca="false">SQRT(($B15-BE$5)^2+($C15-BE$6)^2+($D15-BE$7)^2)</f>
        <v>6.4394656619626</v>
      </c>
      <c r="BF15" s="74" t="n">
        <f aca="false">SQRT(($B15-BF$5)^2+($C15-BF$6)^2+($D15-BF$7)^2)</f>
        <v>4.5896474479325</v>
      </c>
      <c r="BG15" s="74" t="n">
        <f aca="false">SQRT(($B15-BG$5)^2+($C15-BG$6)^2+($D15-BG$7)^2)</f>
        <v>5.7178313117771</v>
      </c>
      <c r="BH15" s="74" t="n">
        <f aca="false">SQRT(($B15-BH$5)^2+($C15-BH$6)^2+($D15-BH$7)^2)</f>
        <v>6.9269537459761</v>
      </c>
      <c r="BI15" s="74" t="n">
        <f aca="false">SQRT(($B15-BI$5)^2+($C15-BI$6)^2+($D15-BI$7)^2)</f>
        <v>6.93452018155622</v>
      </c>
      <c r="BJ15" s="74" t="n">
        <f aca="false">SQRT(($B15-BJ$5)^2+($C15-BJ$6)^2+($D15-BJ$7)^2)</f>
        <v>5.53016857496925</v>
      </c>
      <c r="BK15" s="74" t="n">
        <f aca="false">SQRT(($B15-BK$5)^2+($C15-BK$6)^2+($D15-BK$7)^2)</f>
        <v>6.58311330292605</v>
      </c>
      <c r="BL15" s="74" t="n">
        <f aca="false">SQRT(($B15-BL$5)^2+($C15-BL$6)^2+($D15-BL$7)^2)</f>
        <v>6.26709415434671</v>
      </c>
      <c r="BM15" s="74" t="n">
        <f aca="false">SQRT(($B15-BM$5)^2+($C15-BM$6)^2+($D15-BM$7)^2)</f>
        <v>5.34342305314682</v>
      </c>
      <c r="BN15" s="74" t="n">
        <f aca="false">SQRT(($B15-BN$5)^2+($C15-BN$6)^2+($D15-BN$7)^2)</f>
        <v>5.81176341313801</v>
      </c>
      <c r="BO15" s="74" t="n">
        <f aca="false">SQRT(($B15-BO$5)^2+($C15-BO$6)^2+($D15-BO$7)^2)</f>
        <v>6.82629119004401</v>
      </c>
      <c r="BP15" s="74" t="n">
        <f aca="false">SQRT(($B15-BP$5)^2+($C15-BP$6)^2+($D15-BP$7)^2)</f>
        <v>5.74612322678282</v>
      </c>
      <c r="BQ15" s="74" t="n">
        <f aca="false">SQRT(($B15-BQ$5)^2+($C15-BQ$6)^2+($D15-BQ$7)^2)</f>
        <v>5.92449645043037</v>
      </c>
      <c r="BR15" s="74" t="n">
        <f aca="false">SQRT(($B15-BR$5)^2+($C15-BR$6)^2+($D15-BR$7)^2)</f>
        <v>5.91953310510946</v>
      </c>
      <c r="BS15" s="74" t="n">
        <f aca="false">SQRT(($B15-BS$5)^2+($C15-BS$6)^2+($D15-BS$7)^2)</f>
        <v>6.27547949973628</v>
      </c>
      <c r="BT15" s="74" t="n">
        <f aca="false">SQRT(($B15-BT$5)^2+($C15-BT$6)^2+($D15-BT$7)^2)</f>
        <v>6.44303934386914</v>
      </c>
      <c r="BU15" s="74" t="n">
        <f aca="false">SQRT(($B15-BU$5)^2+($C15-BU$6)^2+($D15-BU$7)^2)</f>
        <v>6.47611702251586</v>
      </c>
      <c r="BV15" s="74" t="n">
        <f aca="false">SQRT(($B15-BV$5)^2+($C15-BV$6)^2+($D15-BV$7)^2)</f>
        <v>7.09112134123866</v>
      </c>
      <c r="BW15" s="74" t="n">
        <f aca="false">SQRT(($B15-BW$5)^2+($C15-BW$6)^2+($D15-BW$7)^2)</f>
        <v>6.44107698964301</v>
      </c>
      <c r="BX15" s="74" t="n">
        <f aca="false">SQRT(($B15-BX$5)^2+($C15-BX$6)^2+($D15-BX$7)^2)</f>
        <v>7.09906266777727</v>
      </c>
      <c r="BY15" s="74" t="n">
        <f aca="false">SQRT(($B15-BY$5)^2+($C15-BY$6)^2+($D15-BY$7)^2)</f>
        <v>6.64751768247385</v>
      </c>
      <c r="BZ15" s="74" t="n">
        <f aca="false">SQRT(($B15-BZ$5)^2+($C15-BZ$6)^2+($D15-BZ$7)^2)</f>
        <v>6.68382414741638</v>
      </c>
      <c r="CA15" s="74" t="n">
        <f aca="false">SQRT(($B15-CA$5)^2+($C15-CA$6)^2+($D15-CA$7)^2)</f>
        <v>7.12464972717418</v>
      </c>
      <c r="CB15" s="74" t="n">
        <f aca="false">SQRT(($B15-CB$5)^2+($C15-CB$6)^2+($D15-CB$7)^2)</f>
        <v>6.69361716461171</v>
      </c>
      <c r="CC15" s="74" t="n">
        <f aca="false">SQRT(($B15-CC$5)^2+($C15-CC$6)^2+($D15-CC$7)^2)</f>
        <v>7.13383762414882</v>
      </c>
      <c r="CD15" s="74" t="n">
        <f aca="false">SQRT(($B15-CD$5)^2+($C15-CD$6)^2+($D15-CD$7)^2)</f>
        <v>7.15335563181141</v>
      </c>
      <c r="CE15" s="74" t="n">
        <f aca="false">SQRT(($B15-CE$5)^2+($C15-CE$6)^2+($D15-CE$7)^2)</f>
        <v>6.60580413450718</v>
      </c>
      <c r="CF15" s="74" t="n">
        <f aca="false">SQRT(($B15-CF$5)^2+($C15-CF$6)^2+($D15-CF$7)^2)</f>
        <v>6.19170839496541</v>
      </c>
      <c r="CG15" s="74" t="n">
        <f aca="false">SQRT(($B15-CG$5)^2+($C15-CG$6)^2+($D15-CG$7)^2)</f>
        <v>6.46977995128653</v>
      </c>
      <c r="CH15" s="74" t="n">
        <f aca="false">SQRT(($B15-CH$5)^2+($C15-CH$6)^2+($D15-CH$7)^2)</f>
        <v>6.83074952463102</v>
      </c>
      <c r="CI15" s="74" t="n">
        <f aca="false">SQRT(($B15-CI$5)^2+($C15-CI$6)^2+($D15-CI$7)^2)</f>
        <v>6.90496230961922</v>
      </c>
      <c r="CJ15" s="74" t="n">
        <f aca="false">SQRT(($B15-CJ$5)^2+($C15-CJ$6)^2+($D15-CJ$7)^2)</f>
        <v>7.07311467540038</v>
      </c>
      <c r="CK15" s="74" t="n">
        <f aca="false">SQRT(($B15-CK$5)^2+($C15-CK$6)^2+($D15-CK$7)^2)</f>
        <v>6.74969764742306</v>
      </c>
      <c r="CL15" s="74" t="n">
        <f aca="false">SQRT(($B15-CL$5)^2+($C15-CL$6)^2+($D15-CL$7)^2)</f>
        <v>7.28498402426577</v>
      </c>
      <c r="CM15" s="74" t="n">
        <f aca="false">SQRT(($B15-CM$5)^2+($C15-CM$6)^2+($D15-CM$7)^2)</f>
        <v>6.88525697350423</v>
      </c>
      <c r="CN15" s="74" t="n">
        <f aca="false">SQRT(($B15-CN$5)^2+($C15-CN$6)^2+($D15-CN$7)^2)</f>
        <v>6.19566167870154</v>
      </c>
      <c r="CO15" s="74" t="n">
        <f aca="false">SQRT(($B15-CO$5)^2+($C15-CO$6)^2+($D15-CO$7)^2)</f>
        <v>6.53272338454022</v>
      </c>
      <c r="CP15" s="74" t="n">
        <f aca="false">SQRT(($B15-CP$5)^2+($C15-CP$6)^2+($D15-CP$7)^2)</f>
        <v>7.34321274940241</v>
      </c>
      <c r="CQ15" s="74" t="n">
        <f aca="false">SQRT(($B15-CQ$5)^2+($C15-CQ$6)^2+($D15-CQ$7)^2)</f>
        <v>7.00760245935098</v>
      </c>
      <c r="CR15" s="74" t="n">
        <f aca="false">SQRT(($B15-CR$5)^2+($C15-CR$6)^2+($D15-CR$7)^2)</f>
        <v>6.99719891140066</v>
      </c>
      <c r="CS15" s="74" t="n">
        <f aca="false">SQRT(($B15-CS$5)^2+($C15-CS$6)^2+($D15-CS$7)^2)</f>
        <v>7.39087418701776</v>
      </c>
      <c r="CT15" s="74" t="n">
        <f aca="false">SQRT(($B15-CT$5)^2+($C15-CT$6)^2+($D15-CT$7)^2)</f>
        <v>7.41838607315076</v>
      </c>
      <c r="CU15" s="74" t="n">
        <f aca="false">SQRT(($B15-CU$5)^2+($C15-CU$6)^2+($D15-CU$7)^2)</f>
        <v>6.91929367561437</v>
      </c>
      <c r="CV15" s="74" t="n">
        <f aca="false">SQRT(($B15-CV$5)^2+($C15-CV$6)^2+($D15-CV$7)^2)</f>
        <v>6.7990370312386</v>
      </c>
      <c r="CW15" s="74" t="n">
        <f aca="false">SQRT(($B15-CW$5)^2+($C15-CW$6)^2+($D15-CW$7)^2)</f>
        <v>7.41838607315076</v>
      </c>
      <c r="CX15" s="74" t="n">
        <f aca="false">SQRT(($B15-CX$5)^2+($C15-CX$6)^2+($D15-CX$7)^2)</f>
        <v>6.94408300146457</v>
      </c>
      <c r="CY15" s="74" t="n">
        <f aca="false">SQRT(($B15-CY$5)^2+($C15-CY$6)^2+($D15-CY$7)^2)</f>
        <v>7.44906524321697</v>
      </c>
      <c r="CZ15" s="74" t="n">
        <f aca="false">SQRT(($B15-CZ$5)^2+($C15-CZ$6)^2+($D15-CZ$7)^2)</f>
        <v>7.44906524321697</v>
      </c>
      <c r="DA15" s="74" t="n">
        <f aca="false">SQRT(($B15-DA$5)^2+($C15-DA$6)^2+($D15-DA$7)^2)</f>
        <v>7.14040814069225</v>
      </c>
      <c r="DB15" s="74" t="n">
        <f aca="false">SQRT(($B15-DB$5)^2+($C15-DB$6)^2+($D15-DB$7)^2)</f>
        <v>7.48368843667533</v>
      </c>
      <c r="DC15" s="74" t="n">
        <f aca="false">SQRT(($B15-DC$5)^2+($C15-DC$6)^2+($D15-DC$7)^2)</f>
        <v>7.48368843667533</v>
      </c>
      <c r="DD15" s="74" t="n">
        <f aca="false">SQRT(($B15-DD$5)^2+($C15-DD$6)^2+($D15-DD$7)^2)</f>
        <v>7.23664763314462</v>
      </c>
      <c r="DE15" s="74" t="n">
        <f aca="false">SQRT(($B15-DE$5)^2+($C15-DE$6)^2+($D15-DE$7)^2)</f>
        <v>7.41250681324622</v>
      </c>
      <c r="DF15" s="74" t="n">
        <f aca="false">SQRT(($B15-DF$5)^2+($C15-DF$6)^2+($D15-DF$7)^2)</f>
        <v>7.69418559116496</v>
      </c>
      <c r="DG15" s="74" t="n">
        <f aca="false">SQRT(($B15-DG$5)^2+($C15-DG$6)^2+($D15-DG$7)^2)</f>
        <v>7.7847884280926</v>
      </c>
      <c r="DH15" s="74" t="n">
        <f aca="false">SQRT(($B15-DH$5)^2+($C15-DH$6)^2+($D15-DH$7)^2)</f>
        <v>7.7847884280926</v>
      </c>
      <c r="DI15" s="74" t="n">
        <f aca="false">SQRT(($B15-DI$5)^2+($C15-DI$6)^2+($D15-DI$7)^2)</f>
        <v>7.7847884280926</v>
      </c>
      <c r="DJ15" s="74" t="n">
        <f aca="false">SQRT(($B15-DJ$5)^2+($C15-DJ$6)^2+($D15-DJ$7)^2)</f>
        <v>7.7847884280926</v>
      </c>
      <c r="DK15" s="74" t="n">
        <f aca="false">SQRT(($B15-DK$5)^2+($C15-DK$6)^2+($D15-DK$7)^2)</f>
        <v>7.91553473342104</v>
      </c>
      <c r="DL15" s="74" t="n">
        <f aca="false">SQRT(($B15-DL$5)^2+($C15-DL$6)^2+($D15-DL$7)^2)</f>
        <v>7.91553473342104</v>
      </c>
      <c r="DM15" s="74" t="n">
        <f aca="false">SQRT(($B15-DM$5)^2+($C15-DM$6)^2+($D15-DM$7)^2)</f>
        <v>7.91553473342104</v>
      </c>
      <c r="DN15" s="74" t="n">
        <f aca="false">SQRT(($B15-DN$5)^2+($C15-DN$6)^2+($D15-DN$7)^2)</f>
        <v>7.91553473342104</v>
      </c>
      <c r="DO15" s="74" t="n">
        <f aca="false">SQRT(($B15-DO$5)^2+($C15-DO$6)^2+($D15-DO$7)^2)</f>
        <v>7.91553473342104</v>
      </c>
      <c r="DP15" s="74" t="n">
        <f aca="false">SQRT(($B15-DP$5)^2+($C15-DP$6)^2+($D15-DP$7)^2)</f>
        <v>8.14685136916964</v>
      </c>
      <c r="DQ15" s="74" t="n">
        <f aca="false">SQRT(($B15-DQ$5)^2+($C15-DQ$6)^2+($D15-DQ$7)^2)</f>
        <v>8.14685136916964</v>
      </c>
    </row>
    <row r="16" customFormat="false" ht="15" hidden="false" customHeight="false" outlineLevel="0" collapsed="false">
      <c r="A16" s="48" t="str">
        <f aca="false">KMeans_Data!A7</f>
        <v>Quetta</v>
      </c>
      <c r="B16" s="72" t="n">
        <f aca="false">KMeans_Data!H7</f>
        <v>2.36453191227648</v>
      </c>
      <c r="C16" s="72" t="n">
        <f aca="false">KMeans_Data!I7</f>
        <v>2.29414072853602</v>
      </c>
      <c r="D16" s="72" t="n">
        <f aca="false">KMeans_Data!J7</f>
        <v>2.37235556681649</v>
      </c>
      <c r="E16" s="74" t="n">
        <f aca="false">SQRT(($B16-E$5)^2+($C16-E$6)^2+($D16-E$7)^2)</f>
        <v>2.15562975043914</v>
      </c>
      <c r="F16" s="74" t="n">
        <f aca="false">SQRT(($B16-F$5)^2+($C16-F$6)^2+($D16-F$7)^2)</f>
        <v>2.08541009180941</v>
      </c>
      <c r="G16" s="74" t="n">
        <f aca="false">SQRT(($B16-G$5)^2+($C16-G$6)^2+($D16-G$7)^2)</f>
        <v>0</v>
      </c>
      <c r="H16" s="74" t="n">
        <f aca="false">SQRT(($B16-H$5)^2+($C16-H$6)^2+($D16-H$7)^2)</f>
        <v>1.46412473729863</v>
      </c>
      <c r="I16" s="74" t="n">
        <f aca="false">SQRT(($B16-I$5)^2+($C16-I$6)^2+($D16-I$7)^2)</f>
        <v>0.73912727718985</v>
      </c>
      <c r="J16" s="74" t="n">
        <f aca="false">SQRT(($B16-J$5)^2+($C16-J$6)^2+($D16-J$7)^2)</f>
        <v>1.2748124740347</v>
      </c>
      <c r="K16" s="74" t="n">
        <f aca="false">SQRT(($B16-K$5)^2+($C16-K$6)^2+($D16-K$7)^2)</f>
        <v>3.97776828808309</v>
      </c>
      <c r="L16" s="74" t="n">
        <f aca="false">SQRT(($B16-L$5)^2+($C16-L$6)^2+($D16-L$7)^2)</f>
        <v>2.02603230868873</v>
      </c>
      <c r="M16" s="74" t="n">
        <f aca="false">SQRT(($B16-M$5)^2+($C16-M$6)^2+($D16-M$7)^2)</f>
        <v>1.68860791169486</v>
      </c>
      <c r="N16" s="74" t="n">
        <f aca="false">SQRT(($B16-N$5)^2+($C16-N$6)^2+($D16-N$7)^2)</f>
        <v>4.18702513988167</v>
      </c>
      <c r="O16" s="74" t="n">
        <f aca="false">SQRT(($B16-O$5)^2+($C16-O$6)^2+($D16-O$7)^2)</f>
        <v>2.02032113545334</v>
      </c>
      <c r="P16" s="74" t="n">
        <f aca="false">SQRT(($B16-P$5)^2+($C16-P$6)^2+($D16-P$7)^2)</f>
        <v>1.80583097558529</v>
      </c>
      <c r="Q16" s="74" t="n">
        <f aca="false">SQRT(($B16-Q$5)^2+($C16-Q$6)^2+($D16-Q$7)^2)</f>
        <v>2.26004517408375</v>
      </c>
      <c r="R16" s="74" t="n">
        <f aca="false">SQRT(($B16-R$5)^2+($C16-R$6)^2+($D16-R$7)^2)</f>
        <v>2.49878681858911</v>
      </c>
      <c r="S16" s="74" t="n">
        <f aca="false">SQRT(($B16-S$5)^2+($C16-S$6)^2+($D16-S$7)^2)</f>
        <v>3.04186416890981</v>
      </c>
      <c r="T16" s="74" t="n">
        <f aca="false">SQRT(($B16-T$5)^2+($C16-T$6)^2+($D16-T$7)^2)</f>
        <v>2.35039144528428</v>
      </c>
      <c r="U16" s="74" t="n">
        <f aca="false">SQRT(($B16-U$5)^2+($C16-U$6)^2+($D16-U$7)^2)</f>
        <v>2.54854472098449</v>
      </c>
      <c r="V16" s="74" t="n">
        <f aca="false">SQRT(($B16-V$5)^2+($C16-V$6)^2+($D16-V$7)^2)</f>
        <v>2.48898087164454</v>
      </c>
      <c r="W16" s="74" t="n">
        <f aca="false">SQRT(($B16-W$5)^2+($C16-W$6)^2+($D16-W$7)^2)</f>
        <v>2.27857646202546</v>
      </c>
      <c r="X16" s="74" t="n">
        <f aca="false">SQRT(($B16-X$5)^2+($C16-X$6)^2+($D16-X$7)^2)</f>
        <v>2.5151808548031</v>
      </c>
      <c r="Y16" s="74" t="n">
        <f aca="false">SQRT(($B16-Y$5)^2+($C16-Y$6)^2+($D16-Y$7)^2)</f>
        <v>2.4334475978012</v>
      </c>
      <c r="Z16" s="74" t="n">
        <f aca="false">SQRT(($B16-Z$5)^2+($C16-Z$6)^2+($D16-Z$7)^2)</f>
        <v>2.79156150661578</v>
      </c>
      <c r="AA16" s="74" t="n">
        <f aca="false">SQRT(($B16-AA$5)^2+($C16-AA$6)^2+($D16-AA$7)^2)</f>
        <v>3.0079368972061</v>
      </c>
      <c r="AB16" s="74" t="n">
        <f aca="false">SQRT(($B16-AB$5)^2+($C16-AB$6)^2+($D16-AB$7)^2)</f>
        <v>2.90803929872082</v>
      </c>
      <c r="AC16" s="74" t="n">
        <f aca="false">SQRT(($B16-AC$5)^2+($C16-AC$6)^2+($D16-AC$7)^2)</f>
        <v>2.47118088243736</v>
      </c>
      <c r="AD16" s="74" t="n">
        <f aca="false">SQRT(($B16-AD$5)^2+($C16-AD$6)^2+($D16-AD$7)^2)</f>
        <v>2.48261938568445</v>
      </c>
      <c r="AE16" s="74" t="n">
        <f aca="false">SQRT(($B16-AE$5)^2+($C16-AE$6)^2+($D16-AE$7)^2)</f>
        <v>4.61409614564319</v>
      </c>
      <c r="AF16" s="74" t="n">
        <f aca="false">SQRT(($B16-AF$5)^2+($C16-AF$6)^2+($D16-AF$7)^2)</f>
        <v>2.81746046306955</v>
      </c>
      <c r="AG16" s="74" t="n">
        <f aca="false">SQRT(($B16-AG$5)^2+($C16-AG$6)^2+($D16-AG$7)^2)</f>
        <v>4.43616102073839</v>
      </c>
      <c r="AH16" s="74" t="n">
        <f aca="false">SQRT(($B16-AH$5)^2+($C16-AH$6)^2+($D16-AH$7)^2)</f>
        <v>3.2055617057629</v>
      </c>
      <c r="AI16" s="74" t="n">
        <f aca="false">SQRT(($B16-AI$5)^2+($C16-AI$6)^2+($D16-AI$7)^2)</f>
        <v>4.43743633277874</v>
      </c>
      <c r="AJ16" s="74" t="n">
        <f aca="false">SQRT(($B16-AJ$5)^2+($C16-AJ$6)^2+($D16-AJ$7)^2)</f>
        <v>2.80372714277684</v>
      </c>
      <c r="AK16" s="74" t="n">
        <f aca="false">SQRT(($B16-AK$5)^2+($C16-AK$6)^2+($D16-AK$7)^2)</f>
        <v>3.37320035284465</v>
      </c>
      <c r="AL16" s="74" t="n">
        <f aca="false">SQRT(($B16-AL$5)^2+($C16-AL$6)^2+($D16-AL$7)^2)</f>
        <v>3.5785889331999</v>
      </c>
      <c r="AM16" s="74" t="n">
        <f aca="false">SQRT(($B16-AM$5)^2+($C16-AM$6)^2+($D16-AM$7)^2)</f>
        <v>2.93796894168663</v>
      </c>
      <c r="AN16" s="74" t="n">
        <f aca="false">SQRT(($B16-AN$5)^2+($C16-AN$6)^2+($D16-AN$7)^2)</f>
        <v>2.77512689651968</v>
      </c>
      <c r="AO16" s="74" t="n">
        <f aca="false">SQRT(($B16-AO$5)^2+($C16-AO$6)^2+($D16-AO$7)^2)</f>
        <v>3.27969587270695</v>
      </c>
      <c r="AP16" s="74" t="n">
        <f aca="false">SQRT(($B16-AP$5)^2+($C16-AP$6)^2+($D16-AP$7)^2)</f>
        <v>3.32727360805455</v>
      </c>
      <c r="AQ16" s="74" t="n">
        <f aca="false">SQRT(($B16-AQ$5)^2+($C16-AQ$6)^2+($D16-AQ$7)^2)</f>
        <v>2.81318498539692</v>
      </c>
      <c r="AR16" s="74" t="n">
        <f aca="false">SQRT(($B16-AR$5)^2+($C16-AR$6)^2+($D16-AR$7)^2)</f>
        <v>3.80251555127206</v>
      </c>
      <c r="AS16" s="74" t="n">
        <f aca="false">SQRT(($B16-AS$5)^2+($C16-AS$6)^2+($D16-AS$7)^2)</f>
        <v>3.85320224674437</v>
      </c>
      <c r="AT16" s="74" t="n">
        <f aca="false">SQRT(($B16-AT$5)^2+($C16-AT$6)^2+($D16-AT$7)^2)</f>
        <v>3.58950449830653</v>
      </c>
      <c r="AU16" s="74" t="n">
        <f aca="false">SQRT(($B16-AU$5)^2+($C16-AU$6)^2+($D16-AU$7)^2)</f>
        <v>4.40818703542716</v>
      </c>
      <c r="AV16" s="74" t="n">
        <f aca="false">SQRT(($B16-AV$5)^2+($C16-AV$6)^2+($D16-AV$7)^2)</f>
        <v>4.08605568902378</v>
      </c>
      <c r="AW16" s="74" t="n">
        <f aca="false">SQRT(($B16-AW$5)^2+($C16-AW$6)^2+($D16-AW$7)^2)</f>
        <v>4.85189739115915</v>
      </c>
      <c r="AX16" s="74" t="n">
        <f aca="false">SQRT(($B16-AX$5)^2+($C16-AX$6)^2+($D16-AX$7)^2)</f>
        <v>3.61397945367306</v>
      </c>
      <c r="AY16" s="74" t="n">
        <f aca="false">SQRT(($B16-AY$5)^2+($C16-AY$6)^2+($D16-AY$7)^2)</f>
        <v>5.08518914027567</v>
      </c>
      <c r="AZ16" s="74" t="n">
        <f aca="false">SQRT(($B16-AZ$5)^2+($C16-AZ$6)^2+($D16-AZ$7)^2)</f>
        <v>3.90870791667225</v>
      </c>
      <c r="BA16" s="74" t="n">
        <f aca="false">SQRT(($B16-BA$5)^2+($C16-BA$6)^2+($D16-BA$7)^2)</f>
        <v>3.62683739800656</v>
      </c>
      <c r="BB16" s="74" t="n">
        <f aca="false">SQRT(($B16-BB$5)^2+($C16-BB$6)^2+($D16-BB$7)^2)</f>
        <v>5.08797804025303</v>
      </c>
      <c r="BC16" s="74" t="n">
        <f aca="false">SQRT(($B16-BC$5)^2+($C16-BC$6)^2+($D16-BC$7)^2)</f>
        <v>5.09080949239547</v>
      </c>
      <c r="BD16" s="74" t="n">
        <f aca="false">SQRT(($B16-BD$5)^2+($C16-BD$6)^2+($D16-BD$7)^2)</f>
        <v>4.67957261103997</v>
      </c>
      <c r="BE16" s="74" t="n">
        <f aca="false">SQRT(($B16-BE$5)^2+($C16-BE$6)^2+($D16-BE$7)^2)</f>
        <v>4.53169441572176</v>
      </c>
      <c r="BF16" s="74" t="n">
        <f aca="false">SQRT(($B16-BF$5)^2+($C16-BF$6)^2+($D16-BF$7)^2)</f>
        <v>2.89381724873175</v>
      </c>
      <c r="BG16" s="74" t="n">
        <f aca="false">SQRT(($B16-BG$5)^2+($C16-BG$6)^2+($D16-BG$7)^2)</f>
        <v>3.76297013070133</v>
      </c>
      <c r="BH16" s="74" t="n">
        <f aca="false">SQRT(($B16-BH$5)^2+($C16-BH$6)^2+($D16-BH$7)^2)</f>
        <v>5.13567773757729</v>
      </c>
      <c r="BI16" s="74" t="n">
        <f aca="false">SQRT(($B16-BI$5)^2+($C16-BI$6)^2+($D16-BI$7)^2)</f>
        <v>5.14303406425606</v>
      </c>
      <c r="BJ16" s="74" t="n">
        <f aca="false">SQRT(($B16-BJ$5)^2+($C16-BJ$6)^2+($D16-BJ$7)^2)</f>
        <v>3.75835569789173</v>
      </c>
      <c r="BK16" s="74" t="n">
        <f aca="false">SQRT(($B16-BK$5)^2+($C16-BK$6)^2+($D16-BK$7)^2)</f>
        <v>4.69572303775877</v>
      </c>
      <c r="BL16" s="74" t="n">
        <f aca="false">SQRT(($B16-BL$5)^2+($C16-BL$6)^2+($D16-BL$7)^2)</f>
        <v>4.29451226585086</v>
      </c>
      <c r="BM16" s="74" t="n">
        <f aca="false">SQRT(($B16-BM$5)^2+($C16-BM$6)^2+($D16-BM$7)^2)</f>
        <v>3.50682462887929</v>
      </c>
      <c r="BN16" s="74" t="n">
        <f aca="false">SQRT(($B16-BN$5)^2+($C16-BN$6)^2+($D16-BN$7)^2)</f>
        <v>3.97214289695555</v>
      </c>
      <c r="BO16" s="74" t="n">
        <f aca="false">SQRT(($B16-BO$5)^2+($C16-BO$6)^2+($D16-BO$7)^2)</f>
        <v>4.99234421031922</v>
      </c>
      <c r="BP16" s="74" t="n">
        <f aca="false">SQRT(($B16-BP$5)^2+($C16-BP$6)^2+($D16-BP$7)^2)</f>
        <v>3.88060451935273</v>
      </c>
      <c r="BQ16" s="74" t="n">
        <f aca="false">SQRT(($B16-BQ$5)^2+($C16-BQ$6)^2+($D16-BQ$7)^2)</f>
        <v>4.00578701051002</v>
      </c>
      <c r="BR16" s="74" t="n">
        <f aca="false">SQRT(($B16-BR$5)^2+($C16-BR$6)^2+($D16-BR$7)^2)</f>
        <v>3.99684228339151</v>
      </c>
      <c r="BS16" s="74" t="n">
        <f aca="false">SQRT(($B16-BS$5)^2+($C16-BS$6)^2+($D16-BS$7)^2)</f>
        <v>4.2885538040986</v>
      </c>
      <c r="BT16" s="74" t="n">
        <f aca="false">SQRT(($B16-BT$5)^2+($C16-BT$6)^2+($D16-BT$7)^2)</f>
        <v>4.49447587225728</v>
      </c>
      <c r="BU16" s="74" t="n">
        <f aca="false">SQRT(($B16-BU$5)^2+($C16-BU$6)^2+($D16-BU$7)^2)</f>
        <v>4.53603119642052</v>
      </c>
      <c r="BV16" s="74" t="n">
        <f aca="false">SQRT(($B16-BV$5)^2+($C16-BV$6)^2+($D16-BV$7)^2)</f>
        <v>5.29772317986054</v>
      </c>
      <c r="BW16" s="74" t="n">
        <f aca="false">SQRT(($B16-BW$5)^2+($C16-BW$6)^2+($D16-BW$7)^2)</f>
        <v>4.48595131383517</v>
      </c>
      <c r="BX16" s="74" t="n">
        <f aca="false">SQRT(($B16-BX$5)^2+($C16-BX$6)^2+($D16-BX$7)^2)</f>
        <v>5.30567546103081</v>
      </c>
      <c r="BY16" s="74" t="n">
        <f aca="false">SQRT(($B16-BY$5)^2+($C16-BY$6)^2+($D16-BY$7)^2)</f>
        <v>4.74103083830576</v>
      </c>
      <c r="BZ16" s="74" t="n">
        <f aca="false">SQRT(($B16-BZ$5)^2+($C16-BZ$6)^2+($D16-BZ$7)^2)</f>
        <v>4.78455832917128</v>
      </c>
      <c r="CA16" s="74" t="n">
        <f aca="false">SQRT(($B16-CA$5)^2+($C16-CA$6)^2+($D16-CA$7)^2)</f>
        <v>5.33135868748808</v>
      </c>
      <c r="CB16" s="74" t="n">
        <f aca="false">SQRT(($B16-CB$5)^2+($C16-CB$6)^2+($D16-CB$7)^2)</f>
        <v>4.79485704116842</v>
      </c>
      <c r="CC16" s="74" t="n">
        <f aca="false">SQRT(($B16-CC$5)^2+($C16-CC$6)^2+($D16-CC$7)^2)</f>
        <v>5.34060306469735</v>
      </c>
      <c r="CD16" s="74" t="n">
        <f aca="false">SQRT(($B16-CD$5)^2+($C16-CD$6)^2+($D16-CD$7)^2)</f>
        <v>5.36027799872395</v>
      </c>
      <c r="CE16" s="74" t="n">
        <f aca="false">SQRT(($B16-CE$5)^2+($C16-CE$6)^2+($D16-CE$7)^2)</f>
        <v>4.67922116821655</v>
      </c>
      <c r="CF16" s="74" t="n">
        <f aca="false">SQRT(($B16-CF$5)^2+($C16-CF$6)^2+($D16-CF$7)^2)</f>
        <v>4.31431775702019</v>
      </c>
      <c r="CG16" s="74" t="n">
        <f aca="false">SQRT(($B16-CG$5)^2+($C16-CG$6)^2+($D16-CG$7)^2)</f>
        <v>4.65661908028355</v>
      </c>
      <c r="CH16" s="74" t="n">
        <f aca="false">SQRT(($B16-CH$5)^2+($C16-CH$6)^2+($D16-CH$7)^2)</f>
        <v>4.95246060155913</v>
      </c>
      <c r="CI16" s="74" t="n">
        <f aca="false">SQRT(($B16-CI$5)^2+($C16-CI$6)^2+($D16-CI$7)^2)</f>
        <v>5.03930933779083</v>
      </c>
      <c r="CJ16" s="74" t="n">
        <f aca="false">SQRT(($B16-CJ$5)^2+($C16-CJ$6)^2+($D16-CJ$7)^2)</f>
        <v>5.24402899684985</v>
      </c>
      <c r="CK16" s="74" t="n">
        <f aca="false">SQRT(($B16-CK$5)^2+($C16-CK$6)^2+($D16-CK$7)^2)</f>
        <v>4.83876407548665</v>
      </c>
      <c r="CL16" s="74" t="n">
        <f aca="false">SQRT(($B16-CL$5)^2+($C16-CL$6)^2+($D16-CL$7)^2)</f>
        <v>5.49413298728416</v>
      </c>
      <c r="CM16" s="74" t="n">
        <f aca="false">SQRT(($B16-CM$5)^2+($C16-CM$6)^2+($D16-CM$7)^2)</f>
        <v>5.00329746145876</v>
      </c>
      <c r="CN16" s="74" t="n">
        <f aca="false">SQRT(($B16-CN$5)^2+($C16-CN$6)^2+($D16-CN$7)^2)</f>
        <v>4.29294656900473</v>
      </c>
      <c r="CO16" s="74" t="n">
        <f aca="false">SQRT(($B16-CO$5)^2+($C16-CO$6)^2+($D16-CO$7)^2)</f>
        <v>4.70656572841034</v>
      </c>
      <c r="CP16" s="74" t="n">
        <f aca="false">SQRT(($B16-CP$5)^2+($C16-CP$6)^2+($D16-CP$7)^2)</f>
        <v>5.55390498863844</v>
      </c>
      <c r="CQ16" s="74" t="n">
        <f aca="false">SQRT(($B16-CQ$5)^2+($C16-CQ$6)^2+($D16-CQ$7)^2)</f>
        <v>5.1395949888301</v>
      </c>
      <c r="CR16" s="74" t="n">
        <f aca="false">SQRT(($B16-CR$5)^2+($C16-CR$6)^2+($D16-CR$7)^2)</f>
        <v>5.12265490863213</v>
      </c>
      <c r="CS16" s="74" t="n">
        <f aca="false">SQRT(($B16-CS$5)^2+($C16-CS$6)^2+($D16-CS$7)^2)</f>
        <v>5.60304427138115</v>
      </c>
      <c r="CT16" s="74" t="n">
        <f aca="false">SQRT(($B16-CT$5)^2+($C16-CT$6)^2+($D16-CT$7)^2)</f>
        <v>5.63148928328052</v>
      </c>
      <c r="CU16" s="74" t="n">
        <f aca="false">SQRT(($B16-CU$5)^2+($C16-CU$6)^2+($D16-CU$7)^2)</f>
        <v>5.16857092291241</v>
      </c>
      <c r="CV16" s="74" t="n">
        <f aca="false">SQRT(($B16-CV$5)^2+($C16-CV$6)^2+($D16-CV$7)^2)</f>
        <v>4.87623044683182</v>
      </c>
      <c r="CW16" s="74" t="n">
        <f aca="false">SQRT(($B16-CW$5)^2+($C16-CW$6)^2+($D16-CW$7)^2)</f>
        <v>5.63148928328052</v>
      </c>
      <c r="CX16" s="74" t="n">
        <f aca="false">SQRT(($B16-CX$5)^2+($C16-CX$6)^2+($D16-CX$7)^2)</f>
        <v>5.04868348220944</v>
      </c>
      <c r="CY16" s="74" t="n">
        <f aca="false">SQRT(($B16-CY$5)^2+($C16-CY$6)^2+($D16-CY$7)^2)</f>
        <v>5.6632731880532</v>
      </c>
      <c r="CZ16" s="74" t="n">
        <f aca="false">SQRT(($B16-CZ$5)^2+($C16-CZ$6)^2+($D16-CZ$7)^2)</f>
        <v>5.6632731880532</v>
      </c>
      <c r="DA16" s="74" t="n">
        <f aca="false">SQRT(($B16-DA$5)^2+($C16-DA$6)^2+($D16-DA$7)^2)</f>
        <v>5.28823570004042</v>
      </c>
      <c r="DB16" s="74" t="n">
        <f aca="false">SQRT(($B16-DB$5)^2+($C16-DB$6)^2+($D16-DB$7)^2)</f>
        <v>5.69921936556099</v>
      </c>
      <c r="DC16" s="74" t="n">
        <f aca="false">SQRT(($B16-DC$5)^2+($C16-DC$6)^2+($D16-DC$7)^2)</f>
        <v>5.69921936556099</v>
      </c>
      <c r="DD16" s="74" t="n">
        <f aca="false">SQRT(($B16-DD$5)^2+($C16-DD$6)^2+($D16-DD$7)^2)</f>
        <v>5.39984587511534</v>
      </c>
      <c r="DE16" s="74" t="n">
        <f aca="false">SQRT(($B16-DE$5)^2+($C16-DE$6)^2+($D16-DE$7)^2)</f>
        <v>5.59942119273589</v>
      </c>
      <c r="DF16" s="74" t="n">
        <f aca="false">SQRT(($B16-DF$5)^2+($C16-DF$6)^2+($D16-DF$7)^2)</f>
        <v>5.91920639801052</v>
      </c>
      <c r="DG16" s="74" t="n">
        <f aca="false">SQRT(($B16-DG$5)^2+($C16-DG$6)^2+($D16-DG$7)^2)</f>
        <v>6.01450213396371</v>
      </c>
      <c r="DH16" s="74" t="n">
        <f aca="false">SQRT(($B16-DH$5)^2+($C16-DH$6)^2+($D16-DH$7)^2)</f>
        <v>6.01450213396371</v>
      </c>
      <c r="DI16" s="74" t="n">
        <f aca="false">SQRT(($B16-DI$5)^2+($C16-DI$6)^2+($D16-DI$7)^2)</f>
        <v>6.01450213396371</v>
      </c>
      <c r="DJ16" s="74" t="n">
        <f aca="false">SQRT(($B16-DJ$5)^2+($C16-DJ$6)^2+($D16-DJ$7)^2)</f>
        <v>6.01450213396371</v>
      </c>
      <c r="DK16" s="74" t="n">
        <f aca="false">SQRT(($B16-DK$5)^2+($C16-DK$6)^2+($D16-DK$7)^2)</f>
        <v>6.15249594053942</v>
      </c>
      <c r="DL16" s="74" t="n">
        <f aca="false">SQRT(($B16-DL$5)^2+($C16-DL$6)^2+($D16-DL$7)^2)</f>
        <v>6.15249594053942</v>
      </c>
      <c r="DM16" s="74" t="n">
        <f aca="false">SQRT(($B16-DM$5)^2+($C16-DM$6)^2+($D16-DM$7)^2)</f>
        <v>6.15249594053942</v>
      </c>
      <c r="DN16" s="74" t="n">
        <f aca="false">SQRT(($B16-DN$5)^2+($C16-DN$6)^2+($D16-DN$7)^2)</f>
        <v>6.15249594053942</v>
      </c>
      <c r="DO16" s="74" t="n">
        <f aca="false">SQRT(($B16-DO$5)^2+($C16-DO$6)^2+($D16-DO$7)^2)</f>
        <v>6.15249594053942</v>
      </c>
      <c r="DP16" s="74" t="n">
        <f aca="false">SQRT(($B16-DP$5)^2+($C16-DP$6)^2+($D16-DP$7)^2)</f>
        <v>6.3976329314131</v>
      </c>
      <c r="DQ16" s="74" t="n">
        <f aca="false">SQRT(($B16-DQ$5)^2+($C16-DQ$6)^2+($D16-DQ$7)^2)</f>
        <v>6.3976329314131</v>
      </c>
    </row>
    <row r="17" customFormat="false" ht="15" hidden="false" customHeight="false" outlineLevel="0" collapsed="false">
      <c r="A17" s="48" t="str">
        <f aca="false">KMeans_Data!A8</f>
        <v>Peshawar</v>
      </c>
      <c r="B17" s="72" t="n">
        <f aca="false">KMeans_Data!H8</f>
        <v>2.345233823008</v>
      </c>
      <c r="C17" s="72" t="n">
        <f aca="false">KMeans_Data!I8</f>
        <v>3.56174892105073</v>
      </c>
      <c r="D17" s="72" t="n">
        <f aca="false">KMeans_Data!J8</f>
        <v>1.6399224296702</v>
      </c>
      <c r="E17" s="74" t="n">
        <f aca="false">SQRT(($B17-E$5)^2+($C17-E$6)^2+($D17-E$7)^2)</f>
        <v>1.92143186127921</v>
      </c>
      <c r="F17" s="74" t="n">
        <f aca="false">SQRT(($B17-F$5)^2+($C17-F$6)^2+($D17-F$7)^2)</f>
        <v>1.5019450606752</v>
      </c>
      <c r="G17" s="74" t="n">
        <f aca="false">SQRT(($B17-G$5)^2+($C17-G$6)^2+($D17-G$7)^2)</f>
        <v>1.46412473729863</v>
      </c>
      <c r="H17" s="74" t="n">
        <f aca="false">SQRT(($B17-H$5)^2+($C17-H$6)^2+($D17-H$7)^2)</f>
        <v>0</v>
      </c>
      <c r="I17" s="74" t="n">
        <f aca="false">SQRT(($B17-I$5)^2+($C17-I$6)^2+($D17-I$7)^2)</f>
        <v>1.50712054190559</v>
      </c>
      <c r="J17" s="74" t="n">
        <f aca="false">SQRT(($B17-J$5)^2+($C17-J$6)^2+($D17-J$7)^2)</f>
        <v>1.59209620818352</v>
      </c>
      <c r="K17" s="74" t="n">
        <f aca="false">SQRT(($B17-K$5)^2+($C17-K$6)^2+($D17-K$7)^2)</f>
        <v>4.31891895172833</v>
      </c>
      <c r="L17" s="74" t="n">
        <f aca="false">SQRT(($B17-L$5)^2+($C17-L$6)^2+($D17-L$7)^2)</f>
        <v>3.05524998040498</v>
      </c>
      <c r="M17" s="74" t="n">
        <f aca="false">SQRT(($B17-M$5)^2+($C17-M$6)^2+($D17-M$7)^2)</f>
        <v>2.58935392730643</v>
      </c>
      <c r="N17" s="74" t="n">
        <f aca="false">SQRT(($B17-N$5)^2+($C17-N$6)^2+($D17-N$7)^2)</f>
        <v>4.59737360463887</v>
      </c>
      <c r="O17" s="74" t="n">
        <f aca="false">SQRT(($B17-O$5)^2+($C17-O$6)^2+($D17-O$7)^2)</f>
        <v>2.49498090416461</v>
      </c>
      <c r="P17" s="74" t="n">
        <f aca="false">SQRT(($B17-P$5)^2+($C17-P$6)^2+($D17-P$7)^2)</f>
        <v>2.21894972679728</v>
      </c>
      <c r="Q17" s="74" t="n">
        <f aca="false">SQRT(($B17-Q$5)^2+($C17-Q$6)^2+($D17-Q$7)^2)</f>
        <v>2.93342788878614</v>
      </c>
      <c r="R17" s="74" t="n">
        <f aca="false">SQRT(($B17-R$5)^2+($C17-R$6)^2+($D17-R$7)^2)</f>
        <v>3.44546531545124</v>
      </c>
      <c r="S17" s="74" t="n">
        <f aca="false">SQRT(($B17-S$5)^2+($C17-S$6)^2+($D17-S$7)^2)</f>
        <v>3.97078671709037</v>
      </c>
      <c r="T17" s="74" t="n">
        <f aca="false">SQRT(($B17-T$5)^2+($C17-T$6)^2+($D17-T$7)^2)</f>
        <v>2.98282094477614</v>
      </c>
      <c r="U17" s="74" t="n">
        <f aca="false">SQRT(($B17-U$5)^2+($C17-U$6)^2+($D17-U$7)^2)</f>
        <v>3.5045045187435</v>
      </c>
      <c r="V17" s="74" t="n">
        <f aca="false">SQRT(($B17-V$5)^2+($C17-V$6)^2+($D17-V$7)^2)</f>
        <v>2.83297604480608</v>
      </c>
      <c r="W17" s="74" t="n">
        <f aca="false">SQRT(($B17-W$5)^2+($C17-W$6)^2+($D17-W$7)^2)</f>
        <v>2.73596309860742</v>
      </c>
      <c r="X17" s="74" t="n">
        <f aca="false">SQRT(($B17-X$5)^2+($C17-X$6)^2+($D17-X$7)^2)</f>
        <v>3.19916063084548</v>
      </c>
      <c r="Y17" s="74" t="n">
        <f aca="false">SQRT(($B17-Y$5)^2+($C17-Y$6)^2+($D17-Y$7)^2)</f>
        <v>3.18865667638834</v>
      </c>
      <c r="Z17" s="74" t="n">
        <f aca="false">SQRT(($B17-Z$5)^2+($C17-Z$6)^2+($D17-Z$7)^2)</f>
        <v>3.32960545138557</v>
      </c>
      <c r="AA17" s="74" t="n">
        <f aca="false">SQRT(($B17-AA$5)^2+($C17-AA$6)^2+($D17-AA$7)^2)</f>
        <v>3.80396481102141</v>
      </c>
      <c r="AB17" s="74" t="n">
        <f aca="false">SQRT(($B17-AB$5)^2+($C17-AB$6)^2+($D17-AB$7)^2)</f>
        <v>3.53107714526617</v>
      </c>
      <c r="AC17" s="74" t="n">
        <f aca="false">SQRT(($B17-AC$5)^2+($C17-AC$6)^2+($D17-AC$7)^2)</f>
        <v>2.84506677788736</v>
      </c>
      <c r="AD17" s="74" t="n">
        <f aca="false">SQRT(($B17-AD$5)^2+($C17-AD$6)^2+($D17-AD$7)^2)</f>
        <v>3.22812483946753</v>
      </c>
      <c r="AE17" s="74" t="n">
        <f aca="false">SQRT(($B17-AE$5)^2+($C17-AE$6)^2+($D17-AE$7)^2)</f>
        <v>4.93989688451137</v>
      </c>
      <c r="AF17" s="74" t="n">
        <f aca="false">SQRT(($B17-AF$5)^2+($C17-AF$6)^2+($D17-AF$7)^2)</f>
        <v>3.44879995261609</v>
      </c>
      <c r="AG17" s="74" t="n">
        <f aca="false">SQRT(($B17-AG$5)^2+($C17-AG$6)^2+($D17-AG$7)^2)</f>
        <v>5.02143181151975</v>
      </c>
      <c r="AH17" s="74" t="n">
        <f aca="false">SQRT(($B17-AH$5)^2+($C17-AH$6)^2+($D17-AH$7)^2)</f>
        <v>3.92800302899199</v>
      </c>
      <c r="AI17" s="74" t="n">
        <f aca="false">SQRT(($B17-AI$5)^2+($C17-AI$6)^2+($D17-AI$7)^2)</f>
        <v>5.02254635881806</v>
      </c>
      <c r="AJ17" s="74" t="n">
        <f aca="false">SQRT(($B17-AJ$5)^2+($C17-AJ$6)^2+($D17-AJ$7)^2)</f>
        <v>3.53810650747907</v>
      </c>
      <c r="AK17" s="74" t="n">
        <f aca="false">SQRT(($B17-AK$5)^2+($C17-AK$6)^2+($D17-AK$7)^2)</f>
        <v>3.90542093529564</v>
      </c>
      <c r="AL17" s="74" t="n">
        <f aca="false">SQRT(($B17-AL$5)^2+($C17-AL$6)^2+($D17-AL$7)^2)</f>
        <v>4.28947925596454</v>
      </c>
      <c r="AM17" s="74" t="n">
        <f aca="false">SQRT(($B17-AM$5)^2+($C17-AM$6)^2+($D17-AM$7)^2)</f>
        <v>3.16110471920352</v>
      </c>
      <c r="AN17" s="74" t="n">
        <f aca="false">SQRT(($B17-AN$5)^2+($C17-AN$6)^2+($D17-AN$7)^2)</f>
        <v>3.20334378974483</v>
      </c>
      <c r="AO17" s="74" t="n">
        <f aca="false">SQRT(($B17-AO$5)^2+($C17-AO$6)^2+($D17-AO$7)^2)</f>
        <v>3.87265259066407</v>
      </c>
      <c r="AP17" s="74" t="n">
        <f aca="false">SQRT(($B17-AP$5)^2+($C17-AP$6)^2+($D17-AP$7)^2)</f>
        <v>3.89807240133536</v>
      </c>
      <c r="AQ17" s="74" t="n">
        <f aca="false">SQRT(($B17-AQ$5)^2+($C17-AQ$6)^2+($D17-AQ$7)^2)</f>
        <v>3.16505939826437</v>
      </c>
      <c r="AR17" s="74" t="n">
        <f aca="false">SQRT(($B17-AR$5)^2+($C17-AR$6)^2+($D17-AR$7)^2)</f>
        <v>4.28315172452653</v>
      </c>
      <c r="AS17" s="74" t="n">
        <f aca="false">SQRT(($B17-AS$5)^2+($C17-AS$6)^2+($D17-AS$7)^2)</f>
        <v>4.73698215713566</v>
      </c>
      <c r="AT17" s="74" t="n">
        <f aca="false">SQRT(($B17-AT$5)^2+($C17-AT$6)^2+($D17-AT$7)^2)</f>
        <v>4.3353509636674</v>
      </c>
      <c r="AU17" s="74" t="n">
        <f aca="false">SQRT(($B17-AU$5)^2+($C17-AU$6)^2+($D17-AU$7)^2)</f>
        <v>4.82449558406004</v>
      </c>
      <c r="AV17" s="74" t="n">
        <f aca="false">SQRT(($B17-AV$5)^2+($C17-AV$6)^2+($D17-AV$7)^2)</f>
        <v>4.8537326671123</v>
      </c>
      <c r="AW17" s="74" t="n">
        <f aca="false">SQRT(($B17-AW$5)^2+($C17-AW$6)^2+($D17-AW$7)^2)</f>
        <v>5.3330186896462</v>
      </c>
      <c r="AX17" s="74" t="n">
        <f aca="false">SQRT(($B17-AX$5)^2+($C17-AX$6)^2+($D17-AX$7)^2)</f>
        <v>4.19705425036777</v>
      </c>
      <c r="AY17" s="74" t="n">
        <f aca="false">SQRT(($B17-AY$5)^2+($C17-AY$6)^2+($D17-AY$7)^2)</f>
        <v>5.503395641683</v>
      </c>
      <c r="AZ17" s="74" t="n">
        <f aca="false">SQRT(($B17-AZ$5)^2+($C17-AZ$6)^2+($D17-AZ$7)^2)</f>
        <v>4.78507319598016</v>
      </c>
      <c r="BA17" s="74" t="n">
        <f aca="false">SQRT(($B17-BA$5)^2+($C17-BA$6)^2+($D17-BA$7)^2)</f>
        <v>4.36957580947866</v>
      </c>
      <c r="BB17" s="74" t="n">
        <f aca="false">SQRT(($B17-BB$5)^2+($C17-BB$6)^2+($D17-BB$7)^2)</f>
        <v>5.50594976821478</v>
      </c>
      <c r="BC17" s="74" t="n">
        <f aca="false">SQRT(($B17-BC$5)^2+($C17-BC$6)^2+($D17-BC$7)^2)</f>
        <v>5.50854315553241</v>
      </c>
      <c r="BD17" s="74" t="n">
        <f aca="false">SQRT(($B17-BD$5)^2+($C17-BD$6)^2+($D17-BD$7)^2)</f>
        <v>5.22171838460935</v>
      </c>
      <c r="BE17" s="74" t="n">
        <f aca="false">SQRT(($B17-BE$5)^2+($C17-BE$6)^2+($D17-BE$7)^2)</f>
        <v>5.1267460226072</v>
      </c>
      <c r="BF17" s="74" t="n">
        <f aca="false">SQRT(($B17-BF$5)^2+($C17-BF$6)^2+($D17-BF$7)^2)</f>
        <v>3.22574905125236</v>
      </c>
      <c r="BG17" s="74" t="n">
        <f aca="false">SQRT(($B17-BG$5)^2+($C17-BG$6)^2+($D17-BG$7)^2)</f>
        <v>4.45371736957233</v>
      </c>
      <c r="BH17" s="74" t="n">
        <f aca="false">SQRT(($B17-BH$5)^2+($C17-BH$6)^2+($D17-BH$7)^2)</f>
        <v>5.54967731303398</v>
      </c>
      <c r="BI17" s="74" t="n">
        <f aca="false">SQRT(($B17-BI$5)^2+($C17-BI$6)^2+($D17-BI$7)^2)</f>
        <v>5.55642817535898</v>
      </c>
      <c r="BJ17" s="74" t="n">
        <f aca="false">SQRT(($B17-BJ$5)^2+($C17-BJ$6)^2+($D17-BJ$7)^2)</f>
        <v>4.13993035897564</v>
      </c>
      <c r="BK17" s="74" t="n">
        <f aca="false">SQRT(($B17-BK$5)^2+($C17-BK$6)^2+($D17-BK$7)^2)</f>
        <v>5.25004748460687</v>
      </c>
      <c r="BL17" s="74" t="n">
        <f aca="false">SQRT(($B17-BL$5)^2+($C17-BL$6)^2+($D17-BL$7)^2)</f>
        <v>5.00747138134322</v>
      </c>
      <c r="BM17" s="74" t="n">
        <f aca="false">SQRT(($B17-BM$5)^2+($C17-BM$6)^2+($D17-BM$7)^2)</f>
        <v>4.00449650129114</v>
      </c>
      <c r="BN17" s="74" t="n">
        <f aca="false">SQRT(($B17-BN$5)^2+($C17-BN$6)^2+($D17-BN$7)^2)</f>
        <v>4.45258869940347</v>
      </c>
      <c r="BO17" s="74" t="n">
        <f aca="false">SQRT(($B17-BO$5)^2+($C17-BO$6)^2+($D17-BO$7)^2)</f>
        <v>5.46003355592841</v>
      </c>
      <c r="BP17" s="74" t="n">
        <f aca="false">SQRT(($B17-BP$5)^2+($C17-BP$6)^2+($D17-BP$7)^2)</f>
        <v>4.40796311410467</v>
      </c>
      <c r="BQ17" s="74" t="n">
        <f aca="false">SQRT(($B17-BQ$5)^2+($C17-BQ$6)^2+($D17-BQ$7)^2)</f>
        <v>4.62245469214332</v>
      </c>
      <c r="BR17" s="74" t="n">
        <f aca="false">SQRT(($B17-BR$5)^2+($C17-BR$6)^2+($D17-BR$7)^2)</f>
        <v>4.62234690002442</v>
      </c>
      <c r="BS17" s="74" t="n">
        <f aca="false">SQRT(($B17-BS$5)^2+($C17-BS$6)^2+($D17-BS$7)^2)</f>
        <v>5.03573234103996</v>
      </c>
      <c r="BT17" s="74" t="n">
        <f aca="false">SQRT(($B17-BT$5)^2+($C17-BT$6)^2+($D17-BT$7)^2)</f>
        <v>5.15504497298548</v>
      </c>
      <c r="BU17" s="74" t="n">
        <f aca="false">SQRT(($B17-BU$5)^2+($C17-BU$6)^2+($D17-BU$7)^2)</f>
        <v>5.17938156618326</v>
      </c>
      <c r="BV17" s="74" t="n">
        <f aca="false">SQRT(($B17-BV$5)^2+($C17-BV$6)^2+($D17-BV$7)^2)</f>
        <v>5.69879789461633</v>
      </c>
      <c r="BW17" s="74" t="n">
        <f aca="false">SQRT(($B17-BW$5)^2+($C17-BW$6)^2+($D17-BW$7)^2)</f>
        <v>5.16059927408375</v>
      </c>
      <c r="BX17" s="74" t="n">
        <f aca="false">SQRT(($B17-BX$5)^2+($C17-BX$6)^2+($D17-BX$7)^2)</f>
        <v>5.70613709134531</v>
      </c>
      <c r="BY17" s="74" t="n">
        <f aca="false">SQRT(($B17-BY$5)^2+($C17-BY$6)^2+($D17-BY$7)^2)</f>
        <v>5.31953213652819</v>
      </c>
      <c r="BZ17" s="74" t="n">
        <f aca="false">SQRT(($B17-BZ$5)^2+($C17-BZ$6)^2+($D17-BZ$7)^2)</f>
        <v>5.34983404000031</v>
      </c>
      <c r="CA17" s="74" t="n">
        <f aca="false">SQRT(($B17-CA$5)^2+($C17-CA$6)^2+($D17-CA$7)^2)</f>
        <v>5.72985308561937</v>
      </c>
      <c r="CB17" s="74" t="n">
        <f aca="false">SQRT(($B17-CB$5)^2+($C17-CB$6)^2+($D17-CB$7)^2)</f>
        <v>5.35898077769639</v>
      </c>
      <c r="CC17" s="74" t="n">
        <f aca="false">SQRT(($B17-CC$5)^2+($C17-CC$6)^2+($D17-CC$7)^2)</f>
        <v>5.73839412230942</v>
      </c>
      <c r="CD17" s="74" t="n">
        <f aca="false">SQRT(($B17-CD$5)^2+($C17-CD$6)^2+($D17-CD$7)^2)</f>
        <v>5.75658036854937</v>
      </c>
      <c r="CE17" s="74" t="n">
        <f aca="false">SQRT(($B17-CE$5)^2+($C17-CE$6)^2+($D17-CE$7)^2)</f>
        <v>5.2953812381622</v>
      </c>
      <c r="CF17" s="74" t="n">
        <f aca="false">SQRT(($B17-CF$5)^2+($C17-CF$6)^2+($D17-CF$7)^2)</f>
        <v>4.85464268272728</v>
      </c>
      <c r="CG17" s="74" t="n">
        <f aca="false">SQRT(($B17-CG$5)^2+($C17-CG$6)^2+($D17-CG$7)^2)</f>
        <v>5.08391559513605</v>
      </c>
      <c r="CH17" s="74" t="n">
        <f aca="false">SQRT(($B17-CH$5)^2+($C17-CH$6)^2+($D17-CH$7)^2)</f>
        <v>5.47920096037811</v>
      </c>
      <c r="CI17" s="74" t="n">
        <f aca="false">SQRT(($B17-CI$5)^2+($C17-CI$6)^2+($D17-CI$7)^2)</f>
        <v>5.54400848065925</v>
      </c>
      <c r="CJ17" s="74" t="n">
        <f aca="false">SQRT(($B17-CJ$5)^2+($C17-CJ$6)^2+($D17-CJ$7)^2)</f>
        <v>5.68943660648411</v>
      </c>
      <c r="CK17" s="74" t="n">
        <f aca="false">SQRT(($B17-CK$5)^2+($C17-CK$6)^2+($D17-CK$7)^2)</f>
        <v>5.42572068767903</v>
      </c>
      <c r="CL17" s="74" t="n">
        <f aca="false">SQRT(($B17-CL$5)^2+($C17-CL$6)^2+($D17-CL$7)^2)</f>
        <v>5.88059364709817</v>
      </c>
      <c r="CM17" s="74" t="n">
        <f aca="false">SQRT(($B17-CM$5)^2+($C17-CM$6)^2+($D17-CM$7)^2)</f>
        <v>5.53580404354506</v>
      </c>
      <c r="CN17" s="74" t="n">
        <f aca="false">SQRT(($B17-CN$5)^2+($C17-CN$6)^2+($D17-CN$7)^2)</f>
        <v>4.90803577982371</v>
      </c>
      <c r="CO17" s="74" t="n">
        <f aca="false">SQRT(($B17-CO$5)^2+($C17-CO$6)^2+($D17-CO$7)^2)</f>
        <v>5.1596831670337</v>
      </c>
      <c r="CP17" s="74" t="n">
        <f aca="false">SQRT(($B17-CP$5)^2+($C17-CP$6)^2+($D17-CP$7)^2)</f>
        <v>5.93612448417923</v>
      </c>
      <c r="CQ17" s="74" t="n">
        <f aca="false">SQRT(($B17-CQ$5)^2+($C17-CQ$6)^2+($D17-CQ$7)^2)</f>
        <v>5.64783477575452</v>
      </c>
      <c r="CR17" s="74" t="n">
        <f aca="false">SQRT(($B17-CR$5)^2+($C17-CR$6)^2+($D17-CR$7)^2)</f>
        <v>5.643244397863</v>
      </c>
      <c r="CS17" s="74" t="n">
        <f aca="false">SQRT(($B17-CS$5)^2+($C17-CS$6)^2+($D17-CS$7)^2)</f>
        <v>5.9818444118661</v>
      </c>
      <c r="CT17" s="74" t="n">
        <f aca="false">SQRT(($B17-CT$5)^2+($C17-CT$6)^2+($D17-CT$7)^2)</f>
        <v>6.00833707467189</v>
      </c>
      <c r="CU17" s="74" t="n">
        <f aca="false">SQRT(($B17-CU$5)^2+($C17-CU$6)^2+($D17-CU$7)^2)</f>
        <v>5.4989453416484</v>
      </c>
      <c r="CV17" s="74" t="n">
        <f aca="false">SQRT(($B17-CV$5)^2+($C17-CV$6)^2+($D17-CV$7)^2)</f>
        <v>5.49824566963213</v>
      </c>
      <c r="CW17" s="74" t="n">
        <f aca="false">SQRT(($B17-CW$5)^2+($C17-CW$6)^2+($D17-CW$7)^2)</f>
        <v>6.00833707467189</v>
      </c>
      <c r="CX17" s="74" t="n">
        <f aca="false">SQRT(($B17-CX$5)^2+($C17-CX$6)^2+($D17-CX$7)^2)</f>
        <v>5.61259621440126</v>
      </c>
      <c r="CY17" s="74" t="n">
        <f aca="false">SQRT(($B17-CY$5)^2+($C17-CY$6)^2+($D17-CY$7)^2)</f>
        <v>6.03796236817198</v>
      </c>
      <c r="CZ17" s="74" t="n">
        <f aca="false">SQRT(($B17-CZ$5)^2+($C17-CZ$6)^2+($D17-CZ$7)^2)</f>
        <v>6.03796236817198</v>
      </c>
      <c r="DA17" s="74" t="n">
        <f aca="false">SQRT(($B17-DA$5)^2+($C17-DA$6)^2+($D17-DA$7)^2)</f>
        <v>5.76981695597947</v>
      </c>
      <c r="DB17" s="74" t="n">
        <f aca="false">SQRT(($B17-DB$5)^2+($C17-DB$6)^2+($D17-DB$7)^2)</f>
        <v>6.07149583628268</v>
      </c>
      <c r="DC17" s="74" t="n">
        <f aca="false">SQRT(($B17-DC$5)^2+($C17-DC$6)^2+($D17-DC$7)^2)</f>
        <v>6.07149583628268</v>
      </c>
      <c r="DD17" s="74" t="n">
        <f aca="false">SQRT(($B17-DD$5)^2+($C17-DD$6)^2+($D17-DD$7)^2)</f>
        <v>5.85542825793996</v>
      </c>
      <c r="DE17" s="74" t="n">
        <f aca="false">SQRT(($B17-DE$5)^2+($C17-DE$6)^2+($D17-DE$7)^2)</f>
        <v>6.01666113969133</v>
      </c>
      <c r="DF17" s="74" t="n">
        <f aca="false">SQRT(($B17-DF$5)^2+($C17-DF$6)^2+($D17-DF$7)^2)</f>
        <v>6.27734343877619</v>
      </c>
      <c r="DG17" s="74" t="n">
        <f aca="false">SQRT(($B17-DG$5)^2+($C17-DG$6)^2+($D17-DG$7)^2)</f>
        <v>6.36682756039909</v>
      </c>
      <c r="DH17" s="74" t="n">
        <f aca="false">SQRT(($B17-DH$5)^2+($C17-DH$6)^2+($D17-DH$7)^2)</f>
        <v>6.36682756039909</v>
      </c>
      <c r="DI17" s="74" t="n">
        <f aca="false">SQRT(($B17-DI$5)^2+($C17-DI$6)^2+($D17-DI$7)^2)</f>
        <v>6.36682756039909</v>
      </c>
      <c r="DJ17" s="74" t="n">
        <f aca="false">SQRT(($B17-DJ$5)^2+($C17-DJ$6)^2+($D17-DJ$7)^2)</f>
        <v>6.36682756039909</v>
      </c>
      <c r="DK17" s="74" t="n">
        <f aca="false">SQRT(($B17-DK$5)^2+($C17-DK$6)^2+($D17-DK$7)^2)</f>
        <v>6.49671597942661</v>
      </c>
      <c r="DL17" s="74" t="n">
        <f aca="false">SQRT(($B17-DL$5)^2+($C17-DL$6)^2+($D17-DL$7)^2)</f>
        <v>6.49671597942661</v>
      </c>
      <c r="DM17" s="74" t="n">
        <f aca="false">SQRT(($B17-DM$5)^2+($C17-DM$6)^2+($D17-DM$7)^2)</f>
        <v>6.49671597942661</v>
      </c>
      <c r="DN17" s="74" t="n">
        <f aca="false">SQRT(($B17-DN$5)^2+($C17-DN$6)^2+($D17-DN$7)^2)</f>
        <v>6.49671597942661</v>
      </c>
      <c r="DO17" s="74" t="n">
        <f aca="false">SQRT(($B17-DO$5)^2+($C17-DO$6)^2+($D17-DO$7)^2)</f>
        <v>6.49671597942661</v>
      </c>
      <c r="DP17" s="74" t="n">
        <f aca="false">SQRT(($B17-DP$5)^2+($C17-DP$6)^2+($D17-DP$7)^2)</f>
        <v>6.7282906668016</v>
      </c>
      <c r="DQ17" s="74" t="n">
        <f aca="false">SQRT(($B17-DQ$5)^2+($C17-DQ$6)^2+($D17-DQ$7)^2)</f>
        <v>6.7282906668016</v>
      </c>
    </row>
    <row r="18" customFormat="false" ht="15" hidden="false" customHeight="false" outlineLevel="0" collapsed="false">
      <c r="A18" s="48" t="str">
        <f aca="false">KMeans_Data!A9</f>
        <v>Islamabad</v>
      </c>
      <c r="B18" s="72" t="n">
        <f aca="false">KMeans_Data!H9</f>
        <v>2.1711238504828</v>
      </c>
      <c r="C18" s="72" t="n">
        <f aca="false">KMeans_Data!I9</f>
        <v>2.06578932043694</v>
      </c>
      <c r="D18" s="72" t="n">
        <f aca="false">KMeans_Data!J9</f>
        <v>1.69651676359603</v>
      </c>
      <c r="E18" s="74" t="n">
        <f aca="false">SQRT(($B18-E$5)^2+($C18-E$6)^2+($D18-E$7)^2)</f>
        <v>2.74440135734622</v>
      </c>
      <c r="F18" s="74" t="n">
        <f aca="false">SQRT(($B18-F$5)^2+($C18-F$6)^2+($D18-F$7)^2)</f>
        <v>2.55049919039827</v>
      </c>
      <c r="G18" s="74" t="n">
        <f aca="false">SQRT(($B18-G$5)^2+($C18-G$6)^2+($D18-G$7)^2)</f>
        <v>0.73912727718985</v>
      </c>
      <c r="H18" s="74" t="n">
        <f aca="false">SQRT(($B18-H$5)^2+($C18-H$6)^2+($D18-H$7)^2)</f>
        <v>1.50712054190559</v>
      </c>
      <c r="I18" s="74" t="n">
        <f aca="false">SQRT(($B18-I$5)^2+($C18-I$6)^2+($D18-I$7)^2)</f>
        <v>0</v>
      </c>
      <c r="J18" s="74" t="n">
        <f aca="false">SQRT(($B18-J$5)^2+($C18-J$6)^2+($D18-J$7)^2)</f>
        <v>0.741717816514535</v>
      </c>
      <c r="K18" s="74" t="n">
        <f aca="false">SQRT(($B18-K$5)^2+($C18-K$6)^2+($D18-K$7)^2)</f>
        <v>3.26756239982732</v>
      </c>
      <c r="L18" s="74" t="n">
        <f aca="false">SQRT(($B18-L$5)^2+($C18-L$6)^2+($D18-L$7)^2)</f>
        <v>1.62318098192845</v>
      </c>
      <c r="M18" s="74" t="n">
        <f aca="false">SQRT(($B18-M$5)^2+($C18-M$6)^2+($D18-M$7)^2)</f>
        <v>1.24938179628758</v>
      </c>
      <c r="N18" s="74" t="n">
        <f aca="false">SQRT(($B18-N$5)^2+($C18-N$6)^2+($D18-N$7)^2)</f>
        <v>3.49166304699262</v>
      </c>
      <c r="O18" s="74" t="n">
        <f aca="false">SQRT(($B18-O$5)^2+($C18-O$6)^2+($D18-O$7)^2)</f>
        <v>1.38216217780024</v>
      </c>
      <c r="P18" s="74" t="n">
        <f aca="false">SQRT(($B18-P$5)^2+($C18-P$6)^2+($D18-P$7)^2)</f>
        <v>1.20794850770686</v>
      </c>
      <c r="Q18" s="74" t="n">
        <f aca="false">SQRT(($B18-Q$5)^2+($C18-Q$6)^2+($D18-Q$7)^2)</f>
        <v>1.67410777865868</v>
      </c>
      <c r="R18" s="74" t="n">
        <f aca="false">SQRT(($B18-R$5)^2+($C18-R$6)^2+($D18-R$7)^2)</f>
        <v>2.04521955558325</v>
      </c>
      <c r="S18" s="74" t="n">
        <f aca="false">SQRT(($B18-S$5)^2+($C18-S$6)^2+($D18-S$7)^2)</f>
        <v>2.55541802378789</v>
      </c>
      <c r="T18" s="74" t="n">
        <f aca="false">SQRT(($B18-T$5)^2+($C18-T$6)^2+($D18-T$7)^2)</f>
        <v>1.75476823393219</v>
      </c>
      <c r="U18" s="74" t="n">
        <f aca="false">SQRT(($B18-U$5)^2+($C18-U$6)^2+($D18-U$7)^2)</f>
        <v>2.12737966649266</v>
      </c>
      <c r="V18" s="74" t="n">
        <f aca="false">SQRT(($B18-V$5)^2+($C18-V$6)^2+($D18-V$7)^2)</f>
        <v>1.83542137283757</v>
      </c>
      <c r="W18" s="74" t="n">
        <f aca="false">SQRT(($B18-W$5)^2+($C18-W$6)^2+($D18-W$7)^2)</f>
        <v>1.6709560276209</v>
      </c>
      <c r="X18" s="74" t="n">
        <f aca="false">SQRT(($B18-X$5)^2+($C18-X$6)^2+($D18-X$7)^2)</f>
        <v>1.94860607998725</v>
      </c>
      <c r="Y18" s="74" t="n">
        <f aca="false">SQRT(($B18-Y$5)^2+($C18-Y$6)^2+($D18-Y$7)^2)</f>
        <v>1.91981145085126</v>
      </c>
      <c r="Z18" s="74" t="n">
        <f aca="false">SQRT(($B18-Z$5)^2+($C18-Z$6)^2+($D18-Z$7)^2)</f>
        <v>2.16252826301194</v>
      </c>
      <c r="AA18" s="74" t="n">
        <f aca="false">SQRT(($B18-AA$5)^2+($C18-AA$6)^2+($D18-AA$7)^2)</f>
        <v>2.46951537295837</v>
      </c>
      <c r="AB18" s="74" t="n">
        <f aca="false">SQRT(($B18-AB$5)^2+($C18-AB$6)^2+($D18-AB$7)^2)</f>
        <v>2.29979133393483</v>
      </c>
      <c r="AC18" s="74" t="n">
        <f aca="false">SQRT(($B18-AC$5)^2+($C18-AC$6)^2+($D18-AC$7)^2)</f>
        <v>1.84208331437554</v>
      </c>
      <c r="AD18" s="74" t="n">
        <f aca="false">SQRT(($B18-AD$5)^2+($C18-AD$6)^2+($D18-AD$7)^2)</f>
        <v>1.97721386113536</v>
      </c>
      <c r="AE18" s="74" t="n">
        <f aca="false">SQRT(($B18-AE$5)^2+($C18-AE$6)^2+($D18-AE$7)^2)</f>
        <v>3.9116800125412</v>
      </c>
      <c r="AF18" s="74" t="n">
        <f aca="false">SQRT(($B18-AF$5)^2+($C18-AF$6)^2+($D18-AF$7)^2)</f>
        <v>2.24545211175181</v>
      </c>
      <c r="AG18" s="74" t="n">
        <f aca="false">SQRT(($B18-AG$5)^2+($C18-AG$6)^2+($D18-AG$7)^2)</f>
        <v>3.79902821727031</v>
      </c>
      <c r="AH18" s="74" t="n">
        <f aca="false">SQRT(($B18-AH$5)^2+($C18-AH$6)^2+($D18-AH$7)^2)</f>
        <v>2.64690056625644</v>
      </c>
      <c r="AI18" s="74" t="n">
        <f aca="false">SQRT(($B18-AI$5)^2+($C18-AI$6)^2+($D18-AI$7)^2)</f>
        <v>3.80035631618254</v>
      </c>
      <c r="AJ18" s="74" t="n">
        <f aca="false">SQRT(($B18-AJ$5)^2+($C18-AJ$6)^2+($D18-AJ$7)^2)</f>
        <v>2.28325243761835</v>
      </c>
      <c r="AK18" s="74" t="n">
        <f aca="false">SQRT(($B18-AK$5)^2+($C18-AK$6)^2+($D18-AK$7)^2)</f>
        <v>2.74260439194059</v>
      </c>
      <c r="AL18" s="74" t="n">
        <f aca="false">SQRT(($B18-AL$5)^2+($C18-AL$6)^2+($D18-AL$7)^2)</f>
        <v>3.0083382283574</v>
      </c>
      <c r="AM18" s="74" t="n">
        <f aca="false">SQRT(($B18-AM$5)^2+($C18-AM$6)^2+($D18-AM$7)^2)</f>
        <v>2.2896663830796</v>
      </c>
      <c r="AN18" s="74" t="n">
        <f aca="false">SQRT(($B18-AN$5)^2+($C18-AN$6)^2+($D18-AN$7)^2)</f>
        <v>2.17948629169163</v>
      </c>
      <c r="AO18" s="74" t="n">
        <f aca="false">SQRT(($B18-AO$5)^2+($C18-AO$6)^2+($D18-AO$7)^2)</f>
        <v>2.68404356636408</v>
      </c>
      <c r="AP18" s="74" t="n">
        <f aca="false">SQRT(($B18-AP$5)^2+($C18-AP$6)^2+($D18-AP$7)^2)</f>
        <v>2.72198055432781</v>
      </c>
      <c r="AQ18" s="74" t="n">
        <f aca="false">SQRT(($B18-AQ$5)^2+($C18-AQ$6)^2+($D18-AQ$7)^2)</f>
        <v>2.20900220761346</v>
      </c>
      <c r="AR18" s="74" t="n">
        <f aca="false">SQRT(($B18-AR$5)^2+($C18-AR$6)^2+($D18-AR$7)^2)</f>
        <v>3.15502743220921</v>
      </c>
      <c r="AS18" s="74" t="n">
        <f aca="false">SQRT(($B18-AS$5)^2+($C18-AS$6)^2+($D18-AS$7)^2)</f>
        <v>3.37733494873902</v>
      </c>
      <c r="AT18" s="74" t="n">
        <f aca="false">SQRT(($B18-AT$5)^2+($C18-AT$6)^2+($D18-AT$7)^2)</f>
        <v>3.05730191339331</v>
      </c>
      <c r="AU18" s="74" t="n">
        <f aca="false">SQRT(($B18-AU$5)^2+($C18-AU$6)^2+($D18-AU$7)^2)</f>
        <v>3.73942352039505</v>
      </c>
      <c r="AV18" s="74" t="n">
        <f aca="false">SQRT(($B18-AV$5)^2+($C18-AV$6)^2+($D18-AV$7)^2)</f>
        <v>3.5441694564271</v>
      </c>
      <c r="AW18" s="74" t="n">
        <f aca="false">SQRT(($B18-AW$5)^2+($C18-AW$6)^2+($D18-AW$7)^2)</f>
        <v>4.19391129173368</v>
      </c>
      <c r="AX18" s="74" t="n">
        <f aca="false">SQRT(($B18-AX$5)^2+($C18-AX$6)^2+($D18-AX$7)^2)</f>
        <v>3.01946888364744</v>
      </c>
      <c r="AY18" s="74" t="n">
        <f aca="false">SQRT(($B18-AY$5)^2+($C18-AY$6)^2+($D18-AY$7)^2)</f>
        <v>4.41116944786672</v>
      </c>
      <c r="AZ18" s="74" t="n">
        <f aca="false">SQRT(($B18-AZ$5)^2+($C18-AZ$6)^2+($D18-AZ$7)^2)</f>
        <v>3.43823134577221</v>
      </c>
      <c r="BA18" s="74" t="n">
        <f aca="false">SQRT(($B18-BA$5)^2+($C18-BA$6)^2+($D18-BA$7)^2)</f>
        <v>3.10080148172481</v>
      </c>
      <c r="BB18" s="74" t="n">
        <f aca="false">SQRT(($B18-BB$5)^2+($C18-BB$6)^2+($D18-BB$7)^2)</f>
        <v>4.41409734885371</v>
      </c>
      <c r="BC18" s="74" t="n">
        <f aca="false">SQRT(($B18-BC$5)^2+($C18-BC$6)^2+($D18-BC$7)^2)</f>
        <v>4.41707046076252</v>
      </c>
      <c r="BD18" s="74" t="n">
        <f aca="false">SQRT(($B18-BD$5)^2+($C18-BD$6)^2+($D18-BD$7)^2)</f>
        <v>4.04388258876544</v>
      </c>
      <c r="BE18" s="74" t="n">
        <f aca="false">SQRT(($B18-BE$5)^2+($C18-BE$6)^2+($D18-BE$7)^2)</f>
        <v>3.91610999292906</v>
      </c>
      <c r="BF18" s="74" t="n">
        <f aca="false">SQRT(($B18-BF$5)^2+($C18-BF$6)^2+($D18-BF$7)^2)</f>
        <v>2.34084981201924</v>
      </c>
      <c r="BG18" s="74" t="n">
        <f aca="false">SQRT(($B18-BG$5)^2+($C18-BG$6)^2+($D18-BG$7)^2)</f>
        <v>3.21634548896903</v>
      </c>
      <c r="BH18" s="74" t="n">
        <f aca="false">SQRT(($B18-BH$5)^2+($C18-BH$6)^2+($D18-BH$7)^2)</f>
        <v>4.46425004761346</v>
      </c>
      <c r="BI18" s="74" t="n">
        <f aca="false">SQRT(($B18-BI$5)^2+($C18-BI$6)^2+($D18-BI$7)^2)</f>
        <v>4.47199622147107</v>
      </c>
      <c r="BJ18" s="74" t="n">
        <f aca="false">SQRT(($B18-BJ$5)^2+($C18-BJ$6)^2+($D18-BJ$7)^2)</f>
        <v>3.12572044330973</v>
      </c>
      <c r="BK18" s="74" t="n">
        <f aca="false">SQRT(($B18-BK$5)^2+($C18-BK$6)^2+($D18-BK$7)^2)</f>
        <v>4.07206657725157</v>
      </c>
      <c r="BL18" s="74" t="n">
        <f aca="false">SQRT(($B18-BL$5)^2+($C18-BL$6)^2+($D18-BL$7)^2)</f>
        <v>3.74215159484787</v>
      </c>
      <c r="BM18" s="74" t="n">
        <f aca="false">SQRT(($B18-BM$5)^2+($C18-BM$6)^2+($D18-BM$7)^2)</f>
        <v>2.93100554955407</v>
      </c>
      <c r="BN18" s="74" t="n">
        <f aca="false">SQRT(($B18-BN$5)^2+($C18-BN$6)^2+($D18-BN$7)^2)</f>
        <v>3.35702838059043</v>
      </c>
      <c r="BO18" s="74" t="n">
        <f aca="false">SQRT(($B18-BO$5)^2+($C18-BO$6)^2+($D18-BO$7)^2)</f>
        <v>4.34212870840476</v>
      </c>
      <c r="BP18" s="74" t="n">
        <f aca="false">SQRT(($B18-BP$5)^2+($C18-BP$6)^2+($D18-BP$7)^2)</f>
        <v>3.29089395276862</v>
      </c>
      <c r="BQ18" s="74" t="n">
        <f aca="false">SQRT(($B18-BQ$5)^2+($C18-BQ$6)^2+($D18-BQ$7)^2)</f>
        <v>3.43942941279615</v>
      </c>
      <c r="BR18" s="74" t="n">
        <f aca="false">SQRT(($B18-BR$5)^2+($C18-BR$6)^2+($D18-BR$7)^2)</f>
        <v>3.43725482764318</v>
      </c>
      <c r="BS18" s="74" t="n">
        <f aca="false">SQRT(($B18-BS$5)^2+($C18-BS$6)^2+($D18-BS$7)^2)</f>
        <v>3.76857561047966</v>
      </c>
      <c r="BT18" s="74" t="n">
        <f aca="false">SQRT(($B18-BT$5)^2+($C18-BT$6)^2+($D18-BT$7)^2)</f>
        <v>3.93054948838408</v>
      </c>
      <c r="BU18" s="74" t="n">
        <f aca="false">SQRT(($B18-BU$5)^2+($C18-BU$6)^2+($D18-BU$7)^2)</f>
        <v>3.96362042710865</v>
      </c>
      <c r="BV18" s="74" t="n">
        <f aca="false">SQRT(($B18-BV$5)^2+($C18-BV$6)^2+($D18-BV$7)^2)</f>
        <v>4.63539210968754</v>
      </c>
      <c r="BW18" s="74" t="n">
        <f aca="false">SQRT(($B18-BW$5)^2+($C18-BW$6)^2+($D18-BW$7)^2)</f>
        <v>3.93378232874018</v>
      </c>
      <c r="BX18" s="74" t="n">
        <f aca="false">SQRT(($B18-BX$5)^2+($C18-BX$6)^2+($D18-BX$7)^2)</f>
        <v>4.64381158930507</v>
      </c>
      <c r="BY18" s="74" t="n">
        <f aca="false">SQRT(($B18-BY$5)^2+($C18-BY$6)^2+($D18-BY$7)^2)</f>
        <v>4.14507453887677</v>
      </c>
      <c r="BZ18" s="74" t="n">
        <f aca="false">SQRT(($B18-BZ$5)^2+($C18-BZ$6)^2+($D18-BZ$7)^2)</f>
        <v>4.18399385606726</v>
      </c>
      <c r="CA18" s="74" t="n">
        <f aca="false">SQRT(($B18-CA$5)^2+($C18-CA$6)^2+($D18-CA$7)^2)</f>
        <v>4.67101283112927</v>
      </c>
      <c r="CB18" s="74" t="n">
        <f aca="false">SQRT(($B18-CB$5)^2+($C18-CB$6)^2+($D18-CB$7)^2)</f>
        <v>4.1949249606788</v>
      </c>
      <c r="CC18" s="74" t="n">
        <f aca="false">SQRT(($B18-CC$5)^2+($C18-CC$6)^2+($D18-CC$7)^2)</f>
        <v>4.68080673673799</v>
      </c>
      <c r="CD18" s="74" t="n">
        <f aca="false">SQRT(($B18-CD$5)^2+($C18-CD$6)^2+($D18-CD$7)^2)</f>
        <v>4.70165619325942</v>
      </c>
      <c r="CE18" s="74" t="n">
        <f aca="false">SQRT(($B18-CE$5)^2+($C18-CE$6)^2+($D18-CE$7)^2)</f>
        <v>4.1069178785359</v>
      </c>
      <c r="CF18" s="74" t="n">
        <f aca="false">SQRT(($B18-CF$5)^2+($C18-CF$6)^2+($D18-CF$7)^2)</f>
        <v>3.73565672849808</v>
      </c>
      <c r="CG18" s="74" t="n">
        <f aca="false">SQRT(($B18-CG$5)^2+($C18-CG$6)^2+($D18-CG$7)^2)</f>
        <v>4.03380875625666</v>
      </c>
      <c r="CH18" s="74" t="n">
        <f aca="false">SQRT(($B18-CH$5)^2+($C18-CH$6)^2+($D18-CH$7)^2)</f>
        <v>4.3444567032013</v>
      </c>
      <c r="CI18" s="74" t="n">
        <f aca="false">SQRT(($B18-CI$5)^2+($C18-CI$6)^2+($D18-CI$7)^2)</f>
        <v>4.42528203600164</v>
      </c>
      <c r="CJ18" s="74" t="n">
        <f aca="false">SQRT(($B18-CJ$5)^2+($C18-CJ$6)^2+($D18-CJ$7)^2)</f>
        <v>4.60910399672823</v>
      </c>
      <c r="CK18" s="74" t="n">
        <f aca="false">SQRT(($B18-CK$5)^2+($C18-CK$6)^2+($D18-CK$7)^2)</f>
        <v>4.26650001273433</v>
      </c>
      <c r="CL18" s="74" t="n">
        <f aca="false">SQRT(($B18-CL$5)^2+($C18-CL$6)^2+($D18-CL$7)^2)</f>
        <v>4.84362907095015</v>
      </c>
      <c r="CM18" s="74" t="n">
        <f aca="false">SQRT(($B18-CM$5)^2+($C18-CM$6)^2+($D18-CM$7)^2)</f>
        <v>4.40800504593852</v>
      </c>
      <c r="CN18" s="74" t="n">
        <f aca="false">SQRT(($B18-CN$5)^2+($C18-CN$6)^2+($D18-CN$7)^2)</f>
        <v>3.78363780881503</v>
      </c>
      <c r="CO18" s="74" t="n">
        <f aca="false">SQRT(($B18-CO$5)^2+($C18-CO$6)^2+($D18-CO$7)^2)</f>
        <v>4.11433416650023</v>
      </c>
      <c r="CP18" s="74" t="n">
        <f aca="false">SQRT(($B18-CP$5)^2+($C18-CP$6)^2+($D18-CP$7)^2)</f>
        <v>4.90706660589026</v>
      </c>
      <c r="CQ18" s="74" t="n">
        <f aca="false">SQRT(($B18-CQ$5)^2+($C18-CQ$6)^2+($D18-CQ$7)^2)</f>
        <v>4.54321952699103</v>
      </c>
      <c r="CR18" s="74" t="n">
        <f aca="false">SQRT(($B18-CR$5)^2+($C18-CR$6)^2+($D18-CR$7)^2)</f>
        <v>4.53471947354835</v>
      </c>
      <c r="CS18" s="74" t="n">
        <f aca="false">SQRT(($B18-CS$5)^2+($C18-CS$6)^2+($D18-CS$7)^2)</f>
        <v>4.95922522131357</v>
      </c>
      <c r="CT18" s="74" t="n">
        <f aca="false">SQRT(($B18-CT$5)^2+($C18-CT$6)^2+($D18-CT$7)^2)</f>
        <v>4.98941808235669</v>
      </c>
      <c r="CU18" s="74" t="n">
        <f aca="false">SQRT(($B18-CU$5)^2+($C18-CU$6)^2+($D18-CU$7)^2)</f>
        <v>4.53530337516755</v>
      </c>
      <c r="CV18" s="74" t="n">
        <f aca="false">SQRT(($B18-CV$5)^2+($C18-CV$6)^2+($D18-CV$7)^2)</f>
        <v>4.3434084328442</v>
      </c>
      <c r="CW18" s="74" t="n">
        <f aca="false">SQRT(($B18-CW$5)^2+($C18-CW$6)^2+($D18-CW$7)^2)</f>
        <v>4.98941808235669</v>
      </c>
      <c r="CX18" s="74" t="n">
        <f aca="false">SQRT(($B18-CX$5)^2+($C18-CX$6)^2+($D18-CX$7)^2)</f>
        <v>4.48893620869536</v>
      </c>
      <c r="CY18" s="74" t="n">
        <f aca="false">SQRT(($B18-CY$5)^2+($C18-CY$6)^2+($D18-CY$7)^2)</f>
        <v>5.02315365320272</v>
      </c>
      <c r="CZ18" s="74" t="n">
        <f aca="false">SQRT(($B18-CZ$5)^2+($C18-CZ$6)^2+($D18-CZ$7)^2)</f>
        <v>5.02315365320272</v>
      </c>
      <c r="DA18" s="74" t="n">
        <f aca="false">SQRT(($B18-DA$5)^2+($C18-DA$6)^2+($D18-DA$7)^2)</f>
        <v>4.6896864286988</v>
      </c>
      <c r="DB18" s="74" t="n">
        <f aca="false">SQRT(($B18-DB$5)^2+($C18-DB$6)^2+($D18-DB$7)^2)</f>
        <v>5.06130398095042</v>
      </c>
      <c r="DC18" s="74" t="n">
        <f aca="false">SQRT(($B18-DC$5)^2+($C18-DC$6)^2+($D18-DC$7)^2)</f>
        <v>5.06130398095042</v>
      </c>
      <c r="DD18" s="74" t="n">
        <f aca="false">SQRT(($B18-DD$5)^2+($C18-DD$6)^2+($D18-DD$7)^2)</f>
        <v>4.7939705368724</v>
      </c>
      <c r="DE18" s="74" t="n">
        <f aca="false">SQRT(($B18-DE$5)^2+($C18-DE$6)^2+($D18-DE$7)^2)</f>
        <v>4.98652711284458</v>
      </c>
      <c r="DF18" s="74" t="n">
        <f aca="false">SQRT(($B18-DF$5)^2+($C18-DF$6)^2+($D18-DF$7)^2)</f>
        <v>5.29463429415647</v>
      </c>
      <c r="DG18" s="74" t="n">
        <f aca="false">SQRT(($B18-DG$5)^2+($C18-DG$6)^2+($D18-DG$7)^2)</f>
        <v>5.39559690017231</v>
      </c>
      <c r="DH18" s="74" t="n">
        <f aca="false">SQRT(($B18-DH$5)^2+($C18-DH$6)^2+($D18-DH$7)^2)</f>
        <v>5.39559690017231</v>
      </c>
      <c r="DI18" s="74" t="n">
        <f aca="false">SQRT(($B18-DI$5)^2+($C18-DI$6)^2+($D18-DI$7)^2)</f>
        <v>5.39559690017231</v>
      </c>
      <c r="DJ18" s="74" t="n">
        <f aca="false">SQRT(($B18-DJ$5)^2+($C18-DJ$6)^2+($D18-DJ$7)^2)</f>
        <v>5.39559690017231</v>
      </c>
      <c r="DK18" s="74" t="n">
        <f aca="false">SQRT(($B18-DK$5)^2+($C18-DK$6)^2+($D18-DK$7)^2)</f>
        <v>5.54164285575793</v>
      </c>
      <c r="DL18" s="74" t="n">
        <f aca="false">SQRT(($B18-DL$5)^2+($C18-DL$6)^2+($D18-DL$7)^2)</f>
        <v>5.54164285575793</v>
      </c>
      <c r="DM18" s="74" t="n">
        <f aca="false">SQRT(($B18-DM$5)^2+($C18-DM$6)^2+($D18-DM$7)^2)</f>
        <v>5.54164285575793</v>
      </c>
      <c r="DN18" s="74" t="n">
        <f aca="false">SQRT(($B18-DN$5)^2+($C18-DN$6)^2+($D18-DN$7)^2)</f>
        <v>5.54164285575793</v>
      </c>
      <c r="DO18" s="74" t="n">
        <f aca="false">SQRT(($B18-DO$5)^2+($C18-DO$6)^2+($D18-DO$7)^2)</f>
        <v>5.54164285575793</v>
      </c>
      <c r="DP18" s="74" t="n">
        <f aca="false">SQRT(($B18-DP$5)^2+($C18-DP$6)^2+($D18-DP$7)^2)</f>
        <v>5.80058252965424</v>
      </c>
      <c r="DQ18" s="74" t="n">
        <f aca="false">SQRT(($B18-DQ$5)^2+($C18-DQ$6)^2+($D18-DQ$7)^2)</f>
        <v>5.80058252965424</v>
      </c>
    </row>
    <row r="19" customFormat="false" ht="15" hidden="false" customHeight="false" outlineLevel="0" collapsed="false">
      <c r="A19" s="48" t="str">
        <f aca="false">KMeans_Data!A10</f>
        <v>Swat</v>
      </c>
      <c r="B19" s="72" t="n">
        <f aca="false">KMeans_Data!H10</f>
        <v>1.49375246664447</v>
      </c>
      <c r="C19" s="72" t="n">
        <f aca="false">KMeans_Data!I10</f>
        <v>2.23090597008422</v>
      </c>
      <c r="D19" s="72" t="n">
        <f aca="false">KMeans_Data!J10</f>
        <v>1.44343610510691</v>
      </c>
      <c r="E19" s="74" t="n">
        <f aca="false">SQRT(($B19-E$5)^2+($C19-E$6)^2+($D19-E$7)^2)</f>
        <v>3.11649342466592</v>
      </c>
      <c r="F19" s="74" t="n">
        <f aca="false">SQRT(($B19-F$5)^2+($C19-F$6)^2+($D19-F$7)^2)</f>
        <v>2.88522478769483</v>
      </c>
      <c r="G19" s="74" t="n">
        <f aca="false">SQRT(($B19-G$5)^2+($C19-G$6)^2+($D19-G$7)^2)</f>
        <v>1.2748124740347</v>
      </c>
      <c r="H19" s="74" t="n">
        <f aca="false">SQRT(($B19-H$5)^2+($C19-H$6)^2+($D19-H$7)^2)</f>
        <v>1.59209620818352</v>
      </c>
      <c r="I19" s="74" t="n">
        <f aca="false">SQRT(($B19-I$5)^2+($C19-I$6)^2+($D19-I$7)^2)</f>
        <v>0.741717816514535</v>
      </c>
      <c r="J19" s="74" t="n">
        <f aca="false">SQRT(($B19-J$5)^2+($C19-J$6)^2+($D19-J$7)^2)</f>
        <v>0</v>
      </c>
      <c r="K19" s="74" t="n">
        <f aca="false">SQRT(($B19-K$5)^2+($C19-K$6)^2+($D19-K$7)^2)</f>
        <v>3.07467364429478</v>
      </c>
      <c r="L19" s="74" t="n">
        <f aca="false">SQRT(($B19-L$5)^2+($C19-L$6)^2+($D19-L$7)^2)</f>
        <v>1.57996155390134</v>
      </c>
      <c r="M19" s="74" t="n">
        <f aca="false">SQRT(($B19-M$5)^2+($C19-M$6)^2+($D19-M$7)^2)</f>
        <v>1.07567218226818</v>
      </c>
      <c r="N19" s="74" t="n">
        <f aca="false">SQRT(($B19-N$5)^2+($C19-N$6)^2+($D19-N$7)^2)</f>
        <v>3.29894450563281</v>
      </c>
      <c r="O19" s="74" t="n">
        <f aca="false">SQRT(($B19-O$5)^2+($C19-O$6)^2+($D19-O$7)^2)</f>
        <v>0.949410192834466</v>
      </c>
      <c r="P19" s="74" t="n">
        <f aca="false">SQRT(($B19-P$5)^2+($C19-P$6)^2+($D19-P$7)^2)</f>
        <v>0.651802713238592</v>
      </c>
      <c r="Q19" s="74" t="n">
        <f aca="false">SQRT(($B19-Q$5)^2+($C19-Q$6)^2+($D19-Q$7)^2)</f>
        <v>1.36604080146892</v>
      </c>
      <c r="R19" s="74" t="n">
        <f aca="false">SQRT(($B19-R$5)^2+($C19-R$6)^2+($D19-R$7)^2)</f>
        <v>1.90781752145149</v>
      </c>
      <c r="S19" s="74" t="n">
        <f aca="false">SQRT(($B19-S$5)^2+($C19-S$6)^2+($D19-S$7)^2)</f>
        <v>2.44273905146409</v>
      </c>
      <c r="T19" s="74" t="n">
        <f aca="false">SQRT(($B19-T$5)^2+($C19-T$6)^2+($D19-T$7)^2)</f>
        <v>1.41535723160628</v>
      </c>
      <c r="U19" s="74" t="n">
        <f aca="false">SQRT(($B19-U$5)^2+($C19-U$6)^2+($D19-U$7)^2)</f>
        <v>1.95620922314335</v>
      </c>
      <c r="V19" s="74" t="n">
        <f aca="false">SQRT(($B19-V$5)^2+($C19-V$6)^2+($D19-V$7)^2)</f>
        <v>1.34669155361249</v>
      </c>
      <c r="W19" s="74" t="n">
        <f aca="false">SQRT(($B19-W$5)^2+($C19-W$6)^2+($D19-W$7)^2)</f>
        <v>1.18081971025047</v>
      </c>
      <c r="X19" s="74" t="n">
        <f aca="false">SQRT(($B19-X$5)^2+($C19-X$6)^2+($D19-X$7)^2)</f>
        <v>1.62149260911988</v>
      </c>
      <c r="Y19" s="74" t="n">
        <f aca="false">SQRT(($B19-Y$5)^2+($C19-Y$6)^2+($D19-Y$7)^2)</f>
        <v>1.60150406189909</v>
      </c>
      <c r="Z19" s="74" t="n">
        <f aca="false">SQRT(($B19-Z$5)^2+($C19-Z$6)^2+($D19-Z$7)^2)</f>
        <v>1.79469365371321</v>
      </c>
      <c r="AA19" s="74" t="n">
        <f aca="false">SQRT(($B19-AA$5)^2+($C19-AA$6)^2+($D19-AA$7)^2)</f>
        <v>2.24165274330398</v>
      </c>
      <c r="AB19" s="74" t="n">
        <f aca="false">SQRT(($B19-AB$5)^2+($C19-AB$6)^2+($D19-AB$7)^2)</f>
        <v>1.98482843033153</v>
      </c>
      <c r="AC19" s="74" t="n">
        <f aca="false">SQRT(($B19-AC$5)^2+($C19-AC$6)^2+($D19-AC$7)^2)</f>
        <v>1.3304080775026</v>
      </c>
      <c r="AD19" s="74" t="n">
        <f aca="false">SQRT(($B19-AD$5)^2+($C19-AD$6)^2+($D19-AD$7)^2)</f>
        <v>1.63798515592993</v>
      </c>
      <c r="AE19" s="74" t="n">
        <f aca="false">SQRT(($B19-AE$5)^2+($C19-AE$6)^2+($D19-AE$7)^2)</f>
        <v>3.61620404102272</v>
      </c>
      <c r="AF19" s="74" t="n">
        <f aca="false">SQRT(($B19-AF$5)^2+($C19-AF$6)^2+($D19-AF$7)^2)</f>
        <v>1.87239071935057</v>
      </c>
      <c r="AG19" s="74" t="n">
        <f aca="false">SQRT(($B19-AG$5)^2+($C19-AG$6)^2+($D19-AG$7)^2)</f>
        <v>3.55912636897328</v>
      </c>
      <c r="AH19" s="74" t="n">
        <f aca="false">SQRT(($B19-AH$5)^2+($C19-AH$6)^2+($D19-AH$7)^2)</f>
        <v>2.35874612506158</v>
      </c>
      <c r="AI19" s="74" t="n">
        <f aca="false">SQRT(($B19-AI$5)^2+($C19-AI$6)^2+($D19-AI$7)^2)</f>
        <v>3.55994197861085</v>
      </c>
      <c r="AJ19" s="74" t="n">
        <f aca="false">SQRT(($B19-AJ$5)^2+($C19-AJ$6)^2+($D19-AJ$7)^2)</f>
        <v>1.9488417723352</v>
      </c>
      <c r="AK19" s="74" t="n">
        <f aca="false">SQRT(($B19-AK$5)^2+($C19-AK$6)^2+($D19-AK$7)^2)</f>
        <v>2.38630487458191</v>
      </c>
      <c r="AL19" s="74" t="n">
        <f aca="false">SQRT(($B19-AL$5)^2+($C19-AL$6)^2+($D19-AL$7)^2)</f>
        <v>2.73259416436632</v>
      </c>
      <c r="AM19" s="74" t="n">
        <f aca="false">SQRT(($B19-AM$5)^2+($C19-AM$6)^2+($D19-AM$7)^2)</f>
        <v>1.74099686641278</v>
      </c>
      <c r="AN19" s="74" t="n">
        <f aca="false">SQRT(($B19-AN$5)^2+($C19-AN$6)^2+($D19-AN$7)^2)</f>
        <v>1.66821535879169</v>
      </c>
      <c r="AO19" s="74" t="n">
        <f aca="false">SQRT(($B19-AO$5)^2+($C19-AO$6)^2+($D19-AO$7)^2)</f>
        <v>2.31767416508879</v>
      </c>
      <c r="AP19" s="74" t="n">
        <f aca="false">SQRT(($B19-AP$5)^2+($C19-AP$6)^2+($D19-AP$7)^2)</f>
        <v>2.35175056642281</v>
      </c>
      <c r="AQ19" s="74" t="n">
        <f aca="false">SQRT(($B19-AQ$5)^2+($C19-AQ$6)^2+($D19-AQ$7)^2)</f>
        <v>1.66197416085036</v>
      </c>
      <c r="AR19" s="74" t="n">
        <f aca="false">SQRT(($B19-AR$5)^2+($C19-AR$6)^2+($D19-AR$7)^2)</f>
        <v>2.7967573125262</v>
      </c>
      <c r="AS19" s="74" t="n">
        <f aca="false">SQRT(($B19-AS$5)^2+($C19-AS$6)^2+($D19-AS$7)^2)</f>
        <v>3.16261801896236</v>
      </c>
      <c r="AT19" s="74" t="n">
        <f aca="false">SQRT(($B19-AT$5)^2+($C19-AT$6)^2+($D19-AT$7)^2)</f>
        <v>2.75511459473948</v>
      </c>
      <c r="AU19" s="74" t="n">
        <f aca="false">SQRT(($B19-AU$5)^2+($C19-AU$6)^2+($D19-AU$7)^2)</f>
        <v>3.39076066619765</v>
      </c>
      <c r="AV19" s="74" t="n">
        <f aca="false">SQRT(($B19-AV$5)^2+($C19-AV$6)^2+($D19-AV$7)^2)</f>
        <v>3.28993275732025</v>
      </c>
      <c r="AW19" s="74" t="n">
        <f aca="false">SQRT(($B19-AW$5)^2+($C19-AW$6)^2+($D19-AW$7)^2)</f>
        <v>3.89220974722006</v>
      </c>
      <c r="AX19" s="74" t="n">
        <f aca="false">SQRT(($B19-AX$5)^2+($C19-AX$6)^2+($D19-AX$7)^2)</f>
        <v>2.64663452529706</v>
      </c>
      <c r="AY19" s="74" t="n">
        <f aca="false">SQRT(($B19-AY$5)^2+($C19-AY$6)^2+($D19-AY$7)^2)</f>
        <v>4.09942058379209</v>
      </c>
      <c r="AZ19" s="74" t="n">
        <f aca="false">SQRT(($B19-AZ$5)^2+($C19-AZ$6)^2+($D19-AZ$7)^2)</f>
        <v>3.20480393699322</v>
      </c>
      <c r="BA19" s="74" t="n">
        <f aca="false">SQRT(($B19-BA$5)^2+($C19-BA$6)^2+($D19-BA$7)^2)</f>
        <v>2.78604139670945</v>
      </c>
      <c r="BB19" s="74" t="n">
        <f aca="false">SQRT(($B19-BB$5)^2+($C19-BB$6)^2+($D19-BB$7)^2)</f>
        <v>4.1014898870059</v>
      </c>
      <c r="BC19" s="74" t="n">
        <f aca="false">SQRT(($B19-BC$5)^2+($C19-BC$6)^2+($D19-BC$7)^2)</f>
        <v>4.10359513331944</v>
      </c>
      <c r="BD19" s="74" t="n">
        <f aca="false">SQRT(($B19-BD$5)^2+($C19-BD$6)^2+($D19-BD$7)^2)</f>
        <v>3.73891286598649</v>
      </c>
      <c r="BE19" s="74" t="n">
        <f aca="false">SQRT(($B19-BE$5)^2+($C19-BE$6)^2+($D19-BE$7)^2)</f>
        <v>3.61588173180457</v>
      </c>
      <c r="BF19" s="74" t="n">
        <f aca="false">SQRT(($B19-BF$5)^2+($C19-BF$6)^2+($D19-BF$7)^2)</f>
        <v>1.73948952680208</v>
      </c>
      <c r="BG19" s="74" t="n">
        <f aca="false">SQRT(($B19-BG$5)^2+($C19-BG$6)^2+($D19-BG$7)^2)</f>
        <v>2.87668758042532</v>
      </c>
      <c r="BH19" s="74" t="n">
        <f aca="false">SQRT(($B19-BH$5)^2+($C19-BH$6)^2+($D19-BH$7)^2)</f>
        <v>4.13751405157019</v>
      </c>
      <c r="BI19" s="74" t="n">
        <f aca="false">SQRT(($B19-BI$5)^2+($C19-BI$6)^2+($D19-BI$7)^2)</f>
        <v>4.14317005950737</v>
      </c>
      <c r="BJ19" s="74" t="n">
        <f aca="false">SQRT(($B19-BJ$5)^2+($C19-BJ$6)^2+($D19-BJ$7)^2)</f>
        <v>2.65663603098548</v>
      </c>
      <c r="BK19" s="74" t="n">
        <f aca="false">SQRT(($B19-BK$5)^2+($C19-BK$6)^2+($D19-BK$7)^2)</f>
        <v>3.74724652409824</v>
      </c>
      <c r="BL19" s="74" t="n">
        <f aca="false">SQRT(($B19-BL$5)^2+($C19-BL$6)^2+($D19-BL$7)^2)</f>
        <v>3.44057911099888</v>
      </c>
      <c r="BM19" s="74" t="n">
        <f aca="false">SQRT(($B19-BM$5)^2+($C19-BM$6)^2+($D19-BM$7)^2)</f>
        <v>2.45988360260331</v>
      </c>
      <c r="BN19" s="74" t="n">
        <f aca="false">SQRT(($B19-BN$5)^2+($C19-BN$6)^2+($D19-BN$7)^2)</f>
        <v>2.93454321547239</v>
      </c>
      <c r="BO19" s="74" t="n">
        <f aca="false">SQRT(($B19-BO$5)^2+($C19-BO$6)^2+($D19-BO$7)^2)</f>
        <v>4.00041351901798</v>
      </c>
      <c r="BP19" s="74" t="n">
        <f aca="false">SQRT(($B19-BP$5)^2+($C19-BP$6)^2+($D19-BP$7)^2)</f>
        <v>2.86532397110915</v>
      </c>
      <c r="BQ19" s="74" t="n">
        <f aca="false">SQRT(($B19-BQ$5)^2+($C19-BQ$6)^2+($D19-BQ$7)^2)</f>
        <v>3.05849942354584</v>
      </c>
      <c r="BR19" s="74" t="n">
        <f aca="false">SQRT(($B19-BR$5)^2+($C19-BR$6)^2+($D19-BR$7)^2)</f>
        <v>3.05473006225175</v>
      </c>
      <c r="BS19" s="74" t="n">
        <f aca="false">SQRT(($B19-BS$5)^2+($C19-BS$6)^2+($D19-BS$7)^2)</f>
        <v>3.45320070449445</v>
      </c>
      <c r="BT19" s="74" t="n">
        <f aca="false">SQRT(($B19-BT$5)^2+($C19-BT$6)^2+($D19-BT$7)^2)</f>
        <v>3.59318252109804</v>
      </c>
      <c r="BU19" s="74" t="n">
        <f aca="false">SQRT(($B19-BU$5)^2+($C19-BU$6)^2+($D19-BU$7)^2)</f>
        <v>3.62343271191421</v>
      </c>
      <c r="BV19" s="74" t="n">
        <f aca="false">SQRT(($B19-BV$5)^2+($C19-BV$6)^2+($D19-BV$7)^2)</f>
        <v>4.26723693828814</v>
      </c>
      <c r="BW19" s="74" t="n">
        <f aca="false">SQRT(($B19-BW$5)^2+($C19-BW$6)^2+($D19-BW$7)^2)</f>
        <v>3.59171310249613</v>
      </c>
      <c r="BX19" s="74" t="n">
        <f aca="false">SQRT(($B19-BX$5)^2+($C19-BX$6)^2+($D19-BX$7)^2)</f>
        <v>4.27384369921306</v>
      </c>
      <c r="BY19" s="74" t="n">
        <f aca="false">SQRT(($B19-BY$5)^2+($C19-BY$6)^2+($D19-BY$7)^2)</f>
        <v>3.7847885908468</v>
      </c>
      <c r="BZ19" s="74" t="n">
        <f aca="false">SQRT(($B19-BZ$5)^2+($C19-BZ$6)^2+($D19-BZ$7)^2)</f>
        <v>3.82015214158429</v>
      </c>
      <c r="CA19" s="74" t="n">
        <f aca="false">SQRT(($B19-CA$5)^2+($C19-CA$6)^2+($D19-CA$7)^2)</f>
        <v>4.29531190567452</v>
      </c>
      <c r="CB19" s="74" t="n">
        <f aca="false">SQRT(($B19-CB$5)^2+($C19-CB$6)^2+($D19-CB$7)^2)</f>
        <v>3.82889151431228</v>
      </c>
      <c r="CC19" s="74" t="n">
        <f aca="false">SQRT(($B19-CC$5)^2+($C19-CC$6)^2+($D19-CC$7)^2)</f>
        <v>4.30308635871403</v>
      </c>
      <c r="CD19" s="74" t="n">
        <f aca="false">SQRT(($B19-CD$5)^2+($C19-CD$6)^2+($D19-CD$7)^2)</f>
        <v>4.31971268842835</v>
      </c>
      <c r="CE19" s="74" t="n">
        <f aca="false">SQRT(($B19-CE$5)^2+($C19-CE$6)^2+($D19-CE$7)^2)</f>
        <v>3.74099944618606</v>
      </c>
      <c r="CF19" s="74" t="n">
        <f aca="false">SQRT(($B19-CF$5)^2+($C19-CF$6)^2+($D19-CF$7)^2)</f>
        <v>3.31036895714367</v>
      </c>
      <c r="CG19" s="74" t="n">
        <f aca="false">SQRT(($B19-CG$5)^2+($C19-CG$6)^2+($D19-CG$7)^2)</f>
        <v>3.59333705134181</v>
      </c>
      <c r="CH19" s="74" t="n">
        <f aca="false">SQRT(($B19-CH$5)^2+($C19-CH$6)^2+($D19-CH$7)^2)</f>
        <v>3.96085281373864</v>
      </c>
      <c r="CI19" s="74" t="n">
        <f aca="false">SQRT(($B19-CI$5)^2+($C19-CI$6)^2+($D19-CI$7)^2)</f>
        <v>4.03455451422688</v>
      </c>
      <c r="CJ19" s="74" t="n">
        <f aca="false">SQRT(($B19-CJ$5)^2+($C19-CJ$6)^2+($D19-CJ$7)^2)</f>
        <v>4.21184087708581</v>
      </c>
      <c r="CK19" s="74" t="n">
        <f aca="false">SQRT(($B19-CK$5)^2+($C19-CK$6)^2+($D19-CK$7)^2)</f>
        <v>3.87559161382133</v>
      </c>
      <c r="CL19" s="74" t="n">
        <f aca="false">SQRT(($B19-CL$5)^2+($C19-CL$6)^2+($D19-CL$7)^2)</f>
        <v>4.43539810099472</v>
      </c>
      <c r="CM19" s="74" t="n">
        <f aca="false">SQRT(($B19-CM$5)^2+($C19-CM$6)^2+($D19-CM$7)^2)</f>
        <v>4.00783986633462</v>
      </c>
      <c r="CN19" s="74" t="n">
        <f aca="false">SQRT(($B19-CN$5)^2+($C19-CN$6)^2+($D19-CN$7)^2)</f>
        <v>3.3403880745959</v>
      </c>
      <c r="CO19" s="74" t="n">
        <f aca="false">SQRT(($B19-CO$5)^2+($C19-CO$6)^2+($D19-CO$7)^2)</f>
        <v>3.64794373730788</v>
      </c>
      <c r="CP19" s="74" t="n">
        <f aca="false">SQRT(($B19-CP$5)^2+($C19-CP$6)^2+($D19-CP$7)^2)</f>
        <v>4.48830806369313</v>
      </c>
      <c r="CQ19" s="74" t="n">
        <f aca="false">SQRT(($B19-CQ$5)^2+($C19-CQ$6)^2+($D19-CQ$7)^2)</f>
        <v>4.1264399265979</v>
      </c>
      <c r="CR19" s="74" t="n">
        <f aca="false">SQRT(($B19-CR$5)^2+($C19-CR$6)^2+($D19-CR$7)^2)</f>
        <v>4.11482139838602</v>
      </c>
      <c r="CS19" s="74" t="n">
        <f aca="false">SQRT(($B19-CS$5)^2+($C19-CS$6)^2+($D19-CS$7)^2)</f>
        <v>4.53229865087705</v>
      </c>
      <c r="CT19" s="74" t="n">
        <f aca="false">SQRT(($B19-CT$5)^2+($C19-CT$6)^2+($D19-CT$7)^2)</f>
        <v>4.55794971150613</v>
      </c>
      <c r="CU19" s="74" t="n">
        <f aca="false">SQRT(($B19-CU$5)^2+($C19-CU$6)^2+($D19-CU$7)^2)</f>
        <v>4.0544512140099</v>
      </c>
      <c r="CV19" s="74" t="n">
        <f aca="false">SQRT(($B19-CV$5)^2+($C19-CV$6)^2+($D19-CV$7)^2)</f>
        <v>3.93190844293721</v>
      </c>
      <c r="CW19" s="74" t="n">
        <f aca="false">SQRT(($B19-CW$5)^2+($C19-CW$6)^2+($D19-CW$7)^2)</f>
        <v>4.55794971150613</v>
      </c>
      <c r="CX19" s="74" t="n">
        <f aca="false">SQRT(($B19-CX$5)^2+($C19-CX$6)^2+($D19-CX$7)^2)</f>
        <v>4.06439401409784</v>
      </c>
      <c r="CY19" s="74" t="n">
        <f aca="false">SQRT(($B19-CY$5)^2+($C19-CY$6)^2+($D19-CY$7)^2)</f>
        <v>4.58676306134447</v>
      </c>
      <c r="CZ19" s="74" t="n">
        <f aca="false">SQRT(($B19-CZ$5)^2+($C19-CZ$6)^2+($D19-CZ$7)^2)</f>
        <v>4.58676306134447</v>
      </c>
      <c r="DA19" s="74" t="n">
        <f aca="false">SQRT(($B19-DA$5)^2+($C19-DA$6)^2+($D19-DA$7)^2)</f>
        <v>4.25730403704104</v>
      </c>
      <c r="DB19" s="74" t="n">
        <f aca="false">SQRT(($B19-DB$5)^2+($C19-DB$6)^2+($D19-DB$7)^2)</f>
        <v>4.61953153187137</v>
      </c>
      <c r="DC19" s="74" t="n">
        <f aca="false">SQRT(($B19-DC$5)^2+($C19-DC$6)^2+($D19-DC$7)^2)</f>
        <v>4.61953153187137</v>
      </c>
      <c r="DD19" s="74" t="n">
        <f aca="false">SQRT(($B19-DD$5)^2+($C19-DD$6)^2+($D19-DD$7)^2)</f>
        <v>4.35466499435381</v>
      </c>
      <c r="DE19" s="74" t="n">
        <f aca="false">SQRT(($B19-DE$5)^2+($C19-DE$6)^2+($D19-DE$7)^2)</f>
        <v>4.53304078924605</v>
      </c>
      <c r="DF19" s="74" t="n">
        <f aca="false">SQRT(($B19-DF$5)^2+($C19-DF$6)^2+($D19-DF$7)^2)</f>
        <v>4.82365895811905</v>
      </c>
      <c r="DG19" s="74" t="n">
        <f aca="false">SQRT(($B19-DG$5)^2+($C19-DG$6)^2+($D19-DG$7)^2)</f>
        <v>4.91367010028874</v>
      </c>
      <c r="DH19" s="74" t="n">
        <f aca="false">SQRT(($B19-DH$5)^2+($C19-DH$6)^2+($D19-DH$7)^2)</f>
        <v>4.91367010028874</v>
      </c>
      <c r="DI19" s="74" t="n">
        <f aca="false">SQRT(($B19-DI$5)^2+($C19-DI$6)^2+($D19-DI$7)^2)</f>
        <v>4.91367010028874</v>
      </c>
      <c r="DJ19" s="74" t="n">
        <f aca="false">SQRT(($B19-DJ$5)^2+($C19-DJ$6)^2+($D19-DJ$7)^2)</f>
        <v>4.91367010028874</v>
      </c>
      <c r="DK19" s="74" t="n">
        <f aca="false">SQRT(($B19-DK$5)^2+($C19-DK$6)^2+($D19-DK$7)^2)</f>
        <v>5.04535418233174</v>
      </c>
      <c r="DL19" s="74" t="n">
        <f aca="false">SQRT(($B19-DL$5)^2+($C19-DL$6)^2+($D19-DL$7)^2)</f>
        <v>5.04535418233174</v>
      </c>
      <c r="DM19" s="74" t="n">
        <f aca="false">SQRT(($B19-DM$5)^2+($C19-DM$6)^2+($D19-DM$7)^2)</f>
        <v>5.04535418233174</v>
      </c>
      <c r="DN19" s="74" t="n">
        <f aca="false">SQRT(($B19-DN$5)^2+($C19-DN$6)^2+($D19-DN$7)^2)</f>
        <v>5.04535418233174</v>
      </c>
      <c r="DO19" s="74" t="n">
        <f aca="false">SQRT(($B19-DO$5)^2+($C19-DO$6)^2+($D19-DO$7)^2)</f>
        <v>5.04535418233174</v>
      </c>
      <c r="DP19" s="74" t="n">
        <f aca="false">SQRT(($B19-DP$5)^2+($C19-DP$6)^2+($D19-DP$7)^2)</f>
        <v>5.28240577925859</v>
      </c>
      <c r="DQ19" s="74" t="n">
        <f aca="false">SQRT(($B19-DQ$5)^2+($C19-DQ$6)^2+($D19-DQ$7)^2)</f>
        <v>5.28240577925859</v>
      </c>
    </row>
    <row r="20" customFormat="false" ht="15" hidden="false" customHeight="false" outlineLevel="0" collapsed="false">
      <c r="A20" s="48" t="str">
        <f aca="false">KMeans_Data!A11</f>
        <v>Multan</v>
      </c>
      <c r="B20" s="72" t="n">
        <f aca="false">KMeans_Data!H11</f>
        <v>1.339480128572</v>
      </c>
      <c r="C20" s="72" t="n">
        <f aca="false">KMeans_Data!I11</f>
        <v>0.160512589624996</v>
      </c>
      <c r="D20" s="72" t="n">
        <f aca="false">KMeans_Data!J11</f>
        <v>-0.824446015898766</v>
      </c>
      <c r="E20" s="74" t="n">
        <f aca="false">SQRT(($B20-E$5)^2+($C20-E$6)^2+($D20-E$7)^2)</f>
        <v>5.95048749318587</v>
      </c>
      <c r="F20" s="74" t="n">
        <f aca="false">SQRT(($B20-F$5)^2+($C20-F$6)^2+($D20-F$7)^2)</f>
        <v>5.64854341815136</v>
      </c>
      <c r="G20" s="74" t="n">
        <f aca="false">SQRT(($B20-G$5)^2+($C20-G$6)^2+($D20-G$7)^2)</f>
        <v>3.97776828808309</v>
      </c>
      <c r="H20" s="74" t="n">
        <f aca="false">SQRT(($B20-H$5)^2+($C20-H$6)^2+($D20-H$7)^2)</f>
        <v>4.31891895172833</v>
      </c>
      <c r="I20" s="74" t="n">
        <f aca="false">SQRT(($B20-I$5)^2+($C20-I$6)^2+($D20-I$7)^2)</f>
        <v>3.26756239982732</v>
      </c>
      <c r="J20" s="74" t="n">
        <f aca="false">SQRT(($B20-J$5)^2+($C20-J$6)^2+($D20-J$7)^2)</f>
        <v>3.07467364429478</v>
      </c>
      <c r="K20" s="74" t="n">
        <f aca="false">SQRT(($B20-K$5)^2+($C20-K$6)^2+($D20-K$7)^2)</f>
        <v>0</v>
      </c>
      <c r="L20" s="74" t="n">
        <f aca="false">SQRT(($B20-L$5)^2+($C20-L$6)^2+($D20-L$7)^2)</f>
        <v>2.60204244883</v>
      </c>
      <c r="M20" s="74" t="n">
        <f aca="false">SQRT(($B20-M$5)^2+($C20-M$6)^2+($D20-M$7)^2)</f>
        <v>2.73165557860196</v>
      </c>
      <c r="N20" s="74" t="n">
        <f aca="false">SQRT(($B20-N$5)^2+($C20-N$6)^2+($D20-N$7)^2)</f>
        <v>0.337018524823689</v>
      </c>
      <c r="O20" s="74" t="n">
        <f aca="false">SQRT(($B20-O$5)^2+($C20-O$6)^2+($D20-O$7)^2)</f>
        <v>2.24857544170626</v>
      </c>
      <c r="P20" s="74" t="n">
        <f aca="false">SQRT(($B20-P$5)^2+($C20-P$6)^2+($D20-P$7)^2)</f>
        <v>2.56827934525518</v>
      </c>
      <c r="Q20" s="74" t="n">
        <f aca="false">SQRT(($B20-Q$5)^2+($C20-Q$6)^2+($D20-Q$7)^2)</f>
        <v>2.10027221382098</v>
      </c>
      <c r="R20" s="74" t="n">
        <f aca="false">SQRT(($B20-R$5)^2+($C20-R$6)^2+($D20-R$7)^2)</f>
        <v>2.32491482972725</v>
      </c>
      <c r="S20" s="74" t="n">
        <f aca="false">SQRT(($B20-S$5)^2+($C20-S$6)^2+($D20-S$7)^2)</f>
        <v>2.04203838094101</v>
      </c>
      <c r="T20" s="74" t="n">
        <f aca="false">SQRT(($B20-T$5)^2+($C20-T$6)^2+($D20-T$7)^2)</f>
        <v>2.03710514876686</v>
      </c>
      <c r="U20" s="74" t="n">
        <f aca="false">SQRT(($B20-U$5)^2+($C20-U$6)^2+($D20-U$7)^2)</f>
        <v>2.46076645600969</v>
      </c>
      <c r="V20" s="74" t="n">
        <f aca="false">SQRT(($B20-V$5)^2+($C20-V$6)^2+($D20-V$7)^2)</f>
        <v>1.95141796986509</v>
      </c>
      <c r="W20" s="74" t="n">
        <f aca="false">SQRT(($B20-W$5)^2+($C20-W$6)^2+($D20-W$7)^2)</f>
        <v>2.19581625903823</v>
      </c>
      <c r="X20" s="74" t="n">
        <f aca="false">SQRT(($B20-X$5)^2+($C20-X$6)^2+($D20-X$7)^2)</f>
        <v>2.03090033688397</v>
      </c>
      <c r="Y20" s="74" t="n">
        <f aca="false">SQRT(($B20-Y$5)^2+($C20-Y$6)^2+($D20-Y$7)^2)</f>
        <v>2.25719870211809</v>
      </c>
      <c r="Z20" s="74" t="n">
        <f aca="false">SQRT(($B20-Z$5)^2+($C20-Z$6)^2+($D20-Z$7)^2)</f>
        <v>1.67369536746994</v>
      </c>
      <c r="AA20" s="74" t="n">
        <f aca="false">SQRT(($B20-AA$5)^2+($C20-AA$6)^2+($D20-AA$7)^2)</f>
        <v>1.86874502527901</v>
      </c>
      <c r="AB20" s="74" t="n">
        <f aca="false">SQRT(($B20-AB$5)^2+($C20-AB$6)^2+($D20-AB$7)^2)</f>
        <v>1.63830811859539</v>
      </c>
      <c r="AC20" s="74" t="n">
        <f aca="false">SQRT(($B20-AC$5)^2+($C20-AC$6)^2+($D20-AC$7)^2)</f>
        <v>2.05746284589239</v>
      </c>
      <c r="AD20" s="74" t="n">
        <f aca="false">SQRT(($B20-AD$5)^2+($C20-AD$6)^2+($D20-AD$7)^2)</f>
        <v>2.28765946282002</v>
      </c>
      <c r="AE20" s="74" t="n">
        <f aca="false">SQRT(($B20-AE$5)^2+($C20-AE$6)^2+($D20-AE$7)^2)</f>
        <v>0.824069226463199</v>
      </c>
      <c r="AF20" s="74" t="n">
        <f aca="false">SQRT(($B20-AF$5)^2+($C20-AF$6)^2+($D20-AF$7)^2)</f>
        <v>1.92397321876738</v>
      </c>
      <c r="AG20" s="74" t="n">
        <f aca="false">SQRT(($B20-AG$5)^2+($C20-AG$6)^2+($D20-AG$7)^2)</f>
        <v>1.20609867977001</v>
      </c>
      <c r="AH20" s="74" t="n">
        <f aca="false">SQRT(($B20-AH$5)^2+($C20-AH$6)^2+($D20-AH$7)^2)</f>
        <v>1.77747936006685</v>
      </c>
      <c r="AI20" s="74" t="n">
        <f aca="false">SQRT(($B20-AI$5)^2+($C20-AI$6)^2+($D20-AI$7)^2)</f>
        <v>1.20809940928237</v>
      </c>
      <c r="AJ20" s="74" t="n">
        <f aca="false">SQRT(($B20-AJ$5)^2+($C20-AJ$6)^2+($D20-AJ$7)^2)</f>
        <v>2.12143704123196</v>
      </c>
      <c r="AK20" s="74" t="n">
        <f aca="false">SQRT(($B20-AK$5)^2+($C20-AK$6)^2+($D20-AK$7)^2)</f>
        <v>1.39102222109447</v>
      </c>
      <c r="AL20" s="74" t="n">
        <f aca="false">SQRT(($B20-AL$5)^2+($C20-AL$6)^2+($D20-AL$7)^2)</f>
        <v>1.64917192465608</v>
      </c>
      <c r="AM20" s="74" t="n">
        <f aca="false">SQRT(($B20-AM$5)^2+($C20-AM$6)^2+($D20-AM$7)^2)</f>
        <v>1.87115450810219</v>
      </c>
      <c r="AN20" s="74" t="n">
        <f aca="false">SQRT(($B20-AN$5)^2+($C20-AN$6)^2+($D20-AN$7)^2)</f>
        <v>2.03466427215956</v>
      </c>
      <c r="AO20" s="74" t="n">
        <f aca="false">SQRT(($B20-AO$5)^2+($C20-AO$6)^2+($D20-AO$7)^2)</f>
        <v>1.65242327024433</v>
      </c>
      <c r="AP20" s="74" t="n">
        <f aca="false">SQRT(($B20-AP$5)^2+($C20-AP$6)^2+($D20-AP$7)^2)</f>
        <v>1.5896948229092</v>
      </c>
      <c r="AQ20" s="74" t="n">
        <f aca="false">SQRT(($B20-AQ$5)^2+($C20-AQ$6)^2+($D20-AQ$7)^2)</f>
        <v>2.05329522949104</v>
      </c>
      <c r="AR20" s="74" t="n">
        <f aca="false">SQRT(($B20-AR$5)^2+($C20-AR$6)^2+($D20-AR$7)^2)</f>
        <v>1.20747679705133</v>
      </c>
      <c r="AS20" s="74" t="n">
        <f aca="false">SQRT(($B20-AS$5)^2+($C20-AS$6)^2+($D20-AS$7)^2)</f>
        <v>2.26011106221629</v>
      </c>
      <c r="AT20" s="74" t="n">
        <f aca="false">SQRT(($B20-AT$5)^2+($C20-AT$6)^2+($D20-AT$7)^2)</f>
        <v>1.94582184881155</v>
      </c>
      <c r="AU20" s="74" t="n">
        <f aca="false">SQRT(($B20-AU$5)^2+($C20-AU$6)^2+($D20-AU$7)^2)</f>
        <v>1.13587859609232</v>
      </c>
      <c r="AV20" s="74" t="n">
        <f aca="false">SQRT(($B20-AV$5)^2+($C20-AV$6)^2+($D20-AV$7)^2)</f>
        <v>1.91337527800692</v>
      </c>
      <c r="AW20" s="74" t="n">
        <f aca="false">SQRT(($B20-AW$5)^2+($C20-AW$6)^2+($D20-AW$7)^2)</f>
        <v>1.38060208763755</v>
      </c>
      <c r="AX20" s="74" t="n">
        <f aca="false">SQRT(($B20-AX$5)^2+($C20-AX$6)^2+($D20-AX$7)^2)</f>
        <v>1.63704873758696</v>
      </c>
      <c r="AY20" s="74" t="n">
        <f aca="false">SQRT(($B20-AY$5)^2+($C20-AY$6)^2+($D20-AY$7)^2)</f>
        <v>1.446900764945</v>
      </c>
      <c r="AZ20" s="74" t="n">
        <f aca="false">SQRT(($B20-AZ$5)^2+($C20-AZ$6)^2+($D20-AZ$7)^2)</f>
        <v>2.33209360323118</v>
      </c>
      <c r="BA20" s="74" t="n">
        <f aca="false">SQRT(($B20-BA$5)^2+($C20-BA$6)^2+($D20-BA$7)^2)</f>
        <v>2.00771163855164</v>
      </c>
      <c r="BB20" s="74" t="n">
        <f aca="false">SQRT(($B20-BB$5)^2+($C20-BB$6)^2+($D20-BB$7)^2)</f>
        <v>1.45205784641388</v>
      </c>
      <c r="BC20" s="74" t="n">
        <f aca="false">SQRT(($B20-BC$5)^2+($C20-BC$6)^2+($D20-BC$7)^2)</f>
        <v>1.4572920010858</v>
      </c>
      <c r="BD20" s="74" t="n">
        <f aca="false">SQRT(($B20-BD$5)^2+($C20-BD$6)^2+($D20-BD$7)^2)</f>
        <v>1.47347742058227</v>
      </c>
      <c r="BE20" s="74" t="n">
        <f aca="false">SQRT(($B20-BE$5)^2+($C20-BE$6)^2+($D20-BE$7)^2)</f>
        <v>1.56145599295645</v>
      </c>
      <c r="BF20" s="74" t="n">
        <f aca="false">SQRT(($B20-BF$5)^2+($C20-BF$6)^2+($D20-BF$7)^2)</f>
        <v>2.34624450103872</v>
      </c>
      <c r="BG20" s="74" t="n">
        <f aca="false">SQRT(($B20-BG$5)^2+($C20-BG$6)^2+($D20-BG$7)^2)</f>
        <v>1.92622760813087</v>
      </c>
      <c r="BH20" s="74" t="n">
        <f aca="false">SQRT(($B20-BH$5)^2+($C20-BH$6)^2+($D20-BH$7)^2)</f>
        <v>1.53995486772932</v>
      </c>
      <c r="BI20" s="74" t="n">
        <f aca="false">SQRT(($B20-BI$5)^2+($C20-BI$6)^2+($D20-BI$7)^2)</f>
        <v>1.55344718021014</v>
      </c>
      <c r="BJ20" s="74" t="n">
        <f aca="false">SQRT(($B20-BJ$5)^2+($C20-BJ$6)^2+($D20-BJ$7)^2)</f>
        <v>1.6026524893667</v>
      </c>
      <c r="BK20" s="74" t="n">
        <f aca="false">SQRT(($B20-BK$5)^2+($C20-BK$6)^2+($D20-BK$7)^2)</f>
        <v>1.6287190669995</v>
      </c>
      <c r="BL20" s="74" t="n">
        <f aca="false">SQRT(($B20-BL$5)^2+($C20-BL$6)^2+($D20-BL$7)^2)</f>
        <v>1.97755165507848</v>
      </c>
      <c r="BM20" s="74" t="n">
        <f aca="false">SQRT(($B20-BM$5)^2+($C20-BM$6)^2+($D20-BM$7)^2)</f>
        <v>1.94777660920967</v>
      </c>
      <c r="BN20" s="74" t="n">
        <f aca="false">SQRT(($B20-BN$5)^2+($C20-BN$6)^2+($D20-BN$7)^2)</f>
        <v>1.63260001053062</v>
      </c>
      <c r="BO20" s="74" t="n">
        <f aca="false">SQRT(($B20-BO$5)^2+($C20-BO$6)^2+($D20-BO$7)^2)</f>
        <v>1.63291986574935</v>
      </c>
      <c r="BP20" s="74" t="n">
        <f aca="false">SQRT(($B20-BP$5)^2+($C20-BP$6)^2+($D20-BP$7)^2)</f>
        <v>1.80415706349731</v>
      </c>
      <c r="BQ20" s="74" t="n">
        <f aca="false">SQRT(($B20-BQ$5)^2+($C20-BQ$6)^2+($D20-BQ$7)^2)</f>
        <v>1.91066940096644</v>
      </c>
      <c r="BR20" s="74" t="n">
        <f aca="false">SQRT(($B20-BR$5)^2+($C20-BR$6)^2+($D20-BR$7)^2)</f>
        <v>1.95999849857533</v>
      </c>
      <c r="BS20" s="74" t="n">
        <f aca="false">SQRT(($B20-BS$5)^2+($C20-BS$6)^2+($D20-BS$7)^2)</f>
        <v>2.23671660497685</v>
      </c>
      <c r="BT20" s="74" t="n">
        <f aca="false">SQRT(($B20-BT$5)^2+($C20-BT$6)^2+($D20-BT$7)^2)</f>
        <v>2.03619202215935</v>
      </c>
      <c r="BU20" s="74" t="n">
        <f aca="false">SQRT(($B20-BU$5)^2+($C20-BU$6)^2+($D20-BU$7)^2)</f>
        <v>1.99528761686613</v>
      </c>
      <c r="BV20" s="74" t="n">
        <f aca="false">SQRT(($B20-BV$5)^2+($C20-BV$6)^2+($D20-BV$7)^2)</f>
        <v>1.83176958902883</v>
      </c>
      <c r="BW20" s="74" t="n">
        <f aca="false">SQRT(($B20-BW$5)^2+($C20-BW$6)^2+($D20-BW$7)^2)</f>
        <v>2.1303478189946</v>
      </c>
      <c r="BX20" s="74" t="n">
        <f aca="false">SQRT(($B20-BX$5)^2+($C20-BX$6)^2+($D20-BX$7)^2)</f>
        <v>1.84577006644803</v>
      </c>
      <c r="BY20" s="74" t="n">
        <f aca="false">SQRT(($B20-BY$5)^2+($C20-BY$6)^2+($D20-BY$7)^2)</f>
        <v>1.95602257083014</v>
      </c>
      <c r="BZ20" s="74" t="n">
        <f aca="false">SQRT(($B20-BZ$5)^2+($C20-BZ$6)^2+($D20-BZ$7)^2)</f>
        <v>1.95162938920968</v>
      </c>
      <c r="CA20" s="74" t="n">
        <f aca="false">SQRT(($B20-CA$5)^2+($C20-CA$6)^2+($D20-CA$7)^2)</f>
        <v>1.89077318063318</v>
      </c>
      <c r="CB20" s="74" t="n">
        <f aca="false">SQRT(($B20-CB$5)^2+($C20-CB$6)^2+($D20-CB$7)^2)</f>
        <v>1.96724931378915</v>
      </c>
      <c r="CC20" s="74" t="n">
        <f aca="false">SQRT(($B20-CC$5)^2+($C20-CC$6)^2+($D20-CC$7)^2)</f>
        <v>1.90689166194062</v>
      </c>
      <c r="CD20" s="74" t="n">
        <f aca="false">SQRT(($B20-CD$5)^2+($C20-CD$6)^2+($D20-CD$7)^2)</f>
        <v>1.94105652689815</v>
      </c>
      <c r="CE20" s="74" t="n">
        <f aca="false">SQRT(($B20-CE$5)^2+($C20-CE$6)^2+($D20-CE$7)^2)</f>
        <v>2.11840826879891</v>
      </c>
      <c r="CF20" s="74" t="n">
        <f aca="false">SQRT(($B20-CF$5)^2+($C20-CF$6)^2+($D20-CF$7)^2)</f>
        <v>2.01599084047748</v>
      </c>
      <c r="CG20" s="74" t="n">
        <f aca="false">SQRT(($B20-CG$5)^2+($C20-CG$6)^2+($D20-CG$7)^2)</f>
        <v>1.88480014365295</v>
      </c>
      <c r="CH20" s="74" t="n">
        <f aca="false">SQRT(($B20-CH$5)^2+($C20-CH$6)^2+($D20-CH$7)^2)</f>
        <v>2.03766502915837</v>
      </c>
      <c r="CI20" s="74" t="n">
        <f aca="false">SQRT(($B20-CI$5)^2+($C20-CI$6)^2+($D20-CI$7)^2)</f>
        <v>2.06325906190586</v>
      </c>
      <c r="CJ20" s="74" t="n">
        <f aca="false">SQRT(($B20-CJ$5)^2+($C20-CJ$6)^2+($D20-CJ$7)^2)</f>
        <v>2.062497380136</v>
      </c>
      <c r="CK20" s="74" t="n">
        <f aca="false">SQRT(($B20-CK$5)^2+($C20-CK$6)^2+($D20-CK$7)^2)</f>
        <v>2.25825920237649</v>
      </c>
      <c r="CL20" s="74" t="n">
        <f aca="false">SQRT(($B20-CL$5)^2+($C20-CL$6)^2+($D20-CL$7)^2)</f>
        <v>2.16854148966301</v>
      </c>
      <c r="CM20" s="74" t="n">
        <f aca="false">SQRT(($B20-CM$5)^2+($C20-CM$6)^2+($D20-CM$7)^2)</f>
        <v>2.20421720565809</v>
      </c>
      <c r="CN20" s="74" t="n">
        <f aca="false">SQRT(($B20-CN$5)^2+($C20-CN$6)^2+($D20-CN$7)^2)</f>
        <v>2.52792446280106</v>
      </c>
      <c r="CO20" s="74" t="n">
        <f aca="false">SQRT(($B20-CO$5)^2+($C20-CO$6)^2+($D20-CO$7)^2)</f>
        <v>2.20256173113845</v>
      </c>
      <c r="CP20" s="74" t="n">
        <f aca="false">SQRT(($B20-CP$5)^2+($C20-CP$6)^2+($D20-CP$7)^2)</f>
        <v>2.26746129180802</v>
      </c>
      <c r="CQ20" s="74" t="n">
        <f aca="false">SQRT(($B20-CQ$5)^2+($C20-CQ$6)^2+($D20-CQ$7)^2)</f>
        <v>2.32247538996397</v>
      </c>
      <c r="CR20" s="74" t="n">
        <f aca="false">SQRT(($B20-CR$5)^2+($C20-CR$6)^2+($D20-CR$7)^2)</f>
        <v>2.38062531064648</v>
      </c>
      <c r="CS20" s="74" t="n">
        <f aca="false">SQRT(($B20-CS$5)^2+($C20-CS$6)^2+($D20-CS$7)^2)</f>
        <v>2.34763190734011</v>
      </c>
      <c r="CT20" s="74" t="n">
        <f aca="false">SQRT(($B20-CT$5)^2+($C20-CT$6)^2+($D20-CT$7)^2)</f>
        <v>2.39358400499517</v>
      </c>
      <c r="CU20" s="74" t="n">
        <f aca="false">SQRT(($B20-CU$5)^2+($C20-CU$6)^2+($D20-CU$7)^2)</f>
        <v>2.24197880893307</v>
      </c>
      <c r="CV20" s="74" t="n">
        <f aca="false">SQRT(($B20-CV$5)^2+($C20-CV$6)^2+($D20-CV$7)^2)</f>
        <v>2.61023317220818</v>
      </c>
      <c r="CW20" s="74" t="n">
        <f aca="false">SQRT(($B20-CW$5)^2+($C20-CW$6)^2+($D20-CW$7)^2)</f>
        <v>2.39358400499517</v>
      </c>
      <c r="CX20" s="74" t="n">
        <f aca="false">SQRT(($B20-CX$5)^2+($C20-CX$6)^2+($D20-CX$7)^2)</f>
        <v>2.54886065622347</v>
      </c>
      <c r="CY20" s="74" t="n">
        <f aca="false">SQRT(($B20-CY$5)^2+($C20-CY$6)^2+($D20-CY$7)^2)</f>
        <v>2.44454792060158</v>
      </c>
      <c r="CZ20" s="74" t="n">
        <f aca="false">SQRT(($B20-CZ$5)^2+($C20-CZ$6)^2+($D20-CZ$7)^2)</f>
        <v>2.44454792060158</v>
      </c>
      <c r="DA20" s="74" t="n">
        <f aca="false">SQRT(($B20-DA$5)^2+($C20-DA$6)^2+($D20-DA$7)^2)</f>
        <v>2.44454792060158</v>
      </c>
      <c r="DB20" s="74" t="n">
        <f aca="false">SQRT(($B20-DB$5)^2+($C20-DB$6)^2+($D20-DB$7)^2)</f>
        <v>2.5017146434448</v>
      </c>
      <c r="DC20" s="74" t="n">
        <f aca="false">SQRT(($B20-DC$5)^2+($C20-DC$6)^2+($D20-DC$7)^2)</f>
        <v>2.5017146434448</v>
      </c>
      <c r="DD20" s="74" t="n">
        <f aca="false">SQRT(($B20-DD$5)^2+($C20-DD$6)^2+($D20-DD$7)^2)</f>
        <v>2.4881137745739</v>
      </c>
      <c r="DE20" s="74" t="n">
        <f aca="false">SQRT(($B20-DE$5)^2+($C20-DE$6)^2+($D20-DE$7)^2)</f>
        <v>2.62252623959329</v>
      </c>
      <c r="DF20" s="74" t="n">
        <f aca="false">SQRT(($B20-DF$5)^2+($C20-DF$6)^2+($D20-DF$7)^2)</f>
        <v>2.84163316293718</v>
      </c>
      <c r="DG20" s="74" t="n">
        <f aca="false">SQRT(($B20-DG$5)^2+($C20-DG$6)^2+($D20-DG$7)^2)</f>
        <v>2.98414959100483</v>
      </c>
      <c r="DH20" s="74" t="n">
        <f aca="false">SQRT(($B20-DH$5)^2+($C20-DH$6)^2+($D20-DH$7)^2)</f>
        <v>2.98414959100483</v>
      </c>
      <c r="DI20" s="74" t="n">
        <f aca="false">SQRT(($B20-DI$5)^2+($C20-DI$6)^2+($D20-DI$7)^2)</f>
        <v>2.98414959100483</v>
      </c>
      <c r="DJ20" s="74" t="n">
        <f aca="false">SQRT(($B20-DJ$5)^2+($C20-DJ$6)^2+($D20-DJ$7)^2)</f>
        <v>2.98414959100483</v>
      </c>
      <c r="DK20" s="74" t="n">
        <f aca="false">SQRT(($B20-DK$5)^2+($C20-DK$6)^2+($D20-DK$7)^2)</f>
        <v>3.18613885742987</v>
      </c>
      <c r="DL20" s="74" t="n">
        <f aca="false">SQRT(($B20-DL$5)^2+($C20-DL$6)^2+($D20-DL$7)^2)</f>
        <v>3.18613885742987</v>
      </c>
      <c r="DM20" s="74" t="n">
        <f aca="false">SQRT(($B20-DM$5)^2+($C20-DM$6)^2+($D20-DM$7)^2)</f>
        <v>3.18613885742987</v>
      </c>
      <c r="DN20" s="74" t="n">
        <f aca="false">SQRT(($B20-DN$5)^2+($C20-DN$6)^2+($D20-DN$7)^2)</f>
        <v>3.18613885742987</v>
      </c>
      <c r="DO20" s="74" t="n">
        <f aca="false">SQRT(($B20-DO$5)^2+($C20-DO$6)^2+($D20-DO$7)^2)</f>
        <v>3.18613885742987</v>
      </c>
      <c r="DP20" s="74" t="n">
        <f aca="false">SQRT(($B20-DP$5)^2+($C20-DP$6)^2+($D20-DP$7)^2)</f>
        <v>3.53389042212498</v>
      </c>
      <c r="DQ20" s="74" t="n">
        <f aca="false">SQRT(($B20-DQ$5)^2+($C20-DQ$6)^2+($D20-DQ$7)^2)</f>
        <v>3.53389042212498</v>
      </c>
    </row>
    <row r="21" customFormat="false" ht="15" hidden="false" customHeight="false" outlineLevel="0" collapsed="false">
      <c r="A21" s="48" t="str">
        <f aca="false">KMeans_Data!A12</f>
        <v>Sukkur</v>
      </c>
      <c r="B21" s="72" t="n">
        <f aca="false">KMeans_Data!H12</f>
        <v>1.31634431892529</v>
      </c>
      <c r="C21" s="72" t="n">
        <f aca="false">KMeans_Data!I12</f>
        <v>0.686180001083741</v>
      </c>
      <c r="D21" s="72" t="n">
        <f aca="false">KMeans_Data!J12</f>
        <v>1.72384035190912</v>
      </c>
      <c r="E21" s="74" t="n">
        <f aca="false">SQRT(($B21-E$5)^2+($C21-E$6)^2+($D21-E$7)^2)</f>
        <v>4.17270705171046</v>
      </c>
      <c r="F21" s="74" t="n">
        <f aca="false">SQRT(($B21-F$5)^2+($C21-F$6)^2+($D21-F$7)^2)</f>
        <v>4.08660252543556</v>
      </c>
      <c r="G21" s="74" t="n">
        <f aca="false">SQRT(($B21-G$5)^2+($C21-G$6)^2+($D21-G$7)^2)</f>
        <v>2.02603230868873</v>
      </c>
      <c r="H21" s="74" t="n">
        <f aca="false">SQRT(($B21-H$5)^2+($C21-H$6)^2+($D21-H$7)^2)</f>
        <v>3.05524998040498</v>
      </c>
      <c r="I21" s="74" t="n">
        <f aca="false">SQRT(($B21-I$5)^2+($C21-I$6)^2+($D21-I$7)^2)</f>
        <v>1.62318098192845</v>
      </c>
      <c r="J21" s="74" t="n">
        <f aca="false">SQRT(($B21-J$5)^2+($C21-J$6)^2+($D21-J$7)^2)</f>
        <v>1.57996155390134</v>
      </c>
      <c r="K21" s="74" t="n">
        <f aca="false">SQRT(($B21-K$5)^2+($C21-K$6)^2+($D21-K$7)^2)</f>
        <v>2.60204244883</v>
      </c>
      <c r="L21" s="74" t="n">
        <f aca="false">SQRT(($B21-L$5)^2+($C21-L$6)^2+($D21-L$7)^2)</f>
        <v>0</v>
      </c>
      <c r="M21" s="74" t="n">
        <f aca="false">SQRT(($B21-M$5)^2+($C21-M$6)^2+($D21-M$7)^2)</f>
        <v>0.529530505771549</v>
      </c>
      <c r="N21" s="74" t="n">
        <f aca="false">SQRT(($B21-N$5)^2+($C21-N$6)^2+($D21-N$7)^2)</f>
        <v>2.68348739062353</v>
      </c>
      <c r="O21" s="74" t="n">
        <f aca="false">SQRT(($B21-O$5)^2+($C21-O$6)^2+($D21-O$7)^2)</f>
        <v>1.09337848843066</v>
      </c>
      <c r="P21" s="74" t="n">
        <f aca="false">SQRT(($B21-P$5)^2+($C21-P$6)^2+($D21-P$7)^2)</f>
        <v>1.23183753911077</v>
      </c>
      <c r="Q21" s="74" t="n">
        <f aca="false">SQRT(($B21-Q$5)^2+($C21-Q$6)^2+($D21-Q$7)^2)</f>
        <v>0.763820123401333</v>
      </c>
      <c r="R21" s="74" t="n">
        <f aca="false">SQRT(($B21-R$5)^2+($C21-R$6)^2+($D21-R$7)^2)</f>
        <v>0.486444689008236</v>
      </c>
      <c r="S21" s="74" t="n">
        <f aca="false">SQRT(($B21-S$5)^2+($C21-S$6)^2+($D21-S$7)^2)</f>
        <v>1.04859794609475</v>
      </c>
      <c r="T21" s="74" t="n">
        <f aca="false">SQRT(($B21-T$5)^2+($C21-T$6)^2+($D21-T$7)^2)</f>
        <v>0.861166249077947</v>
      </c>
      <c r="U21" s="74" t="n">
        <f aca="false">SQRT(($B21-U$5)^2+($C21-U$6)^2+($D21-U$7)^2)</f>
        <v>0.551892949976067</v>
      </c>
      <c r="V21" s="74" t="n">
        <f aca="false">SQRT(($B21-V$5)^2+($C21-V$6)^2+($D21-V$7)^2)</f>
        <v>1.38554013108608</v>
      </c>
      <c r="W21" s="74" t="n">
        <f aca="false">SQRT(($B21-W$5)^2+($C21-W$6)^2+($D21-W$7)^2)</f>
        <v>1.15003947940321</v>
      </c>
      <c r="X21" s="74" t="n">
        <f aca="false">SQRT(($B21-X$5)^2+($C21-X$6)^2+($D21-X$7)^2)</f>
        <v>0.843254025250573</v>
      </c>
      <c r="Y21" s="74" t="n">
        <f aca="false">SQRT(($B21-Y$5)^2+($C21-Y$6)^2+($D21-Y$7)^2)</f>
        <v>0.705915996419201</v>
      </c>
      <c r="Z21" s="74" t="n">
        <f aca="false">SQRT(($B21-Z$5)^2+($C21-Z$6)^2+($D21-Z$7)^2)</f>
        <v>1.23186399277887</v>
      </c>
      <c r="AA21" s="74" t="n">
        <f aca="false">SQRT(($B21-AA$5)^2+($C21-AA$6)^2+($D21-AA$7)^2)</f>
        <v>1.06966922461048</v>
      </c>
      <c r="AB21" s="74" t="n">
        <f aca="false">SQRT(($B21-AB$5)^2+($C21-AB$6)^2+($D21-AB$7)^2)</f>
        <v>1.19148224064397</v>
      </c>
      <c r="AC21" s="74" t="n">
        <f aca="false">SQRT(($B21-AC$5)^2+($C21-AC$6)^2+($D21-AC$7)^2)</f>
        <v>1.33504405078876</v>
      </c>
      <c r="AD21" s="74" t="n">
        <f aca="false">SQRT(($B21-AD$5)^2+($C21-AD$6)^2+($D21-AD$7)^2)</f>
        <v>0.762832946260734</v>
      </c>
      <c r="AE21" s="74" t="n">
        <f aca="false">SQRT(($B21-AE$5)^2+($C21-AE$6)^2+($D21-AE$7)^2)</f>
        <v>3.06233601395942</v>
      </c>
      <c r="AF21" s="74" t="n">
        <f aca="false">SQRT(($B21-AF$5)^2+($C21-AF$6)^2+($D21-AF$7)^2)</f>
        <v>1.11053400021984</v>
      </c>
      <c r="AG21" s="74" t="n">
        <f aca="false">SQRT(($B21-AG$5)^2+($C21-AG$6)^2+($D21-AG$7)^2)</f>
        <v>2.62716143403684</v>
      </c>
      <c r="AH21" s="74" t="n">
        <f aca="false">SQRT(($B21-AH$5)^2+($C21-AH$6)^2+($D21-AH$7)^2)</f>
        <v>1.30757946283683</v>
      </c>
      <c r="AI21" s="74" t="n">
        <f aca="false">SQRT(($B21-AI$5)^2+($C21-AI$6)^2+($D21-AI$7)^2)</f>
        <v>2.62805269282162</v>
      </c>
      <c r="AJ21" s="74" t="n">
        <f aca="false">SQRT(($B21-AJ$5)^2+($C21-AJ$6)^2+($D21-AJ$7)^2)</f>
        <v>0.975384691957149</v>
      </c>
      <c r="AK21" s="74" t="n">
        <f aca="false">SQRT(($B21-AK$5)^2+($C21-AK$6)^2+($D21-AK$7)^2)</f>
        <v>1.66604088072001</v>
      </c>
      <c r="AL21" s="74" t="n">
        <f aca="false">SQRT(($B21-AL$5)^2+($C21-AL$6)^2+($D21-AL$7)^2)</f>
        <v>1.6609876838126</v>
      </c>
      <c r="AM21" s="74" t="n">
        <f aca="false">SQRT(($B21-AM$5)^2+($C21-AM$6)^2+($D21-AM$7)^2)</f>
        <v>1.78352761445432</v>
      </c>
      <c r="AN21" s="74" t="n">
        <f aca="false">SQRT(($B21-AN$5)^2+($C21-AN$6)^2+($D21-AN$7)^2)</f>
        <v>1.40138505970727</v>
      </c>
      <c r="AO21" s="74" t="n">
        <f aca="false">SQRT(($B21-AO$5)^2+($C21-AO$6)^2+($D21-AO$7)^2)</f>
        <v>1.50861722649158</v>
      </c>
      <c r="AP21" s="74" t="n">
        <f aca="false">SQRT(($B21-AP$5)^2+($C21-AP$6)^2+($D21-AP$7)^2)</f>
        <v>1.57423605393242</v>
      </c>
      <c r="AQ21" s="74" t="n">
        <f aca="false">SQRT(($B21-AQ$5)^2+($C21-AQ$6)^2+($D21-AQ$7)^2)</f>
        <v>1.53925031837614</v>
      </c>
      <c r="AR21" s="74" t="n">
        <f aca="false">SQRT(($B21-AR$5)^2+($C21-AR$6)^2+($D21-AR$7)^2)</f>
        <v>2.0937206621642</v>
      </c>
      <c r="AS21" s="74" t="n">
        <f aca="false">SQRT(($B21-AS$5)^2+($C21-AS$6)^2+($D21-AS$7)^2)</f>
        <v>1.83114165365619</v>
      </c>
      <c r="AT21" s="74" t="n">
        <f aca="false">SQRT(($B21-AT$5)^2+($C21-AT$6)^2+($D21-AT$7)^2)</f>
        <v>1.63797421872258</v>
      </c>
      <c r="AU21" s="74" t="n">
        <f aca="false">SQRT(($B21-AU$5)^2+($C21-AU$6)^2+($D21-AU$7)^2)</f>
        <v>2.71600681287557</v>
      </c>
      <c r="AV21" s="74" t="n">
        <f aca="false">SQRT(($B21-AV$5)^2+($C21-AV$6)^2+($D21-AV$7)^2)</f>
        <v>2.10505190940514</v>
      </c>
      <c r="AW21" s="74" t="n">
        <f aca="false">SQRT(($B21-AW$5)^2+($C21-AW$6)^2+($D21-AW$7)^2)</f>
        <v>3.0824797958591</v>
      </c>
      <c r="AX21" s="74" t="n">
        <f aca="false">SQRT(($B21-AX$5)^2+($C21-AX$6)^2+($D21-AX$7)^2)</f>
        <v>1.8034817995866</v>
      </c>
      <c r="AY21" s="74" t="n">
        <f aca="false">SQRT(($B21-AY$5)^2+($C21-AY$6)^2+($D21-AY$7)^2)</f>
        <v>3.36517595003441</v>
      </c>
      <c r="AZ21" s="74" t="n">
        <f aca="false">SQRT(($B21-AZ$5)^2+($C21-AZ$6)^2+($D21-AZ$7)^2)</f>
        <v>1.88902032213753</v>
      </c>
      <c r="BA21" s="74" t="n">
        <f aca="false">SQRT(($B21-BA$5)^2+($C21-BA$6)^2+($D21-BA$7)^2)</f>
        <v>1.67753017924619</v>
      </c>
      <c r="BB21" s="74" t="n">
        <f aca="false">SQRT(($B21-BB$5)^2+($C21-BB$6)^2+($D21-BB$7)^2)</f>
        <v>3.36735154175076</v>
      </c>
      <c r="BC21" s="74" t="n">
        <f aca="false">SQRT(($B21-BC$5)^2+($C21-BC$6)^2+($D21-BC$7)^2)</f>
        <v>3.36956638144894</v>
      </c>
      <c r="BD21" s="74" t="n">
        <f aca="false">SQRT(($B21-BD$5)^2+($C21-BD$6)^2+($D21-BD$7)^2)</f>
        <v>2.85069286606791</v>
      </c>
      <c r="BE21" s="74" t="n">
        <f aca="false">SQRT(($B21-BE$5)^2+($C21-BE$6)^2+($D21-BE$7)^2)</f>
        <v>2.65916534500855</v>
      </c>
      <c r="BF21" s="74" t="n">
        <f aca="false">SQRT(($B21-BF$5)^2+($C21-BF$6)^2+($D21-BF$7)^2)</f>
        <v>1.66988568107099</v>
      </c>
      <c r="BG21" s="74" t="n">
        <f aca="false">SQRT(($B21-BG$5)^2+($C21-BG$6)^2+($D21-BG$7)^2)</f>
        <v>1.84221041545865</v>
      </c>
      <c r="BH21" s="74" t="n">
        <f aca="false">SQRT(($B21-BH$5)^2+($C21-BH$6)^2+($D21-BH$7)^2)</f>
        <v>3.40543306815841</v>
      </c>
      <c r="BI21" s="74" t="n">
        <f aca="false">SQRT(($B21-BI$5)^2+($C21-BI$6)^2+($D21-BI$7)^2)</f>
        <v>3.41144352513218</v>
      </c>
      <c r="BJ21" s="74" t="n">
        <f aca="false">SQRT(($B21-BJ$5)^2+($C21-BJ$6)^2+($D21-BJ$7)^2)</f>
        <v>2.15392245594399</v>
      </c>
      <c r="BK21" s="74" t="n">
        <f aca="false">SQRT(($B21-BK$5)^2+($C21-BK$6)^2+($D21-BK$7)^2)</f>
        <v>2.84140301700344</v>
      </c>
      <c r="BL21" s="74" t="n">
        <f aca="false">SQRT(($B21-BL$5)^2+($C21-BL$6)^2+($D21-BL$7)^2)</f>
        <v>2.33183787457351</v>
      </c>
      <c r="BM21" s="74" t="n">
        <f aca="false">SQRT(($B21-BM$5)^2+($C21-BM$6)^2+($D21-BM$7)^2)</f>
        <v>1.82591749283088</v>
      </c>
      <c r="BN21" s="74" t="n">
        <f aca="false">SQRT(($B21-BN$5)^2+($C21-BN$6)^2+($D21-BN$7)^2)</f>
        <v>2.22516577619518</v>
      </c>
      <c r="BO21" s="74" t="n">
        <f aca="false">SQRT(($B21-BO$5)^2+($C21-BO$6)^2+($D21-BO$7)^2)</f>
        <v>3.20125021655525</v>
      </c>
      <c r="BP21" s="74" t="n">
        <f aca="false">SQRT(($B21-BP$5)^2+($C21-BP$6)^2+($D21-BP$7)^2)</f>
        <v>2.09900330827948</v>
      </c>
      <c r="BQ21" s="74" t="n">
        <f aca="false">SQRT(($B21-BQ$5)^2+($C21-BQ$6)^2+($D21-BQ$7)^2)</f>
        <v>2.12854382831548</v>
      </c>
      <c r="BR21" s="74" t="n">
        <f aca="false">SQRT(($B21-BR$5)^2+($C21-BR$6)^2+($D21-BR$7)^2)</f>
        <v>2.11463579309068</v>
      </c>
      <c r="BS21" s="74" t="n">
        <f aca="false">SQRT(($B21-BS$5)^2+($C21-BS$6)^2+($D21-BS$7)^2)</f>
        <v>2.30946722957855</v>
      </c>
      <c r="BT21" s="74" t="n">
        <f aca="false">SQRT(($B21-BT$5)^2+($C21-BT$6)^2+($D21-BT$7)^2)</f>
        <v>2.55568544324411</v>
      </c>
      <c r="BU21" s="74" t="n">
        <f aca="false">SQRT(($B21-BU$5)^2+($C21-BU$6)^2+($D21-BU$7)^2)</f>
        <v>2.60714645235171</v>
      </c>
      <c r="BV21" s="74" t="n">
        <f aca="false">SQRT(($B21-BV$5)^2+($C21-BV$6)^2+($D21-BV$7)^2)</f>
        <v>3.54470608526977</v>
      </c>
      <c r="BW21" s="74" t="n">
        <f aca="false">SQRT(($B21-BW$5)^2+($C21-BW$6)^2+($D21-BW$7)^2)</f>
        <v>2.53910817386567</v>
      </c>
      <c r="BX21" s="74" t="n">
        <f aca="false">SQRT(($B21-BX$5)^2+($C21-BX$6)^2+($D21-BX$7)^2)</f>
        <v>3.551856904253</v>
      </c>
      <c r="BY21" s="74" t="n">
        <f aca="false">SQRT(($B21-BY$5)^2+($C21-BY$6)^2+($D21-BY$7)^2)</f>
        <v>2.84995822826873</v>
      </c>
      <c r="BZ21" s="74" t="n">
        <f aca="false">SQRT(($B21-BZ$5)^2+($C21-BZ$6)^2+($D21-BZ$7)^2)</f>
        <v>2.90166163542506</v>
      </c>
      <c r="CA21" s="74" t="n">
        <f aca="false">SQRT(($B21-CA$5)^2+($C21-CA$6)^2+($D21-CA$7)^2)</f>
        <v>3.5751185741674</v>
      </c>
      <c r="CB21" s="74" t="n">
        <f aca="false">SQRT(($B21-CB$5)^2+($C21-CB$6)^2+($D21-CB$7)^2)</f>
        <v>2.91204528336231</v>
      </c>
      <c r="CC21" s="74" t="n">
        <f aca="false">SQRT(($B21-CC$5)^2+($C21-CC$6)^2+($D21-CC$7)^2)</f>
        <v>3.58355135378465</v>
      </c>
      <c r="CD21" s="74" t="n">
        <f aca="false">SQRT(($B21-CD$5)^2+($C21-CD$6)^2+($D21-CD$7)^2)</f>
        <v>3.60159967151503</v>
      </c>
      <c r="CE21" s="74" t="n">
        <f aca="false">SQRT(($B21-CE$5)^2+($C21-CE$6)^2+($D21-CE$7)^2)</f>
        <v>2.76276562352336</v>
      </c>
      <c r="CF21" s="74" t="n">
        <f aca="false">SQRT(($B21-CF$5)^2+($C21-CF$6)^2+($D21-CF$7)^2)</f>
        <v>2.48322449438231</v>
      </c>
      <c r="CG21" s="74" t="n">
        <f aca="false">SQRT(($B21-CG$5)^2+($C21-CG$6)^2+($D21-CG$7)^2)</f>
        <v>2.89803336961564</v>
      </c>
      <c r="CH21" s="74" t="n">
        <f aca="false">SQRT(($B21-CH$5)^2+($C21-CH$6)^2+($D21-CH$7)^2)</f>
        <v>3.09044609334738</v>
      </c>
      <c r="CI21" s="74" t="n">
        <f aca="false">SQRT(($B21-CI$5)^2+($C21-CI$6)^2+($D21-CI$7)^2)</f>
        <v>3.19069275093581</v>
      </c>
      <c r="CJ21" s="74" t="n">
        <f aca="false">SQRT(($B21-CJ$5)^2+($C21-CJ$6)^2+($D21-CJ$7)^2)</f>
        <v>3.43702660782416</v>
      </c>
      <c r="CK21" s="74" t="n">
        <f aca="false">SQRT(($B21-CK$5)^2+($C21-CK$6)^2+($D21-CK$7)^2)</f>
        <v>2.93772012969994</v>
      </c>
      <c r="CL21" s="74" t="n">
        <f aca="false">SQRT(($B21-CL$5)^2+($C21-CL$6)^2+($D21-CL$7)^2)</f>
        <v>3.72755945164052</v>
      </c>
      <c r="CM21" s="74" t="n">
        <f aca="false">SQRT(($B21-CM$5)^2+($C21-CM$6)^2+($D21-CM$7)^2)</f>
        <v>3.13354314476129</v>
      </c>
      <c r="CN21" s="74" t="n">
        <f aca="false">SQRT(($B21-CN$5)^2+($C21-CN$6)^2+($D21-CN$7)^2)</f>
        <v>2.44633149416531</v>
      </c>
      <c r="CO21" s="74" t="n">
        <f aca="false">SQRT(($B21-CO$5)^2+($C21-CO$6)^2+($D21-CO$7)^2)</f>
        <v>2.92826296233576</v>
      </c>
      <c r="CP21" s="74" t="n">
        <f aca="false">SQRT(($B21-CP$5)^2+($C21-CP$6)^2+($D21-CP$7)^2)</f>
        <v>3.78530149474537</v>
      </c>
      <c r="CQ21" s="74" t="n">
        <f aca="false">SQRT(($B21-CQ$5)^2+($C21-CQ$6)^2+($D21-CQ$7)^2)</f>
        <v>3.28299751127166</v>
      </c>
      <c r="CR21" s="74" t="n">
        <f aca="false">SQRT(($B21-CR$5)^2+($C21-CR$6)^2+($D21-CR$7)^2)</f>
        <v>3.25866111789274</v>
      </c>
      <c r="CS21" s="74" t="n">
        <f aca="false">SQRT(($B21-CS$5)^2+($C21-CS$6)^2+($D21-CS$7)^2)</f>
        <v>3.83333785449444</v>
      </c>
      <c r="CT21" s="74" t="n">
        <f aca="false">SQRT(($B21-CT$5)^2+($C21-CT$6)^2+($D21-CT$7)^2)</f>
        <v>3.86135372235592</v>
      </c>
      <c r="CU21" s="74" t="n">
        <f aca="false">SQRT(($B21-CU$5)^2+($C21-CU$6)^2+($D21-CU$7)^2)</f>
        <v>3.4666432212648</v>
      </c>
      <c r="CV21" s="74" t="n">
        <f aca="false">SQRT(($B21-CV$5)^2+($C21-CV$6)^2+($D21-CV$7)^2)</f>
        <v>2.96712994778439</v>
      </c>
      <c r="CW21" s="74" t="n">
        <f aca="false">SQRT(($B21-CW$5)^2+($C21-CW$6)^2+($D21-CW$7)^2)</f>
        <v>3.86135372235592</v>
      </c>
      <c r="CX21" s="74" t="n">
        <f aca="false">SQRT(($B21-CX$5)^2+($C21-CX$6)^2+($D21-CX$7)^2)</f>
        <v>3.1641490275805</v>
      </c>
      <c r="CY21" s="74" t="n">
        <f aca="false">SQRT(($B21-CY$5)^2+($C21-CY$6)^2+($D21-CY$7)^2)</f>
        <v>3.89282485092797</v>
      </c>
      <c r="CZ21" s="74" t="n">
        <f aca="false">SQRT(($B21-CZ$5)^2+($C21-CZ$6)^2+($D21-CZ$7)^2)</f>
        <v>3.89282485092797</v>
      </c>
      <c r="DA21" s="74" t="n">
        <f aca="false">SQRT(($B21-DA$5)^2+($C21-DA$6)^2+($D21-DA$7)^2)</f>
        <v>3.44674721399573</v>
      </c>
      <c r="DB21" s="74" t="n">
        <f aca="false">SQRT(($B21-DB$5)^2+($C21-DB$6)^2+($D21-DB$7)^2)</f>
        <v>3.92861430702753</v>
      </c>
      <c r="DC21" s="74" t="n">
        <f aca="false">SQRT(($B21-DC$5)^2+($C21-DC$6)^2+($D21-DC$7)^2)</f>
        <v>3.92861430702753</v>
      </c>
      <c r="DD21" s="74" t="n">
        <f aca="false">SQRT(($B21-DD$5)^2+($C21-DD$6)^2+($D21-DD$7)^2)</f>
        <v>3.57372994643184</v>
      </c>
      <c r="DE21" s="74" t="n">
        <f aca="false">SQRT(($B21-DE$5)^2+($C21-DE$6)^2+($D21-DE$7)^2)</f>
        <v>3.79593735031061</v>
      </c>
      <c r="DF21" s="74" t="n">
        <f aca="false">SQRT(($B21-DF$5)^2+($C21-DF$6)^2+($D21-DF$7)^2)</f>
        <v>4.15133956595821</v>
      </c>
      <c r="DG21" s="74" t="n">
        <f aca="false">SQRT(($B21-DG$5)^2+($C21-DG$6)^2+($D21-DG$7)^2)</f>
        <v>4.2493483848774</v>
      </c>
      <c r="DH21" s="74" t="n">
        <f aca="false">SQRT(($B21-DH$5)^2+($C21-DH$6)^2+($D21-DH$7)^2)</f>
        <v>4.2493483848774</v>
      </c>
      <c r="DI21" s="74" t="n">
        <f aca="false">SQRT(($B21-DI$5)^2+($C21-DI$6)^2+($D21-DI$7)^2)</f>
        <v>4.2493483848774</v>
      </c>
      <c r="DJ21" s="74" t="n">
        <f aca="false">SQRT(($B21-DJ$5)^2+($C21-DJ$6)^2+($D21-DJ$7)^2)</f>
        <v>4.2493483848774</v>
      </c>
      <c r="DK21" s="74" t="n">
        <f aca="false">SQRT(($B21-DK$5)^2+($C21-DK$6)^2+($D21-DK$7)^2)</f>
        <v>4.39243997352734</v>
      </c>
      <c r="DL21" s="74" t="n">
        <f aca="false">SQRT(($B21-DL$5)^2+($C21-DL$6)^2+($D21-DL$7)^2)</f>
        <v>4.39243997352734</v>
      </c>
      <c r="DM21" s="74" t="n">
        <f aca="false">SQRT(($B21-DM$5)^2+($C21-DM$6)^2+($D21-DM$7)^2)</f>
        <v>4.39243997352734</v>
      </c>
      <c r="DN21" s="74" t="n">
        <f aca="false">SQRT(($B21-DN$5)^2+($C21-DN$6)^2+($D21-DN$7)^2)</f>
        <v>4.39243997352734</v>
      </c>
      <c r="DO21" s="74" t="n">
        <f aca="false">SQRT(($B21-DO$5)^2+($C21-DO$6)^2+($D21-DO$7)^2)</f>
        <v>4.39243997352734</v>
      </c>
      <c r="DP21" s="74" t="n">
        <f aca="false">SQRT(($B21-DP$5)^2+($C21-DP$6)^2+($D21-DP$7)^2)</f>
        <v>4.64905759921659</v>
      </c>
      <c r="DQ21" s="74" t="n">
        <f aca="false">SQRT(($B21-DQ$5)^2+($C21-DQ$6)^2+($D21-DQ$7)^2)</f>
        <v>4.64905759921659</v>
      </c>
    </row>
    <row r="22" customFormat="false" ht="15" hidden="false" customHeight="false" outlineLevel="0" collapsed="false">
      <c r="A22" s="48" t="str">
        <f aca="false">KMeans_Data!A13</f>
        <v>Hyderabad</v>
      </c>
      <c r="B22" s="72" t="n">
        <f aca="false">KMeans_Data!H13</f>
        <v>1.25912764531491</v>
      </c>
      <c r="C22" s="72" t="n">
        <f aca="false">KMeans_Data!I13</f>
        <v>1.21184741254249</v>
      </c>
      <c r="D22" s="72" t="n">
        <f aca="false">KMeans_Data!J13</f>
        <v>1.69551048544459</v>
      </c>
      <c r="E22" s="74" t="n">
        <f aca="false">SQRT(($B22-E$5)^2+($C22-E$6)^2+($D22-E$7)^2)</f>
        <v>3.80496885952581</v>
      </c>
      <c r="F22" s="74" t="n">
        <f aca="false">SQRT(($B22-F$5)^2+($C22-F$6)^2+($D22-F$7)^2)</f>
        <v>3.68881997113968</v>
      </c>
      <c r="G22" s="74" t="n">
        <f aca="false">SQRT(($B22-G$5)^2+($C22-G$6)^2+($D22-G$7)^2)</f>
        <v>1.68860791169486</v>
      </c>
      <c r="H22" s="74" t="n">
        <f aca="false">SQRT(($B22-H$5)^2+($C22-H$6)^2+($D22-H$7)^2)</f>
        <v>2.58935392730643</v>
      </c>
      <c r="I22" s="74" t="n">
        <f aca="false">SQRT(($B22-I$5)^2+($C22-I$6)^2+($D22-I$7)^2)</f>
        <v>1.24938179628758</v>
      </c>
      <c r="J22" s="74" t="n">
        <f aca="false">SQRT(($B22-J$5)^2+($C22-J$6)^2+($D22-J$7)^2)</f>
        <v>1.07567218226818</v>
      </c>
      <c r="K22" s="74" t="n">
        <f aca="false">SQRT(($B22-K$5)^2+($C22-K$6)^2+($D22-K$7)^2)</f>
        <v>2.73165557860196</v>
      </c>
      <c r="L22" s="74" t="n">
        <f aca="false">SQRT(($B22-L$5)^2+($C22-L$6)^2+($D22-L$7)^2)</f>
        <v>0.529530505771549</v>
      </c>
      <c r="M22" s="74" t="n">
        <f aca="false">SQRT(($B22-M$5)^2+($C22-M$6)^2+($D22-M$7)^2)</f>
        <v>0</v>
      </c>
      <c r="N22" s="74" t="n">
        <f aca="false">SQRT(($B22-N$5)^2+($C22-N$6)^2+($D22-N$7)^2)</f>
        <v>2.86354984610847</v>
      </c>
      <c r="O22" s="74" t="n">
        <f aca="false">SQRT(($B22-O$5)^2+($C22-O$6)^2+($D22-O$7)^2)</f>
        <v>0.764060480962276</v>
      </c>
      <c r="P22" s="74" t="n">
        <f aca="false">SQRT(($B22-P$5)^2+($C22-P$6)^2+($D22-P$7)^2)</f>
        <v>0.77893985028725</v>
      </c>
      <c r="Q22" s="74" t="n">
        <f aca="false">SQRT(($B22-Q$5)^2+($C22-Q$6)^2+($D22-Q$7)^2)</f>
        <v>0.687573549285559</v>
      </c>
      <c r="R22" s="74" t="n">
        <f aca="false">SQRT(($B22-R$5)^2+($C22-R$6)^2+($D22-R$7)^2)</f>
        <v>0.891080579009539</v>
      </c>
      <c r="S22" s="74" t="n">
        <f aca="false">SQRT(($B22-S$5)^2+($C22-S$6)^2+($D22-S$7)^2)</f>
        <v>1.4795372601678</v>
      </c>
      <c r="T22" s="74" t="n">
        <f aca="false">SQRT(($B22-T$5)^2+($C22-T$6)^2+($D22-T$7)^2)</f>
        <v>0.786138906442515</v>
      </c>
      <c r="U22" s="74" t="n">
        <f aca="false">SQRT(($B22-U$5)^2+($C22-U$6)^2+($D22-U$7)^2)</f>
        <v>0.922164516196062</v>
      </c>
      <c r="V22" s="74" t="n">
        <f aca="false">SQRT(($B22-V$5)^2+($C22-V$6)^2+($D22-V$7)^2)</f>
        <v>1.16357092084255</v>
      </c>
      <c r="W22" s="74" t="n">
        <f aca="false">SQRT(($B22-W$5)^2+($C22-W$6)^2+($D22-W$7)^2)</f>
        <v>0.880033625535869</v>
      </c>
      <c r="X22" s="74" t="n">
        <f aca="false">SQRT(($B22-X$5)^2+($C22-X$6)^2+($D22-X$7)^2)</f>
        <v>0.880527950467266</v>
      </c>
      <c r="Y22" s="74" t="n">
        <f aca="false">SQRT(($B22-Y$5)^2+($C22-Y$6)^2+($D22-Y$7)^2)</f>
        <v>0.754823259881739</v>
      </c>
      <c r="Z22" s="74" t="n">
        <f aca="false">SQRT(($B22-Z$5)^2+($C22-Z$6)^2+($D22-Z$7)^2)</f>
        <v>1.24563855495789</v>
      </c>
      <c r="AA22" s="74" t="n">
        <f aca="false">SQRT(($B22-AA$5)^2+($C22-AA$6)^2+($D22-AA$7)^2)</f>
        <v>1.36856678986896</v>
      </c>
      <c r="AB22" s="74" t="n">
        <f aca="false">SQRT(($B22-AB$5)^2+($C22-AB$6)^2+($D22-AB$7)^2)</f>
        <v>1.31322217113997</v>
      </c>
      <c r="AC22" s="74" t="n">
        <f aca="false">SQRT(($B22-AC$5)^2+($C22-AC$6)^2+($D22-AC$7)^2)</f>
        <v>1.10104040727712</v>
      </c>
      <c r="AD22" s="74" t="n">
        <f aca="false">SQRT(($B22-AD$5)^2+($C22-AD$6)^2+($D22-AD$7)^2)</f>
        <v>0.802858128111018</v>
      </c>
      <c r="AE22" s="74" t="n">
        <f aca="false">SQRT(($B22-AE$5)^2+($C22-AE$6)^2+($D22-AE$7)^2)</f>
        <v>3.2085676641039</v>
      </c>
      <c r="AF22" s="74" t="n">
        <f aca="false">SQRT(($B22-AF$5)^2+($C22-AF$6)^2+($D22-AF$7)^2)</f>
        <v>1.17634714442438</v>
      </c>
      <c r="AG22" s="74" t="n">
        <f aca="false">SQRT(($B22-AG$5)^2+($C22-AG$6)^2+($D22-AG$7)^2)</f>
        <v>2.89933074302199</v>
      </c>
      <c r="AH22" s="74" t="n">
        <f aca="false">SQRT(($B22-AH$5)^2+($C22-AH$6)^2+($D22-AH$7)^2)</f>
        <v>1.55077703651155</v>
      </c>
      <c r="AI22" s="74" t="n">
        <f aca="false">SQRT(($B22-AI$5)^2+($C22-AI$6)^2+($D22-AI$7)^2)</f>
        <v>2.90007593874992</v>
      </c>
      <c r="AJ22" s="74" t="n">
        <f aca="false">SQRT(($B22-AJ$5)^2+($C22-AJ$6)^2+($D22-AJ$7)^2)</f>
        <v>1.12113746833329</v>
      </c>
      <c r="AK22" s="74" t="n">
        <f aca="false">SQRT(($B22-AK$5)^2+($C22-AK$6)^2+($D22-AK$7)^2)</f>
        <v>1.79113049190489</v>
      </c>
      <c r="AL22" s="74" t="n">
        <f aca="false">SQRT(($B22-AL$5)^2+($C22-AL$6)^2+($D22-AL$7)^2)</f>
        <v>1.93743612084979</v>
      </c>
      <c r="AM22" s="74" t="n">
        <f aca="false">SQRT(($B22-AM$5)^2+($C22-AM$6)^2+($D22-AM$7)^2)</f>
        <v>1.59855698501708</v>
      </c>
      <c r="AN22" s="74" t="n">
        <f aca="false">SQRT(($B22-AN$5)^2+($C22-AN$6)^2+($D22-AN$7)^2)</f>
        <v>1.26703985392777</v>
      </c>
      <c r="AO22" s="74" t="n">
        <f aca="false">SQRT(($B22-AO$5)^2+($C22-AO$6)^2+($D22-AO$7)^2)</f>
        <v>1.64665641187485</v>
      </c>
      <c r="AP22" s="74" t="n">
        <f aca="false">SQRT(($B22-AP$5)^2+($C22-AP$6)^2+($D22-AP$7)^2)</f>
        <v>1.70551462456555</v>
      </c>
      <c r="AQ22" s="74" t="n">
        <f aca="false">SQRT(($B22-AQ$5)^2+($C22-AQ$6)^2+($D22-AQ$7)^2)</f>
        <v>1.36644696328968</v>
      </c>
      <c r="AR22" s="74" t="n">
        <f aca="false">SQRT(($B22-AR$5)^2+($C22-AR$6)^2+($D22-AR$7)^2)</f>
        <v>2.23798384942151</v>
      </c>
      <c r="AS22" s="74" t="n">
        <f aca="false">SQRT(($B22-AS$5)^2+($C22-AS$6)^2+($D22-AS$7)^2)</f>
        <v>2.215249726934</v>
      </c>
      <c r="AT22" s="74" t="n">
        <f aca="false">SQRT(($B22-AT$5)^2+($C22-AT$6)^2+($D22-AT$7)^2)</f>
        <v>1.91472726820461</v>
      </c>
      <c r="AU22" s="74" t="n">
        <f aca="false">SQRT(($B22-AU$5)^2+($C22-AU$6)^2+($D22-AU$7)^2)</f>
        <v>2.87726765437943</v>
      </c>
      <c r="AV22" s="74" t="n">
        <f aca="false">SQRT(($B22-AV$5)^2+($C22-AV$6)^2+($D22-AV$7)^2)</f>
        <v>2.43935429961474</v>
      </c>
      <c r="AW22" s="74" t="n">
        <f aca="false">SQRT(($B22-AW$5)^2+($C22-AW$6)^2+($D22-AW$7)^2)</f>
        <v>3.30801403612034</v>
      </c>
      <c r="AX22" s="74" t="n">
        <f aca="false">SQRT(($B22-AX$5)^2+($C22-AX$6)^2+($D22-AX$7)^2)</f>
        <v>1.97117400098526</v>
      </c>
      <c r="AY22" s="74" t="n">
        <f aca="false">SQRT(($B22-AY$5)^2+($C22-AY$6)^2+($D22-AY$7)^2)</f>
        <v>3.56975881425888</v>
      </c>
      <c r="AZ22" s="74" t="n">
        <f aca="false">SQRT(($B22-AZ$5)^2+($C22-AZ$6)^2+($D22-AZ$7)^2)</f>
        <v>2.26065931767445</v>
      </c>
      <c r="BA22" s="74" t="n">
        <f aca="false">SQRT(($B22-BA$5)^2+($C22-BA$6)^2+($D22-BA$7)^2)</f>
        <v>1.94665780336377</v>
      </c>
      <c r="BB22" s="74" t="n">
        <f aca="false">SQRT(($B22-BB$5)^2+($C22-BB$6)^2+($D22-BB$7)^2)</f>
        <v>3.57170492086661</v>
      </c>
      <c r="BC22" s="74" t="n">
        <f aca="false">SQRT(($B22-BC$5)^2+($C22-BC$6)^2+($D22-BC$7)^2)</f>
        <v>3.57368696303383</v>
      </c>
      <c r="BD22" s="74" t="n">
        <f aca="false">SQRT(($B22-BD$5)^2+($C22-BD$6)^2+($D22-BD$7)^2)</f>
        <v>3.09479769503396</v>
      </c>
      <c r="BE22" s="74" t="n">
        <f aca="false">SQRT(($B22-BE$5)^2+($C22-BE$6)^2+($D22-BE$7)^2)</f>
        <v>2.92156919062465</v>
      </c>
      <c r="BF22" s="74" t="n">
        <f aca="false">SQRT(($B22-BF$5)^2+($C22-BF$6)^2+($D22-BF$7)^2)</f>
        <v>1.46593377139253</v>
      </c>
      <c r="BG22" s="74" t="n">
        <f aca="false">SQRT(($B22-BG$5)^2+($C22-BG$6)^2+($D22-BG$7)^2)</f>
        <v>2.08526840048948</v>
      </c>
      <c r="BH22" s="74" t="n">
        <f aca="false">SQRT(($B22-BH$5)^2+($C22-BH$6)^2+($D22-BH$7)^2)</f>
        <v>3.60589142432955</v>
      </c>
      <c r="BI22" s="74" t="n">
        <f aca="false">SQRT(($B22-BI$5)^2+($C22-BI$6)^2+($D22-BI$7)^2)</f>
        <v>3.6113064925013</v>
      </c>
      <c r="BJ22" s="74" t="n">
        <f aca="false">SQRT(($B22-BJ$5)^2+($C22-BJ$6)^2+($D22-BJ$7)^2)</f>
        <v>2.19544645858172</v>
      </c>
      <c r="BK22" s="74" t="n">
        <f aca="false">SQRT(($B22-BK$5)^2+($C22-BK$6)^2+($D22-BK$7)^2)</f>
        <v>3.0841984816138</v>
      </c>
      <c r="BL22" s="74" t="n">
        <f aca="false">SQRT(($B22-BL$5)^2+($C22-BL$6)^2+($D22-BL$7)^2)</f>
        <v>2.63027958841923</v>
      </c>
      <c r="BM22" s="74" t="n">
        <f aca="false">SQRT(($B22-BM$5)^2+($C22-BM$6)^2+($D22-BM$7)^2)</f>
        <v>1.88044103394828</v>
      </c>
      <c r="BN22" s="74" t="n">
        <f aca="false">SQRT(($B22-BN$5)^2+($C22-BN$6)^2+($D22-BN$7)^2)</f>
        <v>2.35234976641369</v>
      </c>
      <c r="BO22" s="74" t="n">
        <f aca="false">SQRT(($B22-BO$5)^2+($C22-BO$6)^2+($D22-BO$7)^2)</f>
        <v>3.41387557433769</v>
      </c>
      <c r="BP22" s="74" t="n">
        <f aca="false">SQRT(($B22-BP$5)^2+($C22-BP$6)^2+($D22-BP$7)^2)</f>
        <v>2.2347970559497</v>
      </c>
      <c r="BQ22" s="74" t="n">
        <f aca="false">SQRT(($B22-BQ$5)^2+($C22-BQ$6)^2+($D22-BQ$7)^2)</f>
        <v>2.33404000243104</v>
      </c>
      <c r="BR22" s="74" t="n">
        <f aca="false">SQRT(($B22-BR$5)^2+($C22-BR$6)^2+($D22-BR$7)^2)</f>
        <v>2.32136254253999</v>
      </c>
      <c r="BS22" s="74" t="n">
        <f aca="false">SQRT(($B22-BS$5)^2+($C22-BS$6)^2+($D22-BS$7)^2)</f>
        <v>2.60928517786832</v>
      </c>
      <c r="BT22" s="74" t="n">
        <f aca="false">SQRT(($B22-BT$5)^2+($C22-BT$6)^2+($D22-BT$7)^2)</f>
        <v>2.82464633903599</v>
      </c>
      <c r="BU22" s="74" t="n">
        <f aca="false">SQRT(($B22-BU$5)^2+($C22-BU$6)^2+($D22-BU$7)^2)</f>
        <v>2.87045719651928</v>
      </c>
      <c r="BV22" s="74" t="n">
        <f aca="false">SQRT(($B22-BV$5)^2+($C22-BV$6)^2+($D22-BV$7)^2)</f>
        <v>3.73242137304573</v>
      </c>
      <c r="BW22" s="74" t="n">
        <f aca="false">SQRT(($B22-BW$5)^2+($C22-BW$6)^2+($D22-BW$7)^2)</f>
        <v>2.80934562669655</v>
      </c>
      <c r="BX22" s="74" t="n">
        <f aca="false">SQRT(($B22-BX$5)^2+($C22-BX$6)^2+($D22-BX$7)^2)</f>
        <v>3.73896814779247</v>
      </c>
      <c r="BY22" s="74" t="n">
        <f aca="false">SQRT(($B22-BY$5)^2+($C22-BY$6)^2+($D22-BY$7)^2)</f>
        <v>3.08823742329337</v>
      </c>
      <c r="BZ22" s="74" t="n">
        <f aca="false">SQRT(($B22-BZ$5)^2+($C22-BZ$6)^2+($D22-BZ$7)^2)</f>
        <v>3.13513375024946</v>
      </c>
      <c r="CA22" s="74" t="n">
        <f aca="false">SQRT(($B22-CA$5)^2+($C22-CA$6)^2+($D22-CA$7)^2)</f>
        <v>3.7602932274691</v>
      </c>
      <c r="CB22" s="74" t="n">
        <f aca="false">SQRT(($B22-CB$5)^2+($C22-CB$6)^2+($D22-CB$7)^2)</f>
        <v>3.14441427128515</v>
      </c>
      <c r="CC22" s="74" t="n">
        <f aca="false">SQRT(($B22-CC$5)^2+($C22-CC$6)^2+($D22-CC$7)^2)</f>
        <v>3.76803431964976</v>
      </c>
      <c r="CD22" s="74" t="n">
        <f aca="false">SQRT(($B22-CD$5)^2+($C22-CD$6)^2+($D22-CD$7)^2)</f>
        <v>3.78462002275459</v>
      </c>
      <c r="CE22" s="74" t="n">
        <f aca="false">SQRT(($B22-CE$5)^2+($C22-CE$6)^2+($D22-CE$7)^2)</f>
        <v>3.00827371744984</v>
      </c>
      <c r="CF22" s="74" t="n">
        <f aca="false">SQRT(($B22-CF$5)^2+($C22-CF$6)^2+($D22-CF$7)^2)</f>
        <v>2.6525534867905</v>
      </c>
      <c r="CG22" s="74" t="n">
        <f aca="false">SQRT(($B22-CG$5)^2+($C22-CG$6)^2+($D22-CG$7)^2)</f>
        <v>3.03810477930682</v>
      </c>
      <c r="CH22" s="74" t="n">
        <f aca="false">SQRT(($B22-CH$5)^2+($C22-CH$6)^2+($D22-CH$7)^2)</f>
        <v>3.30681005645421</v>
      </c>
      <c r="CI22" s="74" t="n">
        <f aca="false">SQRT(($B22-CI$5)^2+($C22-CI$6)^2+($D22-CI$7)^2)</f>
        <v>3.39898816774636</v>
      </c>
      <c r="CJ22" s="74" t="n">
        <f aca="false">SQRT(($B22-CJ$5)^2+($C22-CJ$6)^2+($D22-CJ$7)^2)</f>
        <v>3.62829136841476</v>
      </c>
      <c r="CK22" s="74" t="n">
        <f aca="false">SQRT(($B22-CK$5)^2+($C22-CK$6)^2+($D22-CK$7)^2)</f>
        <v>3.16538790712579</v>
      </c>
      <c r="CL22" s="74" t="n">
        <f aca="false">SQRT(($B22-CL$5)^2+($C22-CL$6)^2+($D22-CL$7)^2)</f>
        <v>3.90097571986827</v>
      </c>
      <c r="CM22" s="74" t="n">
        <f aca="false">SQRT(($B22-CM$5)^2+($C22-CM$6)^2+($D22-CM$7)^2)</f>
        <v>3.34500350828937</v>
      </c>
      <c r="CN22" s="74" t="n">
        <f aca="false">SQRT(($B22-CN$5)^2+($C22-CN$6)^2+($D22-CN$7)^2)</f>
        <v>2.61674754400597</v>
      </c>
      <c r="CO22" s="74" t="n">
        <f aca="false">SQRT(($B22-CO$5)^2+($C22-CO$6)^2+($D22-CO$7)^2)</f>
        <v>3.06385603443763</v>
      </c>
      <c r="CP22" s="74" t="n">
        <f aca="false">SQRT(($B22-CP$5)^2+($C22-CP$6)^2+($D22-CP$7)^2)</f>
        <v>3.95462421583513</v>
      </c>
      <c r="CQ22" s="74" t="n">
        <f aca="false">SQRT(($B22-CQ$5)^2+($C22-CQ$6)^2+($D22-CQ$7)^2)</f>
        <v>3.48225608388488</v>
      </c>
      <c r="CR22" s="74" t="n">
        <f aca="false">SQRT(($B22-CR$5)^2+($C22-CR$6)^2+($D22-CR$7)^2)</f>
        <v>3.4592646179784</v>
      </c>
      <c r="CS22" s="74" t="n">
        <f aca="false">SQRT(($B22-CS$5)^2+($C22-CS$6)^2+($D22-CS$7)^2)</f>
        <v>3.99938430183082</v>
      </c>
      <c r="CT22" s="74" t="n">
        <f aca="false">SQRT(($B22-CT$5)^2+($C22-CT$6)^2+($D22-CT$7)^2)</f>
        <v>4.02553992219079</v>
      </c>
      <c r="CU22" s="74" t="n">
        <f aca="false">SQRT(($B22-CU$5)^2+($C22-CU$6)^2+($D22-CU$7)^2)</f>
        <v>3.57464415896038</v>
      </c>
      <c r="CV22" s="74" t="n">
        <f aca="false">SQRT(($B22-CV$5)^2+($C22-CV$6)^2+($D22-CV$7)^2)</f>
        <v>3.1904098485326</v>
      </c>
      <c r="CW22" s="74" t="n">
        <f aca="false">SQRT(($B22-CW$5)^2+($C22-CW$6)^2+($D22-CW$7)^2)</f>
        <v>4.02553992219079</v>
      </c>
      <c r="CX22" s="74" t="n">
        <f aca="false">SQRT(($B22-CX$5)^2+($C22-CX$6)^2+($D22-CX$7)^2)</f>
        <v>3.3709703611317</v>
      </c>
      <c r="CY22" s="74" t="n">
        <f aca="false">SQRT(($B22-CY$5)^2+($C22-CY$6)^2+($D22-CY$7)^2)</f>
        <v>4.05496353075456</v>
      </c>
      <c r="CZ22" s="74" t="n">
        <f aca="false">SQRT(($B22-CZ$5)^2+($C22-CZ$6)^2+($D22-CZ$7)^2)</f>
        <v>4.05496353075456</v>
      </c>
      <c r="DA22" s="74" t="n">
        <f aca="false">SQRT(($B22-DA$5)^2+($C22-DA$6)^2+($D22-DA$7)^2)</f>
        <v>3.63388335945313</v>
      </c>
      <c r="DB22" s="74" t="n">
        <f aca="false">SQRT(($B22-DB$5)^2+($C22-DB$6)^2+($D22-DB$7)^2)</f>
        <v>4.08847639524052</v>
      </c>
      <c r="DC22" s="74" t="n">
        <f aca="false">SQRT(($B22-DC$5)^2+($C22-DC$6)^2+($D22-DC$7)^2)</f>
        <v>4.08847639524052</v>
      </c>
      <c r="DD22" s="74" t="n">
        <f aca="false">SQRT(($B22-DD$5)^2+($C22-DD$6)^2+($D22-DD$7)^2)</f>
        <v>3.75260167369171</v>
      </c>
      <c r="DE22" s="74" t="n">
        <f aca="false">SQRT(($B22-DE$5)^2+($C22-DE$6)^2+($D22-DE$7)^2)</f>
        <v>3.96129197791056</v>
      </c>
      <c r="DF22" s="74" t="n">
        <f aca="false">SQRT(($B22-DF$5)^2+($C22-DF$6)^2+($D22-DF$7)^2)</f>
        <v>4.29813515521767</v>
      </c>
      <c r="DG22" s="74" t="n">
        <f aca="false">SQRT(($B22-DG$5)^2+($C22-DG$6)^2+($D22-DG$7)^2)</f>
        <v>4.39091940529748</v>
      </c>
      <c r="DH22" s="74" t="n">
        <f aca="false">SQRT(($B22-DH$5)^2+($C22-DH$6)^2+($D22-DH$7)^2)</f>
        <v>4.39091940529748</v>
      </c>
      <c r="DI22" s="74" t="n">
        <f aca="false">SQRT(($B22-DI$5)^2+($C22-DI$6)^2+($D22-DI$7)^2)</f>
        <v>4.39091940529748</v>
      </c>
      <c r="DJ22" s="74" t="n">
        <f aca="false">SQRT(($B22-DJ$5)^2+($C22-DJ$6)^2+($D22-DJ$7)^2)</f>
        <v>4.39091940529748</v>
      </c>
      <c r="DK22" s="74" t="n">
        <f aca="false">SQRT(($B22-DK$5)^2+($C22-DK$6)^2+($D22-DK$7)^2)</f>
        <v>4.52687434122475</v>
      </c>
      <c r="DL22" s="74" t="n">
        <f aca="false">SQRT(($B22-DL$5)^2+($C22-DL$6)^2+($D22-DL$7)^2)</f>
        <v>4.52687434122475</v>
      </c>
      <c r="DM22" s="74" t="n">
        <f aca="false">SQRT(($B22-DM$5)^2+($C22-DM$6)^2+($D22-DM$7)^2)</f>
        <v>4.52687434122475</v>
      </c>
      <c r="DN22" s="74" t="n">
        <f aca="false">SQRT(($B22-DN$5)^2+($C22-DN$6)^2+($D22-DN$7)^2)</f>
        <v>4.52687434122475</v>
      </c>
      <c r="DO22" s="74" t="n">
        <f aca="false">SQRT(($B22-DO$5)^2+($C22-DO$6)^2+($D22-DO$7)^2)</f>
        <v>4.52687434122475</v>
      </c>
      <c r="DP22" s="74" t="n">
        <f aca="false">SQRT(($B22-DP$5)^2+($C22-DP$6)^2+($D22-DP$7)^2)</f>
        <v>4.77195093233386</v>
      </c>
      <c r="DQ22" s="74" t="n">
        <f aca="false">SQRT(($B22-DQ$5)^2+($C22-DQ$6)^2+($D22-DQ$7)^2)</f>
        <v>4.77195093233386</v>
      </c>
    </row>
    <row r="23" customFormat="false" ht="15" hidden="false" customHeight="false" outlineLevel="0" collapsed="false">
      <c r="A23" s="48" t="str">
        <f aca="false">KMeans_Data!A14</f>
        <v>Raiwind</v>
      </c>
      <c r="B23" s="72" t="n">
        <f aca="false">KMeans_Data!H14</f>
        <v>1.20153859722623</v>
      </c>
      <c r="C23" s="72" t="n">
        <f aca="false">KMeans_Data!I14</f>
        <v>-0.146983133929529</v>
      </c>
      <c r="D23" s="72" t="n">
        <f aca="false">KMeans_Data!J14</f>
        <v>-0.824446015898766</v>
      </c>
      <c r="E23" s="74" t="n">
        <f aca="false">SQRT(($B23-E$5)^2+($C23-E$6)^2+($D23-E$7)^2)</f>
        <v>6.20006570834277</v>
      </c>
      <c r="F23" s="74" t="n">
        <f aca="false">SQRT(($B23-F$5)^2+($C23-F$6)^2+($D23-F$7)^2)</f>
        <v>5.91645619344459</v>
      </c>
      <c r="G23" s="74" t="n">
        <f aca="false">SQRT(($B23-G$5)^2+($C23-G$6)^2+($D23-G$7)^2)</f>
        <v>4.18702513988167</v>
      </c>
      <c r="H23" s="74" t="n">
        <f aca="false">SQRT(($B23-H$5)^2+($C23-H$6)^2+($D23-H$7)^2)</f>
        <v>4.59737360463887</v>
      </c>
      <c r="I23" s="74" t="n">
        <f aca="false">SQRT(($B23-I$5)^2+($C23-I$6)^2+($D23-I$7)^2)</f>
        <v>3.49166304699262</v>
      </c>
      <c r="J23" s="74" t="n">
        <f aca="false">SQRT(($B23-J$5)^2+($C23-J$6)^2+($D23-J$7)^2)</f>
        <v>3.29894450563281</v>
      </c>
      <c r="K23" s="74" t="n">
        <f aca="false">SQRT(($B23-K$5)^2+($C23-K$6)^2+($D23-K$7)^2)</f>
        <v>0.337018524823689</v>
      </c>
      <c r="L23" s="74" t="n">
        <f aca="false">SQRT(($B23-L$5)^2+($C23-L$6)^2+($D23-L$7)^2)</f>
        <v>2.68348739062353</v>
      </c>
      <c r="M23" s="74" t="n">
        <f aca="false">SQRT(($B23-M$5)^2+($C23-M$6)^2+($D23-M$7)^2)</f>
        <v>2.86354984610847</v>
      </c>
      <c r="N23" s="74" t="n">
        <f aca="false">SQRT(($B23-N$5)^2+($C23-N$6)^2+($D23-N$7)^2)</f>
        <v>0</v>
      </c>
      <c r="O23" s="74" t="n">
        <f aca="false">SQRT(($B23-O$5)^2+($C23-O$6)^2+($D23-O$7)^2)</f>
        <v>2.43391560303624</v>
      </c>
      <c r="P23" s="74" t="n">
        <f aca="false">SQRT(($B23-P$5)^2+($C23-P$6)^2+($D23-P$7)^2)</f>
        <v>2.76403667895169</v>
      </c>
      <c r="Q23" s="74" t="n">
        <f aca="false">SQRT(($B23-Q$5)^2+($C23-Q$6)^2+($D23-Q$7)^2)</f>
        <v>2.22602542058175</v>
      </c>
      <c r="R23" s="74" t="n">
        <f aca="false">SQRT(($B23-R$5)^2+($C23-R$6)^2+($D23-R$7)^2)</f>
        <v>2.36000592513328</v>
      </c>
      <c r="S23" s="74" t="n">
        <f aca="false">SQRT(($B23-S$5)^2+($C23-S$6)^2+($D23-S$7)^2)</f>
        <v>2.00072361146496</v>
      </c>
      <c r="T23" s="74" t="n">
        <f aca="false">SQRT(($B23-T$5)^2+($C23-T$6)^2+($D23-T$7)^2)</f>
        <v>2.16194503586589</v>
      </c>
      <c r="U23" s="74" t="n">
        <f aca="false">SQRT(($B23-U$5)^2+($C23-U$6)^2+($D23-U$7)^2)</f>
        <v>2.48523816107814</v>
      </c>
      <c r="V23" s="74" t="n">
        <f aca="false">SQRT(($B23-V$5)^2+($C23-V$6)^2+($D23-V$7)^2)</f>
        <v>2.13026697687066</v>
      </c>
      <c r="W23" s="74" t="n">
        <f aca="false">SQRT(($B23-W$5)^2+($C23-W$6)^2+($D23-W$7)^2)</f>
        <v>2.35607737729311</v>
      </c>
      <c r="X23" s="74" t="n">
        <f aca="false">SQRT(($B23-X$5)^2+($C23-X$6)^2+($D23-X$7)^2)</f>
        <v>2.12037548041122</v>
      </c>
      <c r="Y23" s="74" t="n">
        <f aca="false">SQRT(($B23-Y$5)^2+($C23-Y$6)^2+($D23-Y$7)^2)</f>
        <v>2.33496600889433</v>
      </c>
      <c r="Z23" s="74" t="n">
        <f aca="false">SQRT(($B23-Z$5)^2+($C23-Z$6)^2+($D23-Z$7)^2)</f>
        <v>1.77685502946415</v>
      </c>
      <c r="AA23" s="74" t="n">
        <f aca="false">SQRT(($B23-AA$5)^2+($C23-AA$6)^2+($D23-AA$7)^2)</f>
        <v>1.85806471899925</v>
      </c>
      <c r="AB23" s="74" t="n">
        <f aca="false">SQRT(($B23-AB$5)^2+($C23-AB$6)^2+($D23-AB$7)^2)</f>
        <v>1.69779179178002</v>
      </c>
      <c r="AC23" s="74" t="n">
        <f aca="false">SQRT(($B23-AC$5)^2+($C23-AC$6)^2+($D23-AC$7)^2)</f>
        <v>2.2221614041321</v>
      </c>
      <c r="AD23" s="74" t="n">
        <f aca="false">SQRT(($B23-AD$5)^2+($C23-AD$6)^2+($D23-AD$7)^2)</f>
        <v>2.35965787088016</v>
      </c>
      <c r="AE23" s="74" t="n">
        <f aca="false">SQRT(($B23-AE$5)^2+($C23-AE$6)^2+($D23-AE$7)^2)</f>
        <v>0.641992769976189</v>
      </c>
      <c r="AF23" s="74" t="n">
        <f aca="false">SQRT(($B23-AF$5)^2+($C23-AF$6)^2+($D23-AF$7)^2)</f>
        <v>1.98373040217352</v>
      </c>
      <c r="AG23" s="74" t="n">
        <f aca="false">SQRT(($B23-AG$5)^2+($C23-AG$6)^2+($D23-AG$7)^2)</f>
        <v>0.919630277647348</v>
      </c>
      <c r="AH23" s="74" t="n">
        <f aca="false">SQRT(($B23-AH$5)^2+($C23-AH$6)^2+($D23-AH$7)^2)</f>
        <v>1.75010482536509</v>
      </c>
      <c r="AI23" s="74" t="n">
        <f aca="false">SQRT(($B23-AI$5)^2+($C23-AI$6)^2+($D23-AI$7)^2)</f>
        <v>0.921779323710431</v>
      </c>
      <c r="AJ23" s="74" t="n">
        <f aca="false">SQRT(($B23-AJ$5)^2+($C23-AJ$6)^2+($D23-AJ$7)^2)</f>
        <v>2.15395946075125</v>
      </c>
      <c r="AK23" s="74" t="n">
        <f aca="false">SQRT(($B23-AK$5)^2+($C23-AK$6)^2+($D23-AK$7)^2)</f>
        <v>1.39993541564335</v>
      </c>
      <c r="AL23" s="74" t="n">
        <f aca="false">SQRT(($B23-AL$5)^2+($C23-AL$6)^2+($D23-AL$7)^2)</f>
        <v>1.55191387347554</v>
      </c>
      <c r="AM23" s="74" t="n">
        <f aca="false">SQRT(($B23-AM$5)^2+($C23-AM$6)^2+($D23-AM$7)^2)</f>
        <v>2.03214916164806</v>
      </c>
      <c r="AN23" s="74" t="n">
        <f aca="false">SQRT(($B23-AN$5)^2+($C23-AN$6)^2+($D23-AN$7)^2)</f>
        <v>2.14826435450952</v>
      </c>
      <c r="AO23" s="74" t="n">
        <f aca="false">SQRT(($B23-AO$5)^2+($C23-AO$6)^2+($D23-AO$7)^2)</f>
        <v>1.65174016877984</v>
      </c>
      <c r="AP23" s="74" t="n">
        <f aca="false">SQRT(($B23-AP$5)^2+($C23-AP$6)^2+($D23-AP$7)^2)</f>
        <v>1.58862179914003</v>
      </c>
      <c r="AQ23" s="74" t="n">
        <f aca="false">SQRT(($B23-AQ$5)^2+($C23-AQ$6)^2+($D23-AQ$7)^2)</f>
        <v>2.18092201542884</v>
      </c>
      <c r="AR23" s="74" t="n">
        <f aca="false">SQRT(($B23-AR$5)^2+($C23-AR$6)^2+($D23-AR$7)^2)</f>
        <v>1.14437613750495</v>
      </c>
      <c r="AS23" s="74" t="n">
        <f aca="false">SQRT(($B23-AS$5)^2+($C23-AS$6)^2+($D23-AS$7)^2)</f>
        <v>2.10410125274931</v>
      </c>
      <c r="AT23" s="74" t="n">
        <f aca="false">SQRT(($B23-AT$5)^2+($C23-AT$6)^2+($D23-AT$7)^2)</f>
        <v>1.84842393061552</v>
      </c>
      <c r="AU23" s="74" t="n">
        <f aca="false">SQRT(($B23-AU$5)^2+($C23-AU$6)^2+($D23-AU$7)^2)</f>
        <v>0.957868789973826</v>
      </c>
      <c r="AV23" s="74" t="n">
        <f aca="false">SQRT(($B23-AV$5)^2+($C23-AV$6)^2+($D23-AV$7)^2)</f>
        <v>1.72145637895332</v>
      </c>
      <c r="AW23" s="74" t="n">
        <f aca="false">SQRT(($B23-AW$5)^2+($C23-AW$6)^2+($D23-AW$7)^2)</f>
        <v>1.0970623070198</v>
      </c>
      <c r="AX23" s="74" t="n">
        <f aca="false">SQRT(($B23-AX$5)^2+($C23-AX$6)^2+($D23-AX$7)^2)</f>
        <v>1.5773778657519</v>
      </c>
      <c r="AY23" s="74" t="n">
        <f aca="false">SQRT(($B23-AY$5)^2+($C23-AY$6)^2+($D23-AY$7)^2)</f>
        <v>1.17499828219542</v>
      </c>
      <c r="AZ23" s="74" t="n">
        <f aca="false">SQRT(($B23-AZ$5)^2+($C23-AZ$6)^2+($D23-AZ$7)^2)</f>
        <v>2.1738812556797</v>
      </c>
      <c r="BA23" s="74" t="n">
        <f aca="false">SQRT(($B23-BA$5)^2+($C23-BA$6)^2+($D23-BA$7)^2)</f>
        <v>1.90774210840511</v>
      </c>
      <c r="BB23" s="74" t="n">
        <f aca="false">SQRT(($B23-BB$5)^2+($C23-BB$6)^2+($D23-BB$7)^2)</f>
        <v>1.18057822945678</v>
      </c>
      <c r="BC23" s="74" t="n">
        <f aca="false">SQRT(($B23-BC$5)^2+($C23-BC$6)^2+($D23-BC$7)^2)</f>
        <v>1.1862393353549</v>
      </c>
      <c r="BD23" s="74" t="n">
        <f aca="false">SQRT(($B23-BD$5)^2+($C23-BD$6)^2+($D23-BD$7)^2)</f>
        <v>1.20373079868078</v>
      </c>
      <c r="BE23" s="74" t="n">
        <f aca="false">SQRT(($B23-BE$5)^2+($C23-BE$6)^2+($D23-BE$7)^2)</f>
        <v>1.30847083587817</v>
      </c>
      <c r="BF23" s="74" t="n">
        <f aca="false">SQRT(($B23-BF$5)^2+($C23-BF$6)^2+($D23-BF$7)^2)</f>
        <v>2.45678898725541</v>
      </c>
      <c r="BG23" s="74" t="n">
        <f aca="false">SQRT(($B23-BG$5)^2+($C23-BG$6)^2+($D23-BG$7)^2)</f>
        <v>1.81469293234979</v>
      </c>
      <c r="BH23" s="74" t="n">
        <f aca="false">SQRT(($B23-BH$5)^2+($C23-BH$6)^2+($D23-BH$7)^2)</f>
        <v>1.27535062061458</v>
      </c>
      <c r="BI23" s="74" t="n">
        <f aca="false">SQRT(($B23-BI$5)^2+($C23-BI$6)^2+($D23-BI$7)^2)</f>
        <v>1.28984401889728</v>
      </c>
      <c r="BJ23" s="74" t="n">
        <f aca="false">SQRT(($B23-BJ$5)^2+($C23-BJ$6)^2+($D23-BJ$7)^2)</f>
        <v>1.59923613086868</v>
      </c>
      <c r="BK23" s="74" t="n">
        <f aca="false">SQRT(($B23-BK$5)^2+($C23-BK$6)^2+($D23-BK$7)^2)</f>
        <v>1.37332557413894</v>
      </c>
      <c r="BL23" s="74" t="n">
        <f aca="false">SQRT(($B23-BL$5)^2+($C23-BL$6)^2+($D23-BL$7)^2)</f>
        <v>1.77239192898495</v>
      </c>
      <c r="BM23" s="74" t="n">
        <f aca="false">SQRT(($B23-BM$5)^2+($C23-BM$6)^2+($D23-BM$7)^2)</f>
        <v>1.94085655254626</v>
      </c>
      <c r="BN23" s="74" t="n">
        <f aca="false">SQRT(($B23-BN$5)^2+($C23-BN$6)^2+($D23-BN$7)^2)</f>
        <v>1.54834842640115</v>
      </c>
      <c r="BO23" s="74" t="n">
        <f aca="false">SQRT(($B23-BO$5)^2+($C23-BO$6)^2+($D23-BO$7)^2)</f>
        <v>1.37119566702779</v>
      </c>
      <c r="BP23" s="74" t="n">
        <f aca="false">SQRT(($B23-BP$5)^2+($C23-BP$6)^2+($D23-BP$7)^2)</f>
        <v>1.72390665882089</v>
      </c>
      <c r="BQ23" s="74" t="n">
        <f aca="false">SQRT(($B23-BQ$5)^2+($C23-BQ$6)^2+($D23-BQ$7)^2)</f>
        <v>1.78190766498489</v>
      </c>
      <c r="BR23" s="74" t="n">
        <f aca="false">SQRT(($B23-BR$5)^2+($C23-BR$6)^2+($D23-BR$7)^2)</f>
        <v>1.8328807176224</v>
      </c>
      <c r="BS23" s="74" t="n">
        <f aca="false">SQRT(($B23-BS$5)^2+($C23-BS$6)^2+($D23-BS$7)^2)</f>
        <v>2.04617612636342</v>
      </c>
      <c r="BT23" s="74" t="n">
        <f aca="false">SQRT(($B23-BT$5)^2+($C23-BT$6)^2+($D23-BT$7)^2)</f>
        <v>1.8216806193404</v>
      </c>
      <c r="BU23" s="74" t="n">
        <f aca="false">SQRT(($B23-BU$5)^2+($C23-BU$6)^2+($D23-BU$7)^2)</f>
        <v>1.77584205429266</v>
      </c>
      <c r="BV23" s="74" t="n">
        <f aca="false">SQRT(($B23-BV$5)^2+($C23-BV$6)^2+($D23-BV$7)^2)</f>
        <v>1.58597865383502</v>
      </c>
      <c r="BW23" s="74" t="n">
        <f aca="false">SQRT(($B23-BW$5)^2+($C23-BW$6)^2+($D23-BW$7)^2)</f>
        <v>1.92195520904096</v>
      </c>
      <c r="BX23" s="74" t="n">
        <f aca="false">SQRT(($B23-BX$5)^2+($C23-BX$6)^2+($D23-BX$7)^2)</f>
        <v>1.60074892905171</v>
      </c>
      <c r="BY23" s="74" t="n">
        <f aca="false">SQRT(($B23-BY$5)^2+($C23-BY$6)^2+($D23-BY$7)^2)</f>
        <v>1.72403227360299</v>
      </c>
      <c r="BZ23" s="74" t="n">
        <f aca="false">SQRT(($B23-BZ$5)^2+($C23-BZ$6)^2+($D23-BZ$7)^2)</f>
        <v>1.71762987002816</v>
      </c>
      <c r="CA23" s="74" t="n">
        <f aca="false">SQRT(($B23-CA$5)^2+($C23-CA$6)^2+($D23-CA$7)^2)</f>
        <v>1.6481560357526</v>
      </c>
      <c r="CB23" s="74" t="n">
        <f aca="false">SQRT(($B23-CB$5)^2+($C23-CB$6)^2+($D23-CB$7)^2)</f>
        <v>1.73390491016519</v>
      </c>
      <c r="CC23" s="74" t="n">
        <f aca="false">SQRT(($B23-CC$5)^2+($C23-CC$6)^2+($D23-CC$7)^2)</f>
        <v>1.66511026219579</v>
      </c>
      <c r="CD23" s="74" t="n">
        <f aca="false">SQRT(($B23-CD$5)^2+($C23-CD$6)^2+($D23-CD$7)^2)</f>
        <v>1.70100433158828</v>
      </c>
      <c r="CE23" s="74" t="n">
        <f aca="false">SQRT(($B23-CE$5)^2+($C23-CE$6)^2+($D23-CE$7)^2)</f>
        <v>1.89940444118573</v>
      </c>
      <c r="CF23" s="74" t="n">
        <f aca="false">SQRT(($B23-CF$5)^2+($C23-CF$6)^2+($D23-CF$7)^2)</f>
        <v>1.8728544174176</v>
      </c>
      <c r="CG23" s="74" t="n">
        <f aca="false">SQRT(($B23-CG$5)^2+($C23-CG$6)^2+($D23-CG$7)^2)</f>
        <v>1.72553780980379</v>
      </c>
      <c r="CH23" s="74" t="n">
        <f aca="false">SQRT(($B23-CH$5)^2+($C23-CH$6)^2+($D23-CH$7)^2)</f>
        <v>1.80383118958849</v>
      </c>
      <c r="CI23" s="74" t="n">
        <f aca="false">SQRT(($B23-CI$5)^2+($C23-CI$6)^2+($D23-CI$7)^2)</f>
        <v>1.82895616834087</v>
      </c>
      <c r="CJ23" s="74" t="n">
        <f aca="false">SQRT(($B23-CJ$5)^2+($C23-CJ$6)^2+($D23-CJ$7)^2)</f>
        <v>1.82608132525605</v>
      </c>
      <c r="CK23" s="74" t="n">
        <f aca="false">SQRT(($B23-CK$5)^2+($C23-CK$6)^2+($D23-CK$7)^2)</f>
        <v>2.04069630912442</v>
      </c>
      <c r="CL23" s="74" t="n">
        <f aca="false">SQRT(($B23-CL$5)^2+($C23-CL$6)^2+($D23-CL$7)^2)</f>
        <v>1.938704199423</v>
      </c>
      <c r="CM23" s="74" t="n">
        <f aca="false">SQRT(($B23-CM$5)^2+($C23-CM$6)^2+($D23-CM$7)^2)</f>
        <v>1.97852856188372</v>
      </c>
      <c r="CN23" s="74" t="n">
        <f aca="false">SQRT(($B23-CN$5)^2+($C23-CN$6)^2+($D23-CN$7)^2)</f>
        <v>2.39802235423193</v>
      </c>
      <c r="CO23" s="74" t="n">
        <f aca="false">SQRT(($B23-CO$5)^2+($C23-CO$6)^2+($D23-CO$7)^2)</f>
        <v>2.04957220458825</v>
      </c>
      <c r="CP23" s="74" t="n">
        <f aca="false">SQRT(($B23-CP$5)^2+($C23-CP$6)^2+($D23-CP$7)^2)</f>
        <v>2.04146216965236</v>
      </c>
      <c r="CQ23" s="74" t="n">
        <f aca="false">SQRT(($B23-CQ$5)^2+($C23-CQ$6)^2+($D23-CQ$7)^2)</f>
        <v>2.09966325298056</v>
      </c>
      <c r="CR23" s="74" t="n">
        <f aca="false">SQRT(($B23-CR$5)^2+($C23-CR$6)^2+($D23-CR$7)^2)</f>
        <v>2.16092036965126</v>
      </c>
      <c r="CS23" s="74" t="n">
        <f aca="false">SQRT(($B23-CS$5)^2+($C23-CS$6)^2+($D23-CS$7)^2)</f>
        <v>2.12451772095326</v>
      </c>
      <c r="CT23" s="74" t="n">
        <f aca="false">SQRT(($B23-CT$5)^2+($C23-CT$6)^2+($D23-CT$7)^2)</f>
        <v>2.1720402581329</v>
      </c>
      <c r="CU23" s="74" t="n">
        <f aca="false">SQRT(($B23-CU$5)^2+($C23-CU$6)^2+($D23-CU$7)^2)</f>
        <v>2.08285007519922</v>
      </c>
      <c r="CV23" s="74" t="n">
        <f aca="false">SQRT(($B23-CV$5)^2+($C23-CV$6)^2+($D23-CV$7)^2)</f>
        <v>2.40869917326289</v>
      </c>
      <c r="CW23" s="74" t="n">
        <f aca="false">SQRT(($B23-CW$5)^2+($C23-CW$6)^2+($D23-CW$7)^2)</f>
        <v>2.1720402581329</v>
      </c>
      <c r="CX23" s="74" t="n">
        <f aca="false">SQRT(($B23-CX$5)^2+($C23-CX$6)^2+($D23-CX$7)^2)</f>
        <v>2.33881947619535</v>
      </c>
      <c r="CY23" s="74" t="n">
        <f aca="false">SQRT(($B23-CY$5)^2+($C23-CY$6)^2+($D23-CY$7)^2)</f>
        <v>2.22467984966473</v>
      </c>
      <c r="CZ23" s="74" t="n">
        <f aca="false">SQRT(($B23-CZ$5)^2+($C23-CZ$6)^2+($D23-CZ$7)^2)</f>
        <v>2.22467984966473</v>
      </c>
      <c r="DA23" s="74" t="n">
        <f aca="false">SQRT(($B23-DA$5)^2+($C23-DA$6)^2+($D23-DA$7)^2)</f>
        <v>2.22467984966473</v>
      </c>
      <c r="DB23" s="74" t="n">
        <f aca="false">SQRT(($B23-DB$5)^2+($C23-DB$6)^2+($D23-DB$7)^2)</f>
        <v>2.28364833599714</v>
      </c>
      <c r="DC23" s="74" t="n">
        <f aca="false">SQRT(($B23-DC$5)^2+($C23-DC$6)^2+($D23-DC$7)^2)</f>
        <v>2.28364833599714</v>
      </c>
      <c r="DD23" s="74" t="n">
        <f aca="false">SQRT(($B23-DD$5)^2+($C23-DD$6)^2+($D23-DD$7)^2)</f>
        <v>2.26874055821743</v>
      </c>
      <c r="DE23" s="74" t="n">
        <f aca="false">SQRT(($B23-DE$5)^2+($C23-DE$6)^2+($D23-DE$7)^2)</f>
        <v>2.40682560670478</v>
      </c>
      <c r="DF23" s="74" t="n">
        <f aca="false">SQRT(($B23-DF$5)^2+($C23-DF$6)^2+($D23-DF$7)^2)</f>
        <v>2.63283580627174</v>
      </c>
      <c r="DG23" s="74" t="n">
        <f aca="false">SQRT(($B23-DG$5)^2+($C23-DG$6)^2+($D23-DG$7)^2)</f>
        <v>2.77863027228069</v>
      </c>
      <c r="DH23" s="74" t="n">
        <f aca="false">SQRT(($B23-DH$5)^2+($C23-DH$6)^2+($D23-DH$7)^2)</f>
        <v>2.77863027228069</v>
      </c>
      <c r="DI23" s="74" t="n">
        <f aca="false">SQRT(($B23-DI$5)^2+($C23-DI$6)^2+($D23-DI$7)^2)</f>
        <v>2.77863027228069</v>
      </c>
      <c r="DJ23" s="74" t="n">
        <f aca="false">SQRT(($B23-DJ$5)^2+($C23-DJ$6)^2+($D23-DJ$7)^2)</f>
        <v>2.77863027228069</v>
      </c>
      <c r="DK23" s="74" t="n">
        <f aca="false">SQRT(($B23-DK$5)^2+($C23-DK$6)^2+($D23-DK$7)^2)</f>
        <v>2.98477770591255</v>
      </c>
      <c r="DL23" s="74" t="n">
        <f aca="false">SQRT(($B23-DL$5)^2+($C23-DL$6)^2+($D23-DL$7)^2)</f>
        <v>2.98477770591255</v>
      </c>
      <c r="DM23" s="74" t="n">
        <f aca="false">SQRT(($B23-DM$5)^2+($C23-DM$6)^2+($D23-DM$7)^2)</f>
        <v>2.98477770591255</v>
      </c>
      <c r="DN23" s="74" t="n">
        <f aca="false">SQRT(($B23-DN$5)^2+($C23-DN$6)^2+($D23-DN$7)^2)</f>
        <v>2.98477770591255</v>
      </c>
      <c r="DO23" s="74" t="n">
        <f aca="false">SQRT(($B23-DO$5)^2+($C23-DO$6)^2+($D23-DO$7)^2)</f>
        <v>2.98477770591255</v>
      </c>
      <c r="DP23" s="74" t="n">
        <f aca="false">SQRT(($B23-DP$5)^2+($C23-DP$6)^2+($D23-DP$7)^2)</f>
        <v>3.33860306644569</v>
      </c>
      <c r="DQ23" s="74" t="n">
        <f aca="false">SQRT(($B23-DQ$5)^2+($C23-DQ$6)^2+($D23-DQ$7)^2)</f>
        <v>3.33860306644569</v>
      </c>
    </row>
    <row r="24" customFormat="false" ht="15" hidden="false" customHeight="false" outlineLevel="0" collapsed="false">
      <c r="A24" s="48" t="str">
        <f aca="false">KMeans_Data!A15</f>
        <v>Malakand</v>
      </c>
      <c r="B24" s="72" t="n">
        <f aca="false">KMeans_Data!H15</f>
        <v>1.14106795512792</v>
      </c>
      <c r="C24" s="72" t="n">
        <f aca="false">KMeans_Data!I15</f>
        <v>1.4759954658056</v>
      </c>
      <c r="D24" s="72" t="n">
        <f aca="false">KMeans_Data!J15</f>
        <v>0.988349871383994</v>
      </c>
      <c r="E24" s="74" t="n">
        <f aca="false">SQRT(($B24-E$5)^2+($C24-E$6)^2+($D24-E$7)^2)</f>
        <v>4.03066852095808</v>
      </c>
      <c r="F24" s="74" t="n">
        <f aca="false">SQRT(($B24-F$5)^2+($C24-F$6)^2+($D24-F$7)^2)</f>
        <v>3.80770030987268</v>
      </c>
      <c r="G24" s="74" t="n">
        <f aca="false">SQRT(($B24-G$5)^2+($C24-G$6)^2+($D24-G$7)^2)</f>
        <v>2.02032113545334</v>
      </c>
      <c r="H24" s="74" t="n">
        <f aca="false">SQRT(($B24-H$5)^2+($C24-H$6)^2+($D24-H$7)^2)</f>
        <v>2.49498090416461</v>
      </c>
      <c r="I24" s="74" t="n">
        <f aca="false">SQRT(($B24-I$5)^2+($C24-I$6)^2+($D24-I$7)^2)</f>
        <v>1.38216217780024</v>
      </c>
      <c r="J24" s="74" t="n">
        <f aca="false">SQRT(($B24-J$5)^2+($C24-J$6)^2+($D24-J$7)^2)</f>
        <v>0.949410192834466</v>
      </c>
      <c r="K24" s="74" t="n">
        <f aca="false">SQRT(($B24-K$5)^2+($C24-K$6)^2+($D24-K$7)^2)</f>
        <v>2.24857544170626</v>
      </c>
      <c r="L24" s="74" t="n">
        <f aca="false">SQRT(($B24-L$5)^2+($C24-L$6)^2+($D24-L$7)^2)</f>
        <v>1.09337848843066</v>
      </c>
      <c r="M24" s="74" t="n">
        <f aca="false">SQRT(($B24-M$5)^2+($C24-M$6)^2+($D24-M$7)^2)</f>
        <v>0.764060480962276</v>
      </c>
      <c r="N24" s="74" t="n">
        <f aca="false">SQRT(($B24-N$5)^2+($C24-N$6)^2+($D24-N$7)^2)</f>
        <v>2.43391560303624</v>
      </c>
      <c r="O24" s="74" t="n">
        <f aca="false">SQRT(($B24-O$5)^2+($C24-O$6)^2+($D24-O$7)^2)</f>
        <v>0</v>
      </c>
      <c r="P24" s="74" t="n">
        <f aca="false">SQRT(($B24-P$5)^2+($C24-P$6)^2+($D24-P$7)^2)</f>
        <v>0.342948285262536</v>
      </c>
      <c r="Q24" s="74" t="n">
        <f aca="false">SQRT(($B24-Q$5)^2+($C24-Q$6)^2+($D24-Q$7)^2)</f>
        <v>0.500832463418794</v>
      </c>
      <c r="R24" s="74" t="n">
        <f aca="false">SQRT(($B24-R$5)^2+($C24-R$6)^2+($D24-R$7)^2)</f>
        <v>1.2030082216667</v>
      </c>
      <c r="S24" s="74" t="n">
        <f aca="false">SQRT(($B24-S$5)^2+($C24-S$6)^2+($D24-S$7)^2)</f>
        <v>1.6381962851426</v>
      </c>
      <c r="T24" s="74" t="n">
        <f aca="false">SQRT(($B24-T$5)^2+($C24-T$6)^2+($D24-T$7)^2)</f>
        <v>0.51163185942224</v>
      </c>
      <c r="U24" s="74" t="n">
        <f aca="false">SQRT(($B24-U$5)^2+($C24-U$6)^2+($D24-U$7)^2)</f>
        <v>1.27515501471259</v>
      </c>
      <c r="V24" s="74" t="n">
        <f aca="false">SQRT(($B24-V$5)^2+($C24-V$6)^2+($D24-V$7)^2)</f>
        <v>0.478443531750874</v>
      </c>
      <c r="W24" s="74" t="n">
        <f aca="false">SQRT(($B24-W$5)^2+($C24-W$6)^2+($D24-W$7)^2)</f>
        <v>0.309814318360202</v>
      </c>
      <c r="X24" s="74" t="n">
        <f aca="false">SQRT(($B24-X$5)^2+($C24-X$6)^2+($D24-X$7)^2)</f>
        <v>0.738073804691369</v>
      </c>
      <c r="Y24" s="74" t="n">
        <f aca="false">SQRT(($B24-Y$5)^2+($C24-Y$6)^2+($D24-Y$7)^2)</f>
        <v>0.809068719860471</v>
      </c>
      <c r="Z24" s="74" t="n">
        <f aca="false">SQRT(($B24-Z$5)^2+($C24-Z$6)^2+($D24-Z$7)^2)</f>
        <v>0.846207268557285</v>
      </c>
      <c r="AA24" s="74" t="n">
        <f aca="false">SQRT(($B24-AA$5)^2+($C24-AA$6)^2+($D24-AA$7)^2)</f>
        <v>1.36351411410191</v>
      </c>
      <c r="AB24" s="74" t="n">
        <f aca="false">SQRT(($B24-AB$5)^2+($C24-AB$6)^2+($D24-AB$7)^2)</f>
        <v>1.04516109227594</v>
      </c>
      <c r="AC24" s="74" t="n">
        <f aca="false">SQRT(($B24-AC$5)^2+($C24-AC$6)^2+($D24-AC$7)^2)</f>
        <v>0.469781720463005</v>
      </c>
      <c r="AD24" s="74" t="n">
        <f aca="false">SQRT(($B24-AD$5)^2+($C24-AD$6)^2+($D24-AD$7)^2)</f>
        <v>0.851064845320699</v>
      </c>
      <c r="AE24" s="74" t="n">
        <f aca="false">SQRT(($B24-AE$5)^2+($C24-AE$6)^2+($D24-AE$7)^2)</f>
        <v>2.72642732862461</v>
      </c>
      <c r="AF24" s="74" t="n">
        <f aca="false">SQRT(($B24-AF$5)^2+($C24-AF$6)^2+($D24-AF$7)^2)</f>
        <v>0.962928960155002</v>
      </c>
      <c r="AG24" s="74" t="n">
        <f aca="false">SQRT(($B24-AG$5)^2+($C24-AG$6)^2+($D24-AG$7)^2)</f>
        <v>2.61936794316124</v>
      </c>
      <c r="AH24" s="74" t="n">
        <f aca="false">SQRT(($B24-AH$5)^2+($C24-AH$6)^2+($D24-AH$7)^2)</f>
        <v>1.4458861591616</v>
      </c>
      <c r="AI24" s="74" t="n">
        <f aca="false">SQRT(($B24-AI$5)^2+($C24-AI$6)^2+($D24-AI$7)^2)</f>
        <v>2.62005019840883</v>
      </c>
      <c r="AJ24" s="74" t="n">
        <f aca="false">SQRT(($B24-AJ$5)^2+($C24-AJ$6)^2+($D24-AJ$7)^2)</f>
        <v>1.09780277655276</v>
      </c>
      <c r="AK24" s="74" t="n">
        <f aca="false">SQRT(($B24-AK$5)^2+($C24-AK$6)^2+($D24-AK$7)^2)</f>
        <v>1.43799336942774</v>
      </c>
      <c r="AL24" s="74" t="n">
        <f aca="false">SQRT(($B24-AL$5)^2+($C24-AL$6)^2+($D24-AL$7)^2)</f>
        <v>1.80421710418115</v>
      </c>
      <c r="AM24" s="74" t="n">
        <f aca="false">SQRT(($B24-AM$5)^2+($C24-AM$6)^2+($D24-AM$7)^2)</f>
        <v>0.950563743255218</v>
      </c>
      <c r="AN24" s="74" t="n">
        <f aca="false">SQRT(($B24-AN$5)^2+($C24-AN$6)^2+($D24-AN$7)^2)</f>
        <v>0.808516455090874</v>
      </c>
      <c r="AO24" s="74" t="n">
        <f aca="false">SQRT(($B24-AO$5)^2+($C24-AO$6)^2+($D24-AO$7)^2)</f>
        <v>1.3806255785572</v>
      </c>
      <c r="AP24" s="74" t="n">
        <f aca="false">SQRT(($B24-AP$5)^2+($C24-AP$6)^2+($D24-AP$7)^2)</f>
        <v>1.4106079705124</v>
      </c>
      <c r="AQ24" s="74" t="n">
        <f aca="false">SQRT(($B24-AQ$5)^2+($C24-AQ$6)^2+($D24-AQ$7)^2)</f>
        <v>0.841885080433449</v>
      </c>
      <c r="AR24" s="74" t="n">
        <f aca="false">SQRT(($B24-AR$5)^2+($C24-AR$6)^2+($D24-AR$7)^2)</f>
        <v>1.85291548431567</v>
      </c>
      <c r="AS24" s="74" t="n">
        <f aca="false">SQRT(($B24-AS$5)^2+($C24-AS$6)^2+($D24-AS$7)^2)</f>
        <v>2.30132337455311</v>
      </c>
      <c r="AT24" s="74" t="n">
        <f aca="false">SQRT(($B24-AT$5)^2+($C24-AT$6)^2+($D24-AT$7)^2)</f>
        <v>1.85261885749764</v>
      </c>
      <c r="AU24" s="74" t="n">
        <f aca="false">SQRT(($B24-AU$5)^2+($C24-AU$6)^2+($D24-AU$7)^2)</f>
        <v>2.45899454158476</v>
      </c>
      <c r="AV24" s="74" t="n">
        <f aca="false">SQRT(($B24-AV$5)^2+($C24-AV$6)^2+($D24-AV$7)^2)</f>
        <v>2.37135749765518</v>
      </c>
      <c r="AW24" s="74" t="n">
        <f aca="false">SQRT(($B24-AW$5)^2+($C24-AW$6)^2+($D24-AW$7)^2)</f>
        <v>2.95251210323042</v>
      </c>
      <c r="AX24" s="74" t="n">
        <f aca="false">SQRT(($B24-AX$5)^2+($C24-AX$6)^2+($D24-AX$7)^2)</f>
        <v>1.70998939238727</v>
      </c>
      <c r="AY24" s="74" t="n">
        <f aca="false">SQRT(($B24-AY$5)^2+($C24-AY$6)^2+($D24-AY$7)^2)</f>
        <v>3.17086484249845</v>
      </c>
      <c r="AZ24" s="74" t="n">
        <f aca="false">SQRT(($B24-AZ$5)^2+($C24-AZ$6)^2+($D24-AZ$7)^2)</f>
        <v>2.3457203869828</v>
      </c>
      <c r="BA24" s="74" t="n">
        <f aca="false">SQRT(($B24-BA$5)^2+($C24-BA$6)^2+($D24-BA$7)^2)</f>
        <v>1.88871902637149</v>
      </c>
      <c r="BB24" s="74" t="n">
        <f aca="false">SQRT(($B24-BB$5)^2+($C24-BB$6)^2+($D24-BB$7)^2)</f>
        <v>3.17281201052703</v>
      </c>
      <c r="BC24" s="74" t="n">
        <f aca="false">SQRT(($B24-BC$5)^2+($C24-BC$6)^2+($D24-BC$7)^2)</f>
        <v>3.1747965264447</v>
      </c>
      <c r="BD24" s="74" t="n">
        <f aca="false">SQRT(($B24-BD$5)^2+($C24-BD$6)^2+($D24-BD$7)^2)</f>
        <v>2.79098582549799</v>
      </c>
      <c r="BE24" s="74" t="n">
        <f aca="false">SQRT(($B24-BE$5)^2+($C24-BE$6)^2+($D24-BE$7)^2)</f>
        <v>2.66661527257334</v>
      </c>
      <c r="BF24" s="74" t="n">
        <f aca="false">SQRT(($B24-BF$5)^2+($C24-BF$6)^2+($D24-BF$7)^2)</f>
        <v>1.03640010536617</v>
      </c>
      <c r="BG24" s="74" t="n">
        <f aca="false">SQRT(($B24-BG$5)^2+($C24-BG$6)^2+($D24-BG$7)^2)</f>
        <v>1.96291240112974</v>
      </c>
      <c r="BH24" s="74" t="n">
        <f aca="false">SQRT(($B24-BH$5)^2+($C24-BH$6)^2+($D24-BH$7)^2)</f>
        <v>3.20721624279703</v>
      </c>
      <c r="BI24" s="74" t="n">
        <f aca="false">SQRT(($B24-BI$5)^2+($C24-BI$6)^2+($D24-BI$7)^2)</f>
        <v>3.21269605661112</v>
      </c>
      <c r="BJ24" s="74" t="n">
        <f aca="false">SQRT(($B24-BJ$5)^2+($C24-BJ$6)^2+($D24-BJ$7)^2)</f>
        <v>1.75307793059553</v>
      </c>
      <c r="BK24" s="74" t="n">
        <f aca="false">SQRT(($B24-BK$5)^2+($C24-BK$6)^2+($D24-BK$7)^2)</f>
        <v>2.79861360577818</v>
      </c>
      <c r="BL24" s="74" t="n">
        <f aca="false">SQRT(($B24-BL$5)^2+($C24-BL$6)^2+($D24-BL$7)^2)</f>
        <v>2.51328020540072</v>
      </c>
      <c r="BM24" s="74" t="n">
        <f aca="false">SQRT(($B24-BM$5)^2+($C24-BM$6)^2+($D24-BM$7)^2)</f>
        <v>1.573923900278</v>
      </c>
      <c r="BN24" s="74" t="n">
        <f aca="false">SQRT(($B24-BN$5)^2+($C24-BN$6)^2+($D24-BN$7)^2)</f>
        <v>2.00695390860097</v>
      </c>
      <c r="BO24" s="74" t="n">
        <f aca="false">SQRT(($B24-BO$5)^2+($C24-BO$6)^2+($D24-BO$7)^2)</f>
        <v>3.05896267765943</v>
      </c>
      <c r="BP24" s="74" t="n">
        <f aca="false">SQRT(($B24-BP$5)^2+($C24-BP$6)^2+($D24-BP$7)^2)</f>
        <v>1.94678933194869</v>
      </c>
      <c r="BQ24" s="74" t="n">
        <f aca="false">SQRT(($B24-BQ$5)^2+($C24-BQ$6)^2+($D24-BQ$7)^2)</f>
        <v>2.1372430708703</v>
      </c>
      <c r="BR24" s="74" t="n">
        <f aca="false">SQRT(($B24-BR$5)^2+($C24-BR$6)^2+($D24-BR$7)^2)</f>
        <v>2.13825251820443</v>
      </c>
      <c r="BS24" s="74" t="n">
        <f aca="false">SQRT(($B24-BS$5)^2+($C24-BS$6)^2+($D24-BS$7)^2)</f>
        <v>2.54878588647308</v>
      </c>
      <c r="BT24" s="74" t="n">
        <f aca="false">SQRT(($B24-BT$5)^2+($C24-BT$6)^2+($D24-BT$7)^2)</f>
        <v>2.6619549174171</v>
      </c>
      <c r="BU24" s="74" t="n">
        <f aca="false">SQRT(($B24-BU$5)^2+($C24-BU$6)^2+($D24-BU$7)^2)</f>
        <v>2.68838445934139</v>
      </c>
      <c r="BV24" s="74" t="n">
        <f aca="false">SQRT(($B24-BV$5)^2+($C24-BV$6)^2+($D24-BV$7)^2)</f>
        <v>3.33666765149162</v>
      </c>
      <c r="BW24" s="74" t="n">
        <f aca="false">SQRT(($B24-BW$5)^2+($C24-BW$6)^2+($D24-BW$7)^2)</f>
        <v>2.66774089007382</v>
      </c>
      <c r="BX24" s="74" t="n">
        <f aca="false">SQRT(($B24-BX$5)^2+($C24-BX$6)^2+($D24-BX$7)^2)</f>
        <v>3.34342382857957</v>
      </c>
      <c r="BY24" s="74" t="n">
        <f aca="false">SQRT(($B24-BY$5)^2+($C24-BY$6)^2+($D24-BY$7)^2)</f>
        <v>2.84441751670586</v>
      </c>
      <c r="BZ24" s="74" t="n">
        <f aca="false">SQRT(($B24-BZ$5)^2+($C24-BZ$6)^2+($D24-BZ$7)^2)</f>
        <v>2.87938946810038</v>
      </c>
      <c r="CA24" s="74" t="n">
        <f aca="false">SQRT(($B24-CA$5)^2+($C24-CA$6)^2+($D24-CA$7)^2)</f>
        <v>3.36545801374402</v>
      </c>
      <c r="CB24" s="74" t="n">
        <f aca="false">SQRT(($B24-CB$5)^2+($C24-CB$6)^2+($D24-CB$7)^2)</f>
        <v>2.88874517860491</v>
      </c>
      <c r="CC24" s="74" t="n">
        <f aca="false">SQRT(($B24-CC$5)^2+($C24-CC$6)^2+($D24-CC$7)^2)</f>
        <v>3.37346596843359</v>
      </c>
      <c r="CD24" s="74" t="n">
        <f aca="false">SQRT(($B24-CD$5)^2+($C24-CD$6)^2+($D24-CD$7)^2)</f>
        <v>3.39063878457024</v>
      </c>
      <c r="CE24" s="74" t="n">
        <f aca="false">SQRT(($B24-CE$5)^2+($C24-CE$6)^2+($D24-CE$7)^2)</f>
        <v>2.81051582283923</v>
      </c>
      <c r="CF24" s="74" t="n">
        <f aca="false">SQRT(($B24-CF$5)^2+($C24-CF$6)^2+($D24-CF$7)^2)</f>
        <v>2.39660255745714</v>
      </c>
      <c r="CG24" s="74" t="n">
        <f aca="false">SQRT(($B24-CG$5)^2+($C24-CG$6)^2+($D24-CG$7)^2)</f>
        <v>2.67576618440338</v>
      </c>
      <c r="CH24" s="74" t="n">
        <f aca="false">SQRT(($B24-CH$5)^2+($C24-CH$6)^2+($D24-CH$7)^2)</f>
        <v>3.02363106542743</v>
      </c>
      <c r="CI24" s="74" t="n">
        <f aca="false">SQRT(($B24-CI$5)^2+($C24-CI$6)^2+($D24-CI$7)^2)</f>
        <v>3.09879251519788</v>
      </c>
      <c r="CJ24" s="74" t="n">
        <f aca="false">SQRT(($B24-CJ$5)^2+($C24-CJ$6)^2+($D24-CJ$7)^2)</f>
        <v>3.27922427720301</v>
      </c>
      <c r="CK24" s="74" t="n">
        <f aca="false">SQRT(($B24-CK$5)^2+($C24-CK$6)^2+($D24-CK$7)^2)</f>
        <v>2.95162485514362</v>
      </c>
      <c r="CL24" s="74" t="n">
        <f aca="false">SQRT(($B24-CL$5)^2+($C24-CL$6)^2+($D24-CL$7)^2)</f>
        <v>3.5115564465929</v>
      </c>
      <c r="CM24" s="74" t="n">
        <f aca="false">SQRT(($B24-CM$5)^2+($C24-CM$6)^2+($D24-CM$7)^2)</f>
        <v>3.0784339111805</v>
      </c>
      <c r="CN24" s="74" t="n">
        <f aca="false">SQRT(($B24-CN$5)^2+($C24-CN$6)^2+($D24-CN$7)^2)</f>
        <v>2.48513489746401</v>
      </c>
      <c r="CO24" s="74" t="n">
        <f aca="false">SQRT(($B24-CO$5)^2+($C24-CO$6)^2+($D24-CO$7)^2)</f>
        <v>2.74958856971114</v>
      </c>
      <c r="CP24" s="74" t="n">
        <f aca="false">SQRT(($B24-CP$5)^2+($C24-CP$6)^2+($D24-CP$7)^2)</f>
        <v>3.56748543971323</v>
      </c>
      <c r="CQ24" s="74" t="n">
        <f aca="false">SQRT(($B24-CQ$5)^2+($C24-CQ$6)^2+($D24-CQ$7)^2)</f>
        <v>3.20296263194054</v>
      </c>
      <c r="CR24" s="74" t="n">
        <f aca="false">SQRT(($B24-CR$5)^2+($C24-CR$6)^2+($D24-CR$7)^2)</f>
        <v>3.19502290264097</v>
      </c>
      <c r="CS24" s="74" t="n">
        <f aca="false">SQRT(($B24-CS$5)^2+($C24-CS$6)^2+($D24-CS$7)^2)</f>
        <v>3.61420042063281</v>
      </c>
      <c r="CT24" s="74" t="n">
        <f aca="false">SQRT(($B24-CT$5)^2+($C24-CT$6)^2+($D24-CT$7)^2)</f>
        <v>3.64151460143489</v>
      </c>
      <c r="CU24" s="74" t="n">
        <f aca="false">SQRT(($B24-CU$5)^2+($C24-CU$6)^2+($D24-CU$7)^2)</f>
        <v>3.1639069258714</v>
      </c>
      <c r="CV24" s="74" t="n">
        <f aca="false">SQRT(($B24-CV$5)^2+($C24-CV$6)^2+($D24-CV$7)^2)</f>
        <v>3.03804246066611</v>
      </c>
      <c r="CW24" s="74" t="n">
        <f aca="false">SQRT(($B24-CW$5)^2+($C24-CW$6)^2+($D24-CW$7)^2)</f>
        <v>3.64151460143489</v>
      </c>
      <c r="CX24" s="74" t="n">
        <f aca="false">SQRT(($B24-CX$5)^2+($C24-CX$6)^2+($D24-CX$7)^2)</f>
        <v>3.15874836828156</v>
      </c>
      <c r="CY24" s="74" t="n">
        <f aca="false">SQRT(($B24-CY$5)^2+($C24-CY$6)^2+($D24-CY$7)^2)</f>
        <v>3.67225245416132</v>
      </c>
      <c r="CZ24" s="74" t="n">
        <f aca="false">SQRT(($B24-CZ$5)^2+($C24-CZ$6)^2+($D24-CZ$7)^2)</f>
        <v>3.67225245416132</v>
      </c>
      <c r="DA24" s="74" t="n">
        <f aca="false">SQRT(($B24-DA$5)^2+($C24-DA$6)^2+($D24-DA$7)^2)</f>
        <v>3.34011552273405</v>
      </c>
      <c r="DB24" s="74" t="n">
        <f aca="false">SQRT(($B24-DB$5)^2+($C24-DB$6)^2+($D24-DB$7)^2)</f>
        <v>3.70727303665977</v>
      </c>
      <c r="DC24" s="74" t="n">
        <f aca="false">SQRT(($B24-DC$5)^2+($C24-DC$6)^2+($D24-DC$7)^2)</f>
        <v>3.70727303665977</v>
      </c>
      <c r="DD24" s="74" t="n">
        <f aca="false">SQRT(($B24-DD$5)^2+($C24-DD$6)^2+($D24-DD$7)^2)</f>
        <v>3.43951536235178</v>
      </c>
      <c r="DE24" s="74" t="n">
        <f aca="false">SQRT(($B24-DE$5)^2+($C24-DE$6)^2+($D24-DE$7)^2)</f>
        <v>3.62477467305353</v>
      </c>
      <c r="DF24" s="74" t="n">
        <f aca="false">SQRT(($B24-DF$5)^2+($C24-DF$6)^2+($D24-DF$7)^2)</f>
        <v>3.92645093815304</v>
      </c>
      <c r="DG24" s="74" t="n">
        <f aca="false">SQRT(($B24-DG$5)^2+($C24-DG$6)^2+($D24-DG$7)^2)</f>
        <v>4.02341524719881</v>
      </c>
      <c r="DH24" s="74" t="n">
        <f aca="false">SQRT(($B24-DH$5)^2+($C24-DH$6)^2+($D24-DH$7)^2)</f>
        <v>4.02341524719881</v>
      </c>
      <c r="DI24" s="74" t="n">
        <f aca="false">SQRT(($B24-DI$5)^2+($C24-DI$6)^2+($D24-DI$7)^2)</f>
        <v>4.02341524719881</v>
      </c>
      <c r="DJ24" s="74" t="n">
        <f aca="false">SQRT(($B24-DJ$5)^2+($C24-DJ$6)^2+($D24-DJ$7)^2)</f>
        <v>4.02341524719881</v>
      </c>
      <c r="DK24" s="74" t="n">
        <f aca="false">SQRT(($B24-DK$5)^2+($C24-DK$6)^2+($D24-DK$7)^2)</f>
        <v>4.1653882750283</v>
      </c>
      <c r="DL24" s="74" t="n">
        <f aca="false">SQRT(($B24-DL$5)^2+($C24-DL$6)^2+($D24-DL$7)^2)</f>
        <v>4.1653882750283</v>
      </c>
      <c r="DM24" s="74" t="n">
        <f aca="false">SQRT(($B24-DM$5)^2+($C24-DM$6)^2+($D24-DM$7)^2)</f>
        <v>4.1653882750283</v>
      </c>
      <c r="DN24" s="74" t="n">
        <f aca="false">SQRT(($B24-DN$5)^2+($C24-DN$6)^2+($D24-DN$7)^2)</f>
        <v>4.1653882750283</v>
      </c>
      <c r="DO24" s="74" t="n">
        <f aca="false">SQRT(($B24-DO$5)^2+($C24-DO$6)^2+($D24-DO$7)^2)</f>
        <v>4.1653882750283</v>
      </c>
      <c r="DP24" s="74" t="n">
        <f aca="false">SQRT(($B24-DP$5)^2+($C24-DP$6)^2+($D24-DP$7)^2)</f>
        <v>4.42088236717576</v>
      </c>
      <c r="DQ24" s="74" t="n">
        <f aca="false">SQRT(($B24-DQ$5)^2+($C24-DQ$6)^2+($D24-DQ$7)^2)</f>
        <v>4.42088236717576</v>
      </c>
    </row>
    <row r="25" customFormat="false" ht="15" hidden="false" customHeight="false" outlineLevel="0" collapsed="false">
      <c r="A25" s="48" t="str">
        <f aca="false">KMeans_Data!A16</f>
        <v>Mardan</v>
      </c>
      <c r="B25" s="72" t="n">
        <f aca="false">KMeans_Data!H16</f>
        <v>1.1269857012341</v>
      </c>
      <c r="C25" s="72" t="n">
        <f aca="false">KMeans_Data!I16</f>
        <v>1.76847331707728</v>
      </c>
      <c r="D25" s="72" t="n">
        <f aca="false">KMeans_Data!J16</f>
        <v>1.16687696458076</v>
      </c>
      <c r="E25" s="74" t="n">
        <f aca="false">SQRT(($B25-E$5)^2+($C25-E$6)^2+($D25-E$7)^2)</f>
        <v>3.7571699748409</v>
      </c>
      <c r="F25" s="74" t="n">
        <f aca="false">SQRT(($B25-F$5)^2+($C25-F$6)^2+($D25-F$7)^2)</f>
        <v>3.5359901973282</v>
      </c>
      <c r="G25" s="74" t="n">
        <f aca="false">SQRT(($B25-G$5)^2+($C25-G$6)^2+($D25-G$7)^2)</f>
        <v>1.80583097558529</v>
      </c>
      <c r="H25" s="74" t="n">
        <f aca="false">SQRT(($B25-H$5)^2+($C25-H$6)^2+($D25-H$7)^2)</f>
        <v>2.21894972679728</v>
      </c>
      <c r="I25" s="74" t="n">
        <f aca="false">SQRT(($B25-I$5)^2+($C25-I$6)^2+($D25-I$7)^2)</f>
        <v>1.20794850770686</v>
      </c>
      <c r="J25" s="74" t="n">
        <f aca="false">SQRT(($B25-J$5)^2+($C25-J$6)^2+($D25-J$7)^2)</f>
        <v>0.651802713238592</v>
      </c>
      <c r="K25" s="74" t="n">
        <f aca="false">SQRT(($B25-K$5)^2+($C25-K$6)^2+($D25-K$7)^2)</f>
        <v>2.56827934525518</v>
      </c>
      <c r="L25" s="74" t="n">
        <f aca="false">SQRT(($B25-L$5)^2+($C25-L$6)^2+($D25-L$7)^2)</f>
        <v>1.23183753911077</v>
      </c>
      <c r="M25" s="74" t="n">
        <f aca="false">SQRT(($B25-M$5)^2+($C25-M$6)^2+($D25-M$7)^2)</f>
        <v>0.77893985028725</v>
      </c>
      <c r="N25" s="74" t="n">
        <f aca="false">SQRT(($B25-N$5)^2+($C25-N$6)^2+($D25-N$7)^2)</f>
        <v>2.76403667895169</v>
      </c>
      <c r="O25" s="74" t="n">
        <f aca="false">SQRT(($B25-O$5)^2+($C25-O$6)^2+($D25-O$7)^2)</f>
        <v>0.342948285262536</v>
      </c>
      <c r="P25" s="74" t="n">
        <f aca="false">SQRT(($B25-P$5)^2+($C25-P$6)^2+($D25-P$7)^2)</f>
        <v>0</v>
      </c>
      <c r="Q25" s="74" t="n">
        <f aca="false">SQRT(($B25-Q$5)^2+($C25-Q$6)^2+($D25-Q$7)^2)</f>
        <v>0.784159456808474</v>
      </c>
      <c r="R25" s="74" t="n">
        <f aca="false">SQRT(($B25-R$5)^2+($C25-R$6)^2+($D25-R$7)^2)</f>
        <v>1.42536996486005</v>
      </c>
      <c r="S25" s="74" t="n">
        <f aca="false">SQRT(($B25-S$5)^2+($C25-S$6)^2+($D25-S$7)^2)</f>
        <v>1.9191598188529</v>
      </c>
      <c r="T25" s="74" t="n">
        <f aca="false">SQRT(($B25-T$5)^2+($C25-T$6)^2+($D25-T$7)^2)</f>
        <v>0.808356038548875</v>
      </c>
      <c r="U25" s="74" t="n">
        <f aca="false">SQRT(($B25-U$5)^2+($C25-U$6)^2+($D25-U$7)^2)</f>
        <v>1.47165460333204</v>
      </c>
      <c r="V25" s="74" t="n">
        <f aca="false">SQRT(($B25-V$5)^2+($C25-V$6)^2+($D25-V$7)^2)</f>
        <v>0.725293489308026</v>
      </c>
      <c r="W25" s="74" t="n">
        <f aca="false">SQRT(($B25-W$5)^2+($C25-W$6)^2+($D25-W$7)^2)</f>
        <v>0.529375535281759</v>
      </c>
      <c r="X25" s="74" t="n">
        <f aca="false">SQRT(($B25-X$5)^2+($C25-X$6)^2+($D25-X$7)^2)</f>
        <v>1.01503293289176</v>
      </c>
      <c r="Y25" s="74" t="n">
        <f aca="false">SQRT(($B25-Y$5)^2+($C25-Y$6)^2+($D25-Y$7)^2)</f>
        <v>1.02759383632793</v>
      </c>
      <c r="Z25" s="74" t="n">
        <f aca="false">SQRT(($B25-Z$5)^2+($C25-Z$6)^2+($D25-Z$7)^2)</f>
        <v>1.16164110833886</v>
      </c>
      <c r="AA25" s="74" t="n">
        <f aca="false">SQRT(($B25-AA$5)^2+($C25-AA$6)^2+($D25-AA$7)^2)</f>
        <v>1.65724181756431</v>
      </c>
      <c r="AB25" s="74" t="n">
        <f aca="false">SQRT(($B25-AB$5)^2+($C25-AB$6)^2+($D25-AB$7)^2)</f>
        <v>1.36289316044804</v>
      </c>
      <c r="AC25" s="74" t="n">
        <f aca="false">SQRT(($B25-AC$5)^2+($C25-AC$6)^2+($D25-AC$7)^2)</f>
        <v>0.690041416786346</v>
      </c>
      <c r="AD25" s="74" t="n">
        <f aca="false">SQRT(($B25-AD$5)^2+($C25-AD$6)^2+($D25-AD$7)^2)</f>
        <v>1.05820205596305</v>
      </c>
      <c r="AE25" s="74" t="n">
        <f aca="false">SQRT(($B25-AE$5)^2+($C25-AE$6)^2+($D25-AE$7)^2)</f>
        <v>3.04111641100597</v>
      </c>
      <c r="AF25" s="74" t="n">
        <f aca="false">SQRT(($B25-AF$5)^2+($C25-AF$6)^2+($D25-AF$7)^2)</f>
        <v>1.23805923572142</v>
      </c>
      <c r="AG25" s="74" t="n">
        <f aca="false">SQRT(($B25-AG$5)^2+($C25-AG$6)^2+($D25-AG$7)^2)</f>
        <v>2.95217887025559</v>
      </c>
      <c r="AH25" s="74" t="n">
        <f aca="false">SQRT(($B25-AH$5)^2+($C25-AH$6)^2+($D25-AH$7)^2)</f>
        <v>1.74231879321104</v>
      </c>
      <c r="AI25" s="74" t="n">
        <f aca="false">SQRT(($B25-AI$5)^2+($C25-AI$6)^2+($D25-AI$7)^2)</f>
        <v>2.95276913948494</v>
      </c>
      <c r="AJ25" s="74" t="n">
        <f aca="false">SQRT(($B25-AJ$5)^2+($C25-AJ$6)^2+($D25-AJ$7)^2)</f>
        <v>1.34345099260133</v>
      </c>
      <c r="AK25" s="74" t="n">
        <f aca="false">SQRT(($B25-AK$5)^2+($C25-AK$6)^2+($D25-AK$7)^2)</f>
        <v>1.74947783604472</v>
      </c>
      <c r="AL25" s="74" t="n">
        <f aca="false">SQRT(($B25-AL$5)^2+($C25-AL$6)^2+($D25-AL$7)^2)</f>
        <v>2.11175118346377</v>
      </c>
      <c r="AM25" s="74" t="n">
        <f aca="false">SQRT(($B25-AM$5)^2+($C25-AM$6)^2+($D25-AM$7)^2)</f>
        <v>1.14078518560791</v>
      </c>
      <c r="AN25" s="74" t="n">
        <f aca="false">SQRT(($B25-AN$5)^2+($C25-AN$6)^2+($D25-AN$7)^2)</f>
        <v>1.02029457554081</v>
      </c>
      <c r="AO25" s="74" t="n">
        <f aca="false">SQRT(($B25-AO$5)^2+($C25-AO$6)^2+($D25-AO$7)^2)</f>
        <v>1.67504507170662</v>
      </c>
      <c r="AP25" s="74" t="n">
        <f aca="false">SQRT(($B25-AP$5)^2+($C25-AP$6)^2+($D25-AP$7)^2)</f>
        <v>1.70815096139811</v>
      </c>
      <c r="AQ25" s="74" t="n">
        <f aca="false">SQRT(($B25-AQ$5)^2+($C25-AQ$6)^2+($D25-AQ$7)^2)</f>
        <v>1.02626282596104</v>
      </c>
      <c r="AR25" s="74" t="n">
        <f aca="false">SQRT(($B25-AR$5)^2+($C25-AR$6)^2+($D25-AR$7)^2)</f>
        <v>2.16338317989691</v>
      </c>
      <c r="AS25" s="74" t="n">
        <f aca="false">SQRT(($B25-AS$5)^2+($C25-AS$6)^2+($D25-AS$7)^2)</f>
        <v>2.57668133457804</v>
      </c>
      <c r="AT25" s="74" t="n">
        <f aca="false">SQRT(($B25-AT$5)^2+($C25-AT$6)^2+($D25-AT$7)^2)</f>
        <v>2.1333538446303</v>
      </c>
      <c r="AU25" s="74" t="n">
        <f aca="false">SQRT(($B25-AU$5)^2+($C25-AU$6)^2+($D25-AU$7)^2)</f>
        <v>2.76930811678728</v>
      </c>
      <c r="AV25" s="74" t="n">
        <f aca="false">SQRT(($B25-AV$5)^2+($C25-AV$6)^2+($D25-AV$7)^2)</f>
        <v>2.67244011293623</v>
      </c>
      <c r="AW25" s="74" t="n">
        <f aca="false">SQRT(($B25-AW$5)^2+($C25-AW$6)^2+($D25-AW$7)^2)</f>
        <v>3.27317173933466</v>
      </c>
      <c r="AX25" s="74" t="n">
        <f aca="false">SQRT(($B25-AX$5)^2+($C25-AX$6)^2+($D25-AX$7)^2)</f>
        <v>2.00055605094631</v>
      </c>
      <c r="AY25" s="74" t="n">
        <f aca="false">SQRT(($B25-AY$5)^2+($C25-AY$6)^2+($D25-AY$7)^2)</f>
        <v>3.48774058072978</v>
      </c>
      <c r="AZ25" s="74" t="n">
        <f aca="false">SQRT(($B25-AZ$5)^2+($C25-AZ$6)^2+($D25-AZ$7)^2)</f>
        <v>2.61431320750315</v>
      </c>
      <c r="BA25" s="74" t="n">
        <f aca="false">SQRT(($B25-BA$5)^2+($C25-BA$6)^2+($D25-BA$7)^2)</f>
        <v>2.16248269966106</v>
      </c>
      <c r="BB25" s="74" t="n">
        <f aca="false">SQRT(($B25-BB$5)^2+($C25-BB$6)^2+($D25-BB$7)^2)</f>
        <v>3.48948451402161</v>
      </c>
      <c r="BC25" s="74" t="n">
        <f aca="false">SQRT(($B25-BC$5)^2+($C25-BC$6)^2+($D25-BC$7)^2)</f>
        <v>3.49126228822433</v>
      </c>
      <c r="BD25" s="74" t="n">
        <f aca="false">SQRT(($B25-BD$5)^2+($C25-BD$6)^2+($D25-BD$7)^2)</f>
        <v>3.10953952833218</v>
      </c>
      <c r="BE25" s="74" t="n">
        <f aca="false">SQRT(($B25-BE$5)^2+($C25-BE$6)^2+($D25-BE$7)^2)</f>
        <v>2.98286496565549</v>
      </c>
      <c r="BF25" s="74" t="n">
        <f aca="false">SQRT(($B25-BF$5)^2+($C25-BF$6)^2+($D25-BF$7)^2)</f>
        <v>1.13810148373539</v>
      </c>
      <c r="BG25" s="74" t="n">
        <f aca="false">SQRT(($B25-BG$5)^2+($C25-BG$6)^2+($D25-BG$7)^2)</f>
        <v>2.24116702843797</v>
      </c>
      <c r="BH25" s="74" t="n">
        <f aca="false">SQRT(($B25-BH$5)^2+($C25-BH$6)^2+($D25-BH$7)^2)</f>
        <v>3.52035730068622</v>
      </c>
      <c r="BI25" s="74" t="n">
        <f aca="false">SQRT(($B25-BI$5)^2+($C25-BI$6)^2+($D25-BI$7)^2)</f>
        <v>3.5252843929753</v>
      </c>
      <c r="BJ25" s="74" t="n">
        <f aca="false">SQRT(($B25-BJ$5)^2+($C25-BJ$6)^2+($D25-BJ$7)^2)</f>
        <v>2.01324296453837</v>
      </c>
      <c r="BK25" s="74" t="n">
        <f aca="false">SQRT(($B25-BK$5)^2+($C25-BK$6)^2+($D25-BK$7)^2)</f>
        <v>3.10972755348079</v>
      </c>
      <c r="BL25" s="74" t="n">
        <f aca="false">SQRT(($B25-BL$5)^2+($C25-BL$6)^2+($D25-BL$7)^2)</f>
        <v>2.8074358142369</v>
      </c>
      <c r="BM25" s="74" t="n">
        <f aca="false">SQRT(($B25-BM$5)^2+($C25-BM$6)^2+($D25-BM$7)^2)</f>
        <v>1.81062431813634</v>
      </c>
      <c r="BN25" s="74" t="n">
        <f aca="false">SQRT(($B25-BN$5)^2+($C25-BN$6)^2+($D25-BN$7)^2)</f>
        <v>2.28455157433196</v>
      </c>
      <c r="BO25" s="74" t="n">
        <f aca="false">SQRT(($B25-BO$5)^2+($C25-BO$6)^2+($D25-BO$7)^2)</f>
        <v>3.36823840673118</v>
      </c>
      <c r="BP25" s="74" t="n">
        <f aca="false">SQRT(($B25-BP$5)^2+($C25-BP$6)^2+($D25-BP$7)^2)</f>
        <v>2.21368653351875</v>
      </c>
      <c r="BQ25" s="74" t="n">
        <f aca="false">SQRT(($B25-BQ$5)^2+($C25-BQ$6)^2+($D25-BQ$7)^2)</f>
        <v>2.41167739687427</v>
      </c>
      <c r="BR25" s="74" t="n">
        <f aca="false">SQRT(($B25-BR$5)^2+($C25-BR$6)^2+($D25-BR$7)^2)</f>
        <v>2.40881492304183</v>
      </c>
      <c r="BS25" s="74" t="n">
        <f aca="false">SQRT(($B25-BS$5)^2+($C25-BS$6)^2+($D25-BS$7)^2)</f>
        <v>2.82372383975942</v>
      </c>
      <c r="BT25" s="74" t="n">
        <f aca="false">SQRT(($B25-BT$5)^2+($C25-BT$6)^2+($D25-BT$7)^2)</f>
        <v>2.95059671343651</v>
      </c>
      <c r="BU25" s="74" t="n">
        <f aca="false">SQRT(($B25-BU$5)^2+($C25-BU$6)^2+($D25-BU$7)^2)</f>
        <v>2.97952917728556</v>
      </c>
      <c r="BV25" s="74" t="n">
        <f aca="false">SQRT(($B25-BV$5)^2+($C25-BV$6)^2+($D25-BV$7)^2)</f>
        <v>3.63735080720256</v>
      </c>
      <c r="BW25" s="74" t="n">
        <f aca="false">SQRT(($B25-BW$5)^2+($C25-BW$6)^2+($D25-BW$7)^2)</f>
        <v>2.94990335108343</v>
      </c>
      <c r="BX25" s="74" t="n">
        <f aca="false">SQRT(($B25-BX$5)^2+($C25-BX$6)^2+($D25-BX$7)^2)</f>
        <v>3.64348757382652</v>
      </c>
      <c r="BY25" s="74" t="n">
        <f aca="false">SQRT(($B25-BY$5)^2+($C25-BY$6)^2+($D25-BY$7)^2)</f>
        <v>3.13723259849966</v>
      </c>
      <c r="BZ25" s="74" t="n">
        <f aca="false">SQRT(($B25-BZ$5)^2+($C25-BZ$6)^2+($D25-BZ$7)^2)</f>
        <v>3.17238043847529</v>
      </c>
      <c r="CA25" s="74" t="n">
        <f aca="false">SQRT(($B25-CA$5)^2+($C25-CA$6)^2+($D25-CA$7)^2)</f>
        <v>3.66352063373942</v>
      </c>
      <c r="CB25" s="74" t="n">
        <f aca="false">SQRT(($B25-CB$5)^2+($C25-CB$6)^2+($D25-CB$7)^2)</f>
        <v>3.18079365069852</v>
      </c>
      <c r="CC25" s="74" t="n">
        <f aca="false">SQRT(($B25-CC$5)^2+($C25-CC$6)^2+($D25-CC$7)^2)</f>
        <v>3.67080836270947</v>
      </c>
      <c r="CD25" s="74" t="n">
        <f aca="false">SQRT(($B25-CD$5)^2+($C25-CD$6)^2+($D25-CD$7)^2)</f>
        <v>3.68644902723366</v>
      </c>
      <c r="CE25" s="74" t="n">
        <f aca="false">SQRT(($B25-CE$5)^2+($C25-CE$6)^2+($D25-CE$7)^2)</f>
        <v>3.09313981717922</v>
      </c>
      <c r="CF25" s="74" t="n">
        <f aca="false">SQRT(($B25-CF$5)^2+($C25-CF$6)^2+($D25-CF$7)^2)</f>
        <v>2.65901697960542</v>
      </c>
      <c r="CG25" s="74" t="n">
        <f aca="false">SQRT(($B25-CG$5)^2+($C25-CG$6)^2+($D25-CG$7)^2)</f>
        <v>2.94566939083318</v>
      </c>
      <c r="CH25" s="74" t="n">
        <f aca="false">SQRT(($B25-CH$5)^2+($C25-CH$6)^2+($D25-CH$7)^2)</f>
        <v>3.31165826381387</v>
      </c>
      <c r="CI25" s="74" t="n">
        <f aca="false">SQRT(($B25-CI$5)^2+($C25-CI$6)^2+($D25-CI$7)^2)</f>
        <v>3.38567185678724</v>
      </c>
      <c r="CJ25" s="74" t="n">
        <f aca="false">SQRT(($B25-CJ$5)^2+($C25-CJ$6)^2+($D25-CJ$7)^2)</f>
        <v>3.56756274773139</v>
      </c>
      <c r="CK25" s="74" t="n">
        <f aca="false">SQRT(($B25-CK$5)^2+($C25-CK$6)^2+($D25-CK$7)^2)</f>
        <v>3.22530474930239</v>
      </c>
      <c r="CL25" s="74" t="n">
        <f aca="false">SQRT(($B25-CL$5)^2+($C25-CL$6)^2+($D25-CL$7)^2)</f>
        <v>3.79702341149007</v>
      </c>
      <c r="CM25" s="74" t="n">
        <f aca="false">SQRT(($B25-CM$5)^2+($C25-CM$6)^2+($D25-CM$7)^2)</f>
        <v>3.35658408268146</v>
      </c>
      <c r="CN25" s="74" t="n">
        <f aca="false">SQRT(($B25-CN$5)^2+($C25-CN$6)^2+($D25-CN$7)^2)</f>
        <v>2.70542669640651</v>
      </c>
      <c r="CO25" s="74" t="n">
        <f aca="false">SQRT(($B25-CO$5)^2+($C25-CO$6)^2+($D25-CO$7)^2)</f>
        <v>2.99866706106021</v>
      </c>
      <c r="CP25" s="74" t="n">
        <f aca="false">SQRT(($B25-CP$5)^2+($C25-CP$6)^2+($D25-CP$7)^2)</f>
        <v>3.84841093598473</v>
      </c>
      <c r="CQ25" s="74" t="n">
        <f aca="false">SQRT(($B25-CQ$5)^2+($C25-CQ$6)^2+($D25-CQ$7)^2)</f>
        <v>3.47488417728595</v>
      </c>
      <c r="CR25" s="74" t="n">
        <f aca="false">SQRT(($B25-CR$5)^2+($C25-CR$6)^2+($D25-CR$7)^2)</f>
        <v>3.46303048751579</v>
      </c>
      <c r="CS25" s="74" t="n">
        <f aca="false">SQRT(($B25-CS$5)^2+($C25-CS$6)^2+($D25-CS$7)^2)</f>
        <v>3.89144063821574</v>
      </c>
      <c r="CT25" s="74" t="n">
        <f aca="false">SQRT(($B25-CT$5)^2+($C25-CT$6)^2+($D25-CT$7)^2)</f>
        <v>3.91664359133978</v>
      </c>
      <c r="CU25" s="74" t="n">
        <f aca="false">SQRT(($B25-CU$5)^2+($C25-CU$6)^2+($D25-CU$7)^2)</f>
        <v>3.41578661340262</v>
      </c>
      <c r="CV25" s="74" t="n">
        <f aca="false">SQRT(($B25-CV$5)^2+($C25-CV$6)^2+($D25-CV$7)^2)</f>
        <v>3.28716244548595</v>
      </c>
      <c r="CW25" s="74" t="n">
        <f aca="false">SQRT(($B25-CW$5)^2+($C25-CW$6)^2+($D25-CW$7)^2)</f>
        <v>3.91664359133978</v>
      </c>
      <c r="CX25" s="74" t="n">
        <f aca="false">SQRT(($B25-CX$5)^2+($C25-CX$6)^2+($D25-CX$7)^2)</f>
        <v>3.41450873097339</v>
      </c>
      <c r="CY25" s="74" t="n">
        <f aca="false">SQRT(($B25-CY$5)^2+($C25-CY$6)^2+($D25-CY$7)^2)</f>
        <v>3.94504271959091</v>
      </c>
      <c r="CZ25" s="74" t="n">
        <f aca="false">SQRT(($B25-CZ$5)^2+($C25-CZ$6)^2+($D25-CZ$7)^2)</f>
        <v>3.94504271959091</v>
      </c>
      <c r="DA25" s="74" t="n">
        <f aca="false">SQRT(($B25-DA$5)^2+($C25-DA$6)^2+($D25-DA$7)^2)</f>
        <v>3.60623424428705</v>
      </c>
      <c r="DB25" s="74" t="n">
        <f aca="false">SQRT(($B25-DB$5)^2+($C25-DB$6)^2+($D25-DB$7)^2)</f>
        <v>3.97744525855744</v>
      </c>
      <c r="DC25" s="74" t="n">
        <f aca="false">SQRT(($B25-DC$5)^2+($C25-DC$6)^2+($D25-DC$7)^2)</f>
        <v>3.97744525855744</v>
      </c>
      <c r="DD25" s="74" t="n">
        <f aca="false">SQRT(($B25-DD$5)^2+($C25-DD$6)^2+($D25-DD$7)^2)</f>
        <v>3.70468510396784</v>
      </c>
      <c r="DE25" s="74" t="n">
        <f aca="false">SQRT(($B25-DE$5)^2+($C25-DE$6)^2+($D25-DE$7)^2)</f>
        <v>3.88539401498984</v>
      </c>
      <c r="DF25" s="74" t="n">
        <f aca="false">SQRT(($B25-DF$5)^2+($C25-DF$6)^2+($D25-DF$7)^2)</f>
        <v>4.18127417097712</v>
      </c>
      <c r="DG25" s="74" t="n">
        <f aca="false">SQRT(($B25-DG$5)^2+($C25-DG$6)^2+($D25-DG$7)^2)</f>
        <v>4.27196557872407</v>
      </c>
      <c r="DH25" s="74" t="n">
        <f aca="false">SQRT(($B25-DH$5)^2+($C25-DH$6)^2+($D25-DH$7)^2)</f>
        <v>4.27196557872407</v>
      </c>
      <c r="DI25" s="74" t="n">
        <f aca="false">SQRT(($B25-DI$5)^2+($C25-DI$6)^2+($D25-DI$7)^2)</f>
        <v>4.27196557872407</v>
      </c>
      <c r="DJ25" s="74" t="n">
        <f aca="false">SQRT(($B25-DJ$5)^2+($C25-DJ$6)^2+($D25-DJ$7)^2)</f>
        <v>4.27196557872407</v>
      </c>
      <c r="DK25" s="74" t="n">
        <f aca="false">SQRT(($B25-DK$5)^2+($C25-DK$6)^2+($D25-DK$7)^2)</f>
        <v>4.40526225230481</v>
      </c>
      <c r="DL25" s="74" t="n">
        <f aca="false">SQRT(($B25-DL$5)^2+($C25-DL$6)^2+($D25-DL$7)^2)</f>
        <v>4.40526225230481</v>
      </c>
      <c r="DM25" s="74" t="n">
        <f aca="false">SQRT(($B25-DM$5)^2+($C25-DM$6)^2+($D25-DM$7)^2)</f>
        <v>4.40526225230481</v>
      </c>
      <c r="DN25" s="74" t="n">
        <f aca="false">SQRT(($B25-DN$5)^2+($C25-DN$6)^2+($D25-DN$7)^2)</f>
        <v>4.40526225230481</v>
      </c>
      <c r="DO25" s="74" t="n">
        <f aca="false">SQRT(($B25-DO$5)^2+($C25-DO$6)^2+($D25-DO$7)^2)</f>
        <v>4.40526225230481</v>
      </c>
      <c r="DP25" s="74" t="n">
        <f aca="false">SQRT(($B25-DP$5)^2+($C25-DP$6)^2+($D25-DP$7)^2)</f>
        <v>4.64649504905847</v>
      </c>
      <c r="DQ25" s="74" t="n">
        <f aca="false">SQRT(($B25-DQ$5)^2+($C25-DQ$6)^2+($D25-DQ$7)^2)</f>
        <v>4.64649504905847</v>
      </c>
    </row>
    <row r="26" customFormat="false" ht="15" hidden="false" customHeight="false" outlineLevel="0" collapsed="false">
      <c r="A26" s="48" t="str">
        <f aca="false">KMeans_Data!A17</f>
        <v>Gilgit</v>
      </c>
      <c r="B26" s="72" t="n">
        <f aca="false">KMeans_Data!H17</f>
        <v>1.04252863605511</v>
      </c>
      <c r="C26" s="72" t="n">
        <f aca="false">KMeans_Data!I17</f>
        <v>0.993675724638266</v>
      </c>
      <c r="D26" s="72" t="n">
        <f aca="false">KMeans_Data!J17</f>
        <v>1.0804955511041</v>
      </c>
      <c r="E26" s="74" t="n">
        <f aca="false">SQRT(($B26-E$5)^2+($C26-E$6)^2+($D26-E$7)^2)</f>
        <v>4.35573965586675</v>
      </c>
      <c r="F26" s="74" t="n">
        <f aca="false">SQRT(($B26-F$5)^2+($C26-F$6)^2+($D26-F$7)^2)</f>
        <v>4.17603502833719</v>
      </c>
      <c r="G26" s="74" t="n">
        <f aca="false">SQRT(($B26-G$5)^2+($C26-G$6)^2+($D26-G$7)^2)</f>
        <v>2.26004517408375</v>
      </c>
      <c r="H26" s="74" t="n">
        <f aca="false">SQRT(($B26-H$5)^2+($C26-H$6)^2+($D26-H$7)^2)</f>
        <v>2.93342788878614</v>
      </c>
      <c r="I26" s="74" t="n">
        <f aca="false">SQRT(($B26-I$5)^2+($C26-I$6)^2+($D26-I$7)^2)</f>
        <v>1.67410777865868</v>
      </c>
      <c r="J26" s="74" t="n">
        <f aca="false">SQRT(($B26-J$5)^2+($C26-J$6)^2+($D26-J$7)^2)</f>
        <v>1.36604080146892</v>
      </c>
      <c r="K26" s="74" t="n">
        <f aca="false">SQRT(($B26-K$5)^2+($C26-K$6)^2+($D26-K$7)^2)</f>
        <v>2.10027221382098</v>
      </c>
      <c r="L26" s="74" t="n">
        <f aca="false">SQRT(($B26-L$5)^2+($C26-L$6)^2+($D26-L$7)^2)</f>
        <v>0.763820123401333</v>
      </c>
      <c r="M26" s="74" t="n">
        <f aca="false">SQRT(($B26-M$5)^2+($C26-M$6)^2+($D26-M$7)^2)</f>
        <v>0.687573549285559</v>
      </c>
      <c r="N26" s="74" t="n">
        <f aca="false">SQRT(($B26-N$5)^2+($C26-N$6)^2+($D26-N$7)^2)</f>
        <v>2.22602542058175</v>
      </c>
      <c r="O26" s="74" t="n">
        <f aca="false">SQRT(($B26-O$5)^2+($C26-O$6)^2+($D26-O$7)^2)</f>
        <v>0.500832463418794</v>
      </c>
      <c r="P26" s="74" t="n">
        <f aca="false">SQRT(($B26-P$5)^2+($C26-P$6)^2+($D26-P$7)^2)</f>
        <v>0.784159456808474</v>
      </c>
      <c r="Q26" s="74" t="n">
        <f aca="false">SQRT(($B26-Q$5)^2+($C26-Q$6)^2+($D26-Q$7)^2)</f>
        <v>0</v>
      </c>
      <c r="R26" s="74" t="n">
        <f aca="false">SQRT(($B26-R$5)^2+($C26-R$6)^2+($D26-R$7)^2)</f>
        <v>0.72819676736314</v>
      </c>
      <c r="S26" s="74" t="n">
        <f aca="false">SQRT(($B26-S$5)^2+($C26-S$6)^2+($D26-S$7)^2)</f>
        <v>1.14445149485895</v>
      </c>
      <c r="T26" s="74" t="n">
        <f aca="false">SQRT(($B26-T$5)^2+($C26-T$6)^2+($D26-T$7)^2)</f>
        <v>0.109790553060951</v>
      </c>
      <c r="U26" s="74" t="n">
        <f aca="false">SQRT(($B26-U$5)^2+($C26-U$6)^2+($D26-U$7)^2)</f>
        <v>0.810738881307452</v>
      </c>
      <c r="V26" s="74" t="n">
        <f aca="false">SQRT(($B26-V$5)^2+($C26-V$6)^2+($D26-V$7)^2)</f>
        <v>0.632136661055624</v>
      </c>
      <c r="W26" s="74" t="n">
        <f aca="false">SQRT(($B26-W$5)^2+($C26-W$6)^2+($D26-W$7)^2)</f>
        <v>0.456143202020811</v>
      </c>
      <c r="X26" s="74" t="n">
        <f aca="false">SQRT(($B26-X$5)^2+($C26-X$6)^2+($D26-X$7)^2)</f>
        <v>0.280291993252324</v>
      </c>
      <c r="Y26" s="74" t="n">
        <f aca="false">SQRT(($B26-Y$5)^2+($C26-Y$6)^2+($D26-Y$7)^2)</f>
        <v>0.368076936041225</v>
      </c>
      <c r="Z26" s="74" t="n">
        <f aca="false">SQRT(($B26-Z$5)^2+($C26-Z$6)^2+($D26-Z$7)^2)</f>
        <v>0.56207141307782</v>
      </c>
      <c r="AA26" s="74" t="n">
        <f aca="false">SQRT(($B26-AA$5)^2+($C26-AA$6)^2+($D26-AA$7)^2)</f>
        <v>0.8808249841516</v>
      </c>
      <c r="AB26" s="74" t="n">
        <f aca="false">SQRT(($B26-AB$5)^2+($C26-AB$6)^2+($D26-AB$7)^2)</f>
        <v>0.66079780347768</v>
      </c>
      <c r="AC26" s="74" t="n">
        <f aca="false">SQRT(($B26-AC$5)^2+($C26-AC$6)^2+($D26-AC$7)^2)</f>
        <v>0.594327147642454</v>
      </c>
      <c r="AD26" s="74" t="n">
        <f aca="false">SQRT(($B26-AD$5)^2+($C26-AD$6)^2+($D26-AD$7)^2)</f>
        <v>0.432741710583415</v>
      </c>
      <c r="AE26" s="74" t="n">
        <f aca="false">SQRT(($B26-AE$5)^2+($C26-AE$6)^2+($D26-AE$7)^2)</f>
        <v>2.53264581019291</v>
      </c>
      <c r="AF26" s="74" t="n">
        <f aca="false">SQRT(($B26-AF$5)^2+($C26-AF$6)^2+($D26-AF$7)^2)</f>
        <v>0.575530813023589</v>
      </c>
      <c r="AG26" s="74" t="n">
        <f aca="false">SQRT(($B26-AG$5)^2+($C26-AG$6)^2+($D26-AG$7)^2)</f>
        <v>2.27685483225377</v>
      </c>
      <c r="AH26" s="74" t="n">
        <f aca="false">SQRT(($B26-AH$5)^2+($C26-AH$6)^2+($D26-AH$7)^2)</f>
        <v>0.999774189743298</v>
      </c>
      <c r="AI26" s="74" t="n">
        <f aca="false">SQRT(($B26-AI$5)^2+($C26-AI$6)^2+($D26-AI$7)^2)</f>
        <v>2.27750279879317</v>
      </c>
      <c r="AJ26" s="74" t="n">
        <f aca="false">SQRT(($B26-AJ$5)^2+($C26-AJ$6)^2+($D26-AJ$7)^2)</f>
        <v>0.651750061756719</v>
      </c>
      <c r="AK26" s="74" t="n">
        <f aca="false">SQRT(($B26-AK$5)^2+($C26-AK$6)^2+($D26-AK$7)^2)</f>
        <v>1.12665048313926</v>
      </c>
      <c r="AL26" s="74" t="n">
        <f aca="false">SQRT(($B26-AL$5)^2+($C26-AL$6)^2+($D26-AL$7)^2)</f>
        <v>1.37532155085565</v>
      </c>
      <c r="AM26" s="74" t="n">
        <f aca="false">SQRT(($B26-AM$5)^2+($C26-AM$6)^2+($D26-AM$7)^2)</f>
        <v>1.02907851166521</v>
      </c>
      <c r="AN26" s="74" t="n">
        <f aca="false">SQRT(($B26-AN$5)^2+($C26-AN$6)^2+($D26-AN$7)^2)</f>
        <v>0.707187543581851</v>
      </c>
      <c r="AO26" s="74" t="n">
        <f aca="false">SQRT(($B26-AO$5)^2+($C26-AO$6)^2+($D26-AO$7)^2)</f>
        <v>1.02058130353687</v>
      </c>
      <c r="AP26" s="74" t="n">
        <f aca="false">SQRT(($B26-AP$5)^2+($C26-AP$6)^2+($D26-AP$7)^2)</f>
        <v>1.06729845736661</v>
      </c>
      <c r="AQ26" s="74" t="n">
        <f aca="false">SQRT(($B26-AQ$5)^2+($C26-AQ$6)^2+($D26-AQ$7)^2)</f>
        <v>0.82772359867022</v>
      </c>
      <c r="AR26" s="74" t="n">
        <f aca="false">SQRT(($B26-AR$5)^2+($C26-AR$6)^2+($D26-AR$7)^2)</f>
        <v>1.56963464148808</v>
      </c>
      <c r="AS26" s="74" t="n">
        <f aca="false">SQRT(($B26-AS$5)^2+($C26-AS$6)^2+($D26-AS$7)^2)</f>
        <v>1.81870929651065</v>
      </c>
      <c r="AT26" s="74" t="n">
        <f aca="false">SQRT(($B26-AT$5)^2+($C26-AT$6)^2+($D26-AT$7)^2)</f>
        <v>1.40924150638532</v>
      </c>
      <c r="AU26" s="74" t="n">
        <f aca="false">SQRT(($B26-AU$5)^2+($C26-AU$6)^2+($D26-AU$7)^2)</f>
        <v>2.20412424405571</v>
      </c>
      <c r="AV26" s="74" t="n">
        <f aca="false">SQRT(($B26-AV$5)^2+($C26-AV$6)^2+($D26-AV$7)^2)</f>
        <v>1.92728095789829</v>
      </c>
      <c r="AW26" s="74" t="n">
        <f aca="false">SQRT(($B26-AW$5)^2+($C26-AW$6)^2+($D26-AW$7)^2)</f>
        <v>2.65550762800608</v>
      </c>
      <c r="AX26" s="74" t="n">
        <f aca="false">SQRT(($B26-AX$5)^2+($C26-AX$6)^2+($D26-AX$7)^2)</f>
        <v>1.35598384038139</v>
      </c>
      <c r="AY26" s="74" t="n">
        <f aca="false">SQRT(($B26-AY$5)^2+($C26-AY$6)^2+($D26-AY$7)^2)</f>
        <v>2.90526293847173</v>
      </c>
      <c r="AZ26" s="74" t="n">
        <f aca="false">SQRT(($B26-AZ$5)^2+($C26-AZ$6)^2+($D26-AZ$7)^2)</f>
        <v>1.86739309862656</v>
      </c>
      <c r="BA26" s="74" t="n">
        <f aca="false">SQRT(($B26-BA$5)^2+($C26-BA$6)^2+($D26-BA$7)^2)</f>
        <v>1.44962949335563</v>
      </c>
      <c r="BB26" s="74" t="n">
        <f aca="false">SQRT(($B26-BB$5)^2+($C26-BB$6)^2+($D26-BB$7)^2)</f>
        <v>2.90716609370922</v>
      </c>
      <c r="BC26" s="74" t="n">
        <f aca="false">SQRT(($B26-BC$5)^2+($C26-BC$6)^2+($D26-BC$7)^2)</f>
        <v>2.90910724103618</v>
      </c>
      <c r="BD26" s="74" t="n">
        <f aca="false">SQRT(($B26-BD$5)^2+($C26-BD$6)^2+($D26-BD$7)^2)</f>
        <v>2.45982982293558</v>
      </c>
      <c r="BE26" s="74" t="n">
        <f aca="false">SQRT(($B26-BE$5)^2+($C26-BE$6)^2+($D26-BE$7)^2)</f>
        <v>2.30682354554733</v>
      </c>
      <c r="BF26" s="74" t="n">
        <f aca="false">SQRT(($B26-BF$5)^2+($C26-BF$6)^2+($D26-BF$7)^2)</f>
        <v>1.03628290330231</v>
      </c>
      <c r="BG26" s="74" t="n">
        <f aca="false">SQRT(($B26-BG$5)^2+($C26-BG$6)^2+($D26-BG$7)^2)</f>
        <v>1.54966329302371</v>
      </c>
      <c r="BH26" s="74" t="n">
        <f aca="false">SQRT(($B26-BH$5)^2+($C26-BH$6)^2+($D26-BH$7)^2)</f>
        <v>2.94100600140459</v>
      </c>
      <c r="BI26" s="74" t="n">
        <f aca="false">SQRT(($B26-BI$5)^2+($C26-BI$6)^2+($D26-BI$7)^2)</f>
        <v>2.94642828668678</v>
      </c>
      <c r="BJ26" s="74" t="n">
        <f aca="false">SQRT(($B26-BJ$5)^2+($C26-BJ$6)^2+($D26-BJ$7)^2)</f>
        <v>1.54592207466617</v>
      </c>
      <c r="BK26" s="74" t="n">
        <f aca="false">SQRT(($B26-BK$5)^2+($C26-BK$6)^2+($D26-BK$7)^2)</f>
        <v>2.45815562727347</v>
      </c>
      <c r="BL26" s="74" t="n">
        <f aca="false">SQRT(($B26-BL$5)^2+($C26-BL$6)^2+($D26-BL$7)^2)</f>
        <v>2.09384634805233</v>
      </c>
      <c r="BM26" s="74" t="n">
        <f aca="false">SQRT(($B26-BM$5)^2+($C26-BM$6)^2+($D26-BM$7)^2)</f>
        <v>1.30038682970432</v>
      </c>
      <c r="BN26" s="74" t="n">
        <f aca="false">SQRT(($B26-BN$5)^2+($C26-BN$6)^2+($D26-BN$7)^2)</f>
        <v>1.71769643837723</v>
      </c>
      <c r="BO26" s="74" t="n">
        <f aca="false">SQRT(($B26-BO$5)^2+($C26-BO$6)^2+($D26-BO$7)^2)</f>
        <v>2.76257675685378</v>
      </c>
      <c r="BP26" s="74" t="n">
        <f aca="false">SQRT(($B26-BP$5)^2+($C26-BP$6)^2+($D26-BP$7)^2)</f>
        <v>1.63120922452748</v>
      </c>
      <c r="BQ26" s="74" t="n">
        <f aca="false">SQRT(($B26-BQ$5)^2+($C26-BQ$6)^2+($D26-BQ$7)^2)</f>
        <v>1.76586328853379</v>
      </c>
      <c r="BR26" s="74" t="n">
        <f aca="false">SQRT(($B26-BR$5)^2+($C26-BR$6)^2+($D26-BR$7)^2)</f>
        <v>1.76318451762348</v>
      </c>
      <c r="BS26" s="74" t="n">
        <f aca="false">SQRT(($B26-BS$5)^2+($C26-BS$6)^2+($D26-BS$7)^2)</f>
        <v>2.11839099302514</v>
      </c>
      <c r="BT26" s="74" t="n">
        <f aca="false">SQRT(($B26-BT$5)^2+($C26-BT$6)^2+($D26-BT$7)^2)</f>
        <v>2.26791367625546</v>
      </c>
      <c r="BU26" s="74" t="n">
        <f aca="false">SQRT(($B26-BU$5)^2+($C26-BU$6)^2+($D26-BU$7)^2)</f>
        <v>2.30226182905597</v>
      </c>
      <c r="BV26" s="74" t="n">
        <f aca="false">SQRT(($B26-BV$5)^2+($C26-BV$6)^2+($D26-BV$7)^2)</f>
        <v>3.07061705499198</v>
      </c>
      <c r="BW26" s="74" t="n">
        <f aca="false">SQRT(($B26-BW$5)^2+($C26-BW$6)^2+($D26-BW$7)^2)</f>
        <v>2.26827058165875</v>
      </c>
      <c r="BX26" s="74" t="n">
        <f aca="false">SQRT(($B26-BX$5)^2+($C26-BX$6)^2+($D26-BX$7)^2)</f>
        <v>3.07744449535576</v>
      </c>
      <c r="BY26" s="74" t="n">
        <f aca="false">SQRT(($B26-BY$5)^2+($C26-BY$6)^2+($D26-BY$7)^2)</f>
        <v>2.4897169892689</v>
      </c>
      <c r="BZ26" s="74" t="n">
        <f aca="false">SQRT(($B26-BZ$5)^2+($C26-BZ$6)^2+($D26-BZ$7)^2)</f>
        <v>2.53116365021271</v>
      </c>
      <c r="CA26" s="74" t="n">
        <f aca="false">SQRT(($B26-CA$5)^2+($C26-CA$6)^2+($D26-CA$7)^2)</f>
        <v>3.09974063782047</v>
      </c>
      <c r="CB26" s="74" t="n">
        <f aca="false">SQRT(($B26-CB$5)^2+($C26-CB$6)^2+($D26-CB$7)^2)</f>
        <v>2.54109326507116</v>
      </c>
      <c r="CC26" s="74" t="n">
        <f aca="false">SQRT(($B26-CC$5)^2+($C26-CC$6)^2+($D26-CC$7)^2)</f>
        <v>3.1078541760172</v>
      </c>
      <c r="CD26" s="74" t="n">
        <f aca="false">SQRT(($B26-CD$5)^2+($C26-CD$6)^2+($D26-CD$7)^2)</f>
        <v>3.12527035485069</v>
      </c>
      <c r="CE26" s="74" t="n">
        <f aca="false">SQRT(($B26-CE$5)^2+($C26-CE$6)^2+($D26-CE$7)^2)</f>
        <v>2.43860936818106</v>
      </c>
      <c r="CF26" s="74" t="n">
        <f aca="false">SQRT(($B26-CF$5)^2+($C26-CF$6)^2+($D26-CF$7)^2)</f>
        <v>2.06902576990907</v>
      </c>
      <c r="CG26" s="74" t="n">
        <f aca="false">SQRT(($B26-CG$5)^2+($C26-CG$6)^2+($D26-CG$7)^2)</f>
        <v>2.40480935188905</v>
      </c>
      <c r="CH26" s="74" t="n">
        <f aca="false">SQRT(($B26-CH$5)^2+($C26-CH$6)^2+($D26-CH$7)^2)</f>
        <v>2.69418793432909</v>
      </c>
      <c r="CI26" s="74" t="n">
        <f aca="false">SQRT(($B26-CI$5)^2+($C26-CI$6)^2+($D26-CI$7)^2)</f>
        <v>2.77994582318503</v>
      </c>
      <c r="CJ26" s="74" t="n">
        <f aca="false">SQRT(($B26-CJ$5)^2+($C26-CJ$6)^2+($D26-CJ$7)^2)</f>
        <v>2.98878374736282</v>
      </c>
      <c r="CK26" s="74" t="n">
        <f aca="false">SQRT(($B26-CK$5)^2+($C26-CK$6)^2+($D26-CK$7)^2)</f>
        <v>2.59511333632417</v>
      </c>
      <c r="CL26" s="74" t="n">
        <f aca="false">SQRT(($B26-CL$5)^2+($C26-CL$6)^2+($D26-CL$7)^2)</f>
        <v>3.24840143060169</v>
      </c>
      <c r="CM26" s="74" t="n">
        <f aca="false">SQRT(($B26-CM$5)^2+($C26-CM$6)^2+($D26-CM$7)^2)</f>
        <v>2.74678433128278</v>
      </c>
      <c r="CN26" s="74" t="n">
        <f aca="false">SQRT(($B26-CN$5)^2+($C26-CN$6)^2+($D26-CN$7)^2)</f>
        <v>2.13621147649097</v>
      </c>
      <c r="CO26" s="74" t="n">
        <f aca="false">SQRT(($B26-CO$5)^2+($C26-CO$6)^2+($D26-CO$7)^2)</f>
        <v>2.46769520288497</v>
      </c>
      <c r="CP26" s="74" t="n">
        <f aca="false">SQRT(($B26-CP$5)^2+($C26-CP$6)^2+($D26-CP$7)^2)</f>
        <v>3.30556156171499</v>
      </c>
      <c r="CQ26" s="74" t="n">
        <f aca="false">SQRT(($B26-CQ$5)^2+($C26-CQ$6)^2+($D26-CQ$7)^2)</f>
        <v>2.88324469009028</v>
      </c>
      <c r="CR26" s="74" t="n">
        <f aca="false">SQRT(($B26-CR$5)^2+($C26-CR$6)^2+($D26-CR$7)^2)</f>
        <v>2.87015792920839</v>
      </c>
      <c r="CS26" s="74" t="n">
        <f aca="false">SQRT(($B26-CS$5)^2+($C26-CS$6)^2+($D26-CS$7)^2)</f>
        <v>3.35337057754617</v>
      </c>
      <c r="CT26" s="74" t="n">
        <f aca="false">SQRT(($B26-CT$5)^2+($C26-CT$6)^2+($D26-CT$7)^2)</f>
        <v>3.38134615818369</v>
      </c>
      <c r="CU26" s="74" t="n">
        <f aca="false">SQRT(($B26-CU$5)^2+($C26-CU$6)^2+($D26-CU$7)^2)</f>
        <v>2.93786755822453</v>
      </c>
      <c r="CV26" s="74" t="n">
        <f aca="false">SQRT(($B26-CV$5)^2+($C26-CV$6)^2+($D26-CV$7)^2)</f>
        <v>2.67255986881595</v>
      </c>
      <c r="CW26" s="74" t="n">
        <f aca="false">SQRT(($B26-CW$5)^2+($C26-CW$6)^2+($D26-CW$7)^2)</f>
        <v>3.38134615818369</v>
      </c>
      <c r="CX26" s="74" t="n">
        <f aca="false">SQRT(($B26-CX$5)^2+($C26-CX$6)^2+($D26-CX$7)^2)</f>
        <v>2.81690958127287</v>
      </c>
      <c r="CY26" s="74" t="n">
        <f aca="false">SQRT(($B26-CY$5)^2+($C26-CY$6)^2+($D26-CY$7)^2)</f>
        <v>3.41284399539383</v>
      </c>
      <c r="CZ26" s="74" t="n">
        <f aca="false">SQRT(($B26-CZ$5)^2+($C26-CZ$6)^2+($D26-CZ$7)^2)</f>
        <v>3.41284399539383</v>
      </c>
      <c r="DA26" s="74" t="n">
        <f aca="false">SQRT(($B26-DA$5)^2+($C26-DA$6)^2+($D26-DA$7)^2)</f>
        <v>3.03315836807994</v>
      </c>
      <c r="DB26" s="74" t="n">
        <f aca="false">SQRT(($B26-DB$5)^2+($C26-DB$6)^2+($D26-DB$7)^2)</f>
        <v>3.44874730841746</v>
      </c>
      <c r="DC26" s="74" t="n">
        <f aca="false">SQRT(($B26-DC$5)^2+($C26-DC$6)^2+($D26-DC$7)^2)</f>
        <v>3.44874730841746</v>
      </c>
      <c r="DD26" s="74" t="n">
        <f aca="false">SQRT(($B26-DD$5)^2+($C26-DD$6)^2+($D26-DD$7)^2)</f>
        <v>3.14426942734752</v>
      </c>
      <c r="DE26" s="74" t="n">
        <f aca="false">SQRT(($B26-DE$5)^2+($C26-DE$6)^2+($D26-DE$7)^2)</f>
        <v>3.34668096198924</v>
      </c>
      <c r="DF26" s="74" t="n">
        <f aca="false">SQRT(($B26-DF$5)^2+($C26-DF$6)^2+($D26-DF$7)^2)</f>
        <v>3.67367704771939</v>
      </c>
      <c r="DG26" s="74" t="n">
        <f aca="false">SQRT(($B26-DG$5)^2+($C26-DG$6)^2+($D26-DG$7)^2)</f>
        <v>3.77322776534185</v>
      </c>
      <c r="DH26" s="74" t="n">
        <f aca="false">SQRT(($B26-DH$5)^2+($C26-DH$6)^2+($D26-DH$7)^2)</f>
        <v>3.77322776534185</v>
      </c>
      <c r="DI26" s="74" t="n">
        <f aca="false">SQRT(($B26-DI$5)^2+($C26-DI$6)^2+($D26-DI$7)^2)</f>
        <v>3.77322776534185</v>
      </c>
      <c r="DJ26" s="74" t="n">
        <f aca="false">SQRT(($B26-DJ$5)^2+($C26-DJ$6)^2+($D26-DJ$7)^2)</f>
        <v>3.77322776534185</v>
      </c>
      <c r="DK26" s="74" t="n">
        <f aca="false">SQRT(($B26-DK$5)^2+($C26-DK$6)^2+($D26-DK$7)^2)</f>
        <v>3.91895994049514</v>
      </c>
      <c r="DL26" s="74" t="n">
        <f aca="false">SQRT(($B26-DL$5)^2+($C26-DL$6)^2+($D26-DL$7)^2)</f>
        <v>3.91895994049514</v>
      </c>
      <c r="DM26" s="74" t="n">
        <f aca="false">SQRT(($B26-DM$5)^2+($C26-DM$6)^2+($D26-DM$7)^2)</f>
        <v>3.91895994049514</v>
      </c>
      <c r="DN26" s="74" t="n">
        <f aca="false">SQRT(($B26-DN$5)^2+($C26-DN$6)^2+($D26-DN$7)^2)</f>
        <v>3.91895994049514</v>
      </c>
      <c r="DO26" s="74" t="n">
        <f aca="false">SQRT(($B26-DO$5)^2+($C26-DO$6)^2+($D26-DO$7)^2)</f>
        <v>3.91895994049514</v>
      </c>
      <c r="DP26" s="74" t="n">
        <f aca="false">SQRT(($B26-DP$5)^2+($C26-DP$6)^2+($D26-DP$7)^2)</f>
        <v>4.18101541376173</v>
      </c>
      <c r="DQ26" s="74" t="n">
        <f aca="false">SQRT(($B26-DQ$5)^2+($C26-DQ$6)^2+($D26-DQ$7)^2)</f>
        <v>4.18101541376173</v>
      </c>
    </row>
    <row r="27" customFormat="false" ht="15" hidden="false" customHeight="false" outlineLevel="0" collapsed="false">
      <c r="A27" s="48" t="str">
        <f aca="false">KMeans_Data!A18</f>
        <v>Larkana</v>
      </c>
      <c r="B27" s="72" t="n">
        <f aca="false">KMeans_Data!H18</f>
        <v>1.03733687213202</v>
      </c>
      <c r="C27" s="72" t="n">
        <f aca="false">KMeans_Data!I18</f>
        <v>0.378684277529216</v>
      </c>
      <c r="D27" s="72" t="n">
        <f aca="false">KMeans_Data!J18</f>
        <v>1.47040463995458</v>
      </c>
      <c r="E27" s="74" t="n">
        <f aca="false">SQRT(($B27-E$5)^2+($C27-E$6)^2+($D27-E$7)^2)</f>
        <v>4.64515792720078</v>
      </c>
      <c r="F27" s="74" t="n">
        <f aca="false">SQRT(($B27-F$5)^2+($C27-F$6)^2+($D27-F$7)^2)</f>
        <v>4.54261803543023</v>
      </c>
      <c r="G27" s="74" t="n">
        <f aca="false">SQRT(($B27-G$5)^2+($C27-G$6)^2+($D27-G$7)^2)</f>
        <v>2.49878681858911</v>
      </c>
      <c r="H27" s="74" t="n">
        <f aca="false">SQRT(($B27-H$5)^2+($C27-H$6)^2+($D27-H$7)^2)</f>
        <v>3.44546531545124</v>
      </c>
      <c r="I27" s="74" t="n">
        <f aca="false">SQRT(($B27-I$5)^2+($C27-I$6)^2+($D27-I$7)^2)</f>
        <v>2.04521955558325</v>
      </c>
      <c r="J27" s="74" t="n">
        <f aca="false">SQRT(($B27-J$5)^2+($C27-J$6)^2+($D27-J$7)^2)</f>
        <v>1.90781752145149</v>
      </c>
      <c r="K27" s="74" t="n">
        <f aca="false">SQRT(($B27-K$5)^2+($C27-K$6)^2+($D27-K$7)^2)</f>
        <v>2.32491482972725</v>
      </c>
      <c r="L27" s="74" t="n">
        <f aca="false">SQRT(($B27-L$5)^2+($C27-L$6)^2+($D27-L$7)^2)</f>
        <v>0.486444689008236</v>
      </c>
      <c r="M27" s="74" t="n">
        <f aca="false">SQRT(($B27-M$5)^2+($C27-M$6)^2+($D27-M$7)^2)</f>
        <v>0.891080579009539</v>
      </c>
      <c r="N27" s="74" t="n">
        <f aca="false">SQRT(($B27-N$5)^2+($C27-N$6)^2+($D27-N$7)^2)</f>
        <v>2.36000592513328</v>
      </c>
      <c r="O27" s="74" t="n">
        <f aca="false">SQRT(($B27-O$5)^2+($C27-O$6)^2+($D27-O$7)^2)</f>
        <v>1.2030082216667</v>
      </c>
      <c r="P27" s="74" t="n">
        <f aca="false">SQRT(($B27-P$5)^2+($C27-P$6)^2+($D27-P$7)^2)</f>
        <v>1.42536996486005</v>
      </c>
      <c r="Q27" s="74" t="n">
        <f aca="false">SQRT(($B27-Q$5)^2+($C27-Q$6)^2+($D27-Q$7)^2)</f>
        <v>0.72819676736314</v>
      </c>
      <c r="R27" s="74" t="n">
        <f aca="false">SQRT(($B27-R$5)^2+($C27-R$6)^2+($D27-R$7)^2)</f>
        <v>0</v>
      </c>
      <c r="S27" s="74" t="n">
        <f aca="false">SQRT(($B27-S$5)^2+($C27-S$6)^2+($D27-S$7)^2)</f>
        <v>0.607722514204808</v>
      </c>
      <c r="T27" s="74" t="n">
        <f aca="false">SQRT(($B27-T$5)^2+($C27-T$6)^2+($D27-T$7)^2)</f>
        <v>0.778639117517089</v>
      </c>
      <c r="U27" s="74" t="n">
        <f aca="false">SQRT(($B27-U$5)^2+($C27-U$6)^2+($D27-U$7)^2)</f>
        <v>0.193464640160583</v>
      </c>
      <c r="V27" s="74" t="n">
        <f aca="false">SQRT(($B27-V$5)^2+($C27-V$6)^2+($D27-V$7)^2)</f>
        <v>1.32845751007486</v>
      </c>
      <c r="W27" s="74" t="n">
        <f aca="false">SQRT(($B27-W$5)^2+($C27-W$6)^2+($D27-W$7)^2)</f>
        <v>1.15187297768961</v>
      </c>
      <c r="X27" s="74" t="n">
        <f aca="false">SQRT(($B27-X$5)^2+($C27-X$6)^2+($D27-X$7)^2)</f>
        <v>0.637550286444693</v>
      </c>
      <c r="Y27" s="74" t="n">
        <f aca="false">SQRT(($B27-Y$5)^2+($C27-Y$6)^2+($D27-Y$7)^2)</f>
        <v>0.53121011056296</v>
      </c>
      <c r="Z27" s="74" t="n">
        <f aca="false">SQRT(($B27-Z$5)^2+($C27-Z$6)^2+($D27-Z$7)^2)</f>
        <v>0.984636652935809</v>
      </c>
      <c r="AA27" s="74" t="n">
        <f aca="false">SQRT(($B27-AA$5)^2+($C27-AA$6)^2+($D27-AA$7)^2)</f>
        <v>0.61063359087127</v>
      </c>
      <c r="AB27" s="74" t="n">
        <f aca="false">SQRT(($B27-AB$5)^2+($C27-AB$6)^2+($D27-AB$7)^2)</f>
        <v>0.859235206666101</v>
      </c>
      <c r="AC27" s="74" t="n">
        <f aca="false">SQRT(($B27-AC$5)^2+($C27-AC$6)^2+($D27-AC$7)^2)</f>
        <v>1.27752060457733</v>
      </c>
      <c r="AD27" s="74" t="n">
        <f aca="false">SQRT(($B27-AD$5)^2+($C27-AD$6)^2+($D27-AD$7)^2)</f>
        <v>0.570357611491903</v>
      </c>
      <c r="AE27" s="74" t="n">
        <f aca="false">SQRT(($B27-AE$5)^2+($C27-AE$6)^2+($D27-AE$7)^2)</f>
        <v>2.6969311940684</v>
      </c>
      <c r="AF27" s="74" t="n">
        <f aca="false">SQRT(($B27-AF$5)^2+($C27-AF$6)^2+($D27-AF$7)^2)</f>
        <v>0.800226637856308</v>
      </c>
      <c r="AG27" s="74" t="n">
        <f aca="false">SQRT(($B27-AG$5)^2+($C27-AG$6)^2+($D27-AG$7)^2)</f>
        <v>2.19416414393801</v>
      </c>
      <c r="AH27" s="74" t="n">
        <f aca="false">SQRT(($B27-AH$5)^2+($C27-AH$6)^2+($D27-AH$7)^2)</f>
        <v>0.85635508280799</v>
      </c>
      <c r="AI27" s="74" t="n">
        <f aca="false">SQRT(($B27-AI$5)^2+($C27-AI$6)^2+($D27-AI$7)^2)</f>
        <v>2.19482903863084</v>
      </c>
      <c r="AJ27" s="74" t="n">
        <f aca="false">SQRT(($B27-AJ$5)^2+($C27-AJ$6)^2+($D27-AJ$7)^2)</f>
        <v>0.613286790517401</v>
      </c>
      <c r="AK27" s="74" t="n">
        <f aca="false">SQRT(($B27-AK$5)^2+($C27-AK$6)^2+($D27-AK$7)^2)</f>
        <v>1.2871988045077</v>
      </c>
      <c r="AL27" s="74" t="n">
        <f aca="false">SQRT(($B27-AL$5)^2+($C27-AL$6)^2+($D27-AL$7)^2)</f>
        <v>1.19378157826286</v>
      </c>
      <c r="AM27" s="74" t="n">
        <f aca="false">SQRT(($B27-AM$5)^2+($C27-AM$6)^2+($D27-AM$7)^2)</f>
        <v>1.63184412226407</v>
      </c>
      <c r="AN27" s="74" t="n">
        <f aca="false">SQRT(($B27-AN$5)^2+($C27-AN$6)^2+($D27-AN$7)^2)</f>
        <v>1.22181615707812</v>
      </c>
      <c r="AO27" s="74" t="n">
        <f aca="false">SQRT(($B27-AO$5)^2+($C27-AO$6)^2+($D27-AO$7)^2)</f>
        <v>1.10932638375685</v>
      </c>
      <c r="AP27" s="74" t="n">
        <f aca="false">SQRT(($B27-AP$5)^2+($C27-AP$6)^2+($D27-AP$7)^2)</f>
        <v>1.179067995595</v>
      </c>
      <c r="AQ27" s="74" t="n">
        <f aca="false">SQRT(($B27-AQ$5)^2+($C27-AQ$6)^2+($D27-AQ$7)^2)</f>
        <v>1.37995618620555</v>
      </c>
      <c r="AR27" s="74" t="n">
        <f aca="false">SQRT(($B27-AR$5)^2+($C27-AR$6)^2+($D27-AR$7)^2)</f>
        <v>1.69304179751501</v>
      </c>
      <c r="AS27" s="74" t="n">
        <f aca="false">SQRT(($B27-AS$5)^2+($C27-AS$6)^2+($D27-AS$7)^2)</f>
        <v>1.35466413068347</v>
      </c>
      <c r="AT27" s="74" t="n">
        <f aca="false">SQRT(($B27-AT$5)^2+($C27-AT$6)^2+($D27-AT$7)^2)</f>
        <v>1.15934318016295</v>
      </c>
      <c r="AU27" s="74" t="n">
        <f aca="false">SQRT(($B27-AU$5)^2+($C27-AU$6)^2+($D27-AU$7)^2)</f>
        <v>2.30571691728434</v>
      </c>
      <c r="AV27" s="74" t="n">
        <f aca="false">SQRT(($B27-AV$5)^2+($C27-AV$6)^2+($D27-AV$7)^2)</f>
        <v>1.62111347963302</v>
      </c>
      <c r="AW27" s="74" t="n">
        <f aca="false">SQRT(($B27-AW$5)^2+($C27-AW$6)^2+($D27-AW$7)^2)</f>
        <v>2.64756474909866</v>
      </c>
      <c r="AX27" s="74" t="n">
        <f aca="false">SQRT(($B27-AX$5)^2+($C27-AX$6)^2+($D27-AX$7)^2)</f>
        <v>1.37141316387543</v>
      </c>
      <c r="AY27" s="74" t="n">
        <f aca="false">SQRT(($B27-AY$5)^2+($C27-AY$6)^2+($D27-AY$7)^2)</f>
        <v>2.94083599570945</v>
      </c>
      <c r="AZ27" s="74" t="n">
        <f aca="false">SQRT(($B27-AZ$5)^2+($C27-AZ$6)^2+($D27-AZ$7)^2)</f>
        <v>1.41299396506918</v>
      </c>
      <c r="BA27" s="74" t="n">
        <f aca="false">SQRT(($B27-BA$5)^2+($C27-BA$6)^2+($D27-BA$7)^2)</f>
        <v>1.20079425949173</v>
      </c>
      <c r="BB27" s="74" t="n">
        <f aca="false">SQRT(($B27-BB$5)^2+($C27-BB$6)^2+($D27-BB$7)^2)</f>
        <v>2.94270459419819</v>
      </c>
      <c r="BC27" s="74" t="n">
        <f aca="false">SQRT(($B27-BC$5)^2+($C27-BC$6)^2+($D27-BC$7)^2)</f>
        <v>2.94461062391018</v>
      </c>
      <c r="BD27" s="74" t="n">
        <f aca="false">SQRT(($B27-BD$5)^2+($C27-BD$6)^2+($D27-BD$7)^2)</f>
        <v>2.39946355433655</v>
      </c>
      <c r="BE27" s="74" t="n">
        <f aca="false">SQRT(($B27-BE$5)^2+($C27-BE$6)^2+($D27-BE$7)^2)</f>
        <v>2.19675402888218</v>
      </c>
      <c r="BF27" s="74" t="n">
        <f aca="false">SQRT(($B27-BF$5)^2+($C27-BF$6)^2+($D27-BF$7)^2)</f>
        <v>1.51987007841697</v>
      </c>
      <c r="BG27" s="74" t="n">
        <f aca="false">SQRT(($B27-BG$5)^2+($C27-BG$6)^2+($D27-BG$7)^2)</f>
        <v>1.37089904037788</v>
      </c>
      <c r="BH27" s="74" t="n">
        <f aca="false">SQRT(($B27-BH$5)^2+($C27-BH$6)^2+($D27-BH$7)^2)</f>
        <v>2.97594925599832</v>
      </c>
      <c r="BI27" s="74" t="n">
        <f aca="false">SQRT(($B27-BI$5)^2+($C27-BI$6)^2+($D27-BI$7)^2)</f>
        <v>2.98127921245279</v>
      </c>
      <c r="BJ27" s="74" t="n">
        <f aca="false">SQRT(($B27-BJ$5)^2+($C27-BJ$6)^2+($D27-BJ$7)^2)</f>
        <v>1.78866697626789</v>
      </c>
      <c r="BK27" s="74" t="n">
        <f aca="false">SQRT(($B27-BK$5)^2+($C27-BK$6)^2+($D27-BK$7)^2)</f>
        <v>2.38052099434104</v>
      </c>
      <c r="BL27" s="74" t="n">
        <f aca="false">SQRT(($B27-BL$5)^2+($C27-BL$6)^2+($D27-BL$7)^2)</f>
        <v>1.84734515584859</v>
      </c>
      <c r="BM27" s="74" t="n">
        <f aca="false">SQRT(($B27-BM$5)^2+($C27-BM$6)^2+($D27-BM$7)^2)</f>
        <v>1.45363127810799</v>
      </c>
      <c r="BN27" s="74" t="n">
        <f aca="false">SQRT(($B27-BN$5)^2+($C27-BN$6)^2+($D27-BN$7)^2)</f>
        <v>1.80383182415036</v>
      </c>
      <c r="BO27" s="74" t="n">
        <f aca="false">SQRT(($B27-BO$5)^2+($C27-BO$6)^2+($D27-BO$7)^2)</f>
        <v>2.75437055778799</v>
      </c>
      <c r="BP27" s="74" t="n">
        <f aca="false">SQRT(($B27-BP$5)^2+($C27-BP$6)^2+($D27-BP$7)^2)</f>
        <v>1.67042015284584</v>
      </c>
      <c r="BQ27" s="74" t="n">
        <f aca="false">SQRT(($B27-BQ$5)^2+($C27-BQ$6)^2+($D27-BQ$7)^2)</f>
        <v>1.66690792501503</v>
      </c>
      <c r="BR27" s="74" t="n">
        <f aca="false">SQRT(($B27-BR$5)^2+($C27-BR$6)^2+($D27-BR$7)^2)</f>
        <v>1.65251443757261</v>
      </c>
      <c r="BS27" s="74" t="n">
        <f aca="false">SQRT(($B27-BS$5)^2+($C27-BS$6)^2+($D27-BS$7)^2)</f>
        <v>1.82551676868197</v>
      </c>
      <c r="BT27" s="74" t="n">
        <f aca="false">SQRT(($B27-BT$5)^2+($C27-BT$6)^2+($D27-BT$7)^2)</f>
        <v>2.07427434150847</v>
      </c>
      <c r="BU27" s="74" t="n">
        <f aca="false">SQRT(($B27-BU$5)^2+($C27-BU$6)^2+($D27-BU$7)^2)</f>
        <v>2.12731637682969</v>
      </c>
      <c r="BV27" s="74" t="n">
        <f aca="false">SQRT(($B27-BV$5)^2+($C27-BV$6)^2+($D27-BV$7)^2)</f>
        <v>3.10352494535984</v>
      </c>
      <c r="BW27" s="74" t="n">
        <f aca="false">SQRT(($B27-BW$5)^2+($C27-BW$6)^2+($D27-BW$7)^2)</f>
        <v>2.05695940710304</v>
      </c>
      <c r="BX27" s="74" t="n">
        <f aca="false">SQRT(($B27-BX$5)^2+($C27-BX$6)^2+($D27-BX$7)^2)</f>
        <v>3.11025341577251</v>
      </c>
      <c r="BY27" s="74" t="n">
        <f aca="false">SQRT(($B27-BY$5)^2+($C27-BY$6)^2+($D27-BY$7)^2)</f>
        <v>2.37695713810837</v>
      </c>
      <c r="BZ27" s="74" t="n">
        <f aca="false">SQRT(($B27-BZ$5)^2+($C27-BZ$6)^2+($D27-BZ$7)^2)</f>
        <v>2.43024561524111</v>
      </c>
      <c r="CA27" s="74" t="n">
        <f aca="false">SQRT(($B27-CA$5)^2+($C27-CA$6)^2+($D27-CA$7)^2)</f>
        <v>3.13223110720305</v>
      </c>
      <c r="CB27" s="74" t="n">
        <f aca="false">SQRT(($B27-CB$5)^2+($C27-CB$6)^2+($D27-CB$7)^2)</f>
        <v>2.4405470008765</v>
      </c>
      <c r="CC27" s="74" t="n">
        <f aca="false">SQRT(($B27-CC$5)^2+($C27-CC$6)^2+($D27-CC$7)^2)</f>
        <v>3.1402305045998</v>
      </c>
      <c r="CD27" s="74" t="n">
        <f aca="false">SQRT(($B27-CD$5)^2+($C27-CD$6)^2+($D27-CD$7)^2)</f>
        <v>3.1574046827609</v>
      </c>
      <c r="CE27" s="74" t="n">
        <f aca="false">SQRT(($B27-CE$5)^2+($C27-CE$6)^2+($D27-CE$7)^2)</f>
        <v>2.28508675025144</v>
      </c>
      <c r="CF27" s="74" t="n">
        <f aca="false">SQRT(($B27-CF$5)^2+($C27-CF$6)^2+($D27-CF$7)^2)</f>
        <v>2.03155178865032</v>
      </c>
      <c r="CG27" s="74" t="n">
        <f aca="false">SQRT(($B27-CG$5)^2+($C27-CG$6)^2+($D27-CG$7)^2)</f>
        <v>2.45948554295477</v>
      </c>
      <c r="CH27" s="74" t="n">
        <f aca="false">SQRT(($B27-CH$5)^2+($C27-CH$6)^2+($D27-CH$7)^2)</f>
        <v>2.62260325219289</v>
      </c>
      <c r="CI27" s="74" t="n">
        <f aca="false">SQRT(($B27-CI$5)^2+($C27-CI$6)^2+($D27-CI$7)^2)</f>
        <v>2.72536569763079</v>
      </c>
      <c r="CJ27" s="74" t="n">
        <f aca="false">SQRT(($B27-CJ$5)^2+($C27-CJ$6)^2+($D27-CJ$7)^2)</f>
        <v>2.98036014715079</v>
      </c>
      <c r="CK27" s="74" t="n">
        <f aca="false">SQRT(($B27-CK$5)^2+($C27-CK$6)^2+($D27-CK$7)^2)</f>
        <v>2.4632705018895</v>
      </c>
      <c r="CL27" s="74" t="n">
        <f aca="false">SQRT(($B27-CL$5)^2+($C27-CL$6)^2+($D27-CL$7)^2)</f>
        <v>3.27892933089661</v>
      </c>
      <c r="CM27" s="74" t="n">
        <f aca="false">SQRT(($B27-CM$5)^2+($C27-CM$6)^2+($D27-CM$7)^2)</f>
        <v>2.66394791513506</v>
      </c>
      <c r="CN27" s="74" t="n">
        <f aca="false">SQRT(($B27-CN$5)^2+($C27-CN$6)^2+($D27-CN$7)^2)</f>
        <v>2.00623655151962</v>
      </c>
      <c r="CO27" s="74" t="n">
        <f aca="false">SQRT(($B27-CO$5)^2+($C27-CO$6)^2+($D27-CO$7)^2)</f>
        <v>2.48652302232641</v>
      </c>
      <c r="CP27" s="74" t="n">
        <f aca="false">SQRT(($B27-CP$5)^2+($C27-CP$6)^2+($D27-CP$7)^2)</f>
        <v>3.33539814601637</v>
      </c>
      <c r="CQ27" s="74" t="n">
        <f aca="false">SQRT(($B27-CQ$5)^2+($C27-CQ$6)^2+($D27-CQ$7)^2)</f>
        <v>2.81588767302514</v>
      </c>
      <c r="CR27" s="74" t="n">
        <f aca="false">SQRT(($B27-CR$5)^2+($C27-CR$6)^2+($D27-CR$7)^2)</f>
        <v>2.79062285326594</v>
      </c>
      <c r="CS27" s="74" t="n">
        <f aca="false">SQRT(($B27-CS$5)^2+($C27-CS$6)^2+($D27-CS$7)^2)</f>
        <v>3.38265206186386</v>
      </c>
      <c r="CT27" s="74" t="n">
        <f aca="false">SQRT(($B27-CT$5)^2+($C27-CT$6)^2+($D27-CT$7)^2)</f>
        <v>3.41031193536842</v>
      </c>
      <c r="CU27" s="74" t="n">
        <f aca="false">SQRT(($B27-CU$5)^2+($C27-CU$6)^2+($D27-CU$7)^2)</f>
        <v>3.03708367541972</v>
      </c>
      <c r="CV27" s="74" t="n">
        <f aca="false">SQRT(($B27-CV$5)^2+($C27-CV$6)^2+($D27-CV$7)^2)</f>
        <v>2.49782531278287</v>
      </c>
      <c r="CW27" s="74" t="n">
        <f aca="false">SQRT(($B27-CW$5)^2+($C27-CW$6)^2+($D27-CW$7)^2)</f>
        <v>3.41031193536842</v>
      </c>
      <c r="CX27" s="74" t="n">
        <f aca="false">SQRT(($B27-CX$5)^2+($C27-CX$6)^2+($D27-CX$7)^2)</f>
        <v>2.69529791351475</v>
      </c>
      <c r="CY27" s="74" t="n">
        <f aca="false">SQRT(($B27-CY$5)^2+($C27-CY$6)^2+($D27-CY$7)^2)</f>
        <v>3.44146195541105</v>
      </c>
      <c r="CZ27" s="74" t="n">
        <f aca="false">SQRT(($B27-CZ$5)^2+($C27-CZ$6)^2+($D27-CZ$7)^2)</f>
        <v>3.44146195541105</v>
      </c>
      <c r="DA27" s="74" t="n">
        <f aca="false">SQRT(($B27-DA$5)^2+($C27-DA$6)^2+($D27-DA$7)^2)</f>
        <v>2.98249119106413</v>
      </c>
      <c r="DB27" s="74" t="n">
        <f aca="false">SQRT(($B27-DB$5)^2+($C27-DB$6)^2+($D27-DB$7)^2)</f>
        <v>3.47697824473286</v>
      </c>
      <c r="DC27" s="74" t="n">
        <f aca="false">SQRT(($B27-DC$5)^2+($C27-DC$6)^2+($D27-DC$7)^2)</f>
        <v>3.47697824473286</v>
      </c>
      <c r="DD27" s="74" t="n">
        <f aca="false">SQRT(($B27-DD$5)^2+($C27-DD$6)^2+($D27-DD$7)^2)</f>
        <v>3.11206598507103</v>
      </c>
      <c r="DE27" s="74" t="n">
        <f aca="false">SQRT(($B27-DE$5)^2+($C27-DE$6)^2+($D27-DE$7)^2)</f>
        <v>3.33822742432139</v>
      </c>
      <c r="DF27" s="74" t="n">
        <f aca="false">SQRT(($B27-DF$5)^2+($C27-DF$6)^2+($D27-DF$7)^2)</f>
        <v>3.6996860383442</v>
      </c>
      <c r="DG27" s="74" t="n">
        <f aca="false">SQRT(($B27-DG$5)^2+($C27-DG$6)^2+($D27-DG$7)^2)</f>
        <v>3.79835053358808</v>
      </c>
      <c r="DH27" s="74" t="n">
        <f aca="false">SQRT(($B27-DH$5)^2+($C27-DH$6)^2+($D27-DH$7)^2)</f>
        <v>3.79835053358808</v>
      </c>
      <c r="DI27" s="74" t="n">
        <f aca="false">SQRT(($B27-DI$5)^2+($C27-DI$6)^2+($D27-DI$7)^2)</f>
        <v>3.79835053358808</v>
      </c>
      <c r="DJ27" s="74" t="n">
        <f aca="false">SQRT(($B27-DJ$5)^2+($C27-DJ$6)^2+($D27-DJ$7)^2)</f>
        <v>3.79835053358808</v>
      </c>
      <c r="DK27" s="74" t="n">
        <f aca="false">SQRT(($B27-DK$5)^2+($C27-DK$6)^2+($D27-DK$7)^2)</f>
        <v>3.94287645773164</v>
      </c>
      <c r="DL27" s="74" t="n">
        <f aca="false">SQRT(($B27-DL$5)^2+($C27-DL$6)^2+($D27-DL$7)^2)</f>
        <v>3.94287645773164</v>
      </c>
      <c r="DM27" s="74" t="n">
        <f aca="false">SQRT(($B27-DM$5)^2+($C27-DM$6)^2+($D27-DM$7)^2)</f>
        <v>3.94287645773164</v>
      </c>
      <c r="DN27" s="74" t="n">
        <f aca="false">SQRT(($B27-DN$5)^2+($C27-DN$6)^2+($D27-DN$7)^2)</f>
        <v>3.94287645773164</v>
      </c>
      <c r="DO27" s="74" t="n">
        <f aca="false">SQRT(($B27-DO$5)^2+($C27-DO$6)^2+($D27-DO$7)^2)</f>
        <v>3.94287645773164</v>
      </c>
      <c r="DP27" s="74" t="n">
        <f aca="false">SQRT(($B27-DP$5)^2+($C27-DP$6)^2+($D27-DP$7)^2)</f>
        <v>4.20299555676564</v>
      </c>
      <c r="DQ27" s="74" t="n">
        <f aca="false">SQRT(($B27-DQ$5)^2+($C27-DQ$6)^2+($D27-DQ$7)^2)</f>
        <v>4.20299555676564</v>
      </c>
    </row>
    <row r="28" customFormat="false" ht="15" hidden="false" customHeight="false" outlineLevel="0" collapsed="false">
      <c r="A28" s="48" t="str">
        <f aca="false">KMeans_Data!A19</f>
        <v>Ghotki</v>
      </c>
      <c r="B28" s="72" t="n">
        <f aca="false">KMeans_Data!H19</f>
        <v>1.00781777519734</v>
      </c>
      <c r="C28" s="72" t="n">
        <f aca="false">KMeans_Data!I19</f>
        <v>-0.146983133929529</v>
      </c>
      <c r="D28" s="72" t="n">
        <f aca="false">KMeans_Data!J19</f>
        <v>1.16687696458076</v>
      </c>
      <c r="E28" s="74" t="n">
        <f aca="false">SQRT(($B28-E$5)^2+($C28-E$6)^2+($D28-E$7)^2)</f>
        <v>5.19700942044935</v>
      </c>
      <c r="F28" s="74" t="n">
        <f aca="false">SQRT(($B28-F$5)^2+($C28-F$6)^2+($D28-F$7)^2)</f>
        <v>5.08350826735354</v>
      </c>
      <c r="G28" s="74" t="n">
        <f aca="false">SQRT(($B28-G$5)^2+($C28-G$6)^2+($D28-G$7)^2)</f>
        <v>3.04186416890981</v>
      </c>
      <c r="H28" s="74" t="n">
        <f aca="false">SQRT(($B28-H$5)^2+($C28-H$6)^2+($D28-H$7)^2)</f>
        <v>3.97078671709037</v>
      </c>
      <c r="I28" s="74" t="n">
        <f aca="false">SQRT(($B28-I$5)^2+($C28-I$6)^2+($D28-I$7)^2)</f>
        <v>2.55541802378789</v>
      </c>
      <c r="J28" s="74" t="n">
        <f aca="false">SQRT(($B28-J$5)^2+($C28-J$6)^2+($D28-J$7)^2)</f>
        <v>2.44273905146409</v>
      </c>
      <c r="K28" s="74" t="n">
        <f aca="false">SQRT(($B28-K$5)^2+($C28-K$6)^2+($D28-K$7)^2)</f>
        <v>2.04203838094101</v>
      </c>
      <c r="L28" s="74" t="n">
        <f aca="false">SQRT(($B28-L$5)^2+($C28-L$6)^2+($D28-L$7)^2)</f>
        <v>1.04859794609475</v>
      </c>
      <c r="M28" s="74" t="n">
        <f aca="false">SQRT(($B28-M$5)^2+($C28-M$6)^2+($D28-M$7)^2)</f>
        <v>1.4795372601678</v>
      </c>
      <c r="N28" s="74" t="n">
        <f aca="false">SQRT(($B28-N$5)^2+($C28-N$6)^2+($D28-N$7)^2)</f>
        <v>2.00072361146496</v>
      </c>
      <c r="O28" s="74" t="n">
        <f aca="false">SQRT(($B28-O$5)^2+($C28-O$6)^2+($D28-O$7)^2)</f>
        <v>1.6381962851426</v>
      </c>
      <c r="P28" s="74" t="n">
        <f aca="false">SQRT(($B28-P$5)^2+($C28-P$6)^2+($D28-P$7)^2)</f>
        <v>1.9191598188529</v>
      </c>
      <c r="Q28" s="74" t="n">
        <f aca="false">SQRT(($B28-Q$5)^2+($C28-Q$6)^2+($D28-Q$7)^2)</f>
        <v>1.14445149485895</v>
      </c>
      <c r="R28" s="74" t="n">
        <f aca="false">SQRT(($B28-R$5)^2+($C28-R$6)^2+($D28-R$7)^2)</f>
        <v>0.607722514204808</v>
      </c>
      <c r="S28" s="74" t="n">
        <f aca="false">SQRT(($B28-S$5)^2+($C28-S$6)^2+($D28-S$7)^2)</f>
        <v>0</v>
      </c>
      <c r="T28" s="74" t="n">
        <f aca="false">SQRT(($B28-T$5)^2+($C28-T$6)^2+($D28-T$7)^2)</f>
        <v>1.1537614860393</v>
      </c>
      <c r="U28" s="74" t="n">
        <f aca="false">SQRT(($B28-U$5)^2+($C28-U$6)^2+($D28-U$7)^2)</f>
        <v>0.682608251730896</v>
      </c>
      <c r="V28" s="74" t="n">
        <f aca="false">SQRT(($B28-V$5)^2+($C28-V$6)^2+($D28-V$7)^2)</f>
        <v>1.63089964339555</v>
      </c>
      <c r="W28" s="74" t="n">
        <f aca="false">SQRT(($B28-W$5)^2+($C28-W$6)^2+($D28-W$7)^2)</f>
        <v>1.55356932312124</v>
      </c>
      <c r="X28" s="74" t="n">
        <f aca="false">SQRT(($B28-X$5)^2+($C28-X$6)^2+($D28-X$7)^2)</f>
        <v>0.97322052904229</v>
      </c>
      <c r="Y28" s="74" t="n">
        <f aca="false">SQRT(($B28-Y$5)^2+($C28-Y$6)^2+($D28-Y$7)^2)</f>
        <v>0.980024521429709</v>
      </c>
      <c r="Z28" s="74" t="n">
        <f aca="false">SQRT(($B28-Z$5)^2+($C28-Z$6)^2+($D28-Z$7)^2)</f>
        <v>1.11933221288454</v>
      </c>
      <c r="AA28" s="74" t="n">
        <f aca="false">SQRT(($B28-AA$5)^2+($C28-AA$6)^2+($D28-AA$7)^2)</f>
        <v>0.433362283856118</v>
      </c>
      <c r="AB28" s="74" t="n">
        <f aca="false">SQRT(($B28-AB$5)^2+($C28-AB$6)^2+($D28-AB$7)^2)</f>
        <v>0.884828367901379</v>
      </c>
      <c r="AC28" s="74" t="n">
        <f aca="false">SQRT(($B28-AC$5)^2+($C28-AC$6)^2+($D28-AC$7)^2)</f>
        <v>1.60879043853354</v>
      </c>
      <c r="AD28" s="74" t="n">
        <f aca="false">SQRT(($B28-AD$5)^2+($C28-AD$6)^2+($D28-AD$7)^2)</f>
        <v>1.00241447308542</v>
      </c>
      <c r="AE28" s="74" t="n">
        <f aca="false">SQRT(($B28-AE$5)^2+($C28-AE$6)^2+($D28-AE$7)^2)</f>
        <v>2.34070556572108</v>
      </c>
      <c r="AF28" s="74" t="n">
        <f aca="false">SQRT(($B28-AF$5)^2+($C28-AF$6)^2+($D28-AF$7)^2)</f>
        <v>0.971990261665404</v>
      </c>
      <c r="AG28" s="74" t="n">
        <f aca="false">SQRT(($B28-AG$5)^2+($C28-AG$6)^2+($D28-AG$7)^2)</f>
        <v>1.70760062049199</v>
      </c>
      <c r="AH28" s="74" t="n">
        <f aca="false">SQRT(($B28-AH$5)^2+($C28-AH$6)^2+($D28-AH$7)^2)</f>
        <v>0.654209429542143</v>
      </c>
      <c r="AI28" s="74" t="n">
        <f aca="false">SQRT(($B28-AI$5)^2+($C28-AI$6)^2+($D28-AI$7)^2)</f>
        <v>1.70840021740306</v>
      </c>
      <c r="AJ28" s="74" t="n">
        <f aca="false">SQRT(($B28-AJ$5)^2+($C28-AJ$6)^2+($D28-AJ$7)^2)</f>
        <v>0.824008899981808</v>
      </c>
      <c r="AK28" s="74" t="n">
        <f aca="false">SQRT(($B28-AK$5)^2+($C28-AK$6)^2+($D28-AK$7)^2)</f>
        <v>1.13039194830486</v>
      </c>
      <c r="AL28" s="74" t="n">
        <f aca="false">SQRT(($B28-AL$5)^2+($C28-AL$6)^2+($D28-AL$7)^2)</f>
        <v>0.80725015096275</v>
      </c>
      <c r="AM28" s="74" t="n">
        <f aca="false">SQRT(($B28-AM$5)^2+($C28-AM$6)^2+($D28-AM$7)^2)</f>
        <v>1.829591858808</v>
      </c>
      <c r="AN28" s="74" t="n">
        <f aca="false">SQRT(($B28-AN$5)^2+($C28-AN$6)^2+($D28-AN$7)^2)</f>
        <v>1.47598168177424</v>
      </c>
      <c r="AO28" s="74" t="n">
        <f aca="false">SQRT(($B28-AO$5)^2+($C28-AO$6)^2+($D28-AO$7)^2)</f>
        <v>0.999724279871384</v>
      </c>
      <c r="AP28" s="74" t="n">
        <f aca="false">SQRT(($B28-AP$5)^2+($C28-AP$6)^2+($D28-AP$7)^2)</f>
        <v>1.05378175460022</v>
      </c>
      <c r="AQ28" s="74" t="n">
        <f aca="false">SQRT(($B28-AQ$5)^2+($C28-AQ$6)^2+($D28-AQ$7)^2)</f>
        <v>1.63251583784566</v>
      </c>
      <c r="AR28" s="74" t="n">
        <f aca="false">SQRT(($B28-AR$5)^2+($C28-AR$6)^2+($D28-AR$7)^2)</f>
        <v>1.42399420013183</v>
      </c>
      <c r="AS28" s="74" t="n">
        <f aca="false">SQRT(($B28-AS$5)^2+($C28-AS$6)^2+($D28-AS$7)^2)</f>
        <v>0.881876971376686</v>
      </c>
      <c r="AT28" s="74" t="n">
        <f aca="false">SQRT(($B28-AT$5)^2+($C28-AT$6)^2+($D28-AT$7)^2)</f>
        <v>0.832503319683961</v>
      </c>
      <c r="AU28" s="74" t="n">
        <f aca="false">SQRT(($B28-AU$5)^2+($C28-AU$6)^2+($D28-AU$7)^2)</f>
        <v>1.95146206381483</v>
      </c>
      <c r="AV28" s="74" t="n">
        <f aca="false">SQRT(($B28-AV$5)^2+($C28-AV$6)^2+($D28-AV$7)^2)</f>
        <v>1.12512257938065</v>
      </c>
      <c r="AW28" s="74" t="n">
        <f aca="false">SQRT(($B28-AW$5)^2+($C28-AW$6)^2+($D28-AW$7)^2)</f>
        <v>2.19849140352325</v>
      </c>
      <c r="AX28" s="74" t="n">
        <f aca="false">SQRT(($B28-AX$5)^2+($C28-AX$6)^2+($D28-AX$7)^2)</f>
        <v>1.14553929563377</v>
      </c>
      <c r="AY28" s="74" t="n">
        <f aca="false">SQRT(($B28-AY$5)^2+($C28-AY$6)^2+($D28-AY$7)^2)</f>
        <v>2.50500986779847</v>
      </c>
      <c r="AZ28" s="74" t="n">
        <f aca="false">SQRT(($B28-AZ$5)^2+($C28-AZ$6)^2+($D28-AZ$7)^2)</f>
        <v>0.972303258363252</v>
      </c>
      <c r="BA28" s="74" t="n">
        <f aca="false">SQRT(($B28-BA$5)^2+($C28-BA$6)^2+($D28-BA$7)^2)</f>
        <v>0.894034237808123</v>
      </c>
      <c r="BB28" s="74" t="n">
        <f aca="false">SQRT(($B28-BB$5)^2+($C28-BB$6)^2+($D28-BB$7)^2)</f>
        <v>2.507126222772</v>
      </c>
      <c r="BC28" s="74" t="n">
        <f aca="false">SQRT(($B28-BC$5)^2+($C28-BC$6)^2+($D28-BC$7)^2)</f>
        <v>2.50928512824414</v>
      </c>
      <c r="BD28" s="74" t="n">
        <f aca="false">SQRT(($B28-BD$5)^2+($C28-BD$6)^2+($D28-BD$7)^2)</f>
        <v>1.94215611350887</v>
      </c>
      <c r="BE28" s="74" t="n">
        <f aca="false">SQRT(($B28-BE$5)^2+($C28-BE$6)^2+($D28-BE$7)^2)</f>
        <v>1.73114553912784</v>
      </c>
      <c r="BF28" s="74" t="n">
        <f aca="false">SQRT(($B28-BF$5)^2+($C28-BF$6)^2+($D28-BF$7)^2)</f>
        <v>1.80474175330048</v>
      </c>
      <c r="BG28" s="74" t="n">
        <f aca="false">SQRT(($B28-BG$5)^2+($C28-BG$6)^2+($D28-BG$7)^2)</f>
        <v>1.05994938824257</v>
      </c>
      <c r="BH28" s="74" t="n">
        <f aca="false">SQRT(($B28-BH$5)^2+($C28-BH$6)^2+($D28-BH$7)^2)</f>
        <v>2.54479378150959</v>
      </c>
      <c r="BI28" s="74" t="n">
        <f aca="false">SQRT(($B28-BI$5)^2+($C28-BI$6)^2+($D28-BI$7)^2)</f>
        <v>2.55083351027121</v>
      </c>
      <c r="BJ28" s="74" t="n">
        <f aca="false">SQRT(($B28-BJ$5)^2+($C28-BJ$6)^2+($D28-BJ$7)^2)</f>
        <v>1.67263415002029</v>
      </c>
      <c r="BK28" s="74" t="n">
        <f aca="false">SQRT(($B28-BK$5)^2+($C28-BK$6)^2+($D28-BK$7)^2)</f>
        <v>1.93252841203719</v>
      </c>
      <c r="BL28" s="74" t="n">
        <f aca="false">SQRT(($B28-BL$5)^2+($C28-BL$6)^2+($D28-BL$7)^2)</f>
        <v>1.39415935532987</v>
      </c>
      <c r="BM28" s="74" t="n">
        <f aca="false">SQRT(($B28-BM$5)^2+($C28-BM$6)^2+($D28-BM$7)^2)</f>
        <v>1.41743466088086</v>
      </c>
      <c r="BN28" s="74" t="n">
        <f aca="false">SQRT(($B28-BN$5)^2+($C28-BN$6)^2+($D28-BN$7)^2)</f>
        <v>1.56951871466506</v>
      </c>
      <c r="BO28" s="74" t="n">
        <f aca="false">SQRT(($B28-BO$5)^2+($C28-BO$6)^2+($D28-BO$7)^2)</f>
        <v>2.32215499672009</v>
      </c>
      <c r="BP28" s="74" t="n">
        <f aca="false">SQRT(($B28-BP$5)^2+($C28-BP$6)^2+($D28-BP$7)^2)</f>
        <v>1.4599834067485</v>
      </c>
      <c r="BQ28" s="74" t="n">
        <f aca="false">SQRT(($B28-BQ$5)^2+($C28-BQ$6)^2+($D28-BQ$7)^2)</f>
        <v>1.36621898990965</v>
      </c>
      <c r="BR28" s="74" t="n">
        <f aca="false">SQRT(($B28-BR$5)^2+($C28-BR$6)^2+($D28-BR$7)^2)</f>
        <v>1.35903831530378</v>
      </c>
      <c r="BS28" s="74" t="n">
        <f aca="false">SQRT(($B28-BS$5)^2+($C28-BS$6)^2+($D28-BS$7)^2)</f>
        <v>1.41245644771464</v>
      </c>
      <c r="BT28" s="74" t="n">
        <f aca="false">SQRT(($B28-BT$5)^2+($C28-BT$6)^2+($D28-BT$7)^2)</f>
        <v>1.64854749032393</v>
      </c>
      <c r="BU28" s="74" t="n">
        <f aca="false">SQRT(($B28-BU$5)^2+($C28-BU$6)^2+($D28-BU$7)^2)</f>
        <v>1.69978880476573</v>
      </c>
      <c r="BV28" s="74" t="n">
        <f aca="false">SQRT(($B28-BV$5)^2+($C28-BV$6)^2+($D28-BV$7)^2)</f>
        <v>2.68909190732209</v>
      </c>
      <c r="BW28" s="74" t="n">
        <f aca="false">SQRT(($B28-BW$5)^2+($C28-BW$6)^2+($D28-BW$7)^2)</f>
        <v>1.64286549980924</v>
      </c>
      <c r="BX28" s="74" t="n">
        <f aca="false">SQRT(($B28-BX$5)^2+($C28-BX$6)^2+($D28-BX$7)^2)</f>
        <v>2.69667924869801</v>
      </c>
      <c r="BY28" s="74" t="n">
        <f aca="false">SQRT(($B28-BY$5)^2+($C28-BY$6)^2+($D28-BY$7)^2)</f>
        <v>1.9573706492385</v>
      </c>
      <c r="BZ28" s="74" t="n">
        <f aca="false">SQRT(($B28-BZ$5)^2+($C28-BZ$6)^2+($D28-BZ$7)^2)</f>
        <v>2.01217885721037</v>
      </c>
      <c r="CA28" s="74" t="n">
        <f aca="false">SQRT(($B28-CA$5)^2+($C28-CA$6)^2+($D28-CA$7)^2)</f>
        <v>2.72144254777098</v>
      </c>
      <c r="CB28" s="74" t="n">
        <f aca="false">SQRT(($B28-CB$5)^2+($C28-CB$6)^2+($D28-CB$7)^2)</f>
        <v>2.02434221269787</v>
      </c>
      <c r="CC28" s="74" t="n">
        <f aca="false">SQRT(($B28-CC$5)^2+($C28-CC$6)^2+($D28-CC$7)^2)</f>
        <v>2.73044816495833</v>
      </c>
      <c r="CD28" s="74" t="n">
        <f aca="false">SQRT(($B28-CD$5)^2+($C28-CD$6)^2+($D28-CD$7)^2)</f>
        <v>2.74976848650466</v>
      </c>
      <c r="CE28" s="74" t="n">
        <f aca="false">SQRT(($B28-CE$5)^2+($C28-CE$6)^2+($D28-CE$7)^2)</f>
        <v>1.87988537654066</v>
      </c>
      <c r="CF28" s="74" t="n">
        <f aca="false">SQRT(($B28-CF$5)^2+($C28-CF$6)^2+($D28-CF$7)^2)</f>
        <v>1.74660025960929</v>
      </c>
      <c r="CG28" s="74" t="n">
        <f aca="false">SQRT(($B28-CG$5)^2+($C28-CG$6)^2+($D28-CG$7)^2)</f>
        <v>2.15437973108321</v>
      </c>
      <c r="CH28" s="74" t="n">
        <f aca="false">SQRT(($B28-CH$5)^2+($C28-CH$6)^2+($D28-CH$7)^2)</f>
        <v>2.21758387737012</v>
      </c>
      <c r="CI28" s="74" t="n">
        <f aca="false">SQRT(($B28-CI$5)^2+($C28-CI$6)^2+($D28-CI$7)^2)</f>
        <v>2.32412323441976</v>
      </c>
      <c r="CJ28" s="74" t="n">
        <f aca="false">SQRT(($B28-CJ$5)^2+($C28-CJ$6)^2+($D28-CJ$7)^2)</f>
        <v>2.58068132163149</v>
      </c>
      <c r="CK28" s="74" t="n">
        <f aca="false">SQRT(($B28-CK$5)^2+($C28-CK$6)^2+($D28-CK$7)^2)</f>
        <v>2.07875099075824</v>
      </c>
      <c r="CL28" s="74" t="n">
        <f aca="false">SQRT(($B28-CL$5)^2+($C28-CL$6)^2+($D28-CL$7)^2)</f>
        <v>2.88591085464348</v>
      </c>
      <c r="CM28" s="74" t="n">
        <f aca="false">SQRT(($B28-CM$5)^2+($C28-CM$6)^2+($D28-CM$7)^2)</f>
        <v>2.27546728775782</v>
      </c>
      <c r="CN28" s="74" t="n">
        <f aca="false">SQRT(($B28-CN$5)^2+($C28-CN$6)^2+($D28-CN$7)^2)</f>
        <v>1.79656623255479</v>
      </c>
      <c r="CO28" s="74" t="n">
        <f aca="false">SQRT(($B28-CO$5)^2+($C28-CO$6)^2+($D28-CO$7)^2)</f>
        <v>2.21158945435408</v>
      </c>
      <c r="CP28" s="74" t="n">
        <f aca="false">SQRT(($B28-CP$5)^2+($C28-CP$6)^2+($D28-CP$7)^2)</f>
        <v>2.94883102856101</v>
      </c>
      <c r="CQ28" s="74" t="n">
        <f aca="false">SQRT(($B28-CQ$5)^2+($C28-CQ$6)^2+($D28-CQ$7)^2)</f>
        <v>2.43930906557483</v>
      </c>
      <c r="CR28" s="74" t="n">
        <f aca="false">SQRT(($B28-CR$5)^2+($C28-CR$6)^2+($D28-CR$7)^2)</f>
        <v>2.42016432462017</v>
      </c>
      <c r="CS28" s="74" t="n">
        <f aca="false">SQRT(($B28-CS$5)^2+($C28-CS$6)^2+($D28-CS$7)^2)</f>
        <v>3.00132061623834</v>
      </c>
      <c r="CT28" s="74" t="n">
        <f aca="false">SQRT(($B28-CT$5)^2+($C28-CT$6)^2+($D28-CT$7)^2)</f>
        <v>3.03197778889073</v>
      </c>
      <c r="CU28" s="74" t="n">
        <f aca="false">SQRT(($B28-CU$5)^2+($C28-CU$6)^2+($D28-CU$7)^2)</f>
        <v>2.74484545061644</v>
      </c>
      <c r="CV28" s="74" t="n">
        <f aca="false">SQRT(($B28-CV$5)^2+($C28-CV$6)^2+($D28-CV$7)^2)</f>
        <v>2.15829312971082</v>
      </c>
      <c r="CW28" s="74" t="n">
        <f aca="false">SQRT(($B28-CW$5)^2+($C28-CW$6)^2+($D28-CW$7)^2)</f>
        <v>3.03197778889073</v>
      </c>
      <c r="CX28" s="74" t="n">
        <f aca="false">SQRT(($B28-CX$5)^2+($C28-CX$6)^2+($D28-CX$7)^2)</f>
        <v>2.34490779009212</v>
      </c>
      <c r="CY28" s="74" t="n">
        <f aca="false">SQRT(($B28-CY$5)^2+($C28-CY$6)^2+($D28-CY$7)^2)</f>
        <v>3.06644496600517</v>
      </c>
      <c r="CZ28" s="74" t="n">
        <f aca="false">SQRT(($B28-CZ$5)^2+($C28-CZ$6)^2+($D28-CZ$7)^2)</f>
        <v>3.06644496600517</v>
      </c>
      <c r="DA28" s="74" t="n">
        <f aca="false">SQRT(($B28-DA$5)^2+($C28-DA$6)^2+($D28-DA$7)^2)</f>
        <v>2.61622783694574</v>
      </c>
      <c r="DB28" s="74" t="n">
        <f aca="false">SQRT(($B28-DB$5)^2+($C28-DB$6)^2+($D28-DB$7)^2)</f>
        <v>3.10566947085191</v>
      </c>
      <c r="DC28" s="74" t="n">
        <f aca="false">SQRT(($B28-DC$5)^2+($C28-DC$6)^2+($D28-DC$7)^2)</f>
        <v>3.10566947085191</v>
      </c>
      <c r="DD28" s="74" t="n">
        <f aca="false">SQRT(($B28-DD$5)^2+($C28-DD$6)^2+($D28-DD$7)^2)</f>
        <v>2.74769062976925</v>
      </c>
      <c r="DE28" s="74" t="n">
        <f aca="false">SQRT(($B28-DE$5)^2+($C28-DE$6)^2+($D28-DE$7)^2)</f>
        <v>2.98089126393052</v>
      </c>
      <c r="DF28" s="74" t="n">
        <f aca="false">SQRT(($B28-DF$5)^2+($C28-DF$6)^2+($D28-DF$7)^2)</f>
        <v>3.34995271221192</v>
      </c>
      <c r="DG28" s="74" t="n">
        <f aca="false">SQRT(($B28-DG$5)^2+($C28-DG$6)^2+($D28-DG$7)^2)</f>
        <v>3.45733038416592</v>
      </c>
      <c r="DH28" s="74" t="n">
        <f aca="false">SQRT(($B28-DH$5)^2+($C28-DH$6)^2+($D28-DH$7)^2)</f>
        <v>3.45733038416592</v>
      </c>
      <c r="DI28" s="74" t="n">
        <f aca="false">SQRT(($B28-DI$5)^2+($C28-DI$6)^2+($D28-DI$7)^2)</f>
        <v>3.45733038416592</v>
      </c>
      <c r="DJ28" s="74" t="n">
        <f aca="false">SQRT(($B28-DJ$5)^2+($C28-DJ$6)^2+($D28-DJ$7)^2)</f>
        <v>3.45733038416592</v>
      </c>
      <c r="DK28" s="74" t="n">
        <f aca="false">SQRT(($B28-DK$5)^2+($C28-DK$6)^2+($D28-DK$7)^2)</f>
        <v>3.61379058560017</v>
      </c>
      <c r="DL28" s="74" t="n">
        <f aca="false">SQRT(($B28-DL$5)^2+($C28-DL$6)^2+($D28-DL$7)^2)</f>
        <v>3.61379058560017</v>
      </c>
      <c r="DM28" s="74" t="n">
        <f aca="false">SQRT(($B28-DM$5)^2+($C28-DM$6)^2+($D28-DM$7)^2)</f>
        <v>3.61379058560017</v>
      </c>
      <c r="DN28" s="74" t="n">
        <f aca="false">SQRT(($B28-DN$5)^2+($C28-DN$6)^2+($D28-DN$7)^2)</f>
        <v>3.61379058560017</v>
      </c>
      <c r="DO28" s="74" t="n">
        <f aca="false">SQRT(($B28-DO$5)^2+($C28-DO$6)^2+($D28-DO$7)^2)</f>
        <v>3.61379058560017</v>
      </c>
      <c r="DP28" s="74" t="n">
        <f aca="false">SQRT(($B28-DP$5)^2+($C28-DP$6)^2+($D28-DP$7)^2)</f>
        <v>3.89320954094829</v>
      </c>
      <c r="DQ28" s="74" t="n">
        <f aca="false">SQRT(($B28-DQ$5)^2+($C28-DQ$6)^2+($D28-DQ$7)^2)</f>
        <v>3.89320954094829</v>
      </c>
    </row>
    <row r="29" customFormat="false" ht="15" hidden="false" customHeight="false" outlineLevel="0" collapsed="false">
      <c r="A29" s="48" t="str">
        <f aca="false">KMeans_Data!A20</f>
        <v>Dir Lower</v>
      </c>
      <c r="B29" s="72" t="n">
        <f aca="false">KMeans_Data!H20</f>
        <v>0.970625526957299</v>
      </c>
      <c r="C29" s="72" t="n">
        <f aca="false">KMeans_Data!I20</f>
        <v>0.993675724638266</v>
      </c>
      <c r="D29" s="72" t="n">
        <f aca="false">KMeans_Data!J20</f>
        <v>0.997526228800629</v>
      </c>
      <c r="E29" s="74" t="n">
        <f aca="false">SQRT(($B29-E$5)^2+($C29-E$6)^2+($D29-E$7)^2)</f>
        <v>4.43462744470065</v>
      </c>
      <c r="F29" s="74" t="n">
        <f aca="false">SQRT(($B29-F$5)^2+($C29-F$6)^2+($D29-F$7)^2)</f>
        <v>4.24668071719592</v>
      </c>
      <c r="G29" s="74" t="n">
        <f aca="false">SQRT(($B29-G$5)^2+($C29-G$6)^2+($D29-G$7)^2)</f>
        <v>2.35039144528428</v>
      </c>
      <c r="H29" s="74" t="n">
        <f aca="false">SQRT(($B29-H$5)^2+($C29-H$6)^2+($D29-H$7)^2)</f>
        <v>2.98282094477614</v>
      </c>
      <c r="I29" s="74" t="n">
        <f aca="false">SQRT(($B29-I$5)^2+($C29-I$6)^2+($D29-I$7)^2)</f>
        <v>1.75476823393219</v>
      </c>
      <c r="J29" s="74" t="n">
        <f aca="false">SQRT(($B29-J$5)^2+($C29-J$6)^2+($D29-J$7)^2)</f>
        <v>1.41535723160628</v>
      </c>
      <c r="K29" s="74" t="n">
        <f aca="false">SQRT(($B29-K$5)^2+($C29-K$6)^2+($D29-K$7)^2)</f>
        <v>2.03710514876686</v>
      </c>
      <c r="L29" s="74" t="n">
        <f aca="false">SQRT(($B29-L$5)^2+($C29-L$6)^2+($D29-L$7)^2)</f>
        <v>0.861166249077947</v>
      </c>
      <c r="M29" s="74" t="n">
        <f aca="false">SQRT(($B29-M$5)^2+($C29-M$6)^2+($D29-M$7)^2)</f>
        <v>0.786138906442515</v>
      </c>
      <c r="N29" s="74" t="n">
        <f aca="false">SQRT(($B29-N$5)^2+($C29-N$6)^2+($D29-N$7)^2)</f>
        <v>2.16194503586589</v>
      </c>
      <c r="O29" s="74" t="n">
        <f aca="false">SQRT(($B29-O$5)^2+($C29-O$6)^2+($D29-O$7)^2)</f>
        <v>0.51163185942224</v>
      </c>
      <c r="P29" s="74" t="n">
        <f aca="false">SQRT(($B29-P$5)^2+($C29-P$6)^2+($D29-P$7)^2)</f>
        <v>0.808356038548875</v>
      </c>
      <c r="Q29" s="74" t="n">
        <f aca="false">SQRT(($B29-Q$5)^2+($C29-Q$6)^2+($D29-Q$7)^2)</f>
        <v>0.109790553060951</v>
      </c>
      <c r="R29" s="74" t="n">
        <f aca="false">SQRT(($B29-R$5)^2+($C29-R$6)^2+($D29-R$7)^2)</f>
        <v>0.778639117517089</v>
      </c>
      <c r="S29" s="74" t="n">
        <f aca="false">SQRT(($B29-S$5)^2+($C29-S$6)^2+($D29-S$7)^2)</f>
        <v>1.1537614860393</v>
      </c>
      <c r="T29" s="74" t="n">
        <f aca="false">SQRT(($B29-T$5)^2+($C29-T$6)^2+($D29-T$7)^2)</f>
        <v>0</v>
      </c>
      <c r="U29" s="74" t="n">
        <f aca="false">SQRT(($B29-U$5)^2+($C29-U$6)^2+($D29-U$7)^2)</f>
        <v>0.854061870652138</v>
      </c>
      <c r="V29" s="74" t="n">
        <f aca="false">SQRT(($B29-V$5)^2+($C29-V$6)^2+($D29-V$7)^2)</f>
        <v>0.554710855889756</v>
      </c>
      <c r="W29" s="74" t="n">
        <f aca="false">SQRT(($B29-W$5)^2+($C29-W$6)^2+($D29-W$7)^2)</f>
        <v>0.410300158548908</v>
      </c>
      <c r="X29" s="74" t="n">
        <f aca="false">SQRT(($B29-X$5)^2+($C29-X$6)^2+($D29-X$7)^2)</f>
        <v>0.23339924339487</v>
      </c>
      <c r="Y29" s="74" t="n">
        <f aca="false">SQRT(($B29-Y$5)^2+($C29-Y$6)^2+($D29-Y$7)^2)</f>
        <v>0.377324658649722</v>
      </c>
      <c r="Z29" s="74" t="n">
        <f aca="false">SQRT(($B29-Z$5)^2+($C29-Z$6)^2+($D29-Z$7)^2)</f>
        <v>0.462970974790766</v>
      </c>
      <c r="AA29" s="74" t="n">
        <f aca="false">SQRT(($B29-AA$5)^2+($C29-AA$6)^2+($D29-AA$7)^2)</f>
        <v>0.854756438364379</v>
      </c>
      <c r="AB29" s="74" t="n">
        <f aca="false">SQRT(($B29-AB$5)^2+($C29-AB$6)^2+($D29-AB$7)^2)</f>
        <v>0.585549614940239</v>
      </c>
      <c r="AC29" s="74" t="n">
        <f aca="false">SQRT(($B29-AC$5)^2+($C29-AC$6)^2+($D29-AC$7)^2)</f>
        <v>0.516135303226866</v>
      </c>
      <c r="AD29" s="74" t="n">
        <f aca="false">SQRT(($B29-AD$5)^2+($C29-AD$6)^2+($D29-AD$7)^2)</f>
        <v>0.429047948284971</v>
      </c>
      <c r="AE29" s="74" t="n">
        <f aca="false">SQRT(($B29-AE$5)^2+($C29-AE$6)^2+($D29-AE$7)^2)</f>
        <v>2.44946440401815</v>
      </c>
      <c r="AF29" s="74" t="n">
        <f aca="false">SQRT(($B29-AF$5)^2+($C29-AF$6)^2+($D29-AF$7)^2)</f>
        <v>0.495580478294598</v>
      </c>
      <c r="AG29" s="74" t="n">
        <f aca="false">SQRT(($B29-AG$5)^2+($C29-AG$6)^2+($D29-AG$7)^2)</f>
        <v>2.2098956091832</v>
      </c>
      <c r="AH29" s="74" t="n">
        <f aca="false">SQRT(($B29-AH$5)^2+($C29-AH$6)^2+($D29-AH$7)^2)</f>
        <v>0.946127535748461</v>
      </c>
      <c r="AI29" s="74" t="n">
        <f aca="false">SQRT(($B29-AI$5)^2+($C29-AI$6)^2+($D29-AI$7)^2)</f>
        <v>2.21046028635289</v>
      </c>
      <c r="AJ29" s="74" t="n">
        <f aca="false">SQRT(($B29-AJ$5)^2+($C29-AJ$6)^2+($D29-AJ$7)^2)</f>
        <v>0.611632444840168</v>
      </c>
      <c r="AK29" s="74" t="n">
        <f aca="false">SQRT(($B29-AK$5)^2+($C29-AK$6)^2+($D29-AK$7)^2)</f>
        <v>1.03740195953957</v>
      </c>
      <c r="AL29" s="74" t="n">
        <f aca="false">SQRT(($B29-AL$5)^2+($C29-AL$6)^2+($D29-AL$7)^2)</f>
        <v>1.31744307835847</v>
      </c>
      <c r="AM29" s="74" t="n">
        <f aca="false">SQRT(($B29-AM$5)^2+($C29-AM$6)^2+($D29-AM$7)^2)</f>
        <v>0.928732480476608</v>
      </c>
      <c r="AN29" s="74" t="n">
        <f aca="false">SQRT(($B29-AN$5)^2+($C29-AN$6)^2+($D29-AN$7)^2)</f>
        <v>0.606309304646917</v>
      </c>
      <c r="AO29" s="74" t="n">
        <f aca="false">SQRT(($B29-AO$5)^2+($C29-AO$6)^2+($D29-AO$7)^2)</f>
        <v>0.936125195509791</v>
      </c>
      <c r="AP29" s="74" t="n">
        <f aca="false">SQRT(($B29-AP$5)^2+($C29-AP$6)^2+($D29-AP$7)^2)</f>
        <v>0.979823793626829</v>
      </c>
      <c r="AQ29" s="74" t="n">
        <f aca="false">SQRT(($B29-AQ$5)^2+($C29-AQ$6)^2+($D29-AQ$7)^2)</f>
        <v>0.728615053237935</v>
      </c>
      <c r="AR29" s="74" t="n">
        <f aca="false">SQRT(($B29-AR$5)^2+($C29-AR$6)^2+($D29-AR$7)^2)</f>
        <v>1.47973040073565</v>
      </c>
      <c r="AS29" s="74" t="n">
        <f aca="false">SQRT(($B29-AS$5)^2+($C29-AS$6)^2+($D29-AS$7)^2)</f>
        <v>1.78994403457854</v>
      </c>
      <c r="AT29" s="74" t="n">
        <f aca="false">SQRT(($B29-AT$5)^2+($C29-AT$6)^2+($D29-AT$7)^2)</f>
        <v>1.35522590603005</v>
      </c>
      <c r="AU29" s="74" t="n">
        <f aca="false">SQRT(($B29-AU$5)^2+($C29-AU$6)^2+($D29-AU$7)^2)</f>
        <v>2.11496746056128</v>
      </c>
      <c r="AV29" s="74" t="n">
        <f aca="false">SQRT(($B29-AV$5)^2+($C29-AV$6)^2+($D29-AV$7)^2)</f>
        <v>1.87605299312992</v>
      </c>
      <c r="AW29" s="74" t="n">
        <f aca="false">SQRT(($B29-AW$5)^2+($C29-AW$6)^2+($D29-AW$7)^2)</f>
        <v>2.57527934483331</v>
      </c>
      <c r="AX29" s="74" t="n">
        <f aca="false">SQRT(($B29-AX$5)^2+($C29-AX$6)^2+($D29-AX$7)^2)</f>
        <v>1.27212111085917</v>
      </c>
      <c r="AY29" s="74" t="n">
        <f aca="false">SQRT(($B29-AY$5)^2+($C29-AY$6)^2+($D29-AY$7)^2)</f>
        <v>2.82173413592648</v>
      </c>
      <c r="AZ29" s="74" t="n">
        <f aca="false">SQRT(($B29-AZ$5)^2+($C29-AZ$6)^2+($D29-AZ$7)^2)</f>
        <v>1.83581825669786</v>
      </c>
      <c r="BA29" s="74" t="n">
        <f aca="false">SQRT(($B29-BA$5)^2+($C29-BA$6)^2+($D29-BA$7)^2)</f>
        <v>1.39437305372561</v>
      </c>
      <c r="BB29" s="74" t="n">
        <f aca="false">SQRT(($B29-BB$5)^2+($C29-BB$6)^2+($D29-BB$7)^2)</f>
        <v>2.82352687373406</v>
      </c>
      <c r="BC29" s="74" t="n">
        <f aca="false">SQRT(($B29-BC$5)^2+($C29-BC$6)^2+($D29-BC$7)^2)</f>
        <v>2.82535675172236</v>
      </c>
      <c r="BD29" s="74" t="n">
        <f aca="false">SQRT(($B29-BD$5)^2+($C29-BD$6)^2+($D29-BD$7)^2)</f>
        <v>2.38204983186328</v>
      </c>
      <c r="BE29" s="74" t="n">
        <f aca="false">SQRT(($B29-BE$5)^2+($C29-BE$6)^2+($D29-BE$7)^2)</f>
        <v>2.23289987614834</v>
      </c>
      <c r="BF29" s="74" t="n">
        <f aca="false">SQRT(($B29-BF$5)^2+($C29-BF$6)^2+($D29-BF$7)^2)</f>
        <v>0.950843178625183</v>
      </c>
      <c r="BG29" s="74" t="n">
        <f aca="false">SQRT(($B29-BG$5)^2+($C29-BG$6)^2+($D29-BG$7)^2)</f>
        <v>1.48371154245349</v>
      </c>
      <c r="BH29" s="74" t="n">
        <f aca="false">SQRT(($B29-BH$5)^2+($C29-BH$6)^2+($D29-BH$7)^2)</f>
        <v>2.85559897502741</v>
      </c>
      <c r="BI29" s="74" t="n">
        <f aca="false">SQRT(($B29-BI$5)^2+($C29-BI$6)^2+($D29-BI$7)^2)</f>
        <v>2.86076782790981</v>
      </c>
      <c r="BJ29" s="74" t="n">
        <f aca="false">SQRT(($B29-BJ$5)^2+($C29-BJ$6)^2+($D29-BJ$7)^2)</f>
        <v>1.44125298807431</v>
      </c>
      <c r="BK29" s="74" t="n">
        <f aca="false">SQRT(($B29-BK$5)^2+($C29-BK$6)^2+($D29-BK$7)^2)</f>
        <v>2.37904857508407</v>
      </c>
      <c r="BL29" s="74" t="n">
        <f aca="false">SQRT(($B29-BL$5)^2+($C29-BL$6)^2+($D29-BL$7)^2)</f>
        <v>2.03148588531614</v>
      </c>
      <c r="BM29" s="74" t="n">
        <f aca="false">SQRT(($B29-BM$5)^2+($C29-BM$6)^2+($D29-BM$7)^2)</f>
        <v>1.20512536656463</v>
      </c>
      <c r="BN29" s="74" t="n">
        <f aca="false">SQRT(($B29-BN$5)^2+($C29-BN$6)^2+($D29-BN$7)^2)</f>
        <v>1.62301077026402</v>
      </c>
      <c r="BO29" s="74" t="n">
        <f aca="false">SQRT(($B29-BO$5)^2+($C29-BO$6)^2+($D29-BO$7)^2)</f>
        <v>2.67741043381806</v>
      </c>
      <c r="BP29" s="74" t="n">
        <f aca="false">SQRT(($B29-BP$5)^2+($C29-BP$6)^2+($D29-BP$7)^2)</f>
        <v>1.54062229395736</v>
      </c>
      <c r="BQ29" s="74" t="n">
        <f aca="false">SQRT(($B29-BQ$5)^2+($C29-BQ$6)^2+($D29-BQ$7)^2)</f>
        <v>1.68777644767703</v>
      </c>
      <c r="BR29" s="74" t="n">
        <f aca="false">SQRT(($B29-BR$5)^2+($C29-BR$6)^2+($D29-BR$7)^2)</f>
        <v>1.68634385316646</v>
      </c>
      <c r="BS29" s="74" t="n">
        <f aca="false">SQRT(($B29-BS$5)^2+($C29-BS$6)^2+($D29-BS$7)^2)</f>
        <v>2.06025527940114</v>
      </c>
      <c r="BT29" s="74" t="n">
        <f aca="false">SQRT(($B29-BT$5)^2+($C29-BT$6)^2+($D29-BT$7)^2)</f>
        <v>2.19716886969586</v>
      </c>
      <c r="BU29" s="74" t="n">
        <f aca="false">SQRT(($B29-BU$5)^2+($C29-BU$6)^2+($D29-BU$7)^2)</f>
        <v>2.22946374966575</v>
      </c>
      <c r="BV29" s="74" t="n">
        <f aca="false">SQRT(($B29-BV$5)^2+($C29-BV$6)^2+($D29-BV$7)^2)</f>
        <v>2.98061094401367</v>
      </c>
      <c r="BW29" s="74" t="n">
        <f aca="false">SQRT(($B29-BW$5)^2+($C29-BW$6)^2+($D29-BW$7)^2)</f>
        <v>2.19904179336</v>
      </c>
      <c r="BX29" s="74" t="n">
        <f aca="false">SQRT(($B29-BX$5)^2+($C29-BX$6)^2+($D29-BX$7)^2)</f>
        <v>2.98725860317003</v>
      </c>
      <c r="BY29" s="74" t="n">
        <f aca="false">SQRT(($B29-BY$5)^2+($C29-BY$6)^2+($D29-BY$7)^2)</f>
        <v>2.409731739383</v>
      </c>
      <c r="BZ29" s="74" t="n">
        <f aca="false">SQRT(($B29-BZ$5)^2+($C29-BZ$6)^2+($D29-BZ$7)^2)</f>
        <v>2.4499184773375</v>
      </c>
      <c r="CA29" s="74" t="n">
        <f aca="false">SQRT(($B29-CA$5)^2+($C29-CA$6)^2+($D29-CA$7)^2)</f>
        <v>3.00899874295078</v>
      </c>
      <c r="CB29" s="74" t="n">
        <f aca="false">SQRT(($B29-CB$5)^2+($C29-CB$6)^2+($D29-CB$7)^2)</f>
        <v>2.45964217506566</v>
      </c>
      <c r="CC29" s="74" t="n">
        <f aca="false">SQRT(($B29-CC$5)^2+($C29-CC$6)^2+($D29-CC$7)^2)</f>
        <v>3.01692103291442</v>
      </c>
      <c r="CD29" s="74" t="n">
        <f aca="false">SQRT(($B29-CD$5)^2+($C29-CD$6)^2+($D29-CD$7)^2)</f>
        <v>3.03394511880917</v>
      </c>
      <c r="CE29" s="74" t="n">
        <f aca="false">SQRT(($B29-CE$5)^2+($C29-CE$6)^2+($D29-CE$7)^2)</f>
        <v>2.36190996672136</v>
      </c>
      <c r="CF29" s="74" t="n">
        <f aca="false">SQRT(($B29-CF$5)^2+($C29-CF$6)^2+($D29-CF$7)^2)</f>
        <v>1.98207895742849</v>
      </c>
      <c r="CG29" s="74" t="n">
        <f aca="false">SQRT(($B29-CG$5)^2+($C29-CG$6)^2+($D29-CG$7)^2)</f>
        <v>2.30908414781032</v>
      </c>
      <c r="CH29" s="74" t="n">
        <f aca="false">SQRT(($B29-CH$5)^2+($C29-CH$6)^2+($D29-CH$7)^2)</f>
        <v>2.60910141777208</v>
      </c>
      <c r="CI29" s="74" t="n">
        <f aca="false">SQRT(($B29-CI$5)^2+($C29-CI$6)^2+($D29-CI$7)^2)</f>
        <v>2.69305926328932</v>
      </c>
      <c r="CJ29" s="74" t="n">
        <f aca="false">SQRT(($B29-CJ$5)^2+($C29-CJ$6)^2+($D29-CJ$7)^2)</f>
        <v>2.89830284590551</v>
      </c>
      <c r="CK29" s="74" t="n">
        <f aca="false">SQRT(($B29-CK$5)^2+($C29-CK$6)^2+($D29-CK$7)^2)</f>
        <v>2.51489664261757</v>
      </c>
      <c r="CL29" s="74" t="n">
        <f aca="false">SQRT(($B29-CL$5)^2+($C29-CL$6)^2+($D29-CL$7)^2)</f>
        <v>3.15488214183844</v>
      </c>
      <c r="CM29" s="74" t="n">
        <f aca="false">SQRT(($B29-CM$5)^2+($C29-CM$6)^2+($D29-CM$7)^2)</f>
        <v>2.66153527350835</v>
      </c>
      <c r="CN29" s="74" t="n">
        <f aca="false">SQRT(($B29-CN$5)^2+($C29-CN$6)^2+($D29-CN$7)^2)</f>
        <v>2.06130440616152</v>
      </c>
      <c r="CO29" s="74" t="n">
        <f aca="false">SQRT(($B29-CO$5)^2+($C29-CO$6)^2+($D29-CO$7)^2)</f>
        <v>2.37382507233082</v>
      </c>
      <c r="CP29" s="74" t="n">
        <f aca="false">SQRT(($B29-CP$5)^2+($C29-CP$6)^2+($D29-CP$7)^2)</f>
        <v>3.21128721320021</v>
      </c>
      <c r="CQ29" s="74" t="n">
        <f aca="false">SQRT(($B29-CQ$5)^2+($C29-CQ$6)^2+($D29-CQ$7)^2)</f>
        <v>2.79579938216366</v>
      </c>
      <c r="CR29" s="74" t="n">
        <f aca="false">SQRT(($B29-CR$5)^2+($C29-CR$6)^2+($D29-CR$7)^2)</f>
        <v>2.78365008094412</v>
      </c>
      <c r="CS29" s="74" t="n">
        <f aca="false">SQRT(($B29-CS$5)^2+($C29-CS$6)^2+($D29-CS$7)^2)</f>
        <v>3.25856089246498</v>
      </c>
      <c r="CT29" s="74" t="n">
        <f aca="false">SQRT(($B29-CT$5)^2+($C29-CT$6)^2+($D29-CT$7)^2)</f>
        <v>3.28625821211196</v>
      </c>
      <c r="CU29" s="74" t="n">
        <f aca="false">SQRT(($B29-CU$5)^2+($C29-CU$6)^2+($D29-CU$7)^2)</f>
        <v>2.83731495648867</v>
      </c>
      <c r="CV29" s="74" t="n">
        <f aca="false">SQRT(($B29-CV$5)^2+($C29-CV$6)^2+($D29-CV$7)^2)</f>
        <v>2.5966660072657</v>
      </c>
      <c r="CW29" s="74" t="n">
        <f aca="false">SQRT(($B29-CW$5)^2+($C29-CW$6)^2+($D29-CW$7)^2)</f>
        <v>3.28625821211196</v>
      </c>
      <c r="CX29" s="74" t="n">
        <f aca="false">SQRT(($B29-CX$5)^2+($C29-CX$6)^2+($D29-CX$7)^2)</f>
        <v>2.73449625047824</v>
      </c>
      <c r="CY29" s="74" t="n">
        <f aca="false">SQRT(($B29-CY$5)^2+($C29-CY$6)^2+($D29-CY$7)^2)</f>
        <v>3.31747033627089</v>
      </c>
      <c r="CZ29" s="74" t="n">
        <f aca="false">SQRT(($B29-CZ$5)^2+($C29-CZ$6)^2+($D29-CZ$7)^2)</f>
        <v>3.31747033627089</v>
      </c>
      <c r="DA29" s="74" t="n">
        <f aca="false">SQRT(($B29-DA$5)^2+($C29-DA$6)^2+($D29-DA$7)^2)</f>
        <v>2.9435953077602</v>
      </c>
      <c r="DB29" s="74" t="n">
        <f aca="false">SQRT(($B29-DB$5)^2+($C29-DB$6)^2+($D29-DB$7)^2)</f>
        <v>3.35308031609903</v>
      </c>
      <c r="DC29" s="74" t="n">
        <f aca="false">SQRT(($B29-DC$5)^2+($C29-DC$6)^2+($D29-DC$7)^2)</f>
        <v>3.35308031609903</v>
      </c>
      <c r="DD29" s="74" t="n">
        <f aca="false">SQRT(($B29-DD$5)^2+($C29-DD$6)^2+($D29-DD$7)^2)</f>
        <v>3.05289977532878</v>
      </c>
      <c r="DE29" s="74" t="n">
        <f aca="false">SQRT(($B29-DE$5)^2+($C29-DE$6)^2+($D29-DE$7)^2)</f>
        <v>3.25289565740503</v>
      </c>
      <c r="DF29" s="74" t="n">
        <f aca="false">SQRT(($B29-DF$5)^2+($C29-DF$6)^2+($D29-DF$7)^2)</f>
        <v>3.57677407647903</v>
      </c>
      <c r="DG29" s="74" t="n">
        <f aca="false">SQRT(($B29-DG$5)^2+($C29-DG$6)^2+($D29-DG$7)^2)</f>
        <v>3.67602032402864</v>
      </c>
      <c r="DH29" s="74" t="n">
        <f aca="false">SQRT(($B29-DH$5)^2+($C29-DH$6)^2+($D29-DH$7)^2)</f>
        <v>3.67602032402864</v>
      </c>
      <c r="DI29" s="74" t="n">
        <f aca="false">SQRT(($B29-DI$5)^2+($C29-DI$6)^2+($D29-DI$7)^2)</f>
        <v>3.67602032402864</v>
      </c>
      <c r="DJ29" s="74" t="n">
        <f aca="false">SQRT(($B29-DJ$5)^2+($C29-DJ$6)^2+($D29-DJ$7)^2)</f>
        <v>3.67602032402864</v>
      </c>
      <c r="DK29" s="74" t="n">
        <f aca="false">SQRT(($B29-DK$5)^2+($C29-DK$6)^2+($D29-DK$7)^2)</f>
        <v>3.82148883195752</v>
      </c>
      <c r="DL29" s="74" t="n">
        <f aca="false">SQRT(($B29-DL$5)^2+($C29-DL$6)^2+($D29-DL$7)^2)</f>
        <v>3.82148883195752</v>
      </c>
      <c r="DM29" s="74" t="n">
        <f aca="false">SQRT(($B29-DM$5)^2+($C29-DM$6)^2+($D29-DM$7)^2)</f>
        <v>3.82148883195752</v>
      </c>
      <c r="DN29" s="74" t="n">
        <f aca="false">SQRT(($B29-DN$5)^2+($C29-DN$6)^2+($D29-DN$7)^2)</f>
        <v>3.82148883195752</v>
      </c>
      <c r="DO29" s="74" t="n">
        <f aca="false">SQRT(($B29-DO$5)^2+($C29-DO$6)^2+($D29-DO$7)^2)</f>
        <v>3.82148883195752</v>
      </c>
      <c r="DP29" s="74" t="n">
        <f aca="false">SQRT(($B29-DP$5)^2+($C29-DP$6)^2+($D29-DP$7)^2)</f>
        <v>4.08344706124881</v>
      </c>
      <c r="DQ29" s="74" t="n">
        <f aca="false">SQRT(($B29-DQ$5)^2+($C29-DQ$6)^2+($D29-DQ$7)^2)</f>
        <v>4.08344706124881</v>
      </c>
    </row>
    <row r="30" customFormat="false" ht="15" hidden="false" customHeight="false" outlineLevel="0" collapsed="false">
      <c r="A30" s="48" t="str">
        <f aca="false">KMeans_Data!A21</f>
        <v>Khairpur</v>
      </c>
      <c r="B30" s="72" t="n">
        <f aca="false">KMeans_Data!H21</f>
        <v>0.88016218188859</v>
      </c>
      <c r="C30" s="72" t="n">
        <f aca="false">KMeans_Data!I21</f>
        <v>0.378684277529216</v>
      </c>
      <c r="D30" s="72" t="n">
        <f aca="false">KMeans_Data!J21</f>
        <v>1.58320837987195</v>
      </c>
      <c r="E30" s="74" t="n">
        <f aca="false">SQRT(($B30-E$5)^2+($C30-E$6)^2+($D30-E$7)^2)</f>
        <v>4.68145377022651</v>
      </c>
      <c r="F30" s="74" t="n">
        <f aca="false">SQRT(($B30-F$5)^2+($C30-F$6)^2+($D30-F$7)^2)</f>
        <v>4.59297230374449</v>
      </c>
      <c r="G30" s="74" t="n">
        <f aca="false">SQRT(($B30-G$5)^2+($C30-G$6)^2+($D30-G$7)^2)</f>
        <v>2.54854472098449</v>
      </c>
      <c r="H30" s="74" t="n">
        <f aca="false">SQRT(($B30-H$5)^2+($C30-H$6)^2+($D30-H$7)^2)</f>
        <v>3.5045045187435</v>
      </c>
      <c r="I30" s="74" t="n">
        <f aca="false">SQRT(($B30-I$5)^2+($C30-I$6)^2+($D30-I$7)^2)</f>
        <v>2.12737966649266</v>
      </c>
      <c r="J30" s="74" t="n">
        <f aca="false">SQRT(($B30-J$5)^2+($C30-J$6)^2+($D30-J$7)^2)</f>
        <v>1.95620922314335</v>
      </c>
      <c r="K30" s="74" t="n">
        <f aca="false">SQRT(($B30-K$5)^2+($C30-K$6)^2+($D30-K$7)^2)</f>
        <v>2.46076645600969</v>
      </c>
      <c r="L30" s="74" t="n">
        <f aca="false">SQRT(($B30-L$5)^2+($C30-L$6)^2+($D30-L$7)^2)</f>
        <v>0.551892949976067</v>
      </c>
      <c r="M30" s="74" t="n">
        <f aca="false">SQRT(($B30-M$5)^2+($C30-M$6)^2+($D30-M$7)^2)</f>
        <v>0.922164516196062</v>
      </c>
      <c r="N30" s="74" t="n">
        <f aca="false">SQRT(($B30-N$5)^2+($C30-N$6)^2+($D30-N$7)^2)</f>
        <v>2.48523816107814</v>
      </c>
      <c r="O30" s="74" t="n">
        <f aca="false">SQRT(($B30-O$5)^2+($C30-O$6)^2+($D30-O$7)^2)</f>
        <v>1.27515501471259</v>
      </c>
      <c r="P30" s="74" t="n">
        <f aca="false">SQRT(($B30-P$5)^2+($C30-P$6)^2+($D30-P$7)^2)</f>
        <v>1.47165460333204</v>
      </c>
      <c r="Q30" s="74" t="n">
        <f aca="false">SQRT(($B30-Q$5)^2+($C30-Q$6)^2+($D30-Q$7)^2)</f>
        <v>0.810738881307452</v>
      </c>
      <c r="R30" s="74" t="n">
        <f aca="false">SQRT(($B30-R$5)^2+($C30-R$6)^2+($D30-R$7)^2)</f>
        <v>0.193464640160583</v>
      </c>
      <c r="S30" s="74" t="n">
        <f aca="false">SQRT(($B30-S$5)^2+($C30-S$6)^2+($D30-S$7)^2)</f>
        <v>0.682608251730896</v>
      </c>
      <c r="T30" s="74" t="n">
        <f aca="false">SQRT(($B30-T$5)^2+($C30-T$6)^2+($D30-T$7)^2)</f>
        <v>0.854061870652138</v>
      </c>
      <c r="U30" s="74" t="n">
        <f aca="false">SQRT(($B30-U$5)^2+($C30-U$6)^2+($D30-U$7)^2)</f>
        <v>0</v>
      </c>
      <c r="V30" s="74" t="n">
        <f aca="false">SQRT(($B30-V$5)^2+($C30-V$6)^2+($D30-V$7)^2)</f>
        <v>1.3915878658751</v>
      </c>
      <c r="W30" s="74" t="n">
        <f aca="false">SQRT(($B30-W$5)^2+($C30-W$6)^2+($D30-W$7)^2)</f>
        <v>1.19442322334085</v>
      </c>
      <c r="X30" s="74" t="n">
        <f aca="false">SQRT(($B30-X$5)^2+($C30-X$6)^2+($D30-X$7)^2)</f>
        <v>0.693003580460526</v>
      </c>
      <c r="Y30" s="74" t="n">
        <f aca="false">SQRT(($B30-Y$5)^2+($C30-Y$6)^2+($D30-Y$7)^2)</f>
        <v>0.536086185984441</v>
      </c>
      <c r="Z30" s="74" t="n">
        <f aca="false">SQRT(($B30-Z$5)^2+($C30-Z$6)^2+($D30-Z$7)^2)</f>
        <v>1.05832235656432</v>
      </c>
      <c r="AA30" s="74" t="n">
        <f aca="false">SQRT(($B30-AA$5)^2+($C30-AA$6)^2+($D30-AA$7)^2)</f>
        <v>0.667632382891707</v>
      </c>
      <c r="AB30" s="74" t="n">
        <f aca="false">SQRT(($B30-AB$5)^2+($C30-AB$6)^2+($D30-AB$7)^2)</f>
        <v>0.936557910857739</v>
      </c>
      <c r="AC30" s="74" t="n">
        <f aca="false">SQRT(($B30-AC$5)^2+($C30-AC$6)^2+($D30-AC$7)^2)</f>
        <v>1.32302613386786</v>
      </c>
      <c r="AD30" s="74" t="n">
        <f aca="false">SQRT(($B30-AD$5)^2+($C30-AD$6)^2+($D30-AD$7)^2)</f>
        <v>0.550082363410579</v>
      </c>
      <c r="AE30" s="74" t="n">
        <f aca="false">SQRT(($B30-AE$5)^2+($C30-AE$6)^2+($D30-AE$7)^2)</f>
        <v>2.78889715164164</v>
      </c>
      <c r="AF30" s="74" t="n">
        <f aca="false">SQRT(($B30-AF$5)^2+($C30-AF$6)^2+($D30-AF$7)^2)</f>
        <v>0.822069459605311</v>
      </c>
      <c r="AG30" s="74" t="n">
        <f aca="false">SQRT(($B30-AG$5)^2+($C30-AG$6)^2+($D30-AG$7)^2)</f>
        <v>2.26478640996759</v>
      </c>
      <c r="AH30" s="74" t="n">
        <f aca="false">SQRT(($B30-AH$5)^2+($C30-AH$6)^2+($D30-AH$7)^2)</f>
        <v>0.884146404782545</v>
      </c>
      <c r="AI30" s="74" t="n">
        <f aca="false">SQRT(($B30-AI$5)^2+($C30-AI$6)^2+($D30-AI$7)^2)</f>
        <v>2.26521105237438</v>
      </c>
      <c r="AJ30" s="74" t="n">
        <f aca="false">SQRT(($B30-AJ$5)^2+($C30-AJ$6)^2+($D30-AJ$7)^2)</f>
        <v>0.588729777608586</v>
      </c>
      <c r="AK30" s="74" t="n">
        <f aca="false">SQRT(($B30-AK$5)^2+($C30-AK$6)^2+($D30-AK$7)^2)</f>
        <v>1.34252816794469</v>
      </c>
      <c r="AL30" s="74" t="n">
        <f aca="false">SQRT(($B30-AL$5)^2+($C30-AL$6)^2+($D30-AL$7)^2)</f>
        <v>1.22312417279974</v>
      </c>
      <c r="AM30" s="74" t="n">
        <f aca="false">SQRT(($B30-AM$5)^2+($C30-AM$6)^2+($D30-AM$7)^2)</f>
        <v>1.67004192951879</v>
      </c>
      <c r="AN30" s="74" t="n">
        <f aca="false">SQRT(($B30-AN$5)^2+($C30-AN$6)^2+($D30-AN$7)^2)</f>
        <v>1.23132417927883</v>
      </c>
      <c r="AO30" s="74" t="n">
        <f aca="false">SQRT(($B30-AO$5)^2+($C30-AO$6)^2+($D30-AO$7)^2)</f>
        <v>1.13492351989543</v>
      </c>
      <c r="AP30" s="74" t="n">
        <f aca="false">SQRT(($B30-AP$5)^2+($C30-AP$6)^2+($D30-AP$7)^2)</f>
        <v>1.21008246038159</v>
      </c>
      <c r="AQ30" s="74" t="n">
        <f aca="false">SQRT(($B30-AQ$5)^2+($C30-AQ$6)^2+($D30-AQ$7)^2)</f>
        <v>1.39057674830773</v>
      </c>
      <c r="AR30" s="74" t="n">
        <f aca="false">SQRT(($B30-AR$5)^2+($C30-AR$6)^2+($D30-AR$7)^2)</f>
        <v>1.74635673319675</v>
      </c>
      <c r="AS30" s="74" t="n">
        <f aca="false">SQRT(($B30-AS$5)^2+($C30-AS$6)^2+($D30-AS$7)^2)</f>
        <v>1.32279877651087</v>
      </c>
      <c r="AT30" s="74" t="n">
        <f aca="false">SQRT(($B30-AT$5)^2+($C30-AT$6)^2+($D30-AT$7)^2)</f>
        <v>1.13952633778426</v>
      </c>
      <c r="AU30" s="74" t="n">
        <f aca="false">SQRT(($B30-AU$5)^2+($C30-AU$6)^2+($D30-AU$7)^2)</f>
        <v>2.36335908174451</v>
      </c>
      <c r="AV30" s="74" t="n">
        <f aca="false">SQRT(($B30-AV$5)^2+($C30-AV$6)^2+($D30-AV$7)^2)</f>
        <v>1.62343256486022</v>
      </c>
      <c r="AW30" s="74" t="n">
        <f aca="false">SQRT(($B30-AW$5)^2+($C30-AW$6)^2+($D30-AW$7)^2)</f>
        <v>2.70438270274017</v>
      </c>
      <c r="AX30" s="74" t="n">
        <f aca="false">SQRT(($B30-AX$5)^2+($C30-AX$6)^2+($D30-AX$7)^2)</f>
        <v>1.38233513019328</v>
      </c>
      <c r="AY30" s="74" t="n">
        <f aca="false">SQRT(($B30-AY$5)^2+($C30-AY$6)^2+($D30-AY$7)^2)</f>
        <v>3.00220509089464</v>
      </c>
      <c r="AZ30" s="74" t="n">
        <f aca="false">SQRT(($B30-AZ$5)^2+($C30-AZ$6)^2+($D30-AZ$7)^2)</f>
        <v>1.36742891703223</v>
      </c>
      <c r="BA30" s="74" t="n">
        <f aca="false">SQRT(($B30-BA$5)^2+($C30-BA$6)^2+($D30-BA$7)^2)</f>
        <v>1.16900074009001</v>
      </c>
      <c r="BB30" s="74" t="n">
        <f aca="false">SQRT(($B30-BB$5)^2+($C30-BB$6)^2+($D30-BB$7)^2)</f>
        <v>3.00369295626098</v>
      </c>
      <c r="BC30" s="74" t="n">
        <f aca="false">SQRT(($B30-BC$5)^2+($C30-BC$6)^2+($D30-BC$7)^2)</f>
        <v>3.00521356121423</v>
      </c>
      <c r="BD30" s="74" t="n">
        <f aca="false">SQRT(($B30-BD$5)^2+($C30-BD$6)^2+($D30-BD$7)^2)</f>
        <v>2.44267392508464</v>
      </c>
      <c r="BE30" s="74" t="n">
        <f aca="false">SQRT(($B30-BE$5)^2+($C30-BE$6)^2+($D30-BE$7)^2)</f>
        <v>2.22980536059579</v>
      </c>
      <c r="BF30" s="74" t="n">
        <f aca="false">SQRT(($B30-BF$5)^2+($C30-BF$6)^2+($D30-BF$7)^2)</f>
        <v>1.4898776306388</v>
      </c>
      <c r="BG30" s="74" t="n">
        <f aca="false">SQRT(($B30-BG$5)^2+($C30-BG$6)^2+($D30-BG$7)^2)</f>
        <v>1.34708719980039</v>
      </c>
      <c r="BH30" s="74" t="n">
        <f aca="false">SQRT(($B30-BH$5)^2+($C30-BH$6)^2+($D30-BH$7)^2)</f>
        <v>3.03059146697633</v>
      </c>
      <c r="BI30" s="74" t="n">
        <f aca="false">SQRT(($B30-BI$5)^2+($C30-BI$6)^2+($D30-BI$7)^2)</f>
        <v>3.03496985515145</v>
      </c>
      <c r="BJ30" s="74" t="n">
        <f aca="false">SQRT(($B30-BJ$5)^2+($C30-BJ$6)^2+($D30-BJ$7)^2)</f>
        <v>1.8024444041058</v>
      </c>
      <c r="BK30" s="74" t="n">
        <f aca="false">SQRT(($B30-BK$5)^2+($C30-BK$6)^2+($D30-BK$7)^2)</f>
        <v>2.40874200964708</v>
      </c>
      <c r="BL30" s="74" t="n">
        <f aca="false">SQRT(($B30-BL$5)^2+($C30-BL$6)^2+($D30-BL$7)^2)</f>
        <v>1.83643180663691</v>
      </c>
      <c r="BM30" s="74" t="n">
        <f aca="false">SQRT(($B30-BM$5)^2+($C30-BM$6)^2+($D30-BM$7)^2)</f>
        <v>1.42562754410349</v>
      </c>
      <c r="BN30" s="74" t="n">
        <f aca="false">SQRT(($B30-BN$5)^2+($C30-BN$6)^2+($D30-BN$7)^2)</f>
        <v>1.80927611145672</v>
      </c>
      <c r="BO30" s="74" t="n">
        <f aca="false">SQRT(($B30-BO$5)^2+($C30-BO$6)^2+($D30-BO$7)^2)</f>
        <v>2.79199492153443</v>
      </c>
      <c r="BP30" s="74" t="n">
        <f aca="false">SQRT(($B30-BP$5)^2+($C30-BP$6)^2+($D30-BP$7)^2)</f>
        <v>1.65607958894422</v>
      </c>
      <c r="BQ30" s="74" t="n">
        <f aca="false">SQRT(($B30-BQ$5)^2+($C30-BQ$6)^2+($D30-BQ$7)^2)</f>
        <v>1.64344998324734</v>
      </c>
      <c r="BR30" s="74" t="n">
        <f aca="false">SQRT(($B30-BR$5)^2+($C30-BR$6)^2+($D30-BR$7)^2)</f>
        <v>1.62312162593127</v>
      </c>
      <c r="BS30" s="74" t="n">
        <f aca="false">SQRT(($B30-BS$5)^2+($C30-BS$6)^2+($D30-BS$7)^2)</f>
        <v>1.78506870078497</v>
      </c>
      <c r="BT30" s="74" t="n">
        <f aca="false">SQRT(($B30-BT$5)^2+($C30-BT$6)^2+($D30-BT$7)^2)</f>
        <v>2.05779429773159</v>
      </c>
      <c r="BU30" s="74" t="n">
        <f aca="false">SQRT(($B30-BU$5)^2+($C30-BU$6)^2+($D30-BU$7)^2)</f>
        <v>2.11575967510149</v>
      </c>
      <c r="BV30" s="74" t="n">
        <f aca="false">SQRT(($B30-BV$5)^2+($C30-BV$6)^2+($D30-BV$7)^2)</f>
        <v>3.13874288082317</v>
      </c>
      <c r="BW30" s="74" t="n">
        <f aca="false">SQRT(($B30-BW$5)^2+($C30-BW$6)^2+($D30-BW$7)^2)</f>
        <v>2.03045214347598</v>
      </c>
      <c r="BX30" s="74" t="n">
        <f aca="false">SQRT(($B30-BX$5)^2+($C30-BX$6)^2+($D30-BX$7)^2)</f>
        <v>3.14459561188899</v>
      </c>
      <c r="BY30" s="74" t="n">
        <f aca="false">SQRT(($B30-BY$5)^2+($C30-BY$6)^2+($D30-BY$7)^2)</f>
        <v>2.37418981886246</v>
      </c>
      <c r="BZ30" s="74" t="n">
        <f aca="false">SQRT(($B30-BZ$5)^2+($C30-BZ$6)^2+($D30-BZ$7)^2)</f>
        <v>2.42927132349142</v>
      </c>
      <c r="CA30" s="74" t="n">
        <f aca="false">SQRT(($B30-CA$5)^2+($C30-CA$6)^2+($D30-CA$7)^2)</f>
        <v>3.16379064366665</v>
      </c>
      <c r="CB30" s="74" t="n">
        <f aca="false">SQRT(($B30-CB$5)^2+($C30-CB$6)^2+($D30-CB$7)^2)</f>
        <v>2.43839984528354</v>
      </c>
      <c r="CC30" s="74" t="n">
        <f aca="false">SQRT(($B30-CC$5)^2+($C30-CC$6)^2+($D30-CC$7)^2)</f>
        <v>3.1708052414637</v>
      </c>
      <c r="CD30" s="74" t="n">
        <f aca="false">SQRT(($B30-CD$5)^2+($C30-CD$6)^2+($D30-CD$7)^2)</f>
        <v>3.18591240072467</v>
      </c>
      <c r="CE30" s="74" t="n">
        <f aca="false">SQRT(($B30-CE$5)^2+($C30-CE$6)^2+($D30-CE$7)^2)</f>
        <v>2.26448379115399</v>
      </c>
      <c r="CF30" s="74" t="n">
        <f aca="false">SQRT(($B30-CF$5)^2+($C30-CF$6)^2+($D30-CF$7)^2)</f>
        <v>2.00293796959449</v>
      </c>
      <c r="CG30" s="74" t="n">
        <f aca="false">SQRT(($B30-CG$5)^2+($C30-CG$6)^2+($D30-CG$7)^2)</f>
        <v>2.4564839096557</v>
      </c>
      <c r="CH30" s="74" t="n">
        <f aca="false">SQRT(($B30-CH$5)^2+($C30-CH$6)^2+($D30-CH$7)^2)</f>
        <v>2.61978851833627</v>
      </c>
      <c r="CI30" s="74" t="n">
        <f aca="false">SQRT(($B30-CI$5)^2+($C30-CI$6)^2+($D30-CI$7)^2)</f>
        <v>2.72407727958121</v>
      </c>
      <c r="CJ30" s="74" t="n">
        <f aca="false">SQRT(($B30-CJ$5)^2+($C30-CJ$6)^2+($D30-CJ$7)^2)</f>
        <v>2.98991606461881</v>
      </c>
      <c r="CK30" s="74" t="n">
        <f aca="false">SQRT(($B30-CK$5)^2+($C30-CK$6)^2+($D30-CK$7)^2)</f>
        <v>2.43481693565441</v>
      </c>
      <c r="CL30" s="74" t="n">
        <f aca="false">SQRT(($B30-CL$5)^2+($C30-CL$6)^2+($D30-CL$7)^2)</f>
        <v>3.29435538391886</v>
      </c>
      <c r="CM30" s="74" t="n">
        <f aca="false">SQRT(($B30-CM$5)^2+($C30-CM$6)^2+($D30-CM$7)^2)</f>
        <v>2.6477726142105</v>
      </c>
      <c r="CN30" s="74" t="n">
        <f aca="false">SQRT(($B30-CN$5)^2+($C30-CN$6)^2+($D30-CN$7)^2)</f>
        <v>1.92464924537687</v>
      </c>
      <c r="CO30" s="74" t="n">
        <f aca="false">SQRT(($B30-CO$5)^2+($C30-CO$6)^2+($D30-CO$7)^2)</f>
        <v>2.45618214706967</v>
      </c>
      <c r="CP30" s="74" t="n">
        <f aca="false">SQRT(($B30-CP$5)^2+($C30-CP$6)^2+($D30-CP$7)^2)</f>
        <v>3.34549082697507</v>
      </c>
      <c r="CQ30" s="74" t="n">
        <f aca="false">SQRT(($B30-CQ$5)^2+($C30-CQ$6)^2+($D30-CQ$7)^2)</f>
        <v>2.79558543379126</v>
      </c>
      <c r="CR30" s="74" t="n">
        <f aca="false">SQRT(($B30-CR$5)^2+($C30-CR$6)^2+($D30-CR$7)^2)</f>
        <v>2.76411900076618</v>
      </c>
      <c r="CS30" s="74" t="n">
        <f aca="false">SQRT(($B30-CS$5)^2+($C30-CS$6)^2+($D30-CS$7)^2)</f>
        <v>3.38857365706999</v>
      </c>
      <c r="CT30" s="74" t="n">
        <f aca="false">SQRT(($B30-CT$5)^2+($C30-CT$6)^2+($D30-CT$7)^2)</f>
        <v>3.41390250451182</v>
      </c>
      <c r="CU30" s="74" t="n">
        <f aca="false">SQRT(($B30-CU$5)^2+($C30-CU$6)^2+($D30-CU$7)^2)</f>
        <v>3.02917734233734</v>
      </c>
      <c r="CV30" s="74" t="n">
        <f aca="false">SQRT(($B30-CV$5)^2+($C30-CV$6)^2+($D30-CV$7)^2)</f>
        <v>2.43830805460014</v>
      </c>
      <c r="CW30" s="74" t="n">
        <f aca="false">SQRT(($B30-CW$5)^2+($C30-CW$6)^2+($D30-CW$7)^2)</f>
        <v>3.41390250451182</v>
      </c>
      <c r="CX30" s="74" t="n">
        <f aca="false">SQRT(($B30-CX$5)^2+($C30-CX$6)^2+($D30-CX$7)^2)</f>
        <v>2.64975640940671</v>
      </c>
      <c r="CY30" s="74" t="n">
        <f aca="false">SQRT(($B30-CY$5)^2+($C30-CY$6)^2+($D30-CY$7)^2)</f>
        <v>3.44251728110117</v>
      </c>
      <c r="CZ30" s="74" t="n">
        <f aca="false">SQRT(($B30-CZ$5)^2+($C30-CZ$6)^2+($D30-CZ$7)^2)</f>
        <v>3.44251728110117</v>
      </c>
      <c r="DA30" s="74" t="n">
        <f aca="false">SQRT(($B30-DA$5)^2+($C30-DA$6)^2+($D30-DA$7)^2)</f>
        <v>2.95932241517887</v>
      </c>
      <c r="DB30" s="74" t="n">
        <f aca="false">SQRT(($B30-DB$5)^2+($C30-DB$6)^2+($D30-DB$7)^2)</f>
        <v>3.47525137787769</v>
      </c>
      <c r="DC30" s="74" t="n">
        <f aca="false">SQRT(($B30-DC$5)^2+($C30-DC$6)^2+($D30-DC$7)^2)</f>
        <v>3.47525137787769</v>
      </c>
      <c r="DD30" s="74" t="n">
        <f aca="false">SQRT(($B30-DD$5)^2+($C30-DD$6)^2+($D30-DD$7)^2)</f>
        <v>3.09161693907374</v>
      </c>
      <c r="DE30" s="74" t="n">
        <f aca="false">SQRT(($B30-DE$5)^2+($C30-DE$6)^2+($D30-DE$7)^2)</f>
        <v>3.31846720164877</v>
      </c>
      <c r="DF30" s="74" t="n">
        <f aca="false">SQRT(($B30-DF$5)^2+($C30-DF$6)^2+($D30-DF$7)^2)</f>
        <v>3.68269816764398</v>
      </c>
      <c r="DG30" s="74" t="n">
        <f aca="false">SQRT(($B30-DG$5)^2+($C30-DG$6)^2+($D30-DG$7)^2)</f>
        <v>3.77557787477056</v>
      </c>
      <c r="DH30" s="74" t="n">
        <f aca="false">SQRT(($B30-DH$5)^2+($C30-DH$6)^2+($D30-DH$7)^2)</f>
        <v>3.77557787477056</v>
      </c>
      <c r="DI30" s="74" t="n">
        <f aca="false">SQRT(($B30-DI$5)^2+($C30-DI$6)^2+($D30-DI$7)^2)</f>
        <v>3.77557787477056</v>
      </c>
      <c r="DJ30" s="74" t="n">
        <f aca="false">SQRT(($B30-DJ$5)^2+($C30-DJ$6)^2+($D30-DJ$7)^2)</f>
        <v>3.77557787477056</v>
      </c>
      <c r="DK30" s="74" t="n">
        <f aca="false">SQRT(($B30-DK$5)^2+($C30-DK$6)^2+($D30-DK$7)^2)</f>
        <v>3.91247471035122</v>
      </c>
      <c r="DL30" s="74" t="n">
        <f aca="false">SQRT(($B30-DL$5)^2+($C30-DL$6)^2+($D30-DL$7)^2)</f>
        <v>3.91247471035122</v>
      </c>
      <c r="DM30" s="74" t="n">
        <f aca="false">SQRT(($B30-DM$5)^2+($C30-DM$6)^2+($D30-DM$7)^2)</f>
        <v>3.91247471035122</v>
      </c>
      <c r="DN30" s="74" t="n">
        <f aca="false">SQRT(($B30-DN$5)^2+($C30-DN$6)^2+($D30-DN$7)^2)</f>
        <v>3.91247471035122</v>
      </c>
      <c r="DO30" s="74" t="n">
        <f aca="false">SQRT(($B30-DO$5)^2+($C30-DO$6)^2+($D30-DO$7)^2)</f>
        <v>3.91247471035122</v>
      </c>
      <c r="DP30" s="74" t="n">
        <f aca="false">SQRT(($B30-DP$5)^2+($C30-DP$6)^2+($D30-DP$7)^2)</f>
        <v>4.16088329984745</v>
      </c>
      <c r="DQ30" s="74" t="n">
        <f aca="false">SQRT(($B30-DQ$5)^2+($C30-DQ$6)^2+($D30-DQ$7)^2)</f>
        <v>4.16088329984745</v>
      </c>
    </row>
    <row r="31" customFormat="false" ht="15" hidden="false" customHeight="false" outlineLevel="0" collapsed="false">
      <c r="A31" s="48" t="str">
        <f aca="false">KMeans_Data!A22</f>
        <v>Abbottabad</v>
      </c>
      <c r="B31" s="72" t="n">
        <f aca="false">KMeans_Data!H22</f>
        <v>0.853001062018471</v>
      </c>
      <c r="C31" s="72" t="n">
        <f aca="false">KMeans_Data!I22</f>
        <v>1.38107452085777</v>
      </c>
      <c r="D31" s="72" t="n">
        <f aca="false">KMeans_Data!J22</f>
        <v>0.618328666074444</v>
      </c>
      <c r="E31" s="74" t="n">
        <f aca="false">SQRT(($B31-E$5)^2+($C31-E$6)^2+($D31-E$7)^2)</f>
        <v>4.45718422157071</v>
      </c>
      <c r="F31" s="74" t="n">
        <f aca="false">SQRT(($B31-F$5)^2+($C31-F$6)^2+($D31-F$7)^2)</f>
        <v>4.20758996184</v>
      </c>
      <c r="G31" s="74" t="n">
        <f aca="false">SQRT(($B31-G$5)^2+($C31-G$6)^2+($D31-G$7)^2)</f>
        <v>2.48898087164454</v>
      </c>
      <c r="H31" s="74" t="n">
        <f aca="false">SQRT(($B31-H$5)^2+($C31-H$6)^2+($D31-H$7)^2)</f>
        <v>2.83297604480608</v>
      </c>
      <c r="I31" s="74" t="n">
        <f aca="false">SQRT(($B31-I$5)^2+($C31-I$6)^2+($D31-I$7)^2)</f>
        <v>1.83542137283757</v>
      </c>
      <c r="J31" s="74" t="n">
        <f aca="false">SQRT(($B31-J$5)^2+($C31-J$6)^2+($D31-J$7)^2)</f>
        <v>1.34669155361249</v>
      </c>
      <c r="K31" s="74" t="n">
        <f aca="false">SQRT(($B31-K$5)^2+($C31-K$6)^2+($D31-K$7)^2)</f>
        <v>1.95141796986509</v>
      </c>
      <c r="L31" s="74" t="n">
        <f aca="false">SQRT(($B31-L$5)^2+($C31-L$6)^2+($D31-L$7)^2)</f>
        <v>1.38554013108608</v>
      </c>
      <c r="M31" s="74" t="n">
        <f aca="false">SQRT(($B31-M$5)^2+($C31-M$6)^2+($D31-M$7)^2)</f>
        <v>1.16357092084255</v>
      </c>
      <c r="N31" s="74" t="n">
        <f aca="false">SQRT(($B31-N$5)^2+($C31-N$6)^2+($D31-N$7)^2)</f>
        <v>2.13026697687066</v>
      </c>
      <c r="O31" s="74" t="n">
        <f aca="false">SQRT(($B31-O$5)^2+($C31-O$6)^2+($D31-O$7)^2)</f>
        <v>0.478443531750874</v>
      </c>
      <c r="P31" s="74" t="n">
        <f aca="false">SQRT(($B31-P$5)^2+($C31-P$6)^2+($D31-P$7)^2)</f>
        <v>0.725293489308026</v>
      </c>
      <c r="Q31" s="74" t="n">
        <f aca="false">SQRT(($B31-Q$5)^2+($C31-Q$6)^2+($D31-Q$7)^2)</f>
        <v>0.632136661055624</v>
      </c>
      <c r="R31" s="74" t="n">
        <f aca="false">SQRT(($B31-R$5)^2+($C31-R$6)^2+($D31-R$7)^2)</f>
        <v>1.32845751007486</v>
      </c>
      <c r="S31" s="74" t="n">
        <f aca="false">SQRT(($B31-S$5)^2+($C31-S$6)^2+($D31-S$7)^2)</f>
        <v>1.63089964339555</v>
      </c>
      <c r="T31" s="74" t="n">
        <f aca="false">SQRT(($B31-T$5)^2+($C31-T$6)^2+($D31-T$7)^2)</f>
        <v>0.554710855889756</v>
      </c>
      <c r="U31" s="74" t="n">
        <f aca="false">SQRT(($B31-U$5)^2+($C31-U$6)^2+($D31-U$7)^2)</f>
        <v>1.3915878658751</v>
      </c>
      <c r="V31" s="74" t="n">
        <f aca="false">SQRT(($B31-V$5)^2+($C31-V$6)^2+($D31-V$7)^2)</f>
        <v>0</v>
      </c>
      <c r="W31" s="74" t="n">
        <f aca="false">SQRT(($B31-W$5)^2+($C31-W$6)^2+($D31-W$7)^2)</f>
        <v>0.316025980842597</v>
      </c>
      <c r="X31" s="74" t="n">
        <f aca="false">SQRT(($B31-X$5)^2+($C31-X$6)^2+($D31-X$7)^2)</f>
        <v>0.713611959565016</v>
      </c>
      <c r="Y31" s="74" t="n">
        <f aca="false">SQRT(($B31-Y$5)^2+($C31-Y$6)^2+($D31-Y$7)^2)</f>
        <v>0.872143767504634</v>
      </c>
      <c r="Z31" s="74" t="n">
        <f aca="false">SQRT(($B31-Z$5)^2+($C31-Z$6)^2+($D31-Z$7)^2)</f>
        <v>0.581904165579889</v>
      </c>
      <c r="AA31" s="74" t="n">
        <f aca="false">SQRT(($B31-AA$5)^2+($C31-AA$6)^2+($D31-AA$7)^2)</f>
        <v>1.26929921215364</v>
      </c>
      <c r="AB31" s="74" t="n">
        <f aca="false">SQRT(($B31-AB$5)^2+($C31-AB$6)^2+($D31-AB$7)^2)</f>
        <v>0.837481121044928</v>
      </c>
      <c r="AC31" s="74" t="n">
        <f aca="false">SQRT(($B31-AC$5)^2+($C31-AC$6)^2+($D31-AC$7)^2)</f>
        <v>0.1425287321578</v>
      </c>
      <c r="AD31" s="74" t="n">
        <f aca="false">SQRT(($B31-AD$5)^2+($C31-AD$6)^2+($D31-AD$7)^2)</f>
        <v>0.889234534156777</v>
      </c>
      <c r="AE31" s="74" t="n">
        <f aca="false">SQRT(($B31-AE$5)^2+($C31-AE$6)^2+($D31-AE$7)^2)</f>
        <v>2.34297782200597</v>
      </c>
      <c r="AF31" s="74" t="n">
        <f aca="false">SQRT(($B31-AF$5)^2+($C31-AF$6)^2+($D31-AF$7)^2)</f>
        <v>0.78144002422921</v>
      </c>
      <c r="AG31" s="74" t="n">
        <f aca="false">SQRT(($B31-AG$5)^2+($C31-AG$6)^2+($D31-AG$7)^2)</f>
        <v>2.30872820173589</v>
      </c>
      <c r="AH31" s="74" t="n">
        <f aca="false">SQRT(($B31-AH$5)^2+($C31-AH$6)^2+($D31-AH$7)^2)</f>
        <v>1.26181299149001</v>
      </c>
      <c r="AI31" s="74" t="n">
        <f aca="false">SQRT(($B31-AI$5)^2+($C31-AI$6)^2+($D31-AI$7)^2)</f>
        <v>2.30910754731259</v>
      </c>
      <c r="AJ31" s="74" t="n">
        <f aca="false">SQRT(($B31-AJ$5)^2+($C31-AJ$6)^2+($D31-AJ$7)^2)</f>
        <v>1.01016997972449</v>
      </c>
      <c r="AK31" s="74" t="n">
        <f aca="false">SQRT(($B31-AK$5)^2+($C31-AK$6)^2+($D31-AK$7)^2)</f>
        <v>1.10365191453545</v>
      </c>
      <c r="AL31" s="74" t="n">
        <f aca="false">SQRT(($B31-AL$5)^2+($C31-AL$6)^2+($D31-AL$7)^2)</f>
        <v>1.57320259287314</v>
      </c>
      <c r="AM31" s="74" t="n">
        <f aca="false">SQRT(($B31-AM$5)^2+($C31-AM$6)^2+($D31-AM$7)^2)</f>
        <v>0.482014757883057</v>
      </c>
      <c r="AN31" s="74" t="n">
        <f aca="false">SQRT(($B31-AN$5)^2+($C31-AN$6)^2+($D31-AN$7)^2)</f>
        <v>0.474407530555415</v>
      </c>
      <c r="AO31" s="74" t="n">
        <f aca="false">SQRT(($B31-AO$5)^2+($C31-AO$6)^2+($D31-AO$7)^2)</f>
        <v>1.08954660664902</v>
      </c>
      <c r="AP31" s="74" t="n">
        <f aca="false">SQRT(($B31-AP$5)^2+($C31-AP$6)^2+($D31-AP$7)^2)</f>
        <v>1.09975393285307</v>
      </c>
      <c r="AQ31" s="74" t="n">
        <f aca="false">SQRT(($B31-AQ$5)^2+($C31-AQ$6)^2+($D31-AQ$7)^2)</f>
        <v>0.458493874725255</v>
      </c>
      <c r="AR31" s="74" t="n">
        <f aca="false">SQRT(($B31-AR$5)^2+($C31-AR$6)^2+($D31-AR$7)^2)</f>
        <v>1.47988147096262</v>
      </c>
      <c r="AS31" s="74" t="n">
        <f aca="false">SQRT(($B31-AS$5)^2+($C31-AS$6)^2+($D31-AS$7)^2)</f>
        <v>2.15849922527934</v>
      </c>
      <c r="AT31" s="74" t="n">
        <f aca="false">SQRT(($B31-AT$5)^2+($C31-AT$6)^2+($D31-AT$7)^2)</f>
        <v>1.64159685566626</v>
      </c>
      <c r="AU31" s="74" t="n">
        <f aca="false">SQRT(($B31-AU$5)^2+($C31-AU$6)^2+($D31-AU$7)^2)</f>
        <v>2.06365025029136</v>
      </c>
      <c r="AV31" s="74" t="n">
        <f aca="false">SQRT(($B31-AV$5)^2+($C31-AV$6)^2+($D31-AV$7)^2)</f>
        <v>2.14110644750368</v>
      </c>
      <c r="AW31" s="74" t="n">
        <f aca="false">SQRT(($B31-AW$5)^2+($C31-AW$6)^2+($D31-AW$7)^2)</f>
        <v>2.58396094162292</v>
      </c>
      <c r="AX31" s="74" t="n">
        <f aca="false">SQRT(($B31-AX$5)^2+($C31-AX$6)^2+($D31-AX$7)^2)</f>
        <v>1.38952862796422</v>
      </c>
      <c r="AY31" s="74" t="n">
        <f aca="false">SQRT(($B31-AY$5)^2+($C31-AY$6)^2+($D31-AY$7)^2)</f>
        <v>2.78469459029558</v>
      </c>
      <c r="AZ31" s="74" t="n">
        <f aca="false">SQRT(($B31-AZ$5)^2+($C31-AZ$6)^2+($D31-AZ$7)^2)</f>
        <v>2.19419117627018</v>
      </c>
      <c r="BA31" s="74" t="n">
        <f aca="false">SQRT(($B31-BA$5)^2+($C31-BA$6)^2+($D31-BA$7)^2)</f>
        <v>1.67337242718011</v>
      </c>
      <c r="BB31" s="74" t="n">
        <f aca="false">SQRT(($B31-BB$5)^2+($C31-BB$6)^2+($D31-BB$7)^2)</f>
        <v>2.78623478691033</v>
      </c>
      <c r="BC31" s="74" t="n">
        <f aca="false">SQRT(($B31-BC$5)^2+($C31-BC$6)^2+($D31-BC$7)^2)</f>
        <v>2.78780940688041</v>
      </c>
      <c r="BD31" s="74" t="n">
        <f aca="false">SQRT(($B31-BD$5)^2+($C31-BD$6)^2+($D31-BD$7)^2)</f>
        <v>2.43839904009217</v>
      </c>
      <c r="BE31" s="74" t="n">
        <f aca="false">SQRT(($B31-BE$5)^2+($C31-BE$6)^2+($D31-BE$7)^2)</f>
        <v>2.33470097117856</v>
      </c>
      <c r="BF31" s="74" t="n">
        <f aca="false">SQRT(($B31-BF$5)^2+($C31-BF$6)^2+($D31-BF$7)^2)</f>
        <v>0.738179042314846</v>
      </c>
      <c r="BG31" s="74" t="n">
        <f aca="false">SQRT(($B31-BG$5)^2+($C31-BG$6)^2+($D31-BG$7)^2)</f>
        <v>1.70314088260712</v>
      </c>
      <c r="BH31" s="74" t="n">
        <f aca="false">SQRT(($B31-BH$5)^2+($C31-BH$6)^2+($D31-BH$7)^2)</f>
        <v>2.8141542661784</v>
      </c>
      <c r="BI31" s="74" t="n">
        <f aca="false">SQRT(($B31-BI$5)^2+($C31-BI$6)^2+($D31-BI$7)^2)</f>
        <v>2.81870963062693</v>
      </c>
      <c r="BJ31" s="74" t="n">
        <f aca="false">SQRT(($B31-BJ$5)^2+($C31-BJ$6)^2+($D31-BJ$7)^2)</f>
        <v>1.32500460861633</v>
      </c>
      <c r="BK31" s="74" t="n">
        <f aca="false">SQRT(($B31-BK$5)^2+($C31-BK$6)^2+($D31-BK$7)^2)</f>
        <v>2.44375639618043</v>
      </c>
      <c r="BL31" s="74" t="n">
        <f aca="false">SQRT(($B31-BL$5)^2+($C31-BL$6)^2+($D31-BL$7)^2)</f>
        <v>2.23967746534985</v>
      </c>
      <c r="BM31" s="74" t="n">
        <f aca="false">SQRT(($B31-BM$5)^2+($C31-BM$6)^2+($D31-BM$7)^2)</f>
        <v>1.22201660704375</v>
      </c>
      <c r="BN31" s="74" t="n">
        <f aca="false">SQRT(($B31-BN$5)^2+($C31-BN$6)^2+($D31-BN$7)^2)</f>
        <v>1.620133707801</v>
      </c>
      <c r="BO31" s="74" t="n">
        <f aca="false">SQRT(($B31-BO$5)^2+($C31-BO$6)^2+($D31-BO$7)^2)</f>
        <v>2.67243646047826</v>
      </c>
      <c r="BP31" s="74" t="n">
        <f aca="false">SQRT(($B31-BP$5)^2+($C31-BP$6)^2+($D31-BP$7)^2)</f>
        <v>1.58739534481823</v>
      </c>
      <c r="BQ31" s="74" t="n">
        <f aca="false">SQRT(($B31-BQ$5)^2+($C31-BQ$6)^2+($D31-BQ$7)^2)</f>
        <v>1.82173321870696</v>
      </c>
      <c r="BR31" s="74" t="n">
        <f aca="false">SQRT(($B31-BR$5)^2+($C31-BR$6)^2+($D31-BR$7)^2)</f>
        <v>1.82899137976896</v>
      </c>
      <c r="BS31" s="74" t="n">
        <f aca="false">SQRT(($B31-BS$5)^2+($C31-BS$6)^2+($D31-BS$7)^2)</f>
        <v>2.29582985925141</v>
      </c>
      <c r="BT31" s="74" t="n">
        <f aca="false">SQRT(($B31-BT$5)^2+($C31-BT$6)^2+($D31-BT$7)^2)</f>
        <v>2.35327332947825</v>
      </c>
      <c r="BU31" s="74" t="n">
        <f aca="false">SQRT(($B31-BU$5)^2+($C31-BU$6)^2+($D31-BU$7)^2)</f>
        <v>2.36997448232651</v>
      </c>
      <c r="BV31" s="74" t="n">
        <f aca="false">SQRT(($B31-BV$5)^2+($C31-BV$6)^2+($D31-BV$7)^2)</f>
        <v>2.92710762675879</v>
      </c>
      <c r="BW31" s="74" t="n">
        <f aca="false">SQRT(($B31-BW$5)^2+($C31-BW$6)^2+($D31-BW$7)^2)</f>
        <v>2.36690307350097</v>
      </c>
      <c r="BX31" s="74" t="n">
        <f aca="false">SQRT(($B31-BX$5)^2+($C31-BX$6)^2+($D31-BX$7)^2)</f>
        <v>2.93323434776873</v>
      </c>
      <c r="BY31" s="74" t="n">
        <f aca="false">SQRT(($B31-BY$5)^2+($C31-BY$6)^2+($D31-BY$7)^2)</f>
        <v>2.49195504695707</v>
      </c>
      <c r="BZ31" s="74" t="n">
        <f aca="false">SQRT(($B31-BZ$5)^2+($C31-BZ$6)^2+($D31-BZ$7)^2)</f>
        <v>2.5207251233377</v>
      </c>
      <c r="CA31" s="74" t="n">
        <f aca="false">SQRT(($B31-CA$5)^2+($C31-CA$6)^2+($D31-CA$7)^2)</f>
        <v>2.95333205174037</v>
      </c>
      <c r="CB31" s="74" t="n">
        <f aca="false">SQRT(($B31-CB$5)^2+($C31-CB$6)^2+($D31-CB$7)^2)</f>
        <v>2.52932750933434</v>
      </c>
      <c r="CC31" s="74" t="n">
        <f aca="false">SQRT(($B31-CC$5)^2+($C31-CC$6)^2+($D31-CC$7)^2)</f>
        <v>2.96067774502504</v>
      </c>
      <c r="CD31" s="74" t="n">
        <f aca="false">SQRT(($B31-CD$5)^2+($C31-CD$6)^2+($D31-CD$7)^2)</f>
        <v>2.97649952020717</v>
      </c>
      <c r="CE31" s="74" t="n">
        <f aca="false">SQRT(($B31-CE$5)^2+($C31-CE$6)^2+($D31-CE$7)^2)</f>
        <v>2.47587394707795</v>
      </c>
      <c r="CF31" s="74" t="n">
        <f aca="false">SQRT(($B31-CF$5)^2+($C31-CF$6)^2+($D31-CF$7)^2)</f>
        <v>2.03608832532134</v>
      </c>
      <c r="CG31" s="74" t="n">
        <f aca="false">SQRT(($B31-CG$5)^2+($C31-CG$6)^2+($D31-CG$7)^2)</f>
        <v>2.26372840850187</v>
      </c>
      <c r="CH31" s="74" t="n">
        <f aca="false">SQRT(($B31-CH$5)^2+($C31-CH$6)^2+($D31-CH$7)^2)</f>
        <v>2.64712915416526</v>
      </c>
      <c r="CI31" s="74" t="n">
        <f aca="false">SQRT(($B31-CI$5)^2+($C31-CI$6)^2+($D31-CI$7)^2)</f>
        <v>2.71336707218071</v>
      </c>
      <c r="CJ31" s="74" t="n">
        <f aca="false">SQRT(($B31-CJ$5)^2+($C31-CJ$6)^2+($D31-CJ$7)^2)</f>
        <v>2.87403490479822</v>
      </c>
      <c r="CK31" s="74" t="n">
        <f aca="false">SQRT(($B31-CK$5)^2+($C31-CK$6)^2+($D31-CK$7)^2)</f>
        <v>2.601943375327</v>
      </c>
      <c r="CL31" s="74" t="n">
        <f aca="false">SQRT(($B31-CL$5)^2+($C31-CL$6)^2+($D31-CL$7)^2)</f>
        <v>3.09007478140131</v>
      </c>
      <c r="CM31" s="74" t="n">
        <f aca="false">SQRT(($B31-CM$5)^2+($C31-CM$6)^2+($D31-CM$7)^2)</f>
        <v>2.70346721243275</v>
      </c>
      <c r="CN31" s="74" t="n">
        <f aca="false">SQRT(($B31-CN$5)^2+($C31-CN$6)^2+($D31-CN$7)^2)</f>
        <v>2.18314766604525</v>
      </c>
      <c r="CO31" s="74" t="n">
        <f aca="false">SQRT(($B31-CO$5)^2+($C31-CO$6)^2+($D31-CO$7)^2)</f>
        <v>2.35125547508547</v>
      </c>
      <c r="CP31" s="74" t="n">
        <f aca="false">SQRT(($B31-CP$5)^2+($C31-CP$6)^2+($D31-CP$7)^2)</f>
        <v>3.14360032837431</v>
      </c>
      <c r="CQ31" s="74" t="n">
        <f aca="false">SQRT(($B31-CQ$5)^2+($C31-CQ$6)^2+($D31-CQ$7)^2)</f>
        <v>2.81818407121278</v>
      </c>
      <c r="CR31" s="74" t="n">
        <f aca="false">SQRT(($B31-CR$5)^2+($C31-CR$6)^2+($D31-CR$7)^2)</f>
        <v>2.81563407747952</v>
      </c>
      <c r="CS31" s="74" t="n">
        <f aca="false">SQRT(($B31-CS$5)^2+($C31-CS$6)^2+($D31-CS$7)^2)</f>
        <v>3.18867095264114</v>
      </c>
      <c r="CT31" s="74" t="n">
        <f aca="false">SQRT(($B31-CT$5)^2+($C31-CT$6)^2+($D31-CT$7)^2)</f>
        <v>3.2151557677934</v>
      </c>
      <c r="CU31" s="74" t="n">
        <f aca="false">SQRT(($B31-CU$5)^2+($C31-CU$6)^2+($D31-CU$7)^2)</f>
        <v>2.72477503028572</v>
      </c>
      <c r="CV31" s="74" t="n">
        <f aca="false">SQRT(($B31-CV$5)^2+($C31-CV$6)^2+($D31-CV$7)^2)</f>
        <v>2.71115377911209</v>
      </c>
      <c r="CW31" s="74" t="n">
        <f aca="false">SQRT(($B31-CW$5)^2+($C31-CW$6)^2+($D31-CW$7)^2)</f>
        <v>3.2151557677934</v>
      </c>
      <c r="CX31" s="74" t="n">
        <f aca="false">SQRT(($B31-CX$5)^2+($C31-CX$6)^2+($D31-CX$7)^2)</f>
        <v>2.80089333522573</v>
      </c>
      <c r="CY31" s="74" t="n">
        <f aca="false">SQRT(($B31-CY$5)^2+($C31-CY$6)^2+($D31-CY$7)^2)</f>
        <v>3.24506435428582</v>
      </c>
      <c r="CZ31" s="74" t="n">
        <f aca="false">SQRT(($B31-CZ$5)^2+($C31-CZ$6)^2+($D31-CZ$7)^2)</f>
        <v>3.24506435428582</v>
      </c>
      <c r="DA31" s="74" t="n">
        <f aca="false">SQRT(($B31-DA$5)^2+($C31-DA$6)^2+($D31-DA$7)^2)</f>
        <v>2.94563689456723</v>
      </c>
      <c r="DB31" s="74" t="n">
        <f aca="false">SQRT(($B31-DB$5)^2+($C31-DB$6)^2+($D31-DB$7)^2)</f>
        <v>3.27926203299102</v>
      </c>
      <c r="DC31" s="74" t="n">
        <f aca="false">SQRT(($B31-DC$5)^2+($C31-DC$6)^2+($D31-DC$7)^2)</f>
        <v>3.27926203299102</v>
      </c>
      <c r="DD31" s="74" t="n">
        <f aca="false">SQRT(($B31-DD$5)^2+($C31-DD$6)^2+($D31-DD$7)^2)</f>
        <v>3.03590150863666</v>
      </c>
      <c r="DE31" s="74" t="n">
        <f aca="false">SQRT(($B31-DE$5)^2+($C31-DE$6)^2+($D31-DE$7)^2)</f>
        <v>3.20937896005963</v>
      </c>
      <c r="DF31" s="74" t="n">
        <f aca="false">SQRT(($B31-DF$5)^2+($C31-DF$6)^2+($D31-DF$7)^2)</f>
        <v>3.49554798536974</v>
      </c>
      <c r="DG31" s="74" t="n">
        <f aca="false">SQRT(($B31-DG$5)^2+($C31-DG$6)^2+($D31-DG$7)^2)</f>
        <v>3.5921364881294</v>
      </c>
      <c r="DH31" s="74" t="n">
        <f aca="false">SQRT(($B31-DH$5)^2+($C31-DH$6)^2+($D31-DH$7)^2)</f>
        <v>3.5921364881294</v>
      </c>
      <c r="DI31" s="74" t="n">
        <f aca="false">SQRT(($B31-DI$5)^2+($C31-DI$6)^2+($D31-DI$7)^2)</f>
        <v>3.5921364881294</v>
      </c>
      <c r="DJ31" s="74" t="n">
        <f aca="false">SQRT(($B31-DJ$5)^2+($C31-DJ$6)^2+($D31-DJ$7)^2)</f>
        <v>3.5921364881294</v>
      </c>
      <c r="DK31" s="74" t="n">
        <f aca="false">SQRT(($B31-DK$5)^2+($C31-DK$6)^2+($D31-DK$7)^2)</f>
        <v>3.7342269435146</v>
      </c>
      <c r="DL31" s="74" t="n">
        <f aca="false">SQRT(($B31-DL$5)^2+($C31-DL$6)^2+($D31-DL$7)^2)</f>
        <v>3.7342269435146</v>
      </c>
      <c r="DM31" s="74" t="n">
        <f aca="false">SQRT(($B31-DM$5)^2+($C31-DM$6)^2+($D31-DM$7)^2)</f>
        <v>3.7342269435146</v>
      </c>
      <c r="DN31" s="74" t="n">
        <f aca="false">SQRT(($B31-DN$5)^2+($C31-DN$6)^2+($D31-DN$7)^2)</f>
        <v>3.7342269435146</v>
      </c>
      <c r="DO31" s="74" t="n">
        <f aca="false">SQRT(($B31-DO$5)^2+($C31-DO$6)^2+($D31-DO$7)^2)</f>
        <v>3.7342269435146</v>
      </c>
      <c r="DP31" s="74" t="n">
        <f aca="false">SQRT(($B31-DP$5)^2+($C31-DP$6)^2+($D31-DP$7)^2)</f>
        <v>3.99128361858191</v>
      </c>
      <c r="DQ31" s="74" t="n">
        <f aca="false">SQRT(($B31-DQ$5)^2+($C31-DQ$6)^2+($D31-DQ$7)^2)</f>
        <v>3.99128361858191</v>
      </c>
    </row>
    <row r="32" customFormat="false" ht="15" hidden="false" customHeight="false" outlineLevel="0" collapsed="false">
      <c r="A32" s="48" t="str">
        <f aca="false">KMeans_Data!A23</f>
        <v>Nowshera</v>
      </c>
      <c r="B32" s="72" t="n">
        <f aca="false">KMeans_Data!H23</f>
        <v>0.851138913278639</v>
      </c>
      <c r="C32" s="72" t="n">
        <f aca="false">KMeans_Data!I23</f>
        <v>1.38107452085777</v>
      </c>
      <c r="D32" s="72" t="n">
        <f aca="false">KMeans_Data!J23</f>
        <v>0.934349160614903</v>
      </c>
      <c r="E32" s="74" t="n">
        <f aca="false">SQRT(($B32-E$5)^2+($C32-E$6)^2+($D32-E$7)^2)</f>
        <v>4.2790585979296</v>
      </c>
      <c r="F32" s="74" t="n">
        <f aca="false">SQRT(($B32-F$5)^2+($C32-F$6)^2+($D32-F$7)^2)</f>
        <v>4.06315498675111</v>
      </c>
      <c r="G32" s="74" t="n">
        <f aca="false">SQRT(($B32-G$5)^2+($C32-G$6)^2+($D32-G$7)^2)</f>
        <v>2.27857646202546</v>
      </c>
      <c r="H32" s="74" t="n">
        <f aca="false">SQRT(($B32-H$5)^2+($C32-H$6)^2+($D32-H$7)^2)</f>
        <v>2.73596309860742</v>
      </c>
      <c r="I32" s="74" t="n">
        <f aca="false">SQRT(($B32-I$5)^2+($C32-I$6)^2+($D32-I$7)^2)</f>
        <v>1.6709560276209</v>
      </c>
      <c r="J32" s="74" t="n">
        <f aca="false">SQRT(($B32-J$5)^2+($C32-J$6)^2+($D32-J$7)^2)</f>
        <v>1.18081971025047</v>
      </c>
      <c r="K32" s="74" t="n">
        <f aca="false">SQRT(($B32-K$5)^2+($C32-K$6)^2+($D32-K$7)^2)</f>
        <v>2.19581625903823</v>
      </c>
      <c r="L32" s="74" t="n">
        <f aca="false">SQRT(($B32-L$5)^2+($C32-L$6)^2+($D32-L$7)^2)</f>
        <v>1.15003947940321</v>
      </c>
      <c r="M32" s="74" t="n">
        <f aca="false">SQRT(($B32-M$5)^2+($C32-M$6)^2+($D32-M$7)^2)</f>
        <v>0.880033625535869</v>
      </c>
      <c r="N32" s="74" t="n">
        <f aca="false">SQRT(($B32-N$5)^2+($C32-N$6)^2+($D32-N$7)^2)</f>
        <v>2.35607737729311</v>
      </c>
      <c r="O32" s="74" t="n">
        <f aca="false">SQRT(($B32-O$5)^2+($C32-O$6)^2+($D32-O$7)^2)</f>
        <v>0.309814318360202</v>
      </c>
      <c r="P32" s="74" t="n">
        <f aca="false">SQRT(($B32-P$5)^2+($C32-P$6)^2+($D32-P$7)^2)</f>
        <v>0.529375535281759</v>
      </c>
      <c r="Q32" s="74" t="n">
        <f aca="false">SQRT(($B32-Q$5)^2+($C32-Q$6)^2+($D32-Q$7)^2)</f>
        <v>0.456143202020811</v>
      </c>
      <c r="R32" s="74" t="n">
        <f aca="false">SQRT(($B32-R$5)^2+($C32-R$6)^2+($D32-R$7)^2)</f>
        <v>1.15187297768961</v>
      </c>
      <c r="S32" s="74" t="n">
        <f aca="false">SQRT(($B32-S$5)^2+($C32-S$6)^2+($D32-S$7)^2)</f>
        <v>1.55356932312124</v>
      </c>
      <c r="T32" s="74" t="n">
        <f aca="false">SQRT(($B32-T$5)^2+($C32-T$6)^2+($D32-T$7)^2)</f>
        <v>0.410300158548908</v>
      </c>
      <c r="U32" s="74" t="n">
        <f aca="false">SQRT(($B32-U$5)^2+($C32-U$6)^2+($D32-U$7)^2)</f>
        <v>1.19442322334085</v>
      </c>
      <c r="V32" s="74" t="n">
        <f aca="false">SQRT(($B32-V$5)^2+($C32-V$6)^2+($D32-V$7)^2)</f>
        <v>0.316025980842597</v>
      </c>
      <c r="W32" s="74" t="n">
        <f aca="false">SQRT(($B32-W$5)^2+($C32-W$6)^2+($D32-W$7)^2)</f>
        <v>0</v>
      </c>
      <c r="X32" s="74" t="n">
        <f aca="false">SQRT(($B32-X$5)^2+($C32-X$6)^2+($D32-X$7)^2)</f>
        <v>0.587059381650108</v>
      </c>
      <c r="Y32" s="74" t="n">
        <f aca="false">SQRT(($B32-Y$5)^2+($C32-Y$6)^2+($D32-Y$7)^2)</f>
        <v>0.670380535001509</v>
      </c>
      <c r="Z32" s="74" t="n">
        <f aca="false">SQRT(($B32-Z$5)^2+($C32-Z$6)^2+($D32-Z$7)^2)</f>
        <v>0.661992400929552</v>
      </c>
      <c r="AA32" s="74" t="n">
        <f aca="false">SQRT(($B32-AA$5)^2+($C32-AA$6)^2+($D32-AA$7)^2)</f>
        <v>1.22269689685648</v>
      </c>
      <c r="AB32" s="74" t="n">
        <f aca="false">SQRT(($B32-AB$5)^2+($C32-AB$6)^2+($D32-AB$7)^2)</f>
        <v>0.877570515632406</v>
      </c>
      <c r="AC32" s="74" t="n">
        <f aca="false">SQRT(($B32-AC$5)^2+($C32-AC$6)^2+($D32-AC$7)^2)</f>
        <v>0.224973815922101</v>
      </c>
      <c r="AD32" s="74" t="n">
        <f aca="false">SQRT(($B32-AD$5)^2+($C32-AD$6)^2+($D32-AD$7)^2)</f>
        <v>0.687660173782561</v>
      </c>
      <c r="AE32" s="74" t="n">
        <f aca="false">SQRT(($B32-AE$5)^2+($C32-AE$6)^2+($D32-AE$7)^2)</f>
        <v>2.58912117250698</v>
      </c>
      <c r="AF32" s="74" t="n">
        <f aca="false">SQRT(($B32-AF$5)^2+($C32-AF$6)^2+($D32-AF$7)^2)</f>
        <v>0.740600368857084</v>
      </c>
      <c r="AG32" s="74" t="n">
        <f aca="false">SQRT(($B32-AG$5)^2+($C32-AG$6)^2+($D32-AG$7)^2)</f>
        <v>2.4642647703297</v>
      </c>
      <c r="AH32" s="74" t="n">
        <f aca="false">SQRT(($B32-AH$5)^2+($C32-AH$6)^2+($D32-AH$7)^2)</f>
        <v>1.26010327116759</v>
      </c>
      <c r="AI32" s="74" t="n">
        <f aca="false">SQRT(($B32-AI$5)^2+($C32-AI$6)^2+($D32-AI$7)^2)</f>
        <v>2.46461778584847</v>
      </c>
      <c r="AJ32" s="74" t="n">
        <f aca="false">SQRT(($B32-AJ$5)^2+($C32-AJ$6)^2+($D32-AJ$7)^2)</f>
        <v>0.897942352224395</v>
      </c>
      <c r="AK32" s="74" t="n">
        <f aca="false">SQRT(($B32-AK$5)^2+($C32-AK$6)^2+($D32-AK$7)^2)</f>
        <v>1.23544132129443</v>
      </c>
      <c r="AL32" s="74" t="n">
        <f aca="false">SQRT(($B32-AL$5)^2+($C32-AL$6)^2+($D32-AL$7)^2)</f>
        <v>1.61721334698425</v>
      </c>
      <c r="AM32" s="74" t="n">
        <f aca="false">SQRT(($B32-AM$5)^2+($C32-AM$6)^2+($D32-AM$7)^2)</f>
        <v>0.726231580248631</v>
      </c>
      <c r="AN32" s="74" t="n">
        <f aca="false">SQRT(($B32-AN$5)^2+($C32-AN$6)^2+($D32-AN$7)^2)</f>
        <v>0.509310856721581</v>
      </c>
      <c r="AO32" s="74" t="n">
        <f aca="false">SQRT(($B32-AO$5)^2+($C32-AO$6)^2+($D32-AO$7)^2)</f>
        <v>1.15539620451262</v>
      </c>
      <c r="AP32" s="74" t="n">
        <f aca="false">SQRT(($B32-AP$5)^2+($C32-AP$6)^2+($D32-AP$7)^2)</f>
        <v>1.18642470462521</v>
      </c>
      <c r="AQ32" s="74" t="n">
        <f aca="false">SQRT(($B32-AQ$5)^2+($C32-AQ$6)^2+($D32-AQ$7)^2)</f>
        <v>0.549539094183513</v>
      </c>
      <c r="AR32" s="74" t="n">
        <f aca="false">SQRT(($B32-AR$5)^2+($C32-AR$6)^2+($D32-AR$7)^2)</f>
        <v>1.65188194762499</v>
      </c>
      <c r="AS32" s="74" t="n">
        <f aca="false">SQRT(($B32-AS$5)^2+($C32-AS$6)^2+($D32-AS$7)^2)</f>
        <v>2.12340226884751</v>
      </c>
      <c r="AT32" s="74" t="n">
        <f aca="false">SQRT(($B32-AT$5)^2+($C32-AT$6)^2+($D32-AT$7)^2)</f>
        <v>1.64134352132764</v>
      </c>
      <c r="AU32" s="74" t="n">
        <f aca="false">SQRT(($B32-AU$5)^2+($C32-AU$6)^2+($D32-AU$7)^2)</f>
        <v>2.26924305309056</v>
      </c>
      <c r="AV32" s="74" t="n">
        <f aca="false">SQRT(($B32-AV$5)^2+($C32-AV$6)^2+($D32-AV$7)^2)</f>
        <v>2.17883966682944</v>
      </c>
      <c r="AW32" s="74" t="n">
        <f aca="false">SQRT(($B32-AW$5)^2+($C32-AW$6)^2+($D32-AW$7)^2)</f>
        <v>2.77242333591901</v>
      </c>
      <c r="AX32" s="74" t="n">
        <f aca="false">SQRT(($B32-AX$5)^2+($C32-AX$6)^2+($D32-AX$7)^2)</f>
        <v>1.47579234973369</v>
      </c>
      <c r="AY32" s="74" t="n">
        <f aca="false">SQRT(($B32-AY$5)^2+($C32-AY$6)^2+($D32-AY$7)^2)</f>
        <v>2.99447343396605</v>
      </c>
      <c r="AZ32" s="74" t="n">
        <f aca="false">SQRT(($B32-AZ$5)^2+($C32-AZ$6)^2+($D32-AZ$7)^2)</f>
        <v>2.15641735113626</v>
      </c>
      <c r="BA32" s="74" t="n">
        <f aca="false">SQRT(($B32-BA$5)^2+($C32-BA$6)^2+($D32-BA$7)^2)</f>
        <v>1.66895878502483</v>
      </c>
      <c r="BB32" s="74" t="n">
        <f aca="false">SQRT(($B32-BB$5)^2+($C32-BB$6)^2+($D32-BB$7)^2)</f>
        <v>2.99590171580631</v>
      </c>
      <c r="BC32" s="74" t="n">
        <f aca="false">SQRT(($B32-BC$5)^2+($C32-BC$6)^2+($D32-BC$7)^2)</f>
        <v>2.99736207337955</v>
      </c>
      <c r="BD32" s="74" t="n">
        <f aca="false">SQRT(($B32-BD$5)^2+($C32-BD$6)^2+($D32-BD$7)^2)</f>
        <v>2.59845939616869</v>
      </c>
      <c r="BE32" s="74" t="n">
        <f aca="false">SQRT(($B32-BE$5)^2+($C32-BE$6)^2+($D32-BE$7)^2)</f>
        <v>2.46841572069522</v>
      </c>
      <c r="BF32" s="74" t="n">
        <f aca="false">SQRT(($B32-BF$5)^2+($C32-BF$6)^2+($D32-BF$7)^2)</f>
        <v>0.737256311763305</v>
      </c>
      <c r="BG32" s="74" t="n">
        <f aca="false">SQRT(($B32-BG$5)^2+($C32-BG$6)^2+($D32-BG$7)^2)</f>
        <v>1.73140407143595</v>
      </c>
      <c r="BH32" s="74" t="n">
        <f aca="false">SQRT(($B32-BH$5)^2+($C32-BH$6)^2+($D32-BH$7)^2)</f>
        <v>3.02181714887009</v>
      </c>
      <c r="BI32" s="74" t="n">
        <f aca="false">SQRT(($B32-BI$5)^2+($C32-BI$6)^2+($D32-BI$7)^2)</f>
        <v>3.02604974974604</v>
      </c>
      <c r="BJ32" s="74" t="n">
        <f aca="false">SQRT(($B32-BJ$5)^2+($C32-BJ$6)^2+($D32-BJ$7)^2)</f>
        <v>1.49651020291591</v>
      </c>
      <c r="BK32" s="74" t="n">
        <f aca="false">SQRT(($B32-BK$5)^2+($C32-BK$6)^2+($D32-BK$7)^2)</f>
        <v>2.59078959757389</v>
      </c>
      <c r="BL32" s="74" t="n">
        <f aca="false">SQRT(($B32-BL$5)^2+($C32-BL$6)^2+($D32-BL$7)^2)</f>
        <v>2.29641078274664</v>
      </c>
      <c r="BM32" s="74" t="n">
        <f aca="false">SQRT(($B32-BM$5)^2+($C32-BM$6)^2+($D32-BM$7)^2)</f>
        <v>1.28976799949888</v>
      </c>
      <c r="BN32" s="74" t="n">
        <f aca="false">SQRT(($B32-BN$5)^2+($C32-BN$6)^2+($D32-BN$7)^2)</f>
        <v>1.75642869209674</v>
      </c>
      <c r="BO32" s="74" t="n">
        <f aca="false">SQRT(($B32-BO$5)^2+($C32-BO$6)^2+($D32-BO$7)^2)</f>
        <v>2.8548665956389</v>
      </c>
      <c r="BP32" s="74" t="n">
        <f aca="false">SQRT(($B32-BP$5)^2+($C32-BP$6)^2+($D32-BP$7)^2)</f>
        <v>1.68504300400339</v>
      </c>
      <c r="BQ32" s="74" t="n">
        <f aca="false">SQRT(($B32-BQ$5)^2+($C32-BQ$6)^2+($D32-BQ$7)^2)</f>
        <v>1.88801716610137</v>
      </c>
      <c r="BR32" s="74" t="n">
        <f aca="false">SQRT(($B32-BR$5)^2+($C32-BR$6)^2+($D32-BR$7)^2)</f>
        <v>1.886838093059</v>
      </c>
      <c r="BS32" s="74" t="n">
        <f aca="false">SQRT(($B32-BS$5)^2+($C32-BS$6)^2+($D32-BS$7)^2)</f>
        <v>2.3195260889521</v>
      </c>
      <c r="BT32" s="74" t="n">
        <f aca="false">SQRT(($B32-BT$5)^2+($C32-BT$6)^2+($D32-BT$7)^2)</f>
        <v>2.42943547687952</v>
      </c>
      <c r="BU32" s="74" t="n">
        <f aca="false">SQRT(($B32-BU$5)^2+($C32-BU$6)^2+($D32-BU$7)^2)</f>
        <v>2.45650954216047</v>
      </c>
      <c r="BV32" s="74" t="n">
        <f aca="false">SQRT(($B32-BV$5)^2+($C32-BV$6)^2+($D32-BV$7)^2)</f>
        <v>3.12707367471459</v>
      </c>
      <c r="BW32" s="74" t="n">
        <f aca="false">SQRT(($B32-BW$5)^2+($C32-BW$6)^2+($D32-BW$7)^2)</f>
        <v>2.43053294145393</v>
      </c>
      <c r="BX32" s="74" t="n">
        <f aca="false">SQRT(($B32-BX$5)^2+($C32-BX$6)^2+($D32-BX$7)^2)</f>
        <v>3.13279983402496</v>
      </c>
      <c r="BY32" s="74" t="n">
        <f aca="false">SQRT(($B32-BY$5)^2+($C32-BY$6)^2+($D32-BY$7)^2)</f>
        <v>2.60983808337024</v>
      </c>
      <c r="BZ32" s="74" t="n">
        <f aca="false">SQRT(($B32-BZ$5)^2+($C32-BZ$6)^2+($D32-BZ$7)^2)</f>
        <v>2.64471420877972</v>
      </c>
      <c r="CA32" s="74" t="n">
        <f aca="false">SQRT(($B32-CA$5)^2+($C32-CA$6)^2+($D32-CA$7)^2)</f>
        <v>3.15159490642369</v>
      </c>
      <c r="CB32" s="74" t="n">
        <f aca="false">SQRT(($B32-CB$5)^2+($C32-CB$6)^2+($D32-CB$7)^2)</f>
        <v>2.65290175612985</v>
      </c>
      <c r="CC32" s="74" t="n">
        <f aca="false">SQRT(($B32-CC$5)^2+($C32-CC$6)^2+($D32-CC$7)^2)</f>
        <v>3.15846876440963</v>
      </c>
      <c r="CD32" s="74" t="n">
        <f aca="false">SQRT(($B32-CD$5)^2+($C32-CD$6)^2+($D32-CD$7)^2)</f>
        <v>3.1732818925938</v>
      </c>
      <c r="CE32" s="74" t="n">
        <f aca="false">SQRT(($B32-CE$5)^2+($C32-CE$6)^2+($D32-CE$7)^2)</f>
        <v>2.56686905292582</v>
      </c>
      <c r="CF32" s="74" t="n">
        <f aca="false">SQRT(($B32-CF$5)^2+($C32-CF$6)^2+($D32-CF$7)^2)</f>
        <v>2.13159723197706</v>
      </c>
      <c r="CG32" s="74" t="n">
        <f aca="false">SQRT(($B32-CG$5)^2+($C32-CG$6)^2+($D32-CG$7)^2)</f>
        <v>2.42134995366476</v>
      </c>
      <c r="CH32" s="74" t="n">
        <f aca="false">SQRT(($B32-CH$5)^2+($C32-CH$6)^2+($D32-CH$7)^2)</f>
        <v>2.78312091894794</v>
      </c>
      <c r="CI32" s="74" t="n">
        <f aca="false">SQRT(($B32-CI$5)^2+($C32-CI$6)^2+($D32-CI$7)^2)</f>
        <v>2.85762141496816</v>
      </c>
      <c r="CJ32" s="74" t="n">
        <f aca="false">SQRT(($B32-CJ$5)^2+($C32-CJ$6)^2+($D32-CJ$7)^2)</f>
        <v>3.04411347617282</v>
      </c>
      <c r="CK32" s="74" t="n">
        <f aca="false">SQRT(($B32-CK$5)^2+($C32-CK$6)^2+($D32-CK$7)^2)</f>
        <v>2.69762003278661</v>
      </c>
      <c r="CL32" s="74" t="n">
        <f aca="false">SQRT(($B32-CL$5)^2+($C32-CL$6)^2+($D32-CL$7)^2)</f>
        <v>3.27990695440743</v>
      </c>
      <c r="CM32" s="74" t="n">
        <f aca="false">SQRT(($B32-CM$5)^2+($C32-CM$6)^2+($D32-CM$7)^2)</f>
        <v>2.82722271188567</v>
      </c>
      <c r="CN32" s="74" t="n">
        <f aca="false">SQRT(($B32-CN$5)^2+($C32-CN$6)^2+($D32-CN$7)^2)</f>
        <v>2.20312551664903</v>
      </c>
      <c r="CO32" s="74" t="n">
        <f aca="false">SQRT(($B32-CO$5)^2+($C32-CO$6)^2+($D32-CO$7)^2)</f>
        <v>2.47551938059505</v>
      </c>
      <c r="CP32" s="74" t="n">
        <f aca="false">SQRT(($B32-CP$5)^2+($C32-CP$6)^2+($D32-CP$7)^2)</f>
        <v>3.33032250906824</v>
      </c>
      <c r="CQ32" s="74" t="n">
        <f aca="false">SQRT(($B32-CQ$5)^2+($C32-CQ$6)^2+($D32-CQ$7)^2)</f>
        <v>2.94609161860861</v>
      </c>
      <c r="CR32" s="74" t="n">
        <f aca="false">SQRT(($B32-CR$5)^2+($C32-CR$6)^2+($D32-CR$7)^2)</f>
        <v>2.93453952979674</v>
      </c>
      <c r="CS32" s="74" t="n">
        <f aca="false">SQRT(($B32-CS$5)^2+($C32-CS$6)^2+($D32-CS$7)^2)</f>
        <v>3.37285096304414</v>
      </c>
      <c r="CT32" s="74" t="n">
        <f aca="false">SQRT(($B32-CT$5)^2+($C32-CT$6)^2+($D32-CT$7)^2)</f>
        <v>3.39787331106179</v>
      </c>
      <c r="CU32" s="74" t="n">
        <f aca="false">SQRT(($B32-CU$5)^2+($C32-CU$6)^2+($D32-CU$7)^2)</f>
        <v>2.90339543077234</v>
      </c>
      <c r="CV32" s="74" t="n">
        <f aca="false">SQRT(($B32-CV$5)^2+($C32-CV$6)^2+($D32-CV$7)^2)</f>
        <v>2.76893215468642</v>
      </c>
      <c r="CW32" s="74" t="n">
        <f aca="false">SQRT(($B32-CW$5)^2+($C32-CW$6)^2+($D32-CW$7)^2)</f>
        <v>3.39787331106179</v>
      </c>
      <c r="CX32" s="74" t="n">
        <f aca="false">SQRT(($B32-CX$5)^2+($C32-CX$6)^2+($D32-CX$7)^2)</f>
        <v>2.88977770719458</v>
      </c>
      <c r="CY32" s="74" t="n">
        <f aca="false">SQRT(($B32-CY$5)^2+($C32-CY$6)^2+($D32-CY$7)^2)</f>
        <v>3.42615744837358</v>
      </c>
      <c r="CZ32" s="74" t="n">
        <f aca="false">SQRT(($B32-CZ$5)^2+($C32-CZ$6)^2+($D32-CZ$7)^2)</f>
        <v>3.42615744837358</v>
      </c>
      <c r="DA32" s="74" t="n">
        <f aca="false">SQRT(($B32-DA$5)^2+($C32-DA$6)^2+($D32-DA$7)^2)</f>
        <v>3.07877705949059</v>
      </c>
      <c r="DB32" s="74" t="n">
        <f aca="false">SQRT(($B32-DB$5)^2+($C32-DB$6)^2+($D32-DB$7)^2)</f>
        <v>3.45853196742716</v>
      </c>
      <c r="DC32" s="74" t="n">
        <f aca="false">SQRT(($B32-DC$5)^2+($C32-DC$6)^2+($D32-DC$7)^2)</f>
        <v>3.45853196742716</v>
      </c>
      <c r="DD32" s="74" t="n">
        <f aca="false">SQRT(($B32-DD$5)^2+($C32-DD$6)^2+($D32-DD$7)^2)</f>
        <v>3.17849304591289</v>
      </c>
      <c r="DE32" s="74" t="n">
        <f aca="false">SQRT(($B32-DE$5)^2+($C32-DE$6)^2+($D32-DE$7)^2)</f>
        <v>3.36220600115737</v>
      </c>
      <c r="DF32" s="74" t="n">
        <f aca="false">SQRT(($B32-DF$5)^2+($C32-DF$6)^2+($D32-DF$7)^2)</f>
        <v>3.66406823360359</v>
      </c>
      <c r="DG32" s="74" t="n">
        <f aca="false">SQRT(($B32-DG$5)^2+($C32-DG$6)^2+($D32-DG$7)^2)</f>
        <v>3.75625175050432</v>
      </c>
      <c r="DH32" s="74" t="n">
        <f aca="false">SQRT(($B32-DH$5)^2+($C32-DH$6)^2+($D32-DH$7)^2)</f>
        <v>3.75625175050432</v>
      </c>
      <c r="DI32" s="74" t="n">
        <f aca="false">SQRT(($B32-DI$5)^2+($C32-DI$6)^2+($D32-DI$7)^2)</f>
        <v>3.75625175050432</v>
      </c>
      <c r="DJ32" s="74" t="n">
        <f aca="false">SQRT(($B32-DJ$5)^2+($C32-DJ$6)^2+($D32-DJ$7)^2)</f>
        <v>3.75625175050432</v>
      </c>
      <c r="DK32" s="74" t="n">
        <f aca="false">SQRT(($B32-DK$5)^2+($C32-DK$6)^2+($D32-DK$7)^2)</f>
        <v>3.89225481975836</v>
      </c>
      <c r="DL32" s="74" t="n">
        <f aca="false">SQRT(($B32-DL$5)^2+($C32-DL$6)^2+($D32-DL$7)^2)</f>
        <v>3.89225481975836</v>
      </c>
      <c r="DM32" s="74" t="n">
        <f aca="false">SQRT(($B32-DM$5)^2+($C32-DM$6)^2+($D32-DM$7)^2)</f>
        <v>3.89225481975836</v>
      </c>
      <c r="DN32" s="74" t="n">
        <f aca="false">SQRT(($B32-DN$5)^2+($C32-DN$6)^2+($D32-DN$7)^2)</f>
        <v>3.89225481975836</v>
      </c>
      <c r="DO32" s="74" t="n">
        <f aca="false">SQRT(($B32-DO$5)^2+($C32-DO$6)^2+($D32-DO$7)^2)</f>
        <v>3.89225481975836</v>
      </c>
      <c r="DP32" s="74" t="n">
        <f aca="false">SQRT(($B32-DP$5)^2+($C32-DP$6)^2+($D32-DP$7)^2)</f>
        <v>4.13934753964962</v>
      </c>
      <c r="DQ32" s="74" t="n">
        <f aca="false">SQRT(($B32-DQ$5)^2+($C32-DQ$6)^2+($D32-DQ$7)^2)</f>
        <v>4.13934753964962</v>
      </c>
    </row>
    <row r="33" customFormat="false" ht="15" hidden="false" customHeight="false" outlineLevel="0" collapsed="false">
      <c r="A33" s="48" t="str">
        <f aca="false">KMeans_Data!A24</f>
        <v>Muzaffarabad</v>
      </c>
      <c r="B33" s="72" t="n">
        <f aca="false">KMeans_Data!H24</f>
        <v>0.841726902407959</v>
      </c>
      <c r="C33" s="72" t="n">
        <f aca="false">KMeans_Data!I24</f>
        <v>0.803084449535714</v>
      </c>
      <c r="D33" s="72" t="n">
        <f aca="false">KMeans_Data!J24</f>
        <v>1.03670935350208</v>
      </c>
      <c r="E33" s="74" t="n">
        <f aca="false">SQRT(($B33-E$5)^2+($C33-E$6)^2+($D33-E$7)^2)</f>
        <v>4.61500990770194</v>
      </c>
      <c r="F33" s="74" t="n">
        <f aca="false">SQRT(($B33-F$5)^2+($C33-F$6)^2+($D33-F$7)^2)</f>
        <v>4.44412892323696</v>
      </c>
      <c r="G33" s="74" t="n">
        <f aca="false">SQRT(($B33-G$5)^2+($C33-G$6)^2+($D33-G$7)^2)</f>
        <v>2.5151808548031</v>
      </c>
      <c r="H33" s="74" t="n">
        <f aca="false">SQRT(($B33-H$5)^2+($C33-H$6)^2+($D33-H$7)^2)</f>
        <v>3.19916063084548</v>
      </c>
      <c r="I33" s="74" t="n">
        <f aca="false">SQRT(($B33-I$5)^2+($C33-I$6)^2+($D33-I$7)^2)</f>
        <v>1.94860607998725</v>
      </c>
      <c r="J33" s="74" t="n">
        <f aca="false">SQRT(($B33-J$5)^2+($C33-J$6)^2+($D33-J$7)^2)</f>
        <v>1.62149260911988</v>
      </c>
      <c r="K33" s="74" t="n">
        <f aca="false">SQRT(($B33-K$5)^2+($C33-K$6)^2+($D33-K$7)^2)</f>
        <v>2.03090033688397</v>
      </c>
      <c r="L33" s="74" t="n">
        <f aca="false">SQRT(($B33-L$5)^2+($C33-L$6)^2+($D33-L$7)^2)</f>
        <v>0.843254025250573</v>
      </c>
      <c r="M33" s="74" t="n">
        <f aca="false">SQRT(($B33-M$5)^2+($C33-M$6)^2+($D33-M$7)^2)</f>
        <v>0.880527950467266</v>
      </c>
      <c r="N33" s="74" t="n">
        <f aca="false">SQRT(($B33-N$5)^2+($C33-N$6)^2+($D33-N$7)^2)</f>
        <v>2.12037548041122</v>
      </c>
      <c r="O33" s="74" t="n">
        <f aca="false">SQRT(($B33-O$5)^2+($C33-O$6)^2+($D33-O$7)^2)</f>
        <v>0.738073804691369</v>
      </c>
      <c r="P33" s="74" t="n">
        <f aca="false">SQRT(($B33-P$5)^2+($C33-P$6)^2+($D33-P$7)^2)</f>
        <v>1.01503293289176</v>
      </c>
      <c r="Q33" s="74" t="n">
        <f aca="false">SQRT(($B33-Q$5)^2+($C33-Q$6)^2+($D33-Q$7)^2)</f>
        <v>0.280291993252324</v>
      </c>
      <c r="R33" s="74" t="n">
        <f aca="false">SQRT(($B33-R$5)^2+($C33-R$6)^2+($D33-R$7)^2)</f>
        <v>0.637550286444693</v>
      </c>
      <c r="S33" s="74" t="n">
        <f aca="false">SQRT(($B33-S$5)^2+($C33-S$6)^2+($D33-S$7)^2)</f>
        <v>0.97322052904229</v>
      </c>
      <c r="T33" s="74" t="n">
        <f aca="false">SQRT(($B33-T$5)^2+($C33-T$6)^2+($D33-T$7)^2)</f>
        <v>0.23339924339487</v>
      </c>
      <c r="U33" s="74" t="n">
        <f aca="false">SQRT(($B33-U$5)^2+($C33-U$6)^2+($D33-U$7)^2)</f>
        <v>0.693003580460526</v>
      </c>
      <c r="V33" s="74" t="n">
        <f aca="false">SQRT(($B33-V$5)^2+($C33-V$6)^2+($D33-V$7)^2)</f>
        <v>0.713611959565016</v>
      </c>
      <c r="W33" s="74" t="n">
        <f aca="false">SQRT(($B33-W$5)^2+($C33-W$6)^2+($D33-W$7)^2)</f>
        <v>0.587059381650108</v>
      </c>
      <c r="X33" s="74" t="n">
        <f aca="false">SQRT(($B33-X$5)^2+($C33-X$6)^2+($D33-X$7)^2)</f>
        <v>0</v>
      </c>
      <c r="Y33" s="74" t="n">
        <f aca="false">SQRT(($B33-Y$5)^2+($C33-Y$6)^2+($D33-Y$7)^2)</f>
        <v>0.237415146525776</v>
      </c>
      <c r="Z33" s="74" t="n">
        <f aca="false">SQRT(($B33-Z$5)^2+($C33-Z$6)^2+($D33-Z$7)^2)</f>
        <v>0.422125760289404</v>
      </c>
      <c r="AA33" s="74" t="n">
        <f aca="false">SQRT(($B33-AA$5)^2+($C33-AA$6)^2+($D33-AA$7)^2)</f>
        <v>0.649786629143838</v>
      </c>
      <c r="AB33" s="74" t="n">
        <f aca="false">SQRT(($B33-AB$5)^2+($C33-AB$6)^2+($D33-AB$7)^2)</f>
        <v>0.452853443555433</v>
      </c>
      <c r="AC33" s="74" t="n">
        <f aca="false">SQRT(($B33-AC$5)^2+($C33-AC$6)^2+($D33-AC$7)^2)</f>
        <v>0.660182654455886</v>
      </c>
      <c r="AD33" s="74" t="n">
        <f aca="false">SQRT(($B33-AD$5)^2+($C33-AD$6)^2+($D33-AD$7)^2)</f>
        <v>0.276124136172998</v>
      </c>
      <c r="AE33" s="74" t="n">
        <f aca="false">SQRT(($B33-AE$5)^2+($C33-AE$6)^2+($D33-AE$7)^2)</f>
        <v>2.38824877056561</v>
      </c>
      <c r="AF33" s="74" t="n">
        <f aca="false">SQRT(($B33-AF$5)^2+($C33-AF$6)^2+($D33-AF$7)^2)</f>
        <v>0.312532226691916</v>
      </c>
      <c r="AG33" s="74" t="n">
        <f aca="false">SQRT(($B33-AG$5)^2+($C33-AG$6)^2+($D33-AG$7)^2)</f>
        <v>2.07633445227118</v>
      </c>
      <c r="AH33" s="74" t="n">
        <f aca="false">SQRT(($B33-AH$5)^2+($C33-AH$6)^2+($D33-AH$7)^2)</f>
        <v>0.740060562421578</v>
      </c>
      <c r="AI33" s="74" t="n">
        <f aca="false">SQRT(($B33-AI$5)^2+($C33-AI$6)^2+($D33-AI$7)^2)</f>
        <v>2.07673907153644</v>
      </c>
      <c r="AJ33" s="74" t="n">
        <f aca="false">SQRT(($B33-AJ$5)^2+($C33-AJ$6)^2+($D33-AJ$7)^2)</f>
        <v>0.381866256355647</v>
      </c>
      <c r="AK33" s="74" t="n">
        <f aca="false">SQRT(($B33-AK$5)^2+($C33-AK$6)^2+($D33-AK$7)^2)</f>
        <v>0.915849003324977</v>
      </c>
      <c r="AL33" s="74" t="n">
        <f aca="false">SQRT(($B33-AL$5)^2+($C33-AL$6)^2+($D33-AL$7)^2)</f>
        <v>1.12471671339863</v>
      </c>
      <c r="AM33" s="74" t="n">
        <f aca="false">SQRT(($B33-AM$5)^2+($C33-AM$6)^2+($D33-AM$7)^2)</f>
        <v>0.996755087696493</v>
      </c>
      <c r="AN33" s="74" t="n">
        <f aca="false">SQRT(($B33-AN$5)^2+($C33-AN$6)^2+($D33-AN$7)^2)</f>
        <v>0.607124875347106</v>
      </c>
      <c r="AO33" s="74" t="n">
        <f aca="false">SQRT(($B33-AO$5)^2+($C33-AO$6)^2+($D33-AO$7)^2)</f>
        <v>0.770522540496755</v>
      </c>
      <c r="AP33" s="74" t="n">
        <f aca="false">SQRT(($B33-AP$5)^2+($C33-AP$6)^2+($D33-AP$7)^2)</f>
        <v>0.826191354104018</v>
      </c>
      <c r="AQ33" s="74" t="n">
        <f aca="false">SQRT(($B33-AQ$5)^2+($C33-AQ$6)^2+($D33-AQ$7)^2)</f>
        <v>0.758579176435622</v>
      </c>
      <c r="AR33" s="74" t="n">
        <f aca="false">SQRT(($B33-AR$5)^2+($C33-AR$6)^2+($D33-AR$7)^2)</f>
        <v>1.36422327308021</v>
      </c>
      <c r="AS33" s="74" t="n">
        <f aca="false">SQRT(($B33-AS$5)^2+($C33-AS$6)^2+($D33-AS$7)^2)</f>
        <v>1.56642091654592</v>
      </c>
      <c r="AT33" s="74" t="n">
        <f aca="false">SQRT(($B33-AT$5)^2+($C33-AT$6)^2+($D33-AT$7)^2)</f>
        <v>1.1376070412718</v>
      </c>
      <c r="AU33" s="74" t="n">
        <f aca="false">SQRT(($B33-AU$5)^2+($C33-AU$6)^2+($D33-AU$7)^2)</f>
        <v>2.0095298620028</v>
      </c>
      <c r="AV33" s="74" t="n">
        <f aca="false">SQRT(($B33-AV$5)^2+($C33-AV$6)^2+($D33-AV$7)^2)</f>
        <v>1.67110319681497</v>
      </c>
      <c r="AW33" s="74" t="n">
        <f aca="false">SQRT(($B33-AW$5)^2+($C33-AW$6)^2+($D33-AW$7)^2)</f>
        <v>2.45059902123927</v>
      </c>
      <c r="AX33" s="74" t="n">
        <f aca="false">SQRT(($B33-AX$5)^2+($C33-AX$6)^2+($D33-AX$7)^2)</f>
        <v>1.10143873660755</v>
      </c>
      <c r="AY33" s="74" t="n">
        <f aca="false">SQRT(($B33-AY$5)^2+($C33-AY$6)^2+($D33-AY$7)^2)</f>
        <v>2.71127696945132</v>
      </c>
      <c r="AZ33" s="74" t="n">
        <f aca="false">SQRT(($B33-AZ$5)^2+($C33-AZ$6)^2+($D33-AZ$7)^2)</f>
        <v>1.60884235528245</v>
      </c>
      <c r="BA33" s="74" t="n">
        <f aca="false">SQRT(($B33-BA$5)^2+($C33-BA$6)^2+($D33-BA$7)^2)</f>
        <v>1.17458885154443</v>
      </c>
      <c r="BB33" s="74" t="n">
        <f aca="false">SQRT(($B33-BB$5)^2+($C33-BB$6)^2+($D33-BB$7)^2)</f>
        <v>2.71283164065287</v>
      </c>
      <c r="BC33" s="74" t="n">
        <f aca="false">SQRT(($B33-BC$5)^2+($C33-BC$6)^2+($D33-BC$7)^2)</f>
        <v>2.71442130299207</v>
      </c>
      <c r="BD33" s="74" t="n">
        <f aca="false">SQRT(($B33-BD$5)^2+($C33-BD$6)^2+($D33-BD$7)^2)</f>
        <v>2.23696199969036</v>
      </c>
      <c r="BE33" s="74" t="n">
        <f aca="false">SQRT(($B33-BE$5)^2+($C33-BE$6)^2+($D33-BE$7)^2)</f>
        <v>2.07164930614015</v>
      </c>
      <c r="BF33" s="74" t="n">
        <f aca="false">SQRT(($B33-BF$5)^2+($C33-BF$6)^2+($D33-BF$7)^2)</f>
        <v>0.952583252478157</v>
      </c>
      <c r="BG33" s="74" t="n">
        <f aca="false">SQRT(($B33-BG$5)^2+($C33-BG$6)^2+($D33-BG$7)^2)</f>
        <v>1.2753693132081</v>
      </c>
      <c r="BH33" s="74" t="n">
        <f aca="false">SQRT(($B33-BH$5)^2+($C33-BH$6)^2+($D33-BH$7)^2)</f>
        <v>2.74104803433879</v>
      </c>
      <c r="BI33" s="74" t="n">
        <f aca="false">SQRT(($B33-BI$5)^2+($C33-BI$6)^2+($D33-BI$7)^2)</f>
        <v>2.74565683954267</v>
      </c>
      <c r="BJ33" s="74" t="n">
        <f aca="false">SQRT(($B33-BJ$5)^2+($C33-BJ$6)^2+($D33-BJ$7)^2)</f>
        <v>1.33999502643285</v>
      </c>
      <c r="BK33" s="74" t="n">
        <f aca="false">SQRT(($B33-BK$5)^2+($C33-BK$6)^2+($D33-BK$7)^2)</f>
        <v>2.22260908874147</v>
      </c>
      <c r="BL33" s="74" t="n">
        <f aca="false">SQRT(($B33-BL$5)^2+($C33-BL$6)^2+($D33-BL$7)^2)</f>
        <v>1.82885816851718</v>
      </c>
      <c r="BM33" s="74" t="n">
        <f aca="false">SQRT(($B33-BM$5)^2+($C33-BM$6)^2+($D33-BM$7)^2)</f>
        <v>1.056838507633</v>
      </c>
      <c r="BN33" s="74" t="n">
        <f aca="false">SQRT(($B33-BN$5)^2+($C33-BN$6)^2+($D33-BN$7)^2)</f>
        <v>1.47796593098181</v>
      </c>
      <c r="BO33" s="74" t="n">
        <f aca="false">SQRT(($B33-BO$5)^2+($C33-BO$6)^2+($D33-BO$7)^2)</f>
        <v>2.54237180727841</v>
      </c>
      <c r="BP33" s="74" t="n">
        <f aca="false">SQRT(($B33-BP$5)^2+($C33-BP$6)^2+($D33-BP$7)^2)</f>
        <v>1.37556688099178</v>
      </c>
      <c r="BQ33" s="74" t="n">
        <f aca="false">SQRT(($B33-BQ$5)^2+($C33-BQ$6)^2+($D33-BQ$7)^2)</f>
        <v>1.49596220821151</v>
      </c>
      <c r="BR33" s="74" t="n">
        <f aca="false">SQRT(($B33-BR$5)^2+($C33-BR$6)^2+($D33-BR$7)^2)</f>
        <v>1.49097325297854</v>
      </c>
      <c r="BS33" s="74" t="n">
        <f aca="false">SQRT(($B33-BS$5)^2+($C33-BS$6)^2+($D33-BS$7)^2)</f>
        <v>1.84404596362977</v>
      </c>
      <c r="BT33" s="74" t="n">
        <f aca="false">SQRT(($B33-BT$5)^2+($C33-BT$6)^2+($D33-BT$7)^2)</f>
        <v>2.0010718112464</v>
      </c>
      <c r="BU33" s="74" t="n">
        <f aca="false">SQRT(($B33-BU$5)^2+($C33-BU$6)^2+($D33-BU$7)^2)</f>
        <v>2.03810373281093</v>
      </c>
      <c r="BV33" s="74" t="n">
        <f aca="false">SQRT(($B33-BV$5)^2+($C33-BV$6)^2+($D33-BV$7)^2)</f>
        <v>2.85553247135372</v>
      </c>
      <c r="BW33" s="74" t="n">
        <f aca="false">SQRT(($B33-BW$5)^2+($C33-BW$6)^2+($D33-BW$7)^2)</f>
        <v>1.99735608685039</v>
      </c>
      <c r="BX33" s="74" t="n">
        <f aca="false">SQRT(($B33-BX$5)^2+($C33-BX$6)^2+($D33-BX$7)^2)</f>
        <v>2.86174933346022</v>
      </c>
      <c r="BY33" s="74" t="n">
        <f aca="false">SQRT(($B33-BY$5)^2+($C33-BY$6)^2+($D33-BY$7)^2)</f>
        <v>2.23350163779757</v>
      </c>
      <c r="BZ33" s="74" t="n">
        <f aca="false">SQRT(($B33-BZ$5)^2+($C33-BZ$6)^2+($D33-BZ$7)^2)</f>
        <v>2.27686700902659</v>
      </c>
      <c r="CA33" s="74" t="n">
        <f aca="false">SQRT(($B33-CA$5)^2+($C33-CA$6)^2+($D33-CA$7)^2)</f>
        <v>2.88214511274704</v>
      </c>
      <c r="CB33" s="74" t="n">
        <f aca="false">SQRT(($B33-CB$5)^2+($C33-CB$6)^2+($D33-CB$7)^2)</f>
        <v>2.28629701849861</v>
      </c>
      <c r="CC33" s="74" t="n">
        <f aca="false">SQRT(($B33-CC$5)^2+($C33-CC$6)^2+($D33-CC$7)^2)</f>
        <v>2.88960051407346</v>
      </c>
      <c r="CD33" s="74" t="n">
        <f aca="false">SQRT(($B33-CD$5)^2+($C33-CD$6)^2+($D33-CD$7)^2)</f>
        <v>2.90565966763584</v>
      </c>
      <c r="CE33" s="74" t="n">
        <f aca="false">SQRT(($B33-CE$5)^2+($C33-CE$6)^2+($D33-CE$7)^2)</f>
        <v>2.1721526742101</v>
      </c>
      <c r="CF33" s="74" t="n">
        <f aca="false">SQRT(($B33-CF$5)^2+($C33-CF$6)^2+($D33-CF$7)^2)</f>
        <v>1.80585174590051</v>
      </c>
      <c r="CG33" s="74" t="n">
        <f aca="false">SQRT(($B33-CG$5)^2+($C33-CG$6)^2+($D33-CG$7)^2)</f>
        <v>2.16550684575167</v>
      </c>
      <c r="CH33" s="74" t="n">
        <f aca="false">SQRT(($B33-CH$5)^2+($C33-CH$6)^2+($D33-CH$7)^2)</f>
        <v>2.44225004065701</v>
      </c>
      <c r="CI33" s="74" t="n">
        <f aca="false">SQRT(($B33-CI$5)^2+($C33-CI$6)^2+($D33-CI$7)^2)</f>
        <v>2.53082164837101</v>
      </c>
      <c r="CJ33" s="74" t="n">
        <f aca="false">SQRT(($B33-CJ$5)^2+($C33-CJ$6)^2+($D33-CJ$7)^2)</f>
        <v>2.75153378711527</v>
      </c>
      <c r="CK33" s="74" t="n">
        <f aca="false">SQRT(($B33-CK$5)^2+($C33-CK$6)^2+($D33-CK$7)^2)</f>
        <v>2.32780015478594</v>
      </c>
      <c r="CL33" s="74" t="n">
        <f aca="false">SQRT(($B33-CL$5)^2+($C33-CL$6)^2+($D33-CL$7)^2)</f>
        <v>3.0209556566109</v>
      </c>
      <c r="CM33" s="74" t="n">
        <f aca="false">SQRT(($B33-CM$5)^2+($C33-CM$6)^2+($D33-CM$7)^2)</f>
        <v>2.48829167051237</v>
      </c>
      <c r="CN33" s="74" t="n">
        <f aca="false">SQRT(($B33-CN$5)^2+($C33-CN$6)^2+($D33-CN$7)^2)</f>
        <v>1.86152950521931</v>
      </c>
      <c r="CO33" s="74" t="n">
        <f aca="false">SQRT(($B33-CO$5)^2+($C33-CO$6)^2+($D33-CO$7)^2)</f>
        <v>2.21470969481287</v>
      </c>
      <c r="CP33" s="74" t="n">
        <f aca="false">SQRT(($B33-CP$5)^2+($C33-CP$6)^2+($D33-CP$7)^2)</f>
        <v>3.07528814110394</v>
      </c>
      <c r="CQ33" s="74" t="n">
        <f aca="false">SQRT(($B33-CQ$5)^2+($C33-CQ$6)^2+($D33-CQ$7)^2)</f>
        <v>2.62532674517598</v>
      </c>
      <c r="CR33" s="74" t="n">
        <f aca="false">SQRT(($B33-CR$5)^2+($C33-CR$6)^2+($D33-CR$7)^2)</f>
        <v>2.60888068492237</v>
      </c>
      <c r="CS33" s="74" t="n">
        <f aca="false">SQRT(($B33-CS$5)^2+($C33-CS$6)^2+($D33-CS$7)^2)</f>
        <v>3.12103125101771</v>
      </c>
      <c r="CT33" s="74" t="n">
        <f aca="false">SQRT(($B33-CT$5)^2+($C33-CT$6)^2+($D33-CT$7)^2)</f>
        <v>3.14790751179458</v>
      </c>
      <c r="CU33" s="74" t="n">
        <f aca="false">SQRT(($B33-CU$5)^2+($C33-CU$6)^2+($D33-CU$7)^2)</f>
        <v>2.70839232432579</v>
      </c>
      <c r="CV33" s="74" t="n">
        <f aca="false">SQRT(($B33-CV$5)^2+($C33-CV$6)^2+($D33-CV$7)^2)</f>
        <v>2.39623529735928</v>
      </c>
      <c r="CW33" s="74" t="n">
        <f aca="false">SQRT(($B33-CW$5)^2+($C33-CW$6)^2+($D33-CW$7)^2)</f>
        <v>3.14790751179458</v>
      </c>
      <c r="CX33" s="74" t="n">
        <f aca="false">SQRT(($B33-CX$5)^2+($C33-CX$6)^2+($D33-CX$7)^2)</f>
        <v>2.54677912643155</v>
      </c>
      <c r="CY33" s="74" t="n">
        <f aca="false">SQRT(($B33-CY$5)^2+($C33-CY$6)^2+($D33-CY$7)^2)</f>
        <v>3.1782544380762</v>
      </c>
      <c r="CZ33" s="74" t="n">
        <f aca="false">SQRT(($B33-CZ$5)^2+($C33-CZ$6)^2+($D33-CZ$7)^2)</f>
        <v>3.1782544380762</v>
      </c>
      <c r="DA33" s="74" t="n">
        <f aca="false">SQRT(($B33-DA$5)^2+($C33-DA$6)^2+($D33-DA$7)^2)</f>
        <v>2.7767072218887</v>
      </c>
      <c r="DB33" s="74" t="n">
        <f aca="false">SQRT(($B33-DB$5)^2+($C33-DB$6)^2+($D33-DB$7)^2)</f>
        <v>3.2129481510757</v>
      </c>
      <c r="DC33" s="74" t="n">
        <f aca="false">SQRT(($B33-DC$5)^2+($C33-DC$6)^2+($D33-DC$7)^2)</f>
        <v>3.2129481510757</v>
      </c>
      <c r="DD33" s="74" t="n">
        <f aca="false">SQRT(($B33-DD$5)^2+($C33-DD$6)^2+($D33-DD$7)^2)</f>
        <v>2.8913993185018</v>
      </c>
      <c r="DE33" s="74" t="n">
        <f aca="false">SQRT(($B33-DE$5)^2+($C33-DE$6)^2+($D33-DE$7)^2)</f>
        <v>3.09797471393907</v>
      </c>
      <c r="DF33" s="74" t="n">
        <f aca="false">SQRT(($B33-DF$5)^2+($C33-DF$6)^2+($D33-DF$7)^2)</f>
        <v>3.43222922813062</v>
      </c>
      <c r="DG33" s="74" t="n">
        <f aca="false">SQRT(($B33-DG$5)^2+($C33-DG$6)^2+($D33-DG$7)^2)</f>
        <v>3.53007225823085</v>
      </c>
      <c r="DH33" s="74" t="n">
        <f aca="false">SQRT(($B33-DH$5)^2+($C33-DH$6)^2+($D33-DH$7)^2)</f>
        <v>3.53007225823085</v>
      </c>
      <c r="DI33" s="74" t="n">
        <f aca="false">SQRT(($B33-DI$5)^2+($C33-DI$6)^2+($D33-DI$7)^2)</f>
        <v>3.53007225823085</v>
      </c>
      <c r="DJ33" s="74" t="n">
        <f aca="false">SQRT(($B33-DJ$5)^2+($C33-DJ$6)^2+($D33-DJ$7)^2)</f>
        <v>3.53007225823085</v>
      </c>
      <c r="DK33" s="74" t="n">
        <f aca="false">SQRT(($B33-DK$5)^2+($C33-DK$6)^2+($D33-DK$7)^2)</f>
        <v>3.67391589969196</v>
      </c>
      <c r="DL33" s="74" t="n">
        <f aca="false">SQRT(($B33-DL$5)^2+($C33-DL$6)^2+($D33-DL$7)^2)</f>
        <v>3.67391589969196</v>
      </c>
      <c r="DM33" s="74" t="n">
        <f aca="false">SQRT(($B33-DM$5)^2+($C33-DM$6)^2+($D33-DM$7)^2)</f>
        <v>3.67391589969196</v>
      </c>
      <c r="DN33" s="74" t="n">
        <f aca="false">SQRT(($B33-DN$5)^2+($C33-DN$6)^2+($D33-DN$7)^2)</f>
        <v>3.67391589969196</v>
      </c>
      <c r="DO33" s="74" t="n">
        <f aca="false">SQRT(($B33-DO$5)^2+($C33-DO$6)^2+($D33-DO$7)^2)</f>
        <v>3.67391589969196</v>
      </c>
      <c r="DP33" s="74" t="n">
        <f aca="false">SQRT(($B33-DP$5)^2+($C33-DP$6)^2+($D33-DP$7)^2)</f>
        <v>3.93388071911523</v>
      </c>
      <c r="DQ33" s="74" t="n">
        <f aca="false">SQRT(($B33-DQ$5)^2+($C33-DQ$6)^2+($D33-DQ$7)^2)</f>
        <v>3.93388071911523</v>
      </c>
    </row>
    <row r="34" customFormat="false" ht="15" hidden="false" customHeight="false" outlineLevel="0" collapsed="false">
      <c r="A34" s="48" t="str">
        <f aca="false">KMeans_Data!A25</f>
        <v>Dera Ghazi Khan</v>
      </c>
      <c r="B34" s="72" t="n">
        <f aca="false">KMeans_Data!H25</f>
        <v>0.789836374639921</v>
      </c>
      <c r="C34" s="72" t="n">
        <f aca="false">KMeans_Data!I25</f>
        <v>0.803084449535714</v>
      </c>
      <c r="D34" s="72" t="n">
        <f aca="false">KMeans_Data!J25</f>
        <v>1.26838439516132</v>
      </c>
      <c r="E34" s="74" t="n">
        <f aca="false">SQRT(($B34-E$5)^2+($C34-E$6)^2+($D34-E$7)^2)</f>
        <v>4.53655738479708</v>
      </c>
      <c r="F34" s="74" t="n">
        <f aca="false">SQRT(($B34-F$5)^2+($C34-F$6)^2+($D34-F$7)^2)</f>
        <v>4.39260061519493</v>
      </c>
      <c r="G34" s="74" t="n">
        <f aca="false">SQRT(($B34-G$5)^2+($C34-G$6)^2+($D34-G$7)^2)</f>
        <v>2.4334475978012</v>
      </c>
      <c r="H34" s="74" t="n">
        <f aca="false">SQRT(($B34-H$5)^2+($C34-H$6)^2+($D34-H$7)^2)</f>
        <v>3.18865667638834</v>
      </c>
      <c r="I34" s="74" t="n">
        <f aca="false">SQRT(($B34-I$5)^2+($C34-I$6)^2+($D34-I$7)^2)</f>
        <v>1.91981145085126</v>
      </c>
      <c r="J34" s="74" t="n">
        <f aca="false">SQRT(($B34-J$5)^2+($C34-J$6)^2+($D34-J$7)^2)</f>
        <v>1.60150406189909</v>
      </c>
      <c r="K34" s="74" t="n">
        <f aca="false">SQRT(($B34-K$5)^2+($C34-K$6)^2+($D34-K$7)^2)</f>
        <v>2.25719870211809</v>
      </c>
      <c r="L34" s="74" t="n">
        <f aca="false">SQRT(($B34-L$5)^2+($C34-L$6)^2+($D34-L$7)^2)</f>
        <v>0.705915996419201</v>
      </c>
      <c r="M34" s="74" t="n">
        <f aca="false">SQRT(($B34-M$5)^2+($C34-M$6)^2+($D34-M$7)^2)</f>
        <v>0.754823259881739</v>
      </c>
      <c r="N34" s="74" t="n">
        <f aca="false">SQRT(($B34-N$5)^2+($C34-N$6)^2+($D34-N$7)^2)</f>
        <v>2.33496600889433</v>
      </c>
      <c r="O34" s="74" t="n">
        <f aca="false">SQRT(($B34-O$5)^2+($C34-O$6)^2+($D34-O$7)^2)</f>
        <v>0.809068719860471</v>
      </c>
      <c r="P34" s="74" t="n">
        <f aca="false">SQRT(($B34-P$5)^2+($C34-P$6)^2+($D34-P$7)^2)</f>
        <v>1.02759383632793</v>
      </c>
      <c r="Q34" s="74" t="n">
        <f aca="false">SQRT(($B34-Q$5)^2+($C34-Q$6)^2+($D34-Q$7)^2)</f>
        <v>0.368076936041225</v>
      </c>
      <c r="R34" s="74" t="n">
        <f aca="false">SQRT(($B34-R$5)^2+($C34-R$6)^2+($D34-R$7)^2)</f>
        <v>0.53121011056296</v>
      </c>
      <c r="S34" s="74" t="n">
        <f aca="false">SQRT(($B34-S$5)^2+($C34-S$6)^2+($D34-S$7)^2)</f>
        <v>0.980024521429709</v>
      </c>
      <c r="T34" s="74" t="n">
        <f aca="false">SQRT(($B34-T$5)^2+($C34-T$6)^2+($D34-T$7)^2)</f>
        <v>0.377324658649722</v>
      </c>
      <c r="U34" s="74" t="n">
        <f aca="false">SQRT(($B34-U$5)^2+($C34-U$6)^2+($D34-U$7)^2)</f>
        <v>0.536086185984441</v>
      </c>
      <c r="V34" s="74" t="n">
        <f aca="false">SQRT(($B34-V$5)^2+($C34-V$6)^2+($D34-V$7)^2)</f>
        <v>0.872143767504634</v>
      </c>
      <c r="W34" s="74" t="n">
        <f aca="false">SQRT(($B34-W$5)^2+($C34-W$6)^2+($D34-W$7)^2)</f>
        <v>0.670380535001509</v>
      </c>
      <c r="X34" s="74" t="n">
        <f aca="false">SQRT(($B34-X$5)^2+($C34-X$6)^2+($D34-X$7)^2)</f>
        <v>0.237415146525776</v>
      </c>
      <c r="Y34" s="74" t="n">
        <f aca="false">SQRT(($B34-Y$5)^2+($C34-Y$6)^2+($D34-Y$7)^2)</f>
        <v>0</v>
      </c>
      <c r="Z34" s="74" t="n">
        <f aca="false">SQRT(($B34-Z$5)^2+($C34-Z$6)^2+($D34-Z$7)^2)</f>
        <v>0.650069389917737</v>
      </c>
      <c r="AA34" s="74" t="n">
        <f aca="false">SQRT(($B34-AA$5)^2+($C34-AA$6)^2+($D34-AA$7)^2)</f>
        <v>0.712908651886394</v>
      </c>
      <c r="AB34" s="74" t="n">
        <f aca="false">SQRT(($B34-AB$5)^2+($C34-AB$6)^2+($D34-AB$7)^2)</f>
        <v>0.653172324474806</v>
      </c>
      <c r="AC34" s="74" t="n">
        <f aca="false">SQRT(($B34-AC$5)^2+($C34-AC$6)^2+($D34-AC$7)^2)</f>
        <v>0.791842576022381</v>
      </c>
      <c r="AD34" s="74" t="n">
        <f aca="false">SQRT(($B34-AD$5)^2+($C34-AD$6)^2+($D34-AD$7)^2)</f>
        <v>0.0822444214369526</v>
      </c>
      <c r="AE34" s="74" t="n">
        <f aca="false">SQRT(($B34-AE$5)^2+($C34-AE$6)^2+($D34-AE$7)^2)</f>
        <v>2.59825809517442</v>
      </c>
      <c r="AF34" s="74" t="n">
        <f aca="false">SQRT(($B34-AF$5)^2+($C34-AF$6)^2+($D34-AF$7)^2)</f>
        <v>0.45272438353488</v>
      </c>
      <c r="AG34" s="74" t="n">
        <f aca="false">SQRT(($B34-AG$5)^2+($C34-AG$6)^2+($D34-AG$7)^2)</f>
        <v>2.23735624317745</v>
      </c>
      <c r="AH34" s="74" t="n">
        <f aca="false">SQRT(($B34-AH$5)^2+($C34-AH$6)^2+($D34-AH$7)^2)</f>
        <v>0.833601113882558</v>
      </c>
      <c r="AI34" s="74" t="n">
        <f aca="false">SQRT(($B34-AI$5)^2+($C34-AI$6)^2+($D34-AI$7)^2)</f>
        <v>2.23765837723455</v>
      </c>
      <c r="AJ34" s="74" t="n">
        <f aca="false">SQRT(($B34-AJ$5)^2+($C34-AJ$6)^2+($D34-AJ$7)^2)</f>
        <v>0.37179359077452</v>
      </c>
      <c r="AK34" s="74" t="n">
        <f aca="false">SQRT(($B34-AK$5)^2+($C34-AK$6)^2+($D34-AK$7)^2)</f>
        <v>1.10021349613126</v>
      </c>
      <c r="AL34" s="74" t="n">
        <f aca="false">SQRT(($B34-AL$5)^2+($C34-AL$6)^2+($D34-AL$7)^2)</f>
        <v>1.2283681880322</v>
      </c>
      <c r="AM34" s="74" t="n">
        <f aca="false">SQRT(($B34-AM$5)^2+($C34-AM$6)^2+($D34-AM$7)^2)</f>
        <v>1.16224091845617</v>
      </c>
      <c r="AN34" s="74" t="n">
        <f aca="false">SQRT(($B34-AN$5)^2+($C34-AN$6)^2+($D34-AN$7)^2)</f>
        <v>0.729105521972673</v>
      </c>
      <c r="AO34" s="74" t="n">
        <f aca="false">SQRT(($B34-AO$5)^2+($C34-AO$6)^2+($D34-AO$7)^2)</f>
        <v>0.915335307672309</v>
      </c>
      <c r="AP34" s="74" t="n">
        <f aca="false">SQRT(($B34-AP$5)^2+($C34-AP$6)^2+($D34-AP$7)^2)</f>
        <v>0.981422633643357</v>
      </c>
      <c r="AQ34" s="74" t="n">
        <f aca="false">SQRT(($B34-AQ$5)^2+($C34-AQ$6)^2+($D34-AQ$7)^2)</f>
        <v>0.880850274666648</v>
      </c>
      <c r="AR34" s="74" t="n">
        <f aca="false">SQRT(($B34-AR$5)^2+($C34-AR$6)^2+($D34-AR$7)^2)</f>
        <v>1.54511360864454</v>
      </c>
      <c r="AS34" s="74" t="n">
        <f aca="false">SQRT(($B34-AS$5)^2+($C34-AS$6)^2+($D34-AS$7)^2)</f>
        <v>1.57083646225094</v>
      </c>
      <c r="AT34" s="74" t="n">
        <f aca="false">SQRT(($B34-AT$5)^2+($C34-AT$6)^2+($D34-AT$7)^2)</f>
        <v>1.18877211162155</v>
      </c>
      <c r="AU34" s="74" t="n">
        <f aca="false">SQRT(($B34-AU$5)^2+($C34-AU$6)^2+($D34-AU$7)^2)</f>
        <v>2.19311390198309</v>
      </c>
      <c r="AV34" s="74" t="n">
        <f aca="false">SQRT(($B34-AV$5)^2+($C34-AV$6)^2+($D34-AV$7)^2)</f>
        <v>1.74068402613097</v>
      </c>
      <c r="AW34" s="74" t="n">
        <f aca="false">SQRT(($B34-AW$5)^2+($C34-AW$6)^2+($D34-AW$7)^2)</f>
        <v>2.61946111793716</v>
      </c>
      <c r="AX34" s="74" t="n">
        <f aca="false">SQRT(($B34-AX$5)^2+($C34-AX$6)^2+($D34-AX$7)^2)</f>
        <v>1.22875841702102</v>
      </c>
      <c r="AY34" s="74" t="n">
        <f aca="false">SQRT(($B34-AY$5)^2+($C34-AY$6)^2+($D34-AY$7)^2)</f>
        <v>2.88999732903811</v>
      </c>
      <c r="AZ34" s="74" t="n">
        <f aca="false">SQRT(($B34-AZ$5)^2+($C34-AZ$6)^2+($D34-AZ$7)^2)</f>
        <v>1.60629540529568</v>
      </c>
      <c r="BA34" s="74" t="n">
        <f aca="false">SQRT(($B34-BA$5)^2+($C34-BA$6)^2+($D34-BA$7)^2)</f>
        <v>1.21674616676738</v>
      </c>
      <c r="BB34" s="74" t="n">
        <f aca="false">SQRT(($B34-BB$5)^2+($C34-BB$6)^2+($D34-BB$7)^2)</f>
        <v>2.89133841417516</v>
      </c>
      <c r="BC34" s="74" t="n">
        <f aca="false">SQRT(($B34-BC$5)^2+($C34-BC$6)^2+($D34-BC$7)^2)</f>
        <v>2.89271105147699</v>
      </c>
      <c r="BD34" s="74" t="n">
        <f aca="false">SQRT(($B34-BD$5)^2+($C34-BD$6)^2+($D34-BD$7)^2)</f>
        <v>2.38828816688293</v>
      </c>
      <c r="BE34" s="74" t="n">
        <f aca="false">SQRT(($B34-BE$5)^2+($C34-BE$6)^2+($D34-BE$7)^2)</f>
        <v>2.20681578985851</v>
      </c>
      <c r="BF34" s="74" t="n">
        <f aca="false">SQRT(($B34-BF$5)^2+($C34-BF$6)^2+($D34-BF$7)^2)</f>
        <v>1.00582418252983</v>
      </c>
      <c r="BG34" s="74" t="n">
        <f aca="false">SQRT(($B34-BG$5)^2+($C34-BG$6)^2+($D34-BG$7)^2)</f>
        <v>1.34160379853774</v>
      </c>
      <c r="BH34" s="74" t="n">
        <f aca="false">SQRT(($B34-BH$5)^2+($C34-BH$6)^2+($D34-BH$7)^2)</f>
        <v>2.91587945575767</v>
      </c>
      <c r="BI34" s="74" t="n">
        <f aca="false">SQRT(($B34-BI$5)^2+($C34-BI$6)^2+($D34-BI$7)^2)</f>
        <v>2.91991870620354</v>
      </c>
      <c r="BJ34" s="74" t="n">
        <f aca="false">SQRT(($B34-BJ$5)^2+($C34-BJ$6)^2+($D34-BJ$7)^2)</f>
        <v>1.49826529237193</v>
      </c>
      <c r="BK34" s="74" t="n">
        <f aca="false">SQRT(($B34-BK$5)^2+($C34-BK$6)^2+($D34-BK$7)^2)</f>
        <v>2.36119628559363</v>
      </c>
      <c r="BL34" s="74" t="n">
        <f aca="false">SQRT(($B34-BL$5)^2+($C34-BL$6)^2+($D34-BL$7)^2)</f>
        <v>1.90394345117886</v>
      </c>
      <c r="BM34" s="74" t="n">
        <f aca="false">SQRT(($B34-BM$5)^2+($C34-BM$6)^2+($D34-BM$7)^2)</f>
        <v>1.15337554824027</v>
      </c>
      <c r="BN34" s="74" t="n">
        <f aca="false">SQRT(($B34-BN$5)^2+($C34-BN$6)^2+($D34-BN$7)^2)</f>
        <v>1.61534265076971</v>
      </c>
      <c r="BO34" s="74" t="n">
        <f aca="false">SQRT(($B34-BO$5)^2+($C34-BO$6)^2+($D34-BO$7)^2)</f>
        <v>2.6996845718399</v>
      </c>
      <c r="BP34" s="74" t="n">
        <f aca="false">SQRT(($B34-BP$5)^2+($C34-BP$6)^2+($D34-BP$7)^2)</f>
        <v>1.48609272633789</v>
      </c>
      <c r="BQ34" s="74" t="n">
        <f aca="false">SQRT(($B34-BQ$5)^2+($C34-BQ$6)^2+($D34-BQ$7)^2)</f>
        <v>1.58082767191606</v>
      </c>
      <c r="BR34" s="74" t="n">
        <f aca="false">SQRT(($B34-BR$5)^2+($C34-BR$6)^2+($D34-BR$7)^2)</f>
        <v>1.56811334921892</v>
      </c>
      <c r="BS34" s="74" t="n">
        <f aca="false">SQRT(($B34-BS$5)^2+($C34-BS$6)^2+($D34-BS$7)^2)</f>
        <v>1.88551951186217</v>
      </c>
      <c r="BT34" s="74" t="n">
        <f aca="false">SQRT(($B34-BT$5)^2+($C34-BT$6)^2+($D34-BT$7)^2)</f>
        <v>2.0836556078405</v>
      </c>
      <c r="BU34" s="74" t="n">
        <f aca="false">SQRT(($B34-BU$5)^2+($C34-BU$6)^2+($D34-BU$7)^2)</f>
        <v>2.12846089683511</v>
      </c>
      <c r="BV34" s="74" t="n">
        <f aca="false">SQRT(($B34-BV$5)^2+($C34-BV$6)^2+($D34-BV$7)^2)</f>
        <v>3.01782971735012</v>
      </c>
      <c r="BW34" s="74" t="n">
        <f aca="false">SQRT(($B34-BW$5)^2+($C34-BW$6)^2+($D34-BW$7)^2)</f>
        <v>2.06816709776627</v>
      </c>
      <c r="BX34" s="74" t="n">
        <f aca="false">SQRT(($B34-BX$5)^2+($C34-BX$6)^2+($D34-BX$7)^2)</f>
        <v>3.02343804742298</v>
      </c>
      <c r="BY34" s="74" t="n">
        <f aca="false">SQRT(($B34-BY$5)^2+($C34-BY$6)^2+($D34-BY$7)^2)</f>
        <v>2.34310272965894</v>
      </c>
      <c r="BZ34" s="74" t="n">
        <f aca="false">SQRT(($B34-BZ$5)^2+($C34-BZ$6)^2+($D34-BZ$7)^2)</f>
        <v>2.39009703646686</v>
      </c>
      <c r="CA34" s="74" t="n">
        <f aca="false">SQRT(($B34-CA$5)^2+($C34-CA$6)^2+($D34-CA$7)^2)</f>
        <v>3.04187632828012</v>
      </c>
      <c r="CB34" s="74" t="n">
        <f aca="false">SQRT(($B34-CB$5)^2+($C34-CB$6)^2+($D34-CB$7)^2)</f>
        <v>2.39868694677393</v>
      </c>
      <c r="CC34" s="74" t="n">
        <f aca="false">SQRT(($B34-CC$5)^2+($C34-CC$6)^2+($D34-CC$7)^2)</f>
        <v>3.04863031892141</v>
      </c>
      <c r="CD34" s="74" t="n">
        <f aca="false">SQRT(($B34-CD$5)^2+($C34-CD$6)^2+($D34-CD$7)^2)</f>
        <v>3.06320271250104</v>
      </c>
      <c r="CE34" s="74" t="n">
        <f aca="false">SQRT(($B34-CE$5)^2+($C34-CE$6)^2+($D34-CE$7)^2)</f>
        <v>2.25959189488248</v>
      </c>
      <c r="CF34" s="74" t="n">
        <f aca="false">SQRT(($B34-CF$5)^2+($C34-CF$6)^2+($D34-CF$7)^2)</f>
        <v>1.89842727317588</v>
      </c>
      <c r="CG34" s="74" t="n">
        <f aca="false">SQRT(($B34-CG$5)^2+($C34-CG$6)^2+($D34-CG$7)^2)</f>
        <v>2.2967767107442</v>
      </c>
      <c r="CH34" s="74" t="n">
        <f aca="false">SQRT(($B34-CH$5)^2+($C34-CH$6)^2+($D34-CH$7)^2)</f>
        <v>2.55936488627721</v>
      </c>
      <c r="CI34" s="74" t="n">
        <f aca="false">SQRT(($B34-CI$5)^2+($C34-CI$6)^2+($D34-CI$7)^2)</f>
        <v>2.65209069407754</v>
      </c>
      <c r="CJ34" s="74" t="n">
        <f aca="false">SQRT(($B34-CJ$5)^2+($C34-CJ$6)^2+($D34-CJ$7)^2)</f>
        <v>2.88886164057601</v>
      </c>
      <c r="CK34" s="74" t="n">
        <f aca="false">SQRT(($B34-CK$5)^2+($C34-CK$6)^2+($D34-CK$7)^2)</f>
        <v>2.41271607809173</v>
      </c>
      <c r="CL34" s="74" t="n">
        <f aca="false">SQRT(($B34-CL$5)^2+($C34-CL$6)^2+($D34-CL$7)^2)</f>
        <v>3.16864342634857</v>
      </c>
      <c r="CM34" s="74" t="n">
        <f aca="false">SQRT(($B34-CM$5)^2+($C34-CM$6)^2+($D34-CM$7)^2)</f>
        <v>2.59249124915185</v>
      </c>
      <c r="CN34" s="74" t="n">
        <f aca="false">SQRT(($B34-CN$5)^2+($C34-CN$6)^2+($D34-CN$7)^2)</f>
        <v>1.88418455013131</v>
      </c>
      <c r="CO34" s="74" t="n">
        <f aca="false">SQRT(($B34-CO$5)^2+($C34-CO$6)^2+($D34-CO$7)^2)</f>
        <v>2.31546323471985</v>
      </c>
      <c r="CP34" s="74" t="n">
        <f aca="false">SQRT(($B34-CP$5)^2+($C34-CP$6)^2+($D34-CP$7)^2)</f>
        <v>3.21874348304588</v>
      </c>
      <c r="CQ34" s="74" t="n">
        <f aca="false">SQRT(($B34-CQ$5)^2+($C34-CQ$6)^2+($D34-CQ$7)^2)</f>
        <v>2.72861933902284</v>
      </c>
      <c r="CR34" s="74" t="n">
        <f aca="false">SQRT(($B34-CR$5)^2+($C34-CR$6)^2+($D34-CR$7)^2)</f>
        <v>2.70470605203786</v>
      </c>
      <c r="CS34" s="74" t="n">
        <f aca="false">SQRT(($B34-CS$5)^2+($C34-CS$6)^2+($D34-CS$7)^2)</f>
        <v>3.26109262584541</v>
      </c>
      <c r="CT34" s="74" t="n">
        <f aca="false">SQRT(($B34-CT$5)^2+($C34-CT$6)^2+($D34-CT$7)^2)</f>
        <v>3.28604056195997</v>
      </c>
      <c r="CU34" s="74" t="n">
        <f aca="false">SQRT(($B34-CU$5)^2+($C34-CU$6)^2+($D34-CU$7)^2)</f>
        <v>2.8417077062749</v>
      </c>
      <c r="CV34" s="74" t="n">
        <f aca="false">SQRT(($B34-CV$5)^2+($C34-CV$6)^2+($D34-CV$7)^2)</f>
        <v>2.44478798989031</v>
      </c>
      <c r="CW34" s="74" t="n">
        <f aca="false">SQRT(($B34-CW$5)^2+($C34-CW$6)^2+($D34-CW$7)^2)</f>
        <v>3.28604056195997</v>
      </c>
      <c r="CX34" s="74" t="n">
        <f aca="false">SQRT(($B34-CX$5)^2+($C34-CX$6)^2+($D34-CX$7)^2)</f>
        <v>2.61806729179614</v>
      </c>
      <c r="CY34" s="74" t="n">
        <f aca="false">SQRT(($B34-CY$5)^2+($C34-CY$6)^2+($D34-CY$7)^2)</f>
        <v>3.31426479095114</v>
      </c>
      <c r="CZ34" s="74" t="n">
        <f aca="false">SQRT(($B34-CZ$5)^2+($C34-CZ$6)^2+($D34-CZ$7)^2)</f>
        <v>3.31426479095114</v>
      </c>
      <c r="DA34" s="74" t="n">
        <f aca="false">SQRT(($B34-DA$5)^2+($C34-DA$6)^2+($D34-DA$7)^2)</f>
        <v>2.88019070449854</v>
      </c>
      <c r="DB34" s="74" t="n">
        <f aca="false">SQRT(($B34-DB$5)^2+($C34-DB$6)^2+($D34-DB$7)^2)</f>
        <v>3.34659881233486</v>
      </c>
      <c r="DC34" s="74" t="n">
        <f aca="false">SQRT(($B34-DC$5)^2+($C34-DC$6)^2+($D34-DC$7)^2)</f>
        <v>3.34659881233486</v>
      </c>
      <c r="DD34" s="74" t="n">
        <f aca="false">SQRT(($B34-DD$5)^2+($C34-DD$6)^2+($D34-DD$7)^2)</f>
        <v>3.00016538379242</v>
      </c>
      <c r="DE34" s="74" t="n">
        <f aca="false">SQRT(($B34-DE$5)^2+($C34-DE$6)^2+($D34-DE$7)^2)</f>
        <v>3.21088287305148</v>
      </c>
      <c r="DF34" s="74" t="n">
        <f aca="false">SQRT(($B34-DF$5)^2+($C34-DF$6)^2+($D34-DF$7)^2)</f>
        <v>3.55238581361065</v>
      </c>
      <c r="DG34" s="74" t="n">
        <f aca="false">SQRT(($B34-DG$5)^2+($C34-DG$6)^2+($D34-DG$7)^2)</f>
        <v>3.64487565168779</v>
      </c>
      <c r="DH34" s="74" t="n">
        <f aca="false">SQRT(($B34-DH$5)^2+($C34-DH$6)^2+($D34-DH$7)^2)</f>
        <v>3.64487565168779</v>
      </c>
      <c r="DI34" s="74" t="n">
        <f aca="false">SQRT(($B34-DI$5)^2+($C34-DI$6)^2+($D34-DI$7)^2)</f>
        <v>3.64487565168779</v>
      </c>
      <c r="DJ34" s="74" t="n">
        <f aca="false">SQRT(($B34-DJ$5)^2+($C34-DJ$6)^2+($D34-DJ$7)^2)</f>
        <v>3.64487565168779</v>
      </c>
      <c r="DK34" s="74" t="n">
        <f aca="false">SQRT(($B34-DK$5)^2+($C34-DK$6)^2+($D34-DK$7)^2)</f>
        <v>3.78146337247965</v>
      </c>
      <c r="DL34" s="74" t="n">
        <f aca="false">SQRT(($B34-DL$5)^2+($C34-DL$6)^2+($D34-DL$7)^2)</f>
        <v>3.78146337247965</v>
      </c>
      <c r="DM34" s="74" t="n">
        <f aca="false">SQRT(($B34-DM$5)^2+($C34-DM$6)^2+($D34-DM$7)^2)</f>
        <v>3.78146337247965</v>
      </c>
      <c r="DN34" s="74" t="n">
        <f aca="false">SQRT(($B34-DN$5)^2+($C34-DN$6)^2+($D34-DN$7)^2)</f>
        <v>3.78146337247965</v>
      </c>
      <c r="DO34" s="74" t="n">
        <f aca="false">SQRT(($B34-DO$5)^2+($C34-DO$6)^2+($D34-DO$7)^2)</f>
        <v>3.78146337247965</v>
      </c>
      <c r="DP34" s="74" t="n">
        <f aca="false">SQRT(($B34-DP$5)^2+($C34-DP$6)^2+($D34-DP$7)^2)</f>
        <v>4.02986158778563</v>
      </c>
      <c r="DQ34" s="74" t="n">
        <f aca="false">SQRT(($B34-DQ$5)^2+($C34-DQ$6)^2+($D34-DQ$7)^2)</f>
        <v>4.02986158778563</v>
      </c>
    </row>
    <row r="35" customFormat="false" ht="15" hidden="false" customHeight="false" outlineLevel="0" collapsed="false">
      <c r="A35" s="48" t="str">
        <f aca="false">KMeans_Data!A26</f>
        <v>Charsadda</v>
      </c>
      <c r="B35" s="72" t="n">
        <f aca="false">KMeans_Data!H26</f>
        <v>0.7856220194878</v>
      </c>
      <c r="C35" s="72" t="n">
        <f aca="false">KMeans_Data!I26</f>
        <v>0.803084449535714</v>
      </c>
      <c r="D35" s="72" t="n">
        <f aca="false">KMeans_Data!J26</f>
        <v>0.618328666074444</v>
      </c>
      <c r="E35" s="74" t="n">
        <f aca="false">SQRT(($B35-E$5)^2+($C35-E$6)^2+($D35-E$7)^2)</f>
        <v>4.85836723486541</v>
      </c>
      <c r="F35" s="74" t="n">
        <f aca="false">SQRT(($B35-F$5)^2+($C35-F$6)^2+($D35-F$7)^2)</f>
        <v>4.64480269838379</v>
      </c>
      <c r="G35" s="74" t="n">
        <f aca="false">SQRT(($B35-G$5)^2+($C35-G$6)^2+($D35-G$7)^2)</f>
        <v>2.79156150661578</v>
      </c>
      <c r="H35" s="74" t="n">
        <f aca="false">SQRT(($B35-H$5)^2+($C35-H$6)^2+($D35-H$7)^2)</f>
        <v>3.32960545138557</v>
      </c>
      <c r="I35" s="74" t="n">
        <f aca="false">SQRT(($B35-I$5)^2+($C35-I$6)^2+($D35-I$7)^2)</f>
        <v>2.16252826301194</v>
      </c>
      <c r="J35" s="74" t="n">
        <f aca="false">SQRT(($B35-J$5)^2+($C35-J$6)^2+($D35-J$7)^2)</f>
        <v>1.79469365371321</v>
      </c>
      <c r="K35" s="74" t="n">
        <f aca="false">SQRT(($B35-K$5)^2+($C35-K$6)^2+($D35-K$7)^2)</f>
        <v>1.67369536746994</v>
      </c>
      <c r="L35" s="74" t="n">
        <f aca="false">SQRT(($B35-L$5)^2+($C35-L$6)^2+($D35-L$7)^2)</f>
        <v>1.23186399277887</v>
      </c>
      <c r="M35" s="74" t="n">
        <f aca="false">SQRT(($B35-M$5)^2+($C35-M$6)^2+($D35-M$7)^2)</f>
        <v>1.24563855495789</v>
      </c>
      <c r="N35" s="74" t="n">
        <f aca="false">SQRT(($B35-N$5)^2+($C35-N$6)^2+($D35-N$7)^2)</f>
        <v>1.77685502946415</v>
      </c>
      <c r="O35" s="74" t="n">
        <f aca="false">SQRT(($B35-O$5)^2+($C35-O$6)^2+($D35-O$7)^2)</f>
        <v>0.846207268557285</v>
      </c>
      <c r="P35" s="74" t="n">
        <f aca="false">SQRT(($B35-P$5)^2+($C35-P$6)^2+($D35-P$7)^2)</f>
        <v>1.16164110833886</v>
      </c>
      <c r="Q35" s="74" t="n">
        <f aca="false">SQRT(($B35-Q$5)^2+($C35-Q$6)^2+($D35-Q$7)^2)</f>
        <v>0.56207141307782</v>
      </c>
      <c r="R35" s="74" t="n">
        <f aca="false">SQRT(($B35-R$5)^2+($C35-R$6)^2+($D35-R$7)^2)</f>
        <v>0.984636652935809</v>
      </c>
      <c r="S35" s="74" t="n">
        <f aca="false">SQRT(($B35-S$5)^2+($C35-S$6)^2+($D35-S$7)^2)</f>
        <v>1.11933221288454</v>
      </c>
      <c r="T35" s="74" t="n">
        <f aca="false">SQRT(($B35-T$5)^2+($C35-T$6)^2+($D35-T$7)^2)</f>
        <v>0.462970974790766</v>
      </c>
      <c r="U35" s="74" t="n">
        <f aca="false">SQRT(($B35-U$5)^2+($C35-U$6)^2+($D35-U$7)^2)</f>
        <v>1.05832235656432</v>
      </c>
      <c r="V35" s="74" t="n">
        <f aca="false">SQRT(($B35-V$5)^2+($C35-V$6)^2+($D35-V$7)^2)</f>
        <v>0.581904165579889</v>
      </c>
      <c r="W35" s="74" t="n">
        <f aca="false">SQRT(($B35-W$5)^2+($C35-W$6)^2+($D35-W$7)^2)</f>
        <v>0.661992400929552</v>
      </c>
      <c r="X35" s="74" t="n">
        <f aca="false">SQRT(($B35-X$5)^2+($C35-X$6)^2+($D35-X$7)^2)</f>
        <v>0.422125760289404</v>
      </c>
      <c r="Y35" s="74" t="n">
        <f aca="false">SQRT(($B35-Y$5)^2+($C35-Y$6)^2+($D35-Y$7)^2)</f>
        <v>0.650069389917737</v>
      </c>
      <c r="Z35" s="74" t="n">
        <f aca="false">SQRT(($B35-Z$5)^2+($C35-Z$6)^2+($D35-Z$7)^2)</f>
        <v>0</v>
      </c>
      <c r="AA35" s="74" t="n">
        <f aca="false">SQRT(($B35-AA$5)^2+($C35-AA$6)^2+($D35-AA$7)^2)</f>
        <v>0.727613928358856</v>
      </c>
      <c r="AB35" s="74" t="n">
        <f aca="false">SQRT(($B35-AB$5)^2+($C35-AB$6)^2+($D35-AB$7)^2)</f>
        <v>0.259810474362784</v>
      </c>
      <c r="AC35" s="74" t="n">
        <f aca="false">SQRT(($B35-AC$5)^2+($C35-AC$6)^2+($D35-AC$7)^2)</f>
        <v>0.588760149041457</v>
      </c>
      <c r="AD35" s="74" t="n">
        <f aca="false">SQRT(($B35-AD$5)^2+($C35-AD$6)^2+($D35-AD$7)^2)</f>
        <v>0.664599858316892</v>
      </c>
      <c r="AE35" s="74" t="n">
        <f aca="false">SQRT(($B35-AE$5)^2+($C35-AE$6)^2+($D35-AE$7)^2)</f>
        <v>2.00843573506045</v>
      </c>
      <c r="AF35" s="74" t="n">
        <f aca="false">SQRT(($B35-AF$5)^2+($C35-AF$6)^2+($D35-AF$7)^2)</f>
        <v>0.33497106749041</v>
      </c>
      <c r="AG35" s="74" t="n">
        <f aca="false">SQRT(($B35-AG$5)^2+($C35-AG$6)^2+($D35-AG$7)^2)</f>
        <v>1.80490474667626</v>
      </c>
      <c r="AH35" s="74" t="n">
        <f aca="false">SQRT(($B35-AH$5)^2+($C35-AH$6)^2+($D35-AH$7)^2)</f>
        <v>0.694800187273486</v>
      </c>
      <c r="AI35" s="74" t="n">
        <f aca="false">SQRT(($B35-AI$5)^2+($C35-AI$6)^2+($D35-AI$7)^2)</f>
        <v>1.80527187170931</v>
      </c>
      <c r="AJ35" s="74" t="n">
        <f aca="false">SQRT(($B35-AJ$5)^2+($C35-AJ$6)^2+($D35-AJ$7)^2)</f>
        <v>0.597960713502413</v>
      </c>
      <c r="AK35" s="74" t="n">
        <f aca="false">SQRT(($B35-AK$5)^2+($C35-AK$6)^2+($D35-AK$7)^2)</f>
        <v>0.59548817971438</v>
      </c>
      <c r="AL35" s="74" t="n">
        <f aca="false">SQRT(($B35-AL$5)^2+($C35-AL$6)^2+($D35-AL$7)^2)</f>
        <v>0.998774108389391</v>
      </c>
      <c r="AM35" s="74" t="n">
        <f aca="false">SQRT(($B35-AM$5)^2+($C35-AM$6)^2+($D35-AM$7)^2)</f>
        <v>0.722028984136207</v>
      </c>
      <c r="AN35" s="74" t="n">
        <f aca="false">SQRT(($B35-AN$5)^2+($C35-AN$6)^2+($D35-AN$7)^2)</f>
        <v>0.487809555484924</v>
      </c>
      <c r="AO35" s="74" t="n">
        <f aca="false">SQRT(($B35-AO$5)^2+($C35-AO$6)^2+($D35-AO$7)^2)</f>
        <v>0.55715062045266</v>
      </c>
      <c r="AP35" s="74" t="n">
        <f aca="false">SQRT(($B35-AP$5)^2+($C35-AP$6)^2+($D35-AP$7)^2)</f>
        <v>0.576368251944181</v>
      </c>
      <c r="AQ35" s="74" t="n">
        <f aca="false">SQRT(($B35-AQ$5)^2+($C35-AQ$6)^2+($D35-AQ$7)^2)</f>
        <v>0.602795659814986</v>
      </c>
      <c r="AR35" s="74" t="n">
        <f aca="false">SQRT(($B35-AR$5)^2+($C35-AR$6)^2+($D35-AR$7)^2)</f>
        <v>1.02727983229028</v>
      </c>
      <c r="AS35" s="74" t="n">
        <f aca="false">SQRT(($B35-AS$5)^2+($C35-AS$6)^2+($D35-AS$7)^2)</f>
        <v>1.59732620099204</v>
      </c>
      <c r="AT35" s="74" t="n">
        <f aca="false">SQRT(($B35-AT$5)^2+($C35-AT$6)^2+($D35-AT$7)^2)</f>
        <v>1.09040599387788</v>
      </c>
      <c r="AU35" s="74" t="n">
        <f aca="false">SQRT(($B35-AU$5)^2+($C35-AU$6)^2+($D35-AU$7)^2)</f>
        <v>1.65869099110297</v>
      </c>
      <c r="AV35" s="74" t="n">
        <f aca="false">SQRT(($B35-AV$5)^2+($C35-AV$6)^2+($D35-AV$7)^2)</f>
        <v>1.57114464988075</v>
      </c>
      <c r="AW35" s="74" t="n">
        <f aca="false">SQRT(($B35-AW$5)^2+($C35-AW$6)^2+($D35-AW$7)^2)</f>
        <v>2.13508966738584</v>
      </c>
      <c r="AX35" s="74" t="n">
        <f aca="false">SQRT(($B35-AX$5)^2+($C35-AX$6)^2+($D35-AX$7)^2)</f>
        <v>0.880251813996924</v>
      </c>
      <c r="AY35" s="74" t="n">
        <f aca="false">SQRT(($B35-AY$5)^2+($C35-AY$6)^2+($D35-AY$7)^2)</f>
        <v>2.37301607825616</v>
      </c>
      <c r="AZ35" s="74" t="n">
        <f aca="false">SQRT(($B35-AZ$5)^2+($C35-AZ$6)^2+($D35-AZ$7)^2)</f>
        <v>1.64047440225768</v>
      </c>
      <c r="BA35" s="74" t="n">
        <f aca="false">SQRT(($B35-BA$5)^2+($C35-BA$6)^2+($D35-BA$7)^2)</f>
        <v>1.13297637702302</v>
      </c>
      <c r="BB35" s="74" t="n">
        <f aca="false">SQRT(($B35-BB$5)^2+($C35-BB$6)^2+($D35-BB$7)^2)</f>
        <v>2.37463752799313</v>
      </c>
      <c r="BC35" s="74" t="n">
        <f aca="false">SQRT(($B35-BC$5)^2+($C35-BC$6)^2+($D35-BC$7)^2)</f>
        <v>2.37629688942438</v>
      </c>
      <c r="BD35" s="74" t="n">
        <f aca="false">SQRT(($B35-BD$5)^2+($C35-BD$6)^2+($D35-BD$7)^2)</f>
        <v>1.95395615402909</v>
      </c>
      <c r="BE35" s="74" t="n">
        <f aca="false">SQRT(($B35-BE$5)^2+($C35-BE$6)^2+($D35-BE$7)^2)</f>
        <v>1.82238516052416</v>
      </c>
      <c r="BF35" s="74" t="n">
        <f aca="false">SQRT(($B35-BF$5)^2+($C35-BF$6)^2+($D35-BF$7)^2)</f>
        <v>0.886729652264833</v>
      </c>
      <c r="BG35" s="74" t="n">
        <f aca="false">SQRT(($B35-BG$5)^2+($C35-BG$6)^2+($D35-BG$7)^2)</f>
        <v>1.17112715358175</v>
      </c>
      <c r="BH35" s="74" t="n">
        <f aca="false">SQRT(($B35-BH$5)^2+($C35-BH$6)^2+($D35-BH$7)^2)</f>
        <v>2.40426596696112</v>
      </c>
      <c r="BI35" s="74" t="n">
        <f aca="false">SQRT(($B35-BI$5)^2+($C35-BI$6)^2+($D35-BI$7)^2)</f>
        <v>2.40913424535378</v>
      </c>
      <c r="BJ35" s="74" t="n">
        <f aca="false">SQRT(($B35-BJ$5)^2+($C35-BJ$6)^2+($D35-BJ$7)^2)</f>
        <v>1.00969748703939</v>
      </c>
      <c r="BK35" s="74" t="n">
        <f aca="false">SQRT(($B35-BK$5)^2+($C35-BK$6)^2+($D35-BK$7)^2)</f>
        <v>1.95508224697291</v>
      </c>
      <c r="BL35" s="74" t="n">
        <f aca="false">SQRT(($B35-BL$5)^2+($C35-BL$6)^2+($D35-BL$7)^2)</f>
        <v>1.69271068226418</v>
      </c>
      <c r="BM35" s="74" t="n">
        <f aca="false">SQRT(($B35-BM$5)^2+($C35-BM$6)^2+($D35-BM$7)^2)</f>
        <v>0.865664656559136</v>
      </c>
      <c r="BN35" s="74" t="n">
        <f aca="false">SQRT(($B35-BN$5)^2+($C35-BN$6)^2+($D35-BN$7)^2)</f>
        <v>1.19652401461167</v>
      </c>
      <c r="BO35" s="74" t="n">
        <f aca="false">SQRT(($B35-BO$5)^2+($C35-BO$6)^2+($D35-BO$7)^2)</f>
        <v>2.2322118912936</v>
      </c>
      <c r="BP35" s="74" t="n">
        <f aca="false">SQRT(($B35-BP$5)^2+($C35-BP$6)^2+($D35-BP$7)^2)</f>
        <v>1.14859511554463</v>
      </c>
      <c r="BQ35" s="74" t="n">
        <f aca="false">SQRT(($B35-BQ$5)^2+($C35-BQ$6)^2+($D35-BQ$7)^2)</f>
        <v>1.32707329773994</v>
      </c>
      <c r="BR35" s="74" t="n">
        <f aca="false">SQRT(($B35-BR$5)^2+($C35-BR$6)^2+($D35-BR$7)^2)</f>
        <v>1.33579874423911</v>
      </c>
      <c r="BS35" s="74" t="n">
        <f aca="false">SQRT(($B35-BS$5)^2+($C35-BS$6)^2+($D35-BS$7)^2)</f>
        <v>1.7598649721255</v>
      </c>
      <c r="BT35" s="74" t="n">
        <f aca="false">SQRT(($B35-BT$5)^2+($C35-BT$6)^2+($D35-BT$7)^2)</f>
        <v>1.83264053809639</v>
      </c>
      <c r="BU35" s="74" t="n">
        <f aca="false">SQRT(($B35-BU$5)^2+($C35-BU$6)^2+($D35-BU$7)^2)</f>
        <v>1.85403749301878</v>
      </c>
      <c r="BV35" s="74" t="n">
        <f aca="false">SQRT(($B35-BV$5)^2+($C35-BV$6)^2+($D35-BV$7)^2)</f>
        <v>2.52636740659065</v>
      </c>
      <c r="BW35" s="74" t="n">
        <f aca="false">SQRT(($B35-BW$5)^2+($C35-BW$6)^2+($D35-BW$7)^2)</f>
        <v>1.84787584141158</v>
      </c>
      <c r="BX35" s="74" t="n">
        <f aca="false">SQRT(($B35-BX$5)^2+($C35-BX$6)^2+($D35-BX$7)^2)</f>
        <v>2.533037446398</v>
      </c>
      <c r="BY35" s="74" t="n">
        <f aca="false">SQRT(($B35-BY$5)^2+($C35-BY$6)^2+($D35-BY$7)^2)</f>
        <v>2.00442718717443</v>
      </c>
      <c r="BZ35" s="74" t="n">
        <f aca="false">SQRT(($B35-BZ$5)^2+($C35-BZ$6)^2+($D35-BZ$7)^2)</f>
        <v>2.03950135290957</v>
      </c>
      <c r="CA35" s="74" t="n">
        <f aca="false">SQRT(($B35-CA$5)^2+($C35-CA$6)^2+($D35-CA$7)^2)</f>
        <v>2.55493264665256</v>
      </c>
      <c r="CB35" s="74" t="n">
        <f aca="false">SQRT(($B35-CB$5)^2+($C35-CB$6)^2+($D35-CB$7)^2)</f>
        <v>2.04952361577534</v>
      </c>
      <c r="CC35" s="74" t="n">
        <f aca="false">SQRT(($B35-CC$5)^2+($C35-CC$6)^2+($D35-CC$7)^2)</f>
        <v>2.56294013040335</v>
      </c>
      <c r="CD35" s="74" t="n">
        <f aca="false">SQRT(($B35-CD$5)^2+($C35-CD$6)^2+($D35-CD$7)^2)</f>
        <v>2.58019399364906</v>
      </c>
      <c r="CE35" s="74" t="n">
        <f aca="false">SQRT(($B35-CE$5)^2+($C35-CE$6)^2+($D35-CE$7)^2)</f>
        <v>1.98117455274317</v>
      </c>
      <c r="CF35" s="74" t="n">
        <f aca="false">SQRT(($B35-CF$5)^2+($C35-CF$6)^2+($D35-CF$7)^2)</f>
        <v>1.59637638557111</v>
      </c>
      <c r="CG35" s="74" t="n">
        <f aca="false">SQRT(($B35-CG$5)^2+($C35-CG$6)^2+($D35-CG$7)^2)</f>
        <v>1.87570314409801</v>
      </c>
      <c r="CH35" s="74" t="n">
        <f aca="false">SQRT(($B35-CH$5)^2+($C35-CH$6)^2+($D35-CH$7)^2)</f>
        <v>2.18938978870164</v>
      </c>
      <c r="CI35" s="74" t="n">
        <f aca="false">SQRT(($B35-CI$5)^2+($C35-CI$6)^2+($D35-CI$7)^2)</f>
        <v>2.26755615908601</v>
      </c>
      <c r="CJ35" s="74" t="n">
        <f aca="false">SQRT(($B35-CJ$5)^2+($C35-CJ$6)^2+($D35-CJ$7)^2)</f>
        <v>2.45681279599755</v>
      </c>
      <c r="CK35" s="74" t="n">
        <f aca="false">SQRT(($B35-CK$5)^2+($C35-CK$6)^2+($D35-CK$7)^2)</f>
        <v>2.13029592222128</v>
      </c>
      <c r="CL35" s="74" t="n">
        <f aca="false">SQRT(($B35-CL$5)^2+($C35-CL$6)^2+($D35-CL$7)^2)</f>
        <v>2.70413784420532</v>
      </c>
      <c r="CM35" s="74" t="n">
        <f aca="false">SQRT(($B35-CM$5)^2+($C35-CM$6)^2+($D35-CM$7)^2)</f>
        <v>2.2522287393846</v>
      </c>
      <c r="CN35" s="74" t="n">
        <f aca="false">SQRT(($B35-CN$5)^2+($C35-CN$6)^2+($D35-CN$7)^2)</f>
        <v>1.76867989841929</v>
      </c>
      <c r="CO35" s="74" t="n">
        <f aca="false">SQRT(($B35-CO$5)^2+($C35-CO$6)^2+($D35-CO$7)^2)</f>
        <v>1.97111628509249</v>
      </c>
      <c r="CP35" s="74" t="n">
        <f aca="false">SQRT(($B35-CP$5)^2+($C35-CP$6)^2+($D35-CP$7)^2)</f>
        <v>2.76250955392213</v>
      </c>
      <c r="CQ35" s="74" t="n">
        <f aca="false">SQRT(($B35-CQ$5)^2+($C35-CQ$6)^2+($D35-CQ$7)^2)</f>
        <v>2.3844880941934</v>
      </c>
      <c r="CR35" s="74" t="n">
        <f aca="false">SQRT(($B35-CR$5)^2+($C35-CR$6)^2+($D35-CR$7)^2)</f>
        <v>2.38019211539532</v>
      </c>
      <c r="CS35" s="74" t="n">
        <f aca="false">SQRT(($B35-CS$5)^2+($C35-CS$6)^2+($D35-CS$7)^2)</f>
        <v>2.81160838171739</v>
      </c>
      <c r="CT35" s="74" t="n">
        <f aca="false">SQRT(($B35-CT$5)^2+($C35-CT$6)^2+($D35-CT$7)^2)</f>
        <v>2.84043324816415</v>
      </c>
      <c r="CU35" s="74" t="n">
        <f aca="false">SQRT(($B35-CU$5)^2+($C35-CU$6)^2+($D35-CU$7)^2)</f>
        <v>2.40060294114858</v>
      </c>
      <c r="CV35" s="74" t="n">
        <f aca="false">SQRT(($B35-CV$5)^2+($C35-CV$6)^2+($D35-CV$7)^2)</f>
        <v>2.2541493384634</v>
      </c>
      <c r="CW35" s="74" t="n">
        <f aca="false">SQRT(($B35-CW$5)^2+($C35-CW$6)^2+($D35-CW$7)^2)</f>
        <v>2.84043324816415</v>
      </c>
      <c r="CX35" s="74" t="n">
        <f aca="false">SQRT(($B35-CX$5)^2+($C35-CX$6)^2+($D35-CX$7)^2)</f>
        <v>2.3597559563917</v>
      </c>
      <c r="CY35" s="74" t="n">
        <f aca="false">SQRT(($B35-CY$5)^2+($C35-CY$6)^2+($D35-CY$7)^2)</f>
        <v>2.87295794641527</v>
      </c>
      <c r="CZ35" s="74" t="n">
        <f aca="false">SQRT(($B35-CZ$5)^2+($C35-CZ$6)^2+($D35-CZ$7)^2)</f>
        <v>2.87295794641527</v>
      </c>
      <c r="DA35" s="74" t="n">
        <f aca="false">SQRT(($B35-DA$5)^2+($C35-DA$6)^2+($D35-DA$7)^2)</f>
        <v>2.52986588835255</v>
      </c>
      <c r="DB35" s="74" t="n">
        <f aca="false">SQRT(($B35-DB$5)^2+($C35-DB$6)^2+($D35-DB$7)^2)</f>
        <v>2.91011050764645</v>
      </c>
      <c r="DC35" s="74" t="n">
        <f aca="false">SQRT(($B35-DC$5)^2+($C35-DC$6)^2+($D35-DC$7)^2)</f>
        <v>2.91011050764645</v>
      </c>
      <c r="DD35" s="74" t="n">
        <f aca="false">SQRT(($B35-DD$5)^2+($C35-DD$6)^2+($D35-DD$7)^2)</f>
        <v>2.63284668293469</v>
      </c>
      <c r="DE35" s="74" t="n">
        <f aca="false">SQRT(($B35-DE$5)^2+($C35-DE$6)^2+($D35-DE$7)^2)</f>
        <v>2.82756426651506</v>
      </c>
      <c r="DF35" s="74" t="n">
        <f aca="false">SQRT(($B35-DF$5)^2+($C35-DF$6)^2+($D35-DF$7)^2)</f>
        <v>3.14410937526147</v>
      </c>
      <c r="DG35" s="74" t="n">
        <f aca="false">SQRT(($B35-DG$5)^2+($C35-DG$6)^2+($D35-DG$7)^2)</f>
        <v>3.24805099732699</v>
      </c>
      <c r="DH35" s="74" t="n">
        <f aca="false">SQRT(($B35-DH$5)^2+($C35-DH$6)^2+($D35-DH$7)^2)</f>
        <v>3.24805099732699</v>
      </c>
      <c r="DI35" s="74" t="n">
        <f aca="false">SQRT(($B35-DI$5)^2+($C35-DI$6)^2+($D35-DI$7)^2)</f>
        <v>3.24805099732699</v>
      </c>
      <c r="DJ35" s="74" t="n">
        <f aca="false">SQRT(($B35-DJ$5)^2+($C35-DJ$6)^2+($D35-DJ$7)^2)</f>
        <v>3.24805099732699</v>
      </c>
      <c r="DK35" s="74" t="n">
        <f aca="false">SQRT(($B35-DK$5)^2+($C35-DK$6)^2+($D35-DK$7)^2)</f>
        <v>3.40035340385994</v>
      </c>
      <c r="DL35" s="74" t="n">
        <f aca="false">SQRT(($B35-DL$5)^2+($C35-DL$6)^2+($D35-DL$7)^2)</f>
        <v>3.40035340385994</v>
      </c>
      <c r="DM35" s="74" t="n">
        <f aca="false">SQRT(($B35-DM$5)^2+($C35-DM$6)^2+($D35-DM$7)^2)</f>
        <v>3.40035340385994</v>
      </c>
      <c r="DN35" s="74" t="n">
        <f aca="false">SQRT(($B35-DN$5)^2+($C35-DN$6)^2+($D35-DN$7)^2)</f>
        <v>3.40035340385994</v>
      </c>
      <c r="DO35" s="74" t="n">
        <f aca="false">SQRT(($B35-DO$5)^2+($C35-DO$6)^2+($D35-DO$7)^2)</f>
        <v>3.40035340385994</v>
      </c>
      <c r="DP35" s="74" t="n">
        <f aca="false">SQRT(($B35-DP$5)^2+($C35-DP$6)^2+($D35-DP$7)^2)</f>
        <v>3.67419129732225</v>
      </c>
      <c r="DQ35" s="74" t="n">
        <f aca="false">SQRT(($B35-DQ$5)^2+($C35-DQ$6)^2+($D35-DQ$7)^2)</f>
        <v>3.67419129732225</v>
      </c>
    </row>
    <row r="36" customFormat="false" ht="15" hidden="false" customHeight="false" outlineLevel="0" collapsed="false">
      <c r="A36" s="48" t="str">
        <f aca="false">KMeans_Data!A27</f>
        <v>Dir Upper</v>
      </c>
      <c r="B36" s="72" t="n">
        <f aca="false">KMeans_Data!H27</f>
        <v>0.783501975751688</v>
      </c>
      <c r="C36" s="72" t="n">
        <f aca="false">KMeans_Data!I27</f>
        <v>0.160512589624996</v>
      </c>
      <c r="D36" s="72" t="n">
        <f aca="false">KMeans_Data!J27</f>
        <v>0.959677371956339</v>
      </c>
      <c r="E36" s="74" t="n">
        <f aca="false">SQRT(($B36-E$5)^2+($C36-E$6)^2+($D36-E$7)^2)</f>
        <v>5.14816911939323</v>
      </c>
      <c r="F36" s="74" t="n">
        <f aca="false">SQRT(($B36-F$5)^2+($C36-F$6)^2+($D36-F$7)^2)</f>
        <v>5.00162726858181</v>
      </c>
      <c r="G36" s="74" t="n">
        <f aca="false">SQRT(($B36-G$5)^2+($C36-G$6)^2+($D36-G$7)^2)</f>
        <v>3.0079368972061</v>
      </c>
      <c r="H36" s="74" t="n">
        <f aca="false">SQRT(($B36-H$5)^2+($C36-H$6)^2+($D36-H$7)^2)</f>
        <v>3.80396481102141</v>
      </c>
      <c r="I36" s="74" t="n">
        <f aca="false">SQRT(($B36-I$5)^2+($C36-I$6)^2+($D36-I$7)^2)</f>
        <v>2.46951537295837</v>
      </c>
      <c r="J36" s="74" t="n">
        <f aca="false">SQRT(($B36-J$5)^2+($C36-J$6)^2+($D36-J$7)^2)</f>
        <v>2.24165274330398</v>
      </c>
      <c r="K36" s="74" t="n">
        <f aca="false">SQRT(($B36-K$5)^2+($C36-K$6)^2+($D36-K$7)^2)</f>
        <v>1.86874502527901</v>
      </c>
      <c r="L36" s="74" t="n">
        <f aca="false">SQRT(($B36-L$5)^2+($C36-L$6)^2+($D36-L$7)^2)</f>
        <v>1.06966922461048</v>
      </c>
      <c r="M36" s="74" t="n">
        <f aca="false">SQRT(($B36-M$5)^2+($C36-M$6)^2+($D36-M$7)^2)</f>
        <v>1.36856678986896</v>
      </c>
      <c r="N36" s="74" t="n">
        <f aca="false">SQRT(($B36-N$5)^2+($C36-N$6)^2+($D36-N$7)^2)</f>
        <v>1.85806471899925</v>
      </c>
      <c r="O36" s="74" t="n">
        <f aca="false">SQRT(($B36-O$5)^2+($C36-O$6)^2+($D36-O$7)^2)</f>
        <v>1.36351411410191</v>
      </c>
      <c r="P36" s="74" t="n">
        <f aca="false">SQRT(($B36-P$5)^2+($C36-P$6)^2+($D36-P$7)^2)</f>
        <v>1.65724181756431</v>
      </c>
      <c r="Q36" s="74" t="n">
        <f aca="false">SQRT(($B36-Q$5)^2+($C36-Q$6)^2+($D36-Q$7)^2)</f>
        <v>0.8808249841516</v>
      </c>
      <c r="R36" s="74" t="n">
        <f aca="false">SQRT(($B36-R$5)^2+($C36-R$6)^2+($D36-R$7)^2)</f>
        <v>0.61063359087127</v>
      </c>
      <c r="S36" s="74" t="n">
        <f aca="false">SQRT(($B36-S$5)^2+($C36-S$6)^2+($D36-S$7)^2)</f>
        <v>0.433362283856118</v>
      </c>
      <c r="T36" s="74" t="n">
        <f aca="false">SQRT(($B36-T$5)^2+($C36-T$6)^2+($D36-T$7)^2)</f>
        <v>0.854756438364379</v>
      </c>
      <c r="U36" s="74" t="n">
        <f aca="false">SQRT(($B36-U$5)^2+($C36-U$6)^2+($D36-U$7)^2)</f>
        <v>0.667632382891707</v>
      </c>
      <c r="V36" s="74" t="n">
        <f aca="false">SQRT(($B36-V$5)^2+($C36-V$6)^2+($D36-V$7)^2)</f>
        <v>1.26929921215364</v>
      </c>
      <c r="W36" s="74" t="n">
        <f aca="false">SQRT(($B36-W$5)^2+($C36-W$6)^2+($D36-W$7)^2)</f>
        <v>1.22269689685648</v>
      </c>
      <c r="X36" s="74" t="n">
        <f aca="false">SQRT(($B36-X$5)^2+($C36-X$6)^2+($D36-X$7)^2)</f>
        <v>0.649786629143838</v>
      </c>
      <c r="Y36" s="74" t="n">
        <f aca="false">SQRT(($B36-Y$5)^2+($C36-Y$6)^2+($D36-Y$7)^2)</f>
        <v>0.712908651886394</v>
      </c>
      <c r="Z36" s="74" t="n">
        <f aca="false">SQRT(($B36-Z$5)^2+($C36-Z$6)^2+($D36-Z$7)^2)</f>
        <v>0.727613928358856</v>
      </c>
      <c r="AA36" s="74" t="n">
        <f aca="false">SQRT(($B36-AA$5)^2+($C36-AA$6)^2+($D36-AA$7)^2)</f>
        <v>0</v>
      </c>
      <c r="AB36" s="74" t="n">
        <f aca="false">SQRT(($B36-AB$5)^2+($C36-AB$6)^2+($D36-AB$7)^2)</f>
        <v>0.485436972795549</v>
      </c>
      <c r="AC36" s="74" t="n">
        <f aca="false">SQRT(($B36-AC$5)^2+($C36-AC$6)^2+($D36-AC$7)^2)</f>
        <v>1.24256868764837</v>
      </c>
      <c r="AD36" s="74" t="n">
        <f aca="false">SQRT(($B36-AD$5)^2+($C36-AD$6)^2+($D36-AD$7)^2)</f>
        <v>0.721217712347595</v>
      </c>
      <c r="AE36" s="74" t="n">
        <f aca="false">SQRT(($B36-AE$5)^2+($C36-AE$6)^2+($D36-AE$7)^2)</f>
        <v>2.13211842997744</v>
      </c>
      <c r="AF36" s="74" t="n">
        <f aca="false">SQRT(($B36-AF$5)^2+($C36-AF$6)^2+($D36-AF$7)^2)</f>
        <v>0.562673438068504</v>
      </c>
      <c r="AG36" s="74" t="n">
        <f aca="false">SQRT(($B36-AG$5)^2+($C36-AG$6)^2+($D36-AG$7)^2)</f>
        <v>1.60772973807953</v>
      </c>
      <c r="AH36" s="74" t="n">
        <f aca="false">SQRT(($B36-AH$5)^2+($C36-AH$6)^2+($D36-AH$7)^2)</f>
        <v>0.272146541720264</v>
      </c>
      <c r="AI36" s="74" t="n">
        <f aca="false">SQRT(($B36-AI$5)^2+($C36-AI$6)^2+($D36-AI$7)^2)</f>
        <v>1.60813770599513</v>
      </c>
      <c r="AJ36" s="74" t="n">
        <f aca="false">SQRT(($B36-AJ$5)^2+($C36-AJ$6)^2+($D36-AJ$7)^2)</f>
        <v>0.469133186316285</v>
      </c>
      <c r="AK36" s="74" t="n">
        <f aca="false">SQRT(($B36-AK$5)^2+($C36-AK$6)^2+($D36-AK$7)^2)</f>
        <v>0.750950373493826</v>
      </c>
      <c r="AL36" s="74" t="n">
        <f aca="false">SQRT(($B36-AL$5)^2+($C36-AL$6)^2+($D36-AL$7)^2)</f>
        <v>0.591602411746233</v>
      </c>
      <c r="AM36" s="74" t="n">
        <f aca="false">SQRT(($B36-AM$5)^2+($C36-AM$6)^2+($D36-AM$7)^2)</f>
        <v>1.41583912446565</v>
      </c>
      <c r="AN36" s="74" t="n">
        <f aca="false">SQRT(($B36-AN$5)^2+($C36-AN$6)^2+($D36-AN$7)^2)</f>
        <v>1.0664449476828</v>
      </c>
      <c r="AO36" s="74" t="n">
        <f aca="false">SQRT(($B36-AO$5)^2+($C36-AO$6)^2+($D36-AO$7)^2)</f>
        <v>0.58857270664727</v>
      </c>
      <c r="AP36" s="74" t="n">
        <f aca="false">SQRT(($B36-AP$5)^2+($C36-AP$6)^2+($D36-AP$7)^2)</f>
        <v>0.650038055874253</v>
      </c>
      <c r="AQ36" s="74" t="n">
        <f aca="false">SQRT(($B36-AQ$5)^2+($C36-AQ$6)^2+($D36-AQ$7)^2)</f>
        <v>1.21965552152925</v>
      </c>
      <c r="AR36" s="74" t="n">
        <f aca="false">SQRT(($B36-AR$5)^2+($C36-AR$6)^2+($D36-AR$7)^2)</f>
        <v>1.11043873336876</v>
      </c>
      <c r="AS36" s="74" t="n">
        <f aca="false">SQRT(($B36-AS$5)^2+($C36-AS$6)^2+($D36-AS$7)^2)</f>
        <v>0.956194216878703</v>
      </c>
      <c r="AT36" s="74" t="n">
        <f aca="false">SQRT(($B36-AT$5)^2+($C36-AT$6)^2+($D36-AT$7)^2)</f>
        <v>0.623553058837254</v>
      </c>
      <c r="AU36" s="74" t="n">
        <f aca="false">SQRT(($B36-AU$5)^2+($C36-AU$6)^2+($D36-AU$7)^2)</f>
        <v>1.7071006806131</v>
      </c>
      <c r="AV36" s="74" t="n">
        <f aca="false">SQRT(($B36-AV$5)^2+($C36-AV$6)^2+($D36-AV$7)^2)</f>
        <v>1.0815429013149</v>
      </c>
      <c r="AW36" s="74" t="n">
        <f aca="false">SQRT(($B36-AW$5)^2+($C36-AW$6)^2+($D36-AW$7)^2)</f>
        <v>2.04307551119251</v>
      </c>
      <c r="AX36" s="74" t="n">
        <f aca="false">SQRT(($B36-AX$5)^2+($C36-AX$6)^2+($D36-AX$7)^2)</f>
        <v>0.79857721336699</v>
      </c>
      <c r="AY36" s="74" t="n">
        <f aca="false">SQRT(($B36-AY$5)^2+($C36-AY$6)^2+($D36-AY$7)^2)</f>
        <v>2.33792140076097</v>
      </c>
      <c r="AZ36" s="74" t="n">
        <f aca="false">SQRT(($B36-AZ$5)^2+($C36-AZ$6)^2+($D36-AZ$7)^2)</f>
        <v>1.01921702067511</v>
      </c>
      <c r="BA36" s="74" t="n">
        <f aca="false">SQRT(($B36-BA$5)^2+($C36-BA$6)^2+($D36-BA$7)^2)</f>
        <v>0.684408934588204</v>
      </c>
      <c r="BB36" s="74" t="n">
        <f aca="false">SQRT(($B36-BB$5)^2+($C36-BB$6)^2+($D36-BB$7)^2)</f>
        <v>2.33956124059354</v>
      </c>
      <c r="BC36" s="74" t="n">
        <f aca="false">SQRT(($B36-BC$5)^2+($C36-BC$6)^2+($D36-BC$7)^2)</f>
        <v>2.34123945867375</v>
      </c>
      <c r="BD36" s="74" t="n">
        <f aca="false">SQRT(($B36-BD$5)^2+($C36-BD$6)^2+($D36-BD$7)^2)</f>
        <v>1.79273845571368</v>
      </c>
      <c r="BE36" s="74" t="n">
        <f aca="false">SQRT(($B36-BE$5)^2+($C36-BE$6)^2+($D36-BE$7)^2)</f>
        <v>1.59372421050902</v>
      </c>
      <c r="BF36" s="74" t="n">
        <f aca="false">SQRT(($B36-BF$5)^2+($C36-BF$6)^2+($D36-BF$7)^2)</f>
        <v>1.3961709230086</v>
      </c>
      <c r="BG36" s="74" t="n">
        <f aca="false">SQRT(($B36-BG$5)^2+($C36-BG$6)^2+($D36-BG$7)^2)</f>
        <v>0.822851119115502</v>
      </c>
      <c r="BH36" s="74" t="n">
        <f aca="false">SQRT(($B36-BH$5)^2+($C36-BH$6)^2+($D36-BH$7)^2)</f>
        <v>2.3695302417575</v>
      </c>
      <c r="BI36" s="74" t="n">
        <f aca="false">SQRT(($B36-BI$5)^2+($C36-BI$6)^2+($D36-BI$7)^2)</f>
        <v>2.3744549847503</v>
      </c>
      <c r="BJ36" s="74" t="n">
        <f aca="false">SQRT(($B36-BJ$5)^2+($C36-BJ$6)^2+($D36-BJ$7)^2)</f>
        <v>1.27902113254624</v>
      </c>
      <c r="BK36" s="74" t="n">
        <f aca="false">SQRT(($B36-BK$5)^2+($C36-BK$6)^2+($D36-BK$7)^2)</f>
        <v>1.77398869747604</v>
      </c>
      <c r="BL36" s="74" t="n">
        <f aca="false">SQRT(($B36-BL$5)^2+($C36-BL$6)^2+($D36-BL$7)^2)</f>
        <v>1.29164840160286</v>
      </c>
      <c r="BM36" s="74" t="n">
        <f aca="false">SQRT(($B36-BM$5)^2+($C36-BM$6)^2+($D36-BM$7)^2)</f>
        <v>1.01335855597081</v>
      </c>
      <c r="BN36" s="74" t="n">
        <f aca="false">SQRT(($B36-BN$5)^2+($C36-BN$6)^2+($D36-BN$7)^2)</f>
        <v>1.23474754458259</v>
      </c>
      <c r="BO36" s="74" t="n">
        <f aca="false">SQRT(($B36-BO$5)^2+($C36-BO$6)^2+($D36-BO$7)^2)</f>
        <v>2.1440691860743</v>
      </c>
      <c r="BP36" s="74" t="n">
        <f aca="false">SQRT(($B36-BP$5)^2+($C36-BP$6)^2+($D36-BP$7)^2)</f>
        <v>1.12261048222785</v>
      </c>
      <c r="BQ36" s="74" t="n">
        <f aca="false">SQRT(($B36-BQ$5)^2+($C36-BQ$6)^2+($D36-BQ$7)^2)</f>
        <v>1.1078702680576</v>
      </c>
      <c r="BR36" s="74" t="n">
        <f aca="false">SQRT(($B36-BR$5)^2+($C36-BR$6)^2+($D36-BR$7)^2)</f>
        <v>1.10325754422675</v>
      </c>
      <c r="BS36" s="74" t="n">
        <f aca="false">SQRT(($B36-BS$5)^2+($C36-BS$6)^2+($D36-BS$7)^2)</f>
        <v>1.31921680703552</v>
      </c>
      <c r="BT36" s="74" t="n">
        <f aca="false">SQRT(($B36-BT$5)^2+($C36-BT$6)^2+($D36-BT$7)^2)</f>
        <v>1.50900448718196</v>
      </c>
      <c r="BU36" s="74" t="n">
        <f aca="false">SQRT(($B36-BU$5)^2+($C36-BU$6)^2+($D36-BU$7)^2)</f>
        <v>1.55359476793059</v>
      </c>
      <c r="BV36" s="74" t="n">
        <f aca="false">SQRT(($B36-BV$5)^2+($C36-BV$6)^2+($D36-BV$7)^2)</f>
        <v>2.49304016094039</v>
      </c>
      <c r="BW36" s="74" t="n">
        <f aca="false">SQRT(($B36-BW$5)^2+($C36-BW$6)^2+($D36-BW$7)^2)</f>
        <v>1.50646110627085</v>
      </c>
      <c r="BX36" s="74" t="n">
        <f aca="false">SQRT(($B36-BX$5)^2+($C36-BX$6)^2+($D36-BX$7)^2)</f>
        <v>2.49978554435267</v>
      </c>
      <c r="BY36" s="74" t="n">
        <f aca="false">SQRT(($B36-BY$5)^2+($C36-BY$6)^2+($D36-BY$7)^2)</f>
        <v>1.78672651796699</v>
      </c>
      <c r="BZ36" s="74" t="n">
        <f aca="false">SQRT(($B36-BZ$5)^2+($C36-BZ$6)^2+($D36-BZ$7)^2)</f>
        <v>1.83749766842741</v>
      </c>
      <c r="CA36" s="74" t="n">
        <f aca="false">SQRT(($B36-CA$5)^2+($C36-CA$6)^2+($D36-CA$7)^2)</f>
        <v>2.52192637689887</v>
      </c>
      <c r="CB36" s="74" t="n">
        <f aca="false">SQRT(($B36-CB$5)^2+($C36-CB$6)^2+($D36-CB$7)^2)</f>
        <v>1.84859447248577</v>
      </c>
      <c r="CC36" s="74" t="n">
        <f aca="false">SQRT(($B36-CC$5)^2+($C36-CC$6)^2+($D36-CC$7)^2)</f>
        <v>2.53002302217332</v>
      </c>
      <c r="CD36" s="74" t="n">
        <f aca="false">SQRT(($B36-CD$5)^2+($C36-CD$6)^2+($D36-CD$7)^2)</f>
        <v>2.54746773899867</v>
      </c>
      <c r="CE36" s="74" t="n">
        <f aca="false">SQRT(($B36-CE$5)^2+($C36-CE$6)^2+($D36-CE$7)^2)</f>
        <v>1.71631009884071</v>
      </c>
      <c r="CF36" s="74" t="n">
        <f aca="false">SQRT(($B36-CF$5)^2+($C36-CF$6)^2+($D36-CF$7)^2)</f>
        <v>1.47612857578172</v>
      </c>
      <c r="CG36" s="74" t="n">
        <f aca="false">SQRT(($B36-CG$5)^2+($C36-CG$6)^2+($D36-CG$7)^2)</f>
        <v>1.87523002805003</v>
      </c>
      <c r="CH36" s="74" t="n">
        <f aca="false">SQRT(($B36-CH$5)^2+($C36-CH$6)^2+($D36-CH$7)^2)</f>
        <v>2.02881611972138</v>
      </c>
      <c r="CI36" s="74" t="n">
        <f aca="false">SQRT(($B36-CI$5)^2+($C36-CI$6)^2+($D36-CI$7)^2)</f>
        <v>2.12952120247504</v>
      </c>
      <c r="CJ36" s="74" t="n">
        <f aca="false">SQRT(($B36-CJ$5)^2+($C36-CJ$6)^2+($D36-CJ$7)^2)</f>
        <v>2.37658297721279</v>
      </c>
      <c r="CK36" s="74" t="n">
        <f aca="false">SQRT(($B36-CK$5)^2+($C36-CK$6)^2+($D36-CK$7)^2)</f>
        <v>1.90021732768251</v>
      </c>
      <c r="CL36" s="74" t="n">
        <f aca="false">SQRT(($B36-CL$5)^2+($C36-CL$6)^2+($D36-CL$7)^2)</f>
        <v>2.6727291070267</v>
      </c>
      <c r="CM36" s="74" t="n">
        <f aca="false">SQRT(($B36-CM$5)^2+($C36-CM$6)^2+($D36-CM$7)^2)</f>
        <v>2.08250335951628</v>
      </c>
      <c r="CN36" s="74" t="n">
        <f aca="false">SQRT(($B36-CN$5)^2+($C36-CN$6)^2+($D36-CN$7)^2)</f>
        <v>1.55672690781499</v>
      </c>
      <c r="CO36" s="74" t="n">
        <f aca="false">SQRT(($B36-CO$5)^2+($C36-CO$6)^2+($D36-CO$7)^2)</f>
        <v>1.93227208720137</v>
      </c>
      <c r="CP36" s="74" t="n">
        <f aca="false">SQRT(($B36-CP$5)^2+($C36-CP$6)^2+($D36-CP$7)^2)</f>
        <v>2.73168816083967</v>
      </c>
      <c r="CQ36" s="74" t="n">
        <f aca="false">SQRT(($B36-CQ$5)^2+($C36-CQ$6)^2+($D36-CQ$7)^2)</f>
        <v>2.23765793372283</v>
      </c>
      <c r="CR36" s="74" t="n">
        <f aca="false">SQRT(($B36-CR$5)^2+($C36-CR$6)^2+($D36-CR$7)^2)</f>
        <v>2.22008413493358</v>
      </c>
      <c r="CS36" s="74" t="n">
        <f aca="false">SQRT(($B36-CS$5)^2+($C36-CS$6)^2+($D36-CS$7)^2)</f>
        <v>2.78126485673963</v>
      </c>
      <c r="CT36" s="74" t="n">
        <f aca="false">SQRT(($B36-CT$5)^2+($C36-CT$6)^2+($D36-CT$7)^2)</f>
        <v>2.81036353774792</v>
      </c>
      <c r="CU36" s="74" t="n">
        <f aca="false">SQRT(($B36-CU$5)^2+($C36-CU$6)^2+($D36-CU$7)^2)</f>
        <v>2.45952306734427</v>
      </c>
      <c r="CV36" s="74" t="n">
        <f aca="false">SQRT(($B36-CV$5)^2+($C36-CV$6)^2+($D36-CV$7)^2)</f>
        <v>1.9869874607413</v>
      </c>
      <c r="CW36" s="74" t="n">
        <f aca="false">SQRT(($B36-CW$5)^2+($C36-CW$6)^2+($D36-CW$7)^2)</f>
        <v>2.81036353774792</v>
      </c>
      <c r="CX36" s="74" t="n">
        <f aca="false">SQRT(($B36-CX$5)^2+($C36-CX$6)^2+($D36-CX$7)^2)</f>
        <v>2.15399856673239</v>
      </c>
      <c r="CY36" s="74" t="n">
        <f aca="false">SQRT(($B36-CY$5)^2+($C36-CY$6)^2+($D36-CY$7)^2)</f>
        <v>2.84319134517277</v>
      </c>
      <c r="CZ36" s="74" t="n">
        <f aca="false">SQRT(($B36-CZ$5)^2+($C36-CZ$6)^2+($D36-CZ$7)^2)</f>
        <v>2.84319134517277</v>
      </c>
      <c r="DA36" s="74" t="n">
        <f aca="false">SQRT(($B36-DA$5)^2+($C36-DA$6)^2+($D36-DA$7)^2)</f>
        <v>2.40655539158856</v>
      </c>
      <c r="DB36" s="74" t="n">
        <f aca="false">SQRT(($B36-DB$5)^2+($C36-DB$6)^2+($D36-DB$7)^2)</f>
        <v>2.88068271456314</v>
      </c>
      <c r="DC36" s="74" t="n">
        <f aca="false">SQRT(($B36-DC$5)^2+($C36-DC$6)^2+($D36-DC$7)^2)</f>
        <v>2.88068271456314</v>
      </c>
      <c r="DD36" s="74" t="n">
        <f aca="false">SQRT(($B36-DD$5)^2+($C36-DD$6)^2+($D36-DD$7)^2)</f>
        <v>2.53257162815612</v>
      </c>
      <c r="DE36" s="74" t="n">
        <f aca="false">SQRT(($B36-DE$5)^2+($C36-DE$6)^2+($D36-DE$7)^2)</f>
        <v>2.75767899452898</v>
      </c>
      <c r="DF36" s="74" t="n">
        <f aca="false">SQRT(($B36-DF$5)^2+($C36-DF$6)^2+($D36-DF$7)^2)</f>
        <v>3.11664624798195</v>
      </c>
      <c r="DG36" s="74" t="n">
        <f aca="false">SQRT(($B36-DG$5)^2+($C36-DG$6)^2+($D36-DG$7)^2)</f>
        <v>3.2213755578704</v>
      </c>
      <c r="DH36" s="74" t="n">
        <f aca="false">SQRT(($B36-DH$5)^2+($C36-DH$6)^2+($D36-DH$7)^2)</f>
        <v>3.2213755578704</v>
      </c>
      <c r="DI36" s="74" t="n">
        <f aca="false">SQRT(($B36-DI$5)^2+($C36-DI$6)^2+($D36-DI$7)^2)</f>
        <v>3.2213755578704</v>
      </c>
      <c r="DJ36" s="74" t="n">
        <f aca="false">SQRT(($B36-DJ$5)^2+($C36-DJ$6)^2+($D36-DJ$7)^2)</f>
        <v>3.2213755578704</v>
      </c>
      <c r="DK36" s="74" t="n">
        <f aca="false">SQRT(($B36-DK$5)^2+($C36-DK$6)^2+($D36-DK$7)^2)</f>
        <v>3.37474942459125</v>
      </c>
      <c r="DL36" s="74" t="n">
        <f aca="false">SQRT(($B36-DL$5)^2+($C36-DL$6)^2+($D36-DL$7)^2)</f>
        <v>3.37474942459125</v>
      </c>
      <c r="DM36" s="74" t="n">
        <f aca="false">SQRT(($B36-DM$5)^2+($C36-DM$6)^2+($D36-DM$7)^2)</f>
        <v>3.37474942459125</v>
      </c>
      <c r="DN36" s="74" t="n">
        <f aca="false">SQRT(($B36-DN$5)^2+($C36-DN$6)^2+($D36-DN$7)^2)</f>
        <v>3.37474942459125</v>
      </c>
      <c r="DO36" s="74" t="n">
        <f aca="false">SQRT(($B36-DO$5)^2+($C36-DO$6)^2+($D36-DO$7)^2)</f>
        <v>3.37474942459125</v>
      </c>
      <c r="DP36" s="74" t="n">
        <f aca="false">SQRT(($B36-DP$5)^2+($C36-DP$6)^2+($D36-DP$7)^2)</f>
        <v>3.65029895120111</v>
      </c>
      <c r="DQ36" s="74" t="n">
        <f aca="false">SQRT(($B36-DQ$5)^2+($C36-DQ$6)^2+($D36-DQ$7)^2)</f>
        <v>3.65029895120111</v>
      </c>
    </row>
    <row r="37" customFormat="false" ht="15" hidden="false" customHeight="false" outlineLevel="0" collapsed="false">
      <c r="A37" s="48" t="str">
        <f aca="false">KMeans_Data!A28</f>
        <v>Khyber</v>
      </c>
      <c r="B37" s="72" t="n">
        <f aca="false">KMeans_Data!H28</f>
        <v>0.783501975751688</v>
      </c>
      <c r="C37" s="72" t="n">
        <f aca="false">KMeans_Data!I28</f>
        <v>0.547911385844501</v>
      </c>
      <c r="D37" s="72" t="n">
        <f aca="false">KMeans_Data!J28</f>
        <v>0.667151770949206</v>
      </c>
      <c r="E37" s="74" t="n">
        <f aca="false">SQRT(($B37-E$5)^2+($C37-E$6)^2+($D37-E$7)^2)</f>
        <v>5.00758520888784</v>
      </c>
      <c r="F37" s="74" t="n">
        <f aca="false">SQRT(($B37-F$5)^2+($C37-F$6)^2+($D37-F$7)^2)</f>
        <v>4.81272850077234</v>
      </c>
      <c r="G37" s="74" t="n">
        <f aca="false">SQRT(($B37-G$5)^2+($C37-G$6)^2+($D37-G$7)^2)</f>
        <v>2.90803929872082</v>
      </c>
      <c r="H37" s="74" t="n">
        <f aca="false">SQRT(($B37-H$5)^2+($C37-H$6)^2+($D37-H$7)^2)</f>
        <v>3.53107714526617</v>
      </c>
      <c r="I37" s="74" t="n">
        <f aca="false">SQRT(($B37-I$5)^2+($C37-I$6)^2+($D37-I$7)^2)</f>
        <v>2.29979133393483</v>
      </c>
      <c r="J37" s="74" t="n">
        <f aca="false">SQRT(($B37-J$5)^2+($C37-J$6)^2+($D37-J$7)^2)</f>
        <v>1.98482843033153</v>
      </c>
      <c r="K37" s="74" t="n">
        <f aca="false">SQRT(($B37-K$5)^2+($C37-K$6)^2+($D37-K$7)^2)</f>
        <v>1.63830811859539</v>
      </c>
      <c r="L37" s="74" t="n">
        <f aca="false">SQRT(($B37-L$5)^2+($C37-L$6)^2+($D37-L$7)^2)</f>
        <v>1.19148224064397</v>
      </c>
      <c r="M37" s="74" t="n">
        <f aca="false">SQRT(($B37-M$5)^2+($C37-M$6)^2+($D37-M$7)^2)</f>
        <v>1.31322217113997</v>
      </c>
      <c r="N37" s="74" t="n">
        <f aca="false">SQRT(($B37-N$5)^2+($C37-N$6)^2+($D37-N$7)^2)</f>
        <v>1.69779179178002</v>
      </c>
      <c r="O37" s="74" t="n">
        <f aca="false">SQRT(($B37-O$5)^2+($C37-O$6)^2+($D37-O$7)^2)</f>
        <v>1.04516109227594</v>
      </c>
      <c r="P37" s="74" t="n">
        <f aca="false">SQRT(($B37-P$5)^2+($C37-P$6)^2+($D37-P$7)^2)</f>
        <v>1.36289316044804</v>
      </c>
      <c r="Q37" s="74" t="n">
        <f aca="false">SQRT(($B37-Q$5)^2+($C37-Q$6)^2+($D37-Q$7)^2)</f>
        <v>0.66079780347768</v>
      </c>
      <c r="R37" s="74" t="n">
        <f aca="false">SQRT(($B37-R$5)^2+($C37-R$6)^2+($D37-R$7)^2)</f>
        <v>0.859235206666101</v>
      </c>
      <c r="S37" s="74" t="n">
        <f aca="false">SQRT(($B37-S$5)^2+($C37-S$6)^2+($D37-S$7)^2)</f>
        <v>0.884828367901379</v>
      </c>
      <c r="T37" s="74" t="n">
        <f aca="false">SQRT(($B37-T$5)^2+($C37-T$6)^2+($D37-T$7)^2)</f>
        <v>0.585549614940239</v>
      </c>
      <c r="U37" s="74" t="n">
        <f aca="false">SQRT(($B37-U$5)^2+($C37-U$6)^2+($D37-U$7)^2)</f>
        <v>0.936557910857739</v>
      </c>
      <c r="V37" s="74" t="n">
        <f aca="false">SQRT(($B37-V$5)^2+($C37-V$6)^2+($D37-V$7)^2)</f>
        <v>0.837481121044928</v>
      </c>
      <c r="W37" s="74" t="n">
        <f aca="false">SQRT(($B37-W$5)^2+($C37-W$6)^2+($D37-W$7)^2)</f>
        <v>0.877570515632406</v>
      </c>
      <c r="X37" s="74" t="n">
        <f aca="false">SQRT(($B37-X$5)^2+($C37-X$6)^2+($D37-X$7)^2)</f>
        <v>0.452853443555433</v>
      </c>
      <c r="Y37" s="74" t="n">
        <f aca="false">SQRT(($B37-Y$5)^2+($C37-Y$6)^2+($D37-Y$7)^2)</f>
        <v>0.653172324474806</v>
      </c>
      <c r="Z37" s="74" t="n">
        <f aca="false">SQRT(($B37-Z$5)^2+($C37-Z$6)^2+($D37-Z$7)^2)</f>
        <v>0.259810474362784</v>
      </c>
      <c r="AA37" s="74" t="n">
        <f aca="false">SQRT(($B37-AA$5)^2+($C37-AA$6)^2+($D37-AA$7)^2)</f>
        <v>0.485436972795549</v>
      </c>
      <c r="AB37" s="74" t="n">
        <f aca="false">SQRT(($B37-AB$5)^2+($C37-AB$6)^2+($D37-AB$7)^2)</f>
        <v>0</v>
      </c>
      <c r="AC37" s="74" t="n">
        <f aca="false">SQRT(($B37-AC$5)^2+($C37-AC$6)^2+($D37-AC$7)^2)</f>
        <v>0.835654133183046</v>
      </c>
      <c r="AD37" s="74" t="n">
        <f aca="false">SQRT(($B37-AD$5)^2+($C37-AD$6)^2+($D37-AD$7)^2)</f>
        <v>0.666642586607952</v>
      </c>
      <c r="AE37" s="74" t="n">
        <f aca="false">SQRT(($B37-AE$5)^2+($C37-AE$6)^2+($D37-AE$7)^2)</f>
        <v>1.94630525174013</v>
      </c>
      <c r="AF37" s="74" t="n">
        <f aca="false">SQRT(($B37-AF$5)^2+($C37-AF$6)^2+($D37-AF$7)^2)</f>
        <v>0.307212911602776</v>
      </c>
      <c r="AG37" s="74" t="n">
        <f aca="false">SQRT(($B37-AG$5)^2+($C37-AG$6)^2+($D37-AG$7)^2)</f>
        <v>1.63419289806545</v>
      </c>
      <c r="AH37" s="74" t="n">
        <f aca="false">SQRT(($B37-AH$5)^2+($C37-AH$6)^2+($D37-AH$7)^2)</f>
        <v>0.453316595594259</v>
      </c>
      <c r="AI37" s="74" t="n">
        <f aca="false">SQRT(($B37-AI$5)^2+($C37-AI$6)^2+($D37-AI$7)^2)</f>
        <v>1.63459426122373</v>
      </c>
      <c r="AJ37" s="74" t="n">
        <f aca="false">SQRT(($B37-AJ$5)^2+($C37-AJ$6)^2+($D37-AJ$7)^2)</f>
        <v>0.49554069828989</v>
      </c>
      <c r="AK37" s="74" t="n">
        <f aca="false">SQRT(($B37-AK$5)^2+($C37-AK$6)^2+($D37-AK$7)^2)</f>
        <v>0.486641815279137</v>
      </c>
      <c r="AL37" s="74" t="n">
        <f aca="false">SQRT(($B37-AL$5)^2+($C37-AL$6)^2+($D37-AL$7)^2)</f>
        <v>0.765106035203443</v>
      </c>
      <c r="AM37" s="74" t="n">
        <f aca="false">SQRT(($B37-AM$5)^2+($C37-AM$6)^2+($D37-AM$7)^2)</f>
        <v>0.955455846266147</v>
      </c>
      <c r="AN37" s="74" t="n">
        <f aca="false">SQRT(($B37-AN$5)^2+($C37-AN$6)^2+($D37-AN$7)^2)</f>
        <v>0.684902134780969</v>
      </c>
      <c r="AO37" s="74" t="n">
        <f aca="false">SQRT(($B37-AO$5)^2+($C37-AO$6)^2+($D37-AO$7)^2)</f>
        <v>0.40924768899334</v>
      </c>
      <c r="AP37" s="74" t="n">
        <f aca="false">SQRT(($B37-AP$5)^2+($C37-AP$6)^2+($D37-AP$7)^2)</f>
        <v>0.44387547407469</v>
      </c>
      <c r="AQ37" s="74" t="n">
        <f aca="false">SQRT(($B37-AQ$5)^2+($C37-AQ$6)^2+($D37-AQ$7)^2)</f>
        <v>0.817225118177903</v>
      </c>
      <c r="AR37" s="74" t="n">
        <f aca="false">SQRT(($B37-AR$5)^2+($C37-AR$6)^2+($D37-AR$7)^2)</f>
        <v>0.928035689817336</v>
      </c>
      <c r="AS37" s="74" t="n">
        <f aca="false">SQRT(($B37-AS$5)^2+($C37-AS$6)^2+($D37-AS$7)^2)</f>
        <v>1.35110750172334</v>
      </c>
      <c r="AT37" s="74" t="n">
        <f aca="false">SQRT(($B37-AT$5)^2+($C37-AT$6)^2+($D37-AT$7)^2)</f>
        <v>0.86846304638161</v>
      </c>
      <c r="AU37" s="74" t="n">
        <f aca="false">SQRT(($B37-AU$5)^2+($C37-AU$6)^2+($D37-AU$7)^2)</f>
        <v>1.56659177709329</v>
      </c>
      <c r="AV37" s="74" t="n">
        <f aca="false">SQRT(($B37-AV$5)^2+($C37-AV$6)^2+($D37-AV$7)^2)</f>
        <v>1.33817583030261</v>
      </c>
      <c r="AW37" s="74" t="n">
        <f aca="false">SQRT(($B37-AW$5)^2+($C37-AW$6)^2+($D37-AW$7)^2)</f>
        <v>2.00288188805587</v>
      </c>
      <c r="AX37" s="74" t="n">
        <f aca="false">SQRT(($B37-AX$5)^2+($C37-AX$6)^2+($D37-AX$7)^2)</f>
        <v>0.731559662180661</v>
      </c>
      <c r="AY37" s="74" t="n">
        <f aca="false">SQRT(($B37-AY$5)^2+($C37-AY$6)^2+($D37-AY$7)^2)</f>
        <v>2.26171117839122</v>
      </c>
      <c r="AZ37" s="74" t="n">
        <f aca="false">SQRT(($B37-AZ$5)^2+($C37-AZ$6)^2+($D37-AZ$7)^2)</f>
        <v>1.40092803414875</v>
      </c>
      <c r="BA37" s="74" t="n">
        <f aca="false">SQRT(($B37-BA$5)^2+($C37-BA$6)^2+($D37-BA$7)^2)</f>
        <v>0.920020193418883</v>
      </c>
      <c r="BB37" s="74" t="n">
        <f aca="false">SQRT(($B37-BB$5)^2+($C37-BB$6)^2+($D37-BB$7)^2)</f>
        <v>2.26340623327127</v>
      </c>
      <c r="BC37" s="74" t="n">
        <f aca="false">SQRT(($B37-BC$5)^2+($C37-BC$6)^2+($D37-BC$7)^2)</f>
        <v>2.26514087446557</v>
      </c>
      <c r="BD37" s="74" t="n">
        <f aca="false">SQRT(($B37-BD$5)^2+($C37-BD$6)^2+($D37-BD$7)^2)</f>
        <v>1.79977965829334</v>
      </c>
      <c r="BE37" s="74" t="n">
        <f aca="false">SQRT(($B37-BE$5)^2+($C37-BE$6)^2+($D37-BE$7)^2)</f>
        <v>1.6483229332021</v>
      </c>
      <c r="BF37" s="74" t="n">
        <f aca="false">SQRT(($B37-BF$5)^2+($C37-BF$6)^2+($D37-BF$7)^2)</f>
        <v>1.06337552161154</v>
      </c>
      <c r="BG37" s="74" t="n">
        <f aca="false">SQRT(($B37-BG$5)^2+($C37-BG$6)^2+($D37-BG$7)^2)</f>
        <v>0.975332504533536</v>
      </c>
      <c r="BH37" s="74" t="n">
        <f aca="false">SQRT(($B37-BH$5)^2+($C37-BH$6)^2+($D37-BH$7)^2)</f>
        <v>2.29437018480607</v>
      </c>
      <c r="BI37" s="74" t="n">
        <f aca="false">SQRT(($B37-BI$5)^2+($C37-BI$6)^2+($D37-BI$7)^2)</f>
        <v>2.29945590367139</v>
      </c>
      <c r="BJ37" s="74" t="n">
        <f aca="false">SQRT(($B37-BJ$5)^2+($C37-BJ$6)^2+($D37-BJ$7)^2)</f>
        <v>1.00664998305003</v>
      </c>
      <c r="BK37" s="74" t="n">
        <f aca="false">SQRT(($B37-BK$5)^2+($C37-BK$6)^2+($D37-BK$7)^2)</f>
        <v>1.79800651171096</v>
      </c>
      <c r="BL37" s="74" t="n">
        <f aca="false">SQRT(($B37-BL$5)^2+($C37-BL$6)^2+($D37-BL$7)^2)</f>
        <v>1.48361405885936</v>
      </c>
      <c r="BM37" s="74" t="n">
        <f aca="false">SQRT(($B37-BM$5)^2+($C37-BM$6)^2+($D37-BM$7)^2)</f>
        <v>0.833396237832499</v>
      </c>
      <c r="BN37" s="74" t="n">
        <f aca="false">SQRT(($B37-BN$5)^2+($C37-BN$6)^2+($D37-BN$7)^2)</f>
        <v>1.10630305760825</v>
      </c>
      <c r="BO37" s="74" t="n">
        <f aca="false">SQRT(($B37-BO$5)^2+($C37-BO$6)^2+($D37-BO$7)^2)</f>
        <v>2.10580411903411</v>
      </c>
      <c r="BP37" s="74" t="n">
        <f aca="false">SQRT(($B37-BP$5)^2+($C37-BP$6)^2+($D37-BP$7)^2)</f>
        <v>1.04382712431361</v>
      </c>
      <c r="BQ37" s="74" t="n">
        <f aca="false">SQRT(($B37-BQ$5)^2+($C37-BQ$6)^2+($D37-BQ$7)^2)</f>
        <v>1.16750907952026</v>
      </c>
      <c r="BR37" s="74" t="n">
        <f aca="false">SQRT(($B37-BR$5)^2+($C37-BR$6)^2+($D37-BR$7)^2)</f>
        <v>1.17534766984178</v>
      </c>
      <c r="BS37" s="74" t="n">
        <f aca="false">SQRT(($B37-BS$5)^2+($C37-BS$6)^2+($D37-BS$7)^2)</f>
        <v>1.55225100180607</v>
      </c>
      <c r="BT37" s="74" t="n">
        <f aca="false">SQRT(($B37-BT$5)^2+($C37-BT$6)^2+($D37-BT$7)^2)</f>
        <v>1.64625536081516</v>
      </c>
      <c r="BU37" s="74" t="n">
        <f aca="false">SQRT(($B37-BU$5)^2+($C37-BU$6)^2+($D37-BU$7)^2)</f>
        <v>1.67251013423787</v>
      </c>
      <c r="BV37" s="74" t="n">
        <f aca="false">SQRT(($B37-BV$5)^2+($C37-BV$6)^2+($D37-BV$7)^2)</f>
        <v>2.42171637942707</v>
      </c>
      <c r="BW37" s="74" t="n">
        <f aca="false">SQRT(($B37-BW$5)^2+($C37-BW$6)^2+($D37-BW$7)^2)</f>
        <v>1.66038867355755</v>
      </c>
      <c r="BX37" s="74" t="n">
        <f aca="false">SQRT(($B37-BX$5)^2+($C37-BX$6)^2+($D37-BX$7)^2)</f>
        <v>2.4286598662798</v>
      </c>
      <c r="BY37" s="74" t="n">
        <f aca="false">SQRT(($B37-BY$5)^2+($C37-BY$6)^2+($D37-BY$7)^2)</f>
        <v>1.84542803505375</v>
      </c>
      <c r="BZ37" s="74" t="n">
        <f aca="false">SQRT(($B37-BZ$5)^2+($C37-BZ$6)^2+($D37-BZ$7)^2)</f>
        <v>1.88504888913618</v>
      </c>
      <c r="CA37" s="74" t="n">
        <f aca="false">SQRT(($B37-CA$5)^2+($C37-CA$6)^2+($D37-CA$7)^2)</f>
        <v>2.45144317266828</v>
      </c>
      <c r="CB37" s="74" t="n">
        <f aca="false">SQRT(($B37-CB$5)^2+($C37-CB$6)^2+($D37-CB$7)^2)</f>
        <v>1.895867388997</v>
      </c>
      <c r="CC37" s="74" t="n">
        <f aca="false">SQRT(($B37-CC$5)^2+($C37-CC$6)^2+($D37-CC$7)^2)</f>
        <v>2.45977183312817</v>
      </c>
      <c r="CD37" s="74" t="n">
        <f aca="false">SQRT(($B37-CD$5)^2+($C37-CD$6)^2+($D37-CD$7)^2)</f>
        <v>2.4777112139155</v>
      </c>
      <c r="CE37" s="74" t="n">
        <f aca="false">SQRT(($B37-CE$5)^2+($C37-CE$6)^2+($D37-CE$7)^2)</f>
        <v>1.81398955424789</v>
      </c>
      <c r="CF37" s="74" t="n">
        <f aca="false">SQRT(($B37-CF$5)^2+($C37-CF$6)^2+($D37-CF$7)^2)</f>
        <v>1.47404207698336</v>
      </c>
      <c r="CG37" s="74" t="n">
        <f aca="false">SQRT(($B37-CG$5)^2+($C37-CG$6)^2+($D37-CG$7)^2)</f>
        <v>1.78745442757596</v>
      </c>
      <c r="CH37" s="74" t="n">
        <f aca="false">SQRT(($B37-CH$5)^2+($C37-CH$6)^2+($D37-CH$7)^2)</f>
        <v>2.04985032746872</v>
      </c>
      <c r="CI37" s="74" t="n">
        <f aca="false">SQRT(($B37-CI$5)^2+($C37-CI$6)^2+($D37-CI$7)^2)</f>
        <v>2.13545222367594</v>
      </c>
      <c r="CJ37" s="74" t="n">
        <f aca="false">SQRT(($B37-CJ$5)^2+($C37-CJ$6)^2+($D37-CJ$7)^2)</f>
        <v>2.342119757964</v>
      </c>
      <c r="CK37" s="74" t="n">
        <f aca="false">SQRT(($B37-CK$5)^2+($C37-CK$6)^2+($D37-CK$7)^2)</f>
        <v>1.97746657120979</v>
      </c>
      <c r="CL37" s="74" t="n">
        <f aca="false">SQRT(($B37-CL$5)^2+($C37-CL$6)^2+($D37-CL$7)^2)</f>
        <v>2.60632727374584</v>
      </c>
      <c r="CM37" s="74" t="n">
        <f aca="false">SQRT(($B37-CM$5)^2+($C37-CM$6)^2+($D37-CM$7)^2)</f>
        <v>2.1147199541001</v>
      </c>
      <c r="CN37" s="74" t="n">
        <f aca="false">SQRT(($B37-CN$5)^2+($C37-CN$6)^2+($D37-CN$7)^2)</f>
        <v>1.64424658737459</v>
      </c>
      <c r="CO37" s="74" t="n">
        <f aca="false">SQRT(($B37-CO$5)^2+($C37-CO$6)^2+($D37-CO$7)^2)</f>
        <v>1.88138314989571</v>
      </c>
      <c r="CP37" s="74" t="n">
        <f aca="false">SQRT(($B37-CP$5)^2+($C37-CP$6)^2+($D37-CP$7)^2)</f>
        <v>2.6667548043259</v>
      </c>
      <c r="CQ37" s="74" t="n">
        <f aca="false">SQRT(($B37-CQ$5)^2+($C37-CQ$6)^2+($D37-CQ$7)^2)</f>
        <v>2.25674645136201</v>
      </c>
      <c r="CR37" s="74" t="n">
        <f aca="false">SQRT(($B37-CR$5)^2+($C37-CR$6)^2+($D37-CR$7)^2)</f>
        <v>2.25033193286154</v>
      </c>
      <c r="CS37" s="74" t="n">
        <f aca="false">SQRT(($B37-CS$5)^2+($C37-CS$6)^2+($D37-CS$7)^2)</f>
        <v>2.71751636272141</v>
      </c>
      <c r="CT37" s="74" t="n">
        <f aca="false">SQRT(($B37-CT$5)^2+($C37-CT$6)^2+($D37-CT$7)^2)</f>
        <v>2.74729033642727</v>
      </c>
      <c r="CU37" s="74" t="n">
        <f aca="false">SQRT(($B37-CU$5)^2+($C37-CU$6)^2+($D37-CU$7)^2)</f>
        <v>2.34080033045205</v>
      </c>
      <c r="CV37" s="74" t="n">
        <f aca="false">SQRT(($B37-CV$5)^2+($C37-CV$6)^2+($D37-CV$7)^2)</f>
        <v>2.103086477277</v>
      </c>
      <c r="CW37" s="74" t="n">
        <f aca="false">SQRT(($B37-CW$5)^2+($C37-CW$6)^2+($D37-CW$7)^2)</f>
        <v>2.74729033642727</v>
      </c>
      <c r="CX37" s="74" t="n">
        <f aca="false">SQRT(($B37-CX$5)^2+($C37-CX$6)^2+($D37-CX$7)^2)</f>
        <v>2.22244414402534</v>
      </c>
      <c r="CY37" s="74" t="n">
        <f aca="false">SQRT(($B37-CY$5)^2+($C37-CY$6)^2+($D37-CY$7)^2)</f>
        <v>2.78086281639152</v>
      </c>
      <c r="CZ37" s="74" t="n">
        <f aca="false">SQRT(($B37-CZ$5)^2+($C37-CZ$6)^2+($D37-CZ$7)^2)</f>
        <v>2.78086281639152</v>
      </c>
      <c r="DA37" s="74" t="n">
        <f aca="false">SQRT(($B37-DA$5)^2+($C37-DA$6)^2+($D37-DA$7)^2)</f>
        <v>2.41180523687046</v>
      </c>
      <c r="DB37" s="74" t="n">
        <f aca="false">SQRT(($B37-DB$5)^2+($C37-DB$6)^2+($D37-DB$7)^2)</f>
        <v>2.81918319381812</v>
      </c>
      <c r="DC37" s="74" t="n">
        <f aca="false">SQRT(($B37-DC$5)^2+($C37-DC$6)^2+($D37-DC$7)^2)</f>
        <v>2.81918319381812</v>
      </c>
      <c r="DD37" s="74" t="n">
        <f aca="false">SQRT(($B37-DD$5)^2+($C37-DD$6)^2+($D37-DD$7)^2)</f>
        <v>2.52214630005276</v>
      </c>
      <c r="DE37" s="74" t="n">
        <f aca="false">SQRT(($B37-DE$5)^2+($C37-DE$6)^2+($D37-DE$7)^2)</f>
        <v>2.72803441142777</v>
      </c>
      <c r="DF37" s="74" t="n">
        <f aca="false">SQRT(($B37-DF$5)^2+($C37-DF$6)^2+($D37-DF$7)^2)</f>
        <v>3.05989294149054</v>
      </c>
      <c r="DG37" s="74" t="n">
        <f aca="false">SQRT(($B37-DG$5)^2+($C37-DG$6)^2+($D37-DG$7)^2)</f>
        <v>3.16649987575691</v>
      </c>
      <c r="DH37" s="74" t="n">
        <f aca="false">SQRT(($B37-DH$5)^2+($C37-DH$6)^2+($D37-DH$7)^2)</f>
        <v>3.16649987575691</v>
      </c>
      <c r="DI37" s="74" t="n">
        <f aca="false">SQRT(($B37-DI$5)^2+($C37-DI$6)^2+($D37-DI$7)^2)</f>
        <v>3.16649987575691</v>
      </c>
      <c r="DJ37" s="74" t="n">
        <f aca="false">SQRT(($B37-DJ$5)^2+($C37-DJ$6)^2+($D37-DJ$7)^2)</f>
        <v>3.16649987575691</v>
      </c>
      <c r="DK37" s="74" t="n">
        <f aca="false">SQRT(($B37-DK$5)^2+($C37-DK$6)^2+($D37-DK$7)^2)</f>
        <v>3.32240796066687</v>
      </c>
      <c r="DL37" s="74" t="n">
        <f aca="false">SQRT(($B37-DL$5)^2+($C37-DL$6)^2+($D37-DL$7)^2)</f>
        <v>3.32240796066687</v>
      </c>
      <c r="DM37" s="74" t="n">
        <f aca="false">SQRT(($B37-DM$5)^2+($C37-DM$6)^2+($D37-DM$7)^2)</f>
        <v>3.32240796066687</v>
      </c>
      <c r="DN37" s="74" t="n">
        <f aca="false">SQRT(($B37-DN$5)^2+($C37-DN$6)^2+($D37-DN$7)^2)</f>
        <v>3.32240796066687</v>
      </c>
      <c r="DO37" s="74" t="n">
        <f aca="false">SQRT(($B37-DO$5)^2+($C37-DO$6)^2+($D37-DO$7)^2)</f>
        <v>3.32240796066687</v>
      </c>
      <c r="DP37" s="74" t="n">
        <f aca="false">SQRT(($B37-DP$5)^2+($C37-DP$6)^2+($D37-DP$7)^2)</f>
        <v>3.60196382706207</v>
      </c>
      <c r="DQ37" s="74" t="n">
        <f aca="false">SQRT(($B37-DQ$5)^2+($C37-DQ$6)^2+($D37-DQ$7)^2)</f>
        <v>3.60196382706207</v>
      </c>
    </row>
    <row r="38" customFormat="false" ht="15" hidden="false" customHeight="false" outlineLevel="0" collapsed="false">
      <c r="A38" s="48" t="str">
        <f aca="false">KMeans_Data!A29</f>
        <v>Bajaur</v>
      </c>
      <c r="B38" s="72" t="n">
        <f aca="false">KMeans_Data!H29</f>
        <v>0.761812586723473</v>
      </c>
      <c r="C38" s="72" t="n">
        <f aca="false">KMeans_Data!I29</f>
        <v>1.38107452085777</v>
      </c>
      <c r="D38" s="72" t="n">
        <f aca="false">KMeans_Data!J29</f>
        <v>0.727869076261203</v>
      </c>
      <c r="E38" s="74" t="n">
        <f aca="false">SQRT(($B38-E$5)^2+($C38-E$6)^2+($D38-E$7)^2)</f>
        <v>4.44423821278105</v>
      </c>
      <c r="F38" s="74" t="n">
        <f aca="false">SQRT(($B38-F$5)^2+($C38-F$6)^2+($D38-F$7)^2)</f>
        <v>4.20826896491245</v>
      </c>
      <c r="G38" s="74" t="n">
        <f aca="false">SQRT(($B38-G$5)^2+($C38-G$6)^2+($D38-G$7)^2)</f>
        <v>2.47118088243736</v>
      </c>
      <c r="H38" s="74" t="n">
        <f aca="false">SQRT(($B38-H$5)^2+($C38-H$6)^2+($D38-H$7)^2)</f>
        <v>2.84506677788736</v>
      </c>
      <c r="I38" s="74" t="n">
        <f aca="false">SQRT(($B38-I$5)^2+($C38-I$6)^2+($D38-I$7)^2)</f>
        <v>1.84208331437554</v>
      </c>
      <c r="J38" s="74" t="n">
        <f aca="false">SQRT(($B38-J$5)^2+($C38-J$6)^2+($D38-J$7)^2)</f>
        <v>1.3304080775026</v>
      </c>
      <c r="K38" s="74" t="n">
        <f aca="false">SQRT(($B38-K$5)^2+($C38-K$6)^2+($D38-K$7)^2)</f>
        <v>2.05746284589239</v>
      </c>
      <c r="L38" s="74" t="n">
        <f aca="false">SQRT(($B38-L$5)^2+($C38-L$6)^2+($D38-L$7)^2)</f>
        <v>1.33504405078876</v>
      </c>
      <c r="M38" s="74" t="n">
        <f aca="false">SQRT(($B38-M$5)^2+($C38-M$6)^2+($D38-M$7)^2)</f>
        <v>1.10104040727712</v>
      </c>
      <c r="N38" s="74" t="n">
        <f aca="false">SQRT(($B38-N$5)^2+($C38-N$6)^2+($D38-N$7)^2)</f>
        <v>2.2221614041321</v>
      </c>
      <c r="O38" s="74" t="n">
        <f aca="false">SQRT(($B38-O$5)^2+($C38-O$6)^2+($D38-O$7)^2)</f>
        <v>0.469781720463005</v>
      </c>
      <c r="P38" s="74" t="n">
        <f aca="false">SQRT(($B38-P$5)^2+($C38-P$6)^2+($D38-P$7)^2)</f>
        <v>0.690041416786346</v>
      </c>
      <c r="Q38" s="74" t="n">
        <f aca="false">SQRT(($B38-Q$5)^2+($C38-Q$6)^2+($D38-Q$7)^2)</f>
        <v>0.594327147642454</v>
      </c>
      <c r="R38" s="74" t="n">
        <f aca="false">SQRT(($B38-R$5)^2+($C38-R$6)^2+($D38-R$7)^2)</f>
        <v>1.27752060457733</v>
      </c>
      <c r="S38" s="74" t="n">
        <f aca="false">SQRT(($B38-S$5)^2+($C38-S$6)^2+($D38-S$7)^2)</f>
        <v>1.60879043853354</v>
      </c>
      <c r="T38" s="74" t="n">
        <f aca="false">SQRT(($B38-T$5)^2+($C38-T$6)^2+($D38-T$7)^2)</f>
        <v>0.516135303226866</v>
      </c>
      <c r="U38" s="74" t="n">
        <f aca="false">SQRT(($B38-U$5)^2+($C38-U$6)^2+($D38-U$7)^2)</f>
        <v>1.32302613386786</v>
      </c>
      <c r="V38" s="74" t="n">
        <f aca="false">SQRT(($B38-V$5)^2+($C38-V$6)^2+($D38-V$7)^2)</f>
        <v>0.1425287321578</v>
      </c>
      <c r="W38" s="74" t="n">
        <f aca="false">SQRT(($B38-W$5)^2+($C38-W$6)^2+($D38-W$7)^2)</f>
        <v>0.224973815922101</v>
      </c>
      <c r="X38" s="74" t="n">
        <f aca="false">SQRT(($B38-X$5)^2+($C38-X$6)^2+($D38-X$7)^2)</f>
        <v>0.660182654455886</v>
      </c>
      <c r="Y38" s="74" t="n">
        <f aca="false">SQRT(($B38-Y$5)^2+($C38-Y$6)^2+($D38-Y$7)^2)</f>
        <v>0.791842576022381</v>
      </c>
      <c r="Z38" s="74" t="n">
        <f aca="false">SQRT(($B38-Z$5)^2+($C38-Z$6)^2+($D38-Z$7)^2)</f>
        <v>0.588760149041457</v>
      </c>
      <c r="AA38" s="74" t="n">
        <f aca="false">SQRT(($B38-AA$5)^2+($C38-AA$6)^2+($D38-AA$7)^2)</f>
        <v>1.24256868764837</v>
      </c>
      <c r="AB38" s="74" t="n">
        <f aca="false">SQRT(($B38-AB$5)^2+($C38-AB$6)^2+($D38-AB$7)^2)</f>
        <v>0.835654133183046</v>
      </c>
      <c r="AC38" s="74" t="n">
        <f aca="false">SQRT(($B38-AC$5)^2+($C38-AC$6)^2+($D38-AC$7)^2)</f>
        <v>0</v>
      </c>
      <c r="AD38" s="74" t="n">
        <f aca="false">SQRT(($B38-AD$5)^2+($C38-AD$6)^2+($D38-AD$7)^2)</f>
        <v>0.800021935594571</v>
      </c>
      <c r="AE38" s="74" t="n">
        <f aca="false">SQRT(($B38-AE$5)^2+($C38-AE$6)^2+($D38-AE$7)^2)</f>
        <v>2.42043390101077</v>
      </c>
      <c r="AF38" s="74" t="n">
        <f aca="false">SQRT(($B38-AF$5)^2+($C38-AF$6)^2+($D38-AF$7)^2)</f>
        <v>0.727610876508779</v>
      </c>
      <c r="AG38" s="74" t="n">
        <f aca="false">SQRT(($B38-AG$5)^2+($C38-AG$6)^2+($D38-AG$7)^2)</f>
        <v>2.35019231505366</v>
      </c>
      <c r="AH38" s="74" t="n">
        <f aca="false">SQRT(($B38-AH$5)^2+($C38-AH$6)^2+($D38-AH$7)^2)</f>
        <v>1.23552831091423</v>
      </c>
      <c r="AI38" s="74" t="n">
        <f aca="false">SQRT(($B38-AI$5)^2+($C38-AI$6)^2+($D38-AI$7)^2)</f>
        <v>2.35044222215817</v>
      </c>
      <c r="AJ38" s="74" t="n">
        <f aca="false">SQRT(($B38-AJ$5)^2+($C38-AJ$6)^2+($D38-AJ$7)^2)</f>
        <v>0.938264127444082</v>
      </c>
      <c r="AK38" s="74" t="n">
        <f aca="false">SQRT(($B38-AK$5)^2+($C38-AK$6)^2+($D38-AK$7)^2)</f>
        <v>1.11910530280394</v>
      </c>
      <c r="AL38" s="74" t="n">
        <f aca="false">SQRT(($B38-AL$5)^2+($C38-AL$6)^2+($D38-AL$7)^2)</f>
        <v>1.56289727981623</v>
      </c>
      <c r="AM38" s="74" t="n">
        <f aca="false">SQRT(($B38-AM$5)^2+($C38-AM$6)^2+($D38-AM$7)^2)</f>
        <v>0.503616096882228</v>
      </c>
      <c r="AN38" s="74" t="n">
        <f aca="false">SQRT(($B38-AN$5)^2+($C38-AN$6)^2+($D38-AN$7)^2)</f>
        <v>0.387745294880034</v>
      </c>
      <c r="AO38" s="74" t="n">
        <f aca="false">SQRT(($B38-AO$5)^2+($C38-AO$6)^2+($D38-AO$7)^2)</f>
        <v>1.07146572439474</v>
      </c>
      <c r="AP38" s="74" t="n">
        <f aca="false">SQRT(($B38-AP$5)^2+($C38-AP$6)^2+($D38-AP$7)^2)</f>
        <v>1.08952720206438</v>
      </c>
      <c r="AQ38" s="74" t="n">
        <f aca="false">SQRT(($B38-AQ$5)^2+($C38-AQ$6)^2+($D38-AQ$7)^2)</f>
        <v>0.383508098023122</v>
      </c>
      <c r="AR38" s="74" t="n">
        <f aca="false">SQRT(($B38-AR$5)^2+($C38-AR$6)^2+($D38-AR$7)^2)</f>
        <v>1.50950018880372</v>
      </c>
      <c r="AS38" s="74" t="n">
        <f aca="false">SQRT(($B38-AS$5)^2+($C38-AS$6)^2+($D38-AS$7)^2)</f>
        <v>2.12030242047578</v>
      </c>
      <c r="AT38" s="74" t="n">
        <f aca="false">SQRT(($B38-AT$5)^2+($C38-AT$6)^2+($D38-AT$7)^2)</f>
        <v>1.60478908467145</v>
      </c>
      <c r="AU38" s="74" t="n">
        <f aca="false">SQRT(($B38-AU$5)^2+($C38-AU$6)^2+($D38-AU$7)^2)</f>
        <v>2.10859051259651</v>
      </c>
      <c r="AV38" s="74" t="n">
        <f aca="false">SQRT(($B38-AV$5)^2+($C38-AV$6)^2+($D38-AV$7)^2)</f>
        <v>2.12567870399534</v>
      </c>
      <c r="AW38" s="74" t="n">
        <f aca="false">SQRT(($B38-AW$5)^2+($C38-AW$6)^2+($D38-AW$7)^2)</f>
        <v>2.6270141257333</v>
      </c>
      <c r="AX38" s="74" t="n">
        <f aca="false">SQRT(($B38-AX$5)^2+($C38-AX$6)^2+($D38-AX$7)^2)</f>
        <v>1.37470122409992</v>
      </c>
      <c r="AY38" s="74" t="n">
        <f aca="false">SQRT(($B38-AY$5)^2+($C38-AY$6)^2+($D38-AY$7)^2)</f>
        <v>2.83590842075098</v>
      </c>
      <c r="AZ38" s="74" t="n">
        <f aca="false">SQRT(($B38-AZ$5)^2+($C38-AZ$6)^2+($D38-AZ$7)^2)</f>
        <v>2.15061258226929</v>
      </c>
      <c r="BA38" s="74" t="n">
        <f aca="false">SQRT(($B38-BA$5)^2+($C38-BA$6)^2+($D38-BA$7)^2)</f>
        <v>1.6314103987583</v>
      </c>
      <c r="BB38" s="74" t="n">
        <f aca="false">SQRT(($B38-BB$5)^2+($C38-BB$6)^2+($D38-BB$7)^2)</f>
        <v>2.83721040771156</v>
      </c>
      <c r="BC38" s="74" t="n">
        <f aca="false">SQRT(($B38-BC$5)^2+($C38-BC$6)^2+($D38-BC$7)^2)</f>
        <v>2.8385437619497</v>
      </c>
      <c r="BD38" s="74" t="n">
        <f aca="false">SQRT(($B38-BD$5)^2+($C38-BD$6)^2+($D38-BD$7)^2)</f>
        <v>2.46713998251333</v>
      </c>
      <c r="BE38" s="74" t="n">
        <f aca="false">SQRT(($B38-BE$5)^2+($C38-BE$6)^2+($D38-BE$7)^2)</f>
        <v>2.35211407091349</v>
      </c>
      <c r="BF38" s="74" t="n">
        <f aca="false">SQRT(($B38-BF$5)^2+($C38-BF$6)^2+($D38-BF$7)^2)</f>
        <v>0.63204002312002</v>
      </c>
      <c r="BG38" s="74" t="n">
        <f aca="false">SQRT(($B38-BG$5)^2+($C38-BG$6)^2+($D38-BG$7)^2)</f>
        <v>1.66848092516288</v>
      </c>
      <c r="BH38" s="74" t="n">
        <f aca="false">SQRT(($B38-BH$5)^2+($C38-BH$6)^2+($D38-BH$7)^2)</f>
        <v>2.86114237159593</v>
      </c>
      <c r="BI38" s="74" t="n">
        <f aca="false">SQRT(($B38-BI$5)^2+($C38-BI$6)^2+($D38-BI$7)^2)</f>
        <v>2.86509716710666</v>
      </c>
      <c r="BJ38" s="74" t="n">
        <f aca="false">SQRT(($B38-BJ$5)^2+($C38-BJ$6)^2+($D38-BJ$7)^2)</f>
        <v>1.3262902474772</v>
      </c>
      <c r="BK38" s="74" t="n">
        <f aca="false">SQRT(($B38-BK$5)^2+($C38-BK$6)^2+($D38-BK$7)^2)</f>
        <v>2.46187756558657</v>
      </c>
      <c r="BL38" s="74" t="n">
        <f aca="false">SQRT(($B38-BL$5)^2+($C38-BL$6)^2+($D38-BL$7)^2)</f>
        <v>2.22169694563246</v>
      </c>
      <c r="BM38" s="74" t="n">
        <f aca="false">SQRT(($B38-BM$5)^2+($C38-BM$6)^2+($D38-BM$7)^2)</f>
        <v>1.17367124402127</v>
      </c>
      <c r="BN38" s="74" t="n">
        <f aca="false">SQRT(($B38-BN$5)^2+($C38-BN$6)^2+($D38-BN$7)^2)</f>
        <v>1.61483078630795</v>
      </c>
      <c r="BO38" s="74" t="n">
        <f aca="false">SQRT(($B38-BO$5)^2+($C38-BO$6)^2+($D38-BO$7)^2)</f>
        <v>2.7038699020637</v>
      </c>
      <c r="BP38" s="74" t="n">
        <f aca="false">SQRT(($B38-BP$5)^2+($C38-BP$6)^2+($D38-BP$7)^2)</f>
        <v>1.56332399943818</v>
      </c>
      <c r="BQ38" s="74" t="n">
        <f aca="false">SQRT(($B38-BQ$5)^2+($C38-BQ$6)^2+($D38-BQ$7)^2)</f>
        <v>1.79310436068721</v>
      </c>
      <c r="BR38" s="74" t="n">
        <f aca="false">SQRT(($B38-BR$5)^2+($C38-BR$6)^2+($D38-BR$7)^2)</f>
        <v>1.79627637878855</v>
      </c>
      <c r="BS38" s="74" t="n">
        <f aca="false">SQRT(($B38-BS$5)^2+($C38-BS$6)^2+($D38-BS$7)^2)</f>
        <v>2.26023276410473</v>
      </c>
      <c r="BT38" s="74" t="n">
        <f aca="false">SQRT(($B38-BT$5)^2+($C38-BT$6)^2+($D38-BT$7)^2)</f>
        <v>2.33591984515547</v>
      </c>
      <c r="BU38" s="74" t="n">
        <f aca="false">SQRT(($B38-BU$5)^2+($C38-BU$6)^2+($D38-BU$7)^2)</f>
        <v>2.35667445821814</v>
      </c>
      <c r="BV38" s="74" t="n">
        <f aca="false">SQRT(($B38-BV$5)^2+($C38-BV$6)^2+($D38-BV$7)^2)</f>
        <v>2.961715155408</v>
      </c>
      <c r="BW38" s="74" t="n">
        <f aca="false">SQRT(($B38-BW$5)^2+($C38-BW$6)^2+($D38-BW$7)^2)</f>
        <v>2.34292638552855</v>
      </c>
      <c r="BX38" s="74" t="n">
        <f aca="false">SQRT(($B38-BX$5)^2+($C38-BX$6)^2+($D38-BX$7)^2)</f>
        <v>2.96727828874452</v>
      </c>
      <c r="BY38" s="74" t="n">
        <f aca="false">SQRT(($B38-BY$5)^2+($C38-BY$6)^2+($D38-BY$7)^2)</f>
        <v>2.48867143704469</v>
      </c>
      <c r="BZ38" s="74" t="n">
        <f aca="false">SQRT(($B38-BZ$5)^2+($C38-BZ$6)^2+($D38-BZ$7)^2)</f>
        <v>2.51953147109304</v>
      </c>
      <c r="CA38" s="74" t="n">
        <f aca="false">SQRT(($B38-CA$5)^2+($C38-CA$6)^2+($D38-CA$7)^2)</f>
        <v>2.98558249078598</v>
      </c>
      <c r="CB38" s="74" t="n">
        <f aca="false">SQRT(($B38-CB$5)^2+($C38-CB$6)^2+($D38-CB$7)^2)</f>
        <v>2.52747906162032</v>
      </c>
      <c r="CC38" s="74" t="n">
        <f aca="false">SQRT(($B38-CC$5)^2+($C38-CC$6)^2+($D38-CC$7)^2)</f>
        <v>2.9922924961288</v>
      </c>
      <c r="CD38" s="74" t="n">
        <f aca="false">SQRT(($B38-CD$5)^2+($C38-CD$6)^2+($D38-CD$7)^2)</f>
        <v>3.00677844362123</v>
      </c>
      <c r="CE38" s="74" t="n">
        <f aca="false">SQRT(($B38-CE$5)^2+($C38-CE$6)^2+($D38-CE$7)^2)</f>
        <v>2.45906533185011</v>
      </c>
      <c r="CF38" s="74" t="n">
        <f aca="false">SQRT(($B38-CF$5)^2+($C38-CF$6)^2+($D38-CF$7)^2)</f>
        <v>2.01037971841915</v>
      </c>
      <c r="CG38" s="74" t="n">
        <f aca="false">SQRT(($B38-CG$5)^2+($C38-CG$6)^2+($D38-CG$7)^2)</f>
        <v>2.26415242989151</v>
      </c>
      <c r="CH38" s="74" t="n">
        <f aca="false">SQRT(($B38-CH$5)^2+($C38-CH$6)^2+($D38-CH$7)^2)</f>
        <v>2.6474917709328</v>
      </c>
      <c r="CI38" s="74" t="n">
        <f aca="false">SQRT(($B38-CI$5)^2+($C38-CI$6)^2+($D38-CI$7)^2)</f>
        <v>2.71622667055489</v>
      </c>
      <c r="CJ38" s="74" t="n">
        <f aca="false">SQRT(($B38-CJ$5)^2+($C38-CJ$6)^2+($D38-CJ$7)^2)</f>
        <v>2.88809670653576</v>
      </c>
      <c r="CK38" s="74" t="n">
        <f aca="false">SQRT(($B38-CK$5)^2+($C38-CK$6)^2+($D38-CK$7)^2)</f>
        <v>2.5821524784395</v>
      </c>
      <c r="CL38" s="74" t="n">
        <f aca="false">SQRT(($B38-CL$5)^2+($C38-CL$6)^2+($D38-CL$7)^2)</f>
        <v>3.11185541531247</v>
      </c>
      <c r="CM38" s="74" t="n">
        <f aca="false">SQRT(($B38-CM$5)^2+($C38-CM$6)^2+($D38-CM$7)^2)</f>
        <v>2.69479450256781</v>
      </c>
      <c r="CN38" s="74" t="n">
        <f aca="false">SQRT(($B38-CN$5)^2+($C38-CN$6)^2+($D38-CN$7)^2)</f>
        <v>2.12128658301489</v>
      </c>
      <c r="CO38" s="74" t="n">
        <f aca="false">SQRT(($B38-CO$5)^2+($C38-CO$6)^2+($D38-CO$7)^2)</f>
        <v>2.33080882132083</v>
      </c>
      <c r="CP38" s="74" t="n">
        <f aca="false">SQRT(($B38-CP$5)^2+($C38-CP$6)^2+($D38-CP$7)^2)</f>
        <v>3.16189745359012</v>
      </c>
      <c r="CQ38" s="74" t="n">
        <f aca="false">SQRT(($B38-CQ$5)^2+($C38-CQ$6)^2+($D38-CQ$7)^2)</f>
        <v>2.80829947043335</v>
      </c>
      <c r="CR38" s="74" t="n">
        <f aca="false">SQRT(($B38-CR$5)^2+($C38-CR$6)^2+($D38-CR$7)^2)</f>
        <v>2.80096610983434</v>
      </c>
      <c r="CS38" s="74" t="n">
        <f aca="false">SQRT(($B38-CS$5)^2+($C38-CS$6)^2+($D38-CS$7)^2)</f>
        <v>3.20423748545273</v>
      </c>
      <c r="CT38" s="74" t="n">
        <f aca="false">SQRT(($B38-CT$5)^2+($C38-CT$6)^2+($D38-CT$7)^2)</f>
        <v>3.22919417541568</v>
      </c>
      <c r="CU38" s="74" t="n">
        <f aca="false">SQRT(($B38-CU$5)^2+($C38-CU$6)^2+($D38-CU$7)^2)</f>
        <v>2.72846092764516</v>
      </c>
      <c r="CV38" s="74" t="n">
        <f aca="false">SQRT(($B38-CV$5)^2+($C38-CV$6)^2+($D38-CV$7)^2)</f>
        <v>2.67053236731328</v>
      </c>
      <c r="CW38" s="74" t="n">
        <f aca="false">SQRT(($B38-CW$5)^2+($C38-CW$6)^2+($D38-CW$7)^2)</f>
        <v>3.22919417541568</v>
      </c>
      <c r="CX38" s="74" t="n">
        <f aca="false">SQRT(($B38-CX$5)^2+($C38-CX$6)^2+($D38-CX$7)^2)</f>
        <v>2.77164868117176</v>
      </c>
      <c r="CY38" s="74" t="n">
        <f aca="false">SQRT(($B38-CY$5)^2+($C38-CY$6)^2+($D38-CY$7)^2)</f>
        <v>3.25743918928763</v>
      </c>
      <c r="CZ38" s="74" t="n">
        <f aca="false">SQRT(($B38-CZ$5)^2+($C38-CZ$6)^2+($D38-CZ$7)^2)</f>
        <v>3.25743918928763</v>
      </c>
      <c r="DA38" s="74" t="n">
        <f aca="false">SQRT(($B38-DA$5)^2+($C38-DA$6)^2+($D38-DA$7)^2)</f>
        <v>2.93538880497877</v>
      </c>
      <c r="DB38" s="74" t="n">
        <f aca="false">SQRT(($B38-DB$5)^2+($C38-DB$6)^2+($D38-DB$7)^2)</f>
        <v>3.28980952631098</v>
      </c>
      <c r="DC38" s="74" t="n">
        <f aca="false">SQRT(($B38-DC$5)^2+($C38-DC$6)^2+($D38-DC$7)^2)</f>
        <v>3.28980952631098</v>
      </c>
      <c r="DD38" s="74" t="n">
        <f aca="false">SQRT(($B38-DD$5)^2+($C38-DD$6)^2+($D38-DD$7)^2)</f>
        <v>3.02893612066871</v>
      </c>
      <c r="DE38" s="74" t="n">
        <f aca="false">SQRT(($B38-DE$5)^2+($C38-DE$6)^2+($D38-DE$7)^2)</f>
        <v>3.20495318576799</v>
      </c>
      <c r="DF38" s="74" t="n">
        <f aca="false">SQRT(($B38-DF$5)^2+($C38-DF$6)^2+($D38-DF$7)^2)</f>
        <v>3.49604751450053</v>
      </c>
      <c r="DG38" s="74" t="n">
        <f aca="false">SQRT(($B38-DG$5)^2+($C38-DG$6)^2+($D38-DG$7)^2)</f>
        <v>3.5888201088408</v>
      </c>
      <c r="DH38" s="74" t="n">
        <f aca="false">SQRT(($B38-DH$5)^2+($C38-DH$6)^2+($D38-DH$7)^2)</f>
        <v>3.5888201088408</v>
      </c>
      <c r="DI38" s="74" t="n">
        <f aca="false">SQRT(($B38-DI$5)^2+($C38-DI$6)^2+($D38-DI$7)^2)</f>
        <v>3.5888201088408</v>
      </c>
      <c r="DJ38" s="74" t="n">
        <f aca="false">SQRT(($B38-DJ$5)^2+($C38-DJ$6)^2+($D38-DJ$7)^2)</f>
        <v>3.5888201088408</v>
      </c>
      <c r="DK38" s="74" t="n">
        <f aca="false">SQRT(($B38-DK$5)^2+($C38-DK$6)^2+($D38-DK$7)^2)</f>
        <v>3.72587555327954</v>
      </c>
      <c r="DL38" s="74" t="n">
        <f aca="false">SQRT(($B38-DL$5)^2+($C38-DL$6)^2+($D38-DL$7)^2)</f>
        <v>3.72587555327954</v>
      </c>
      <c r="DM38" s="74" t="n">
        <f aca="false">SQRT(($B38-DM$5)^2+($C38-DM$6)^2+($D38-DM$7)^2)</f>
        <v>3.72587555327954</v>
      </c>
      <c r="DN38" s="74" t="n">
        <f aca="false">SQRT(($B38-DN$5)^2+($C38-DN$6)^2+($D38-DN$7)^2)</f>
        <v>3.72587555327954</v>
      </c>
      <c r="DO38" s="74" t="n">
        <f aca="false">SQRT(($B38-DO$5)^2+($C38-DO$6)^2+($D38-DO$7)^2)</f>
        <v>3.72587555327954</v>
      </c>
      <c r="DP38" s="74" t="n">
        <f aca="false">SQRT(($B38-DP$5)^2+($C38-DP$6)^2+($D38-DP$7)^2)</f>
        <v>3.97520414117928</v>
      </c>
      <c r="DQ38" s="74" t="n">
        <f aca="false">SQRT(($B38-DQ$5)^2+($C38-DQ$6)^2+($D38-DQ$7)^2)</f>
        <v>3.97520414117928</v>
      </c>
    </row>
    <row r="39" customFormat="false" ht="15" hidden="false" customHeight="false" outlineLevel="0" collapsed="false">
      <c r="A39" s="48" t="str">
        <f aca="false">KMeans_Data!A30</f>
        <v>Shikarpur</v>
      </c>
      <c r="B39" s="72" t="n">
        <f aca="false">KMeans_Data!H30</f>
        <v>0.708204570744665</v>
      </c>
      <c r="C39" s="72" t="n">
        <f aca="false">KMeans_Data!I30</f>
        <v>0.803084449535714</v>
      </c>
      <c r="D39" s="72" t="n">
        <f aca="false">KMeans_Data!J30</f>
        <v>1.27840404836418</v>
      </c>
      <c r="E39" s="74" t="n">
        <f aca="false">SQRT(($B39-E$5)^2+($C39-E$6)^2+($D39-E$7)^2)</f>
        <v>4.57744212550846</v>
      </c>
      <c r="F39" s="74" t="n">
        <f aca="false">SQRT(($B39-F$5)^2+($C39-F$6)^2+($D39-F$7)^2)</f>
        <v>4.43566073324104</v>
      </c>
      <c r="G39" s="74" t="n">
        <f aca="false">SQRT(($B39-G$5)^2+($C39-G$6)^2+($D39-G$7)^2)</f>
        <v>2.48261938568445</v>
      </c>
      <c r="H39" s="74" t="n">
        <f aca="false">SQRT(($B39-H$5)^2+($C39-H$6)^2+($D39-H$7)^2)</f>
        <v>3.22812483946753</v>
      </c>
      <c r="I39" s="74" t="n">
        <f aca="false">SQRT(($B39-I$5)^2+($C39-I$6)^2+($D39-I$7)^2)</f>
        <v>1.97721386113536</v>
      </c>
      <c r="J39" s="74" t="n">
        <f aca="false">SQRT(($B39-J$5)^2+($C39-J$6)^2+($D39-J$7)^2)</f>
        <v>1.63798515592993</v>
      </c>
      <c r="K39" s="74" t="n">
        <f aca="false">SQRT(($B39-K$5)^2+($C39-K$6)^2+($D39-K$7)^2)</f>
        <v>2.28765946282002</v>
      </c>
      <c r="L39" s="74" t="n">
        <f aca="false">SQRT(($B39-L$5)^2+($C39-L$6)^2+($D39-L$7)^2)</f>
        <v>0.762832946260734</v>
      </c>
      <c r="M39" s="74" t="n">
        <f aca="false">SQRT(($B39-M$5)^2+($C39-M$6)^2+($D39-M$7)^2)</f>
        <v>0.802858128111018</v>
      </c>
      <c r="N39" s="74" t="n">
        <f aca="false">SQRT(($B39-N$5)^2+($C39-N$6)^2+($D39-N$7)^2)</f>
        <v>2.35965787088016</v>
      </c>
      <c r="O39" s="74" t="n">
        <f aca="false">SQRT(($B39-O$5)^2+($C39-O$6)^2+($D39-O$7)^2)</f>
        <v>0.851064845320699</v>
      </c>
      <c r="P39" s="74" t="n">
        <f aca="false">SQRT(($B39-P$5)^2+($C39-P$6)^2+($D39-P$7)^2)</f>
        <v>1.05820205596305</v>
      </c>
      <c r="Q39" s="74" t="n">
        <f aca="false">SQRT(($B39-Q$5)^2+($C39-Q$6)^2+($D39-Q$7)^2)</f>
        <v>0.432741710583415</v>
      </c>
      <c r="R39" s="74" t="n">
        <f aca="false">SQRT(($B39-R$5)^2+($C39-R$6)^2+($D39-R$7)^2)</f>
        <v>0.570357611491903</v>
      </c>
      <c r="S39" s="74" t="n">
        <f aca="false">SQRT(($B39-S$5)^2+($C39-S$6)^2+($D39-S$7)^2)</f>
        <v>1.00241447308542</v>
      </c>
      <c r="T39" s="74" t="n">
        <f aca="false">SQRT(($B39-T$5)^2+($C39-T$6)^2+($D39-T$7)^2)</f>
        <v>0.429047948284971</v>
      </c>
      <c r="U39" s="74" t="n">
        <f aca="false">SQRT(($B39-U$5)^2+($C39-U$6)^2+($D39-U$7)^2)</f>
        <v>0.550082363410579</v>
      </c>
      <c r="V39" s="74" t="n">
        <f aca="false">SQRT(($B39-V$5)^2+($C39-V$6)^2+($D39-V$7)^2)</f>
        <v>0.889234534156777</v>
      </c>
      <c r="W39" s="74" t="n">
        <f aca="false">SQRT(($B39-W$5)^2+($C39-W$6)^2+($D39-W$7)^2)</f>
        <v>0.687660173782561</v>
      </c>
      <c r="X39" s="74" t="n">
        <f aca="false">SQRT(($B39-X$5)^2+($C39-X$6)^2+($D39-X$7)^2)</f>
        <v>0.276124136172998</v>
      </c>
      <c r="Y39" s="74" t="n">
        <f aca="false">SQRT(($B39-Y$5)^2+($C39-Y$6)^2+($D39-Y$7)^2)</f>
        <v>0.0822444214369526</v>
      </c>
      <c r="Z39" s="74" t="n">
        <f aca="false">SQRT(($B39-Z$5)^2+($C39-Z$6)^2+($D39-Z$7)^2)</f>
        <v>0.664599858316892</v>
      </c>
      <c r="AA39" s="74" t="n">
        <f aca="false">SQRT(($B39-AA$5)^2+($C39-AA$6)^2+($D39-AA$7)^2)</f>
        <v>0.721217712347595</v>
      </c>
      <c r="AB39" s="74" t="n">
        <f aca="false">SQRT(($B39-AB$5)^2+($C39-AB$6)^2+($D39-AB$7)^2)</f>
        <v>0.666642586607952</v>
      </c>
      <c r="AC39" s="74" t="n">
        <f aca="false">SQRT(($B39-AC$5)^2+($C39-AC$6)^2+($D39-AC$7)^2)</f>
        <v>0.800021935594571</v>
      </c>
      <c r="AD39" s="74" t="n">
        <f aca="false">SQRT(($B39-AD$5)^2+($C39-AD$6)^2+($D39-AD$7)^2)</f>
        <v>0</v>
      </c>
      <c r="AE39" s="74" t="n">
        <f aca="false">SQRT(($B39-AE$5)^2+($C39-AE$6)^2+($D39-AE$7)^2)</f>
        <v>2.60433256477183</v>
      </c>
      <c r="AF39" s="74" t="n">
        <f aca="false">SQRT(($B39-AF$5)^2+($C39-AF$6)^2+($D39-AF$7)^2)</f>
        <v>0.434787538045992</v>
      </c>
      <c r="AG39" s="74" t="n">
        <f aca="false">SQRT(($B39-AG$5)^2+($C39-AG$6)^2+($D39-AG$7)^2)</f>
        <v>2.23860042457576</v>
      </c>
      <c r="AH39" s="74" t="n">
        <f aca="false">SQRT(($B39-AH$5)^2+($C39-AH$6)^2+($D39-AH$7)^2)</f>
        <v>0.822669732471675</v>
      </c>
      <c r="AI39" s="74" t="n">
        <f aca="false">SQRT(($B39-AI$5)^2+($C39-AI$6)^2+($D39-AI$7)^2)</f>
        <v>2.23878702772511</v>
      </c>
      <c r="AJ39" s="74" t="n">
        <f aca="false">SQRT(($B39-AJ$5)^2+($C39-AJ$6)^2+($D39-AJ$7)^2)</f>
        <v>0.334535846078468</v>
      </c>
      <c r="AK39" s="74" t="n">
        <f aca="false">SQRT(($B39-AK$5)^2+($C39-AK$6)^2+($D39-AK$7)^2)</f>
        <v>1.09304444288816</v>
      </c>
      <c r="AL39" s="74" t="n">
        <f aca="false">SQRT(($B39-AL$5)^2+($C39-AL$6)^2+($D39-AL$7)^2)</f>
        <v>1.21663409672599</v>
      </c>
      <c r="AM39" s="74" t="n">
        <f aca="false">SQRT(($B39-AM$5)^2+($C39-AM$6)^2+($D39-AM$7)^2)</f>
        <v>1.15196255309264</v>
      </c>
      <c r="AN39" s="74" t="n">
        <f aca="false">SQRT(($B39-AN$5)^2+($C39-AN$6)^2+($D39-AN$7)^2)</f>
        <v>0.703186189414728</v>
      </c>
      <c r="AO39" s="74" t="n">
        <f aca="false">SQRT(($B39-AO$5)^2+($C39-AO$6)^2+($D39-AO$7)^2)</f>
        <v>0.89497639634607</v>
      </c>
      <c r="AP39" s="74" t="n">
        <f aca="false">SQRT(($B39-AP$5)^2+($C39-AP$6)^2+($D39-AP$7)^2)</f>
        <v>0.962937014121759</v>
      </c>
      <c r="AQ39" s="74" t="n">
        <f aca="false">SQRT(($B39-AQ$5)^2+($C39-AQ$6)^2+($D39-AQ$7)^2)</f>
        <v>0.856205117487165</v>
      </c>
      <c r="AR39" s="74" t="n">
        <f aca="false">SQRT(($B39-AR$5)^2+($C39-AR$6)^2+($D39-AR$7)^2)</f>
        <v>1.53487188326732</v>
      </c>
      <c r="AS39" s="74" t="n">
        <f aca="false">SQRT(($B39-AS$5)^2+($C39-AS$6)^2+($D39-AS$7)^2)</f>
        <v>1.5499263768629</v>
      </c>
      <c r="AT39" s="74" t="n">
        <f aca="false">SQRT(($B39-AT$5)^2+($C39-AT$6)^2+($D39-AT$7)^2)</f>
        <v>1.15999224392736</v>
      </c>
      <c r="AU39" s="74" t="n">
        <f aca="false">SQRT(($B39-AU$5)^2+($C39-AU$6)^2+($D39-AU$7)^2)</f>
        <v>2.18370221460196</v>
      </c>
      <c r="AV39" s="74" t="n">
        <f aca="false">SQRT(($B39-AV$5)^2+($C39-AV$6)^2+($D39-AV$7)^2)</f>
        <v>1.72184880064686</v>
      </c>
      <c r="AW39" s="74" t="n">
        <f aca="false">SQRT(($B39-AW$5)^2+($C39-AW$6)^2+($D39-AW$7)^2)</f>
        <v>2.6115676085872</v>
      </c>
      <c r="AX39" s="74" t="n">
        <f aca="false">SQRT(($B39-AX$5)^2+($C39-AX$6)^2+($D39-AX$7)^2)</f>
        <v>1.20141314937528</v>
      </c>
      <c r="AY39" s="74" t="n">
        <f aca="false">SQRT(($B39-AY$5)^2+($C39-AY$6)^2+($D39-AY$7)^2)</f>
        <v>2.88289517889159</v>
      </c>
      <c r="AZ39" s="74" t="n">
        <f aca="false">SQRT(($B39-AZ$5)^2+($C39-AZ$6)^2+($D39-AZ$7)^2)</f>
        <v>1.57972661144291</v>
      </c>
      <c r="BA39" s="74" t="n">
        <f aca="false">SQRT(($B39-BA$5)^2+($C39-BA$6)^2+($D39-BA$7)^2)</f>
        <v>1.18300344393404</v>
      </c>
      <c r="BB39" s="74" t="n">
        <f aca="false">SQRT(($B39-BB$5)^2+($C39-BB$6)^2+($D39-BB$7)^2)</f>
        <v>2.88405426593002</v>
      </c>
      <c r="BC39" s="74" t="n">
        <f aca="false">SQRT(($B39-BC$5)^2+($C39-BC$6)^2+($D39-BC$7)^2)</f>
        <v>2.8852427848085</v>
      </c>
      <c r="BD39" s="74" t="n">
        <f aca="false">SQRT(($B39-BD$5)^2+($C39-BD$6)^2+($D39-BD$7)^2)</f>
        <v>2.37582894169262</v>
      </c>
      <c r="BE39" s="74" t="n">
        <f aca="false">SQRT(($B39-BE$5)^2+($C39-BE$6)^2+($D39-BE$7)^2)</f>
        <v>2.19161707029623</v>
      </c>
      <c r="BF39" s="74" t="n">
        <f aca="false">SQRT(($B39-BF$5)^2+($C39-BF$6)^2+($D39-BF$7)^2)</f>
        <v>0.959615747094584</v>
      </c>
      <c r="BG39" s="74" t="n">
        <f aca="false">SQRT(($B39-BG$5)^2+($C39-BG$6)^2+($D39-BG$7)^2)</f>
        <v>1.30660071889035</v>
      </c>
      <c r="BH39" s="74" t="n">
        <f aca="false">SQRT(($B39-BH$5)^2+($C39-BH$6)^2+($D39-BH$7)^2)</f>
        <v>2.90557940741222</v>
      </c>
      <c r="BI39" s="74" t="n">
        <f aca="false">SQRT(($B39-BI$5)^2+($C39-BI$6)^2+($D39-BI$7)^2)</f>
        <v>2.90916932046897</v>
      </c>
      <c r="BJ39" s="74" t="n">
        <f aca="false">SQRT(($B39-BJ$5)^2+($C39-BJ$6)^2+($D39-BJ$7)^2)</f>
        <v>1.46694239287473</v>
      </c>
      <c r="BK39" s="74" t="n">
        <f aca="false">SQRT(($B39-BK$5)^2+($C39-BK$6)^2+($D39-BK$7)^2)</f>
        <v>2.34253356990912</v>
      </c>
      <c r="BL39" s="74" t="n">
        <f aca="false">SQRT(($B39-BL$5)^2+($C39-BL$6)^2+($D39-BL$7)^2)</f>
        <v>1.87625893700958</v>
      </c>
      <c r="BM39" s="74" t="n">
        <f aca="false">SQRT(($B39-BM$5)^2+($C39-BM$6)^2+($D39-BM$7)^2)</f>
        <v>1.103632562529</v>
      </c>
      <c r="BN39" s="74" t="n">
        <f aca="false">SQRT(($B39-BN$5)^2+($C39-BN$6)^2+($D39-BN$7)^2)</f>
        <v>1.58258514047902</v>
      </c>
      <c r="BO39" s="74" t="n">
        <f aca="false">SQRT(($B39-BO$5)^2+($C39-BO$6)^2+($D39-BO$7)^2)</f>
        <v>2.68280700945331</v>
      </c>
      <c r="BP39" s="74" t="n">
        <f aca="false">SQRT(($B39-BP$5)^2+($C39-BP$6)^2+($D39-BP$7)^2)</f>
        <v>1.4457901724883</v>
      </c>
      <c r="BQ39" s="74" t="n">
        <f aca="false">SQRT(($B39-BQ$5)^2+($C39-BQ$6)^2+($D39-BQ$7)^2)</f>
        <v>1.54162590848876</v>
      </c>
      <c r="BR39" s="74" t="n">
        <f aca="false">SQRT(($B39-BR$5)^2+($C39-BR$6)^2+($D39-BR$7)^2)</f>
        <v>1.52697165172369</v>
      </c>
      <c r="BS39" s="74" t="n">
        <f aca="false">SQRT(($B39-BS$5)^2+($C39-BS$6)^2+($D39-BS$7)^2)</f>
        <v>1.84883924254891</v>
      </c>
      <c r="BT39" s="74" t="n">
        <f aca="false">SQRT(($B39-BT$5)^2+($C39-BT$6)^2+($D39-BT$7)^2)</f>
        <v>2.05083602794461</v>
      </c>
      <c r="BU39" s="74" t="n">
        <f aca="false">SQRT(($B39-BU$5)^2+($C39-BU$6)^2+($D39-BU$7)^2)</f>
        <v>2.09674665962858</v>
      </c>
      <c r="BV39" s="74" t="n">
        <f aca="false">SQRT(($B39-BV$5)^2+($C39-BV$6)^2+($D39-BV$7)^2)</f>
        <v>2.99850801592691</v>
      </c>
      <c r="BW39" s="74" t="n">
        <f aca="false">SQRT(($B39-BW$5)^2+($C39-BW$6)^2+($D39-BW$7)^2)</f>
        <v>2.03217886946894</v>
      </c>
      <c r="BX39" s="74" t="n">
        <f aca="false">SQRT(($B39-BX$5)^2+($C39-BX$6)^2+($D39-BX$7)^2)</f>
        <v>3.00371719043216</v>
      </c>
      <c r="BY39" s="74" t="n">
        <f aca="false">SQRT(($B39-BY$5)^2+($C39-BY$6)^2+($D39-BY$7)^2)</f>
        <v>2.3122447728471</v>
      </c>
      <c r="BZ39" s="74" t="n">
        <f aca="false">SQRT(($B39-BZ$5)^2+($C39-BZ$6)^2+($D39-BZ$7)^2)</f>
        <v>2.35950600005137</v>
      </c>
      <c r="CA39" s="74" t="n">
        <f aca="false">SQRT(($B39-CA$5)^2+($C39-CA$6)^2+($D39-CA$7)^2)</f>
        <v>3.02089160707941</v>
      </c>
      <c r="CB39" s="74" t="n">
        <f aca="false">SQRT(($B39-CB$5)^2+($C39-CB$6)^2+($D39-CB$7)^2)</f>
        <v>2.36757723124996</v>
      </c>
      <c r="CC39" s="74" t="n">
        <f aca="false">SQRT(($B39-CC$5)^2+($C39-CC$6)^2+($D39-CC$7)^2)</f>
        <v>3.02719994109699</v>
      </c>
      <c r="CD39" s="74" t="n">
        <f aca="false">SQRT(($B39-CD$5)^2+($C39-CD$6)^2+($D39-CD$7)^2)</f>
        <v>3.04083973317411</v>
      </c>
      <c r="CE39" s="74" t="n">
        <f aca="false">SQRT(($B39-CE$5)^2+($C39-CE$6)^2+($D39-CE$7)^2)</f>
        <v>2.2230834487514</v>
      </c>
      <c r="CF39" s="74" t="n">
        <f aca="false">SQRT(($B39-CF$5)^2+($C39-CF$6)^2+($D39-CF$7)^2)</f>
        <v>1.85430376539835</v>
      </c>
      <c r="CG39" s="74" t="n">
        <f aca="false">SQRT(($B39-CG$5)^2+($C39-CG$6)^2+($D39-CG$7)^2)</f>
        <v>2.26042875776495</v>
      </c>
      <c r="CH39" s="74" t="n">
        <f aca="false">SQRT(($B39-CH$5)^2+($C39-CH$6)^2+($D39-CH$7)^2)</f>
        <v>2.52679708940442</v>
      </c>
      <c r="CI39" s="74" t="n">
        <f aca="false">SQRT(($B39-CI$5)^2+($C39-CI$6)^2+($D39-CI$7)^2)</f>
        <v>2.61952537845839</v>
      </c>
      <c r="CJ39" s="74" t="n">
        <f aca="false">SQRT(($B39-CJ$5)^2+($C39-CJ$6)^2+($D39-CJ$7)^2)</f>
        <v>2.85935792399656</v>
      </c>
      <c r="CK39" s="74" t="n">
        <f aca="false">SQRT(($B39-CK$5)^2+($C39-CK$6)^2+($D39-CK$7)^2)</f>
        <v>2.37198723022655</v>
      </c>
      <c r="CL39" s="74" t="n">
        <f aca="false">SQRT(($B39-CL$5)^2+($C39-CL$6)^2+($D39-CL$7)^2)</f>
        <v>3.14046829916485</v>
      </c>
      <c r="CM39" s="74" t="n">
        <f aca="false">SQRT(($B39-CM$5)^2+($C39-CM$6)^2+($D39-CM$7)^2)</f>
        <v>2.55472356923932</v>
      </c>
      <c r="CN39" s="74" t="n">
        <f aca="false">SQRT(($B39-CN$5)^2+($C39-CN$6)^2+($D39-CN$7)^2)</f>
        <v>1.82359311091912</v>
      </c>
      <c r="CO39" s="74" t="n">
        <f aca="false">SQRT(($B39-CO$5)^2+($C39-CO$6)^2+($D39-CO$7)^2)</f>
        <v>2.26862431797024</v>
      </c>
      <c r="CP39" s="74" t="n">
        <f aca="false">SQRT(($B39-CP$5)^2+($C39-CP$6)^2+($D39-CP$7)^2)</f>
        <v>3.18824492093245</v>
      </c>
      <c r="CQ39" s="74" t="n">
        <f aca="false">SQRT(($B39-CQ$5)^2+($C39-CQ$6)^2+($D39-CQ$7)^2)</f>
        <v>2.68853356625672</v>
      </c>
      <c r="CR39" s="74" t="n">
        <f aca="false">SQRT(($B39-CR$5)^2+($C39-CR$6)^2+($D39-CR$7)^2)</f>
        <v>2.66255466332461</v>
      </c>
      <c r="CS39" s="74" t="n">
        <f aca="false">SQRT(($B39-CS$5)^2+($C39-CS$6)^2+($D39-CS$7)^2)</f>
        <v>3.2287963636662</v>
      </c>
      <c r="CT39" s="74" t="n">
        <f aca="false">SQRT(($B39-CT$5)^2+($C39-CT$6)^2+($D39-CT$7)^2)</f>
        <v>3.25274723105696</v>
      </c>
      <c r="CU39" s="74" t="n">
        <f aca="false">SQRT(($B39-CU$5)^2+($C39-CU$6)^2+($D39-CU$7)^2)</f>
        <v>2.80199358940257</v>
      </c>
      <c r="CV39" s="74" t="n">
        <f aca="false">SQRT(($B39-CV$5)^2+($C39-CV$6)^2+($D39-CV$7)^2)</f>
        <v>2.3939546269563</v>
      </c>
      <c r="CW39" s="74" t="n">
        <f aca="false">SQRT(($B39-CW$5)^2+($C39-CW$6)^2+($D39-CW$7)^2)</f>
        <v>3.25274723105696</v>
      </c>
      <c r="CX39" s="74" t="n">
        <f aca="false">SQRT(($B39-CX$5)^2+($C39-CX$6)^2+($D39-CX$7)^2)</f>
        <v>2.57008920094835</v>
      </c>
      <c r="CY39" s="74" t="n">
        <f aca="false">SQRT(($B39-CY$5)^2+($C39-CY$6)^2+($D39-CY$7)^2)</f>
        <v>3.27989332053729</v>
      </c>
      <c r="CZ39" s="74" t="n">
        <f aca="false">SQRT(($B39-CZ$5)^2+($C39-CZ$6)^2+($D39-CZ$7)^2)</f>
        <v>3.27989332053729</v>
      </c>
      <c r="DA39" s="74" t="n">
        <f aca="false">SQRT(($B39-DA$5)^2+($C39-DA$6)^2+($D39-DA$7)^2)</f>
        <v>2.8383048478878</v>
      </c>
      <c r="DB39" s="74" t="n">
        <f aca="false">SQRT(($B39-DB$5)^2+($C39-DB$6)^2+($D39-DB$7)^2)</f>
        <v>3.31105183086326</v>
      </c>
      <c r="DC39" s="74" t="n">
        <f aca="false">SQRT(($B39-DC$5)^2+($C39-DC$6)^2+($D39-DC$7)^2)</f>
        <v>3.31105183086326</v>
      </c>
      <c r="DD39" s="74" t="n">
        <f aca="false">SQRT(($B39-DD$5)^2+($C39-DD$6)^2+($D39-DD$7)^2)</f>
        <v>2.95873810885322</v>
      </c>
      <c r="DE39" s="74" t="n">
        <f aca="false">SQRT(($B39-DE$5)^2+($C39-DE$6)^2+($D39-DE$7)^2)</f>
        <v>3.16894736634586</v>
      </c>
      <c r="DF39" s="74" t="n">
        <f aca="false">SQRT(($B39-DF$5)^2+($C39-DF$6)^2+($D39-DF$7)^2)</f>
        <v>3.51053930698811</v>
      </c>
      <c r="DG39" s="74" t="n">
        <f aca="false">SQRT(($B39-DG$5)^2+($C39-DG$6)^2+($D39-DG$7)^2)</f>
        <v>3.60071025366629</v>
      </c>
      <c r="DH39" s="74" t="n">
        <f aca="false">SQRT(($B39-DH$5)^2+($C39-DH$6)^2+($D39-DH$7)^2)</f>
        <v>3.60071025366629</v>
      </c>
      <c r="DI39" s="74" t="n">
        <f aca="false">SQRT(($B39-DI$5)^2+($C39-DI$6)^2+($D39-DI$7)^2)</f>
        <v>3.60071025366629</v>
      </c>
      <c r="DJ39" s="74" t="n">
        <f aca="false">SQRT(($B39-DJ$5)^2+($C39-DJ$6)^2+($D39-DJ$7)^2)</f>
        <v>3.60071025366629</v>
      </c>
      <c r="DK39" s="74" t="n">
        <f aca="false">SQRT(($B39-DK$5)^2+($C39-DK$6)^2+($D39-DK$7)^2)</f>
        <v>3.73430142540691</v>
      </c>
      <c r="DL39" s="74" t="n">
        <f aca="false">SQRT(($B39-DL$5)^2+($C39-DL$6)^2+($D39-DL$7)^2)</f>
        <v>3.73430142540691</v>
      </c>
      <c r="DM39" s="74" t="n">
        <f aca="false">SQRT(($B39-DM$5)^2+($C39-DM$6)^2+($D39-DM$7)^2)</f>
        <v>3.73430142540691</v>
      </c>
      <c r="DN39" s="74" t="n">
        <f aca="false">SQRT(($B39-DN$5)^2+($C39-DN$6)^2+($D39-DN$7)^2)</f>
        <v>3.73430142540691</v>
      </c>
      <c r="DO39" s="74" t="n">
        <f aca="false">SQRT(($B39-DO$5)^2+($C39-DO$6)^2+($D39-DO$7)^2)</f>
        <v>3.73430142540691</v>
      </c>
      <c r="DP39" s="74" t="n">
        <f aca="false">SQRT(($B39-DP$5)^2+($C39-DP$6)^2+($D39-DP$7)^2)</f>
        <v>3.97824420521485</v>
      </c>
      <c r="DQ39" s="74" t="n">
        <f aca="false">SQRT(($B39-DQ$5)^2+($C39-DQ$6)^2+($D39-DQ$7)^2)</f>
        <v>3.97824420521485</v>
      </c>
    </row>
    <row r="40" customFormat="false" ht="15" hidden="false" customHeight="false" outlineLevel="0" collapsed="false">
      <c r="A40" s="48" t="str">
        <f aca="false">KMeans_Data!A31</f>
        <v>Rawalpindi</v>
      </c>
      <c r="B40" s="72" t="n">
        <f aca="false">KMeans_Data!H31</f>
        <v>0.645673058648075</v>
      </c>
      <c r="C40" s="72" t="n">
        <f aca="false">KMeans_Data!I31</f>
        <v>-0.146983133929529</v>
      </c>
      <c r="D40" s="72" t="n">
        <f aca="false">KMeans_Data!J31</f>
        <v>-1.14564411633355</v>
      </c>
      <c r="E40" s="74" t="n">
        <f aca="false">SQRT(($B40-E$5)^2+($C40-E$6)^2+($D40-E$7)^2)</f>
        <v>6.61637996962902</v>
      </c>
      <c r="F40" s="74" t="n">
        <f aca="false">SQRT(($B40-F$5)^2+($C40-F$6)^2+($D40-F$7)^2)</f>
        <v>6.32026007457936</v>
      </c>
      <c r="G40" s="74" t="n">
        <f aca="false">SQRT(($B40-G$5)^2+($C40-G$6)^2+($D40-G$7)^2)</f>
        <v>4.61409614564319</v>
      </c>
      <c r="H40" s="74" t="n">
        <f aca="false">SQRT(($B40-H$5)^2+($C40-H$6)^2+($D40-H$7)^2)</f>
        <v>4.93989688451137</v>
      </c>
      <c r="I40" s="74" t="n">
        <f aca="false">SQRT(($B40-I$5)^2+($C40-I$6)^2+($D40-I$7)^2)</f>
        <v>3.9116800125412</v>
      </c>
      <c r="J40" s="74" t="n">
        <f aca="false">SQRT(($B40-J$5)^2+($C40-J$6)^2+($D40-J$7)^2)</f>
        <v>3.61620404102272</v>
      </c>
      <c r="K40" s="74" t="n">
        <f aca="false">SQRT(($B40-K$5)^2+($C40-K$6)^2+($D40-K$7)^2)</f>
        <v>0.824069226463199</v>
      </c>
      <c r="L40" s="74" t="n">
        <f aca="false">SQRT(($B40-L$5)^2+($C40-L$6)^2+($D40-L$7)^2)</f>
        <v>3.06233601395942</v>
      </c>
      <c r="M40" s="74" t="n">
        <f aca="false">SQRT(($B40-M$5)^2+($C40-M$6)^2+($D40-M$7)^2)</f>
        <v>3.2085676641039</v>
      </c>
      <c r="N40" s="74" t="n">
        <f aca="false">SQRT(($B40-N$5)^2+($C40-N$6)^2+($D40-N$7)^2)</f>
        <v>0.641992769976189</v>
      </c>
      <c r="O40" s="74" t="n">
        <f aca="false">SQRT(($B40-O$5)^2+($C40-O$6)^2+($D40-O$7)^2)</f>
        <v>2.72642732862461</v>
      </c>
      <c r="P40" s="74" t="n">
        <f aca="false">SQRT(($B40-P$5)^2+($C40-P$6)^2+($D40-P$7)^2)</f>
        <v>3.04111641100597</v>
      </c>
      <c r="Q40" s="74" t="n">
        <f aca="false">SQRT(($B40-Q$5)^2+($C40-Q$6)^2+($D40-Q$7)^2)</f>
        <v>2.53264581019291</v>
      </c>
      <c r="R40" s="74" t="n">
        <f aca="false">SQRT(($B40-R$5)^2+($C40-R$6)^2+($D40-R$7)^2)</f>
        <v>2.6969311940684</v>
      </c>
      <c r="S40" s="74" t="n">
        <f aca="false">SQRT(($B40-S$5)^2+($C40-S$6)^2+($D40-S$7)^2)</f>
        <v>2.34070556572108</v>
      </c>
      <c r="T40" s="74" t="n">
        <f aca="false">SQRT(($B40-T$5)^2+($C40-T$6)^2+($D40-T$7)^2)</f>
        <v>2.44946440401815</v>
      </c>
      <c r="U40" s="74" t="n">
        <f aca="false">SQRT(($B40-U$5)^2+($C40-U$6)^2+($D40-U$7)^2)</f>
        <v>2.78889715164164</v>
      </c>
      <c r="V40" s="74" t="n">
        <f aca="false">SQRT(($B40-V$5)^2+($C40-V$6)^2+($D40-V$7)^2)</f>
        <v>2.34297782200597</v>
      </c>
      <c r="W40" s="74" t="n">
        <f aca="false">SQRT(($B40-W$5)^2+($C40-W$6)^2+($D40-W$7)^2)</f>
        <v>2.58912117250698</v>
      </c>
      <c r="X40" s="74" t="n">
        <f aca="false">SQRT(($B40-X$5)^2+($C40-X$6)^2+($D40-X$7)^2)</f>
        <v>2.38824877056561</v>
      </c>
      <c r="Y40" s="74" t="n">
        <f aca="false">SQRT(($B40-Y$5)^2+($C40-Y$6)^2+($D40-Y$7)^2)</f>
        <v>2.59825809517442</v>
      </c>
      <c r="Z40" s="74" t="n">
        <f aca="false">SQRT(($B40-Z$5)^2+($C40-Z$6)^2+($D40-Z$7)^2)</f>
        <v>2.00843573506045</v>
      </c>
      <c r="AA40" s="74" t="n">
        <f aca="false">SQRT(($B40-AA$5)^2+($C40-AA$6)^2+($D40-AA$7)^2)</f>
        <v>2.13211842997744</v>
      </c>
      <c r="AB40" s="74" t="n">
        <f aca="false">SQRT(($B40-AB$5)^2+($C40-AB$6)^2+($D40-AB$7)^2)</f>
        <v>1.94630525174013</v>
      </c>
      <c r="AC40" s="74" t="n">
        <f aca="false">SQRT(($B40-AC$5)^2+($C40-AC$6)^2+($D40-AC$7)^2)</f>
        <v>2.42043390101077</v>
      </c>
      <c r="AD40" s="74" t="n">
        <f aca="false">SQRT(($B40-AD$5)^2+($C40-AD$6)^2+($D40-AD$7)^2)</f>
        <v>2.60433256477183</v>
      </c>
      <c r="AE40" s="74" t="n">
        <f aca="false">SQRT(($B40-AE$5)^2+($C40-AE$6)^2+($D40-AE$7)^2)</f>
        <v>0</v>
      </c>
      <c r="AF40" s="74" t="n">
        <f aca="false">SQRT(($B40-AF$5)^2+($C40-AF$6)^2+($D40-AF$7)^2)</f>
        <v>2.18445105600008</v>
      </c>
      <c r="AG40" s="74" t="n">
        <f aca="false">SQRT(($B40-AG$5)^2+($C40-AG$6)^2+($D40-AG$7)^2)</f>
        <v>0.914961899056731</v>
      </c>
      <c r="AH40" s="74" t="n">
        <f aca="false">SQRT(($B40-AH$5)^2+($C40-AH$6)^2+($D40-AH$7)^2)</f>
        <v>1.95274744651033</v>
      </c>
      <c r="AI40" s="74" t="n">
        <f aca="false">SQRT(($B40-AI$5)^2+($C40-AI$6)^2+($D40-AI$7)^2)</f>
        <v>0.915202205398665</v>
      </c>
      <c r="AJ40" s="74" t="n">
        <f aca="false">SQRT(($B40-AJ$5)^2+($C40-AJ$6)^2+($D40-AJ$7)^2)</f>
        <v>2.3648493912276</v>
      </c>
      <c r="AK40" s="74" t="n">
        <f aca="false">SQRT(($B40-AK$5)^2+($C40-AK$6)^2+($D40-AK$7)^2)</f>
        <v>1.53003121333998</v>
      </c>
      <c r="AL40" s="74" t="n">
        <f aca="false">SQRT(($B40-AL$5)^2+($C40-AL$6)^2+($D40-AL$7)^2)</f>
        <v>1.70527114410237</v>
      </c>
      <c r="AM40" s="74" t="n">
        <f aca="false">SQRT(($B40-AM$5)^2+($C40-AM$6)^2+($D40-AM$7)^2)</f>
        <v>2.11469804278425</v>
      </c>
      <c r="AN40" s="74" t="n">
        <f aca="false">SQRT(($B40-AN$5)^2+($C40-AN$6)^2+($D40-AN$7)^2)</f>
        <v>2.27765135589093</v>
      </c>
      <c r="AO40" s="74" t="n">
        <f aca="false">SQRT(($B40-AO$5)^2+($C40-AO$6)^2+($D40-AO$7)^2)</f>
        <v>1.77841988658411</v>
      </c>
      <c r="AP40" s="74" t="n">
        <f aca="false">SQRT(($B40-AP$5)^2+($C40-AP$6)^2+($D40-AP$7)^2)</f>
        <v>1.70365690541111</v>
      </c>
      <c r="AQ40" s="74" t="n">
        <f aca="false">SQRT(($B40-AQ$5)^2+($C40-AQ$6)^2+($D40-AQ$7)^2)</f>
        <v>2.28459260769186</v>
      </c>
      <c r="AR40" s="74" t="n">
        <f aca="false">SQRT(($B40-AR$5)^2+($C40-AR$6)^2+($D40-AR$7)^2)</f>
        <v>1.1395078316512</v>
      </c>
      <c r="AS40" s="74" t="n">
        <f aca="false">SQRT(($B40-AS$5)^2+($C40-AS$6)^2+($D40-AS$7)^2)</f>
        <v>2.24392796299193</v>
      </c>
      <c r="AT40" s="74" t="n">
        <f aca="false">SQRT(($B40-AT$5)^2+($C40-AT$6)^2+($D40-AT$7)^2)</f>
        <v>1.95559001345375</v>
      </c>
      <c r="AU40" s="74" t="n">
        <f aca="false">SQRT(($B40-AU$5)^2+($C40-AU$6)^2+($D40-AU$7)^2)</f>
        <v>0.637307822108715</v>
      </c>
      <c r="AV40" s="74" t="n">
        <f aca="false">SQRT(($B40-AV$5)^2+($C40-AV$6)^2+($D40-AV$7)^2)</f>
        <v>1.78474199217</v>
      </c>
      <c r="AW40" s="74" t="n">
        <f aca="false">SQRT(($B40-AW$5)^2+($C40-AW$6)^2+($D40-AW$7)^2)</f>
        <v>0.738369626853435</v>
      </c>
      <c r="AX40" s="74" t="n">
        <f aca="false">SQRT(($B40-AX$5)^2+($C40-AX$6)^2+($D40-AX$7)^2)</f>
        <v>1.61175911830142</v>
      </c>
      <c r="AY40" s="74" t="n">
        <f aca="false">SQRT(($B40-AY$5)^2+($C40-AY$6)^2+($D40-AY$7)^2)</f>
        <v>0.688536235872892</v>
      </c>
      <c r="AZ40" s="74" t="n">
        <f aca="false">SQRT(($B40-AZ$5)^2+($C40-AZ$6)^2+($D40-AZ$7)^2)</f>
        <v>2.2843954378858</v>
      </c>
      <c r="BA40" s="74" t="n">
        <f aca="false">SQRT(($B40-BA$5)^2+($C40-BA$6)^2+($D40-BA$7)^2)</f>
        <v>1.99319881835379</v>
      </c>
      <c r="BB40" s="74" t="n">
        <f aca="false">SQRT(($B40-BB$5)^2+($C40-BB$6)^2+($D40-BB$7)^2)</f>
        <v>0.692782629672915</v>
      </c>
      <c r="BC40" s="74" t="n">
        <f aca="false">SQRT(($B40-BC$5)^2+($C40-BC$6)^2+($D40-BC$7)^2)</f>
        <v>0.697119421223826</v>
      </c>
      <c r="BD40" s="74" t="n">
        <f aca="false">SQRT(($B40-BD$5)^2+($C40-BD$6)^2+($D40-BD$7)^2)</f>
        <v>0.957997101567507</v>
      </c>
      <c r="BE40" s="74" t="n">
        <f aca="false">SQRT(($B40-BE$5)^2+($C40-BE$6)^2+($D40-BE$7)^2)</f>
        <v>1.15405107167602</v>
      </c>
      <c r="BF40" s="74" t="n">
        <f aca="false">SQRT(($B40-BF$5)^2+($C40-BF$6)^2+($D40-BF$7)^2)</f>
        <v>2.50705797216509</v>
      </c>
      <c r="BG40" s="74" t="n">
        <f aca="false">SQRT(($B40-BG$5)^2+($C40-BG$6)^2+($D40-BG$7)^2)</f>
        <v>1.8461934608515</v>
      </c>
      <c r="BH40" s="74" t="n">
        <f aca="false">SQRT(($B40-BH$5)^2+($C40-BH$6)^2+($D40-BH$7)^2)</f>
        <v>0.768677089421903</v>
      </c>
      <c r="BI40" s="74" t="n">
        <f aca="false">SQRT(($B40-BI$5)^2+($C40-BI$6)^2+($D40-BI$7)^2)</f>
        <v>0.780815175351106</v>
      </c>
      <c r="BJ40" s="74" t="n">
        <f aca="false">SQRT(($B40-BJ$5)^2+($C40-BJ$6)^2+($D40-BJ$7)^2)</f>
        <v>1.4814138332876</v>
      </c>
      <c r="BK40" s="74" t="n">
        <f aca="false">SQRT(($B40-BK$5)^2+($C40-BK$6)^2+($D40-BK$7)^2)</f>
        <v>1.11435028622649</v>
      </c>
      <c r="BL40" s="74" t="n">
        <f aca="false">SQRT(($B40-BL$5)^2+($C40-BL$6)^2+($D40-BL$7)^2)</f>
        <v>1.72548050387342</v>
      </c>
      <c r="BM40" s="74" t="n">
        <f aca="false">SQRT(($B40-BM$5)^2+($C40-BM$6)^2+($D40-BM$7)^2)</f>
        <v>1.91265439138235</v>
      </c>
      <c r="BN40" s="74" t="n">
        <f aca="false">SQRT(($B40-BN$5)^2+($C40-BN$6)^2+($D40-BN$7)^2)</f>
        <v>1.40798608818062</v>
      </c>
      <c r="BO40" s="74" t="n">
        <f aca="false">SQRT(($B40-BO$5)^2+($C40-BO$6)^2+($D40-BO$7)^2)</f>
        <v>0.940425373676004</v>
      </c>
      <c r="BP40" s="74" t="n">
        <f aca="false">SQRT(($B40-BP$5)^2+($C40-BP$6)^2+($D40-BP$7)^2)</f>
        <v>1.62440504187555</v>
      </c>
      <c r="BQ40" s="74" t="n">
        <f aca="false">SQRT(($B40-BQ$5)^2+($C40-BQ$6)^2+($D40-BQ$7)^2)</f>
        <v>1.70406590633308</v>
      </c>
      <c r="BR40" s="74" t="n">
        <f aca="false">SQRT(($B40-BR$5)^2+($C40-BR$6)^2+($D40-BR$7)^2)</f>
        <v>1.75856295081393</v>
      </c>
      <c r="BS40" s="74" t="n">
        <f aca="false">SQRT(($B40-BS$5)^2+($C40-BS$6)^2+($D40-BS$7)^2)</f>
        <v>1.99604958037871</v>
      </c>
      <c r="BT40" s="74" t="n">
        <f aca="false">SQRT(($B40-BT$5)^2+($C40-BT$6)^2+($D40-BT$7)^2)</f>
        <v>1.67641112725911</v>
      </c>
      <c r="BU40" s="74" t="n">
        <f aca="false">SQRT(($B40-BU$5)^2+($C40-BU$6)^2+($D40-BU$7)^2)</f>
        <v>1.60971283394294</v>
      </c>
      <c r="BV40" s="74" t="n">
        <f aca="false">SQRT(($B40-BV$5)^2+($C40-BV$6)^2+($D40-BV$7)^2)</f>
        <v>1.04709505026299</v>
      </c>
      <c r="BW40" s="74" t="n">
        <f aca="false">SQRT(($B40-BW$5)^2+($C40-BW$6)^2+($D40-BW$7)^2)</f>
        <v>1.78250656143313</v>
      </c>
      <c r="BX40" s="74" t="n">
        <f aca="false">SQRT(($B40-BX$5)^2+($C40-BX$6)^2+($D40-BX$7)^2)</f>
        <v>1.06097677058026</v>
      </c>
      <c r="BY40" s="74" t="n">
        <f aca="false">SQRT(($B40-BY$5)^2+($C40-BY$6)^2+($D40-BY$7)^2)</f>
        <v>1.45506966145696</v>
      </c>
      <c r="BZ40" s="74" t="n">
        <f aca="false">SQRT(($B40-BZ$5)^2+($C40-BZ$6)^2+($D40-BZ$7)^2)</f>
        <v>1.42682406171352</v>
      </c>
      <c r="CA40" s="74" t="n">
        <f aca="false">SQRT(($B40-CA$5)^2+($C40-CA$6)^2+($D40-CA$7)^2)</f>
        <v>1.10577268549253</v>
      </c>
      <c r="CB40" s="74" t="n">
        <f aca="false">SQRT(($B40-CB$5)^2+($C40-CB$6)^2+($D40-CB$7)^2)</f>
        <v>1.43933878436837</v>
      </c>
      <c r="CC40" s="74" t="n">
        <f aca="false">SQRT(($B40-CC$5)^2+($C40-CC$6)^2+($D40-CC$7)^2)</f>
        <v>1.12187453179208</v>
      </c>
      <c r="CD40" s="74" t="n">
        <f aca="false">SQRT(($B40-CD$5)^2+($C40-CD$6)^2+($D40-CD$7)^2)</f>
        <v>1.15609059396551</v>
      </c>
      <c r="CE40" s="74" t="n">
        <f aca="false">SQRT(($B40-CE$5)^2+($C40-CE$6)^2+($D40-CE$7)^2)</f>
        <v>1.67084066197764</v>
      </c>
      <c r="CF40" s="74" t="n">
        <f aca="false">SQRT(($B40-CF$5)^2+($C40-CF$6)^2+($D40-CF$7)^2)</f>
        <v>1.65932671807592</v>
      </c>
      <c r="CG40" s="74" t="n">
        <f aca="false">SQRT(($B40-CG$5)^2+($C40-CG$6)^2+($D40-CG$7)^2)</f>
        <v>1.34277606092541</v>
      </c>
      <c r="CH40" s="74" t="n">
        <f aca="false">SQRT(($B40-CH$5)^2+($C40-CH$6)^2+($D40-CH$7)^2)</f>
        <v>1.4420033901708</v>
      </c>
      <c r="CI40" s="74" t="n">
        <f aca="false">SQRT(($B40-CI$5)^2+($C40-CI$6)^2+($D40-CI$7)^2)</f>
        <v>1.43145847046038</v>
      </c>
      <c r="CJ40" s="74" t="n">
        <f aca="false">SQRT(($B40-CJ$5)^2+($C40-CJ$6)^2+($D40-CJ$7)^2)</f>
        <v>1.3425907007716</v>
      </c>
      <c r="CK40" s="74" t="n">
        <f aca="false">SQRT(($B40-CK$5)^2+($C40-CK$6)^2+($D40-CK$7)^2)</f>
        <v>1.75371916113307</v>
      </c>
      <c r="CL40" s="74" t="n">
        <f aca="false">SQRT(($B40-CL$5)^2+($C40-CL$6)^2+($D40-CL$7)^2)</f>
        <v>1.38592130305499</v>
      </c>
      <c r="CM40" s="74" t="n">
        <f aca="false">SQRT(($B40-CM$5)^2+($C40-CM$6)^2+($D40-CM$7)^2)</f>
        <v>1.61559621010039</v>
      </c>
      <c r="CN40" s="74" t="n">
        <f aca="false">SQRT(($B40-CN$5)^2+($C40-CN$6)^2+($D40-CN$7)^2)</f>
        <v>2.23050732117871</v>
      </c>
      <c r="CO40" s="74" t="n">
        <f aca="false">SQRT(($B40-CO$5)^2+($C40-CO$6)^2+($D40-CO$7)^2)</f>
        <v>1.69168985842034</v>
      </c>
      <c r="CP40" s="74" t="n">
        <f aca="false">SQRT(($B40-CP$5)^2+($C40-CP$6)^2+($D40-CP$7)^2)</f>
        <v>1.48648135778614</v>
      </c>
      <c r="CQ40" s="74" t="n">
        <f aca="false">SQRT(($B40-CQ$5)^2+($C40-CQ$6)^2+($D40-CQ$7)^2)</f>
        <v>1.69806615345174</v>
      </c>
      <c r="CR40" s="74" t="n">
        <f aca="false">SQRT(($B40-CR$5)^2+($C40-CR$6)^2+($D40-CR$7)^2)</f>
        <v>1.77435806843142</v>
      </c>
      <c r="CS40" s="74" t="n">
        <f aca="false">SQRT(($B40-CS$5)^2+($C40-CS$6)^2+($D40-CS$7)^2)</f>
        <v>1.56811137971082</v>
      </c>
      <c r="CT40" s="74" t="n">
        <f aca="false">SQRT(($B40-CT$5)^2+($C40-CT$6)^2+($D40-CT$7)^2)</f>
        <v>1.6149328167294</v>
      </c>
      <c r="CU40" s="74" t="n">
        <f aca="false">SQRT(($B40-CU$5)^2+($C40-CU$6)^2+($D40-CU$7)^2)</f>
        <v>1.56040058792694</v>
      </c>
      <c r="CV40" s="74" t="n">
        <f aca="false">SQRT(($B40-CV$5)^2+($C40-CV$6)^2+($D40-CV$7)^2)</f>
        <v>2.14438242037396</v>
      </c>
      <c r="CW40" s="74" t="n">
        <f aca="false">SQRT(($B40-CW$5)^2+($C40-CW$6)^2+($D40-CW$7)^2)</f>
        <v>1.6149328167294</v>
      </c>
      <c r="CX40" s="74" t="n">
        <f aca="false">SQRT(($B40-CX$5)^2+($C40-CX$6)^2+($D40-CX$7)^2)</f>
        <v>2.00328941473561</v>
      </c>
      <c r="CY40" s="74" t="n">
        <f aca="false">SQRT(($B40-CY$5)^2+($C40-CY$6)^2+($D40-CY$7)^2)</f>
        <v>1.66687899013977</v>
      </c>
      <c r="CZ40" s="74" t="n">
        <f aca="false">SQRT(($B40-CZ$5)^2+($C40-CZ$6)^2+($D40-CZ$7)^2)</f>
        <v>1.66687899013977</v>
      </c>
      <c r="DA40" s="74" t="n">
        <f aca="false">SQRT(($B40-DA$5)^2+($C40-DA$6)^2+($D40-DA$7)^2)</f>
        <v>1.78638138331685</v>
      </c>
      <c r="DB40" s="74" t="n">
        <f aca="false">SQRT(($B40-DB$5)^2+($C40-DB$6)^2+($D40-DB$7)^2)</f>
        <v>1.72516170820429</v>
      </c>
      <c r="DC40" s="74" t="n">
        <f aca="false">SQRT(($B40-DC$5)^2+($C40-DC$6)^2+($D40-DC$7)^2)</f>
        <v>1.72516170820429</v>
      </c>
      <c r="DD40" s="74" t="n">
        <f aca="false">SQRT(($B40-DD$5)^2+($C40-DD$6)^2+($D40-DD$7)^2)</f>
        <v>1.7987085468487</v>
      </c>
      <c r="DE40" s="74" t="n">
        <f aca="false">SQRT(($B40-DE$5)^2+($C40-DE$6)^2+($D40-DE$7)^2)</f>
        <v>1.89573726078257</v>
      </c>
      <c r="DF40" s="74" t="n">
        <f aca="false">SQRT(($B40-DF$5)^2+($C40-DF$6)^2+($D40-DF$7)^2)</f>
        <v>2.07168696749508</v>
      </c>
      <c r="DG40" s="74" t="n">
        <f aca="false">SQRT(($B40-DG$5)^2+($C40-DG$6)^2+($D40-DG$7)^2)</f>
        <v>2.21684219622619</v>
      </c>
      <c r="DH40" s="74" t="n">
        <f aca="false">SQRT(($B40-DH$5)^2+($C40-DH$6)^2+($D40-DH$7)^2)</f>
        <v>2.21684219622619</v>
      </c>
      <c r="DI40" s="74" t="n">
        <f aca="false">SQRT(($B40-DI$5)^2+($C40-DI$6)^2+($D40-DI$7)^2)</f>
        <v>2.21684219622619</v>
      </c>
      <c r="DJ40" s="74" t="n">
        <f aca="false">SQRT(($B40-DJ$5)^2+($C40-DJ$6)^2+($D40-DJ$7)^2)</f>
        <v>2.21684219622619</v>
      </c>
      <c r="DK40" s="74" t="n">
        <f aca="false">SQRT(($B40-DK$5)^2+($C40-DK$6)^2+($D40-DK$7)^2)</f>
        <v>2.42237275698138</v>
      </c>
      <c r="DL40" s="74" t="n">
        <f aca="false">SQRT(($B40-DL$5)^2+($C40-DL$6)^2+($D40-DL$7)^2)</f>
        <v>2.42237275698138</v>
      </c>
      <c r="DM40" s="74" t="n">
        <f aca="false">SQRT(($B40-DM$5)^2+($C40-DM$6)^2+($D40-DM$7)^2)</f>
        <v>2.42237275698138</v>
      </c>
      <c r="DN40" s="74" t="n">
        <f aca="false">SQRT(($B40-DN$5)^2+($C40-DN$6)^2+($D40-DN$7)^2)</f>
        <v>2.42237275698138</v>
      </c>
      <c r="DO40" s="74" t="n">
        <f aca="false">SQRT(($B40-DO$5)^2+($C40-DO$6)^2+($D40-DO$7)^2)</f>
        <v>2.42237275698138</v>
      </c>
      <c r="DP40" s="74" t="n">
        <f aca="false">SQRT(($B40-DP$5)^2+($C40-DP$6)^2+($D40-DP$7)^2)</f>
        <v>2.77564255027266</v>
      </c>
      <c r="DQ40" s="74" t="n">
        <f aca="false">SQRT(($B40-DQ$5)^2+($C40-DQ$6)^2+($D40-DQ$7)^2)</f>
        <v>2.77564255027266</v>
      </c>
    </row>
    <row r="41" customFormat="false" ht="15" hidden="false" customHeight="false" outlineLevel="0" collapsed="false">
      <c r="A41" s="48" t="str">
        <f aca="false">KMeans_Data!A32</f>
        <v>Buner</v>
      </c>
      <c r="B41" s="72" t="n">
        <f aca="false">KMeans_Data!H32</f>
        <v>0.602395784980437</v>
      </c>
      <c r="C41" s="72" t="n">
        <f aca="false">KMeans_Data!I32</f>
        <v>0.686180001083741</v>
      </c>
      <c r="D41" s="72" t="n">
        <f aca="false">KMeans_Data!J32</f>
        <v>0.8732151368336</v>
      </c>
      <c r="E41" s="74" t="n">
        <f aca="false">SQRT(($B41-E$5)^2+($C41-E$6)^2+($D41-E$7)^2)</f>
        <v>4.90321696714872</v>
      </c>
      <c r="F41" s="74" t="n">
        <f aca="false">SQRT(($B41-F$5)^2+($C41-F$6)^2+($D41-F$7)^2)</f>
        <v>4.72466115228983</v>
      </c>
      <c r="G41" s="74" t="n">
        <f aca="false">SQRT(($B41-G$5)^2+($C41-G$6)^2+($D41-G$7)^2)</f>
        <v>2.81746046306955</v>
      </c>
      <c r="H41" s="74" t="n">
        <f aca="false">SQRT(($B41-H$5)^2+($C41-H$6)^2+($D41-H$7)^2)</f>
        <v>3.44879995261609</v>
      </c>
      <c r="I41" s="74" t="n">
        <f aca="false">SQRT(($B41-I$5)^2+($C41-I$6)^2+($D41-I$7)^2)</f>
        <v>2.24545211175181</v>
      </c>
      <c r="J41" s="74" t="n">
        <f aca="false">SQRT(($B41-J$5)^2+($C41-J$6)^2+($D41-J$7)^2)</f>
        <v>1.87239071935057</v>
      </c>
      <c r="K41" s="74" t="n">
        <f aca="false">SQRT(($B41-K$5)^2+($C41-K$6)^2+($D41-K$7)^2)</f>
        <v>1.92397321876738</v>
      </c>
      <c r="L41" s="74" t="n">
        <f aca="false">SQRT(($B41-L$5)^2+($C41-L$6)^2+($D41-L$7)^2)</f>
        <v>1.11053400021984</v>
      </c>
      <c r="M41" s="74" t="n">
        <f aca="false">SQRT(($B41-M$5)^2+($C41-M$6)^2+($D41-M$7)^2)</f>
        <v>1.17634714442438</v>
      </c>
      <c r="N41" s="74" t="n">
        <f aca="false">SQRT(($B41-N$5)^2+($C41-N$6)^2+($D41-N$7)^2)</f>
        <v>1.98373040217352</v>
      </c>
      <c r="O41" s="74" t="n">
        <f aca="false">SQRT(($B41-O$5)^2+($C41-O$6)^2+($D41-O$7)^2)</f>
        <v>0.962928960155002</v>
      </c>
      <c r="P41" s="74" t="n">
        <f aca="false">SQRT(($B41-P$5)^2+($C41-P$6)^2+($D41-P$7)^2)</f>
        <v>1.23805923572142</v>
      </c>
      <c r="Q41" s="74" t="n">
        <f aca="false">SQRT(($B41-Q$5)^2+($C41-Q$6)^2+($D41-Q$7)^2)</f>
        <v>0.575530813023589</v>
      </c>
      <c r="R41" s="74" t="n">
        <f aca="false">SQRT(($B41-R$5)^2+($C41-R$6)^2+($D41-R$7)^2)</f>
        <v>0.800226637856308</v>
      </c>
      <c r="S41" s="74" t="n">
        <f aca="false">SQRT(($B41-S$5)^2+($C41-S$6)^2+($D41-S$7)^2)</f>
        <v>0.971990261665404</v>
      </c>
      <c r="T41" s="74" t="n">
        <f aca="false">SQRT(($B41-T$5)^2+($C41-T$6)^2+($D41-T$7)^2)</f>
        <v>0.495580478294598</v>
      </c>
      <c r="U41" s="74" t="n">
        <f aca="false">SQRT(($B41-U$5)^2+($C41-U$6)^2+($D41-U$7)^2)</f>
        <v>0.822069459605311</v>
      </c>
      <c r="V41" s="74" t="n">
        <f aca="false">SQRT(($B41-V$5)^2+($C41-V$6)^2+($D41-V$7)^2)</f>
        <v>0.78144002422921</v>
      </c>
      <c r="W41" s="74" t="n">
        <f aca="false">SQRT(($B41-W$5)^2+($C41-W$6)^2+($D41-W$7)^2)</f>
        <v>0.740600368857084</v>
      </c>
      <c r="X41" s="74" t="n">
        <f aca="false">SQRT(($B41-X$5)^2+($C41-X$6)^2+($D41-X$7)^2)</f>
        <v>0.312532226691916</v>
      </c>
      <c r="Y41" s="74" t="n">
        <f aca="false">SQRT(($B41-Y$5)^2+($C41-Y$6)^2+($D41-Y$7)^2)</f>
        <v>0.45272438353488</v>
      </c>
      <c r="Z41" s="74" t="n">
        <f aca="false">SQRT(($B41-Z$5)^2+($C41-Z$6)^2+($D41-Z$7)^2)</f>
        <v>0.33497106749041</v>
      </c>
      <c r="AA41" s="74" t="n">
        <f aca="false">SQRT(($B41-AA$5)^2+($C41-AA$6)^2+($D41-AA$7)^2)</f>
        <v>0.562673438068504</v>
      </c>
      <c r="AB41" s="74" t="n">
        <f aca="false">SQRT(($B41-AB$5)^2+($C41-AB$6)^2+($D41-AB$7)^2)</f>
        <v>0.307212911602776</v>
      </c>
      <c r="AC41" s="74" t="n">
        <f aca="false">SQRT(($B41-AC$5)^2+($C41-AC$6)^2+($D41-AC$7)^2)</f>
        <v>0.727610876508779</v>
      </c>
      <c r="AD41" s="74" t="n">
        <f aca="false">SQRT(($B41-AD$5)^2+($C41-AD$6)^2+($D41-AD$7)^2)</f>
        <v>0.434787538045992</v>
      </c>
      <c r="AE41" s="74" t="n">
        <f aca="false">SQRT(($B41-AE$5)^2+($C41-AE$6)^2+($D41-AE$7)^2)</f>
        <v>2.18445105600008</v>
      </c>
      <c r="AF41" s="74" t="n">
        <f aca="false">SQRT(($B41-AF$5)^2+($C41-AF$6)^2+($D41-AF$7)^2)</f>
        <v>0</v>
      </c>
      <c r="AG41" s="74" t="n">
        <f aca="false">SQRT(($B41-AG$5)^2+($C41-AG$6)^2+($D41-AG$7)^2)</f>
        <v>1.86217893162304</v>
      </c>
      <c r="AH41" s="74" t="n">
        <f aca="false">SQRT(($B41-AH$5)^2+($C41-AH$6)^2+($D41-AH$7)^2)</f>
        <v>0.534169425790586</v>
      </c>
      <c r="AI41" s="74" t="n">
        <f aca="false">SQRT(($B41-AI$5)^2+($C41-AI$6)^2+($D41-AI$7)^2)</f>
        <v>1.86222348771322</v>
      </c>
      <c r="AJ41" s="74" t="n">
        <f aca="false">SQRT(($B41-AJ$5)^2+($C41-AJ$6)^2+($D41-AJ$7)^2)</f>
        <v>0.279309094540177</v>
      </c>
      <c r="AK41" s="74" t="n">
        <f aca="false">SQRT(($B41-AK$5)^2+($C41-AK$6)^2+($D41-AK$7)^2)</f>
        <v>0.665991810872393</v>
      </c>
      <c r="AL41" s="74" t="n">
        <f aca="false">SQRT(($B41-AL$5)^2+($C41-AL$6)^2+($D41-AL$7)^2)</f>
        <v>0.900649543337006</v>
      </c>
      <c r="AM41" s="74" t="n">
        <f aca="false">SQRT(($B41-AM$5)^2+($C41-AM$6)^2+($D41-AM$7)^2)</f>
        <v>0.903859218252863</v>
      </c>
      <c r="AN41" s="74" t="n">
        <f aca="false">SQRT(($B41-AN$5)^2+($C41-AN$6)^2+($D41-AN$7)^2)</f>
        <v>0.506954243385305</v>
      </c>
      <c r="AO41" s="74" t="n">
        <f aca="false">SQRT(($B41-AO$5)^2+($C41-AO$6)^2+($D41-AO$7)^2)</f>
        <v>0.483950284335235</v>
      </c>
      <c r="AP41" s="74" t="n">
        <f aca="false">SQRT(($B41-AP$5)^2+($C41-AP$6)^2+($D41-AP$7)^2)</f>
        <v>0.543189331246204</v>
      </c>
      <c r="AQ41" s="74" t="n">
        <f aca="false">SQRT(($B41-AQ$5)^2+($C41-AQ$6)^2+($D41-AQ$7)^2)</f>
        <v>0.664555220922491</v>
      </c>
      <c r="AR41" s="74" t="n">
        <f aca="false">SQRT(($B41-AR$5)^2+($C41-AR$6)^2+($D41-AR$7)^2)</f>
        <v>1.10794438242429</v>
      </c>
      <c r="AS41" s="74" t="n">
        <f aca="false">SQRT(($B41-AS$5)^2+($C41-AS$6)^2+($D41-AS$7)^2)</f>
        <v>1.39527018153548</v>
      </c>
      <c r="AT41" s="74" t="n">
        <f aca="false">SQRT(($B41-AT$5)^2+($C41-AT$6)^2+($D41-AT$7)^2)</f>
        <v>0.901102111287289</v>
      </c>
      <c r="AU41" s="74" t="n">
        <f aca="false">SQRT(($B41-AU$5)^2+($C41-AU$6)^2+($D41-AU$7)^2)</f>
        <v>1.75762718358382</v>
      </c>
      <c r="AV41" s="74" t="n">
        <f aca="false">SQRT(($B41-AV$5)^2+($C41-AV$6)^2+($D41-AV$7)^2)</f>
        <v>1.44722537971028</v>
      </c>
      <c r="AW41" s="74" t="n">
        <f aca="false">SQRT(($B41-AW$5)^2+($C41-AW$6)^2+($D41-AW$7)^2)</f>
        <v>2.20472433773237</v>
      </c>
      <c r="AX41" s="74" t="n">
        <f aca="false">SQRT(($B41-AX$5)^2+($C41-AX$6)^2+($D41-AX$7)^2)</f>
        <v>0.809195170168598</v>
      </c>
      <c r="AY41" s="74" t="n">
        <f aca="false">SQRT(($B41-AY$5)^2+($C41-AY$6)^2+($D41-AY$7)^2)</f>
        <v>2.46644509063117</v>
      </c>
      <c r="AZ41" s="74" t="n">
        <f aca="false">SQRT(($B41-AZ$5)^2+($C41-AZ$6)^2+($D41-AZ$7)^2)</f>
        <v>1.4258104305311</v>
      </c>
      <c r="BA41" s="74" t="n">
        <f aca="false">SQRT(($B41-BA$5)^2+($C41-BA$6)^2+($D41-BA$7)^2)</f>
        <v>0.930908445755733</v>
      </c>
      <c r="BB41" s="74" t="n">
        <f aca="false">SQRT(($B41-BB$5)^2+($C41-BB$6)^2+($D41-BB$7)^2)</f>
        <v>2.46751906716384</v>
      </c>
      <c r="BC41" s="74" t="n">
        <f aca="false">SQRT(($B41-BC$5)^2+($C41-BC$6)^2+($D41-BC$7)^2)</f>
        <v>2.46862394489722</v>
      </c>
      <c r="BD41" s="74" t="n">
        <f aca="false">SQRT(($B41-BD$5)^2+($C41-BD$6)^2+($D41-BD$7)^2)</f>
        <v>1.98249974932987</v>
      </c>
      <c r="BE41" s="74" t="n">
        <f aca="false">SQRT(($B41-BE$5)^2+($C41-BE$6)^2+($D41-BE$7)^2)</f>
        <v>1.81551601602614</v>
      </c>
      <c r="BF41" s="74" t="n">
        <f aca="false">SQRT(($B41-BF$5)^2+($C41-BF$6)^2+($D41-BF$7)^2)</f>
        <v>0.845244446018128</v>
      </c>
      <c r="BG41" s="74" t="n">
        <f aca="false">SQRT(($B41-BG$5)^2+($C41-BG$6)^2+($D41-BG$7)^2)</f>
        <v>1.00532303081166</v>
      </c>
      <c r="BH41" s="74" t="n">
        <f aca="false">SQRT(($B41-BH$5)^2+($C41-BH$6)^2+($D41-BH$7)^2)</f>
        <v>2.48798739958835</v>
      </c>
      <c r="BI41" s="74" t="n">
        <f aca="false">SQRT(($B41-BI$5)^2+($C41-BI$6)^2+($D41-BI$7)^2)</f>
        <v>2.49147725700466</v>
      </c>
      <c r="BJ41" s="74" t="n">
        <f aca="false">SQRT(($B41-BJ$5)^2+($C41-BJ$6)^2+($D41-BJ$7)^2)</f>
        <v>1.05136408980083</v>
      </c>
      <c r="BK41" s="74" t="n">
        <f aca="false">SQRT(($B41-BK$5)^2+($C41-BK$6)^2+($D41-BK$7)^2)</f>
        <v>1.95520848522362</v>
      </c>
      <c r="BL41" s="74" t="n">
        <f aca="false">SQRT(($B41-BL$5)^2+($C41-BL$6)^2+($D41-BL$7)^2)</f>
        <v>1.57251722445622</v>
      </c>
      <c r="BM41" s="74" t="n">
        <f aca="false">SQRT(($B41-BM$5)^2+($C41-BM$6)^2+($D41-BM$7)^2)</f>
        <v>0.749116034994393</v>
      </c>
      <c r="BN41" s="74" t="n">
        <f aca="false">SQRT(($B41-BN$5)^2+($C41-BN$6)^2+($D41-BN$7)^2)</f>
        <v>1.17604045430726</v>
      </c>
      <c r="BO41" s="74" t="n">
        <f aca="false">SQRT(($B41-BO$5)^2+($C41-BO$6)^2+($D41-BO$7)^2)</f>
        <v>2.2745877425809</v>
      </c>
      <c r="BP41" s="74" t="n">
        <f aca="false">SQRT(($B41-BP$5)^2+($C41-BP$6)^2+($D41-BP$7)^2)</f>
        <v>1.06643812797149</v>
      </c>
      <c r="BQ41" s="74" t="n">
        <f aca="false">SQRT(($B41-BQ$5)^2+($C41-BQ$6)^2+($D41-BQ$7)^2)</f>
        <v>1.20149703069517</v>
      </c>
      <c r="BR41" s="74" t="n">
        <f aca="false">SQRT(($B41-BR$5)^2+($C41-BR$6)^2+($D41-BR$7)^2)</f>
        <v>1.19710839825312</v>
      </c>
      <c r="BS41" s="74" t="n">
        <f aca="false">SQRT(($B41-BS$5)^2+($C41-BS$6)^2+($D41-BS$7)^2)</f>
        <v>1.58863257751907</v>
      </c>
      <c r="BT41" s="74" t="n">
        <f aca="false">SQRT(($B41-BT$5)^2+($C41-BT$6)^2+($D41-BT$7)^2)</f>
        <v>1.72500563056731</v>
      </c>
      <c r="BU41" s="74" t="n">
        <f aca="false">SQRT(($B41-BU$5)^2+($C41-BU$6)^2+($D41-BU$7)^2)</f>
        <v>1.75999910883592</v>
      </c>
      <c r="BV41" s="74" t="n">
        <f aca="false">SQRT(($B41-BV$5)^2+($C41-BV$6)^2+($D41-BV$7)^2)</f>
        <v>2.58181825292299</v>
      </c>
      <c r="BW41" s="74" t="n">
        <f aca="false">SQRT(($B41-BW$5)^2+($C41-BW$6)^2+($D41-BW$7)^2)</f>
        <v>1.7210027538251</v>
      </c>
      <c r="BX41" s="74" t="n">
        <f aca="false">SQRT(($B41-BX$5)^2+($C41-BX$6)^2+($D41-BX$7)^2)</f>
        <v>2.58721141785155</v>
      </c>
      <c r="BY41" s="74" t="n">
        <f aca="false">SQRT(($B41-BY$5)^2+($C41-BY$6)^2+($D41-BY$7)^2)</f>
        <v>1.94720029550395</v>
      </c>
      <c r="BZ41" s="74" t="n">
        <f aca="false">SQRT(($B41-BZ$5)^2+($C41-BZ$6)^2+($D41-BZ$7)^2)</f>
        <v>1.98959890198928</v>
      </c>
      <c r="CA41" s="74" t="n">
        <f aca="false">SQRT(($B41-CA$5)^2+($C41-CA$6)^2+($D41-CA$7)^2)</f>
        <v>2.60505082742877</v>
      </c>
      <c r="CB41" s="74" t="n">
        <f aca="false">SQRT(($B41-CB$5)^2+($C41-CB$6)^2+($D41-CB$7)^2)</f>
        <v>1.99819723585831</v>
      </c>
      <c r="CC41" s="74" t="n">
        <f aca="false">SQRT(($B41-CC$5)^2+($C41-CC$6)^2+($D41-CC$7)^2)</f>
        <v>2.61162367428428</v>
      </c>
      <c r="CD41" s="74" t="n">
        <f aca="false">SQRT(($B41-CD$5)^2+($C41-CD$6)^2+($D41-CD$7)^2)</f>
        <v>2.62586799343572</v>
      </c>
      <c r="CE41" s="74" t="n">
        <f aca="false">SQRT(($B41-CE$5)^2+($C41-CE$6)^2+($D41-CE$7)^2)</f>
        <v>1.88399863129129</v>
      </c>
      <c r="CF41" s="74" t="n">
        <f aca="false">SQRT(($B41-CF$5)^2+($C41-CF$6)^2+($D41-CF$7)^2)</f>
        <v>1.49889028443162</v>
      </c>
      <c r="CG41" s="74" t="n">
        <f aca="false">SQRT(($B41-CG$5)^2+($C41-CG$6)^2+($D41-CG$7)^2)</f>
        <v>1.8619612694745</v>
      </c>
      <c r="CH41" s="74" t="n">
        <f aca="false">SQRT(($B41-CH$5)^2+($C41-CH$6)^2+($D41-CH$7)^2)</f>
        <v>2.14922297900972</v>
      </c>
      <c r="CI41" s="74" t="n">
        <f aca="false">SQRT(($B41-CI$5)^2+($C41-CI$6)^2+($D41-CI$7)^2)</f>
        <v>2.23653220890642</v>
      </c>
      <c r="CJ41" s="74" t="n">
        <f aca="false">SQRT(($B41-CJ$5)^2+($C41-CJ$6)^2+($D41-CJ$7)^2)</f>
        <v>2.45970517723739</v>
      </c>
      <c r="CK41" s="74" t="n">
        <f aca="false">SQRT(($B41-CK$5)^2+($C41-CK$6)^2+($D41-CK$7)^2)</f>
        <v>2.03186237458094</v>
      </c>
      <c r="CL41" s="74" t="n">
        <f aca="false">SQRT(($B41-CL$5)^2+($C41-CL$6)^2+($D41-CL$7)^2)</f>
        <v>2.73085031655973</v>
      </c>
      <c r="CM41" s="74" t="n">
        <f aca="false">SQRT(($B41-CM$5)^2+($C41-CM$6)^2+($D41-CM$7)^2)</f>
        <v>2.18962540537187</v>
      </c>
      <c r="CN41" s="74" t="n">
        <f aca="false">SQRT(($B41-CN$5)^2+($C41-CN$6)^2+($D41-CN$7)^2)</f>
        <v>1.57048738212444</v>
      </c>
      <c r="CO41" s="74" t="n">
        <f aca="false">SQRT(($B41-CO$5)^2+($C41-CO$6)^2+($D41-CO$7)^2)</f>
        <v>1.90330508716644</v>
      </c>
      <c r="CP41" s="74" t="n">
        <f aca="false">SQRT(($B41-CP$5)^2+($C41-CP$6)^2+($D41-CP$7)^2)</f>
        <v>2.78155324679981</v>
      </c>
      <c r="CQ41" s="74" t="n">
        <f aca="false">SQRT(($B41-CQ$5)^2+($C41-CQ$6)^2+($D41-CQ$7)^2)</f>
        <v>2.32290948114035</v>
      </c>
      <c r="CR41" s="74" t="n">
        <f aca="false">SQRT(($B41-CR$5)^2+($C41-CR$6)^2+($D41-CR$7)^2)</f>
        <v>2.30559651154259</v>
      </c>
      <c r="CS41" s="74" t="n">
        <f aca="false">SQRT(($B41-CS$5)^2+($C41-CS$6)^2+($D41-CS$7)^2)</f>
        <v>2.82468747114469</v>
      </c>
      <c r="CT41" s="74" t="n">
        <f aca="false">SQRT(($B41-CT$5)^2+($C41-CT$6)^2+($D41-CT$7)^2)</f>
        <v>2.85019304263146</v>
      </c>
      <c r="CU41" s="74" t="n">
        <f aca="false">SQRT(($B41-CU$5)^2+($C41-CU$6)^2+($D41-CU$7)^2)</f>
        <v>2.40366416980044</v>
      </c>
      <c r="CV41" s="74" t="n">
        <f aca="false">SQRT(($B41-CV$5)^2+($C41-CV$6)^2+($D41-CV$7)^2)</f>
        <v>2.1017942029661</v>
      </c>
      <c r="CW41" s="74" t="n">
        <f aca="false">SQRT(($B41-CW$5)^2+($C41-CW$6)^2+($D41-CW$7)^2)</f>
        <v>2.85019304263146</v>
      </c>
      <c r="CX41" s="74" t="n">
        <f aca="false">SQRT(($B41-CX$5)^2+($C41-CX$6)^2+($D41-CX$7)^2)</f>
        <v>2.24442678753506</v>
      </c>
      <c r="CY41" s="74" t="n">
        <f aca="false">SQRT(($B41-CY$5)^2+($C41-CY$6)^2+($D41-CY$7)^2)</f>
        <v>2.87911992711083</v>
      </c>
      <c r="CZ41" s="74" t="n">
        <f aca="false">SQRT(($B41-CZ$5)^2+($C41-CZ$6)^2+($D41-CZ$7)^2)</f>
        <v>2.87911992711083</v>
      </c>
      <c r="DA41" s="74" t="n">
        <f aca="false">SQRT(($B41-DA$5)^2+($C41-DA$6)^2+($D41-DA$7)^2)</f>
        <v>2.47147514754416</v>
      </c>
      <c r="DB41" s="74" t="n">
        <f aca="false">SQRT(($B41-DB$5)^2+($C41-DB$6)^2+($D41-DB$7)^2)</f>
        <v>2.91233976261172</v>
      </c>
      <c r="DC41" s="74" t="n">
        <f aca="false">SQRT(($B41-DC$5)^2+($C41-DC$6)^2+($D41-DC$7)^2)</f>
        <v>2.91233976261172</v>
      </c>
      <c r="DD41" s="74" t="n">
        <f aca="false">SQRT(($B41-DD$5)^2+($C41-DD$6)^2+($D41-DD$7)^2)</f>
        <v>2.58560295343909</v>
      </c>
      <c r="DE41" s="74" t="n">
        <f aca="false">SQRT(($B41-DE$5)^2+($C41-DE$6)^2+($D41-DE$7)^2)</f>
        <v>2.79096621582771</v>
      </c>
      <c r="DF41" s="74" t="n">
        <f aca="false">SQRT(($B41-DF$5)^2+($C41-DF$6)^2+($D41-DF$7)^2)</f>
        <v>3.12509219783451</v>
      </c>
      <c r="DG41" s="74" t="n">
        <f aca="false">SQRT(($B41-DG$5)^2+($C41-DG$6)^2+($D41-DG$7)^2)</f>
        <v>3.22114015117449</v>
      </c>
      <c r="DH41" s="74" t="n">
        <f aca="false">SQRT(($B41-DH$5)^2+($C41-DH$6)^2+($D41-DH$7)^2)</f>
        <v>3.22114015117449</v>
      </c>
      <c r="DI41" s="74" t="n">
        <f aca="false">SQRT(($B41-DI$5)^2+($C41-DI$6)^2+($D41-DI$7)^2)</f>
        <v>3.22114015117449</v>
      </c>
      <c r="DJ41" s="74" t="n">
        <f aca="false">SQRT(($B41-DJ$5)^2+($C41-DJ$6)^2+($D41-DJ$7)^2)</f>
        <v>3.22114015117449</v>
      </c>
      <c r="DK41" s="74" t="n">
        <f aca="false">SQRT(($B41-DK$5)^2+($C41-DK$6)^2+($D41-DK$7)^2)</f>
        <v>3.36317982089643</v>
      </c>
      <c r="DL41" s="74" t="n">
        <f aca="false">SQRT(($B41-DL$5)^2+($C41-DL$6)^2+($D41-DL$7)^2)</f>
        <v>3.36317982089643</v>
      </c>
      <c r="DM41" s="74" t="n">
        <f aca="false">SQRT(($B41-DM$5)^2+($C41-DM$6)^2+($D41-DM$7)^2)</f>
        <v>3.36317982089643</v>
      </c>
      <c r="DN41" s="74" t="n">
        <f aca="false">SQRT(($B41-DN$5)^2+($C41-DN$6)^2+($D41-DN$7)^2)</f>
        <v>3.36317982089643</v>
      </c>
      <c r="DO41" s="74" t="n">
        <f aca="false">SQRT(($B41-DO$5)^2+($C41-DO$6)^2+($D41-DO$7)^2)</f>
        <v>3.36317982089643</v>
      </c>
      <c r="DP41" s="74" t="n">
        <f aca="false">SQRT(($B41-DP$5)^2+($C41-DP$6)^2+($D41-DP$7)^2)</f>
        <v>3.62160940481517</v>
      </c>
      <c r="DQ41" s="74" t="n">
        <f aca="false">SQRT(($B41-DQ$5)^2+($C41-DQ$6)^2+($D41-DQ$7)^2)</f>
        <v>3.62160940481517</v>
      </c>
    </row>
    <row r="42" customFormat="false" ht="15" hidden="false" customHeight="false" outlineLevel="0" collapsed="false">
      <c r="A42" s="48" t="str">
        <f aca="false">KMeans_Data!A33</f>
        <v>Sargodha</v>
      </c>
      <c r="B42" s="72" t="n">
        <f aca="false">KMeans_Data!H33</f>
        <v>0.577753548760862</v>
      </c>
      <c r="C42" s="72" t="n">
        <f aca="false">KMeans_Data!I33</f>
        <v>-0.672650545388274</v>
      </c>
      <c r="D42" s="72" t="n">
        <f aca="false">KMeans_Data!J33</f>
        <v>-0.399845222909568</v>
      </c>
      <c r="E42" s="74" t="n">
        <f aca="false">SQRT(($B42-E$5)^2+($C42-E$6)^2+($D42-E$7)^2)</f>
        <v>6.54299969229988</v>
      </c>
      <c r="F42" s="74" t="n">
        <f aca="false">SQRT(($B42-F$5)^2+($C42-F$6)^2+($D42-F$7)^2)</f>
        <v>6.32094180943099</v>
      </c>
      <c r="G42" s="74" t="n">
        <f aca="false">SQRT(($B42-G$5)^2+($C42-G$6)^2+($D42-G$7)^2)</f>
        <v>4.43616102073839</v>
      </c>
      <c r="H42" s="74" t="n">
        <f aca="false">SQRT(($B42-H$5)^2+($C42-H$6)^2+($D42-H$7)^2)</f>
        <v>5.02143181151975</v>
      </c>
      <c r="I42" s="74" t="n">
        <f aca="false">SQRT(($B42-I$5)^2+($C42-I$6)^2+($D42-I$7)^2)</f>
        <v>3.79902821727031</v>
      </c>
      <c r="J42" s="74" t="n">
        <f aca="false">SQRT(($B42-J$5)^2+($C42-J$6)^2+($D42-J$7)^2)</f>
        <v>3.55912636897328</v>
      </c>
      <c r="K42" s="74" t="n">
        <f aca="false">SQRT(($B42-K$5)^2+($C42-K$6)^2+($D42-K$7)^2)</f>
        <v>1.20609867977001</v>
      </c>
      <c r="L42" s="74" t="n">
        <f aca="false">SQRT(($B42-L$5)^2+($C42-L$6)^2+($D42-L$7)^2)</f>
        <v>2.62716143403684</v>
      </c>
      <c r="M42" s="74" t="n">
        <f aca="false">SQRT(($B42-M$5)^2+($C42-M$6)^2+($D42-M$7)^2)</f>
        <v>2.89933074302199</v>
      </c>
      <c r="N42" s="74" t="n">
        <f aca="false">SQRT(($B42-N$5)^2+($C42-N$6)^2+($D42-N$7)^2)</f>
        <v>0.919630277647348</v>
      </c>
      <c r="O42" s="74" t="n">
        <f aca="false">SQRT(($B42-O$5)^2+($C42-O$6)^2+($D42-O$7)^2)</f>
        <v>2.61936794316124</v>
      </c>
      <c r="P42" s="74" t="n">
        <f aca="false">SQRT(($B42-P$5)^2+($C42-P$6)^2+($D42-P$7)^2)</f>
        <v>2.95217887025559</v>
      </c>
      <c r="Q42" s="74" t="n">
        <f aca="false">SQRT(($B42-Q$5)^2+($C42-Q$6)^2+($D42-Q$7)^2)</f>
        <v>2.27685483225377</v>
      </c>
      <c r="R42" s="74" t="n">
        <f aca="false">SQRT(($B42-R$5)^2+($C42-R$6)^2+($D42-R$7)^2)</f>
        <v>2.19416414393801</v>
      </c>
      <c r="S42" s="74" t="n">
        <f aca="false">SQRT(($B42-S$5)^2+($C42-S$6)^2+($D42-S$7)^2)</f>
        <v>1.70760062049199</v>
      </c>
      <c r="T42" s="74" t="n">
        <f aca="false">SQRT(($B42-T$5)^2+($C42-T$6)^2+($D42-T$7)^2)</f>
        <v>2.2098956091832</v>
      </c>
      <c r="U42" s="74" t="n">
        <f aca="false">SQRT(($B42-U$5)^2+($C42-U$6)^2+($D42-U$7)^2)</f>
        <v>2.26478640996759</v>
      </c>
      <c r="V42" s="74" t="n">
        <f aca="false">SQRT(($B42-V$5)^2+($C42-V$6)^2+($D42-V$7)^2)</f>
        <v>2.30872820173589</v>
      </c>
      <c r="W42" s="74" t="n">
        <f aca="false">SQRT(($B42-W$5)^2+($C42-W$6)^2+($D42-W$7)^2)</f>
        <v>2.4642647703297</v>
      </c>
      <c r="X42" s="74" t="n">
        <f aca="false">SQRT(($B42-X$5)^2+($C42-X$6)^2+($D42-X$7)^2)</f>
        <v>2.07633445227118</v>
      </c>
      <c r="Y42" s="74" t="n">
        <f aca="false">SQRT(($B42-Y$5)^2+($C42-Y$6)^2+($D42-Y$7)^2)</f>
        <v>2.23735624317745</v>
      </c>
      <c r="Z42" s="74" t="n">
        <f aca="false">SQRT(($B42-Z$5)^2+($C42-Z$6)^2+($D42-Z$7)^2)</f>
        <v>1.80490474667626</v>
      </c>
      <c r="AA42" s="74" t="n">
        <f aca="false">SQRT(($B42-AA$5)^2+($C42-AA$6)^2+($D42-AA$7)^2)</f>
        <v>1.60772973807953</v>
      </c>
      <c r="AB42" s="74" t="n">
        <f aca="false">SQRT(($B42-AB$5)^2+($C42-AB$6)^2+($D42-AB$7)^2)</f>
        <v>1.63419289806545</v>
      </c>
      <c r="AC42" s="74" t="n">
        <f aca="false">SQRT(($B42-AC$5)^2+($C42-AC$6)^2+($D42-AC$7)^2)</f>
        <v>2.35019231505366</v>
      </c>
      <c r="AD42" s="74" t="n">
        <f aca="false">SQRT(($B42-AD$5)^2+($C42-AD$6)^2+($D42-AD$7)^2)</f>
        <v>2.23860042457576</v>
      </c>
      <c r="AE42" s="74" t="n">
        <f aca="false">SQRT(($B42-AE$5)^2+($C42-AE$6)^2+($D42-AE$7)^2)</f>
        <v>0.914961899056731</v>
      </c>
      <c r="AF42" s="74" t="n">
        <f aca="false">SQRT(($B42-AF$5)^2+($C42-AF$6)^2+($D42-AF$7)^2)</f>
        <v>1.86217893162304</v>
      </c>
      <c r="AG42" s="74" t="n">
        <f aca="false">SQRT(($B42-AG$5)^2+($C42-AG$6)^2+($D42-AG$7)^2)</f>
        <v>0</v>
      </c>
      <c r="AH42" s="74" t="n">
        <f aca="false">SQRT(($B42-AH$5)^2+($C42-AH$6)^2+($D42-AH$7)^2)</f>
        <v>1.44562874020709</v>
      </c>
      <c r="AI42" s="74" t="n">
        <f aca="false">SQRT(($B42-AI$5)^2+($C42-AI$6)^2+($D42-AI$7)^2)</f>
        <v>0.00316396121824469</v>
      </c>
      <c r="AJ42" s="74" t="n">
        <f aca="false">SQRT(($B42-AJ$5)^2+($C42-AJ$6)^2+($D42-AJ$7)^2)</f>
        <v>1.94422472583705</v>
      </c>
      <c r="AK42" s="74" t="n">
        <f aca="false">SQRT(($B42-AK$5)^2+($C42-AK$6)^2+($D42-AK$7)^2)</f>
        <v>1.25650388295188</v>
      </c>
      <c r="AL42" s="74" t="n">
        <f aca="false">SQRT(($B42-AL$5)^2+($C42-AL$6)^2+($D42-AL$7)^2)</f>
        <v>1.09133756455414</v>
      </c>
      <c r="AM42" s="74" t="n">
        <f aca="false">SQRT(($B42-AM$5)^2+($C42-AM$6)^2+($D42-AM$7)^2)</f>
        <v>2.17405438603717</v>
      </c>
      <c r="AN42" s="74" t="n">
        <f aca="false">SQRT(($B42-AN$5)^2+($C42-AN$6)^2+($D42-AN$7)^2)</f>
        <v>2.13908526601731</v>
      </c>
      <c r="AO42" s="74" t="n">
        <f aca="false">SQRT(($B42-AO$5)^2+($C42-AO$6)^2+($D42-AO$7)^2)</f>
        <v>1.41755308735323</v>
      </c>
      <c r="AP42" s="74" t="n">
        <f aca="false">SQRT(($B42-AP$5)^2+($C42-AP$6)^2+($D42-AP$7)^2)</f>
        <v>1.36650653389454</v>
      </c>
      <c r="AQ42" s="74" t="n">
        <f aca="false">SQRT(($B42-AQ$5)^2+($C42-AQ$6)^2+($D42-AQ$7)^2)</f>
        <v>2.2068668422753</v>
      </c>
      <c r="AR42" s="74" t="n">
        <f aca="false">SQRT(($B42-AR$5)^2+($C42-AR$6)^2+($D42-AR$7)^2)</f>
        <v>0.912487901256357</v>
      </c>
      <c r="AS42" s="74" t="n">
        <f aca="false">SQRT(($B42-AS$5)^2+($C42-AS$6)^2+($D42-AS$7)^2)</f>
        <v>1.43467780420576</v>
      </c>
      <c r="AT42" s="74" t="n">
        <f aca="false">SQRT(($B42-AT$5)^2+($C42-AT$6)^2+($D42-AT$7)^2)</f>
        <v>1.32183825879506</v>
      </c>
      <c r="AU42" s="74" t="n">
        <f aca="false">SQRT(($B42-AU$5)^2+($C42-AU$6)^2+($D42-AU$7)^2)</f>
        <v>0.657178494111924</v>
      </c>
      <c r="AV42" s="74" t="n">
        <f aca="false">SQRT(($B42-AV$5)^2+($C42-AV$6)^2+($D42-AV$7)^2)</f>
        <v>0.969553593970183</v>
      </c>
      <c r="AW42" s="74" t="n">
        <f aca="false">SQRT(($B42-AW$5)^2+($C42-AW$6)^2+($D42-AW$7)^2)</f>
        <v>0.543415082432949</v>
      </c>
      <c r="AX42" s="74" t="n">
        <f aca="false">SQRT(($B42-AX$5)^2+($C42-AX$6)^2+($D42-AX$7)^2)</f>
        <v>1.19332464291005</v>
      </c>
      <c r="AY42" s="74" t="n">
        <f aca="false">SQRT(($B42-AY$5)^2+($C42-AY$6)^2+($D42-AY$7)^2)</f>
        <v>0.835570277793497</v>
      </c>
      <c r="AZ42" s="74" t="n">
        <f aca="false">SQRT(($B42-AZ$5)^2+($C42-AZ$6)^2+($D42-AZ$7)^2)</f>
        <v>1.4810873146242</v>
      </c>
      <c r="BA42" s="74" t="n">
        <f aca="false">SQRT(($B42-BA$5)^2+($C42-BA$6)^2+($D42-BA$7)^2)</f>
        <v>1.36119094871206</v>
      </c>
      <c r="BB42" s="74" t="n">
        <f aca="false">SQRT(($B42-BB$5)^2+($C42-BB$6)^2+($D42-BB$7)^2)</f>
        <v>0.838542778499086</v>
      </c>
      <c r="BC42" s="74" t="n">
        <f aca="false">SQRT(($B42-BC$5)^2+($C42-BC$6)^2+($D42-BC$7)^2)</f>
        <v>0.841594353578997</v>
      </c>
      <c r="BD42" s="74" t="n">
        <f aca="false">SQRT(($B42-BD$5)^2+($C42-BD$6)^2+($D42-BD$7)^2)</f>
        <v>0.423195408588256</v>
      </c>
      <c r="BE42" s="74" t="n">
        <f aca="false">SQRT(($B42-BE$5)^2+($C42-BE$6)^2+($D42-BE$7)^2)</f>
        <v>0.452168575449235</v>
      </c>
      <c r="BF42" s="74" t="n">
        <f aca="false">SQRT(($B42-BF$5)^2+($C42-BF$6)^2+($D42-BF$7)^2)</f>
        <v>2.40737244836897</v>
      </c>
      <c r="BG42" s="74" t="n">
        <f aca="false">SQRT(($B42-BG$5)^2+($C42-BG$6)^2+($D42-BG$7)^2)</f>
        <v>1.24114450141204</v>
      </c>
      <c r="BH42" s="74" t="n">
        <f aca="false">SQRT(($B42-BH$5)^2+($C42-BH$6)^2+($D42-BH$7)^2)</f>
        <v>0.893970765278817</v>
      </c>
      <c r="BI42" s="74" t="n">
        <f aca="false">SQRT(($B42-BI$5)^2+($C42-BI$6)^2+($D42-BI$7)^2)</f>
        <v>0.903187113564467</v>
      </c>
      <c r="BJ42" s="74" t="n">
        <f aca="false">SQRT(($B42-BJ$5)^2+($C42-BJ$6)^2+($D42-BJ$7)^2)</f>
        <v>1.40013800470437</v>
      </c>
      <c r="BK42" s="74" t="n">
        <f aca="false">SQRT(($B42-BK$5)^2+($C42-BK$6)^2+($D42-BK$7)^2)</f>
        <v>0.57179475719683</v>
      </c>
      <c r="BL42" s="74" t="n">
        <f aca="false">SQRT(($B42-BL$5)^2+($C42-BL$6)^2+($D42-BL$7)^2)</f>
        <v>0.960009016194543</v>
      </c>
      <c r="BM42" s="74" t="n">
        <f aca="false">SQRT(($B42-BM$5)^2+($C42-BM$6)^2+($D42-BM$7)^2)</f>
        <v>1.63594046011368</v>
      </c>
      <c r="BN42" s="74" t="n">
        <f aca="false">SQRT(($B42-BN$5)^2+($C42-BN$6)^2+($D42-BN$7)^2)</f>
        <v>1.12975652378901</v>
      </c>
      <c r="BO42" s="74" t="n">
        <f aca="false">SQRT(($B42-BO$5)^2+($C42-BO$6)^2+($D42-BO$7)^2)</f>
        <v>0.770247756983905</v>
      </c>
      <c r="BP42" s="74" t="n">
        <f aca="false">SQRT(($B42-BP$5)^2+($C42-BP$6)^2+($D42-BP$7)^2)</f>
        <v>1.26241444510253</v>
      </c>
      <c r="BQ42" s="74" t="n">
        <f aca="false">SQRT(($B42-BQ$5)^2+($C42-BQ$6)^2+($D42-BQ$7)^2)</f>
        <v>1.16630295038323</v>
      </c>
      <c r="BR42" s="74" t="n">
        <f aca="false">SQRT(($B42-BR$5)^2+($C42-BR$6)^2+($D42-BR$7)^2)</f>
        <v>1.21361122451298</v>
      </c>
      <c r="BS42" s="74" t="n">
        <f aca="false">SQRT(($B42-BS$5)^2+($C42-BS$6)^2+($D42-BS$7)^2)</f>
        <v>1.24811828961317</v>
      </c>
      <c r="BT42" s="74" t="n">
        <f aca="false">SQRT(($B42-BT$5)^2+($C42-BT$6)^2+($D42-BT$7)^2)</f>
        <v>0.990045913031616</v>
      </c>
      <c r="BU42" s="74" t="n">
        <f aca="false">SQRT(($B42-BU$5)^2+($C42-BU$6)^2+($D42-BU$7)^2)</f>
        <v>0.941823447719341</v>
      </c>
      <c r="BV42" s="74" t="n">
        <f aca="false">SQRT(($B42-BV$5)^2+($C42-BV$6)^2+($D42-BV$7)^2)</f>
        <v>1.12156019254713</v>
      </c>
      <c r="BW42" s="74" t="n">
        <f aca="false">SQRT(($B42-BW$5)^2+($C42-BW$6)^2+($D42-BW$7)^2)</f>
        <v>1.09550757963592</v>
      </c>
      <c r="BX42" s="74" t="n">
        <f aca="false">SQRT(($B42-BX$5)^2+($C42-BX$6)^2+($D42-BX$7)^2)</f>
        <v>1.13357195115628</v>
      </c>
      <c r="BY42" s="74" t="n">
        <f aca="false">SQRT(($B42-BY$5)^2+($C42-BY$6)^2+($D42-BY$7)^2)</f>
        <v>0.91361007596133</v>
      </c>
      <c r="BZ42" s="74" t="n">
        <f aca="false">SQRT(($B42-BZ$5)^2+($C42-BZ$6)^2+($D42-BZ$7)^2)</f>
        <v>0.918249232986363</v>
      </c>
      <c r="CA42" s="74" t="n">
        <f aca="false">SQRT(($B42-CA$5)^2+($C42-CA$6)^2+($D42-CA$7)^2)</f>
        <v>1.17264110710973</v>
      </c>
      <c r="CB42" s="74" t="n">
        <f aca="false">SQRT(($B42-CB$5)^2+($C42-CB$6)^2+($D42-CB$7)^2)</f>
        <v>0.93625313129722</v>
      </c>
      <c r="CC42" s="74" t="n">
        <f aca="false">SQRT(($B42-CC$5)^2+($C42-CC$6)^2+($D42-CC$7)^2)</f>
        <v>1.18679207870095</v>
      </c>
      <c r="CD42" s="74" t="n">
        <f aca="false">SQRT(($B42-CD$5)^2+($C42-CD$6)^2+($D42-CD$7)^2)</f>
        <v>1.2170369717697</v>
      </c>
      <c r="CE42" s="74" t="n">
        <f aca="false">SQRT(($B42-CE$5)^2+($C42-CE$6)^2+($D42-CE$7)^2)</f>
        <v>1.07735531678609</v>
      </c>
      <c r="CF42" s="74" t="n">
        <f aca="false">SQRT(($B42-CF$5)^2+($C42-CF$6)^2+($D42-CF$7)^2)</f>
        <v>1.23753170814818</v>
      </c>
      <c r="CG42" s="74" t="n">
        <f aca="false">SQRT(($B42-CG$5)^2+($C42-CG$6)^2+($D42-CG$7)^2)</f>
        <v>1.17306897000731</v>
      </c>
      <c r="CH42" s="74" t="n">
        <f aca="false">SQRT(($B42-CH$5)^2+($C42-CH$6)^2+($D42-CH$7)^2)</f>
        <v>1.04869661052388</v>
      </c>
      <c r="CI42" s="74" t="n">
        <f aca="false">SQRT(($B42-CI$5)^2+($C42-CI$6)^2+($D42-CI$7)^2)</f>
        <v>1.10315952650131</v>
      </c>
      <c r="CJ42" s="74" t="n">
        <f aca="false">SQRT(($B42-CJ$5)^2+($C42-CJ$6)^2+($D42-CJ$7)^2)</f>
        <v>1.20245969199122</v>
      </c>
      <c r="CK42" s="74" t="n">
        <f aca="false">SQRT(($B42-CK$5)^2+($C42-CK$6)^2+($D42-CK$7)^2)</f>
        <v>1.23802950522031</v>
      </c>
      <c r="CL42" s="74" t="n">
        <f aca="false">SQRT(($B42-CL$5)^2+($C42-CL$6)^2+($D42-CL$7)^2)</f>
        <v>1.42516171656597</v>
      </c>
      <c r="CM42" s="74" t="n">
        <f aca="false">SQRT(($B42-CM$5)^2+($C42-CM$6)^2+($D42-CM$7)^2)</f>
        <v>1.21737744300138</v>
      </c>
      <c r="CN42" s="74" t="n">
        <f aca="false">SQRT(($B42-CN$5)^2+($C42-CN$6)^2+($D42-CN$7)^2)</f>
        <v>1.7269490946838</v>
      </c>
      <c r="CO42" s="74" t="n">
        <f aca="false">SQRT(($B42-CO$5)^2+($C42-CO$6)^2+($D42-CO$7)^2)</f>
        <v>1.43972213754666</v>
      </c>
      <c r="CP42" s="74" t="n">
        <f aca="false">SQRT(($B42-CP$5)^2+($C42-CP$6)^2+($D42-CP$7)^2)</f>
        <v>1.51830654204309</v>
      </c>
      <c r="CQ42" s="74" t="n">
        <f aca="false">SQRT(($B42-CQ$5)^2+($C42-CQ$6)^2+($D42-CQ$7)^2)</f>
        <v>1.36417212286406</v>
      </c>
      <c r="CR42" s="74" t="n">
        <f aca="false">SQRT(($B42-CR$5)^2+($C42-CR$6)^2+($D42-CR$7)^2)</f>
        <v>1.41198881066148</v>
      </c>
      <c r="CS42" s="74" t="n">
        <f aca="false">SQRT(($B42-CS$5)^2+($C42-CS$6)^2+($D42-CS$7)^2)</f>
        <v>1.59461295651011</v>
      </c>
      <c r="CT42" s="74" t="n">
        <f aca="false">SQRT(($B42-CT$5)^2+($C42-CT$6)^2+($D42-CT$7)^2)</f>
        <v>1.63862342887873</v>
      </c>
      <c r="CU42" s="74" t="n">
        <f aca="false">SQRT(($B42-CU$5)^2+($C42-CU$6)^2+($D42-CU$7)^2)</f>
        <v>1.60794365980734</v>
      </c>
      <c r="CV42" s="74" t="n">
        <f aca="false">SQRT(($B42-CV$5)^2+($C42-CV$6)^2+($D42-CV$7)^2)</f>
        <v>1.60346579661225</v>
      </c>
      <c r="CW42" s="74" t="n">
        <f aca="false">SQRT(($B42-CW$5)^2+($C42-CW$6)^2+($D42-CW$7)^2)</f>
        <v>1.63862342887873</v>
      </c>
      <c r="CX42" s="74" t="n">
        <f aca="false">SQRT(($B42-CX$5)^2+($C42-CX$6)^2+($D42-CX$7)^2)</f>
        <v>1.55736641350665</v>
      </c>
      <c r="CY42" s="74" t="n">
        <f aca="false">SQRT(($B42-CY$5)^2+($C42-CY$6)^2+($D42-CY$7)^2)</f>
        <v>1.68763601051815</v>
      </c>
      <c r="CZ42" s="74" t="n">
        <f aca="false">SQRT(($B42-CZ$5)^2+($C42-CZ$6)^2+($D42-CZ$7)^2)</f>
        <v>1.68763601051815</v>
      </c>
      <c r="DA42" s="74" t="n">
        <f aca="false">SQRT(($B42-DA$5)^2+($C42-DA$6)^2+($D42-DA$7)^2)</f>
        <v>1.51742921791848</v>
      </c>
      <c r="DB42" s="74" t="n">
        <f aca="false">SQRT(($B42-DB$5)^2+($C42-DB$6)^2+($D42-DB$7)^2)</f>
        <v>1.74283831118214</v>
      </c>
      <c r="DC42" s="74" t="n">
        <f aca="false">SQRT(($B42-DC$5)^2+($C42-DC$6)^2+($D42-DC$7)^2)</f>
        <v>1.74283831118214</v>
      </c>
      <c r="DD42" s="74" t="n">
        <f aca="false">SQRT(($B42-DD$5)^2+($C42-DD$6)^2+($D42-DD$7)^2)</f>
        <v>1.59289106226978</v>
      </c>
      <c r="DE42" s="74" t="n">
        <f aca="false">SQRT(($B42-DE$5)^2+($C42-DE$6)^2+($D42-DE$7)^2)</f>
        <v>1.77642469125581</v>
      </c>
      <c r="DF42" s="74" t="n">
        <f aca="false">SQRT(($B42-DF$5)^2+($C42-DF$6)^2+($D42-DF$7)^2)</f>
        <v>2.07465268180608</v>
      </c>
      <c r="DG42" s="74" t="n">
        <f aca="false">SQRT(($B42-DG$5)^2+($C42-DG$6)^2+($D42-DG$7)^2)</f>
        <v>2.21502754381688</v>
      </c>
      <c r="DH42" s="74" t="n">
        <f aca="false">SQRT(($B42-DH$5)^2+($C42-DH$6)^2+($D42-DH$7)^2)</f>
        <v>2.21502754381688</v>
      </c>
      <c r="DI42" s="74" t="n">
        <f aca="false">SQRT(($B42-DI$5)^2+($C42-DI$6)^2+($D42-DI$7)^2)</f>
        <v>2.21502754381688</v>
      </c>
      <c r="DJ42" s="74" t="n">
        <f aca="false">SQRT(($B42-DJ$5)^2+($C42-DJ$6)^2+($D42-DJ$7)^2)</f>
        <v>2.21502754381688</v>
      </c>
      <c r="DK42" s="74" t="n">
        <f aca="false">SQRT(($B42-DK$5)^2+($C42-DK$6)^2+($D42-DK$7)^2)</f>
        <v>2.41478384787707</v>
      </c>
      <c r="DL42" s="74" t="n">
        <f aca="false">SQRT(($B42-DL$5)^2+($C42-DL$6)^2+($D42-DL$7)^2)</f>
        <v>2.41478384787707</v>
      </c>
      <c r="DM42" s="74" t="n">
        <f aca="false">SQRT(($B42-DM$5)^2+($C42-DM$6)^2+($D42-DM$7)^2)</f>
        <v>2.41478384787707</v>
      </c>
      <c r="DN42" s="74" t="n">
        <f aca="false">SQRT(($B42-DN$5)^2+($C42-DN$6)^2+($D42-DN$7)^2)</f>
        <v>2.41478384787707</v>
      </c>
      <c r="DO42" s="74" t="n">
        <f aca="false">SQRT(($B42-DO$5)^2+($C42-DO$6)^2+($D42-DO$7)^2)</f>
        <v>2.41478384787707</v>
      </c>
      <c r="DP42" s="74" t="n">
        <f aca="false">SQRT(($B42-DP$5)^2+($C42-DP$6)^2+($D42-DP$7)^2)</f>
        <v>2.76015891289846</v>
      </c>
      <c r="DQ42" s="74" t="n">
        <f aca="false">SQRT(($B42-DQ$5)^2+($C42-DQ$6)^2+($D42-DQ$7)^2)</f>
        <v>2.76015891289846</v>
      </c>
    </row>
    <row r="43" customFormat="false" ht="15" hidden="false" customHeight="false" outlineLevel="0" collapsed="false">
      <c r="A43" s="48" t="str">
        <f aca="false">KMeans_Data!A34</f>
        <v>Shaheed Benazirabad</v>
      </c>
      <c r="B43" s="72" t="n">
        <f aca="false">KMeans_Data!H34</f>
        <v>0.577753548760862</v>
      </c>
      <c r="C43" s="72" t="n">
        <f aca="false">KMeans_Data!I34</f>
        <v>0.160512589624996</v>
      </c>
      <c r="D43" s="72" t="n">
        <f aca="false">KMeans_Data!J34</f>
        <v>0.781544486275172</v>
      </c>
      <c r="E43" s="74" t="n">
        <f aca="false">SQRT(($B43-E$5)^2+($C43-E$6)^2+($D43-E$7)^2)</f>
        <v>5.33100349295761</v>
      </c>
      <c r="F43" s="74" t="n">
        <f aca="false">SQRT(($B43-F$5)^2+($C43-F$6)^2+($D43-F$7)^2)</f>
        <v>5.16898755528947</v>
      </c>
      <c r="G43" s="74" t="n">
        <f aca="false">SQRT(($B43-G$5)^2+($C43-G$6)^2+($D43-G$7)^2)</f>
        <v>3.2055617057629</v>
      </c>
      <c r="H43" s="74" t="n">
        <f aca="false">SQRT(($B43-H$5)^2+($C43-H$6)^2+($D43-H$7)^2)</f>
        <v>3.92800302899199</v>
      </c>
      <c r="I43" s="74" t="n">
        <f aca="false">SQRT(($B43-I$5)^2+($C43-I$6)^2+($D43-I$7)^2)</f>
        <v>2.64690056625644</v>
      </c>
      <c r="J43" s="74" t="n">
        <f aca="false">SQRT(($B43-J$5)^2+($C43-J$6)^2+($D43-J$7)^2)</f>
        <v>2.35874612506158</v>
      </c>
      <c r="K43" s="74" t="n">
        <f aca="false">SQRT(($B43-K$5)^2+($C43-K$6)^2+($D43-K$7)^2)</f>
        <v>1.77747936006685</v>
      </c>
      <c r="L43" s="74" t="n">
        <f aca="false">SQRT(($B43-L$5)^2+($C43-L$6)^2+($D43-L$7)^2)</f>
        <v>1.30757946283683</v>
      </c>
      <c r="M43" s="74" t="n">
        <f aca="false">SQRT(($B43-M$5)^2+($C43-M$6)^2+($D43-M$7)^2)</f>
        <v>1.55077703651155</v>
      </c>
      <c r="N43" s="74" t="n">
        <f aca="false">SQRT(($B43-N$5)^2+($C43-N$6)^2+($D43-N$7)^2)</f>
        <v>1.75010482536509</v>
      </c>
      <c r="O43" s="74" t="n">
        <f aca="false">SQRT(($B43-O$5)^2+($C43-O$6)^2+($D43-O$7)^2)</f>
        <v>1.4458861591616</v>
      </c>
      <c r="P43" s="74" t="n">
        <f aca="false">SQRT(($B43-P$5)^2+($C43-P$6)^2+($D43-P$7)^2)</f>
        <v>1.74231879321104</v>
      </c>
      <c r="Q43" s="74" t="n">
        <f aca="false">SQRT(($B43-Q$5)^2+($C43-Q$6)^2+($D43-Q$7)^2)</f>
        <v>0.999774189743298</v>
      </c>
      <c r="R43" s="74" t="n">
        <f aca="false">SQRT(($B43-R$5)^2+($C43-R$6)^2+($D43-R$7)^2)</f>
        <v>0.85635508280799</v>
      </c>
      <c r="S43" s="74" t="n">
        <f aca="false">SQRT(($B43-S$5)^2+($C43-S$6)^2+($D43-S$7)^2)</f>
        <v>0.654209429542143</v>
      </c>
      <c r="T43" s="74" t="n">
        <f aca="false">SQRT(($B43-T$5)^2+($C43-T$6)^2+($D43-T$7)^2)</f>
        <v>0.946127535748461</v>
      </c>
      <c r="U43" s="74" t="n">
        <f aca="false">SQRT(($B43-U$5)^2+($C43-U$6)^2+($D43-U$7)^2)</f>
        <v>0.884146404782545</v>
      </c>
      <c r="V43" s="74" t="n">
        <f aca="false">SQRT(($B43-V$5)^2+($C43-V$6)^2+($D43-V$7)^2)</f>
        <v>1.26181299149001</v>
      </c>
      <c r="W43" s="74" t="n">
        <f aca="false">SQRT(($B43-W$5)^2+($C43-W$6)^2+($D43-W$7)^2)</f>
        <v>1.26010327116759</v>
      </c>
      <c r="X43" s="74" t="n">
        <f aca="false">SQRT(($B43-X$5)^2+($C43-X$6)^2+($D43-X$7)^2)</f>
        <v>0.740060562421578</v>
      </c>
      <c r="Y43" s="74" t="n">
        <f aca="false">SQRT(($B43-Y$5)^2+($C43-Y$6)^2+($D43-Y$7)^2)</f>
        <v>0.833601113882558</v>
      </c>
      <c r="Z43" s="74" t="n">
        <f aca="false">SQRT(($B43-Z$5)^2+($C43-Z$6)^2+($D43-Z$7)^2)</f>
        <v>0.694800187273486</v>
      </c>
      <c r="AA43" s="74" t="n">
        <f aca="false">SQRT(($B43-AA$5)^2+($C43-AA$6)^2+($D43-AA$7)^2)</f>
        <v>0.272146541720264</v>
      </c>
      <c r="AB43" s="74" t="n">
        <f aca="false">SQRT(($B43-AB$5)^2+($C43-AB$6)^2+($D43-AB$7)^2)</f>
        <v>0.453316595594259</v>
      </c>
      <c r="AC43" s="74" t="n">
        <f aca="false">SQRT(($B43-AC$5)^2+($C43-AC$6)^2+($D43-AC$7)^2)</f>
        <v>1.23552831091423</v>
      </c>
      <c r="AD43" s="74" t="n">
        <f aca="false">SQRT(($B43-AD$5)^2+($C43-AD$6)^2+($D43-AD$7)^2)</f>
        <v>0.822669732471675</v>
      </c>
      <c r="AE43" s="74" t="n">
        <f aca="false">SQRT(($B43-AE$5)^2+($C43-AE$6)^2+($D43-AE$7)^2)</f>
        <v>1.95274744651033</v>
      </c>
      <c r="AF43" s="74" t="n">
        <f aca="false">SQRT(($B43-AF$5)^2+($C43-AF$6)^2+($D43-AF$7)^2)</f>
        <v>0.534169425790586</v>
      </c>
      <c r="AG43" s="74" t="n">
        <f aca="false">SQRT(($B43-AG$5)^2+($C43-AG$6)^2+($D43-AG$7)^2)</f>
        <v>1.44562874020709</v>
      </c>
      <c r="AH43" s="74" t="n">
        <f aca="false">SQRT(($B43-AH$5)^2+($C43-AH$6)^2+($D43-AH$7)^2)</f>
        <v>0</v>
      </c>
      <c r="AI43" s="74" t="n">
        <f aca="false">SQRT(($B43-AI$5)^2+($C43-AI$6)^2+($D43-AI$7)^2)</f>
        <v>1.44563220258935</v>
      </c>
      <c r="AJ43" s="74" t="n">
        <f aca="false">SQRT(($B43-AJ$5)^2+($C43-AJ$6)^2+($D43-AJ$7)^2)</f>
        <v>0.510243946511624</v>
      </c>
      <c r="AK43" s="74" t="n">
        <f aca="false">SQRT(($B43-AK$5)^2+($C43-AK$6)^2+($D43-AK$7)^2)</f>
        <v>0.542754913739855</v>
      </c>
      <c r="AL43" s="74" t="n">
        <f aca="false">SQRT(($B43-AL$5)^2+($C43-AL$6)^2+($D43-AL$7)^2)</f>
        <v>0.394824216446545</v>
      </c>
      <c r="AM43" s="74" t="n">
        <f aca="false">SQRT(($B43-AM$5)^2+($C43-AM$6)^2+($D43-AM$7)^2)</f>
        <v>1.31275068245212</v>
      </c>
      <c r="AN43" s="74" t="n">
        <f aca="false">SQRT(($B43-AN$5)^2+($C43-AN$6)^2+($D43-AN$7)^2)</f>
        <v>0.995055492955467</v>
      </c>
      <c r="AO43" s="74" t="n">
        <f aca="false">SQRT(($B43-AO$5)^2+($C43-AO$6)^2+($D43-AO$7)^2)</f>
        <v>0.356134993723278</v>
      </c>
      <c r="AP43" s="74" t="n">
        <f aca="false">SQRT(($B43-AP$5)^2+($C43-AP$6)^2+($D43-AP$7)^2)</f>
        <v>0.415779627518684</v>
      </c>
      <c r="AQ43" s="74" t="n">
        <f aca="false">SQRT(($B43-AQ$5)^2+($C43-AQ$6)^2+($D43-AQ$7)^2)</f>
        <v>1.13533259531443</v>
      </c>
      <c r="AR43" s="74" t="n">
        <f aca="false">SQRT(($B43-AR$5)^2+($C43-AR$6)^2+($D43-AR$7)^2)</f>
        <v>0.880474158868393</v>
      </c>
      <c r="AS43" s="74" t="n">
        <f aca="false">SQRT(($B43-AS$5)^2+($C43-AS$6)^2+($D43-AS$7)^2)</f>
        <v>0.902620724238759</v>
      </c>
      <c r="AT43" s="74" t="n">
        <f aca="false">SQRT(($B43-AT$5)^2+($C43-AT$6)^2+($D43-AT$7)^2)</f>
        <v>0.432486827969438</v>
      </c>
      <c r="AU43" s="74" t="n">
        <f aca="false">SQRT(($B43-AU$5)^2+($C43-AU$6)^2+($D43-AU$7)^2)</f>
        <v>1.48495479111117</v>
      </c>
      <c r="AV43" s="74" t="n">
        <f aca="false">SQRT(($B43-AV$5)^2+($C43-AV$6)^2+($D43-AV$7)^2)</f>
        <v>0.931919562329365</v>
      </c>
      <c r="AW43" s="74" t="n">
        <f aca="false">SQRT(($B43-AW$5)^2+($C43-AW$6)^2+($D43-AW$7)^2)</f>
        <v>1.84075539413215</v>
      </c>
      <c r="AX43" s="74" t="n">
        <f aca="false">SQRT(($B43-AX$5)^2+($C43-AX$6)^2+($D43-AX$7)^2)</f>
        <v>0.528320310611688</v>
      </c>
      <c r="AY43" s="74" t="n">
        <f aca="false">SQRT(($B43-AY$5)^2+($C43-AY$6)^2+($D43-AY$7)^2)</f>
        <v>2.13311472248203</v>
      </c>
      <c r="AZ43" s="74" t="n">
        <f aca="false">SQRT(($B43-AZ$5)^2+($C43-AZ$6)^2+($D43-AZ$7)^2)</f>
        <v>0.948213625958048</v>
      </c>
      <c r="BA43" s="74" t="n">
        <f aca="false">SQRT(($B43-BA$5)^2+($C43-BA$6)^2+($D43-BA$7)^2)</f>
        <v>0.491624805899277</v>
      </c>
      <c r="BB43" s="74" t="n">
        <f aca="false">SQRT(($B43-BB$5)^2+($C43-BB$6)^2+($D43-BB$7)^2)</f>
        <v>2.13428084410432</v>
      </c>
      <c r="BC43" s="74" t="n">
        <f aca="false">SQRT(($B43-BC$5)^2+($C43-BC$6)^2+($D43-BC$7)^2)</f>
        <v>2.135481628606</v>
      </c>
      <c r="BD43" s="74" t="n">
        <f aca="false">SQRT(($B43-BD$5)^2+($C43-BD$6)^2+($D43-BD$7)^2)</f>
        <v>1.58532474973883</v>
      </c>
      <c r="BE43" s="74" t="n">
        <f aca="false">SQRT(($B43-BE$5)^2+($C43-BE$6)^2+($D43-BE$7)^2)</f>
        <v>1.38776749522378</v>
      </c>
      <c r="BF43" s="74" t="n">
        <f aca="false">SQRT(($B43-BF$5)^2+($C43-BF$6)^2+($D43-BF$7)^2)</f>
        <v>1.29961069818291</v>
      </c>
      <c r="BG43" s="74" t="n">
        <f aca="false">SQRT(($B43-BG$5)^2+($C43-BG$6)^2+($D43-BG$7)^2)</f>
        <v>0.590447628223611</v>
      </c>
      <c r="BH43" s="74" t="n">
        <f aca="false">SQRT(($B43-BH$5)^2+($C43-BH$6)^2+($D43-BH$7)^2)</f>
        <v>2.15666048772422</v>
      </c>
      <c r="BI43" s="74" t="n">
        <f aca="false">SQRT(($B43-BI$5)^2+($C43-BI$6)^2+($D43-BI$7)^2)</f>
        <v>2.16049709378342</v>
      </c>
      <c r="BJ43" s="74" t="n">
        <f aca="false">SQRT(($B43-BJ$5)^2+($C43-BJ$6)^2+($D43-BJ$7)^2)</f>
        <v>1.02850963811139</v>
      </c>
      <c r="BK43" s="74" t="n">
        <f aca="false">SQRT(($B43-BK$5)^2+($C43-BK$6)^2+($D43-BK$7)^2)</f>
        <v>1.55460338957257</v>
      </c>
      <c r="BL43" s="74" t="n">
        <f aca="false">SQRT(($B43-BL$5)^2+($C43-BL$6)^2+($D43-BL$7)^2)</f>
        <v>1.09834380043349</v>
      </c>
      <c r="BM43" s="74" t="n">
        <f aca="false">SQRT(($B43-BM$5)^2+($C43-BM$6)^2+($D43-BM$7)^2)</f>
        <v>0.775713029012926</v>
      </c>
      <c r="BN43" s="74" t="n">
        <f aca="false">SQRT(($B43-BN$5)^2+($C43-BN$6)^2+($D43-BN$7)^2)</f>
        <v>0.965241025680162</v>
      </c>
      <c r="BO43" s="74" t="n">
        <f aca="false">SQRT(($B43-BO$5)^2+($C43-BO$6)^2+($D43-BO$7)^2)</f>
        <v>1.91999012402401</v>
      </c>
      <c r="BP43" s="74" t="n">
        <f aca="false">SQRT(($B43-BP$5)^2+($C43-BP$6)^2+($D43-BP$7)^2)</f>
        <v>0.850852900143624</v>
      </c>
      <c r="BQ43" s="74" t="n">
        <f aca="false">SQRT(($B43-BQ$5)^2+($C43-BQ$6)^2+($D43-BQ$7)^2)</f>
        <v>0.853082306334387</v>
      </c>
      <c r="BR43" s="74" t="n">
        <f aca="false">SQRT(($B43-BR$5)^2+($C43-BR$6)^2+($D43-BR$7)^2)</f>
        <v>0.851458058998249</v>
      </c>
      <c r="BS43" s="74" t="n">
        <f aca="false">SQRT(($B43-BS$5)^2+($C43-BS$6)^2+($D43-BS$7)^2)</f>
        <v>1.13652880804173</v>
      </c>
      <c r="BT43" s="74" t="n">
        <f aca="false">SQRT(($B43-BT$5)^2+($C43-BT$6)^2+($D43-BT$7)^2)</f>
        <v>1.29133693121081</v>
      </c>
      <c r="BU43" s="74" t="n">
        <f aca="false">SQRT(($B43-BU$5)^2+($C43-BU$6)^2+($D43-BU$7)^2)</f>
        <v>1.33192105868943</v>
      </c>
      <c r="BV43" s="74" t="n">
        <f aca="false">SQRT(($B43-BV$5)^2+($C43-BV$6)^2+($D43-BV$7)^2)</f>
        <v>2.26050834894367</v>
      </c>
      <c r="BW43" s="74" t="n">
        <f aca="false">SQRT(($B43-BW$5)^2+($C43-BW$6)^2+($D43-BW$7)^2)</f>
        <v>1.29142734196566</v>
      </c>
      <c r="BX43" s="74" t="n">
        <f aca="false">SQRT(($B43-BX$5)^2+($C43-BX$6)^2+($D43-BX$7)^2)</f>
        <v>2.26649202482293</v>
      </c>
      <c r="BY43" s="74" t="n">
        <f aca="false">SQRT(($B43-BY$5)^2+($C43-BY$6)^2+($D43-BY$7)^2)</f>
        <v>1.55239277190267</v>
      </c>
      <c r="BZ43" s="74" t="n">
        <f aca="false">SQRT(($B43-BZ$5)^2+($C43-BZ$6)^2+($D43-BZ$7)^2)</f>
        <v>1.60144430251443</v>
      </c>
      <c r="CA43" s="74" t="n">
        <f aca="false">SQRT(($B43-CA$5)^2+($C43-CA$6)^2+($D43-CA$7)^2)</f>
        <v>2.28628254951596</v>
      </c>
      <c r="CB43" s="74" t="n">
        <f aca="false">SQRT(($B43-CB$5)^2+($C43-CB$6)^2+($D43-CB$7)^2)</f>
        <v>1.61183501824465</v>
      </c>
      <c r="CC43" s="74" t="n">
        <f aca="false">SQRT(($B43-CC$5)^2+($C43-CC$6)^2+($D43-CC$7)^2)</f>
        <v>2.29357279548851</v>
      </c>
      <c r="CD43" s="74" t="n">
        <f aca="false">SQRT(($B43-CD$5)^2+($C43-CD$6)^2+($D43-CD$7)^2)</f>
        <v>2.30936781842824</v>
      </c>
      <c r="CE43" s="74" t="n">
        <f aca="false">SQRT(($B43-CE$5)^2+($C43-CE$6)^2+($D43-CE$7)^2)</f>
        <v>1.48470755784087</v>
      </c>
      <c r="CF43" s="74" t="n">
        <f aca="false">SQRT(($B43-CF$5)^2+($C43-CF$6)^2+($D43-CF$7)^2)</f>
        <v>1.21320690654665</v>
      </c>
      <c r="CG43" s="74" t="n">
        <f aca="false">SQRT(($B43-CG$5)^2+($C43-CG$6)^2+($D43-CG$7)^2)</f>
        <v>1.60934764606538</v>
      </c>
      <c r="CH43" s="74" t="n">
        <f aca="false">SQRT(($B43-CH$5)^2+($C43-CH$6)^2+($D43-CH$7)^2)</f>
        <v>1.78594709760312</v>
      </c>
      <c r="CI43" s="74" t="n">
        <f aca="false">SQRT(($B43-CI$5)^2+($C43-CI$6)^2+($D43-CI$7)^2)</f>
        <v>1.8844418667592</v>
      </c>
      <c r="CJ43" s="74" t="n">
        <f aca="false">SQRT(($B43-CJ$5)^2+($C43-CJ$6)^2+($D43-CJ$7)^2)</f>
        <v>2.13049050222586</v>
      </c>
      <c r="CK43" s="74" t="n">
        <f aca="false">SQRT(($B43-CK$5)^2+($C43-CK$6)^2+($D43-CK$7)^2)</f>
        <v>1.66110958075</v>
      </c>
      <c r="CL43" s="74" t="n">
        <f aca="false">SQRT(($B43-CL$5)^2+($C43-CL$6)^2+($D43-CL$7)^2)</f>
        <v>2.42550750328729</v>
      </c>
      <c r="CM43" s="74" t="n">
        <f aca="false">SQRT(($B43-CM$5)^2+($C43-CM$6)^2+($D43-CM$7)^2)</f>
        <v>1.83636275101986</v>
      </c>
      <c r="CN43" s="74" t="n">
        <f aca="false">SQRT(($B43-CN$5)^2+($C43-CN$6)^2+($D43-CN$7)^2)</f>
        <v>1.32908893901829</v>
      </c>
      <c r="CO43" s="74" t="n">
        <f aca="false">SQRT(($B43-CO$5)^2+($C43-CO$6)^2+($D43-CO$7)^2)</f>
        <v>1.66496437309901</v>
      </c>
      <c r="CP43" s="74" t="n">
        <f aca="false">SQRT(($B43-CP$5)^2+($C43-CP$6)^2+($D43-CP$7)^2)</f>
        <v>2.48138176944792</v>
      </c>
      <c r="CQ43" s="74" t="n">
        <f aca="false">SQRT(($B43-CQ$5)^2+($C43-CQ$6)^2+($D43-CQ$7)^2)</f>
        <v>1.98766396438437</v>
      </c>
      <c r="CR43" s="74" t="n">
        <f aca="false">SQRT(($B43-CR$5)^2+($C43-CR$6)^2+($D43-CR$7)^2)</f>
        <v>1.97076957456672</v>
      </c>
      <c r="CS43" s="74" t="n">
        <f aca="false">SQRT(($B43-CS$5)^2+($C43-CS$6)^2+($D43-CS$7)^2)</f>
        <v>2.52879244130624</v>
      </c>
      <c r="CT43" s="74" t="n">
        <f aca="false">SQRT(($B43-CT$5)^2+($C43-CT$6)^2+($D43-CT$7)^2)</f>
        <v>2.55677286277212</v>
      </c>
      <c r="CU43" s="74" t="n">
        <f aca="false">SQRT(($B43-CU$5)^2+($C43-CU$6)^2+($D43-CU$7)^2)</f>
        <v>2.19149032973341</v>
      </c>
      <c r="CV43" s="74" t="n">
        <f aca="false">SQRT(($B43-CV$5)^2+($C43-CV$6)^2+($D43-CV$7)^2)</f>
        <v>1.75774987028158</v>
      </c>
      <c r="CW43" s="74" t="n">
        <f aca="false">SQRT(($B43-CW$5)^2+($C43-CW$6)^2+($D43-CW$7)^2)</f>
        <v>2.55677286277212</v>
      </c>
      <c r="CX43" s="74" t="n">
        <f aca="false">SQRT(($B43-CX$5)^2+($C43-CX$6)^2+($D43-CX$7)^2)</f>
        <v>1.91100971462261</v>
      </c>
      <c r="CY43" s="74" t="n">
        <f aca="false">SQRT(($B43-CY$5)^2+($C43-CY$6)^2+($D43-CY$7)^2)</f>
        <v>2.58845823496059</v>
      </c>
      <c r="CZ43" s="74" t="n">
        <f aca="false">SQRT(($B43-CZ$5)^2+($C43-CZ$6)^2+($D43-CZ$7)^2)</f>
        <v>2.58845823496059</v>
      </c>
      <c r="DA43" s="74" t="n">
        <f aca="false">SQRT(($B43-DA$5)^2+($C43-DA$6)^2+($D43-DA$7)^2)</f>
        <v>2.15331178413089</v>
      </c>
      <c r="DB43" s="74" t="n">
        <f aca="false">SQRT(($B43-DB$5)^2+($C43-DB$6)^2+($D43-DB$7)^2)</f>
        <v>2.62478305942832</v>
      </c>
      <c r="DC43" s="74" t="n">
        <f aca="false">SQRT(($B43-DC$5)^2+($C43-DC$6)^2+($D43-DC$7)^2)</f>
        <v>2.62478305942832</v>
      </c>
      <c r="DD43" s="74" t="n">
        <f aca="false">SQRT(($B43-DD$5)^2+($C43-DD$6)^2+($D43-DD$7)^2)</f>
        <v>2.27737623413223</v>
      </c>
      <c r="DE43" s="74" t="n">
        <f aca="false">SQRT(($B43-DE$5)^2+($C43-DE$6)^2+($D43-DE$7)^2)</f>
        <v>2.49975301838287</v>
      </c>
      <c r="DF43" s="74" t="n">
        <f aca="false">SQRT(($B43-DF$5)^2+($C43-DF$6)^2+($D43-DF$7)^2)</f>
        <v>2.85590344379197</v>
      </c>
      <c r="DG43" s="74" t="n">
        <f aca="false">SQRT(($B43-DG$5)^2+($C43-DG$6)^2+($D43-DG$7)^2)</f>
        <v>2.95945058245701</v>
      </c>
      <c r="DH43" s="74" t="n">
        <f aca="false">SQRT(($B43-DH$5)^2+($C43-DH$6)^2+($D43-DH$7)^2)</f>
        <v>2.95945058245701</v>
      </c>
      <c r="DI43" s="74" t="n">
        <f aca="false">SQRT(($B43-DI$5)^2+($C43-DI$6)^2+($D43-DI$7)^2)</f>
        <v>2.95945058245701</v>
      </c>
      <c r="DJ43" s="74" t="n">
        <f aca="false">SQRT(($B43-DJ$5)^2+($C43-DJ$6)^2+($D43-DJ$7)^2)</f>
        <v>2.95945058245701</v>
      </c>
      <c r="DK43" s="74" t="n">
        <f aca="false">SQRT(($B43-DK$5)^2+($C43-DK$6)^2+($D43-DK$7)^2)</f>
        <v>3.1117811237466</v>
      </c>
      <c r="DL43" s="74" t="n">
        <f aca="false">SQRT(($B43-DL$5)^2+($C43-DL$6)^2+($D43-DL$7)^2)</f>
        <v>3.1117811237466</v>
      </c>
      <c r="DM43" s="74" t="n">
        <f aca="false">SQRT(($B43-DM$5)^2+($C43-DM$6)^2+($D43-DM$7)^2)</f>
        <v>3.1117811237466</v>
      </c>
      <c r="DN43" s="74" t="n">
        <f aca="false">SQRT(($B43-DN$5)^2+($C43-DN$6)^2+($D43-DN$7)^2)</f>
        <v>3.1117811237466</v>
      </c>
      <c r="DO43" s="74" t="n">
        <f aca="false">SQRT(($B43-DO$5)^2+($C43-DO$6)^2+($D43-DO$7)^2)</f>
        <v>3.1117811237466</v>
      </c>
      <c r="DP43" s="74" t="n">
        <f aca="false">SQRT(($B43-DP$5)^2+($C43-DP$6)^2+($D43-DP$7)^2)</f>
        <v>3.38680940629828</v>
      </c>
      <c r="DQ43" s="74" t="n">
        <f aca="false">SQRT(($B43-DQ$5)^2+($C43-DQ$6)^2+($D43-DQ$7)^2)</f>
        <v>3.38680940629828</v>
      </c>
    </row>
    <row r="44" customFormat="false" ht="15" hidden="false" customHeight="false" outlineLevel="0" collapsed="false">
      <c r="A44" s="48" t="str">
        <f aca="false">KMeans_Data!A35</f>
        <v>Gujrat</v>
      </c>
      <c r="B44" s="72" t="n">
        <f aca="false">KMeans_Data!H35</f>
        <v>0.574589587542617</v>
      </c>
      <c r="C44" s="72" t="n">
        <f aca="false">KMeans_Data!I35</f>
        <v>-0.672650545388274</v>
      </c>
      <c r="D44" s="72" t="n">
        <f aca="false">KMeans_Data!J35</f>
        <v>-0.399845222909568</v>
      </c>
      <c r="E44" s="74" t="n">
        <f aca="false">SQRT(($B44-E$5)^2+($C44-E$6)^2+($D44-E$7)^2)</f>
        <v>6.54430428513413</v>
      </c>
      <c r="F44" s="74" t="n">
        <f aca="false">SQRT(($B44-F$5)^2+($C44-F$6)^2+($D44-F$7)^2)</f>
        <v>6.32228013418902</v>
      </c>
      <c r="G44" s="74" t="n">
        <f aca="false">SQRT(($B44-G$5)^2+($C44-G$6)^2+($D44-G$7)^2)</f>
        <v>4.43743633277874</v>
      </c>
      <c r="H44" s="74" t="n">
        <f aca="false">SQRT(($B44-H$5)^2+($C44-H$6)^2+($D44-H$7)^2)</f>
        <v>5.02254635881806</v>
      </c>
      <c r="I44" s="74" t="n">
        <f aca="false">SQRT(($B44-I$5)^2+($C44-I$6)^2+($D44-I$7)^2)</f>
        <v>3.80035631618254</v>
      </c>
      <c r="J44" s="74" t="n">
        <f aca="false">SQRT(($B44-J$5)^2+($C44-J$6)^2+($D44-J$7)^2)</f>
        <v>3.55994197861085</v>
      </c>
      <c r="K44" s="74" t="n">
        <f aca="false">SQRT(($B44-K$5)^2+($C44-K$6)^2+($D44-K$7)^2)</f>
        <v>1.20809940928237</v>
      </c>
      <c r="L44" s="74" t="n">
        <f aca="false">SQRT(($B44-L$5)^2+($C44-L$6)^2+($D44-L$7)^2)</f>
        <v>2.62805269282162</v>
      </c>
      <c r="M44" s="74" t="n">
        <f aca="false">SQRT(($B44-M$5)^2+($C44-M$6)^2+($D44-M$7)^2)</f>
        <v>2.90007593874992</v>
      </c>
      <c r="N44" s="74" t="n">
        <f aca="false">SQRT(($B44-N$5)^2+($C44-N$6)^2+($D44-N$7)^2)</f>
        <v>0.921779323710431</v>
      </c>
      <c r="O44" s="74" t="n">
        <f aca="false">SQRT(($B44-O$5)^2+($C44-O$6)^2+($D44-O$7)^2)</f>
        <v>2.62005019840883</v>
      </c>
      <c r="P44" s="74" t="n">
        <f aca="false">SQRT(($B44-P$5)^2+($C44-P$6)^2+($D44-P$7)^2)</f>
        <v>2.95276913948494</v>
      </c>
      <c r="Q44" s="74" t="n">
        <f aca="false">SQRT(($B44-Q$5)^2+($C44-Q$6)^2+($D44-Q$7)^2)</f>
        <v>2.27750279879317</v>
      </c>
      <c r="R44" s="74" t="n">
        <f aca="false">SQRT(($B44-R$5)^2+($C44-R$6)^2+($D44-R$7)^2)</f>
        <v>2.19482903863084</v>
      </c>
      <c r="S44" s="74" t="n">
        <f aca="false">SQRT(($B44-S$5)^2+($C44-S$6)^2+($D44-S$7)^2)</f>
        <v>1.70840021740306</v>
      </c>
      <c r="T44" s="74" t="n">
        <f aca="false">SQRT(($B44-T$5)^2+($C44-T$6)^2+($D44-T$7)^2)</f>
        <v>2.21046028635289</v>
      </c>
      <c r="U44" s="74" t="n">
        <f aca="false">SQRT(($B44-U$5)^2+($C44-U$6)^2+($D44-U$7)^2)</f>
        <v>2.26521105237438</v>
      </c>
      <c r="V44" s="74" t="n">
        <f aca="false">SQRT(($B44-V$5)^2+($C44-V$6)^2+($D44-V$7)^2)</f>
        <v>2.30910754731259</v>
      </c>
      <c r="W44" s="74" t="n">
        <f aca="false">SQRT(($B44-W$5)^2+($C44-W$6)^2+($D44-W$7)^2)</f>
        <v>2.46461778584847</v>
      </c>
      <c r="X44" s="74" t="n">
        <f aca="false">SQRT(($B44-X$5)^2+($C44-X$6)^2+($D44-X$7)^2)</f>
        <v>2.07673907153644</v>
      </c>
      <c r="Y44" s="74" t="n">
        <f aca="false">SQRT(($B44-Y$5)^2+($C44-Y$6)^2+($D44-Y$7)^2)</f>
        <v>2.23765837723455</v>
      </c>
      <c r="Z44" s="74" t="n">
        <f aca="false">SQRT(($B44-Z$5)^2+($C44-Z$6)^2+($D44-Z$7)^2)</f>
        <v>1.80527187170931</v>
      </c>
      <c r="AA44" s="74" t="n">
        <f aca="false">SQRT(($B44-AA$5)^2+($C44-AA$6)^2+($D44-AA$7)^2)</f>
        <v>1.60813770599513</v>
      </c>
      <c r="AB44" s="74" t="n">
        <f aca="false">SQRT(($B44-AB$5)^2+($C44-AB$6)^2+($D44-AB$7)^2)</f>
        <v>1.63459426122373</v>
      </c>
      <c r="AC44" s="74" t="n">
        <f aca="false">SQRT(($B44-AC$5)^2+($C44-AC$6)^2+($D44-AC$7)^2)</f>
        <v>2.35044222215817</v>
      </c>
      <c r="AD44" s="74" t="n">
        <f aca="false">SQRT(($B44-AD$5)^2+($C44-AD$6)^2+($D44-AD$7)^2)</f>
        <v>2.23878702772511</v>
      </c>
      <c r="AE44" s="74" t="n">
        <f aca="false">SQRT(($B44-AE$5)^2+($C44-AE$6)^2+($D44-AE$7)^2)</f>
        <v>0.915202205398665</v>
      </c>
      <c r="AF44" s="74" t="n">
        <f aca="false">SQRT(($B44-AF$5)^2+($C44-AF$6)^2+($D44-AF$7)^2)</f>
        <v>1.86222348771322</v>
      </c>
      <c r="AG44" s="74" t="n">
        <f aca="false">SQRT(($B44-AG$5)^2+($C44-AG$6)^2+($D44-AG$7)^2)</f>
        <v>0.00316396121824469</v>
      </c>
      <c r="AH44" s="74" t="n">
        <f aca="false">SQRT(($B44-AH$5)^2+($C44-AH$6)^2+($D44-AH$7)^2)</f>
        <v>1.44563220258935</v>
      </c>
      <c r="AI44" s="74" t="n">
        <f aca="false">SQRT(($B44-AI$5)^2+($C44-AI$6)^2+($D44-AI$7)^2)</f>
        <v>0</v>
      </c>
      <c r="AJ44" s="74" t="n">
        <f aca="false">SQRT(($B44-AJ$5)^2+($C44-AJ$6)^2+($D44-AJ$7)^2)</f>
        <v>1.94421175863908</v>
      </c>
      <c r="AK44" s="74" t="n">
        <f aca="false">SQRT(($B44-AK$5)^2+($C44-AK$6)^2+($D44-AK$7)^2)</f>
        <v>1.25639165819767</v>
      </c>
      <c r="AL44" s="74" t="n">
        <f aca="false">SQRT(($B44-AL$5)^2+($C44-AL$6)^2+($D44-AL$7)^2)</f>
        <v>1.09107248619925</v>
      </c>
      <c r="AM44" s="74" t="n">
        <f aca="false">SQRT(($B44-AM$5)^2+($C44-AM$6)^2+($D44-AM$7)^2)</f>
        <v>2.17392133339307</v>
      </c>
      <c r="AN44" s="74" t="n">
        <f aca="false">SQRT(($B44-AN$5)^2+($C44-AN$6)^2+($D44-AN$7)^2)</f>
        <v>2.13890406065609</v>
      </c>
      <c r="AO44" s="74" t="n">
        <f aca="false">SQRT(($B44-AO$5)^2+($C44-AO$6)^2+($D44-AO$7)^2)</f>
        <v>1.41723406242012</v>
      </c>
      <c r="AP44" s="74" t="n">
        <f aca="false">SQRT(($B44-AP$5)^2+($C44-AP$6)^2+($D44-AP$7)^2)</f>
        <v>1.36616590701391</v>
      </c>
      <c r="AQ44" s="74" t="n">
        <f aca="false">SQRT(($B44-AQ$5)^2+($C44-AQ$6)^2+($D44-AQ$7)^2)</f>
        <v>2.2066252250856</v>
      </c>
      <c r="AR44" s="74" t="n">
        <f aca="false">SQRT(($B44-AR$5)^2+($C44-AR$6)^2+($D44-AR$7)^2)</f>
        <v>0.911841644880206</v>
      </c>
      <c r="AS44" s="74" t="n">
        <f aca="false">SQRT(($B44-AS$5)^2+($C44-AS$6)^2+($D44-AS$7)^2)</f>
        <v>1.4341063810521</v>
      </c>
      <c r="AT44" s="74" t="n">
        <f aca="false">SQRT(($B44-AT$5)^2+($C44-AT$6)^2+($D44-AT$7)^2)</f>
        <v>1.32111410403776</v>
      </c>
      <c r="AU44" s="74" t="n">
        <f aca="false">SQRT(($B44-AU$5)^2+($C44-AU$6)^2+($D44-AU$7)^2)</f>
        <v>0.655665523877156</v>
      </c>
      <c r="AV44" s="74" t="n">
        <f aca="false">SQRT(($B44-AV$5)^2+($C44-AV$6)^2+($D44-AV$7)^2)</f>
        <v>0.968509720375075</v>
      </c>
      <c r="AW44" s="74" t="n">
        <f aca="false">SQRT(($B44-AW$5)^2+($C44-AW$6)^2+($D44-AW$7)^2)</f>
        <v>0.541446144913525</v>
      </c>
      <c r="AX44" s="74" t="n">
        <f aca="false">SQRT(($B44-AX$5)^2+($C44-AX$6)^2+($D44-AX$7)^2)</f>
        <v>1.19241316604894</v>
      </c>
      <c r="AY44" s="74" t="n">
        <f aca="false">SQRT(($B44-AY$5)^2+($C44-AY$6)^2+($D44-AY$7)^2)</f>
        <v>0.834148354610933</v>
      </c>
      <c r="AZ44" s="74" t="n">
        <f aca="false">SQRT(($B44-AZ$5)^2+($C44-AZ$6)^2+($D44-AZ$7)^2)</f>
        <v>1.48028558795556</v>
      </c>
      <c r="BA44" s="74" t="n">
        <f aca="false">SQRT(($B44-BA$5)^2+($C44-BA$6)^2+($D44-BA$7)^2)</f>
        <v>1.36030333348169</v>
      </c>
      <c r="BB44" s="74" t="n">
        <f aca="false">SQRT(($B44-BB$5)^2+($C44-BB$6)^2+($D44-BB$7)^2)</f>
        <v>0.837101159716495</v>
      </c>
      <c r="BC44" s="74" t="n">
        <f aca="false">SQRT(($B44-BC$5)^2+($C44-BC$6)^2+($D44-BC$7)^2)</f>
        <v>0.840133001552774</v>
      </c>
      <c r="BD44" s="74" t="n">
        <f aca="false">SQRT(($B44-BD$5)^2+($C44-BD$6)^2+($D44-BD$7)^2)</f>
        <v>0.420128057849758</v>
      </c>
      <c r="BE44" s="74" t="n">
        <f aca="false">SQRT(($B44-BE$5)^2+($C44-BE$6)^2+($D44-BE$7)^2)</f>
        <v>0.449199992206742</v>
      </c>
      <c r="BF44" s="74" t="n">
        <f aca="false">SQRT(($B44-BF$5)^2+($C44-BF$6)^2+($D44-BF$7)^2)</f>
        <v>2.40678792350031</v>
      </c>
      <c r="BG44" s="74" t="n">
        <f aca="false">SQRT(($B44-BG$5)^2+($C44-BG$6)^2+($D44-BG$7)^2)</f>
        <v>1.23993221028339</v>
      </c>
      <c r="BH44" s="74" t="n">
        <f aca="false">SQRT(($B44-BH$5)^2+($C44-BH$6)^2+($D44-BH$7)^2)</f>
        <v>0.892230124808587</v>
      </c>
      <c r="BI44" s="74" t="n">
        <f aca="false">SQRT(($B44-BI$5)^2+($C44-BI$6)^2+($D44-BI$7)^2)</f>
        <v>0.901406270450443</v>
      </c>
      <c r="BJ44" s="74" t="n">
        <f aca="false">SQRT(($B44-BJ$5)^2+($C44-BJ$6)^2+($D44-BJ$7)^2)</f>
        <v>1.39889092043741</v>
      </c>
      <c r="BK44" s="74" t="n">
        <f aca="false">SQRT(($B44-BK$5)^2+($C44-BK$6)^2+($D44-BK$7)^2)</f>
        <v>0.568630795978586</v>
      </c>
      <c r="BL44" s="74" t="n">
        <f aca="false">SQRT(($B44-BL$5)^2+($C44-BL$6)^2+($D44-BL$7)^2)</f>
        <v>0.958096350152721</v>
      </c>
      <c r="BM44" s="74" t="n">
        <f aca="false">SQRT(($B44-BM$5)^2+($C44-BM$6)^2+($D44-BM$7)^2)</f>
        <v>1.63476121900132</v>
      </c>
      <c r="BN44" s="74" t="n">
        <f aca="false">SQRT(($B44-BN$5)^2+($C44-BN$6)^2+($D44-BN$7)^2)</f>
        <v>1.1280193426202</v>
      </c>
      <c r="BO44" s="74" t="n">
        <f aca="false">SQRT(($B44-BO$5)^2+($C44-BO$6)^2+($D44-BO$7)^2)</f>
        <v>0.767609923353145</v>
      </c>
      <c r="BP44" s="74" t="n">
        <f aca="false">SQRT(($B44-BP$5)^2+($C44-BP$6)^2+($D44-BP$7)^2)</f>
        <v>1.26072243625201</v>
      </c>
      <c r="BQ44" s="74" t="n">
        <f aca="false">SQRT(($B44-BQ$5)^2+($C44-BQ$6)^2+($D44-BQ$7)^2)</f>
        <v>1.16443951664508</v>
      </c>
      <c r="BR44" s="74" t="n">
        <f aca="false">SQRT(($B44-BR$5)^2+($C44-BR$6)^2+($D44-BR$7)^2)</f>
        <v>1.21175732171424</v>
      </c>
      <c r="BS44" s="74" t="n">
        <f aca="false">SQRT(($B44-BS$5)^2+($C44-BS$6)^2+($D44-BS$7)^2)</f>
        <v>1.24621779524155</v>
      </c>
      <c r="BT44" s="74" t="n">
        <f aca="false">SQRT(($B44-BT$5)^2+($C44-BT$6)^2+($D44-BT$7)^2)</f>
        <v>0.987515477372798</v>
      </c>
      <c r="BU44" s="74" t="n">
        <f aca="false">SQRT(($B44-BU$5)^2+($C44-BU$6)^2+($D44-BU$7)^2)</f>
        <v>0.939163092766195</v>
      </c>
      <c r="BV44" s="74" t="n">
        <f aca="false">SQRT(($B44-BV$5)^2+($C44-BV$6)^2+($D44-BV$7)^2)</f>
        <v>1.11919908962038</v>
      </c>
      <c r="BW44" s="74" t="n">
        <f aca="false">SQRT(($B44-BW$5)^2+($C44-BW$6)^2+($D44-BW$7)^2)</f>
        <v>1.09304384517288</v>
      </c>
      <c r="BX44" s="74" t="n">
        <f aca="false">SQRT(($B44-BX$5)^2+($C44-BX$6)^2+($D44-BX$7)^2)</f>
        <v>1.13119112393919</v>
      </c>
      <c r="BY44" s="74" t="n">
        <f aca="false">SQRT(($B44-BY$5)^2+($C44-BY$6)^2+($D44-BY$7)^2)</f>
        <v>0.910537645626376</v>
      </c>
      <c r="BZ44" s="74" t="n">
        <f aca="false">SQRT(($B44-BZ$5)^2+($C44-BZ$6)^2+($D44-BZ$7)^2)</f>
        <v>0.91513137446549</v>
      </c>
      <c r="CA44" s="74" t="n">
        <f aca="false">SQRT(($B44-CA$5)^2+($C44-CA$6)^2+($D44-CA$7)^2)</f>
        <v>1.17020124112675</v>
      </c>
      <c r="CB44" s="74" t="n">
        <f aca="false">SQRT(($B44-CB$5)^2+($C44-CB$6)^2+($D44-CB$7)^2)</f>
        <v>0.933133501417187</v>
      </c>
      <c r="CC44" s="74" t="n">
        <f aca="false">SQRT(($B44-CC$5)^2+($C44-CC$6)^2+($D44-CC$7)^2)</f>
        <v>1.18433257308519</v>
      </c>
      <c r="CD44" s="74" t="n">
        <f aca="false">SQRT(($B44-CD$5)^2+($C44-CD$6)^2+($D44-CD$7)^2)</f>
        <v>1.21453823410515</v>
      </c>
      <c r="CE44" s="74" t="n">
        <f aca="false">SQRT(($B44-CE$5)^2+($C44-CE$6)^2+($D44-CE$7)^2)</f>
        <v>1.07447170129164</v>
      </c>
      <c r="CF44" s="74" t="n">
        <f aca="false">SQRT(($B44-CF$5)^2+($C44-CF$6)^2+($D44-CF$7)^2)</f>
        <v>1.23502214026366</v>
      </c>
      <c r="CG44" s="74" t="n">
        <f aca="false">SQRT(($B44-CG$5)^2+($C44-CG$6)^2+($D44-CG$7)^2)</f>
        <v>1.17024132051205</v>
      </c>
      <c r="CH44" s="74" t="n">
        <f aca="false">SQRT(($B44-CH$5)^2+($C44-CH$6)^2+($D44-CH$7)^2)</f>
        <v>1.04553264930563</v>
      </c>
      <c r="CI44" s="74" t="n">
        <f aca="false">SQRT(($B44-CI$5)^2+($C44-CI$6)^2+($D44-CI$7)^2)</f>
        <v>1.10000953507432</v>
      </c>
      <c r="CJ44" s="74" t="n">
        <f aca="false">SQRT(($B44-CJ$5)^2+($C44-CJ$6)^2+($D44-CJ$7)^2)</f>
        <v>1.19950006796798</v>
      </c>
      <c r="CK44" s="74" t="n">
        <f aca="false">SQRT(($B44-CK$5)^2+($C44-CK$6)^2+($D44-CK$7)^2)</f>
        <v>1.23500681659521</v>
      </c>
      <c r="CL44" s="74" t="n">
        <f aca="false">SQRT(($B44-CL$5)^2+($C44-CL$6)^2+($D44-CL$7)^2)</f>
        <v>1.42246653134041</v>
      </c>
      <c r="CM44" s="74" t="n">
        <f aca="false">SQRT(($B44-CM$5)^2+($C44-CM$6)^2+($D44-CM$7)^2)</f>
        <v>1.21422113025055</v>
      </c>
      <c r="CN44" s="74" t="n">
        <f aca="false">SQRT(($B44-CN$5)^2+($C44-CN$6)^2+($D44-CN$7)^2)</f>
        <v>1.72459807062986</v>
      </c>
      <c r="CO44" s="74" t="n">
        <f aca="false">SQRT(($B44-CO$5)^2+($C44-CO$6)^2+($D44-CO$7)^2)</f>
        <v>1.43681630307378</v>
      </c>
      <c r="CP44" s="74" t="n">
        <f aca="false">SQRT(($B44-CP$5)^2+($C44-CP$6)^2+($D44-CP$7)^2)</f>
        <v>1.51555138845489</v>
      </c>
      <c r="CQ44" s="74" t="n">
        <f aca="false">SQRT(($B44-CQ$5)^2+($C44-CQ$6)^2+($D44-CQ$7)^2)</f>
        <v>1.36100816164582</v>
      </c>
      <c r="CR44" s="74" t="n">
        <f aca="false">SQRT(($B44-CR$5)^2+($C44-CR$6)^2+($D44-CR$7)^2)</f>
        <v>1.40883053106497</v>
      </c>
      <c r="CS44" s="74" t="n">
        <f aca="false">SQRT(($B44-CS$5)^2+($C44-CS$6)^2+($D44-CS$7)^2)</f>
        <v>1.59181705760979</v>
      </c>
      <c r="CT44" s="74" t="n">
        <f aca="false">SQRT(($B44-CT$5)^2+($C44-CT$6)^2+($D44-CT$7)^2)</f>
        <v>1.63580680460802</v>
      </c>
      <c r="CU44" s="74" t="n">
        <f aca="false">SQRT(($B44-CU$5)^2+($C44-CU$6)^2+($D44-CU$7)^2)</f>
        <v>1.60507319878137</v>
      </c>
      <c r="CV44" s="74" t="n">
        <f aca="false">SQRT(($B44-CV$5)^2+($C44-CV$6)^2+($D44-CV$7)^2)</f>
        <v>1.60058730509678</v>
      </c>
      <c r="CW44" s="74" t="n">
        <f aca="false">SQRT(($B44-CW$5)^2+($C44-CW$6)^2+($D44-CW$7)^2)</f>
        <v>1.63580680460802</v>
      </c>
      <c r="CX44" s="74" t="n">
        <f aca="false">SQRT(($B44-CX$5)^2+($C44-CX$6)^2+($D44-CX$7)^2)</f>
        <v>1.55429093223707</v>
      </c>
      <c r="CY44" s="74" t="n">
        <f aca="false">SQRT(($B44-CY$5)^2+($C44-CY$6)^2+($D44-CY$7)^2)</f>
        <v>1.68479834404995</v>
      </c>
      <c r="CZ44" s="74" t="n">
        <f aca="false">SQRT(($B44-CZ$5)^2+($C44-CZ$6)^2+($D44-CZ$7)^2)</f>
        <v>1.68479834404995</v>
      </c>
      <c r="DA44" s="74" t="n">
        <f aca="false">SQRT(($B44-DA$5)^2+($C44-DA$6)^2+($D44-DA$7)^2)</f>
        <v>1.51427262654665</v>
      </c>
      <c r="DB44" s="74" t="n">
        <f aca="false">SQRT(($B44-DB$5)^2+($C44-DB$6)^2+($D44-DB$7)^2)</f>
        <v>1.73997920025797</v>
      </c>
      <c r="DC44" s="74" t="n">
        <f aca="false">SQRT(($B44-DC$5)^2+($C44-DC$6)^2+($D44-DC$7)^2)</f>
        <v>1.73997920025797</v>
      </c>
      <c r="DD44" s="74" t="n">
        <f aca="false">SQRT(($B44-DD$5)^2+($C44-DD$6)^2+($D44-DD$7)^2)</f>
        <v>1.58976230130957</v>
      </c>
      <c r="DE44" s="74" t="n">
        <f aca="false">SQRT(($B44-DE$5)^2+($C44-DE$6)^2+($D44-DE$7)^2)</f>
        <v>1.77335259972691</v>
      </c>
      <c r="DF44" s="74" t="n">
        <f aca="false">SQRT(($B44-DF$5)^2+($C44-DF$6)^2+($D44-DF$7)^2)</f>
        <v>2.07170053639977</v>
      </c>
      <c r="DG44" s="74" t="n">
        <f aca="false">SQRT(($B44-DG$5)^2+($C44-DG$6)^2+($D44-DG$7)^2)</f>
        <v>2.21204857611901</v>
      </c>
      <c r="DH44" s="74" t="n">
        <f aca="false">SQRT(($B44-DH$5)^2+($C44-DH$6)^2+($D44-DH$7)^2)</f>
        <v>2.21204857611901</v>
      </c>
      <c r="DI44" s="74" t="n">
        <f aca="false">SQRT(($B44-DI$5)^2+($C44-DI$6)^2+($D44-DI$7)^2)</f>
        <v>2.21204857611901</v>
      </c>
      <c r="DJ44" s="74" t="n">
        <f aca="false">SQRT(($B44-DJ$5)^2+($C44-DJ$6)^2+($D44-DJ$7)^2)</f>
        <v>2.21204857611901</v>
      </c>
      <c r="DK44" s="74" t="n">
        <f aca="false">SQRT(($B44-DK$5)^2+($C44-DK$6)^2+($D44-DK$7)^2)</f>
        <v>2.411774765261</v>
      </c>
      <c r="DL44" s="74" t="n">
        <f aca="false">SQRT(($B44-DL$5)^2+($C44-DL$6)^2+($D44-DL$7)^2)</f>
        <v>2.411774765261</v>
      </c>
      <c r="DM44" s="74" t="n">
        <f aca="false">SQRT(($B44-DM$5)^2+($C44-DM$6)^2+($D44-DM$7)^2)</f>
        <v>2.411774765261</v>
      </c>
      <c r="DN44" s="74" t="n">
        <f aca="false">SQRT(($B44-DN$5)^2+($C44-DN$6)^2+($D44-DN$7)^2)</f>
        <v>2.411774765261</v>
      </c>
      <c r="DO44" s="74" t="n">
        <f aca="false">SQRT(($B44-DO$5)^2+($C44-DO$6)^2+($D44-DO$7)^2)</f>
        <v>2.411774765261</v>
      </c>
      <c r="DP44" s="74" t="n">
        <f aca="false">SQRT(($B44-DP$5)^2+($C44-DP$6)^2+($D44-DP$7)^2)</f>
        <v>2.75711277150979</v>
      </c>
      <c r="DQ44" s="74" t="n">
        <f aca="false">SQRT(($B44-DQ$5)^2+($C44-DQ$6)^2+($D44-DQ$7)^2)</f>
        <v>2.75711277150979</v>
      </c>
    </row>
    <row r="45" customFormat="false" ht="15" hidden="false" customHeight="false" outlineLevel="0" collapsed="false">
      <c r="A45" s="48" t="str">
        <f aca="false">KMeans_Data!A36</f>
        <v>Dera Ismail Khan</v>
      </c>
      <c r="B45" s="72" t="n">
        <f aca="false">KMeans_Data!H36</f>
        <v>0.568203372235645</v>
      </c>
      <c r="C45" s="72" t="n">
        <f aca="false">KMeans_Data!I36</f>
        <v>0.547911385844501</v>
      </c>
      <c r="D45" s="72" t="n">
        <f aca="false">KMeans_Data!J36</f>
        <v>1.11347799131462</v>
      </c>
      <c r="E45" s="74" t="n">
        <f aca="false">SQRT(($B45-E$5)^2+($C45-E$6)^2+($D45-E$7)^2)</f>
        <v>4.90774869404622</v>
      </c>
      <c r="F45" s="74" t="n">
        <f aca="false">SQRT(($B45-F$5)^2+($C45-F$6)^2+($D45-F$7)^2)</f>
        <v>4.76159813845132</v>
      </c>
      <c r="G45" s="74" t="n">
        <f aca="false">SQRT(($B45-G$5)^2+($C45-G$6)^2+($D45-G$7)^2)</f>
        <v>2.80372714277684</v>
      </c>
      <c r="H45" s="74" t="n">
        <f aca="false">SQRT(($B45-H$5)^2+($C45-H$6)^2+($D45-H$7)^2)</f>
        <v>3.53810650747907</v>
      </c>
      <c r="I45" s="74" t="n">
        <f aca="false">SQRT(($B45-I$5)^2+($C45-I$6)^2+($D45-I$7)^2)</f>
        <v>2.28325243761835</v>
      </c>
      <c r="J45" s="74" t="n">
        <f aca="false">SQRT(($B45-J$5)^2+($C45-J$6)^2+($D45-J$7)^2)</f>
        <v>1.9488417723352</v>
      </c>
      <c r="K45" s="74" t="n">
        <f aca="false">SQRT(($B45-K$5)^2+($C45-K$6)^2+($D45-K$7)^2)</f>
        <v>2.12143704123196</v>
      </c>
      <c r="L45" s="74" t="n">
        <f aca="false">SQRT(($B45-L$5)^2+($C45-L$6)^2+($D45-L$7)^2)</f>
        <v>0.975384691957149</v>
      </c>
      <c r="M45" s="74" t="n">
        <f aca="false">SQRT(($B45-M$5)^2+($C45-M$6)^2+($D45-M$7)^2)</f>
        <v>1.12113746833329</v>
      </c>
      <c r="N45" s="74" t="n">
        <f aca="false">SQRT(($B45-N$5)^2+($C45-N$6)^2+($D45-N$7)^2)</f>
        <v>2.15395946075125</v>
      </c>
      <c r="O45" s="74" t="n">
        <f aca="false">SQRT(($B45-O$5)^2+($C45-O$6)^2+($D45-O$7)^2)</f>
        <v>1.09780277655276</v>
      </c>
      <c r="P45" s="74" t="n">
        <f aca="false">SQRT(($B45-P$5)^2+($C45-P$6)^2+($D45-P$7)^2)</f>
        <v>1.34345099260133</v>
      </c>
      <c r="Q45" s="74" t="n">
        <f aca="false">SQRT(($B45-Q$5)^2+($C45-Q$6)^2+($D45-Q$7)^2)</f>
        <v>0.651750061756719</v>
      </c>
      <c r="R45" s="74" t="n">
        <f aca="false">SQRT(($B45-R$5)^2+($C45-R$6)^2+($D45-R$7)^2)</f>
        <v>0.613286790517401</v>
      </c>
      <c r="S45" s="74" t="n">
        <f aca="false">SQRT(($B45-S$5)^2+($C45-S$6)^2+($D45-S$7)^2)</f>
        <v>0.824008899981808</v>
      </c>
      <c r="T45" s="74" t="n">
        <f aca="false">SQRT(($B45-T$5)^2+($C45-T$6)^2+($D45-T$7)^2)</f>
        <v>0.611632444840168</v>
      </c>
      <c r="U45" s="74" t="n">
        <f aca="false">SQRT(($B45-U$5)^2+($C45-U$6)^2+($D45-U$7)^2)</f>
        <v>0.588729777608586</v>
      </c>
      <c r="V45" s="74" t="n">
        <f aca="false">SQRT(($B45-V$5)^2+($C45-V$6)^2+($D45-V$7)^2)</f>
        <v>1.01016997972449</v>
      </c>
      <c r="W45" s="74" t="n">
        <f aca="false">SQRT(($B45-W$5)^2+($C45-W$6)^2+($D45-W$7)^2)</f>
        <v>0.897942352224395</v>
      </c>
      <c r="X45" s="74" t="n">
        <f aca="false">SQRT(($B45-X$5)^2+($C45-X$6)^2+($D45-X$7)^2)</f>
        <v>0.381866256355647</v>
      </c>
      <c r="Y45" s="74" t="n">
        <f aca="false">SQRT(($B45-Y$5)^2+($C45-Y$6)^2+($D45-Y$7)^2)</f>
        <v>0.37179359077452</v>
      </c>
      <c r="Z45" s="74" t="n">
        <f aca="false">SQRT(($B45-Z$5)^2+($C45-Z$6)^2+($D45-Z$7)^2)</f>
        <v>0.597960713502413</v>
      </c>
      <c r="AA45" s="74" t="n">
        <f aca="false">SQRT(($B45-AA$5)^2+($C45-AA$6)^2+($D45-AA$7)^2)</f>
        <v>0.469133186316285</v>
      </c>
      <c r="AB45" s="74" t="n">
        <f aca="false">SQRT(($B45-AB$5)^2+($C45-AB$6)^2+($D45-AB$7)^2)</f>
        <v>0.49554069828989</v>
      </c>
      <c r="AC45" s="74" t="n">
        <f aca="false">SQRT(($B45-AC$5)^2+($C45-AC$6)^2+($D45-AC$7)^2)</f>
        <v>0.938264127444082</v>
      </c>
      <c r="AD45" s="74" t="n">
        <f aca="false">SQRT(($B45-AD$5)^2+($C45-AD$6)^2+($D45-AD$7)^2)</f>
        <v>0.334535846078468</v>
      </c>
      <c r="AE45" s="74" t="n">
        <f aca="false">SQRT(($B45-AE$5)^2+($C45-AE$6)^2+($D45-AE$7)^2)</f>
        <v>2.3648493912276</v>
      </c>
      <c r="AF45" s="74" t="n">
        <f aca="false">SQRT(($B45-AF$5)^2+($C45-AF$6)^2+($D45-AF$7)^2)</f>
        <v>0.279309094540177</v>
      </c>
      <c r="AG45" s="74" t="n">
        <f aca="false">SQRT(($B45-AG$5)^2+($C45-AG$6)^2+($D45-AG$7)^2)</f>
        <v>1.94422472583705</v>
      </c>
      <c r="AH45" s="74" t="n">
        <f aca="false">SQRT(($B45-AH$5)^2+($C45-AH$6)^2+($D45-AH$7)^2)</f>
        <v>0.510243946511624</v>
      </c>
      <c r="AI45" s="74" t="n">
        <f aca="false">SQRT(($B45-AI$5)^2+($C45-AI$6)^2+($D45-AI$7)^2)</f>
        <v>1.94421175863908</v>
      </c>
      <c r="AJ45" s="74" t="n">
        <f aca="false">SQRT(($B45-AJ$5)^2+($C45-AJ$6)^2+($D45-AJ$7)^2)</f>
        <v>0</v>
      </c>
      <c r="AK45" s="74" t="n">
        <f aca="false">SQRT(($B45-AK$5)^2+($C45-AK$6)^2+($D45-AK$7)^2)</f>
        <v>0.844695914377561</v>
      </c>
      <c r="AL45" s="74" t="n">
        <f aca="false">SQRT(($B45-AL$5)^2+($C45-AL$6)^2+($D45-AL$7)^2)</f>
        <v>0.897263222896817</v>
      </c>
      <c r="AM45" s="74" t="n">
        <f aca="false">SQRT(($B45-AM$5)^2+($C45-AM$6)^2+($D45-AM$7)^2)</f>
        <v>1.16233533935086</v>
      </c>
      <c r="AN45" s="74" t="n">
        <f aca="false">SQRT(($B45-AN$5)^2+($C45-AN$6)^2+($D45-AN$7)^2)</f>
        <v>0.725084651655194</v>
      </c>
      <c r="AO45" s="74" t="n">
        <f aca="false">SQRT(($B45-AO$5)^2+($C45-AO$6)^2+($D45-AO$7)^2)</f>
        <v>0.612983423474907</v>
      </c>
      <c r="AP45" s="74" t="n">
        <f aca="false">SQRT(($B45-AP$5)^2+($C45-AP$6)^2+($D45-AP$7)^2)</f>
        <v>0.688894532373476</v>
      </c>
      <c r="AQ45" s="74" t="n">
        <f aca="false">SQRT(($B45-AQ$5)^2+($C45-AQ$6)^2+($D45-AQ$7)^2)</f>
        <v>0.886604929025633</v>
      </c>
      <c r="AR45" s="74" t="n">
        <f aca="false">SQRT(($B45-AR$5)^2+($C45-AR$6)^2+($D45-AR$7)^2)</f>
        <v>1.26611514838093</v>
      </c>
      <c r="AS45" s="74" t="n">
        <f aca="false">SQRT(($B45-AS$5)^2+($C45-AS$6)^2+($D45-AS$7)^2)</f>
        <v>1.25033074517992</v>
      </c>
      <c r="AT45" s="74" t="n">
        <f aca="false">SQRT(($B45-AT$5)^2+($C45-AT$6)^2+($D45-AT$7)^2)</f>
        <v>0.827452811852882</v>
      </c>
      <c r="AU45" s="74" t="n">
        <f aca="false">SQRT(($B45-AU$5)^2+($C45-AU$6)^2+($D45-AU$7)^2)</f>
        <v>1.90764036888207</v>
      </c>
      <c r="AV45" s="74" t="n">
        <f aca="false">SQRT(($B45-AV$5)^2+($C45-AV$6)^2+($D45-AV$7)^2)</f>
        <v>1.39471079882891</v>
      </c>
      <c r="AW45" s="74" t="n">
        <f aca="false">SQRT(($B45-AW$5)^2+($C45-AW$6)^2+($D45-AW$7)^2)</f>
        <v>2.31386010111681</v>
      </c>
      <c r="AX45" s="74" t="n">
        <f aca="false">SQRT(($B45-AX$5)^2+($C45-AX$6)^2+($D45-AX$7)^2)</f>
        <v>0.893518983141522</v>
      </c>
      <c r="AY45" s="74" t="n">
        <f aca="false">SQRT(($B45-AY$5)^2+($C45-AY$6)^2+($D45-AY$7)^2)</f>
        <v>2.59388905641995</v>
      </c>
      <c r="AZ45" s="74" t="n">
        <f aca="false">SQRT(($B45-AZ$5)^2+($C45-AZ$6)^2+($D45-AZ$7)^2)</f>
        <v>1.27717760141729</v>
      </c>
      <c r="BA45" s="74" t="n">
        <f aca="false">SQRT(($B45-BA$5)^2+($C45-BA$6)^2+($D45-BA$7)^2)</f>
        <v>0.850589710818524</v>
      </c>
      <c r="BB45" s="74" t="n">
        <f aca="false">SQRT(($B45-BB$5)^2+($C45-BB$6)^2+($D45-BB$7)^2)</f>
        <v>2.5948240193809</v>
      </c>
      <c r="BC45" s="74" t="n">
        <f aca="false">SQRT(($B45-BC$5)^2+($C45-BC$6)^2+($D45-BC$7)^2)</f>
        <v>2.59578737870646</v>
      </c>
      <c r="BD45" s="74" t="n">
        <f aca="false">SQRT(($B45-BD$5)^2+($C45-BD$6)^2+($D45-BD$7)^2)</f>
        <v>2.06500105251492</v>
      </c>
      <c r="BE45" s="74" t="n">
        <f aca="false">SQRT(($B45-BE$5)^2+($C45-BE$6)^2+($D45-BE$7)^2)</f>
        <v>1.87201766559871</v>
      </c>
      <c r="BF45" s="74" t="n">
        <f aca="false">SQRT(($B45-BF$5)^2+($C45-BF$6)^2+($D45-BF$7)^2)</f>
        <v>0.999984510481511</v>
      </c>
      <c r="BG45" s="74" t="n">
        <f aca="false">SQRT(($B45-BG$5)^2+($C45-BG$6)^2+($D45-BG$7)^2)</f>
        <v>0.972866300016225</v>
      </c>
      <c r="BH45" s="74" t="n">
        <f aca="false">SQRT(($B45-BH$5)^2+($C45-BH$6)^2+($D45-BH$7)^2)</f>
        <v>2.61286206506718</v>
      </c>
      <c r="BI45" s="74" t="n">
        <f aca="false">SQRT(($B45-BI$5)^2+($C45-BI$6)^2+($D45-BI$7)^2)</f>
        <v>2.61596937770276</v>
      </c>
      <c r="BJ45" s="74" t="n">
        <f aca="false">SQRT(($B45-BJ$5)^2+($C45-BJ$6)^2+($D45-BJ$7)^2)</f>
        <v>1.2338655380947</v>
      </c>
      <c r="BK45" s="74" t="n">
        <f aca="false">SQRT(($B45-BK$5)^2+($C45-BK$6)^2+($D45-BK$7)^2)</f>
        <v>2.02386697862757</v>
      </c>
      <c r="BL45" s="74" t="n">
        <f aca="false">SQRT(($B45-BL$5)^2+($C45-BL$6)^2+($D45-BL$7)^2)</f>
        <v>1.5421562156777</v>
      </c>
      <c r="BM45" s="74" t="n">
        <f aca="false">SQRT(($B45-BM$5)^2+($C45-BM$6)^2+($D45-BM$7)^2)</f>
        <v>0.85785619960098</v>
      </c>
      <c r="BN45" s="74" t="n">
        <f aca="false">SQRT(($B45-BN$5)^2+($C45-BN$6)^2+($D45-BN$7)^2)</f>
        <v>1.29248283416562</v>
      </c>
      <c r="BO45" s="74" t="n">
        <f aca="false">SQRT(($B45-BO$5)^2+($C45-BO$6)^2+($D45-BO$7)^2)</f>
        <v>2.37615931109489</v>
      </c>
      <c r="BP45" s="74" t="n">
        <f aca="false">SQRT(($B45-BP$5)^2+($C45-BP$6)^2+($D45-BP$7)^2)</f>
        <v>1.14638294428255</v>
      </c>
      <c r="BQ45" s="74" t="n">
        <f aca="false">SQRT(($B45-BQ$5)^2+($C45-BQ$6)^2+($D45-BQ$7)^2)</f>
        <v>1.21601986712609</v>
      </c>
      <c r="BR45" s="74" t="n">
        <f aca="false">SQRT(($B45-BR$5)^2+($C45-BR$6)^2+($D45-BR$7)^2)</f>
        <v>1.20127482720333</v>
      </c>
      <c r="BS45" s="74" t="n">
        <f aca="false">SQRT(($B45-BS$5)^2+($C45-BS$6)^2+($D45-BS$7)^2)</f>
        <v>1.51841352185857</v>
      </c>
      <c r="BT45" s="74" t="n">
        <f aca="false">SQRT(($B45-BT$5)^2+($C45-BT$6)^2+($D45-BT$7)^2)</f>
        <v>1.71712845064591</v>
      </c>
      <c r="BU45" s="74" t="n">
        <f aca="false">SQRT(($B45-BU$5)^2+($C45-BU$6)^2+($D45-BU$7)^2)</f>
        <v>1.76382547931485</v>
      </c>
      <c r="BV45" s="74" t="n">
        <f aca="false">SQRT(($B45-BV$5)^2+($C45-BV$6)^2+($D45-BV$7)^2)</f>
        <v>2.69799498250764</v>
      </c>
      <c r="BW45" s="74" t="n">
        <f aca="false">SQRT(($B45-BW$5)^2+($C45-BW$6)^2+($D45-BW$7)^2)</f>
        <v>1.69878203793617</v>
      </c>
      <c r="BX45" s="74" t="n">
        <f aca="false">SQRT(($B45-BX$5)^2+($C45-BX$6)^2+($D45-BX$7)^2)</f>
        <v>2.70295377736331</v>
      </c>
      <c r="BY45" s="74" t="n">
        <f aca="false">SQRT(($B45-BY$5)^2+($C45-BY$6)^2+($D45-BY$7)^2)</f>
        <v>1.98457962467151</v>
      </c>
      <c r="BZ45" s="74" t="n">
        <f aca="false">SQRT(($B45-BZ$5)^2+($C45-BZ$6)^2+($D45-BZ$7)^2)</f>
        <v>2.03322356257269</v>
      </c>
      <c r="CA45" s="74" t="n">
        <f aca="false">SQRT(($B45-CA$5)^2+($C45-CA$6)^2+($D45-CA$7)^2)</f>
        <v>2.71939006241776</v>
      </c>
      <c r="CB45" s="74" t="n">
        <f aca="false">SQRT(($B45-CB$5)^2+($C45-CB$6)^2+($D45-CB$7)^2)</f>
        <v>2.04133228038004</v>
      </c>
      <c r="CC45" s="74" t="n">
        <f aca="false">SQRT(($B45-CC$5)^2+($C45-CC$6)^2+($D45-CC$7)^2)</f>
        <v>2.72545807802969</v>
      </c>
      <c r="CD45" s="74" t="n">
        <f aca="false">SQRT(($B45-CD$5)^2+($C45-CD$6)^2+($D45-CD$7)^2)</f>
        <v>2.73862895778074</v>
      </c>
      <c r="CE45" s="74" t="n">
        <f aca="false">SQRT(($B45-CE$5)^2+($C45-CE$6)^2+($D45-CE$7)^2)</f>
        <v>1.89256975422417</v>
      </c>
      <c r="CF45" s="74" t="n">
        <f aca="false">SQRT(($B45-CF$5)^2+($C45-CF$6)^2+($D45-CF$7)^2)</f>
        <v>1.54213255303548</v>
      </c>
      <c r="CG45" s="74" t="n">
        <f aca="false">SQRT(($B45-CG$5)^2+($C45-CG$6)^2+($D45-CG$7)^2)</f>
        <v>1.96286801787943</v>
      </c>
      <c r="CH45" s="74" t="n">
        <f aca="false">SQRT(($B45-CH$5)^2+($C45-CH$6)^2+($D45-CH$7)^2)</f>
        <v>2.20448268080669</v>
      </c>
      <c r="CI45" s="74" t="n">
        <f aca="false">SQRT(($B45-CI$5)^2+($C45-CI$6)^2+($D45-CI$7)^2)</f>
        <v>2.29977306407044</v>
      </c>
      <c r="CJ45" s="74" t="n">
        <f aca="false">SQRT(($B45-CJ$5)^2+($C45-CJ$6)^2+($D45-CJ$7)^2)</f>
        <v>2.54745906439733</v>
      </c>
      <c r="CK45" s="74" t="n">
        <f aca="false">SQRT(($B45-CK$5)^2+($C45-CK$6)^2+($D45-CK$7)^2)</f>
        <v>2.04555754894062</v>
      </c>
      <c r="CL45" s="74" t="n">
        <f aca="false">SQRT(($B45-CL$5)^2+($C45-CL$6)^2+($D45-CL$7)^2)</f>
        <v>2.83640070947318</v>
      </c>
      <c r="CM45" s="74" t="n">
        <f aca="false">SQRT(($B45-CM$5)^2+($C45-CM$6)^2+($D45-CM$7)^2)</f>
        <v>2.23228843101458</v>
      </c>
      <c r="CN45" s="74" t="n">
        <f aca="false">SQRT(($B45-CN$5)^2+($C45-CN$6)^2+($D45-CN$7)^2)</f>
        <v>1.53040574212638</v>
      </c>
      <c r="CO45" s="74" t="n">
        <f aca="false">SQRT(($B45-CO$5)^2+($C45-CO$6)^2+($D45-CO$7)^2)</f>
        <v>1.97107590187559</v>
      </c>
      <c r="CP45" s="74" t="n">
        <f aca="false">SQRT(($B45-CP$5)^2+($C45-CP$6)^2+($D45-CP$7)^2)</f>
        <v>2.88396838498138</v>
      </c>
      <c r="CQ45" s="74" t="n">
        <f aca="false">SQRT(($B45-CQ$5)^2+($C45-CQ$6)^2+($D45-CQ$7)^2)</f>
        <v>2.36958207205139</v>
      </c>
      <c r="CR45" s="74" t="n">
        <f aca="false">SQRT(($B45-CR$5)^2+($C45-CR$6)^2+($D45-CR$7)^2)</f>
        <v>2.34330777193408</v>
      </c>
      <c r="CS45" s="74" t="n">
        <f aca="false">SQRT(($B45-CS$5)^2+($C45-CS$6)^2+($D45-CS$7)^2)</f>
        <v>2.9245766632908</v>
      </c>
      <c r="CT45" s="74" t="n">
        <f aca="false">SQRT(($B45-CT$5)^2+($C45-CT$6)^2+($D45-CT$7)^2)</f>
        <v>2.94864331959882</v>
      </c>
      <c r="CU45" s="74" t="n">
        <f aca="false">SQRT(($B45-CU$5)^2+($C45-CU$6)^2+($D45-CU$7)^2)</f>
        <v>2.51784057325346</v>
      </c>
      <c r="CV45" s="74" t="n">
        <f aca="false">SQRT(($B45-CV$5)^2+($C45-CV$6)^2+($D45-CV$7)^2)</f>
        <v>2.07617636995539</v>
      </c>
      <c r="CW45" s="74" t="n">
        <f aca="false">SQRT(($B45-CW$5)^2+($C45-CW$6)^2+($D45-CW$7)^2)</f>
        <v>2.94864331959882</v>
      </c>
      <c r="CX45" s="74" t="n">
        <f aca="false">SQRT(($B45-CX$5)^2+($C45-CX$6)^2+($D45-CX$7)^2)</f>
        <v>2.25181178373558</v>
      </c>
      <c r="CY45" s="74" t="n">
        <f aca="false">SQRT(($B45-CY$5)^2+($C45-CY$6)^2+($D45-CY$7)^2)</f>
        <v>2.97598363279834</v>
      </c>
      <c r="CZ45" s="74" t="n">
        <f aca="false">SQRT(($B45-CZ$5)^2+($C45-CZ$6)^2+($D45-CZ$7)^2)</f>
        <v>2.97598363279834</v>
      </c>
      <c r="DA45" s="74" t="n">
        <f aca="false">SQRT(($B45-DA$5)^2+($C45-DA$6)^2+($D45-DA$7)^2)</f>
        <v>2.52322185767879</v>
      </c>
      <c r="DB45" s="74" t="n">
        <f aca="false">SQRT(($B45-DB$5)^2+($C45-DB$6)^2+($D45-DB$7)^2)</f>
        <v>3.00743707456687</v>
      </c>
      <c r="DC45" s="74" t="n">
        <f aca="false">SQRT(($B45-DC$5)^2+($C45-DC$6)^2+($D45-DC$7)^2)</f>
        <v>3.00743707456687</v>
      </c>
      <c r="DD45" s="74" t="n">
        <f aca="false">SQRT(($B45-DD$5)^2+($C45-DD$6)^2+($D45-DD$7)^2)</f>
        <v>2.64644443215754</v>
      </c>
      <c r="DE45" s="74" t="n">
        <f aca="false">SQRT(($B45-DE$5)^2+($C45-DE$6)^2+($D45-DE$7)^2)</f>
        <v>2.86144440535348</v>
      </c>
      <c r="DF45" s="74" t="n">
        <f aca="false">SQRT(($B45-DF$5)^2+($C45-DF$6)^2+($D45-DF$7)^2)</f>
        <v>3.21006003696203</v>
      </c>
      <c r="DG45" s="74" t="n">
        <f aca="false">SQRT(($B45-DG$5)^2+($C45-DG$6)^2+($D45-DG$7)^2)</f>
        <v>3.30208855375179</v>
      </c>
      <c r="DH45" s="74" t="n">
        <f aca="false">SQRT(($B45-DH$5)^2+($C45-DH$6)^2+($D45-DH$7)^2)</f>
        <v>3.30208855375179</v>
      </c>
      <c r="DI45" s="74" t="n">
        <f aca="false">SQRT(($B45-DI$5)^2+($C45-DI$6)^2+($D45-DI$7)^2)</f>
        <v>3.30208855375179</v>
      </c>
      <c r="DJ45" s="74" t="n">
        <f aca="false">SQRT(($B45-DJ$5)^2+($C45-DJ$6)^2+($D45-DJ$7)^2)</f>
        <v>3.30208855375179</v>
      </c>
      <c r="DK45" s="74" t="n">
        <f aca="false">SQRT(($B45-DK$5)^2+($C45-DK$6)^2+($D45-DK$7)^2)</f>
        <v>3.43869045349591</v>
      </c>
      <c r="DL45" s="74" t="n">
        <f aca="false">SQRT(($B45-DL$5)^2+($C45-DL$6)^2+($D45-DL$7)^2)</f>
        <v>3.43869045349591</v>
      </c>
      <c r="DM45" s="74" t="n">
        <f aca="false">SQRT(($B45-DM$5)^2+($C45-DM$6)^2+($D45-DM$7)^2)</f>
        <v>3.43869045349591</v>
      </c>
      <c r="DN45" s="74" t="n">
        <f aca="false">SQRT(($B45-DN$5)^2+($C45-DN$6)^2+($D45-DN$7)^2)</f>
        <v>3.43869045349591</v>
      </c>
      <c r="DO45" s="74" t="n">
        <f aca="false">SQRT(($B45-DO$5)^2+($C45-DO$6)^2+($D45-DO$7)^2)</f>
        <v>3.43869045349591</v>
      </c>
      <c r="DP45" s="74" t="n">
        <f aca="false">SQRT(($B45-DP$5)^2+($C45-DP$6)^2+($D45-DP$7)^2)</f>
        <v>3.68849529478745</v>
      </c>
      <c r="DQ45" s="74" t="n">
        <f aca="false">SQRT(($B45-DQ$5)^2+($C45-DQ$6)^2+($D45-DQ$7)^2)</f>
        <v>3.68849529478745</v>
      </c>
    </row>
    <row r="46" customFormat="false" ht="15" hidden="false" customHeight="false" outlineLevel="0" collapsed="false">
      <c r="A46" s="48" t="str">
        <f aca="false">KMeans_Data!A37</f>
        <v>Karak</v>
      </c>
      <c r="B46" s="72" t="n">
        <f aca="false">KMeans_Data!H37</f>
        <v>0.531605743068138</v>
      </c>
      <c r="C46" s="72" t="n">
        <f aca="false">KMeans_Data!I37</f>
        <v>0.378684277529216</v>
      </c>
      <c r="D46" s="72" t="n">
        <f aca="false">KMeans_Data!J37</f>
        <v>0.286716848591577</v>
      </c>
      <c r="E46" s="74" t="n">
        <f aca="false">SQRT(($B46-E$5)^2+($C46-E$6)^2+($D46-E$7)^2)</f>
        <v>5.45127311245764</v>
      </c>
      <c r="F46" s="74" t="n">
        <f aca="false">SQRT(($B46-F$5)^2+($C46-F$6)^2+($D46-F$7)^2)</f>
        <v>5.23404418188676</v>
      </c>
      <c r="G46" s="74" t="n">
        <f aca="false">SQRT(($B46-G$5)^2+($C46-G$6)^2+($D46-G$7)^2)</f>
        <v>3.37320035284465</v>
      </c>
      <c r="H46" s="74" t="n">
        <f aca="false">SQRT(($B46-H$5)^2+($C46-H$6)^2+($D46-H$7)^2)</f>
        <v>3.90542093529564</v>
      </c>
      <c r="I46" s="74" t="n">
        <f aca="false">SQRT(($B46-I$5)^2+($C46-I$6)^2+($D46-I$7)^2)</f>
        <v>2.74260439194059</v>
      </c>
      <c r="J46" s="74" t="n">
        <f aca="false">SQRT(($B46-J$5)^2+($C46-J$6)^2+($D46-J$7)^2)</f>
        <v>2.38630487458191</v>
      </c>
      <c r="K46" s="74" t="n">
        <f aca="false">SQRT(($B46-K$5)^2+($C46-K$6)^2+($D46-K$7)^2)</f>
        <v>1.39102222109447</v>
      </c>
      <c r="L46" s="74" t="n">
        <f aca="false">SQRT(($B46-L$5)^2+($C46-L$6)^2+($D46-L$7)^2)</f>
        <v>1.66604088072001</v>
      </c>
      <c r="M46" s="74" t="n">
        <f aca="false">SQRT(($B46-M$5)^2+($C46-M$6)^2+($D46-M$7)^2)</f>
        <v>1.79113049190489</v>
      </c>
      <c r="N46" s="74" t="n">
        <f aca="false">SQRT(($B46-N$5)^2+($C46-N$6)^2+($D46-N$7)^2)</f>
        <v>1.39993541564335</v>
      </c>
      <c r="O46" s="74" t="n">
        <f aca="false">SQRT(($B46-O$5)^2+($C46-O$6)^2+($D46-O$7)^2)</f>
        <v>1.43799336942774</v>
      </c>
      <c r="P46" s="74" t="n">
        <f aca="false">SQRT(($B46-P$5)^2+($C46-P$6)^2+($D46-P$7)^2)</f>
        <v>1.74947783604472</v>
      </c>
      <c r="Q46" s="74" t="n">
        <f aca="false">SQRT(($B46-Q$5)^2+($C46-Q$6)^2+($D46-Q$7)^2)</f>
        <v>1.12665048313926</v>
      </c>
      <c r="R46" s="74" t="n">
        <f aca="false">SQRT(($B46-R$5)^2+($C46-R$6)^2+($D46-R$7)^2)</f>
        <v>1.2871988045077</v>
      </c>
      <c r="S46" s="74" t="n">
        <f aca="false">SQRT(($B46-S$5)^2+($C46-S$6)^2+($D46-S$7)^2)</f>
        <v>1.13039194830486</v>
      </c>
      <c r="T46" s="74" t="n">
        <f aca="false">SQRT(($B46-T$5)^2+($C46-T$6)^2+($D46-T$7)^2)</f>
        <v>1.03740195953957</v>
      </c>
      <c r="U46" s="74" t="n">
        <f aca="false">SQRT(($B46-U$5)^2+($C46-U$6)^2+($D46-U$7)^2)</f>
        <v>1.34252816794469</v>
      </c>
      <c r="V46" s="74" t="n">
        <f aca="false">SQRT(($B46-V$5)^2+($C46-V$6)^2+($D46-V$7)^2)</f>
        <v>1.10365191453545</v>
      </c>
      <c r="W46" s="74" t="n">
        <f aca="false">SQRT(($B46-W$5)^2+($C46-W$6)^2+($D46-W$7)^2)</f>
        <v>1.23544132129443</v>
      </c>
      <c r="X46" s="74" t="n">
        <f aca="false">SQRT(($B46-X$5)^2+($C46-X$6)^2+($D46-X$7)^2)</f>
        <v>0.915849003324977</v>
      </c>
      <c r="Y46" s="74" t="n">
        <f aca="false">SQRT(($B46-Y$5)^2+($C46-Y$6)^2+($D46-Y$7)^2)</f>
        <v>1.10021349613126</v>
      </c>
      <c r="Z46" s="74" t="n">
        <f aca="false">SQRT(($B46-Z$5)^2+($C46-Z$6)^2+($D46-Z$7)^2)</f>
        <v>0.59548817971438</v>
      </c>
      <c r="AA46" s="74" t="n">
        <f aca="false">SQRT(($B46-AA$5)^2+($C46-AA$6)^2+($D46-AA$7)^2)</f>
        <v>0.750950373493826</v>
      </c>
      <c r="AB46" s="74" t="n">
        <f aca="false">SQRT(($B46-AB$5)^2+($C46-AB$6)^2+($D46-AB$7)^2)</f>
        <v>0.486641815279137</v>
      </c>
      <c r="AC46" s="74" t="n">
        <f aca="false">SQRT(($B46-AC$5)^2+($C46-AC$6)^2+($D46-AC$7)^2)</f>
        <v>1.11910530280394</v>
      </c>
      <c r="AD46" s="74" t="n">
        <f aca="false">SQRT(($B46-AD$5)^2+($C46-AD$6)^2+($D46-AD$7)^2)</f>
        <v>1.09304444288816</v>
      </c>
      <c r="AE46" s="74" t="n">
        <f aca="false">SQRT(($B46-AE$5)^2+($C46-AE$6)^2+($D46-AE$7)^2)</f>
        <v>1.53003121333998</v>
      </c>
      <c r="AF46" s="74" t="n">
        <f aca="false">SQRT(($B46-AF$5)^2+($C46-AF$6)^2+($D46-AF$7)^2)</f>
        <v>0.665991810872393</v>
      </c>
      <c r="AG46" s="74" t="n">
        <f aca="false">SQRT(($B46-AG$5)^2+($C46-AG$6)^2+($D46-AG$7)^2)</f>
        <v>1.25650388295188</v>
      </c>
      <c r="AH46" s="74" t="n">
        <f aca="false">SQRT(($B46-AH$5)^2+($C46-AH$6)^2+($D46-AH$7)^2)</f>
        <v>0.542754913739855</v>
      </c>
      <c r="AI46" s="74" t="n">
        <f aca="false">SQRT(($B46-AI$5)^2+($C46-AI$6)^2+($D46-AI$7)^2)</f>
        <v>1.25639165819767</v>
      </c>
      <c r="AJ46" s="74" t="n">
        <f aca="false">SQRT(($B46-AJ$5)^2+($C46-AJ$6)^2+($D46-AJ$7)^2)</f>
        <v>0.844695914377561</v>
      </c>
      <c r="AK46" s="74" t="n">
        <f aca="false">SQRT(($B46-AK$5)^2+($C46-AK$6)^2+($D46-AK$7)^2)</f>
        <v>0</v>
      </c>
      <c r="AL46" s="74" t="n">
        <f aca="false">SQRT(($B46-AL$5)^2+($C46-AL$6)^2+($D46-AL$7)^2)</f>
        <v>0.590682565917272</v>
      </c>
      <c r="AM46" s="74" t="n">
        <f aca="false">SQRT(($B46-AM$5)^2+($C46-AM$6)^2+($D46-AM$7)^2)</f>
        <v>1.00369615742722</v>
      </c>
      <c r="AN46" s="74" t="n">
        <f aca="false">SQRT(($B46-AN$5)^2+($C46-AN$6)^2+($D46-AN$7)^2)</f>
        <v>0.884352218615202</v>
      </c>
      <c r="AO46" s="74" t="n">
        <f aca="false">SQRT(($B46-AO$5)^2+($C46-AO$6)^2+($D46-AO$7)^2)</f>
        <v>0.271689708828195</v>
      </c>
      <c r="AP46" s="74" t="n">
        <f aca="false">SQRT(($B46-AP$5)^2+($C46-AP$6)^2+($D46-AP$7)^2)</f>
        <v>0.201643161089328</v>
      </c>
      <c r="AQ46" s="74" t="n">
        <f aca="false">SQRT(($B46-AQ$5)^2+($C46-AQ$6)^2+($D46-AQ$7)^2)</f>
        <v>0.964979440204691</v>
      </c>
      <c r="AR46" s="74" t="n">
        <f aca="false">SQRT(($B46-AR$5)^2+($C46-AR$6)^2+($D46-AR$7)^2)</f>
        <v>0.448533659568024</v>
      </c>
      <c r="AS46" s="74" t="n">
        <f aca="false">SQRT(($B46-AS$5)^2+($C46-AS$6)^2+($D46-AS$7)^2)</f>
        <v>1.29454145049303</v>
      </c>
      <c r="AT46" s="74" t="n">
        <f aca="false">SQRT(($B46-AT$5)^2+($C46-AT$6)^2+($D46-AT$7)^2)</f>
        <v>0.761917396543051</v>
      </c>
      <c r="AU46" s="74" t="n">
        <f aca="false">SQRT(($B46-AU$5)^2+($C46-AU$6)^2+($D46-AU$7)^2)</f>
        <v>1.0960376626031</v>
      </c>
      <c r="AV46" s="74" t="n">
        <f aca="false">SQRT(($B46-AV$5)^2+($C46-AV$6)^2+($D46-AV$7)^2)</f>
        <v>1.11044496760682</v>
      </c>
      <c r="AW46" s="74" t="n">
        <f aca="false">SQRT(($B46-AW$5)^2+($C46-AW$6)^2+($D46-AW$7)^2)</f>
        <v>1.55750784070286</v>
      </c>
      <c r="AX46" s="74" t="n">
        <f aca="false">SQRT(($B46-AX$5)^2+($C46-AX$6)^2+($D46-AX$7)^2)</f>
        <v>0.382167359755365</v>
      </c>
      <c r="AY46" s="74" t="n">
        <f aca="false">SQRT(($B46-AY$5)^2+($C46-AY$6)^2+($D46-AY$7)^2)</f>
        <v>1.80728503640632</v>
      </c>
      <c r="AZ46" s="74" t="n">
        <f aca="false">SQRT(($B46-AZ$5)^2+($C46-AZ$6)^2+($D46-AZ$7)^2)</f>
        <v>1.33072809334191</v>
      </c>
      <c r="BA46" s="74" t="n">
        <f aca="false">SQRT(($B46-BA$5)^2+($C46-BA$6)^2+($D46-BA$7)^2)</f>
        <v>0.805719652026295</v>
      </c>
      <c r="BB46" s="74" t="n">
        <f aca="false">SQRT(($B46-BB$5)^2+($C46-BB$6)^2+($D46-BB$7)^2)</f>
        <v>1.80849419597068</v>
      </c>
      <c r="BC46" s="74" t="n">
        <f aca="false">SQRT(($B46-BC$5)^2+($C46-BC$6)^2+($D46-BC$7)^2)</f>
        <v>1.80974207433736</v>
      </c>
      <c r="BD46" s="74" t="n">
        <f aca="false">SQRT(($B46-BD$5)^2+($C46-BD$6)^2+($D46-BD$7)^2)</f>
        <v>1.36455336702302</v>
      </c>
      <c r="BE46" s="74" t="n">
        <f aca="false">SQRT(($B46-BE$5)^2+($C46-BE$6)^2+($D46-BE$7)^2)</f>
        <v>1.23692757892253</v>
      </c>
      <c r="BF46" s="74" t="n">
        <f aca="false">SQRT(($B46-BF$5)^2+($C46-BF$6)^2+($D46-BF$7)^2)</f>
        <v>1.18430366682372</v>
      </c>
      <c r="BG46" s="74" t="n">
        <f aca="false">SQRT(($B46-BG$5)^2+($C46-BG$6)^2+($D46-BG$7)^2)</f>
        <v>0.756202138662263</v>
      </c>
      <c r="BH46" s="74" t="n">
        <f aca="false">SQRT(($B46-BH$5)^2+($C46-BH$6)^2+($D46-BH$7)^2)</f>
        <v>1.83209335845905</v>
      </c>
      <c r="BI46" s="74" t="n">
        <f aca="false">SQRT(($B46-BI$5)^2+($C46-BI$6)^2+($D46-BI$7)^2)</f>
        <v>1.83619285253426</v>
      </c>
      <c r="BJ46" s="74" t="n">
        <f aca="false">SQRT(($B46-BJ$5)^2+($C46-BJ$6)^2+($D46-BJ$7)^2)</f>
        <v>0.603851572825215</v>
      </c>
      <c r="BK46" s="74" t="n">
        <f aca="false">SQRT(($B46-BK$5)^2+($C46-BK$6)^2+($D46-BK$7)^2)</f>
        <v>1.36124101669339</v>
      </c>
      <c r="BL46" s="74" t="n">
        <f aca="false">SQRT(($B46-BL$5)^2+($C46-BL$6)^2+($D46-BL$7)^2)</f>
        <v>1.18225775187603</v>
      </c>
      <c r="BM46" s="74" t="n">
        <f aca="false">SQRT(($B46-BM$5)^2+($C46-BM$6)^2+($D46-BM$7)^2)</f>
        <v>0.627768975251977</v>
      </c>
      <c r="BN46" s="74" t="n">
        <f aca="false">SQRT(($B46-BN$5)^2+($C46-BN$6)^2+($D46-BN$7)^2)</f>
        <v>0.661775589607335</v>
      </c>
      <c r="BO46" s="74" t="n">
        <f aca="false">SQRT(($B46-BO$5)^2+($C46-BO$6)^2+($D46-BO$7)^2)</f>
        <v>1.6418890564336</v>
      </c>
      <c r="BP46" s="74" t="n">
        <f aca="false">SQRT(($B46-BP$5)^2+($C46-BP$6)^2+($D46-BP$7)^2)</f>
        <v>0.667140941548857</v>
      </c>
      <c r="BQ46" s="74" t="n">
        <f aca="false">SQRT(($B46-BQ$5)^2+($C46-BQ$6)^2+($D46-BQ$7)^2)</f>
        <v>0.83499826220883</v>
      </c>
      <c r="BR46" s="74" t="n">
        <f aca="false">SQRT(($B46-BR$5)^2+($C46-BR$6)^2+($D46-BR$7)^2)</f>
        <v>0.860544513358135</v>
      </c>
      <c r="BS46" s="74" t="n">
        <f aca="false">SQRT(($B46-BS$5)^2+($C46-BS$6)^2+($D46-BS$7)^2)</f>
        <v>1.30313529281904</v>
      </c>
      <c r="BT46" s="74" t="n">
        <f aca="false">SQRT(($B46-BT$5)^2+($C46-BT$6)^2+($D46-BT$7)^2)</f>
        <v>1.29259831951941</v>
      </c>
      <c r="BU46" s="74" t="n">
        <f aca="false">SQRT(($B46-BU$5)^2+($C46-BU$6)^2+($D46-BU$7)^2)</f>
        <v>1.30140727167386</v>
      </c>
      <c r="BV46" s="74" t="n">
        <f aca="false">SQRT(($B46-BV$5)^2+($C46-BV$6)^2+($D46-BV$7)^2)</f>
        <v>1.94511208218621</v>
      </c>
      <c r="BW46" s="74" t="n">
        <f aca="false">SQRT(($B46-BW$5)^2+($C46-BW$6)^2+($D46-BW$7)^2)</f>
        <v>1.32567454534272</v>
      </c>
      <c r="BX46" s="74" t="n">
        <f aca="false">SQRT(($B46-BX$5)^2+($C46-BX$6)^2+($D46-BX$7)^2)</f>
        <v>1.9516841276218</v>
      </c>
      <c r="BY46" s="74" t="n">
        <f aca="false">SQRT(($B46-BY$5)^2+($C46-BY$6)^2+($D46-BY$7)^2)</f>
        <v>1.42566970017062</v>
      </c>
      <c r="BZ46" s="74" t="n">
        <f aca="false">SQRT(($B46-BZ$5)^2+($C46-BZ$6)^2+($D46-BZ$7)^2)</f>
        <v>1.45752151526231</v>
      </c>
      <c r="CA46" s="74" t="n">
        <f aca="false">SQRT(($B46-CA$5)^2+($C46-CA$6)^2+($D46-CA$7)^2)</f>
        <v>1.97343455837127</v>
      </c>
      <c r="CB46" s="74" t="n">
        <f aca="false">SQRT(($B46-CB$5)^2+($C46-CB$6)^2+($D46-CB$7)^2)</f>
        <v>1.46835675305791</v>
      </c>
      <c r="CC46" s="74" t="n">
        <f aca="false">SQRT(($B46-CC$5)^2+($C46-CC$6)^2+($D46-CC$7)^2)</f>
        <v>1.98145061582978</v>
      </c>
      <c r="CD46" s="74" t="n">
        <f aca="false">SQRT(($B46-CD$5)^2+($C46-CD$6)^2+($D46-CD$7)^2)</f>
        <v>1.998822194094</v>
      </c>
      <c r="CE46" s="74" t="n">
        <f aca="false">SQRT(($B46-CE$5)^2+($C46-CE$6)^2+($D46-CE$7)^2)</f>
        <v>1.42858729562136</v>
      </c>
      <c r="CF46" s="74" t="n">
        <f aca="false">SQRT(($B46-CF$5)^2+($C46-CF$6)^2+($D46-CF$7)^2)</f>
        <v>1.08361777251364</v>
      </c>
      <c r="CG46" s="74" t="n">
        <f aca="false">SQRT(($B46-CG$5)^2+($C46-CG$6)^2+($D46-CG$7)^2)</f>
        <v>1.3239327065837</v>
      </c>
      <c r="CH46" s="74" t="n">
        <f aca="false">SQRT(($B46-CH$5)^2+($C46-CH$6)^2+($D46-CH$7)^2)</f>
        <v>1.60679074367861</v>
      </c>
      <c r="CI46" s="74" t="n">
        <f aca="false">SQRT(($B46-CI$5)^2+($C46-CI$6)^2+($D46-CI$7)^2)</f>
        <v>1.68415532628735</v>
      </c>
      <c r="CJ46" s="74" t="n">
        <f aca="false">SQRT(($B46-CJ$5)^2+($C46-CJ$6)^2+($D46-CJ$7)^2)</f>
        <v>1.87187297068329</v>
      </c>
      <c r="CK46" s="74" t="n">
        <f aca="false">SQRT(($B46-CK$5)^2+($C46-CK$6)^2+($D46-CK$7)^2)</f>
        <v>1.58134547676148</v>
      </c>
      <c r="CL46" s="74" t="n">
        <f aca="false">SQRT(($B46-CL$5)^2+($C46-CL$6)^2+($D46-CL$7)^2)</f>
        <v>2.12647001026442</v>
      </c>
      <c r="CM46" s="74" t="n">
        <f aca="false">SQRT(($B46-CM$5)^2+($C46-CM$6)^2+($D46-CM$7)^2)</f>
        <v>1.68306630414685</v>
      </c>
      <c r="CN46" s="74" t="n">
        <f aca="false">SQRT(($B46-CN$5)^2+($C46-CN$6)^2+($D46-CN$7)^2)</f>
        <v>1.38754601594178</v>
      </c>
      <c r="CO46" s="74" t="n">
        <f aca="false">SQRT(($B46-CO$5)^2+($C46-CO$6)^2+($D46-CO$7)^2)</f>
        <v>1.4577979002101</v>
      </c>
      <c r="CP46" s="74" t="n">
        <f aca="false">SQRT(($B46-CP$5)^2+($C46-CP$6)^2+($D46-CP$7)^2)</f>
        <v>2.18770865271985</v>
      </c>
      <c r="CQ46" s="74" t="n">
        <f aca="false">SQRT(($B46-CQ$5)^2+($C46-CQ$6)^2+($D46-CQ$7)^2)</f>
        <v>1.82040118890256</v>
      </c>
      <c r="CR46" s="74" t="n">
        <f aca="false">SQRT(($B46-CR$5)^2+($C46-CR$6)^2+($D46-CR$7)^2)</f>
        <v>1.82384691263506</v>
      </c>
      <c r="CS46" s="74" t="n">
        <f aca="false">SQRT(($B46-CS$5)^2+($C46-CS$6)^2+($D46-CS$7)^2)</f>
        <v>2.23954907986582</v>
      </c>
      <c r="CT46" s="74" t="n">
        <f aca="false">SQRT(($B46-CT$5)^2+($C46-CT$6)^2+($D46-CT$7)^2)</f>
        <v>2.27008764527601</v>
      </c>
      <c r="CU46" s="74" t="n">
        <f aca="false">SQRT(($B46-CU$5)^2+($C46-CU$6)^2+($D46-CU$7)^2)</f>
        <v>1.87279048812372</v>
      </c>
      <c r="CV46" s="74" t="n">
        <f aca="false">SQRT(($B46-CV$5)^2+($C46-CV$6)^2+($D46-CV$7)^2)</f>
        <v>1.7612792752947</v>
      </c>
      <c r="CW46" s="74" t="n">
        <f aca="false">SQRT(($B46-CW$5)^2+($C46-CW$6)^2+($D46-CW$7)^2)</f>
        <v>2.27008764527601</v>
      </c>
      <c r="CX46" s="74" t="n">
        <f aca="false">SQRT(($B46-CX$5)^2+($C46-CX$6)^2+($D46-CX$7)^2)</f>
        <v>1.83378721556706</v>
      </c>
      <c r="CY46" s="74" t="n">
        <f aca="false">SQRT(($B46-CY$5)^2+($C46-CY$6)^2+($D46-CY$7)^2)</f>
        <v>2.30461824736669</v>
      </c>
      <c r="CZ46" s="74" t="n">
        <f aca="false">SQRT(($B46-CZ$5)^2+($C46-CZ$6)^2+($D46-CZ$7)^2)</f>
        <v>2.30461824736669</v>
      </c>
      <c r="DA46" s="74" t="n">
        <f aca="false">SQRT(($B46-DA$5)^2+($C46-DA$6)^2+($D46-DA$7)^2)</f>
        <v>1.97069826729097</v>
      </c>
      <c r="DB46" s="74" t="n">
        <f aca="false">SQRT(($B46-DB$5)^2+($C46-DB$6)^2+($D46-DB$7)^2)</f>
        <v>2.34413681037157</v>
      </c>
      <c r="DC46" s="74" t="n">
        <f aca="false">SQRT(($B46-DC$5)^2+($C46-DC$6)^2+($D46-DC$7)^2)</f>
        <v>2.34413681037157</v>
      </c>
      <c r="DD46" s="74" t="n">
        <f aca="false">SQRT(($B46-DD$5)^2+($C46-DD$6)^2+($D46-DD$7)^2)</f>
        <v>2.0726201699068</v>
      </c>
      <c r="DE46" s="74" t="n">
        <f aca="false">SQRT(($B46-DE$5)^2+($C46-DE$6)^2+($D46-DE$7)^2)</f>
        <v>2.2711918483649</v>
      </c>
      <c r="DF46" s="74" t="n">
        <f aca="false">SQRT(($B46-DF$5)^2+($C46-DF$6)^2+($D46-DF$7)^2)</f>
        <v>2.59391190628478</v>
      </c>
      <c r="DG46" s="74" t="n">
        <f aca="false">SQRT(($B46-DG$5)^2+($C46-DG$6)^2+($D46-DG$7)^2)</f>
        <v>2.70494414642204</v>
      </c>
      <c r="DH46" s="74" t="n">
        <f aca="false">SQRT(($B46-DH$5)^2+($C46-DH$6)^2+($D46-DH$7)^2)</f>
        <v>2.70494414642204</v>
      </c>
      <c r="DI46" s="74" t="n">
        <f aca="false">SQRT(($B46-DI$5)^2+($C46-DI$6)^2+($D46-DI$7)^2)</f>
        <v>2.70494414642204</v>
      </c>
      <c r="DJ46" s="74" t="n">
        <f aca="false">SQRT(($B46-DJ$5)^2+($C46-DJ$6)^2+($D46-DJ$7)^2)</f>
        <v>2.70494414642204</v>
      </c>
      <c r="DK46" s="74" t="n">
        <f aca="false">SQRT(($B46-DK$5)^2+($C46-DK$6)^2+($D46-DK$7)^2)</f>
        <v>2.86741686540951</v>
      </c>
      <c r="DL46" s="74" t="n">
        <f aca="false">SQRT(($B46-DL$5)^2+($C46-DL$6)^2+($D46-DL$7)^2)</f>
        <v>2.86741686540951</v>
      </c>
      <c r="DM46" s="74" t="n">
        <f aca="false">SQRT(($B46-DM$5)^2+($C46-DM$6)^2+($D46-DM$7)^2)</f>
        <v>2.86741686540951</v>
      </c>
      <c r="DN46" s="74" t="n">
        <f aca="false">SQRT(($B46-DN$5)^2+($C46-DN$6)^2+($D46-DN$7)^2)</f>
        <v>2.86741686540951</v>
      </c>
      <c r="DO46" s="74" t="n">
        <f aca="false">SQRT(($B46-DO$5)^2+($C46-DO$6)^2+($D46-DO$7)^2)</f>
        <v>2.86741686540951</v>
      </c>
      <c r="DP46" s="74" t="n">
        <f aca="false">SQRT(($B46-DP$5)^2+($C46-DP$6)^2+($D46-DP$7)^2)</f>
        <v>3.1584931364728</v>
      </c>
      <c r="DQ46" s="74" t="n">
        <f aca="false">SQRT(($B46-DQ$5)^2+($C46-DQ$6)^2+($D46-DQ$7)^2)</f>
        <v>3.1584931364728</v>
      </c>
    </row>
    <row r="47" customFormat="false" ht="15" hidden="false" customHeight="false" outlineLevel="0" collapsed="false">
      <c r="A47" s="48" t="str">
        <f aca="false">KMeans_Data!A38</f>
        <v>Shangla</v>
      </c>
      <c r="B47" s="72" t="n">
        <f aca="false">KMeans_Data!H38</f>
        <v>0.484749830332174</v>
      </c>
      <c r="C47" s="72" t="n">
        <f aca="false">KMeans_Data!I38</f>
        <v>-0.146983133929529</v>
      </c>
      <c r="D47" s="72" t="n">
        <f aca="false">KMeans_Data!J38</f>
        <v>0.552017036398812</v>
      </c>
      <c r="E47" s="74" t="n">
        <f aca="false">SQRT(($B47-E$5)^2+($C47-E$6)^2+($D47-E$7)^2)</f>
        <v>5.70934419366739</v>
      </c>
      <c r="F47" s="74" t="n">
        <f aca="false">SQRT(($B47-F$5)^2+($C47-F$6)^2+($D47-F$7)^2)</f>
        <v>5.5408341386271</v>
      </c>
      <c r="G47" s="74" t="n">
        <f aca="false">SQRT(($B47-G$5)^2+($C47-G$6)^2+($D47-G$7)^2)</f>
        <v>3.5785889331999</v>
      </c>
      <c r="H47" s="74" t="n">
        <f aca="false">SQRT(($B47-H$5)^2+($C47-H$6)^2+($D47-H$7)^2)</f>
        <v>4.28947925596454</v>
      </c>
      <c r="I47" s="74" t="n">
        <f aca="false">SQRT(($B47-I$5)^2+($C47-I$6)^2+($D47-I$7)^2)</f>
        <v>3.0083382283574</v>
      </c>
      <c r="J47" s="74" t="n">
        <f aca="false">SQRT(($B47-J$5)^2+($C47-J$6)^2+($D47-J$7)^2)</f>
        <v>2.73259416436632</v>
      </c>
      <c r="K47" s="74" t="n">
        <f aca="false">SQRT(($B47-K$5)^2+($C47-K$6)^2+($D47-K$7)^2)</f>
        <v>1.64917192465608</v>
      </c>
      <c r="L47" s="74" t="n">
        <f aca="false">SQRT(($B47-L$5)^2+($C47-L$6)^2+($D47-L$7)^2)</f>
        <v>1.6609876838126</v>
      </c>
      <c r="M47" s="74" t="n">
        <f aca="false">SQRT(($B47-M$5)^2+($C47-M$6)^2+($D47-M$7)^2)</f>
        <v>1.93743612084979</v>
      </c>
      <c r="N47" s="74" t="n">
        <f aca="false">SQRT(($B47-N$5)^2+($C47-N$6)^2+($D47-N$7)^2)</f>
        <v>1.55191387347554</v>
      </c>
      <c r="O47" s="74" t="n">
        <f aca="false">SQRT(($B47-O$5)^2+($C47-O$6)^2+($D47-O$7)^2)</f>
        <v>1.80421710418115</v>
      </c>
      <c r="P47" s="74" t="n">
        <f aca="false">SQRT(($B47-P$5)^2+($C47-P$6)^2+($D47-P$7)^2)</f>
        <v>2.11175118346377</v>
      </c>
      <c r="Q47" s="74" t="n">
        <f aca="false">SQRT(($B47-Q$5)^2+($C47-Q$6)^2+($D47-Q$7)^2)</f>
        <v>1.37532155085565</v>
      </c>
      <c r="R47" s="74" t="n">
        <f aca="false">SQRT(($B47-R$5)^2+($C47-R$6)^2+($D47-R$7)^2)</f>
        <v>1.19378157826286</v>
      </c>
      <c r="S47" s="74" t="n">
        <f aca="false">SQRT(($B47-S$5)^2+($C47-S$6)^2+($D47-S$7)^2)</f>
        <v>0.80725015096275</v>
      </c>
      <c r="T47" s="74" t="n">
        <f aca="false">SQRT(($B47-T$5)^2+($C47-T$6)^2+($D47-T$7)^2)</f>
        <v>1.31744307835847</v>
      </c>
      <c r="U47" s="74" t="n">
        <f aca="false">SQRT(($B47-U$5)^2+($C47-U$6)^2+($D47-U$7)^2)</f>
        <v>1.22312417279974</v>
      </c>
      <c r="V47" s="74" t="n">
        <f aca="false">SQRT(($B47-V$5)^2+($C47-V$6)^2+($D47-V$7)^2)</f>
        <v>1.57320259287314</v>
      </c>
      <c r="W47" s="74" t="n">
        <f aca="false">SQRT(($B47-W$5)^2+($C47-W$6)^2+($D47-W$7)^2)</f>
        <v>1.61721334698425</v>
      </c>
      <c r="X47" s="74" t="n">
        <f aca="false">SQRT(($B47-X$5)^2+($C47-X$6)^2+($D47-X$7)^2)</f>
        <v>1.12471671339863</v>
      </c>
      <c r="Y47" s="74" t="n">
        <f aca="false">SQRT(($B47-Y$5)^2+($C47-Y$6)^2+($D47-Y$7)^2)</f>
        <v>1.2283681880322</v>
      </c>
      <c r="Z47" s="74" t="n">
        <f aca="false">SQRT(($B47-Z$5)^2+($C47-Z$6)^2+($D47-Z$7)^2)</f>
        <v>0.998774108389391</v>
      </c>
      <c r="AA47" s="74" t="n">
        <f aca="false">SQRT(($B47-AA$5)^2+($C47-AA$6)^2+($D47-AA$7)^2)</f>
        <v>0.591602411746233</v>
      </c>
      <c r="AB47" s="74" t="n">
        <f aca="false">SQRT(($B47-AB$5)^2+($C47-AB$6)^2+($D47-AB$7)^2)</f>
        <v>0.765106035203443</v>
      </c>
      <c r="AC47" s="74" t="n">
        <f aca="false">SQRT(($B47-AC$5)^2+($C47-AC$6)^2+($D47-AC$7)^2)</f>
        <v>1.56289727981623</v>
      </c>
      <c r="AD47" s="74" t="n">
        <f aca="false">SQRT(($B47-AD$5)^2+($C47-AD$6)^2+($D47-AD$7)^2)</f>
        <v>1.21663409672599</v>
      </c>
      <c r="AE47" s="74" t="n">
        <f aca="false">SQRT(($B47-AE$5)^2+($C47-AE$6)^2+($D47-AE$7)^2)</f>
        <v>1.70527114410237</v>
      </c>
      <c r="AF47" s="74" t="n">
        <f aca="false">SQRT(($B47-AF$5)^2+($C47-AF$6)^2+($D47-AF$7)^2)</f>
        <v>0.900649543337006</v>
      </c>
      <c r="AG47" s="74" t="n">
        <f aca="false">SQRT(($B47-AG$5)^2+($C47-AG$6)^2+($D47-AG$7)^2)</f>
        <v>1.09133756455414</v>
      </c>
      <c r="AH47" s="74" t="n">
        <f aca="false">SQRT(($B47-AH$5)^2+($C47-AH$6)^2+($D47-AH$7)^2)</f>
        <v>0.394824216446545</v>
      </c>
      <c r="AI47" s="74" t="n">
        <f aca="false">SQRT(($B47-AI$5)^2+($C47-AI$6)^2+($D47-AI$7)^2)</f>
        <v>1.09107248619925</v>
      </c>
      <c r="AJ47" s="74" t="n">
        <f aca="false">SQRT(($B47-AJ$5)^2+($C47-AJ$6)^2+($D47-AJ$7)^2)</f>
        <v>0.897263222896817</v>
      </c>
      <c r="AK47" s="74" t="n">
        <f aca="false">SQRT(($B47-AK$5)^2+($C47-AK$6)^2+($D47-AK$7)^2)</f>
        <v>0.590682565917272</v>
      </c>
      <c r="AL47" s="74" t="n">
        <f aca="false">SQRT(($B47-AL$5)^2+($C47-AL$6)^2+($D47-AL$7)^2)</f>
        <v>0</v>
      </c>
      <c r="AM47" s="74" t="n">
        <f aca="false">SQRT(($B47-AM$5)^2+($C47-AM$6)^2+($D47-AM$7)^2)</f>
        <v>1.54752676601765</v>
      </c>
      <c r="AN47" s="74" t="n">
        <f aca="false">SQRT(($B47-AN$5)^2+($C47-AN$6)^2+($D47-AN$7)^2)</f>
        <v>1.3040382851221</v>
      </c>
      <c r="AO47" s="74" t="n">
        <f aca="false">SQRT(($B47-AO$5)^2+($C47-AO$6)^2+($D47-AO$7)^2)</f>
        <v>0.528320807480091</v>
      </c>
      <c r="AP47" s="74" t="n">
        <f aca="false">SQRT(($B47-AP$5)^2+($C47-AP$6)^2+($D47-AP$7)^2)</f>
        <v>0.536497463393124</v>
      </c>
      <c r="AQ47" s="74" t="n">
        <f aca="false">SQRT(($B47-AQ$5)^2+($C47-AQ$6)^2+($D47-AQ$7)^2)</f>
        <v>1.42368187710298</v>
      </c>
      <c r="AR47" s="74" t="n">
        <f aca="false">SQRT(($B47-AR$5)^2+($C47-AR$6)^2+($D47-AR$7)^2)</f>
        <v>0.708022290960458</v>
      </c>
      <c r="AS47" s="74" t="n">
        <f aca="false">SQRT(($B47-AS$5)^2+($C47-AS$6)^2+($D47-AS$7)^2)</f>
        <v>0.717673455096482</v>
      </c>
      <c r="AT47" s="74" t="n">
        <f aca="false">SQRT(($B47-AT$5)^2+($C47-AT$6)^2+($D47-AT$7)^2)</f>
        <v>0.306464962637285</v>
      </c>
      <c r="AU47" s="74" t="n">
        <f aca="false">SQRT(($B47-AU$5)^2+($C47-AU$6)^2+($D47-AU$7)^2)</f>
        <v>1.209215591853</v>
      </c>
      <c r="AV47" s="74" t="n">
        <f aca="false">SQRT(($B47-AV$5)^2+($C47-AV$6)^2+($D47-AV$7)^2)</f>
        <v>0.574296963852309</v>
      </c>
      <c r="AW47" s="74" t="n">
        <f aca="false">SQRT(($B47-AW$5)^2+($C47-AW$6)^2+($D47-AW$7)^2)</f>
        <v>1.49384018862762</v>
      </c>
      <c r="AX47" s="74" t="n">
        <f aca="false">SQRT(($B47-AX$5)^2+($C47-AX$6)^2+($D47-AX$7)^2)</f>
        <v>0.432672322994376</v>
      </c>
      <c r="AY47" s="74" t="n">
        <f aca="false">SQRT(($B47-AY$5)^2+($C47-AY$6)^2+($D47-AY$7)^2)</f>
        <v>1.7996964990744</v>
      </c>
      <c r="AZ47" s="74" t="n">
        <f aca="false">SQRT(($B47-AZ$5)^2+($C47-AZ$6)^2+($D47-AZ$7)^2)</f>
        <v>0.766637531942854</v>
      </c>
      <c r="BA47" s="74" t="n">
        <f aca="false">SQRT(($B47-BA$5)^2+($C47-BA$6)^2+($D47-BA$7)^2)</f>
        <v>0.379102082042211</v>
      </c>
      <c r="BB47" s="74" t="n">
        <f aca="false">SQRT(($B47-BB$5)^2+($C47-BB$6)^2+($D47-BB$7)^2)</f>
        <v>1.80074040962049</v>
      </c>
      <c r="BC47" s="74" t="n">
        <f aca="false">SQRT(($B47-BC$5)^2+($C47-BC$6)^2+($D47-BC$7)^2)</f>
        <v>1.8018212469261</v>
      </c>
      <c r="BD47" s="74" t="n">
        <f aca="false">SQRT(($B47-BD$5)^2+($C47-BD$6)^2+($D47-BD$7)^2)</f>
        <v>1.22091387800185</v>
      </c>
      <c r="BE47" s="74" t="n">
        <f aca="false">SQRT(($B47-BE$5)^2+($C47-BE$6)^2+($D47-BE$7)^2)</f>
        <v>1.00980225300644</v>
      </c>
      <c r="BF47" s="74" t="n">
        <f aca="false">SQRT(($B47-BF$5)^2+($C47-BF$6)^2+($D47-BF$7)^2)</f>
        <v>1.58402916349046</v>
      </c>
      <c r="BG47" s="74" t="n">
        <f aca="false">SQRT(($B47-BG$5)^2+($C47-BG$6)^2+($D47-BG$7)^2)</f>
        <v>0.389583123618921</v>
      </c>
      <c r="BH47" s="74" t="n">
        <f aca="false">SQRT(($B47-BH$5)^2+($C47-BH$6)^2+($D47-BH$7)^2)</f>
        <v>1.82162309847202</v>
      </c>
      <c r="BI47" s="74" t="n">
        <f aca="false">SQRT(($B47-BI$5)^2+($C47-BI$6)^2+($D47-BI$7)^2)</f>
        <v>1.82532197523014</v>
      </c>
      <c r="BJ47" s="74" t="n">
        <f aca="false">SQRT(($B47-BJ$5)^2+($C47-BJ$6)^2+($D47-BJ$7)^2)</f>
        <v>0.996480621768702</v>
      </c>
      <c r="BK47" s="74" t="n">
        <f aca="false">SQRT(($B47-BK$5)^2+($C47-BK$6)^2+($D47-BK$7)^2)</f>
        <v>1.1881114623511</v>
      </c>
      <c r="BL47" s="74" t="n">
        <f aca="false">SQRT(($B47-BL$5)^2+($C47-BL$6)^2+($D47-BL$7)^2)</f>
        <v>0.74169103253652</v>
      </c>
      <c r="BM47" s="74" t="n">
        <f aca="false">SQRT(($B47-BM$5)^2+($C47-BM$6)^2+($D47-BM$7)^2)</f>
        <v>0.868222698590694</v>
      </c>
      <c r="BN47" s="74" t="n">
        <f aca="false">SQRT(($B47-BN$5)^2+($C47-BN$6)^2+($D47-BN$7)^2)</f>
        <v>0.795566882015392</v>
      </c>
      <c r="BO47" s="74" t="n">
        <f aca="false">SQRT(($B47-BO$5)^2+($C47-BO$6)^2+($D47-BO$7)^2)</f>
        <v>1.57260453326532</v>
      </c>
      <c r="BP47" s="74" t="n">
        <f aca="false">SQRT(($B47-BP$5)^2+($C47-BP$6)^2+($D47-BP$7)^2)</f>
        <v>0.719028981714968</v>
      </c>
      <c r="BQ47" s="74" t="n">
        <f aca="false">SQRT(($B47-BQ$5)^2+($C47-BQ$6)^2+($D47-BQ$7)^2)</f>
        <v>0.618852686967942</v>
      </c>
      <c r="BR47" s="74" t="n">
        <f aca="false">SQRT(($B47-BR$5)^2+($C47-BR$6)^2+($D47-BR$7)^2)</f>
        <v>0.630966620057113</v>
      </c>
      <c r="BS47" s="74" t="n">
        <f aca="false">SQRT(($B47-BS$5)^2+($C47-BS$6)^2+($D47-BS$7)^2)</f>
        <v>0.843184904735731</v>
      </c>
      <c r="BT47" s="74" t="n">
        <f aca="false">SQRT(($B47-BT$5)^2+($C47-BT$6)^2+($D47-BT$7)^2)</f>
        <v>0.945420991130096</v>
      </c>
      <c r="BU47" s="74" t="n">
        <f aca="false">SQRT(($B47-BU$5)^2+($C47-BU$6)^2+($D47-BU$7)^2)</f>
        <v>0.980560913626592</v>
      </c>
      <c r="BV47" s="74" t="n">
        <f aca="false">SQRT(($B47-BV$5)^2+($C47-BV$6)^2+($D47-BV$7)^2)</f>
        <v>1.92688837711922</v>
      </c>
      <c r="BW47" s="74" t="n">
        <f aca="false">SQRT(($B47-BW$5)^2+($C47-BW$6)^2+($D47-BW$7)^2)</f>
        <v>0.96194525669659</v>
      </c>
      <c r="BX47" s="74" t="n">
        <f aca="false">SQRT(($B47-BX$5)^2+($C47-BX$6)^2+($D47-BX$7)^2)</f>
        <v>1.93313421073838</v>
      </c>
      <c r="BY47" s="74" t="n">
        <f aca="false">SQRT(($B47-BY$5)^2+($C47-BY$6)^2+($D47-BY$7)^2)</f>
        <v>1.20251391844114</v>
      </c>
      <c r="BZ47" s="74" t="n">
        <f aca="false">SQRT(($B47-BZ$5)^2+($C47-BZ$6)^2+($D47-BZ$7)^2)</f>
        <v>1.25261852122917</v>
      </c>
      <c r="CA47" s="74" t="n">
        <f aca="false">SQRT(($B47-CA$5)^2+($C47-CA$6)^2+($D47-CA$7)^2)</f>
        <v>1.95386272893943</v>
      </c>
      <c r="CB47" s="74" t="n">
        <f aca="false">SQRT(($B47-CB$5)^2+($C47-CB$6)^2+($D47-CB$7)^2)</f>
        <v>1.26453319277648</v>
      </c>
      <c r="CC47" s="74" t="n">
        <f aca="false">SQRT(($B47-CC$5)^2+($C47-CC$6)^2+($D47-CC$7)^2)</f>
        <v>1.96152252075926</v>
      </c>
      <c r="CD47" s="74" t="n">
        <f aca="false">SQRT(($B47-CD$5)^2+($C47-CD$6)^2+($D47-CD$7)^2)</f>
        <v>1.97815562162282</v>
      </c>
      <c r="CE47" s="74" t="n">
        <f aca="false">SQRT(($B47-CE$5)^2+($C47-CE$6)^2+($D47-CE$7)^2)</f>
        <v>1.15156427562638</v>
      </c>
      <c r="CF47" s="74" t="n">
        <f aca="false">SQRT(($B47-CF$5)^2+($C47-CF$6)^2+($D47-CF$7)^2)</f>
        <v>0.980339299387549</v>
      </c>
      <c r="CG47" s="74" t="n">
        <f aca="false">SQRT(($B47-CG$5)^2+($C47-CG$6)^2+($D47-CG$7)^2)</f>
        <v>1.34884790272918</v>
      </c>
      <c r="CH47" s="74" t="n">
        <f aca="false">SQRT(($B47-CH$5)^2+($C47-CH$6)^2+($D47-CH$7)^2)</f>
        <v>1.44765910772069</v>
      </c>
      <c r="CI47" s="74" t="n">
        <f aca="false">SQRT(($B47-CI$5)^2+($C47-CI$6)^2+($D47-CI$7)^2)</f>
        <v>1.54936644840016</v>
      </c>
      <c r="CJ47" s="74" t="n">
        <f aca="false">SQRT(($B47-CJ$5)^2+($C47-CJ$6)^2+($D47-CJ$7)^2)</f>
        <v>1.79888623606729</v>
      </c>
      <c r="CK47" s="74" t="n">
        <f aca="false">SQRT(($B47-CK$5)^2+($C47-CK$6)^2+($D47-CK$7)^2)</f>
        <v>1.34467700486606</v>
      </c>
      <c r="CL47" s="74" t="n">
        <f aca="false">SQRT(($B47-CL$5)^2+($C47-CL$6)^2+($D47-CL$7)^2)</f>
        <v>2.10142902597479</v>
      </c>
      <c r="CM47" s="74" t="n">
        <f aca="false">SQRT(($B47-CM$5)^2+($C47-CM$6)^2+($D47-CM$7)^2)</f>
        <v>1.51204889937618</v>
      </c>
      <c r="CN47" s="74" t="n">
        <f aca="false">SQRT(($B47-CN$5)^2+($C47-CN$6)^2+($D47-CN$7)^2)</f>
        <v>1.19339183361828</v>
      </c>
      <c r="CO47" s="74" t="n">
        <f aca="false">SQRT(($B47-CO$5)^2+($C47-CO$6)^2+($D47-CO$7)^2)</f>
        <v>1.43197258293544</v>
      </c>
      <c r="CP47" s="74" t="n">
        <f aca="false">SQRT(($B47-CP$5)^2+($C47-CP$6)^2+($D47-CP$7)^2)</f>
        <v>2.16103469497361</v>
      </c>
      <c r="CQ47" s="74" t="n">
        <f aca="false">SQRT(($B47-CQ$5)^2+($C47-CQ$6)^2+($D47-CQ$7)^2)</f>
        <v>1.67279320317849</v>
      </c>
      <c r="CR47" s="74" t="n">
        <f aca="false">SQRT(($B47-CR$5)^2+($C47-CR$6)^2+($D47-CR$7)^2)</f>
        <v>1.66184291650607</v>
      </c>
      <c r="CS47" s="74" t="n">
        <f aca="false">SQRT(($B47-CS$5)^2+($C47-CS$6)^2+($D47-CS$7)^2)</f>
        <v>2.21165864369844</v>
      </c>
      <c r="CT47" s="74" t="n">
        <f aca="false">SQRT(($B47-CT$5)^2+($C47-CT$6)^2+($D47-CT$7)^2)</f>
        <v>2.2415403442755</v>
      </c>
      <c r="CU47" s="74" t="n">
        <f aca="false">SQRT(($B47-CU$5)^2+($C47-CU$6)^2+($D47-CU$7)^2)</f>
        <v>1.93927152105856</v>
      </c>
      <c r="CV47" s="74" t="n">
        <f aca="false">SQRT(($B47-CV$5)^2+($C47-CV$6)^2+($D47-CV$7)^2)</f>
        <v>1.49155514289746</v>
      </c>
      <c r="CW47" s="74" t="n">
        <f aca="false">SQRT(($B47-CW$5)^2+($C47-CW$6)^2+($D47-CW$7)^2)</f>
        <v>2.2415403442755</v>
      </c>
      <c r="CX47" s="74" t="n">
        <f aca="false">SQRT(($B47-CX$5)^2+($C47-CX$6)^2+($D47-CX$7)^2)</f>
        <v>1.6245794662331</v>
      </c>
      <c r="CY47" s="74" t="n">
        <f aca="false">SQRT(($B47-CY$5)^2+($C47-CY$6)^2+($D47-CY$7)^2)</f>
        <v>2.27537504369982</v>
      </c>
      <c r="CZ47" s="74" t="n">
        <f aca="false">SQRT(($B47-CZ$5)^2+($C47-CZ$6)^2+($D47-CZ$7)^2)</f>
        <v>2.27537504369982</v>
      </c>
      <c r="DA47" s="74" t="n">
        <f aca="false">SQRT(($B47-DA$5)^2+($C47-DA$6)^2+($D47-DA$7)^2)</f>
        <v>1.84631046106156</v>
      </c>
      <c r="DB47" s="74" t="n">
        <f aca="false">SQRT(($B47-DB$5)^2+($C47-DB$6)^2+($D47-DB$7)^2)</f>
        <v>2.314151882728</v>
      </c>
      <c r="DC47" s="74" t="n">
        <f aca="false">SQRT(($B47-DC$5)^2+($C47-DC$6)^2+($D47-DC$7)^2)</f>
        <v>2.314151882728</v>
      </c>
      <c r="DD47" s="74" t="n">
        <f aca="false">SQRT(($B47-DD$5)^2+($C47-DD$6)^2+($D47-DD$7)^2)</f>
        <v>1.97128237331214</v>
      </c>
      <c r="DE47" s="74" t="n">
        <f aca="false">SQRT(($B47-DE$5)^2+($C47-DE$6)^2+($D47-DE$7)^2)</f>
        <v>2.19867566237199</v>
      </c>
      <c r="DF47" s="74" t="n">
        <f aca="false">SQRT(($B47-DF$5)^2+($C47-DF$6)^2+($D47-DF$7)^2)</f>
        <v>2.56025249381769</v>
      </c>
      <c r="DG47" s="74" t="n">
        <f aca="false">SQRT(($B47-DG$5)^2+($C47-DG$6)^2+($D47-DG$7)^2)</f>
        <v>2.67005715822098</v>
      </c>
      <c r="DH47" s="74" t="n">
        <f aca="false">SQRT(($B47-DH$5)^2+($C47-DH$6)^2+($D47-DH$7)^2)</f>
        <v>2.67005715822098</v>
      </c>
      <c r="DI47" s="74" t="n">
        <f aca="false">SQRT(($B47-DI$5)^2+($C47-DI$6)^2+($D47-DI$7)^2)</f>
        <v>2.67005715822098</v>
      </c>
      <c r="DJ47" s="74" t="n">
        <f aca="false">SQRT(($B47-DJ$5)^2+($C47-DJ$6)^2+($D47-DJ$7)^2)</f>
        <v>2.67005715822098</v>
      </c>
      <c r="DK47" s="74" t="n">
        <f aca="false">SQRT(($B47-DK$5)^2+($C47-DK$6)^2+($D47-DK$7)^2)</f>
        <v>2.83103967448494</v>
      </c>
      <c r="DL47" s="74" t="n">
        <f aca="false">SQRT(($B47-DL$5)^2+($C47-DL$6)^2+($D47-DL$7)^2)</f>
        <v>2.83103967448494</v>
      </c>
      <c r="DM47" s="74" t="n">
        <f aca="false">SQRT(($B47-DM$5)^2+($C47-DM$6)^2+($D47-DM$7)^2)</f>
        <v>2.83103967448494</v>
      </c>
      <c r="DN47" s="74" t="n">
        <f aca="false">SQRT(($B47-DN$5)^2+($C47-DN$6)^2+($D47-DN$7)^2)</f>
        <v>2.83103967448494</v>
      </c>
      <c r="DO47" s="74" t="n">
        <f aca="false">SQRT(($B47-DO$5)^2+($C47-DO$6)^2+($D47-DO$7)^2)</f>
        <v>2.83103967448494</v>
      </c>
      <c r="DP47" s="74" t="n">
        <f aca="false">SQRT(($B47-DP$5)^2+($C47-DP$6)^2+($D47-DP$7)^2)</f>
        <v>3.12009252355725</v>
      </c>
      <c r="DQ47" s="74" t="n">
        <f aca="false">SQRT(($B47-DQ$5)^2+($C47-DQ$6)^2+($D47-DQ$7)^2)</f>
        <v>3.12009252355725</v>
      </c>
    </row>
    <row r="48" customFormat="false" ht="15" hidden="false" customHeight="false" outlineLevel="0" collapsed="false">
      <c r="A48" s="48" t="str">
        <f aca="false">KMeans_Data!A39</f>
        <v>Mansehra</v>
      </c>
      <c r="B48" s="72" t="n">
        <f aca="false">KMeans_Data!H39</f>
        <v>0.484749830332174</v>
      </c>
      <c r="C48" s="72" t="n">
        <f aca="false">KMeans_Data!I39</f>
        <v>1.38107452085777</v>
      </c>
      <c r="D48" s="72" t="n">
        <f aca="false">KMeans_Data!J39</f>
        <v>0.307315391151031</v>
      </c>
      <c r="E48" s="74" t="n">
        <f aca="false">SQRT(($B48-E$5)^2+($C48-E$6)^2+($D48-E$7)^2)</f>
        <v>4.84982323598635</v>
      </c>
      <c r="F48" s="74" t="n">
        <f aca="false">SQRT(($B48-F$5)^2+($C48-F$6)^2+($D48-F$7)^2)</f>
        <v>4.58087240418441</v>
      </c>
      <c r="G48" s="74" t="n">
        <f aca="false">SQRT(($B48-G$5)^2+($C48-G$6)^2+($D48-G$7)^2)</f>
        <v>2.93796894168663</v>
      </c>
      <c r="H48" s="74" t="n">
        <f aca="false">SQRT(($B48-H$5)^2+($C48-H$6)^2+($D48-H$7)^2)</f>
        <v>3.16110471920352</v>
      </c>
      <c r="I48" s="74" t="n">
        <f aca="false">SQRT(($B48-I$5)^2+($C48-I$6)^2+($D48-I$7)^2)</f>
        <v>2.2896663830796</v>
      </c>
      <c r="J48" s="74" t="n">
        <f aca="false">SQRT(($B48-J$5)^2+($C48-J$6)^2+($D48-J$7)^2)</f>
        <v>1.74099686641278</v>
      </c>
      <c r="K48" s="74" t="n">
        <f aca="false">SQRT(($B48-K$5)^2+($C48-K$6)^2+($D48-K$7)^2)</f>
        <v>1.87115450810219</v>
      </c>
      <c r="L48" s="74" t="n">
        <f aca="false">SQRT(($B48-L$5)^2+($C48-L$6)^2+($D48-L$7)^2)</f>
        <v>1.78352761445432</v>
      </c>
      <c r="M48" s="74" t="n">
        <f aca="false">SQRT(($B48-M$5)^2+($C48-M$6)^2+($D48-M$7)^2)</f>
        <v>1.59855698501708</v>
      </c>
      <c r="N48" s="74" t="n">
        <f aca="false">SQRT(($B48-N$5)^2+($C48-N$6)^2+($D48-N$7)^2)</f>
        <v>2.03214916164806</v>
      </c>
      <c r="O48" s="74" t="n">
        <f aca="false">SQRT(($B48-O$5)^2+($C48-O$6)^2+($D48-O$7)^2)</f>
        <v>0.950563743255218</v>
      </c>
      <c r="P48" s="74" t="n">
        <f aca="false">SQRT(($B48-P$5)^2+($C48-P$6)^2+($D48-P$7)^2)</f>
        <v>1.14078518560791</v>
      </c>
      <c r="Q48" s="74" t="n">
        <f aca="false">SQRT(($B48-Q$5)^2+($C48-Q$6)^2+($D48-Q$7)^2)</f>
        <v>1.02907851166521</v>
      </c>
      <c r="R48" s="74" t="n">
        <f aca="false">SQRT(($B48-R$5)^2+($C48-R$6)^2+($D48-R$7)^2)</f>
        <v>1.63184412226407</v>
      </c>
      <c r="S48" s="74" t="n">
        <f aca="false">SQRT(($B48-S$5)^2+($C48-S$6)^2+($D48-S$7)^2)</f>
        <v>1.829591858808</v>
      </c>
      <c r="T48" s="74" t="n">
        <f aca="false">SQRT(($B48-T$5)^2+($C48-T$6)^2+($D48-T$7)^2)</f>
        <v>0.928732480476608</v>
      </c>
      <c r="U48" s="74" t="n">
        <f aca="false">SQRT(($B48-U$5)^2+($C48-U$6)^2+($D48-U$7)^2)</f>
        <v>1.67004192951879</v>
      </c>
      <c r="V48" s="74" t="n">
        <f aca="false">SQRT(($B48-V$5)^2+($C48-V$6)^2+($D48-V$7)^2)</f>
        <v>0.482014757883057</v>
      </c>
      <c r="W48" s="74" t="n">
        <f aca="false">SQRT(($B48-W$5)^2+($C48-W$6)^2+($D48-W$7)^2)</f>
        <v>0.726231580248631</v>
      </c>
      <c r="X48" s="74" t="n">
        <f aca="false">SQRT(($B48-X$5)^2+($C48-X$6)^2+($D48-X$7)^2)</f>
        <v>0.996755087696493</v>
      </c>
      <c r="Y48" s="74" t="n">
        <f aca="false">SQRT(($B48-Y$5)^2+($C48-Y$6)^2+($D48-Y$7)^2)</f>
        <v>1.16224091845617</v>
      </c>
      <c r="Z48" s="74" t="n">
        <f aca="false">SQRT(($B48-Z$5)^2+($C48-Z$6)^2+($D48-Z$7)^2)</f>
        <v>0.722028984136207</v>
      </c>
      <c r="AA48" s="74" t="n">
        <f aca="false">SQRT(($B48-AA$5)^2+($C48-AA$6)^2+($D48-AA$7)^2)</f>
        <v>1.41583912446565</v>
      </c>
      <c r="AB48" s="74" t="n">
        <f aca="false">SQRT(($B48-AB$5)^2+($C48-AB$6)^2+($D48-AB$7)^2)</f>
        <v>0.955455846266147</v>
      </c>
      <c r="AC48" s="74" t="n">
        <f aca="false">SQRT(($B48-AC$5)^2+($C48-AC$6)^2+($D48-AC$7)^2)</f>
        <v>0.503616096882228</v>
      </c>
      <c r="AD48" s="74" t="n">
        <f aca="false">SQRT(($B48-AD$5)^2+($C48-AD$6)^2+($D48-AD$7)^2)</f>
        <v>1.15196255309264</v>
      </c>
      <c r="AE48" s="74" t="n">
        <f aca="false">SQRT(($B48-AE$5)^2+($C48-AE$6)^2+($D48-AE$7)^2)</f>
        <v>2.11469804278425</v>
      </c>
      <c r="AF48" s="74" t="n">
        <f aca="false">SQRT(($B48-AF$5)^2+($C48-AF$6)^2+($D48-AF$7)^2)</f>
        <v>0.903859218252863</v>
      </c>
      <c r="AG48" s="74" t="n">
        <f aca="false">SQRT(($B48-AG$5)^2+($C48-AG$6)^2+($D48-AG$7)^2)</f>
        <v>2.17405438603717</v>
      </c>
      <c r="AH48" s="74" t="n">
        <f aca="false">SQRT(($B48-AH$5)^2+($C48-AH$6)^2+($D48-AH$7)^2)</f>
        <v>1.31275068245212</v>
      </c>
      <c r="AI48" s="74" t="n">
        <f aca="false">SQRT(($B48-AI$5)^2+($C48-AI$6)^2+($D48-AI$7)^2)</f>
        <v>2.17392133339307</v>
      </c>
      <c r="AJ48" s="74" t="n">
        <f aca="false">SQRT(($B48-AJ$5)^2+($C48-AJ$6)^2+($D48-AJ$7)^2)</f>
        <v>1.16233533935086</v>
      </c>
      <c r="AK48" s="74" t="n">
        <f aca="false">SQRT(($B48-AK$5)^2+($C48-AK$6)^2+($D48-AK$7)^2)</f>
        <v>1.00369615742722</v>
      </c>
      <c r="AL48" s="74" t="n">
        <f aca="false">SQRT(($B48-AL$5)^2+($C48-AL$6)^2+($D48-AL$7)^2)</f>
        <v>1.54752676601765</v>
      </c>
      <c r="AM48" s="74" t="n">
        <f aca="false">SQRT(($B48-AM$5)^2+($C48-AM$6)^2+($D48-AM$7)^2)</f>
        <v>0</v>
      </c>
      <c r="AN48" s="74" t="n">
        <f aca="false">SQRT(($B48-AN$5)^2+($C48-AN$6)^2+($D48-AN$7)^2)</f>
        <v>0.4757373879936</v>
      </c>
      <c r="AO48" s="74" t="n">
        <f aca="false">SQRT(($B48-AO$5)^2+($C48-AO$6)^2+($D48-AO$7)^2)</f>
        <v>1.03032562409848</v>
      </c>
      <c r="AP48" s="74" t="n">
        <f aca="false">SQRT(($B48-AP$5)^2+($C48-AP$6)^2+($D48-AP$7)^2)</f>
        <v>1.01553162325927</v>
      </c>
      <c r="AQ48" s="74" t="n">
        <f aca="false">SQRT(($B48-AQ$5)^2+($C48-AQ$6)^2+($D48-AQ$7)^2)</f>
        <v>0.347692081849231</v>
      </c>
      <c r="AR48" s="74" t="n">
        <f aca="false">SQRT(($B48-AR$5)^2+($C48-AR$6)^2+($D48-AR$7)^2)</f>
        <v>1.28364448080607</v>
      </c>
      <c r="AS48" s="74" t="n">
        <f aca="false">SQRT(($B48-AS$5)^2+($C48-AS$6)^2+($D48-AS$7)^2)</f>
        <v>2.17738423523545</v>
      </c>
      <c r="AT48" s="74" t="n">
        <f aca="false">SQRT(($B48-AT$5)^2+($C48-AT$6)^2+($D48-AT$7)^2)</f>
        <v>1.61168230815368</v>
      </c>
      <c r="AU48" s="74" t="n">
        <f aca="false">SQRT(($B48-AU$5)^2+($C48-AU$6)^2+($D48-AU$7)^2)</f>
        <v>1.80979261535968</v>
      </c>
      <c r="AV48" s="74" t="n">
        <f aca="false">SQRT(($B48-AV$5)^2+($C48-AV$6)^2+($D48-AV$7)^2)</f>
        <v>2.07677727017456</v>
      </c>
      <c r="AW48" s="74" t="n">
        <f aca="false">SQRT(($B48-AW$5)^2+($C48-AW$6)^2+($D48-AW$7)^2)</f>
        <v>2.35780666670606</v>
      </c>
      <c r="AX48" s="74" t="n">
        <f aca="false">SQRT(($B48-AX$5)^2+($C48-AX$6)^2+($D48-AX$7)^2)</f>
        <v>1.24856219921041</v>
      </c>
      <c r="AY48" s="74" t="n">
        <f aca="false">SQRT(($B48-AY$5)^2+($C48-AY$6)^2+($D48-AY$7)^2)</f>
        <v>2.53168043993145</v>
      </c>
      <c r="AZ48" s="74" t="n">
        <f aca="false">SQRT(($B48-AZ$5)^2+($C48-AZ$6)^2+($D48-AZ$7)^2)</f>
        <v>2.19641300042494</v>
      </c>
      <c r="BA48" s="74" t="n">
        <f aca="false">SQRT(($B48-BA$5)^2+($C48-BA$6)^2+($D48-BA$7)^2)</f>
        <v>1.63029675858432</v>
      </c>
      <c r="BB48" s="74" t="n">
        <f aca="false">SQRT(($B48-BB$5)^2+($C48-BB$6)^2+($D48-BB$7)^2)</f>
        <v>2.53242263139292</v>
      </c>
      <c r="BC48" s="74" t="n">
        <f aca="false">SQRT(($B48-BC$5)^2+($C48-BC$6)^2+($D48-BC$7)^2)</f>
        <v>2.53319130091377</v>
      </c>
      <c r="BD48" s="74" t="n">
        <f aca="false">SQRT(($B48-BD$5)^2+($C48-BD$6)^2+($D48-BD$7)^2)</f>
        <v>2.23058733815912</v>
      </c>
      <c r="BE48" s="74" t="n">
        <f aca="false">SQRT(($B48-BE$5)^2+($C48-BE$6)^2+($D48-BE$7)^2)</f>
        <v>2.15209252858846</v>
      </c>
      <c r="BF48" s="74" t="n">
        <f aca="false">SQRT(($B48-BF$5)^2+($C48-BF$6)^2+($D48-BF$7)^2)</f>
        <v>0.585514378279026</v>
      </c>
      <c r="BG48" s="74" t="n">
        <f aca="false">SQRT(($B48-BG$5)^2+($C48-BG$6)^2+($D48-BG$7)^2)</f>
        <v>1.60594745602435</v>
      </c>
      <c r="BH48" s="74" t="n">
        <f aca="false">SQRT(($B48-BH$5)^2+($C48-BH$6)^2+($D48-BH$7)^2)</f>
        <v>2.54731409018159</v>
      </c>
      <c r="BI48" s="74" t="n">
        <f aca="false">SQRT(($B48-BI$5)^2+($C48-BI$6)^2+($D48-BI$7)^2)</f>
        <v>2.54996052408834</v>
      </c>
      <c r="BJ48" s="74" t="n">
        <f aca="false">SQRT(($B48-BJ$5)^2+($C48-BJ$6)^2+($D48-BJ$7)^2)</f>
        <v>0.998415558110499</v>
      </c>
      <c r="BK48" s="74" t="n">
        <f aca="false">SQRT(($B48-BK$5)^2+($C48-BK$6)^2+($D48-BK$7)^2)</f>
        <v>2.22420854251812</v>
      </c>
      <c r="BL48" s="74" t="n">
        <f aca="false">SQRT(($B48-BL$5)^2+($C48-BL$6)^2+($D48-BL$7)^2)</f>
        <v>2.11175081026636</v>
      </c>
      <c r="BM48" s="74" t="n">
        <f aca="false">SQRT(($B48-BM$5)^2+($C48-BM$6)^2+($D48-BM$7)^2)</f>
        <v>1.00021534878381</v>
      </c>
      <c r="BN48" s="74" t="n">
        <f aca="false">SQRT(($B48-BN$5)^2+($C48-BN$6)^2+($D48-BN$7)^2)</f>
        <v>1.35605108352684</v>
      </c>
      <c r="BO48" s="74" t="n">
        <f aca="false">SQRT(($B48-BO$5)^2+($C48-BO$6)^2+($D48-BO$7)^2)</f>
        <v>2.40848059706762</v>
      </c>
      <c r="BP48" s="74" t="n">
        <f aca="false">SQRT(($B48-BP$5)^2+($C48-BP$6)^2+($D48-BP$7)^2)</f>
        <v>1.3534070161895</v>
      </c>
      <c r="BQ48" s="74" t="n">
        <f aca="false">SQRT(($B48-BQ$5)^2+($C48-BQ$6)^2+($D48-BQ$7)^2)</f>
        <v>1.64146984826494</v>
      </c>
      <c r="BR48" s="74" t="n">
        <f aca="false">SQRT(($B48-BR$5)^2+($C48-BR$6)^2+($D48-BR$7)^2)</f>
        <v>1.65331717416825</v>
      </c>
      <c r="BS48" s="74" t="n">
        <f aca="false">SQRT(($B48-BS$5)^2+($C48-BS$6)^2+($D48-BS$7)^2)</f>
        <v>2.17587753394048</v>
      </c>
      <c r="BT48" s="74" t="n">
        <f aca="false">SQRT(($B48-BT$5)^2+($C48-BT$6)^2+($D48-BT$7)^2)</f>
        <v>2.17251289304331</v>
      </c>
      <c r="BU48" s="74" t="n">
        <f aca="false">SQRT(($B48-BU$5)^2+($C48-BU$6)^2+($D48-BU$7)^2)</f>
        <v>2.17856451012024</v>
      </c>
      <c r="BV48" s="74" t="n">
        <f aca="false">SQRT(($B48-BV$5)^2+($C48-BV$6)^2+($D48-BV$7)^2)</f>
        <v>2.62362291098168</v>
      </c>
      <c r="BW48" s="74" t="n">
        <f aca="false">SQRT(($B48-BW$5)^2+($C48-BW$6)^2+($D48-BW$7)^2)</f>
        <v>2.19016876232031</v>
      </c>
      <c r="BX48" s="74" t="n">
        <f aca="false">SQRT(($B48-BX$5)^2+($C48-BX$6)^2+($D48-BX$7)^2)</f>
        <v>2.62821350690501</v>
      </c>
      <c r="BY48" s="74" t="n">
        <f aca="false">SQRT(($B48-BY$5)^2+($C48-BY$6)^2+($D48-BY$7)^2)</f>
        <v>2.25568710307007</v>
      </c>
      <c r="BZ48" s="74" t="n">
        <f aca="false">SQRT(($B48-BZ$5)^2+($C48-BZ$6)^2+($D48-BZ$7)^2)</f>
        <v>2.27614912102783</v>
      </c>
      <c r="CA48" s="74" t="n">
        <f aca="false">SQRT(($B48-CA$5)^2+($C48-CA$6)^2+($D48-CA$7)^2)</f>
        <v>2.64349729046381</v>
      </c>
      <c r="CB48" s="74" t="n">
        <f aca="false">SQRT(($B48-CB$5)^2+($C48-CB$6)^2+($D48-CB$7)^2)</f>
        <v>2.28272772293651</v>
      </c>
      <c r="CC48" s="74" t="n">
        <f aca="false">SQRT(($B48-CC$5)^2+($C48-CC$6)^2+($D48-CC$7)^2)</f>
        <v>2.6491638229065</v>
      </c>
      <c r="CD48" s="74" t="n">
        <f aca="false">SQRT(($B48-CD$5)^2+($C48-CD$6)^2+($D48-CD$7)^2)</f>
        <v>2.66150296346046</v>
      </c>
      <c r="CE48" s="74" t="n">
        <f aca="false">SQRT(($B48-CE$5)^2+($C48-CE$6)^2+($D48-CE$7)^2)</f>
        <v>2.25350632804986</v>
      </c>
      <c r="CF48" s="74" t="n">
        <f aca="false">SQRT(($B48-CF$5)^2+($C48-CF$6)^2+($D48-CF$7)^2)</f>
        <v>1.77590678476823</v>
      </c>
      <c r="CG48" s="74" t="n">
        <f aca="false">SQRT(($B48-CG$5)^2+($C48-CG$6)^2+($D48-CG$7)^2)</f>
        <v>1.93607469753465</v>
      </c>
      <c r="CH48" s="74" t="n">
        <f aca="false">SQRT(($B48-CH$5)^2+($C48-CH$6)^2+($D48-CH$7)^2)</f>
        <v>2.37301742214573</v>
      </c>
      <c r="CI48" s="74" t="n">
        <f aca="false">SQRT(($B48-CI$5)^2+($C48-CI$6)^2+($D48-CI$7)^2)</f>
        <v>2.42598960572514</v>
      </c>
      <c r="CJ48" s="74" t="n">
        <f aca="false">SQRT(($B48-CJ$5)^2+($C48-CJ$6)^2+($D48-CJ$7)^2)</f>
        <v>2.5619690588914</v>
      </c>
      <c r="CK48" s="74" t="n">
        <f aca="false">SQRT(($B48-CK$5)^2+($C48-CK$6)^2+($D48-CK$7)^2)</f>
        <v>2.34999178099083</v>
      </c>
      <c r="CL48" s="74" t="n">
        <f aca="false">SQRT(($B48-CL$5)^2+($C48-CL$6)^2+($D48-CL$7)^2)</f>
        <v>2.75436059955123</v>
      </c>
      <c r="CM48" s="74" t="n">
        <f aca="false">SQRT(($B48-CM$5)^2+($C48-CM$6)^2+($D48-CM$7)^2)</f>
        <v>2.4213910192887</v>
      </c>
      <c r="CN48" s="74" t="n">
        <f aca="false">SQRT(($B48-CN$5)^2+($C48-CN$6)^2+($D48-CN$7)^2)</f>
        <v>1.96378735533346</v>
      </c>
      <c r="CO48" s="74" t="n">
        <f aca="false">SQRT(($B48-CO$5)^2+($C48-CO$6)^2+($D48-CO$7)^2)</f>
        <v>2.02141777900741</v>
      </c>
      <c r="CP48" s="74" t="n">
        <f aca="false">SQRT(($B48-CP$5)^2+($C48-CP$6)^2+($D48-CP$7)^2)</f>
        <v>2.8001016613742</v>
      </c>
      <c r="CQ48" s="74" t="n">
        <f aca="false">SQRT(($B48-CQ$5)^2+($C48-CQ$6)^2+($D48-CQ$7)^2)</f>
        <v>2.51669066320052</v>
      </c>
      <c r="CR48" s="74" t="n">
        <f aca="false">SQRT(($B48-CR$5)^2+($C48-CR$6)^2+($D48-CR$7)^2)</f>
        <v>2.5176505860283</v>
      </c>
      <c r="CS48" s="74" t="n">
        <f aca="false">SQRT(($B48-CS$5)^2+($C48-CS$6)^2+($D48-CS$7)^2)</f>
        <v>2.83935420780798</v>
      </c>
      <c r="CT48" s="74" t="n">
        <f aca="false">SQRT(($B48-CT$5)^2+($C48-CT$6)^2+($D48-CT$7)^2)</f>
        <v>2.86269129948822</v>
      </c>
      <c r="CU48" s="74" t="n">
        <f aca="false">SQRT(($B48-CU$5)^2+($C48-CU$6)^2+($D48-CU$7)^2)</f>
        <v>2.34136019802375</v>
      </c>
      <c r="CV48" s="74" t="n">
        <f aca="false">SQRT(($B48-CV$5)^2+($C48-CV$6)^2+($D48-CV$7)^2)</f>
        <v>2.46691857010238</v>
      </c>
      <c r="CW48" s="74" t="n">
        <f aca="false">SQRT(($B48-CW$5)^2+($C48-CW$6)^2+($D48-CW$7)^2)</f>
        <v>2.86269129948822</v>
      </c>
      <c r="CX48" s="74" t="n">
        <f aca="false">SQRT(($B48-CX$5)^2+($C48-CX$6)^2+($D48-CX$7)^2)</f>
        <v>2.52062761339614</v>
      </c>
      <c r="CY48" s="74" t="n">
        <f aca="false">SQRT(($B48-CY$5)^2+($C48-CY$6)^2+($D48-CY$7)^2)</f>
        <v>2.88926114268732</v>
      </c>
      <c r="CZ48" s="74" t="n">
        <f aca="false">SQRT(($B48-CZ$5)^2+($C48-CZ$6)^2+($D48-CZ$7)^2)</f>
        <v>2.88926114268732</v>
      </c>
      <c r="DA48" s="74" t="n">
        <f aca="false">SQRT(($B48-DA$5)^2+($C48-DA$6)^2+($D48-DA$7)^2)</f>
        <v>2.62559545518414</v>
      </c>
      <c r="DB48" s="74" t="n">
        <f aca="false">SQRT(($B48-DB$5)^2+($C48-DB$6)^2+($D48-DB$7)^2)</f>
        <v>2.91989679569063</v>
      </c>
      <c r="DC48" s="74" t="n">
        <f aca="false">SQRT(($B48-DC$5)^2+($C48-DC$6)^2+($D48-DC$7)^2)</f>
        <v>2.91989679569063</v>
      </c>
      <c r="DD48" s="74" t="n">
        <f aca="false">SQRT(($B48-DD$5)^2+($C48-DD$6)^2+($D48-DD$7)^2)</f>
        <v>2.70288760074568</v>
      </c>
      <c r="DE48" s="74" t="n">
        <f aca="false">SQRT(($B48-DE$5)^2+($C48-DE$6)^2+($D48-DE$7)^2)</f>
        <v>2.85689839453759</v>
      </c>
      <c r="DF48" s="74" t="n">
        <f aca="false">SQRT(($B48-DF$5)^2+($C48-DF$6)^2+($D48-DF$7)^2)</f>
        <v>3.1185559467886</v>
      </c>
      <c r="DG48" s="74" t="n">
        <f aca="false">SQRT(($B48-DG$5)^2+($C48-DG$6)^2+($D48-DG$7)^2)</f>
        <v>3.2093151277676</v>
      </c>
      <c r="DH48" s="74" t="n">
        <f aca="false">SQRT(($B48-DH$5)^2+($C48-DH$6)^2+($D48-DH$7)^2)</f>
        <v>3.2093151277676</v>
      </c>
      <c r="DI48" s="74" t="n">
        <f aca="false">SQRT(($B48-DI$5)^2+($C48-DI$6)^2+($D48-DI$7)^2)</f>
        <v>3.2093151277676</v>
      </c>
      <c r="DJ48" s="74" t="n">
        <f aca="false">SQRT(($B48-DJ$5)^2+($C48-DJ$6)^2+($D48-DJ$7)^2)</f>
        <v>3.2093151277676</v>
      </c>
      <c r="DK48" s="74" t="n">
        <f aca="false">SQRT(($B48-DK$5)^2+($C48-DK$6)^2+($D48-DK$7)^2)</f>
        <v>3.34444076037514</v>
      </c>
      <c r="DL48" s="74" t="n">
        <f aca="false">SQRT(($B48-DL$5)^2+($C48-DL$6)^2+($D48-DL$7)^2)</f>
        <v>3.34444076037514</v>
      </c>
      <c r="DM48" s="74" t="n">
        <f aca="false">SQRT(($B48-DM$5)^2+($C48-DM$6)^2+($D48-DM$7)^2)</f>
        <v>3.34444076037514</v>
      </c>
      <c r="DN48" s="74" t="n">
        <f aca="false">SQRT(($B48-DN$5)^2+($C48-DN$6)^2+($D48-DN$7)^2)</f>
        <v>3.34444076037514</v>
      </c>
      <c r="DO48" s="74" t="n">
        <f aca="false">SQRT(($B48-DO$5)^2+($C48-DO$6)^2+($D48-DO$7)^2)</f>
        <v>3.34444076037514</v>
      </c>
      <c r="DP48" s="74" t="n">
        <f aca="false">SQRT(($B48-DP$5)^2+($C48-DP$6)^2+($D48-DP$7)^2)</f>
        <v>3.59241920113851</v>
      </c>
      <c r="DQ48" s="74" t="n">
        <f aca="false">SQRT(($B48-DQ$5)^2+($C48-DQ$6)^2+($D48-DQ$7)^2)</f>
        <v>3.59241920113851</v>
      </c>
    </row>
    <row r="49" customFormat="false" ht="15" hidden="false" customHeight="false" outlineLevel="0" collapsed="false">
      <c r="A49" s="48" t="str">
        <f aca="false">KMeans_Data!A40</f>
        <v>Swabi</v>
      </c>
      <c r="B49" s="72" t="n">
        <f aca="false">KMeans_Data!H40</f>
        <v>0.453667759197148</v>
      </c>
      <c r="C49" s="72" t="n">
        <f aca="false">KMeans_Data!I40</f>
        <v>1.14585991869933</v>
      </c>
      <c r="D49" s="72" t="n">
        <f aca="false">KMeans_Data!J40</f>
        <v>0.719667253181963</v>
      </c>
      <c r="E49" s="74" t="n">
        <f aca="false">SQRT(($B49-E$5)^2+($C49-E$6)^2+($D49-E$7)^2)</f>
        <v>4.76882981559524</v>
      </c>
      <c r="F49" s="74" t="n">
        <f aca="false">SQRT(($B49-F$5)^2+($C49-F$6)^2+($D49-F$7)^2)</f>
        <v>4.55315754979092</v>
      </c>
      <c r="G49" s="74" t="n">
        <f aca="false">SQRT(($B49-G$5)^2+($C49-G$6)^2+($D49-G$7)^2)</f>
        <v>2.77512689651968</v>
      </c>
      <c r="H49" s="74" t="n">
        <f aca="false">SQRT(($B49-H$5)^2+($C49-H$6)^2+($D49-H$7)^2)</f>
        <v>3.20334378974483</v>
      </c>
      <c r="I49" s="74" t="n">
        <f aca="false">SQRT(($B49-I$5)^2+($C49-I$6)^2+($D49-I$7)^2)</f>
        <v>2.17948629169163</v>
      </c>
      <c r="J49" s="74" t="n">
        <f aca="false">SQRT(($B49-J$5)^2+($C49-J$6)^2+($D49-J$7)^2)</f>
        <v>1.66821535879169</v>
      </c>
      <c r="K49" s="74" t="n">
        <f aca="false">SQRT(($B49-K$5)^2+($C49-K$6)^2+($D49-K$7)^2)</f>
        <v>2.03466427215956</v>
      </c>
      <c r="L49" s="74" t="n">
        <f aca="false">SQRT(($B49-L$5)^2+($C49-L$6)^2+($D49-L$7)^2)</f>
        <v>1.40138505970727</v>
      </c>
      <c r="M49" s="74" t="n">
        <f aca="false">SQRT(($B49-M$5)^2+($C49-M$6)^2+($D49-M$7)^2)</f>
        <v>1.26703985392777</v>
      </c>
      <c r="N49" s="74" t="n">
        <f aca="false">SQRT(($B49-N$5)^2+($C49-N$6)^2+($D49-N$7)^2)</f>
        <v>2.14826435450952</v>
      </c>
      <c r="O49" s="74" t="n">
        <f aca="false">SQRT(($B49-O$5)^2+($C49-O$6)^2+($D49-O$7)^2)</f>
        <v>0.808516455090874</v>
      </c>
      <c r="P49" s="74" t="n">
        <f aca="false">SQRT(($B49-P$5)^2+($C49-P$6)^2+($D49-P$7)^2)</f>
        <v>1.02029457554081</v>
      </c>
      <c r="Q49" s="74" t="n">
        <f aca="false">SQRT(($B49-Q$5)^2+($C49-Q$6)^2+($D49-Q$7)^2)</f>
        <v>0.707187543581851</v>
      </c>
      <c r="R49" s="74" t="n">
        <f aca="false">SQRT(($B49-R$5)^2+($C49-R$6)^2+($D49-R$7)^2)</f>
        <v>1.22181615707812</v>
      </c>
      <c r="S49" s="74" t="n">
        <f aca="false">SQRT(($B49-S$5)^2+($C49-S$6)^2+($D49-S$7)^2)</f>
        <v>1.47598168177424</v>
      </c>
      <c r="T49" s="74" t="n">
        <f aca="false">SQRT(($B49-T$5)^2+($C49-T$6)^2+($D49-T$7)^2)</f>
        <v>0.606309304646917</v>
      </c>
      <c r="U49" s="74" t="n">
        <f aca="false">SQRT(($B49-U$5)^2+($C49-U$6)^2+($D49-U$7)^2)</f>
        <v>1.23132417927883</v>
      </c>
      <c r="V49" s="74" t="n">
        <f aca="false">SQRT(($B49-V$5)^2+($C49-V$6)^2+($D49-V$7)^2)</f>
        <v>0.474407530555415</v>
      </c>
      <c r="W49" s="74" t="n">
        <f aca="false">SQRT(($B49-W$5)^2+($C49-W$6)^2+($D49-W$7)^2)</f>
        <v>0.509310856721581</v>
      </c>
      <c r="X49" s="74" t="n">
        <f aca="false">SQRT(($B49-X$5)^2+($C49-X$6)^2+($D49-X$7)^2)</f>
        <v>0.607124875347106</v>
      </c>
      <c r="Y49" s="74" t="n">
        <f aca="false">SQRT(($B49-Y$5)^2+($C49-Y$6)^2+($D49-Y$7)^2)</f>
        <v>0.729105521972673</v>
      </c>
      <c r="Z49" s="74" t="n">
        <f aca="false">SQRT(($B49-Z$5)^2+($C49-Z$6)^2+($D49-Z$7)^2)</f>
        <v>0.487809555484924</v>
      </c>
      <c r="AA49" s="74" t="n">
        <f aca="false">SQRT(($B49-AA$5)^2+($C49-AA$6)^2+($D49-AA$7)^2)</f>
        <v>1.0664449476828</v>
      </c>
      <c r="AB49" s="74" t="n">
        <f aca="false">SQRT(($B49-AB$5)^2+($C49-AB$6)^2+($D49-AB$7)^2)</f>
        <v>0.684902134780969</v>
      </c>
      <c r="AC49" s="74" t="n">
        <f aca="false">SQRT(($B49-AC$5)^2+($C49-AC$6)^2+($D49-AC$7)^2)</f>
        <v>0.387745294880034</v>
      </c>
      <c r="AD49" s="74" t="n">
        <f aca="false">SQRT(($B49-AD$5)^2+($C49-AD$6)^2+($D49-AD$7)^2)</f>
        <v>0.703186189414728</v>
      </c>
      <c r="AE49" s="74" t="n">
        <f aca="false">SQRT(($B49-AE$5)^2+($C49-AE$6)^2+($D49-AE$7)^2)</f>
        <v>2.27765135589093</v>
      </c>
      <c r="AF49" s="74" t="n">
        <f aca="false">SQRT(($B49-AF$5)^2+($C49-AF$6)^2+($D49-AF$7)^2)</f>
        <v>0.506954243385305</v>
      </c>
      <c r="AG49" s="74" t="n">
        <f aca="false">SQRT(($B49-AG$5)^2+($C49-AG$6)^2+($D49-AG$7)^2)</f>
        <v>2.13908526601731</v>
      </c>
      <c r="AH49" s="74" t="n">
        <f aca="false">SQRT(($B49-AH$5)^2+($C49-AH$6)^2+($D49-AH$7)^2)</f>
        <v>0.995055492955467</v>
      </c>
      <c r="AI49" s="74" t="n">
        <f aca="false">SQRT(($B49-AI$5)^2+($C49-AI$6)^2+($D49-AI$7)^2)</f>
        <v>2.13890406065609</v>
      </c>
      <c r="AJ49" s="74" t="n">
        <f aca="false">SQRT(($B49-AJ$5)^2+($C49-AJ$6)^2+($D49-AJ$7)^2)</f>
        <v>0.725084651655194</v>
      </c>
      <c r="AK49" s="74" t="n">
        <f aca="false">SQRT(($B49-AK$5)^2+($C49-AK$6)^2+($D49-AK$7)^2)</f>
        <v>0.884352218615202</v>
      </c>
      <c r="AL49" s="74" t="n">
        <f aca="false">SQRT(($B49-AL$5)^2+($C49-AL$6)^2+($D49-AL$7)^2)</f>
        <v>1.3040382851221</v>
      </c>
      <c r="AM49" s="74" t="n">
        <f aca="false">SQRT(($B49-AM$5)^2+($C49-AM$6)^2+($D49-AM$7)^2)</f>
        <v>0.4757373879936</v>
      </c>
      <c r="AN49" s="74" t="n">
        <f aca="false">SQRT(($B49-AN$5)^2+($C49-AN$6)^2+($D49-AN$7)^2)</f>
        <v>0</v>
      </c>
      <c r="AO49" s="74" t="n">
        <f aca="false">SQRT(($B49-AO$5)^2+($C49-AO$6)^2+($D49-AO$7)^2)</f>
        <v>0.788202124370319</v>
      </c>
      <c r="AP49" s="74" t="n">
        <f aca="false">SQRT(($B49-AP$5)^2+($C49-AP$6)^2+($D49-AP$7)^2)</f>
        <v>0.810191722498896</v>
      </c>
      <c r="AQ49" s="74" t="n">
        <f aca="false">SQRT(($B49-AQ$5)^2+($C49-AQ$6)^2+($D49-AQ$7)^2)</f>
        <v>0.162716914057697</v>
      </c>
      <c r="AR49" s="74" t="n">
        <f aca="false">SQRT(($B49-AR$5)^2+($C49-AR$6)^2+($D49-AR$7)^2)</f>
        <v>1.26975864780219</v>
      </c>
      <c r="AS49" s="74" t="n">
        <f aca="false">SQRT(($B49-AS$5)^2+($C49-AS$6)^2+($D49-AS$7)^2)</f>
        <v>1.84674787566691</v>
      </c>
      <c r="AT49" s="74" t="n">
        <f aca="false">SQRT(($B49-AT$5)^2+($C49-AT$6)^2+($D49-AT$7)^2)</f>
        <v>1.30644717554048</v>
      </c>
      <c r="AU49" s="74" t="n">
        <f aca="false">SQRT(($B49-AU$5)^2+($C49-AU$6)^2+($D49-AU$7)^2)</f>
        <v>1.88345901886543</v>
      </c>
      <c r="AV49" s="74" t="n">
        <f aca="false">SQRT(($B49-AV$5)^2+($C49-AV$6)^2+($D49-AV$7)^2)</f>
        <v>1.84059478088079</v>
      </c>
      <c r="AW49" s="74" t="n">
        <f aca="false">SQRT(($B49-AW$5)^2+($C49-AW$6)^2+($D49-AW$7)^2)</f>
        <v>2.39531068012671</v>
      </c>
      <c r="AX49" s="74" t="n">
        <f aca="false">SQRT(($B49-AX$5)^2+($C49-AX$6)^2+($D49-AX$7)^2)</f>
        <v>1.06493660138929</v>
      </c>
      <c r="AY49" s="74" t="n">
        <f aca="false">SQRT(($B49-AY$5)^2+($C49-AY$6)^2+($D49-AY$7)^2)</f>
        <v>2.6172925308836</v>
      </c>
      <c r="AZ49" s="74" t="n">
        <f aca="false">SQRT(($B49-AZ$5)^2+($C49-AZ$6)^2+($D49-AZ$7)^2)</f>
        <v>1.86244674123603</v>
      </c>
      <c r="BA49" s="74" t="n">
        <f aca="false">SQRT(($B49-BA$5)^2+($C49-BA$6)^2+($D49-BA$7)^2)</f>
        <v>1.32077434233112</v>
      </c>
      <c r="BB49" s="74" t="n">
        <f aca="false">SQRT(($B49-BB$5)^2+($C49-BB$6)^2+($D49-BB$7)^2)</f>
        <v>2.61793272357432</v>
      </c>
      <c r="BC49" s="74" t="n">
        <f aca="false">SQRT(($B49-BC$5)^2+($C49-BC$6)^2+($D49-BC$7)^2)</f>
        <v>2.61859759460401</v>
      </c>
      <c r="BD49" s="74" t="n">
        <f aca="false">SQRT(($B49-BD$5)^2+($C49-BD$6)^2+($D49-BD$7)^2)</f>
        <v>2.21008134692367</v>
      </c>
      <c r="BE49" s="74" t="n">
        <f aca="false">SQRT(($B49-BE$5)^2+($C49-BE$6)^2+($D49-BE$7)^2)</f>
        <v>2.07983281835682</v>
      </c>
      <c r="BF49" s="74" t="n">
        <f aca="false">SQRT(($B49-BF$5)^2+($C49-BF$6)^2+($D49-BF$7)^2)</f>
        <v>0.402631475397738</v>
      </c>
      <c r="BG49" s="74" t="n">
        <f aca="false">SQRT(($B49-BG$5)^2+($C49-BG$6)^2+($D49-BG$7)^2)</f>
        <v>1.34394636902561</v>
      </c>
      <c r="BH49" s="74" t="n">
        <f aca="false">SQRT(($B49-BH$5)^2+($C49-BH$6)^2+($D49-BH$7)^2)</f>
        <v>2.63104612315687</v>
      </c>
      <c r="BI49" s="74" t="n">
        <f aca="false">SQRT(($B49-BI$5)^2+($C49-BI$6)^2+($D49-BI$7)^2)</f>
        <v>2.63341339082901</v>
      </c>
      <c r="BJ49" s="74" t="n">
        <f aca="false">SQRT(($B49-BJ$5)^2+($C49-BJ$6)^2+($D49-BJ$7)^2)</f>
        <v>1.02529805711929</v>
      </c>
      <c r="BK49" s="74" t="n">
        <f aca="false">SQRT(($B49-BK$5)^2+($C49-BK$6)^2+($D49-BK$7)^2)</f>
        <v>2.18191012918035</v>
      </c>
      <c r="BL49" s="74" t="n">
        <f aca="false">SQRT(($B49-BL$5)^2+($C49-BL$6)^2+($D49-BL$7)^2)</f>
        <v>1.90852672412408</v>
      </c>
      <c r="BM49" s="74" t="n">
        <f aca="false">SQRT(($B49-BM$5)^2+($C49-BM$6)^2+($D49-BM$7)^2)</f>
        <v>0.801345402755027</v>
      </c>
      <c r="BN49" s="74" t="n">
        <f aca="false">SQRT(($B49-BN$5)^2+($C49-BN$6)^2+($D49-BN$7)^2)</f>
        <v>1.29468328631619</v>
      </c>
      <c r="BO49" s="74" t="n">
        <f aca="false">SQRT(($B49-BO$5)^2+($C49-BO$6)^2+($D49-BO$7)^2)</f>
        <v>2.44134641429941</v>
      </c>
      <c r="BP49" s="74" t="n">
        <f aca="false">SQRT(($B49-BP$5)^2+($C49-BP$6)^2+($D49-BP$7)^2)</f>
        <v>1.2175213264876</v>
      </c>
      <c r="BQ49" s="74" t="n">
        <f aca="false">SQRT(($B49-BQ$5)^2+($C49-BQ$6)^2+($D49-BQ$7)^2)</f>
        <v>1.45039527362718</v>
      </c>
      <c r="BR49" s="74" t="n">
        <f aca="false">SQRT(($B49-BR$5)^2+($C49-BR$6)^2+($D49-BR$7)^2)</f>
        <v>1.44945201154809</v>
      </c>
      <c r="BS49" s="74" t="n">
        <f aca="false">SQRT(($B49-BS$5)^2+($C49-BS$6)^2+($D49-BS$7)^2)</f>
        <v>1.92733773508954</v>
      </c>
      <c r="BT49" s="74" t="n">
        <f aca="false">SQRT(($B49-BT$5)^2+($C49-BT$6)^2+($D49-BT$7)^2)</f>
        <v>2.00753733968351</v>
      </c>
      <c r="BU49" s="74" t="n">
        <f aca="false">SQRT(($B49-BU$5)^2+($C49-BU$6)^2+($D49-BU$7)^2)</f>
        <v>2.03130826521127</v>
      </c>
      <c r="BV49" s="74" t="n">
        <f aca="false">SQRT(($B49-BV$5)^2+($C49-BV$6)^2+($D49-BV$7)^2)</f>
        <v>2.7010296056336</v>
      </c>
      <c r="BW49" s="74" t="n">
        <f aca="false">SQRT(($B49-BW$5)^2+($C49-BW$6)^2+($D49-BW$7)^2)</f>
        <v>2.00667235320009</v>
      </c>
      <c r="BX49" s="74" t="n">
        <f aca="false">SQRT(($B49-BX$5)^2+($C49-BX$6)^2+($D49-BX$7)^2)</f>
        <v>2.70530485999387</v>
      </c>
      <c r="BY49" s="74" t="n">
        <f aca="false">SQRT(($B49-BY$5)^2+($C49-BY$6)^2+($D49-BY$7)^2)</f>
        <v>2.16853050003258</v>
      </c>
      <c r="BZ49" s="74" t="n">
        <f aca="false">SQRT(($B49-BZ$5)^2+($C49-BZ$6)^2+($D49-BZ$7)^2)</f>
        <v>2.20117890189217</v>
      </c>
      <c r="CA49" s="74" t="n">
        <f aca="false">SQRT(($B49-CA$5)^2+($C49-CA$6)^2+($D49-CA$7)^2)</f>
        <v>2.71957001856411</v>
      </c>
      <c r="CB49" s="74" t="n">
        <f aca="false">SQRT(($B49-CB$5)^2+($C49-CB$6)^2+($D49-CB$7)^2)</f>
        <v>2.2077237665526</v>
      </c>
      <c r="CC49" s="74" t="n">
        <f aca="false">SQRT(($B49-CC$5)^2+($C49-CC$6)^2+($D49-CC$7)^2)</f>
        <v>2.72487004408262</v>
      </c>
      <c r="CD49" s="74" t="n">
        <f aca="false">SQRT(($B49-CD$5)^2+($C49-CD$6)^2+($D49-CD$7)^2)</f>
        <v>2.73642980712349</v>
      </c>
      <c r="CE49" s="74" t="n">
        <f aca="false">SQRT(($B49-CE$5)^2+($C49-CE$6)^2+($D49-CE$7)^2)</f>
        <v>2.12161501929777</v>
      </c>
      <c r="CF49" s="74" t="n">
        <f aca="false">SQRT(($B49-CF$5)^2+($C49-CF$6)^2+($D49-CF$7)^2)</f>
        <v>1.65672635861866</v>
      </c>
      <c r="CG49" s="74" t="n">
        <f aca="false">SQRT(($B49-CG$5)^2+($C49-CG$6)^2+($D49-CG$7)^2)</f>
        <v>1.94413387221455</v>
      </c>
      <c r="CH49" s="74" t="n">
        <f aca="false">SQRT(($B49-CH$5)^2+($C49-CH$6)^2+($D49-CH$7)^2)</f>
        <v>2.32705686702266</v>
      </c>
      <c r="CI49" s="74" t="n">
        <f aca="false">SQRT(($B49-CI$5)^2+($C49-CI$6)^2+($D49-CI$7)^2)</f>
        <v>2.39824944681917</v>
      </c>
      <c r="CJ49" s="74" t="n">
        <f aca="false">SQRT(($B49-CJ$5)^2+($C49-CJ$6)^2+($D49-CJ$7)^2)</f>
        <v>2.58710146646618</v>
      </c>
      <c r="CK49" s="74" t="n">
        <f aca="false">SQRT(($B49-CK$5)^2+($C49-CK$6)^2+($D49-CK$7)^2)</f>
        <v>2.23534882494004</v>
      </c>
      <c r="CL49" s="74" t="n">
        <f aca="false">SQRT(($B49-CL$5)^2+($C49-CL$6)^2+($D49-CL$7)^2)</f>
        <v>2.82404744639252</v>
      </c>
      <c r="CM49" s="74" t="n">
        <f aca="false">SQRT(($B49-CM$5)^2+($C49-CM$6)^2+($D49-CM$7)^2)</f>
        <v>2.35947811323265</v>
      </c>
      <c r="CN49" s="74" t="n">
        <f aca="false">SQRT(($B49-CN$5)^2+($C49-CN$6)^2+($D49-CN$7)^2)</f>
        <v>1.73925760276655</v>
      </c>
      <c r="CO49" s="74" t="n">
        <f aca="false">SQRT(($B49-CO$5)^2+($C49-CO$6)^2+($D49-CO$7)^2)</f>
        <v>1.98009164306025</v>
      </c>
      <c r="CP49" s="74" t="n">
        <f aca="false">SQRT(($B49-CP$5)^2+($C49-CP$6)^2+($D49-CP$7)^2)</f>
        <v>2.86750639028459</v>
      </c>
      <c r="CQ49" s="74" t="n">
        <f aca="false">SQRT(($B49-CQ$5)^2+($C49-CQ$6)^2+($D49-CQ$7)^2)</f>
        <v>2.46943366101602</v>
      </c>
      <c r="CR49" s="74" t="n">
        <f aca="false">SQRT(($B49-CR$5)^2+($C49-CR$6)^2+($D49-CR$7)^2)</f>
        <v>2.45569622013599</v>
      </c>
      <c r="CS49" s="74" t="n">
        <f aca="false">SQRT(($B49-CS$5)^2+($C49-CS$6)^2+($D49-CS$7)^2)</f>
        <v>2.90491840474779</v>
      </c>
      <c r="CT49" s="74" t="n">
        <f aca="false">SQRT(($B49-CT$5)^2+($C49-CT$6)^2+($D49-CT$7)^2)</f>
        <v>2.92720624092586</v>
      </c>
      <c r="CU49" s="74" t="n">
        <f aca="false">SQRT(($B49-CU$5)^2+($C49-CU$6)^2+($D49-CU$7)^2)</f>
        <v>2.41617435425452</v>
      </c>
      <c r="CV49" s="74" t="n">
        <f aca="false">SQRT(($B49-CV$5)^2+($C49-CV$6)^2+($D49-CV$7)^2)</f>
        <v>2.30124462173582</v>
      </c>
      <c r="CW49" s="74" t="n">
        <f aca="false">SQRT(($B49-CW$5)^2+($C49-CW$6)^2+($D49-CW$7)^2)</f>
        <v>2.92720624092586</v>
      </c>
      <c r="CX49" s="74" t="n">
        <f aca="false">SQRT(($B49-CX$5)^2+($C49-CX$6)^2+($D49-CX$7)^2)</f>
        <v>2.40983597353999</v>
      </c>
      <c r="CY49" s="74" t="n">
        <f aca="false">SQRT(($B49-CY$5)^2+($C49-CY$6)^2+($D49-CY$7)^2)</f>
        <v>2.952618491607</v>
      </c>
      <c r="CZ49" s="74" t="n">
        <f aca="false">SQRT(($B49-CZ$5)^2+($C49-CZ$6)^2+($D49-CZ$7)^2)</f>
        <v>2.952618491607</v>
      </c>
      <c r="DA49" s="74" t="n">
        <f aca="false">SQRT(($B49-DA$5)^2+($C49-DA$6)^2+($D49-DA$7)^2)</f>
        <v>2.59501270930222</v>
      </c>
      <c r="DB49" s="74" t="n">
        <f aca="false">SQRT(($B49-DB$5)^2+($C49-DB$6)^2+($D49-DB$7)^2)</f>
        <v>2.98196453434438</v>
      </c>
      <c r="DC49" s="74" t="n">
        <f aca="false">SQRT(($B49-DC$5)^2+($C49-DC$6)^2+($D49-DC$7)^2)</f>
        <v>2.98196453434438</v>
      </c>
      <c r="DD49" s="74" t="n">
        <f aca="false">SQRT(($B49-DD$5)^2+($C49-DD$6)^2+($D49-DD$7)^2)</f>
        <v>2.6929668898585</v>
      </c>
      <c r="DE49" s="74" t="n">
        <f aca="false">SQRT(($B49-DE$5)^2+($C49-DE$6)^2+($D49-DE$7)^2)</f>
        <v>2.87297450795078</v>
      </c>
      <c r="DF49" s="74" t="n">
        <f aca="false">SQRT(($B49-DF$5)^2+($C49-DF$6)^2+($D49-DF$7)^2)</f>
        <v>3.17321286700738</v>
      </c>
      <c r="DG49" s="74" t="n">
        <f aca="false">SQRT(($B49-DG$5)^2+($C49-DG$6)^2+($D49-DG$7)^2)</f>
        <v>3.26102506353739</v>
      </c>
      <c r="DH49" s="74" t="n">
        <f aca="false">SQRT(($B49-DH$5)^2+($C49-DH$6)^2+($D49-DH$7)^2)</f>
        <v>3.26102506353739</v>
      </c>
      <c r="DI49" s="74" t="n">
        <f aca="false">SQRT(($B49-DI$5)^2+($C49-DI$6)^2+($D49-DI$7)^2)</f>
        <v>3.26102506353739</v>
      </c>
      <c r="DJ49" s="74" t="n">
        <f aca="false">SQRT(($B49-DJ$5)^2+($C49-DJ$6)^2+($D49-DJ$7)^2)</f>
        <v>3.26102506353739</v>
      </c>
      <c r="DK49" s="74" t="n">
        <f aca="false">SQRT(($B49-DK$5)^2+($C49-DK$6)^2+($D49-DK$7)^2)</f>
        <v>3.3921595223746</v>
      </c>
      <c r="DL49" s="74" t="n">
        <f aca="false">SQRT(($B49-DL$5)^2+($C49-DL$6)^2+($D49-DL$7)^2)</f>
        <v>3.3921595223746</v>
      </c>
      <c r="DM49" s="74" t="n">
        <f aca="false">SQRT(($B49-DM$5)^2+($C49-DM$6)^2+($D49-DM$7)^2)</f>
        <v>3.3921595223746</v>
      </c>
      <c r="DN49" s="74" t="n">
        <f aca="false">SQRT(($B49-DN$5)^2+($C49-DN$6)^2+($D49-DN$7)^2)</f>
        <v>3.3921595223746</v>
      </c>
      <c r="DO49" s="74" t="n">
        <f aca="false">SQRT(($B49-DO$5)^2+($C49-DO$6)^2+($D49-DO$7)^2)</f>
        <v>3.3921595223746</v>
      </c>
      <c r="DP49" s="74" t="n">
        <f aca="false">SQRT(($B49-DP$5)^2+($C49-DP$6)^2+($D49-DP$7)^2)</f>
        <v>3.6338012413689</v>
      </c>
      <c r="DQ49" s="74" t="n">
        <f aca="false">SQRT(($B49-DQ$5)^2+($C49-DQ$6)^2+($D49-DQ$7)^2)</f>
        <v>3.6338012413689</v>
      </c>
    </row>
    <row r="50" customFormat="false" ht="15" hidden="false" customHeight="false" outlineLevel="0" collapsed="false">
      <c r="A50" s="48" t="str">
        <f aca="false">KMeans_Data!A41</f>
        <v>Haripur</v>
      </c>
      <c r="B50" s="72" t="n">
        <f aca="false">KMeans_Data!H41</f>
        <v>0.433254553932755</v>
      </c>
      <c r="C50" s="72" t="n">
        <f aca="false">KMeans_Data!I41</f>
        <v>0.378684277529216</v>
      </c>
      <c r="D50" s="72" t="n">
        <f aca="false">KMeans_Data!J41</f>
        <v>0.539980232203984</v>
      </c>
      <c r="E50" s="74" t="n">
        <f aca="false">SQRT(($B50-E$5)^2+($C50-E$6)^2+($D50-E$7)^2)</f>
        <v>5.36910920761941</v>
      </c>
      <c r="F50" s="74" t="n">
        <f aca="false">SQRT(($B50-F$5)^2+($C50-F$6)^2+($D50-F$7)^2)</f>
        <v>5.17602708807748</v>
      </c>
      <c r="G50" s="74" t="n">
        <f aca="false">SQRT(($B50-G$5)^2+($C50-G$6)^2+($D50-G$7)^2)</f>
        <v>3.27969587270695</v>
      </c>
      <c r="H50" s="74" t="n">
        <f aca="false">SQRT(($B50-H$5)^2+($C50-H$6)^2+($D50-H$7)^2)</f>
        <v>3.87265259066407</v>
      </c>
      <c r="I50" s="74" t="n">
        <f aca="false">SQRT(($B50-I$5)^2+($C50-I$6)^2+($D50-I$7)^2)</f>
        <v>2.68404356636408</v>
      </c>
      <c r="J50" s="74" t="n">
        <f aca="false">SQRT(($B50-J$5)^2+($C50-J$6)^2+($D50-J$7)^2)</f>
        <v>2.31767416508879</v>
      </c>
      <c r="K50" s="74" t="n">
        <f aca="false">SQRT(($B50-K$5)^2+($C50-K$6)^2+($D50-K$7)^2)</f>
        <v>1.65242327024433</v>
      </c>
      <c r="L50" s="74" t="n">
        <f aca="false">SQRT(($B50-L$5)^2+($C50-L$6)^2+($D50-L$7)^2)</f>
        <v>1.50861722649158</v>
      </c>
      <c r="M50" s="74" t="n">
        <f aca="false">SQRT(($B50-M$5)^2+($C50-M$6)^2+($D50-M$7)^2)</f>
        <v>1.64665641187485</v>
      </c>
      <c r="N50" s="74" t="n">
        <f aca="false">SQRT(($B50-N$5)^2+($C50-N$6)^2+($D50-N$7)^2)</f>
        <v>1.65174016877984</v>
      </c>
      <c r="O50" s="74" t="n">
        <f aca="false">SQRT(($B50-O$5)^2+($C50-O$6)^2+($D50-O$7)^2)</f>
        <v>1.3806255785572</v>
      </c>
      <c r="P50" s="74" t="n">
        <f aca="false">SQRT(($B50-P$5)^2+($C50-P$6)^2+($D50-P$7)^2)</f>
        <v>1.67504507170662</v>
      </c>
      <c r="Q50" s="74" t="n">
        <f aca="false">SQRT(($B50-Q$5)^2+($C50-Q$6)^2+($D50-Q$7)^2)</f>
        <v>1.02058130353687</v>
      </c>
      <c r="R50" s="74" t="n">
        <f aca="false">SQRT(($B50-R$5)^2+($C50-R$6)^2+($D50-R$7)^2)</f>
        <v>1.10932638375685</v>
      </c>
      <c r="S50" s="74" t="n">
        <f aca="false">SQRT(($B50-S$5)^2+($C50-S$6)^2+($D50-S$7)^2)</f>
        <v>0.999724279871384</v>
      </c>
      <c r="T50" s="74" t="n">
        <f aca="false">SQRT(($B50-T$5)^2+($C50-T$6)^2+($D50-T$7)^2)</f>
        <v>0.936125195509791</v>
      </c>
      <c r="U50" s="74" t="n">
        <f aca="false">SQRT(($B50-U$5)^2+($C50-U$6)^2+($D50-U$7)^2)</f>
        <v>1.13492351989543</v>
      </c>
      <c r="V50" s="74" t="n">
        <f aca="false">SQRT(($B50-V$5)^2+($C50-V$6)^2+($D50-V$7)^2)</f>
        <v>1.08954660664902</v>
      </c>
      <c r="W50" s="74" t="n">
        <f aca="false">SQRT(($B50-W$5)^2+($C50-W$6)^2+($D50-W$7)^2)</f>
        <v>1.15539620451262</v>
      </c>
      <c r="X50" s="74" t="n">
        <f aca="false">SQRT(($B50-X$5)^2+($C50-X$6)^2+($D50-X$7)^2)</f>
        <v>0.770522540496755</v>
      </c>
      <c r="Y50" s="74" t="n">
        <f aca="false">SQRT(($B50-Y$5)^2+($C50-Y$6)^2+($D50-Y$7)^2)</f>
        <v>0.915335307672309</v>
      </c>
      <c r="Z50" s="74" t="n">
        <f aca="false">SQRT(($B50-Z$5)^2+($C50-Z$6)^2+($D50-Z$7)^2)</f>
        <v>0.55715062045266</v>
      </c>
      <c r="AA50" s="74" t="n">
        <f aca="false">SQRT(($B50-AA$5)^2+($C50-AA$6)^2+($D50-AA$7)^2)</f>
        <v>0.58857270664727</v>
      </c>
      <c r="AB50" s="74" t="n">
        <f aca="false">SQRT(($B50-AB$5)^2+($C50-AB$6)^2+($D50-AB$7)^2)</f>
        <v>0.40924768899334</v>
      </c>
      <c r="AC50" s="74" t="n">
        <f aca="false">SQRT(($B50-AC$5)^2+($C50-AC$6)^2+($D50-AC$7)^2)</f>
        <v>1.07146572439474</v>
      </c>
      <c r="AD50" s="74" t="n">
        <f aca="false">SQRT(($B50-AD$5)^2+($C50-AD$6)^2+($D50-AD$7)^2)</f>
        <v>0.89497639634607</v>
      </c>
      <c r="AE50" s="74" t="n">
        <f aca="false">SQRT(($B50-AE$5)^2+($C50-AE$6)^2+($D50-AE$7)^2)</f>
        <v>1.77841988658411</v>
      </c>
      <c r="AF50" s="74" t="n">
        <f aca="false">SQRT(($B50-AF$5)^2+($C50-AF$6)^2+($D50-AF$7)^2)</f>
        <v>0.483950284335235</v>
      </c>
      <c r="AG50" s="74" t="n">
        <f aca="false">SQRT(($B50-AG$5)^2+($C50-AG$6)^2+($D50-AG$7)^2)</f>
        <v>1.41755308735323</v>
      </c>
      <c r="AH50" s="74" t="n">
        <f aca="false">SQRT(($B50-AH$5)^2+($C50-AH$6)^2+($D50-AH$7)^2)</f>
        <v>0.356134993723278</v>
      </c>
      <c r="AI50" s="74" t="n">
        <f aca="false">SQRT(($B50-AI$5)^2+($C50-AI$6)^2+($D50-AI$7)^2)</f>
        <v>1.41723406242012</v>
      </c>
      <c r="AJ50" s="74" t="n">
        <f aca="false">SQRT(($B50-AJ$5)^2+($C50-AJ$6)^2+($D50-AJ$7)^2)</f>
        <v>0.612983423474907</v>
      </c>
      <c r="AK50" s="74" t="n">
        <f aca="false">SQRT(($B50-AK$5)^2+($C50-AK$6)^2+($D50-AK$7)^2)</f>
        <v>0.271689708828195</v>
      </c>
      <c r="AL50" s="74" t="n">
        <f aca="false">SQRT(($B50-AL$5)^2+($C50-AL$6)^2+($D50-AL$7)^2)</f>
        <v>0.528320807480091</v>
      </c>
      <c r="AM50" s="74" t="n">
        <f aca="false">SQRT(($B50-AM$5)^2+($C50-AM$6)^2+($D50-AM$7)^2)</f>
        <v>1.03032562409848</v>
      </c>
      <c r="AN50" s="74" t="n">
        <f aca="false">SQRT(($B50-AN$5)^2+($C50-AN$6)^2+($D50-AN$7)^2)</f>
        <v>0.788202124370319</v>
      </c>
      <c r="AO50" s="74" t="n">
        <f aca="false">SQRT(($B50-AO$5)^2+($C50-AO$6)^2+($D50-AO$7)^2)</f>
        <v>0</v>
      </c>
      <c r="AP50" s="74" t="n">
        <f aca="false">SQRT(($B50-AP$5)^2+($C50-AP$6)^2+($D50-AP$7)^2)</f>
        <v>0.0797435019603972</v>
      </c>
      <c r="AQ50" s="74" t="n">
        <f aca="false">SQRT(($B50-AQ$5)^2+($C50-AQ$6)^2+($D50-AQ$7)^2)</f>
        <v>0.898604235959111</v>
      </c>
      <c r="AR50" s="74" t="n">
        <f aca="false">SQRT(($B50-AR$5)^2+($C50-AR$6)^2+($D50-AR$7)^2)</f>
        <v>0.657405539549127</v>
      </c>
      <c r="AS50" s="74" t="n">
        <f aca="false">SQRT(($B50-AS$5)^2+($C50-AS$6)^2+($D50-AS$7)^2)</f>
        <v>1.1578489113739</v>
      </c>
      <c r="AT50" s="74" t="n">
        <f aca="false">SQRT(($B50-AT$5)^2+($C50-AT$6)^2+($D50-AT$7)^2)</f>
        <v>0.597209490381154</v>
      </c>
      <c r="AU50" s="74" t="n">
        <f aca="false">SQRT(($B50-AU$5)^2+($C50-AU$6)^2+($D50-AU$7)^2)</f>
        <v>1.29992286699192</v>
      </c>
      <c r="AV50" s="74" t="n">
        <f aca="false">SQRT(($B50-AV$5)^2+($C50-AV$6)^2+($D50-AV$7)^2)</f>
        <v>1.06639017086875</v>
      </c>
      <c r="AW50" s="74" t="n">
        <f aca="false">SQRT(($B50-AW$5)^2+($C50-AW$6)^2+($D50-AW$7)^2)</f>
        <v>1.73344973162199</v>
      </c>
      <c r="AX50" s="74" t="n">
        <f aca="false">SQRT(($B50-AX$5)^2+($C50-AX$6)^2+($D50-AX$7)^2)</f>
        <v>0.336108194333043</v>
      </c>
      <c r="AY50" s="74" t="n">
        <f aca="false">SQRT(($B50-AY$5)^2+($C50-AY$6)^2+($D50-AY$7)^2)</f>
        <v>2.00014697314669</v>
      </c>
      <c r="AZ50" s="74" t="n">
        <f aca="false">SQRT(($B50-AZ$5)^2+($C50-AZ$6)^2+($D50-AZ$7)^2)</f>
        <v>1.18399733877683</v>
      </c>
      <c r="BA50" s="74" t="n">
        <f aca="false">SQRT(($B50-BA$5)^2+($C50-BA$6)^2+($D50-BA$7)^2)</f>
        <v>0.631513855010133</v>
      </c>
      <c r="BB50" s="74" t="n">
        <f aca="false">SQRT(($B50-BB$5)^2+($C50-BB$6)^2+($D50-BB$7)^2)</f>
        <v>2.00091783478494</v>
      </c>
      <c r="BC50" s="74" t="n">
        <f aca="false">SQRT(($B50-BC$5)^2+($C50-BC$6)^2+($D50-BC$7)^2)</f>
        <v>2.00172003744086</v>
      </c>
      <c r="BD50" s="74" t="n">
        <f aca="false">SQRT(($B50-BD$5)^2+($C50-BD$6)^2+($D50-BD$7)^2)</f>
        <v>1.50476457533782</v>
      </c>
      <c r="BE50" s="74" t="n">
        <f aca="false">SQRT(($B50-BE$5)^2+($C50-BE$6)^2+($D50-BE$7)^2)</f>
        <v>1.34096244450698</v>
      </c>
      <c r="BF50" s="74" t="n">
        <f aca="false">SQRT(($B50-BF$5)^2+($C50-BF$6)^2+($D50-BF$7)^2)</f>
        <v>1.07272414491948</v>
      </c>
      <c r="BG50" s="74" t="n">
        <f aca="false">SQRT(($B50-BG$5)^2+($C50-BG$6)^2+($D50-BG$7)^2)</f>
        <v>0.626862317337673</v>
      </c>
      <c r="BH50" s="74" t="n">
        <f aca="false">SQRT(($B50-BH$5)^2+($C50-BH$6)^2+($D50-BH$7)^2)</f>
        <v>2.01693576102357</v>
      </c>
      <c r="BI50" s="74" t="n">
        <f aca="false">SQRT(($B50-BI$5)^2+($C50-BI$6)^2+($D50-BI$7)^2)</f>
        <v>2.01985584220289</v>
      </c>
      <c r="BJ50" s="74" t="n">
        <f aca="false">SQRT(($B50-BJ$5)^2+($C50-BJ$6)^2+($D50-BJ$7)^2)</f>
        <v>0.693530736969596</v>
      </c>
      <c r="BK50" s="74" t="n">
        <f aca="false">SQRT(($B50-BK$5)^2+($C50-BK$6)^2+($D50-BK$7)^2)</f>
        <v>1.47348514227209</v>
      </c>
      <c r="BL50" s="74" t="n">
        <f aca="false">SQRT(($B50-BL$5)^2+($C50-BL$6)^2+($D50-BL$7)^2)</f>
        <v>1.15198230200418</v>
      </c>
      <c r="BM50" s="74" t="n">
        <f aca="false">SQRT(($B50-BM$5)^2+($C50-BM$6)^2+($D50-BM$7)^2)</f>
        <v>0.497796268487841</v>
      </c>
      <c r="BN50" s="74" t="n">
        <f aca="false">SQRT(($B50-BN$5)^2+($C50-BN$6)^2+($D50-BN$7)^2)</f>
        <v>0.722560104821178</v>
      </c>
      <c r="BO50" s="74" t="n">
        <f aca="false">SQRT(($B50-BO$5)^2+($C50-BO$6)^2+($D50-BO$7)^2)</f>
        <v>1.79307439947672</v>
      </c>
      <c r="BP50" s="74" t="n">
        <f aca="false">SQRT(($B50-BP$5)^2+($C50-BP$6)^2+($D50-BP$7)^2)</f>
        <v>0.637080292659256</v>
      </c>
      <c r="BQ50" s="74" t="n">
        <f aca="false">SQRT(($B50-BQ$5)^2+($C50-BQ$6)^2+($D50-BQ$7)^2)</f>
        <v>0.772481161758955</v>
      </c>
      <c r="BR50" s="74" t="n">
        <f aca="false">SQRT(($B50-BR$5)^2+($C50-BR$6)^2+($D50-BR$7)^2)</f>
        <v>0.781376404571486</v>
      </c>
      <c r="BS50" s="74" t="n">
        <f aca="false">SQRT(($B50-BS$5)^2+($C50-BS$6)^2+($D50-BS$7)^2)</f>
        <v>1.2149432124772</v>
      </c>
      <c r="BT50" s="74" t="n">
        <f aca="false">SQRT(($B50-BT$5)^2+($C50-BT$6)^2+($D50-BT$7)^2)</f>
        <v>1.28255291878168</v>
      </c>
      <c r="BU50" s="74" t="n">
        <f aca="false">SQRT(($B50-BU$5)^2+($C50-BU$6)^2+($D50-BU$7)^2)</f>
        <v>1.30789409273556</v>
      </c>
      <c r="BV50" s="74" t="n">
        <f aca="false">SQRT(($B50-BV$5)^2+($C50-BV$6)^2+($D50-BV$7)^2)</f>
        <v>2.10407041855199</v>
      </c>
      <c r="BW50" s="74" t="n">
        <f aca="false">SQRT(($B50-BW$5)^2+($C50-BW$6)^2+($D50-BW$7)^2)</f>
        <v>1.29320718128441</v>
      </c>
      <c r="BX50" s="74" t="n">
        <f aca="false">SQRT(($B50-BX$5)^2+($C50-BX$6)^2+($D50-BX$7)^2)</f>
        <v>2.10940084304273</v>
      </c>
      <c r="BY50" s="74" t="n">
        <f aca="false">SQRT(($B50-BY$5)^2+($C50-BY$6)^2+($D50-BY$7)^2)</f>
        <v>1.47592054851174</v>
      </c>
      <c r="BZ50" s="74" t="n">
        <f aca="false">SQRT(($B50-BZ$5)^2+($C50-BZ$6)^2+($D50-BZ$7)^2)</f>
        <v>1.51593141377614</v>
      </c>
      <c r="CA50" s="74" t="n">
        <f aca="false">SQRT(($B50-CA$5)^2+($C50-CA$6)^2+($D50-CA$7)^2)</f>
        <v>2.12717344650294</v>
      </c>
      <c r="CB50" s="74" t="n">
        <f aca="false">SQRT(($B50-CB$5)^2+($C50-CB$6)^2+($D50-CB$7)^2)</f>
        <v>1.52517476696951</v>
      </c>
      <c r="CC50" s="74" t="n">
        <f aca="false">SQRT(($B50-CC$5)^2+($C50-CC$6)^2+($D50-CC$7)^2)</f>
        <v>2.13377058045948</v>
      </c>
      <c r="CD50" s="74" t="n">
        <f aca="false">SQRT(($B50-CD$5)^2+($C50-CD$6)^2+($D50-CD$7)^2)</f>
        <v>2.14814652843904</v>
      </c>
      <c r="CE50" s="74" t="n">
        <f aca="false">SQRT(($B50-CE$5)^2+($C50-CE$6)^2+($D50-CE$7)^2)</f>
        <v>1.43319399521569</v>
      </c>
      <c r="CF50" s="74" t="n">
        <f aca="false">SQRT(($B50-CF$5)^2+($C50-CF$6)^2+($D50-CF$7)^2)</f>
        <v>1.06708657245691</v>
      </c>
      <c r="CG50" s="74" t="n">
        <f aca="false">SQRT(($B50-CG$5)^2+($C50-CG$6)^2+($D50-CG$7)^2)</f>
        <v>1.4061192843351</v>
      </c>
      <c r="CH50" s="74" t="n">
        <f aca="false">SQRT(($B50-CH$5)^2+($C50-CH$6)^2+($D50-CH$7)^2)</f>
        <v>1.6751567461549</v>
      </c>
      <c r="CI50" s="74" t="n">
        <f aca="false">SQRT(($B50-CI$5)^2+($C50-CI$6)^2+($D50-CI$7)^2)</f>
        <v>1.76163883608212</v>
      </c>
      <c r="CJ50" s="74" t="n">
        <f aca="false">SQRT(($B50-CJ$5)^2+($C50-CJ$6)^2+($D50-CJ$7)^2)</f>
        <v>1.98200524483446</v>
      </c>
      <c r="CK50" s="74" t="n">
        <f aca="false">SQRT(($B50-CK$5)^2+($C50-CK$6)^2+($D50-CK$7)^2)</f>
        <v>1.58542252010935</v>
      </c>
      <c r="CL50" s="74" t="n">
        <f aca="false">SQRT(($B50-CL$5)^2+($C50-CL$6)^2+($D50-CL$7)^2)</f>
        <v>2.25641593679112</v>
      </c>
      <c r="CM50" s="74" t="n">
        <f aca="false">SQRT(($B50-CM$5)^2+($C50-CM$6)^2+($D50-CM$7)^2)</f>
        <v>1.72675671700552</v>
      </c>
      <c r="CN50" s="74" t="n">
        <f aca="false">SQRT(($B50-CN$5)^2+($C50-CN$6)^2+($D50-CN$7)^2)</f>
        <v>1.2579718472064</v>
      </c>
      <c r="CO50" s="74" t="n">
        <f aca="false">SQRT(($B50-CO$5)^2+($C50-CO$6)^2+($D50-CO$7)^2)</f>
        <v>1.47829934322366</v>
      </c>
      <c r="CP50" s="74" t="n">
        <f aca="false">SQRT(($B50-CP$5)^2+($C50-CP$6)^2+($D50-CP$7)^2)</f>
        <v>2.30962111305291</v>
      </c>
      <c r="CQ50" s="74" t="n">
        <f aca="false">SQRT(($B50-CQ$5)^2+($C50-CQ$6)^2+($D50-CQ$7)^2)</f>
        <v>1.8644514837376</v>
      </c>
      <c r="CR50" s="74" t="n">
        <f aca="false">SQRT(($B50-CR$5)^2+($C50-CR$6)^2+($D50-CR$7)^2)</f>
        <v>1.85392391601758</v>
      </c>
      <c r="CS50" s="74" t="n">
        <f aca="false">SQRT(($B50-CS$5)^2+($C50-CS$6)^2+($D50-CS$7)^2)</f>
        <v>2.3551556225573</v>
      </c>
      <c r="CT50" s="74" t="n">
        <f aca="false">SQRT(($B50-CT$5)^2+($C50-CT$6)^2+($D50-CT$7)^2)</f>
        <v>2.38216670417961</v>
      </c>
      <c r="CU50" s="74" t="n">
        <f aca="false">SQRT(($B50-CU$5)^2+($C50-CU$6)^2+($D50-CU$7)^2)</f>
        <v>1.96623220048444</v>
      </c>
      <c r="CV50" s="74" t="n">
        <f aca="false">SQRT(($B50-CV$5)^2+($C50-CV$6)^2+($D50-CV$7)^2)</f>
        <v>1.70555415601718</v>
      </c>
      <c r="CW50" s="74" t="n">
        <f aca="false">SQRT(($B50-CW$5)^2+($C50-CW$6)^2+($D50-CW$7)^2)</f>
        <v>2.38216670417961</v>
      </c>
      <c r="CX50" s="74" t="n">
        <f aca="false">SQRT(($B50-CX$5)^2+($C50-CX$6)^2+($D50-CX$7)^2)</f>
        <v>1.8194987060711</v>
      </c>
      <c r="CY50" s="74" t="n">
        <f aca="false">SQRT(($B50-CY$5)^2+($C50-CY$6)^2+($D50-CY$7)^2)</f>
        <v>2.41286116242176</v>
      </c>
      <c r="CZ50" s="74" t="n">
        <f aca="false">SQRT(($B50-CZ$5)^2+($C50-CZ$6)^2+($D50-CZ$7)^2)</f>
        <v>2.41286116242176</v>
      </c>
      <c r="DA50" s="74" t="n">
        <f aca="false">SQRT(($B50-DA$5)^2+($C50-DA$6)^2+($D50-DA$7)^2)</f>
        <v>2.0171500967522</v>
      </c>
      <c r="DB50" s="74" t="n">
        <f aca="false">SQRT(($B50-DB$5)^2+($C50-DB$6)^2+($D50-DB$7)^2)</f>
        <v>2.4481733504028</v>
      </c>
      <c r="DC50" s="74" t="n">
        <f aca="false">SQRT(($B50-DC$5)^2+($C50-DC$6)^2+($D50-DC$7)^2)</f>
        <v>2.4481733504028</v>
      </c>
      <c r="DD50" s="74" t="n">
        <f aca="false">SQRT(($B50-DD$5)^2+($C50-DD$6)^2+($D50-DD$7)^2)</f>
        <v>2.12989754973287</v>
      </c>
      <c r="DE50" s="74" t="n">
        <f aca="false">SQRT(($B50-DE$5)^2+($C50-DE$6)^2+($D50-DE$7)^2)</f>
        <v>2.33767836076717</v>
      </c>
      <c r="DF50" s="74" t="n">
        <f aca="false">SQRT(($B50-DF$5)^2+($C50-DF$6)^2+($D50-DF$7)^2)</f>
        <v>2.67506851091369</v>
      </c>
      <c r="DG50" s="74" t="n">
        <f aca="false">SQRT(($B50-DG$5)^2+($C50-DG$6)^2+($D50-DG$7)^2)</f>
        <v>2.77756785149657</v>
      </c>
      <c r="DH50" s="74" t="n">
        <f aca="false">SQRT(($B50-DH$5)^2+($C50-DH$6)^2+($D50-DH$7)^2)</f>
        <v>2.77756785149657</v>
      </c>
      <c r="DI50" s="74" t="n">
        <f aca="false">SQRT(($B50-DI$5)^2+($C50-DI$6)^2+($D50-DI$7)^2)</f>
        <v>2.77756785149657</v>
      </c>
      <c r="DJ50" s="74" t="n">
        <f aca="false">SQRT(($B50-DJ$5)^2+($C50-DJ$6)^2+($D50-DJ$7)^2)</f>
        <v>2.77756785149657</v>
      </c>
      <c r="DK50" s="74" t="n">
        <f aca="false">SQRT(($B50-DK$5)^2+($C50-DK$6)^2+($D50-DK$7)^2)</f>
        <v>2.92894677882399</v>
      </c>
      <c r="DL50" s="74" t="n">
        <f aca="false">SQRT(($B50-DL$5)^2+($C50-DL$6)^2+($D50-DL$7)^2)</f>
        <v>2.92894677882399</v>
      </c>
      <c r="DM50" s="74" t="n">
        <f aca="false">SQRT(($B50-DM$5)^2+($C50-DM$6)^2+($D50-DM$7)^2)</f>
        <v>2.92894677882399</v>
      </c>
      <c r="DN50" s="74" t="n">
        <f aca="false">SQRT(($B50-DN$5)^2+($C50-DN$6)^2+($D50-DN$7)^2)</f>
        <v>2.92894677882399</v>
      </c>
      <c r="DO50" s="74" t="n">
        <f aca="false">SQRT(($B50-DO$5)^2+($C50-DO$6)^2+($D50-DO$7)^2)</f>
        <v>2.92894677882399</v>
      </c>
      <c r="DP50" s="74" t="n">
        <f aca="false">SQRT(($B50-DP$5)^2+($C50-DP$6)^2+($D50-DP$7)^2)</f>
        <v>3.20339910703097</v>
      </c>
      <c r="DQ50" s="74" t="n">
        <f aca="false">SQRT(($B50-DQ$5)^2+($C50-DQ$6)^2+($D50-DQ$7)^2)</f>
        <v>3.20339910703097</v>
      </c>
    </row>
    <row r="51" customFormat="false" ht="15" hidden="false" customHeight="false" outlineLevel="0" collapsed="false">
      <c r="A51" s="48" t="str">
        <f aca="false">KMeans_Data!A42</f>
        <v>Battagram</v>
      </c>
      <c r="B51" s="72" t="n">
        <f aca="false">KMeans_Data!H42</f>
        <v>0.429074049388274</v>
      </c>
      <c r="C51" s="72" t="n">
        <f aca="false">KMeans_Data!I42</f>
        <v>0.378684277529216</v>
      </c>
      <c r="D51" s="72" t="n">
        <f aca="false">KMeans_Data!J42</f>
        <v>0.460346385840384</v>
      </c>
      <c r="E51" s="74" t="n">
        <f aca="false">SQRT(($B51-E$5)^2+($C51-E$6)^2+($D51-E$7)^2)</f>
        <v>5.41197722243839</v>
      </c>
      <c r="F51" s="74" t="n">
        <f aca="false">SQRT(($B51-F$5)^2+($C51-F$6)^2+($D51-F$7)^2)</f>
        <v>5.21172574506147</v>
      </c>
      <c r="G51" s="74" t="n">
        <f aca="false">SQRT(($B51-G$5)^2+($C51-G$6)^2+($D51-G$7)^2)</f>
        <v>3.32727360805455</v>
      </c>
      <c r="H51" s="74" t="n">
        <f aca="false">SQRT(($B51-H$5)^2+($C51-H$6)^2+($D51-H$7)^2)</f>
        <v>3.89807240133536</v>
      </c>
      <c r="I51" s="74" t="n">
        <f aca="false">SQRT(($B51-I$5)^2+($C51-I$6)^2+($D51-I$7)^2)</f>
        <v>2.72198055432781</v>
      </c>
      <c r="J51" s="74" t="n">
        <f aca="false">SQRT(($B51-J$5)^2+($C51-J$6)^2+($D51-J$7)^2)</f>
        <v>2.35175056642281</v>
      </c>
      <c r="K51" s="74" t="n">
        <f aca="false">SQRT(($B51-K$5)^2+($C51-K$6)^2+($D51-K$7)^2)</f>
        <v>1.5896948229092</v>
      </c>
      <c r="L51" s="74" t="n">
        <f aca="false">SQRT(($B51-L$5)^2+($C51-L$6)^2+($D51-L$7)^2)</f>
        <v>1.57423605393242</v>
      </c>
      <c r="M51" s="74" t="n">
        <f aca="false">SQRT(($B51-M$5)^2+($C51-M$6)^2+($D51-M$7)^2)</f>
        <v>1.70551462456555</v>
      </c>
      <c r="N51" s="74" t="n">
        <f aca="false">SQRT(($B51-N$5)^2+($C51-N$6)^2+($D51-N$7)^2)</f>
        <v>1.58862179914003</v>
      </c>
      <c r="O51" s="74" t="n">
        <f aca="false">SQRT(($B51-O$5)^2+($C51-O$6)^2+($D51-O$7)^2)</f>
        <v>1.4106079705124</v>
      </c>
      <c r="P51" s="74" t="n">
        <f aca="false">SQRT(($B51-P$5)^2+($C51-P$6)^2+($D51-P$7)^2)</f>
        <v>1.70815096139811</v>
      </c>
      <c r="Q51" s="74" t="n">
        <f aca="false">SQRT(($B51-Q$5)^2+($C51-Q$6)^2+($D51-Q$7)^2)</f>
        <v>1.06729845736661</v>
      </c>
      <c r="R51" s="74" t="n">
        <f aca="false">SQRT(($B51-R$5)^2+($C51-R$6)^2+($D51-R$7)^2)</f>
        <v>1.179067995595</v>
      </c>
      <c r="S51" s="74" t="n">
        <f aca="false">SQRT(($B51-S$5)^2+($C51-S$6)^2+($D51-S$7)^2)</f>
        <v>1.05378175460022</v>
      </c>
      <c r="T51" s="74" t="n">
        <f aca="false">SQRT(($B51-T$5)^2+($C51-T$6)^2+($D51-T$7)^2)</f>
        <v>0.979823793626829</v>
      </c>
      <c r="U51" s="74" t="n">
        <f aca="false">SQRT(($B51-U$5)^2+($C51-U$6)^2+($D51-U$7)^2)</f>
        <v>1.21008246038159</v>
      </c>
      <c r="V51" s="74" t="n">
        <f aca="false">SQRT(($B51-V$5)^2+($C51-V$6)^2+($D51-V$7)^2)</f>
        <v>1.09975393285307</v>
      </c>
      <c r="W51" s="74" t="n">
        <f aca="false">SQRT(($B51-W$5)^2+($C51-W$6)^2+($D51-W$7)^2)</f>
        <v>1.18642470462521</v>
      </c>
      <c r="X51" s="74" t="n">
        <f aca="false">SQRT(($B51-X$5)^2+($C51-X$6)^2+($D51-X$7)^2)</f>
        <v>0.826191354104018</v>
      </c>
      <c r="Y51" s="74" t="n">
        <f aca="false">SQRT(($B51-Y$5)^2+($C51-Y$6)^2+($D51-Y$7)^2)</f>
        <v>0.981422633643357</v>
      </c>
      <c r="Z51" s="74" t="n">
        <f aca="false">SQRT(($B51-Z$5)^2+($C51-Z$6)^2+($D51-Z$7)^2)</f>
        <v>0.576368251944181</v>
      </c>
      <c r="AA51" s="74" t="n">
        <f aca="false">SQRT(($B51-AA$5)^2+($C51-AA$6)^2+($D51-AA$7)^2)</f>
        <v>0.650038055874253</v>
      </c>
      <c r="AB51" s="74" t="n">
        <f aca="false">SQRT(($B51-AB$5)^2+($C51-AB$6)^2+($D51-AB$7)^2)</f>
        <v>0.44387547407469</v>
      </c>
      <c r="AC51" s="74" t="n">
        <f aca="false">SQRT(($B51-AC$5)^2+($C51-AC$6)^2+($D51-AC$7)^2)</f>
        <v>1.08952720206438</v>
      </c>
      <c r="AD51" s="74" t="n">
        <f aca="false">SQRT(($B51-AD$5)^2+($C51-AD$6)^2+($D51-AD$7)^2)</f>
        <v>0.962937014121759</v>
      </c>
      <c r="AE51" s="74" t="n">
        <f aca="false">SQRT(($B51-AE$5)^2+($C51-AE$6)^2+($D51-AE$7)^2)</f>
        <v>1.70365690541111</v>
      </c>
      <c r="AF51" s="74" t="n">
        <f aca="false">SQRT(($B51-AF$5)^2+($C51-AF$6)^2+($D51-AF$7)^2)</f>
        <v>0.543189331246204</v>
      </c>
      <c r="AG51" s="74" t="n">
        <f aca="false">SQRT(($B51-AG$5)^2+($C51-AG$6)^2+($D51-AG$7)^2)</f>
        <v>1.36650653389454</v>
      </c>
      <c r="AH51" s="74" t="n">
        <f aca="false">SQRT(($B51-AH$5)^2+($C51-AH$6)^2+($D51-AH$7)^2)</f>
        <v>0.415779627518684</v>
      </c>
      <c r="AI51" s="74" t="n">
        <f aca="false">SQRT(($B51-AI$5)^2+($C51-AI$6)^2+($D51-AI$7)^2)</f>
        <v>1.36616590701391</v>
      </c>
      <c r="AJ51" s="74" t="n">
        <f aca="false">SQRT(($B51-AJ$5)^2+($C51-AJ$6)^2+($D51-AJ$7)^2)</f>
        <v>0.688894532373476</v>
      </c>
      <c r="AK51" s="74" t="n">
        <f aca="false">SQRT(($B51-AK$5)^2+($C51-AK$6)^2+($D51-AK$7)^2)</f>
        <v>0.201643161089328</v>
      </c>
      <c r="AL51" s="74" t="n">
        <f aca="false">SQRT(($B51-AL$5)^2+($C51-AL$6)^2+($D51-AL$7)^2)</f>
        <v>0.536497463393124</v>
      </c>
      <c r="AM51" s="74" t="n">
        <f aca="false">SQRT(($B51-AM$5)^2+($C51-AM$6)^2+($D51-AM$7)^2)</f>
        <v>1.01553162325927</v>
      </c>
      <c r="AN51" s="74" t="n">
        <f aca="false">SQRT(($B51-AN$5)^2+($C51-AN$6)^2+($D51-AN$7)^2)</f>
        <v>0.810191722498896</v>
      </c>
      <c r="AO51" s="74" t="n">
        <f aca="false">SQRT(($B51-AO$5)^2+($C51-AO$6)^2+($D51-AO$7)^2)</f>
        <v>0.0797435019603972</v>
      </c>
      <c r="AP51" s="74" t="n">
        <f aca="false">SQRT(($B51-AP$5)^2+($C51-AP$6)^2+($D51-AP$7)^2)</f>
        <v>0</v>
      </c>
      <c r="AQ51" s="74" t="n">
        <f aca="false">SQRT(($B51-AQ$5)^2+($C51-AQ$6)^2+($D51-AQ$7)^2)</f>
        <v>0.909799443828201</v>
      </c>
      <c r="AR51" s="74" t="n">
        <f aca="false">SQRT(($B51-AR$5)^2+($C51-AR$6)^2+($D51-AR$7)^2)</f>
        <v>0.582795736205619</v>
      </c>
      <c r="AS51" s="74" t="n">
        <f aca="false">SQRT(($B51-AS$5)^2+($C51-AS$6)^2+($D51-AS$7)^2)</f>
        <v>1.19206281387185</v>
      </c>
      <c r="AT51" s="74" t="n">
        <f aca="false">SQRT(($B51-AT$5)^2+($C51-AT$6)^2+($D51-AT$7)^2)</f>
        <v>0.631660836321682</v>
      </c>
      <c r="AU51" s="74" t="n">
        <f aca="false">SQRT(($B51-AU$5)^2+($C51-AU$6)^2+($D51-AU$7)^2)</f>
        <v>1.22773961093829</v>
      </c>
      <c r="AV51" s="74" t="n">
        <f aca="false">SQRT(($B51-AV$5)^2+($C51-AV$6)^2+($D51-AV$7)^2)</f>
        <v>1.06680763500058</v>
      </c>
      <c r="AW51" s="74" t="n">
        <f aca="false">SQRT(($B51-AW$5)^2+($C51-AW$6)^2+($D51-AW$7)^2)</f>
        <v>1.67100885843544</v>
      </c>
      <c r="AX51" s="74" t="n">
        <f aca="false">SQRT(($B51-AX$5)^2+($C51-AX$6)^2+($D51-AX$7)^2)</f>
        <v>0.304018556766319</v>
      </c>
      <c r="AY51" s="74" t="n">
        <f aca="false">SQRT(($B51-AY$5)^2+($C51-AY$6)^2+($D51-AY$7)^2)</f>
        <v>1.93301302432155</v>
      </c>
      <c r="AZ51" s="74" t="n">
        <f aca="false">SQRT(($B51-AZ$5)^2+($C51-AZ$6)^2+($D51-AZ$7)^2)</f>
        <v>1.21848743582762</v>
      </c>
      <c r="BA51" s="74" t="n">
        <f aca="false">SQRT(($B51-BA$5)^2+($C51-BA$6)^2+($D51-BA$7)^2)</f>
        <v>0.666270498856712</v>
      </c>
      <c r="BB51" s="74" t="n">
        <f aca="false">SQRT(($B51-BB$5)^2+($C51-BB$6)^2+($D51-BB$7)^2)</f>
        <v>1.93379649421922</v>
      </c>
      <c r="BC51" s="74" t="n">
        <f aca="false">SQRT(($B51-BC$5)^2+($C51-BC$6)^2+($D51-BC$7)^2)</f>
        <v>1.93461220195338</v>
      </c>
      <c r="BD51" s="74" t="n">
        <f aca="false">SQRT(($B51-BD$5)^2+($C51-BD$6)^2+($D51-BD$7)^2)</f>
        <v>1.4499310247666</v>
      </c>
      <c r="BE51" s="74" t="n">
        <f aca="false">SQRT(($B51-BE$5)^2+($C51-BE$6)^2+($D51-BE$7)^2)</f>
        <v>1.29512456688136</v>
      </c>
      <c r="BF51" s="74" t="n">
        <f aca="false">SQRT(($B51-BF$5)^2+($C51-BF$6)^2+($D51-BF$7)^2)</f>
        <v>1.0917344226736</v>
      </c>
      <c r="BG51" s="74" t="n">
        <f aca="false">SQRT(($B51-BG$5)^2+($C51-BG$6)^2+($D51-BG$7)^2)</f>
        <v>0.639542447358341</v>
      </c>
      <c r="BH51" s="74" t="n">
        <f aca="false">SQRT(($B51-BH$5)^2+($C51-BH$6)^2+($D51-BH$7)^2)</f>
        <v>1.95013083111231</v>
      </c>
      <c r="BI51" s="74" t="n">
        <f aca="false">SQRT(($B51-BI$5)^2+($C51-BI$6)^2+($D51-BI$7)^2)</f>
        <v>1.95311542369437</v>
      </c>
      <c r="BJ51" s="74" t="n">
        <f aca="false">SQRT(($B51-BJ$5)^2+($C51-BJ$6)^2+($D51-BJ$7)^2)</f>
        <v>0.631549903974244</v>
      </c>
      <c r="BK51" s="74" t="n">
        <f aca="false">SQRT(($B51-BK$5)^2+($C51-BK$6)^2+($D51-BK$7)^2)</f>
        <v>1.42276527756565</v>
      </c>
      <c r="BL51" s="74" t="n">
        <f aca="false">SQRT(($B51-BL$5)^2+($C51-BL$6)^2+($D51-BL$7)^2)</f>
        <v>1.14094795180145</v>
      </c>
      <c r="BM51" s="74" t="n">
        <f aca="false">SQRT(($B51-BM$5)^2+($C51-BM$6)^2+($D51-BM$7)^2)</f>
        <v>0.49415534969556</v>
      </c>
      <c r="BN51" s="74" t="n">
        <f aca="false">SQRT(($B51-BN$5)^2+($C51-BN$6)^2+($D51-BN$7)^2)</f>
        <v>0.667308565387128</v>
      </c>
      <c r="BO51" s="74" t="n">
        <f aca="false">SQRT(($B51-BO$5)^2+($C51-BO$6)^2+($D51-BO$7)^2)</f>
        <v>1.73205103382771</v>
      </c>
      <c r="BP51" s="74" t="n">
        <f aca="false">SQRT(($B51-BP$5)^2+($C51-BP$6)^2+($D51-BP$7)^2)</f>
        <v>0.603336101438952</v>
      </c>
      <c r="BQ51" s="74" t="n">
        <f aca="false">SQRT(($B51-BQ$5)^2+($C51-BQ$6)^2+($D51-BQ$7)^2)</f>
        <v>0.757179181118108</v>
      </c>
      <c r="BR51" s="74" t="n">
        <f aca="false">SQRT(($B51-BR$5)^2+($C51-BR$6)^2+($D51-BR$7)^2)</f>
        <v>0.771178161578036</v>
      </c>
      <c r="BS51" s="74" t="n">
        <f aca="false">SQRT(($B51-BS$5)^2+($C51-BS$6)^2+($D51-BS$7)^2)</f>
        <v>1.21922128528654</v>
      </c>
      <c r="BT51" s="74" t="n">
        <f aca="false">SQRT(($B51-BT$5)^2+($C51-BT$6)^2+($D51-BT$7)^2)</f>
        <v>1.26124433964834</v>
      </c>
      <c r="BU51" s="74" t="n">
        <f aca="false">SQRT(($B51-BU$5)^2+($C51-BU$6)^2+($D51-BU$7)^2)</f>
        <v>1.2817668813848</v>
      </c>
      <c r="BV51" s="74" t="n">
        <f aca="false">SQRT(($B51-BV$5)^2+($C51-BV$6)^2+($D51-BV$7)^2)</f>
        <v>2.0394142029349</v>
      </c>
      <c r="BW51" s="74" t="n">
        <f aca="false">SQRT(($B51-BW$5)^2+($C51-BW$6)^2+($D51-BW$7)^2)</f>
        <v>1.27768450606571</v>
      </c>
      <c r="BX51" s="74" t="n">
        <f aca="false">SQRT(($B51-BX$5)^2+($C51-BX$6)^2+($D51-BX$7)^2)</f>
        <v>2.04488043022277</v>
      </c>
      <c r="BY51" s="74" t="n">
        <f aca="false">SQRT(($B51-BY$5)^2+($C51-BY$6)^2+($D51-BY$7)^2)</f>
        <v>1.43648672619788</v>
      </c>
      <c r="BZ51" s="74" t="n">
        <f aca="false">SQRT(($B51-BZ$5)^2+($C51-BZ$6)^2+($D51-BZ$7)^2)</f>
        <v>1.47417710208381</v>
      </c>
      <c r="CA51" s="74" t="n">
        <f aca="false">SQRT(($B51-CA$5)^2+($C51-CA$6)^2+($D51-CA$7)^2)</f>
        <v>2.06310507526771</v>
      </c>
      <c r="CB51" s="74" t="n">
        <f aca="false">SQRT(($B51-CB$5)^2+($C51-CB$6)^2+($D51-CB$7)^2)</f>
        <v>1.48362914555288</v>
      </c>
      <c r="CC51" s="74" t="n">
        <f aca="false">SQRT(($B51-CC$5)^2+($C51-CC$6)^2+($D51-CC$7)^2)</f>
        <v>2.0698695284537</v>
      </c>
      <c r="CD51" s="74" t="n">
        <f aca="false">SQRT(($B51-CD$5)^2+($C51-CD$6)^2+($D51-CD$7)^2)</f>
        <v>2.08460883384328</v>
      </c>
      <c r="CE51" s="74" t="n">
        <f aca="false">SQRT(($B51-CE$5)^2+($C51-CE$6)^2+($D51-CE$7)^2)</f>
        <v>1.40507519628017</v>
      </c>
      <c r="CF51" s="74" t="n">
        <f aca="false">SQRT(($B51-CF$5)^2+($C51-CF$6)^2+($D51-CF$7)^2)</f>
        <v>1.03643112751124</v>
      </c>
      <c r="CG51" s="74" t="n">
        <f aca="false">SQRT(($B51-CG$5)^2+($C51-CG$6)^2+($D51-CG$7)^2)</f>
        <v>1.35140172842818</v>
      </c>
      <c r="CH51" s="74" t="n">
        <f aca="false">SQRT(($B51-CH$5)^2+($C51-CH$6)^2+($D51-CH$7)^2)</f>
        <v>1.62949848542669</v>
      </c>
      <c r="CI51" s="74" t="n">
        <f aca="false">SQRT(($B51-CI$5)^2+($C51-CI$6)^2+($D51-CI$7)^2)</f>
        <v>1.71336018203123</v>
      </c>
      <c r="CJ51" s="74" t="n">
        <f aca="false">SQRT(($B51-CJ$5)^2+($C51-CJ$6)^2+($D51-CJ$7)^2)</f>
        <v>1.92592752305643</v>
      </c>
      <c r="CK51" s="74" t="n">
        <f aca="false">SQRT(($B51-CK$5)^2+($C51-CK$6)^2+($D51-CK$7)^2)</f>
        <v>1.55555406545415</v>
      </c>
      <c r="CL51" s="74" t="n">
        <f aca="false">SQRT(($B51-CL$5)^2+($C51-CL$6)^2+($D51-CL$7)^2)</f>
        <v>2.19553196287443</v>
      </c>
      <c r="CM51" s="74" t="n">
        <f aca="false">SQRT(($B51-CM$5)^2+($C51-CM$6)^2+($D51-CM$7)^2)</f>
        <v>1.68608246041923</v>
      </c>
      <c r="CN51" s="74" t="n">
        <f aca="false">SQRT(($B51-CN$5)^2+($C51-CN$6)^2+($D51-CN$7)^2)</f>
        <v>1.26230970637873</v>
      </c>
      <c r="CO51" s="74" t="n">
        <f aca="false">SQRT(($B51-CO$5)^2+($C51-CO$6)^2+($D51-CO$7)^2)</f>
        <v>1.43766565469223</v>
      </c>
      <c r="CP51" s="74" t="n">
        <f aca="false">SQRT(($B51-CP$5)^2+($C51-CP$6)^2+($D51-CP$7)^2)</f>
        <v>2.24997640682566</v>
      </c>
      <c r="CQ51" s="74" t="n">
        <f aca="false">SQRT(($B51-CQ$5)^2+($C51-CQ$6)^2+($D51-CQ$7)^2)</f>
        <v>1.82281563286169</v>
      </c>
      <c r="CR51" s="74" t="n">
        <f aca="false">SQRT(($B51-CR$5)^2+($C51-CR$6)^2+($D51-CR$7)^2)</f>
        <v>1.81565102746603</v>
      </c>
      <c r="CS51" s="74" t="n">
        <f aca="false">SQRT(($B51-CS$5)^2+($C51-CS$6)^2+($D51-CS$7)^2)</f>
        <v>2.29653547549528</v>
      </c>
      <c r="CT51" s="74" t="n">
        <f aca="false">SQRT(($B51-CT$5)^2+($C51-CT$6)^2+($D51-CT$7)^2)</f>
        <v>2.3241386863244</v>
      </c>
      <c r="CU51" s="74" t="n">
        <f aca="false">SQRT(($B51-CU$5)^2+($C51-CU$6)^2+($D51-CU$7)^2)</f>
        <v>1.90895991926343</v>
      </c>
      <c r="CV51" s="74" t="n">
        <f aca="false">SQRT(($B51-CV$5)^2+($C51-CV$6)^2+($D51-CV$7)^2)</f>
        <v>1.6913050895296</v>
      </c>
      <c r="CW51" s="74" t="n">
        <f aca="false">SQRT(($B51-CW$5)^2+($C51-CW$6)^2+($D51-CW$7)^2)</f>
        <v>2.3241386863244</v>
      </c>
      <c r="CX51" s="74" t="n">
        <f aca="false">SQRT(($B51-CX$5)^2+($C51-CX$6)^2+($D51-CX$7)^2)</f>
        <v>1.79276094928091</v>
      </c>
      <c r="CY51" s="74" t="n">
        <f aca="false">SQRT(($B51-CY$5)^2+($C51-CY$6)^2+($D51-CY$7)^2)</f>
        <v>2.3554920766846</v>
      </c>
      <c r="CZ51" s="74" t="n">
        <f aca="false">SQRT(($B51-CZ$5)^2+($C51-CZ$6)^2+($D51-CZ$7)^2)</f>
        <v>2.3554920766846</v>
      </c>
      <c r="DA51" s="74" t="n">
        <f aca="false">SQRT(($B51-DA$5)^2+($C51-DA$6)^2+($D51-DA$7)^2)</f>
        <v>1.97424704830912</v>
      </c>
      <c r="DB51" s="74" t="n">
        <f aca="false">SQRT(($B51-DB$5)^2+($C51-DB$6)^2+($D51-DB$7)^2)</f>
        <v>2.39154429955634</v>
      </c>
      <c r="DC51" s="74" t="n">
        <f aca="false">SQRT(($B51-DC$5)^2+($C51-DC$6)^2+($D51-DC$7)^2)</f>
        <v>2.39154429955634</v>
      </c>
      <c r="DD51" s="74" t="n">
        <f aca="false">SQRT(($B51-DD$5)^2+($C51-DD$6)^2+($D51-DD$7)^2)</f>
        <v>2.08410077935852</v>
      </c>
      <c r="DE51" s="74" t="n">
        <f aca="false">SQRT(($B51-DE$5)^2+($C51-DE$6)^2+($D51-DE$7)^2)</f>
        <v>2.28923045779205</v>
      </c>
      <c r="DF51" s="74" t="n">
        <f aca="false">SQRT(($B51-DF$5)^2+($C51-DF$6)^2+($D51-DF$7)^2)</f>
        <v>2.62276697099066</v>
      </c>
      <c r="DG51" s="74" t="n">
        <f aca="false">SQRT(($B51-DG$5)^2+($C51-DG$6)^2+($D51-DG$7)^2)</f>
        <v>2.72700317614519</v>
      </c>
      <c r="DH51" s="74" t="n">
        <f aca="false">SQRT(($B51-DH$5)^2+($C51-DH$6)^2+($D51-DH$7)^2)</f>
        <v>2.72700317614519</v>
      </c>
      <c r="DI51" s="74" t="n">
        <f aca="false">SQRT(($B51-DI$5)^2+($C51-DI$6)^2+($D51-DI$7)^2)</f>
        <v>2.72700317614519</v>
      </c>
      <c r="DJ51" s="74" t="n">
        <f aca="false">SQRT(($B51-DJ$5)^2+($C51-DJ$6)^2+($D51-DJ$7)^2)</f>
        <v>2.72700317614519</v>
      </c>
      <c r="DK51" s="74" t="n">
        <f aca="false">SQRT(($B51-DK$5)^2+($C51-DK$6)^2+($D51-DK$7)^2)</f>
        <v>2.88073392421802</v>
      </c>
      <c r="DL51" s="74" t="n">
        <f aca="false">SQRT(($B51-DL$5)^2+($C51-DL$6)^2+($D51-DL$7)^2)</f>
        <v>2.88073392421802</v>
      </c>
      <c r="DM51" s="74" t="n">
        <f aca="false">SQRT(($B51-DM$5)^2+($C51-DM$6)^2+($D51-DM$7)^2)</f>
        <v>2.88073392421802</v>
      </c>
      <c r="DN51" s="74" t="n">
        <f aca="false">SQRT(($B51-DN$5)^2+($C51-DN$6)^2+($D51-DN$7)^2)</f>
        <v>2.88073392421802</v>
      </c>
      <c r="DO51" s="74" t="n">
        <f aca="false">SQRT(($B51-DO$5)^2+($C51-DO$6)^2+($D51-DO$7)^2)</f>
        <v>2.88073392421802</v>
      </c>
      <c r="DP51" s="74" t="n">
        <f aca="false">SQRT(($B51-DP$5)^2+($C51-DP$6)^2+($D51-DP$7)^2)</f>
        <v>3.15889984184424</v>
      </c>
      <c r="DQ51" s="74" t="n">
        <f aca="false">SQRT(($B51-DQ$5)^2+($C51-DQ$6)^2+($D51-DQ$7)^2)</f>
        <v>3.15889984184424</v>
      </c>
    </row>
    <row r="52" customFormat="false" ht="15" hidden="false" customHeight="false" outlineLevel="0" collapsed="false">
      <c r="A52" s="48" t="str">
        <f aca="false">KMeans_Data!A43</f>
        <v>Kohat</v>
      </c>
      <c r="B52" s="72" t="n">
        <f aca="false">KMeans_Data!H43</f>
        <v>0.407652506674014</v>
      </c>
      <c r="C52" s="72" t="n">
        <f aca="false">KMeans_Data!I43</f>
        <v>1.27255002250608</v>
      </c>
      <c r="D52" s="72" t="n">
        <f aca="false">KMeans_Data!J43</f>
        <v>0.628513491585819</v>
      </c>
      <c r="E52" s="74" t="n">
        <f aca="false">SQRT(($B52-E$5)^2+($C52-E$6)^2+($D52-E$7)^2)</f>
        <v>4.77038426226699</v>
      </c>
      <c r="F52" s="74" t="n">
        <f aca="false">SQRT(($B52-F$5)^2+($C52-F$6)^2+($D52-F$7)^2)</f>
        <v>4.5397837130114</v>
      </c>
      <c r="G52" s="74" t="n">
        <f aca="false">SQRT(($B52-G$5)^2+($C52-G$6)^2+($D52-G$7)^2)</f>
        <v>2.81318498539692</v>
      </c>
      <c r="H52" s="74" t="n">
        <f aca="false">SQRT(($B52-H$5)^2+($C52-H$6)^2+($D52-H$7)^2)</f>
        <v>3.16505939826437</v>
      </c>
      <c r="I52" s="74" t="n">
        <f aca="false">SQRT(($B52-I$5)^2+($C52-I$6)^2+($D52-I$7)^2)</f>
        <v>2.20900220761346</v>
      </c>
      <c r="J52" s="74" t="n">
        <f aca="false">SQRT(($B52-J$5)^2+($C52-J$6)^2+($D52-J$7)^2)</f>
        <v>1.66197416085036</v>
      </c>
      <c r="K52" s="74" t="n">
        <f aca="false">SQRT(($B52-K$5)^2+($C52-K$6)^2+($D52-K$7)^2)</f>
        <v>2.05329522949104</v>
      </c>
      <c r="L52" s="74" t="n">
        <f aca="false">SQRT(($B52-L$5)^2+($C52-L$6)^2+($D52-L$7)^2)</f>
        <v>1.53925031837614</v>
      </c>
      <c r="M52" s="74" t="n">
        <f aca="false">SQRT(($B52-M$5)^2+($C52-M$6)^2+($D52-M$7)^2)</f>
        <v>1.36644696328968</v>
      </c>
      <c r="N52" s="74" t="n">
        <f aca="false">SQRT(($B52-N$5)^2+($C52-N$6)^2+($D52-N$7)^2)</f>
        <v>2.18092201542884</v>
      </c>
      <c r="O52" s="74" t="n">
        <f aca="false">SQRT(($B52-O$5)^2+($C52-O$6)^2+($D52-O$7)^2)</f>
        <v>0.841885080433449</v>
      </c>
      <c r="P52" s="74" t="n">
        <f aca="false">SQRT(($B52-P$5)^2+($C52-P$6)^2+($D52-P$7)^2)</f>
        <v>1.02626282596104</v>
      </c>
      <c r="Q52" s="74" t="n">
        <f aca="false">SQRT(($B52-Q$5)^2+($C52-Q$6)^2+($D52-Q$7)^2)</f>
        <v>0.82772359867022</v>
      </c>
      <c r="R52" s="74" t="n">
        <f aca="false">SQRT(($B52-R$5)^2+($C52-R$6)^2+($D52-R$7)^2)</f>
        <v>1.37995618620555</v>
      </c>
      <c r="S52" s="74" t="n">
        <f aca="false">SQRT(($B52-S$5)^2+($C52-S$6)^2+($D52-S$7)^2)</f>
        <v>1.63251583784566</v>
      </c>
      <c r="T52" s="74" t="n">
        <f aca="false">SQRT(($B52-T$5)^2+($C52-T$6)^2+($D52-T$7)^2)</f>
        <v>0.728615053237935</v>
      </c>
      <c r="U52" s="74" t="n">
        <f aca="false">SQRT(($B52-U$5)^2+($C52-U$6)^2+($D52-U$7)^2)</f>
        <v>1.39057674830773</v>
      </c>
      <c r="V52" s="74" t="n">
        <f aca="false">SQRT(($B52-V$5)^2+($C52-V$6)^2+($D52-V$7)^2)</f>
        <v>0.458493874725255</v>
      </c>
      <c r="W52" s="74" t="n">
        <f aca="false">SQRT(($B52-W$5)^2+($C52-W$6)^2+($D52-W$7)^2)</f>
        <v>0.549539094183513</v>
      </c>
      <c r="X52" s="74" t="n">
        <f aca="false">SQRT(($B52-X$5)^2+($C52-X$6)^2+($D52-X$7)^2)</f>
        <v>0.758579176435622</v>
      </c>
      <c r="Y52" s="74" t="n">
        <f aca="false">SQRT(($B52-Y$5)^2+($C52-Y$6)^2+($D52-Y$7)^2)</f>
        <v>0.880850274666648</v>
      </c>
      <c r="Z52" s="74" t="n">
        <f aca="false">SQRT(($B52-Z$5)^2+($C52-Z$6)^2+($D52-Z$7)^2)</f>
        <v>0.602795659814986</v>
      </c>
      <c r="AA52" s="74" t="n">
        <f aca="false">SQRT(($B52-AA$5)^2+($C52-AA$6)^2+($D52-AA$7)^2)</f>
        <v>1.21965552152925</v>
      </c>
      <c r="AB52" s="74" t="n">
        <f aca="false">SQRT(($B52-AB$5)^2+($C52-AB$6)^2+($D52-AB$7)^2)</f>
        <v>0.817225118177903</v>
      </c>
      <c r="AC52" s="74" t="n">
        <f aca="false">SQRT(($B52-AC$5)^2+($C52-AC$6)^2+($D52-AC$7)^2)</f>
        <v>0.383508098023122</v>
      </c>
      <c r="AD52" s="74" t="n">
        <f aca="false">SQRT(($B52-AD$5)^2+($C52-AD$6)^2+($D52-AD$7)^2)</f>
        <v>0.856205117487165</v>
      </c>
      <c r="AE52" s="74" t="n">
        <f aca="false">SQRT(($B52-AE$5)^2+($C52-AE$6)^2+($D52-AE$7)^2)</f>
        <v>2.28459260769186</v>
      </c>
      <c r="AF52" s="74" t="n">
        <f aca="false">SQRT(($B52-AF$5)^2+($C52-AF$6)^2+($D52-AF$7)^2)</f>
        <v>0.664555220922491</v>
      </c>
      <c r="AG52" s="74" t="n">
        <f aca="false">SQRT(($B52-AG$5)^2+($C52-AG$6)^2+($D52-AG$7)^2)</f>
        <v>2.2068668422753</v>
      </c>
      <c r="AH52" s="74" t="n">
        <f aca="false">SQRT(($B52-AH$5)^2+($C52-AH$6)^2+($D52-AH$7)^2)</f>
        <v>1.13533259531443</v>
      </c>
      <c r="AI52" s="74" t="n">
        <f aca="false">SQRT(($B52-AI$5)^2+($C52-AI$6)^2+($D52-AI$7)^2)</f>
        <v>2.2066252250856</v>
      </c>
      <c r="AJ52" s="74" t="n">
        <f aca="false">SQRT(($B52-AJ$5)^2+($C52-AJ$6)^2+($D52-AJ$7)^2)</f>
        <v>0.886604929025633</v>
      </c>
      <c r="AK52" s="74" t="n">
        <f aca="false">SQRT(($B52-AK$5)^2+($C52-AK$6)^2+($D52-AK$7)^2)</f>
        <v>0.964979440204691</v>
      </c>
      <c r="AL52" s="74" t="n">
        <f aca="false">SQRT(($B52-AL$5)^2+($C52-AL$6)^2+($D52-AL$7)^2)</f>
        <v>1.42368187710298</v>
      </c>
      <c r="AM52" s="74" t="n">
        <f aca="false">SQRT(($B52-AM$5)^2+($C52-AM$6)^2+($D52-AM$7)^2)</f>
        <v>0.347692081849231</v>
      </c>
      <c r="AN52" s="74" t="n">
        <f aca="false">SQRT(($B52-AN$5)^2+($C52-AN$6)^2+($D52-AN$7)^2)</f>
        <v>0.162716914057697</v>
      </c>
      <c r="AO52" s="74" t="n">
        <f aca="false">SQRT(($B52-AO$5)^2+($C52-AO$6)^2+($D52-AO$7)^2)</f>
        <v>0.898604235959111</v>
      </c>
      <c r="AP52" s="74" t="n">
        <f aca="false">SQRT(($B52-AP$5)^2+($C52-AP$6)^2+($D52-AP$7)^2)</f>
        <v>0.909799443828201</v>
      </c>
      <c r="AQ52" s="74" t="n">
        <f aca="false">SQRT(($B52-AQ$5)^2+($C52-AQ$6)^2+($D52-AQ$7)^2)</f>
        <v>0</v>
      </c>
      <c r="AR52" s="74" t="n">
        <f aca="false">SQRT(($B52-AR$5)^2+($C52-AR$6)^2+($D52-AR$7)^2)</f>
        <v>1.3179605718239</v>
      </c>
      <c r="AS52" s="74" t="n">
        <f aca="false">SQRT(($B52-AS$5)^2+($C52-AS$6)^2+($D52-AS$7)^2)</f>
        <v>1.98450666184077</v>
      </c>
      <c r="AT52" s="74" t="n">
        <f aca="false">SQRT(($B52-AT$5)^2+($C52-AT$6)^2+($D52-AT$7)^2)</f>
        <v>1.43326592248021</v>
      </c>
      <c r="AU52" s="74" t="n">
        <f aca="false">SQRT(($B52-AU$5)^2+($C52-AU$6)^2+($D52-AU$7)^2)</f>
        <v>1.90699027325418</v>
      </c>
      <c r="AV52" s="74" t="n">
        <f aca="false">SQRT(($B52-AV$5)^2+($C52-AV$6)^2+($D52-AV$7)^2)</f>
        <v>1.95437093223765</v>
      </c>
      <c r="AW52" s="74" t="n">
        <f aca="false">SQRT(($B52-AW$5)^2+($C52-AW$6)^2+($D52-AW$7)^2)</f>
        <v>2.43381795565698</v>
      </c>
      <c r="AX52" s="74" t="n">
        <f aca="false">SQRT(($B52-AX$5)^2+($C52-AX$6)^2+($D52-AX$7)^2)</f>
        <v>1.15249884315864</v>
      </c>
      <c r="AY52" s="74" t="n">
        <f aca="false">SQRT(($B52-AY$5)^2+($C52-AY$6)^2+($D52-AY$7)^2)</f>
        <v>2.64086271000203</v>
      </c>
      <c r="AZ52" s="74" t="n">
        <f aca="false">SQRT(($B52-AZ$5)^2+($C52-AZ$6)^2+($D52-AZ$7)^2)</f>
        <v>1.99743296600747</v>
      </c>
      <c r="BA52" s="74" t="n">
        <f aca="false">SQRT(($B52-BA$5)^2+($C52-BA$6)^2+($D52-BA$7)^2)</f>
        <v>1.44517294935987</v>
      </c>
      <c r="BB52" s="74" t="n">
        <f aca="false">SQRT(($B52-BB$5)^2+($C52-BB$6)^2+($D52-BB$7)^2)</f>
        <v>2.64138314022047</v>
      </c>
      <c r="BC52" s="74" t="n">
        <f aca="false">SQRT(($B52-BC$5)^2+($C52-BC$6)^2+($D52-BC$7)^2)</f>
        <v>2.64192663082064</v>
      </c>
      <c r="BD52" s="74" t="n">
        <f aca="false">SQRT(($B52-BD$5)^2+($C52-BD$6)^2+($D52-BD$7)^2)</f>
        <v>2.26327584330587</v>
      </c>
      <c r="BE52" s="74" t="n">
        <f aca="false">SQRT(($B52-BE$5)^2+($C52-BE$6)^2+($D52-BE$7)^2)</f>
        <v>2.14700815802815</v>
      </c>
      <c r="BF52" s="74" t="n">
        <f aca="false">SQRT(($B52-BF$5)^2+($C52-BF$6)^2+($D52-BF$7)^2)</f>
        <v>0.330588885733942</v>
      </c>
      <c r="BG52" s="74" t="n">
        <f aca="false">SQRT(($B52-BG$5)^2+($C52-BG$6)^2+($D52-BG$7)^2)</f>
        <v>1.45234460465428</v>
      </c>
      <c r="BH52" s="74" t="n">
        <f aca="false">SQRT(($B52-BH$5)^2+($C52-BH$6)^2+($D52-BH$7)^2)</f>
        <v>2.65248015706327</v>
      </c>
      <c r="BI52" s="74" t="n">
        <f aca="false">SQRT(($B52-BI$5)^2+($C52-BI$6)^2+($D52-BI$7)^2)</f>
        <v>2.65454188774029</v>
      </c>
      <c r="BJ52" s="74" t="n">
        <f aca="false">SQRT(($B52-BJ$5)^2+($C52-BJ$6)^2+($D52-BJ$7)^2)</f>
        <v>1.02936531425374</v>
      </c>
      <c r="BK52" s="74" t="n">
        <f aca="false">SQRT(($B52-BK$5)^2+($C52-BK$6)^2+($D52-BK$7)^2)</f>
        <v>2.23666822210492</v>
      </c>
      <c r="BL52" s="74" t="n">
        <f aca="false">SQRT(($B52-BL$5)^2+($C52-BL$6)^2+($D52-BL$7)^2)</f>
        <v>2.00569847539461</v>
      </c>
      <c r="BM52" s="74" t="n">
        <f aca="false">SQRT(($B52-BM$5)^2+($C52-BM$6)^2+($D52-BM$7)^2)</f>
        <v>0.85767954566053</v>
      </c>
      <c r="BN52" s="74" t="n">
        <f aca="false">SQRT(($B52-BN$5)^2+($C52-BN$6)^2+($D52-BN$7)^2)</f>
        <v>1.33536762169287</v>
      </c>
      <c r="BO52" s="74" t="n">
        <f aca="false">SQRT(($B52-BO$5)^2+($C52-BO$6)^2+($D52-BO$7)^2)</f>
        <v>2.47349887982408</v>
      </c>
      <c r="BP52" s="74" t="n">
        <f aca="false">SQRT(($B52-BP$5)^2+($C52-BP$6)^2+($D52-BP$7)^2)</f>
        <v>1.27468723342213</v>
      </c>
      <c r="BQ52" s="74" t="n">
        <f aca="false">SQRT(($B52-BQ$5)^2+($C52-BQ$6)^2+($D52-BQ$7)^2)</f>
        <v>1.53107271780228</v>
      </c>
      <c r="BR52" s="74" t="n">
        <f aca="false">SQRT(($B52-BR$5)^2+($C52-BR$6)^2+($D52-BR$7)^2)</f>
        <v>1.53235795517832</v>
      </c>
      <c r="BS52" s="74" t="n">
        <f aca="false">SQRT(($B52-BS$5)^2+($C52-BS$6)^2+($D52-BS$7)^2)</f>
        <v>2.03024565750999</v>
      </c>
      <c r="BT52" s="74" t="n">
        <f aca="false">SQRT(($B52-BT$5)^2+($C52-BT$6)^2+($D52-BT$7)^2)</f>
        <v>2.08807844830604</v>
      </c>
      <c r="BU52" s="74" t="n">
        <f aca="false">SQRT(($B52-BU$5)^2+($C52-BU$6)^2+($D52-BU$7)^2)</f>
        <v>2.10729120990614</v>
      </c>
      <c r="BV52" s="74" t="n">
        <f aca="false">SQRT(($B52-BV$5)^2+($C52-BV$6)^2+($D52-BV$7)^2)</f>
        <v>2.71607824045581</v>
      </c>
      <c r="BW52" s="74" t="n">
        <f aca="false">SQRT(($B52-BW$5)^2+($C52-BW$6)^2+($D52-BW$7)^2)</f>
        <v>2.08995460605522</v>
      </c>
      <c r="BX52" s="74" t="n">
        <f aca="false">SQRT(($B52-BX$5)^2+($C52-BX$6)^2+($D52-BX$7)^2)</f>
        <v>2.72005891994043</v>
      </c>
      <c r="BY52" s="74" t="n">
        <f aca="false">SQRT(($B52-BY$5)^2+($C52-BY$6)^2+($D52-BY$7)^2)</f>
        <v>2.22601658218636</v>
      </c>
      <c r="BZ52" s="74" t="n">
        <f aca="false">SQRT(($B52-BZ$5)^2+($C52-BZ$6)^2+($D52-BZ$7)^2)</f>
        <v>2.2549743486748</v>
      </c>
      <c r="CA52" s="74" t="n">
        <f aca="false">SQRT(($B52-CA$5)^2+($C52-CA$6)^2+($D52-CA$7)^2)</f>
        <v>2.73338472147504</v>
      </c>
      <c r="CB52" s="74" t="n">
        <f aca="false">SQRT(($B52-CB$5)^2+($C52-CB$6)^2+($D52-CB$7)^2)</f>
        <v>2.26099184898102</v>
      </c>
      <c r="CC52" s="74" t="n">
        <f aca="false">SQRT(($B52-CC$5)^2+($C52-CC$6)^2+($D52-CC$7)^2)</f>
        <v>2.7383511213083</v>
      </c>
      <c r="CD52" s="74" t="n">
        <f aca="false">SQRT(($B52-CD$5)^2+($C52-CD$6)^2+($D52-CD$7)^2)</f>
        <v>2.74920870237231</v>
      </c>
      <c r="CE52" s="74" t="n">
        <f aca="false">SQRT(($B52-CE$5)^2+($C52-CE$6)^2+($D52-CE$7)^2)</f>
        <v>2.1877289760023</v>
      </c>
      <c r="CF52" s="74" t="n">
        <f aca="false">SQRT(($B52-CF$5)^2+($C52-CF$6)^2+($D52-CF$7)^2)</f>
        <v>1.70704352386334</v>
      </c>
      <c r="CG52" s="74" t="n">
        <f aca="false">SQRT(($B52-CG$5)^2+($C52-CG$6)^2+($D52-CG$7)^2)</f>
        <v>1.96074633769283</v>
      </c>
      <c r="CH52" s="74" t="n">
        <f aca="false">SQRT(($B52-CH$5)^2+($C52-CH$6)^2+($D52-CH$7)^2)</f>
        <v>2.36923132426792</v>
      </c>
      <c r="CI52" s="74" t="n">
        <f aca="false">SQRT(($B52-CI$5)^2+($C52-CI$6)^2+($D52-CI$7)^2)</f>
        <v>2.43438851712872</v>
      </c>
      <c r="CJ52" s="74" t="n">
        <f aca="false">SQRT(($B52-CJ$5)^2+($C52-CJ$6)^2+($D52-CJ$7)^2)</f>
        <v>2.60897054548659</v>
      </c>
      <c r="CK52" s="74" t="n">
        <f aca="false">SQRT(($B52-CK$5)^2+($C52-CK$6)^2+($D52-CK$7)^2)</f>
        <v>2.29109288075471</v>
      </c>
      <c r="CL52" s="74" t="n">
        <f aca="false">SQRT(($B52-CL$5)^2+($C52-CL$6)^2+($D52-CL$7)^2)</f>
        <v>2.83232925044433</v>
      </c>
      <c r="CM52" s="74" t="n">
        <f aca="false">SQRT(($B52-CM$5)^2+($C52-CM$6)^2+($D52-CM$7)^2)</f>
        <v>2.40111415396156</v>
      </c>
      <c r="CN52" s="74" t="n">
        <f aca="false">SQRT(($B52-CN$5)^2+($C52-CN$6)^2+($D52-CN$7)^2)</f>
        <v>1.80435986921117</v>
      </c>
      <c r="CO52" s="74" t="n">
        <f aca="false">SQRT(($B52-CO$5)^2+($C52-CO$6)^2+($D52-CO$7)^2)</f>
        <v>2.00003473679588</v>
      </c>
      <c r="CP52" s="74" t="n">
        <f aca="false">SQRT(($B52-CP$5)^2+($C52-CP$6)^2+($D52-CP$7)^2)</f>
        <v>2.87393322107772</v>
      </c>
      <c r="CQ52" s="74" t="n">
        <f aca="false">SQRT(($B52-CQ$5)^2+($C52-CQ$6)^2+($D52-CQ$7)^2)</f>
        <v>2.50342418318662</v>
      </c>
      <c r="CR52" s="74" t="n">
        <f aca="false">SQRT(($B52-CR$5)^2+($C52-CR$6)^2+($D52-CR$7)^2)</f>
        <v>2.49212934117697</v>
      </c>
      <c r="CS52" s="74" t="n">
        <f aca="false">SQRT(($B52-CS$5)^2+($C52-CS$6)^2+($D52-CS$7)^2)</f>
        <v>2.90988804865808</v>
      </c>
      <c r="CT52" s="74" t="n">
        <f aca="false">SQRT(($B52-CT$5)^2+($C52-CT$6)^2+($D52-CT$7)^2)</f>
        <v>2.93135951749214</v>
      </c>
      <c r="CU52" s="74" t="n">
        <f aca="false">SQRT(($B52-CU$5)^2+($C52-CU$6)^2+($D52-CU$7)^2)</f>
        <v>2.40574185363413</v>
      </c>
      <c r="CV52" s="74" t="n">
        <f aca="false">SQRT(($B52-CV$5)^2+($C52-CV$6)^2+($D52-CV$7)^2)</f>
        <v>2.36162216245744</v>
      </c>
      <c r="CW52" s="74" t="n">
        <f aca="false">SQRT(($B52-CW$5)^2+($C52-CW$6)^2+($D52-CW$7)^2)</f>
        <v>2.93135951749214</v>
      </c>
      <c r="CX52" s="74" t="n">
        <f aca="false">SQRT(($B52-CX$5)^2+($C52-CX$6)^2+($D52-CX$7)^2)</f>
        <v>2.45543648606501</v>
      </c>
      <c r="CY52" s="74" t="n">
        <f aca="false">SQRT(($B52-CY$5)^2+($C52-CY$6)^2+($D52-CY$7)^2)</f>
        <v>2.95588252896203</v>
      </c>
      <c r="CZ52" s="74" t="n">
        <f aca="false">SQRT(($B52-CZ$5)^2+($C52-CZ$6)^2+($D52-CZ$7)^2)</f>
        <v>2.95588252896203</v>
      </c>
      <c r="DA52" s="74" t="n">
        <f aca="false">SQRT(($B52-DA$5)^2+($C52-DA$6)^2+($D52-DA$7)^2)</f>
        <v>2.62116199227978</v>
      </c>
      <c r="DB52" s="74" t="n">
        <f aca="false">SQRT(($B52-DB$5)^2+($C52-DB$6)^2+($D52-DB$7)^2)</f>
        <v>2.98425138829482</v>
      </c>
      <c r="DC52" s="74" t="n">
        <f aca="false">SQRT(($B52-DC$5)^2+($C52-DC$6)^2+($D52-DC$7)^2)</f>
        <v>2.98425138829482</v>
      </c>
      <c r="DD52" s="74" t="n">
        <f aca="false">SQRT(($B52-DD$5)^2+($C52-DD$6)^2+($D52-DD$7)^2)</f>
        <v>2.71266011771949</v>
      </c>
      <c r="DE52" s="74" t="n">
        <f aca="false">SQRT(($B52-DE$5)^2+($C52-DE$6)^2+($D52-DE$7)^2)</f>
        <v>2.88312391343655</v>
      </c>
      <c r="DF52" s="74" t="n">
        <f aca="false">SQRT(($B52-DF$5)^2+($C52-DF$6)^2+($D52-DF$7)^2)</f>
        <v>3.17012974889018</v>
      </c>
      <c r="DG52" s="74" t="n">
        <f aca="false">SQRT(($B52-DG$5)^2+($C52-DG$6)^2+($D52-DG$7)^2)</f>
        <v>3.25590962294331</v>
      </c>
      <c r="DH52" s="74" t="n">
        <f aca="false">SQRT(($B52-DH$5)^2+($C52-DH$6)^2+($D52-DH$7)^2)</f>
        <v>3.25590962294331</v>
      </c>
      <c r="DI52" s="74" t="n">
        <f aca="false">SQRT(($B52-DI$5)^2+($C52-DI$6)^2+($D52-DI$7)^2)</f>
        <v>3.25590962294331</v>
      </c>
      <c r="DJ52" s="74" t="n">
        <f aca="false">SQRT(($B52-DJ$5)^2+($C52-DJ$6)^2+($D52-DJ$7)^2)</f>
        <v>3.25590962294331</v>
      </c>
      <c r="DK52" s="74" t="n">
        <f aca="false">SQRT(($B52-DK$5)^2+($C52-DK$6)^2+($D52-DK$7)^2)</f>
        <v>3.38437406497854</v>
      </c>
      <c r="DL52" s="74" t="n">
        <f aca="false">SQRT(($B52-DL$5)^2+($C52-DL$6)^2+($D52-DL$7)^2)</f>
        <v>3.38437406497854</v>
      </c>
      <c r="DM52" s="74" t="n">
        <f aca="false">SQRT(($B52-DM$5)^2+($C52-DM$6)^2+($D52-DM$7)^2)</f>
        <v>3.38437406497854</v>
      </c>
      <c r="DN52" s="74" t="n">
        <f aca="false">SQRT(($B52-DN$5)^2+($C52-DN$6)^2+($D52-DN$7)^2)</f>
        <v>3.38437406497854</v>
      </c>
      <c r="DO52" s="74" t="n">
        <f aca="false">SQRT(($B52-DO$5)^2+($C52-DO$6)^2+($D52-DO$7)^2)</f>
        <v>3.38437406497854</v>
      </c>
      <c r="DP52" s="74" t="n">
        <f aca="false">SQRT(($B52-DP$5)^2+($C52-DP$6)^2+($D52-DP$7)^2)</f>
        <v>3.62195415614862</v>
      </c>
      <c r="DQ52" s="74" t="n">
        <f aca="false">SQRT(($B52-DQ$5)^2+($C52-DQ$6)^2+($D52-DQ$7)^2)</f>
        <v>3.62195415614862</v>
      </c>
    </row>
    <row r="53" customFormat="false" ht="15" hidden="false" customHeight="false" outlineLevel="0" collapsed="false">
      <c r="A53" s="48" t="str">
        <f aca="false">KMeans_Data!A44</f>
        <v>Kurram</v>
      </c>
      <c r="B53" s="72" t="n">
        <f aca="false">KMeans_Data!H44</f>
        <v>0.389856926462388</v>
      </c>
      <c r="C53" s="72" t="n">
        <f aca="false">KMeans_Data!I44</f>
        <v>0.160512589624996</v>
      </c>
      <c r="D53" s="72" t="n">
        <f aca="false">KMeans_Data!J44</f>
        <v>-0.0786471224747799</v>
      </c>
      <c r="E53" s="74" t="n">
        <f aca="false">SQRT(($B53-E$5)^2+($C53-E$6)^2+($D53-E$7)^2)</f>
        <v>5.87022459726912</v>
      </c>
      <c r="F53" s="74" t="n">
        <f aca="false">SQRT(($B53-F$5)^2+($C53-F$6)^2+($D53-F$7)^2)</f>
        <v>5.63603491265014</v>
      </c>
      <c r="G53" s="74" t="n">
        <f aca="false">SQRT(($B53-G$5)^2+($C53-G$6)^2+($D53-G$7)^2)</f>
        <v>3.80251555127206</v>
      </c>
      <c r="H53" s="74" t="n">
        <f aca="false">SQRT(($B53-H$5)^2+($C53-H$6)^2+($D53-H$7)^2)</f>
        <v>4.28315172452653</v>
      </c>
      <c r="I53" s="74" t="n">
        <f aca="false">SQRT(($B53-I$5)^2+($C53-I$6)^2+($D53-I$7)^2)</f>
        <v>3.15502743220921</v>
      </c>
      <c r="J53" s="74" t="n">
        <f aca="false">SQRT(($B53-J$5)^2+($C53-J$6)^2+($D53-J$7)^2)</f>
        <v>2.7967573125262</v>
      </c>
      <c r="K53" s="74" t="n">
        <f aca="false">SQRT(($B53-K$5)^2+($C53-K$6)^2+($D53-K$7)^2)</f>
        <v>1.20747679705133</v>
      </c>
      <c r="L53" s="74" t="n">
        <f aca="false">SQRT(($B53-L$5)^2+($C53-L$6)^2+($D53-L$7)^2)</f>
        <v>2.0937206621642</v>
      </c>
      <c r="M53" s="74" t="n">
        <f aca="false">SQRT(($B53-M$5)^2+($C53-M$6)^2+($D53-M$7)^2)</f>
        <v>2.23798384942151</v>
      </c>
      <c r="N53" s="74" t="n">
        <f aca="false">SQRT(($B53-N$5)^2+($C53-N$6)^2+($D53-N$7)^2)</f>
        <v>1.14437613750495</v>
      </c>
      <c r="O53" s="74" t="n">
        <f aca="false">SQRT(($B53-O$5)^2+($C53-O$6)^2+($D53-O$7)^2)</f>
        <v>1.85291548431567</v>
      </c>
      <c r="P53" s="74" t="n">
        <f aca="false">SQRT(($B53-P$5)^2+($C53-P$6)^2+($D53-P$7)^2)</f>
        <v>2.16338317989691</v>
      </c>
      <c r="Q53" s="74" t="n">
        <f aca="false">SQRT(($B53-Q$5)^2+($C53-Q$6)^2+($D53-Q$7)^2)</f>
        <v>1.56963464148808</v>
      </c>
      <c r="R53" s="74" t="n">
        <f aca="false">SQRT(($B53-R$5)^2+($C53-R$6)^2+($D53-R$7)^2)</f>
        <v>1.69304179751501</v>
      </c>
      <c r="S53" s="74" t="n">
        <f aca="false">SQRT(($B53-S$5)^2+($C53-S$6)^2+($D53-S$7)^2)</f>
        <v>1.42399420013183</v>
      </c>
      <c r="T53" s="74" t="n">
        <f aca="false">SQRT(($B53-T$5)^2+($C53-T$6)^2+($D53-T$7)^2)</f>
        <v>1.47973040073565</v>
      </c>
      <c r="U53" s="74" t="n">
        <f aca="false">SQRT(($B53-U$5)^2+($C53-U$6)^2+($D53-U$7)^2)</f>
        <v>1.74635673319675</v>
      </c>
      <c r="V53" s="74" t="n">
        <f aca="false">SQRT(($B53-V$5)^2+($C53-V$6)^2+($D53-V$7)^2)</f>
        <v>1.47988147096262</v>
      </c>
      <c r="W53" s="74" t="n">
        <f aca="false">SQRT(($B53-W$5)^2+($C53-W$6)^2+($D53-W$7)^2)</f>
        <v>1.65188194762499</v>
      </c>
      <c r="X53" s="74" t="n">
        <f aca="false">SQRT(($B53-X$5)^2+($C53-X$6)^2+($D53-X$7)^2)</f>
        <v>1.36422327308021</v>
      </c>
      <c r="Y53" s="74" t="n">
        <f aca="false">SQRT(($B53-Y$5)^2+($C53-Y$6)^2+($D53-Y$7)^2)</f>
        <v>1.54511360864454</v>
      </c>
      <c r="Z53" s="74" t="n">
        <f aca="false">SQRT(($B53-Z$5)^2+($C53-Z$6)^2+($D53-Z$7)^2)</f>
        <v>1.02727983229028</v>
      </c>
      <c r="AA53" s="74" t="n">
        <f aca="false">SQRT(($B53-AA$5)^2+($C53-AA$6)^2+($D53-AA$7)^2)</f>
        <v>1.11043873336876</v>
      </c>
      <c r="AB53" s="74" t="n">
        <f aca="false">SQRT(($B53-AB$5)^2+($C53-AB$6)^2+($D53-AB$7)^2)</f>
        <v>0.928035689817336</v>
      </c>
      <c r="AC53" s="74" t="n">
        <f aca="false">SQRT(($B53-AC$5)^2+($C53-AC$6)^2+($D53-AC$7)^2)</f>
        <v>1.50950018880372</v>
      </c>
      <c r="AD53" s="74" t="n">
        <f aca="false">SQRT(($B53-AD$5)^2+($C53-AD$6)^2+($D53-AD$7)^2)</f>
        <v>1.53487188326732</v>
      </c>
      <c r="AE53" s="74" t="n">
        <f aca="false">SQRT(($B53-AE$5)^2+($C53-AE$6)^2+($D53-AE$7)^2)</f>
        <v>1.1395078316512</v>
      </c>
      <c r="AF53" s="74" t="n">
        <f aca="false">SQRT(($B53-AF$5)^2+($C53-AF$6)^2+($D53-AF$7)^2)</f>
        <v>1.10794438242429</v>
      </c>
      <c r="AG53" s="74" t="n">
        <f aca="false">SQRT(($B53-AG$5)^2+($C53-AG$6)^2+($D53-AG$7)^2)</f>
        <v>0.912487901256357</v>
      </c>
      <c r="AH53" s="74" t="n">
        <f aca="false">SQRT(($B53-AH$5)^2+($C53-AH$6)^2+($D53-AH$7)^2)</f>
        <v>0.880474158868393</v>
      </c>
      <c r="AI53" s="74" t="n">
        <f aca="false">SQRT(($B53-AI$5)^2+($C53-AI$6)^2+($D53-AI$7)^2)</f>
        <v>0.911841644880206</v>
      </c>
      <c r="AJ53" s="74" t="n">
        <f aca="false">SQRT(($B53-AJ$5)^2+($C53-AJ$6)^2+($D53-AJ$7)^2)</f>
        <v>1.26611514838093</v>
      </c>
      <c r="AK53" s="74" t="n">
        <f aca="false">SQRT(($B53-AK$5)^2+($C53-AK$6)^2+($D53-AK$7)^2)</f>
        <v>0.448533659568024</v>
      </c>
      <c r="AL53" s="74" t="n">
        <f aca="false">SQRT(($B53-AL$5)^2+($C53-AL$6)^2+($D53-AL$7)^2)</f>
        <v>0.708022290960458</v>
      </c>
      <c r="AM53" s="74" t="n">
        <f aca="false">SQRT(($B53-AM$5)^2+($C53-AM$6)^2+($D53-AM$7)^2)</f>
        <v>1.28364448080607</v>
      </c>
      <c r="AN53" s="74" t="n">
        <f aca="false">SQRT(($B53-AN$5)^2+($C53-AN$6)^2+($D53-AN$7)^2)</f>
        <v>1.26975864780219</v>
      </c>
      <c r="AO53" s="74" t="n">
        <f aca="false">SQRT(($B53-AO$5)^2+($C53-AO$6)^2+($D53-AO$7)^2)</f>
        <v>0.657405539549127</v>
      </c>
      <c r="AP53" s="74" t="n">
        <f aca="false">SQRT(($B53-AP$5)^2+($C53-AP$6)^2+($D53-AP$7)^2)</f>
        <v>0.582795736205619</v>
      </c>
      <c r="AQ53" s="74" t="n">
        <f aca="false">SQRT(($B53-AQ$5)^2+($C53-AQ$6)^2+($D53-AQ$7)^2)</f>
        <v>1.3179605718239</v>
      </c>
      <c r="AR53" s="74" t="n">
        <f aca="false">SQRT(($B53-AR$5)^2+($C53-AR$6)^2+($D53-AR$7)^2)</f>
        <v>0</v>
      </c>
      <c r="AS53" s="74" t="n">
        <f aca="false">SQRT(($B53-AS$5)^2+($C53-AS$6)^2+($D53-AS$7)^2)</f>
        <v>1.37356952415921</v>
      </c>
      <c r="AT53" s="74" t="n">
        <f aca="false">SQRT(($B53-AT$5)^2+($C53-AT$6)^2+($D53-AT$7)^2)</f>
        <v>0.914040547613483</v>
      </c>
      <c r="AU53" s="74" t="n">
        <f aca="false">SQRT(($B53-AU$5)^2+($C53-AU$6)^2+($D53-AU$7)^2)</f>
        <v>0.649687322004227</v>
      </c>
      <c r="AV53" s="74" t="n">
        <f aca="false">SQRT(($B53-AV$5)^2+($C53-AV$6)^2+($D53-AV$7)^2)</f>
        <v>1.03164134169851</v>
      </c>
      <c r="AW53" s="74" t="n">
        <f aca="false">SQRT(($B53-AW$5)^2+($C53-AW$6)^2+($D53-AW$7)^2)</f>
        <v>1.12838404193736</v>
      </c>
      <c r="AX53" s="74" t="n">
        <f aca="false">SQRT(($B53-AX$5)^2+($C53-AX$6)^2+($D53-AX$7)^2)</f>
        <v>0.486410261783287</v>
      </c>
      <c r="AY53" s="74" t="n">
        <f aca="false">SQRT(($B53-AY$5)^2+($C53-AY$6)^2+($D53-AY$7)^2)</f>
        <v>1.36686487574638</v>
      </c>
      <c r="AZ53" s="74" t="n">
        <f aca="false">SQRT(($B53-AZ$5)^2+($C53-AZ$6)^2+($D53-AZ$7)^2)</f>
        <v>1.40161332580276</v>
      </c>
      <c r="BA53" s="74" t="n">
        <f aca="false">SQRT(($B53-BA$5)^2+($C53-BA$6)^2+($D53-BA$7)^2)</f>
        <v>0.947317395156758</v>
      </c>
      <c r="BB53" s="74" t="n">
        <f aca="false">SQRT(($B53-BB$5)^2+($C53-BB$6)^2+($D53-BB$7)^2)</f>
        <v>1.36778493115336</v>
      </c>
      <c r="BC53" s="74" t="n">
        <f aca="false">SQRT(($B53-BC$5)^2+($C53-BC$6)^2+($D53-BC$7)^2)</f>
        <v>1.36874799276377</v>
      </c>
      <c r="BD53" s="74" t="n">
        <f aca="false">SQRT(($B53-BD$5)^2+($C53-BD$6)^2+($D53-BD$7)^2)</f>
        <v>0.961218155279225</v>
      </c>
      <c r="BE53" s="74" t="n">
        <f aca="false">SQRT(($B53-BE$5)^2+($C53-BE$6)^2+($D53-BE$7)^2)</f>
        <v>0.881719430811047</v>
      </c>
      <c r="BF53" s="74" t="n">
        <f aca="false">SQRT(($B53-BF$5)^2+($C53-BF$6)^2+($D53-BF$7)^2)</f>
        <v>1.51127761552096</v>
      </c>
      <c r="BG53" s="74" t="n">
        <f aca="false">SQRT(($B53-BG$5)^2+($C53-BG$6)^2+($D53-BG$7)^2)</f>
        <v>0.814771681755087</v>
      </c>
      <c r="BH53" s="74" t="n">
        <f aca="false">SQRT(($B53-BH$5)^2+($C53-BH$6)^2+($D53-BH$7)^2)</f>
        <v>1.38768915053374</v>
      </c>
      <c r="BI53" s="74" t="n">
        <f aca="false">SQRT(($B53-BI$5)^2+($C53-BI$6)^2+($D53-BI$7)^2)</f>
        <v>1.39141464401792</v>
      </c>
      <c r="BJ53" s="74" t="n">
        <f aca="false">SQRT(($B53-BJ$5)^2+($C53-BJ$6)^2+($D53-BJ$7)^2)</f>
        <v>0.539134149284754</v>
      </c>
      <c r="BK53" s="74" t="n">
        <f aca="false">SQRT(($B53-BK$5)^2+($C53-BK$6)^2+($D53-BK$7)^2)</f>
        <v>0.971960290982349</v>
      </c>
      <c r="BL53" s="74" t="n">
        <f aca="false">SQRT(($B53-BL$5)^2+($C53-BL$6)^2+($D53-BL$7)^2)</f>
        <v>1.02225846179816</v>
      </c>
      <c r="BM53" s="74" t="n">
        <f aca="false">SQRT(($B53-BM$5)^2+($C53-BM$6)^2+($D53-BM$7)^2)</f>
        <v>0.816196218654995</v>
      </c>
      <c r="BN53" s="74" t="n">
        <f aca="false">SQRT(($B53-BN$5)^2+($C53-BN$6)^2+($D53-BN$7)^2)</f>
        <v>0.450229866726303</v>
      </c>
      <c r="BO53" s="74" t="n">
        <f aca="false">SQRT(($B53-BO$5)^2+($C53-BO$6)^2+($D53-BO$7)^2)</f>
        <v>1.20713509376952</v>
      </c>
      <c r="BP53" s="74" t="n">
        <f aca="false">SQRT(($B53-BP$5)^2+($C53-BP$6)^2+($D53-BP$7)^2)</f>
        <v>0.597227267261683</v>
      </c>
      <c r="BQ53" s="74" t="n">
        <f aca="false">SQRT(($B53-BQ$5)^2+($C53-BQ$6)^2+($D53-BQ$7)^2)</f>
        <v>0.745945096140315</v>
      </c>
      <c r="BR53" s="74" t="n">
        <f aca="false">SQRT(($B53-BR$5)^2+($C53-BR$6)^2+($D53-BR$7)^2)</f>
        <v>0.792818474051637</v>
      </c>
      <c r="BS53" s="74" t="n">
        <f aca="false">SQRT(($B53-BS$5)^2+($C53-BS$6)^2+($D53-BS$7)^2)</f>
        <v>1.21152015372234</v>
      </c>
      <c r="BT53" s="74" t="n">
        <f aca="false">SQRT(($B53-BT$5)^2+($C53-BT$6)^2+($D53-BT$7)^2)</f>
        <v>1.06477505457966</v>
      </c>
      <c r="BU53" s="74" t="n">
        <f aca="false">SQRT(($B53-BU$5)^2+($C53-BU$6)^2+($D53-BU$7)^2)</f>
        <v>1.04635557836232</v>
      </c>
      <c r="BV53" s="74" t="n">
        <f aca="false">SQRT(($B53-BV$5)^2+($C53-BV$6)^2+($D53-BV$7)^2)</f>
        <v>1.50161289007626</v>
      </c>
      <c r="BW53" s="74" t="n">
        <f aca="false">SQRT(($B53-BW$5)^2+($C53-BW$6)^2+($D53-BW$7)^2)</f>
        <v>1.12735044218697</v>
      </c>
      <c r="BX53" s="74" t="n">
        <f aca="false">SQRT(($B53-BX$5)^2+($C53-BX$6)^2+($D53-BX$7)^2)</f>
        <v>1.50861220101438</v>
      </c>
      <c r="BY53" s="74" t="n">
        <f aca="false">SQRT(($B53-BY$5)^2+($C53-BY$6)^2+($D53-BY$7)^2)</f>
        <v>1.09269228276967</v>
      </c>
      <c r="BZ53" s="74" t="n">
        <f aca="false">SQRT(($B53-BZ$5)^2+($C53-BZ$6)^2+($D53-BZ$7)^2)</f>
        <v>1.1115725944451</v>
      </c>
      <c r="CA53" s="74" t="n">
        <f aca="false">SQRT(($B53-CA$5)^2+($C53-CA$6)^2+($D53-CA$7)^2)</f>
        <v>1.53191343221573</v>
      </c>
      <c r="CB53" s="74" t="n">
        <f aca="false">SQRT(($B53-CB$5)^2+($C53-CB$6)^2+($D53-CB$7)^2)</f>
        <v>1.12344044099464</v>
      </c>
      <c r="CC53" s="74" t="n">
        <f aca="false">SQRT(($B53-CC$5)^2+($C53-CC$6)^2+($D53-CC$7)^2)</f>
        <v>1.54054651197028</v>
      </c>
      <c r="CD53" s="74" t="n">
        <f aca="false">SQRT(($B53-CD$5)^2+($C53-CD$6)^2+($D53-CD$7)^2)</f>
        <v>1.55932433936069</v>
      </c>
      <c r="CE53" s="74" t="n">
        <f aca="false">SQRT(($B53-CE$5)^2+($C53-CE$6)^2+($D53-CE$7)^2)</f>
        <v>1.15749781114758</v>
      </c>
      <c r="CF53" s="74" t="n">
        <f aca="false">SQRT(($B53-CF$5)^2+($C53-CF$6)^2+($D53-CF$7)^2)</f>
        <v>0.879117633714406</v>
      </c>
      <c r="CG53" s="74" t="n">
        <f aca="false">SQRT(($B53-CG$5)^2+($C53-CG$6)^2+($D53-CG$7)^2)</f>
        <v>0.968864520692181</v>
      </c>
      <c r="CH53" s="74" t="n">
        <f aca="false">SQRT(($B53-CH$5)^2+($C53-CH$6)^2+($D53-CH$7)^2)</f>
        <v>1.24028450324791</v>
      </c>
      <c r="CI53" s="74" t="n">
        <f aca="false">SQRT(($B53-CI$5)^2+($C53-CI$6)^2+($D53-CI$7)^2)</f>
        <v>1.3050999471178</v>
      </c>
      <c r="CJ53" s="74" t="n">
        <f aca="false">SQRT(($B53-CJ$5)^2+($C53-CJ$6)^2+($D53-CJ$7)^2)</f>
        <v>1.45895108596137</v>
      </c>
      <c r="CK53" s="74" t="n">
        <f aca="false">SQRT(($B53-CK$5)^2+($C53-CK$6)^2+($D53-CK$7)^2)</f>
        <v>1.29850726959584</v>
      </c>
      <c r="CL53" s="74" t="n">
        <f aca="false">SQRT(($B53-CL$5)^2+($C53-CL$6)^2+($D53-CL$7)^2)</f>
        <v>1.69895240611143</v>
      </c>
      <c r="CM53" s="74" t="n">
        <f aca="false">SQRT(($B53-CM$5)^2+($C53-CM$6)^2+($D53-CM$7)^2)</f>
        <v>1.3431266656929</v>
      </c>
      <c r="CN53" s="74" t="n">
        <f aca="false">SQRT(($B53-CN$5)^2+($C53-CN$6)^2+($D53-CN$7)^2)</f>
        <v>1.34012824919452</v>
      </c>
      <c r="CO53" s="74" t="n">
        <f aca="false">SQRT(($B53-CO$5)^2+($C53-CO$6)^2+($D53-CO$7)^2)</f>
        <v>1.18008408934597</v>
      </c>
      <c r="CP53" s="74" t="n">
        <f aca="false">SQRT(($B53-CP$5)^2+($C53-CP$6)^2+($D53-CP$7)^2)</f>
        <v>1.76635107369528</v>
      </c>
      <c r="CQ53" s="74" t="n">
        <f aca="false">SQRT(($B53-CQ$5)^2+($C53-CQ$6)^2+($D53-CQ$7)^2)</f>
        <v>1.47680502521453</v>
      </c>
      <c r="CR53" s="74" t="n">
        <f aca="false">SQRT(($B53-CR$5)^2+($C53-CR$6)^2+($D53-CR$7)^2)</f>
        <v>1.49746714221706</v>
      </c>
      <c r="CS53" s="74" t="n">
        <f aca="false">SQRT(($B53-CS$5)^2+($C53-CS$6)^2+($D53-CS$7)^2)</f>
        <v>1.82341928259964</v>
      </c>
      <c r="CT53" s="74" t="n">
        <f aca="false">SQRT(($B53-CT$5)^2+($C53-CT$6)^2+($D53-CT$7)^2)</f>
        <v>1.85701709924372</v>
      </c>
      <c r="CU53" s="74" t="n">
        <f aca="false">SQRT(($B53-CU$5)^2+($C53-CU$6)^2+($D53-CU$7)^2)</f>
        <v>1.5055360247671</v>
      </c>
      <c r="CV53" s="74" t="n">
        <f aca="false">SQRT(($B53-CV$5)^2+($C53-CV$6)^2+($D53-CV$7)^2)</f>
        <v>1.55827891861071</v>
      </c>
      <c r="CW53" s="74" t="n">
        <f aca="false">SQRT(($B53-CW$5)^2+($C53-CW$6)^2+($D53-CW$7)^2)</f>
        <v>1.85701709924372</v>
      </c>
      <c r="CX53" s="74" t="n">
        <f aca="false">SQRT(($B53-CX$5)^2+($C53-CX$6)^2+($D53-CX$7)^2)</f>
        <v>1.56665303697135</v>
      </c>
      <c r="CY53" s="74" t="n">
        <f aca="false">SQRT(($B53-CY$5)^2+($C53-CY$6)^2+($D53-CY$7)^2)</f>
        <v>1.89497590988027</v>
      </c>
      <c r="CZ53" s="74" t="n">
        <f aca="false">SQRT(($B53-CZ$5)^2+($C53-CZ$6)^2+($D53-CZ$7)^2)</f>
        <v>1.89497590988027</v>
      </c>
      <c r="DA53" s="74" t="n">
        <f aca="false">SQRT(($B53-DA$5)^2+($C53-DA$6)^2+($D53-DA$7)^2)</f>
        <v>1.62257109167209</v>
      </c>
      <c r="DB53" s="74" t="n">
        <f aca="false">SQRT(($B53-DB$5)^2+($C53-DB$6)^2+($D53-DB$7)^2)</f>
        <v>1.93836701737728</v>
      </c>
      <c r="DC53" s="74" t="n">
        <f aca="false">SQRT(($B53-DC$5)^2+($C53-DC$6)^2+($D53-DC$7)^2)</f>
        <v>1.93836701737728</v>
      </c>
      <c r="DD53" s="74" t="n">
        <f aca="false">SQRT(($B53-DD$5)^2+($C53-DD$6)^2+($D53-DD$7)^2)</f>
        <v>1.71173821957006</v>
      </c>
      <c r="DE53" s="74" t="n">
        <f aca="false">SQRT(($B53-DE$5)^2+($C53-DE$6)^2+($D53-DE$7)^2)</f>
        <v>1.90075302892579</v>
      </c>
      <c r="DF53" s="74" t="n">
        <f aca="false">SQRT(($B53-DF$5)^2+($C53-DF$6)^2+($D53-DF$7)^2)</f>
        <v>2.21097105827335</v>
      </c>
      <c r="DG53" s="74" t="n">
        <f aca="false">SQRT(($B53-DG$5)^2+($C53-DG$6)^2+($D53-DG$7)^2)</f>
        <v>2.33115610971163</v>
      </c>
      <c r="DH53" s="74" t="n">
        <f aca="false">SQRT(($B53-DH$5)^2+($C53-DH$6)^2+($D53-DH$7)^2)</f>
        <v>2.33115610971163</v>
      </c>
      <c r="DI53" s="74" t="n">
        <f aca="false">SQRT(($B53-DI$5)^2+($C53-DI$6)^2+($D53-DI$7)^2)</f>
        <v>2.33115610971163</v>
      </c>
      <c r="DJ53" s="74" t="n">
        <f aca="false">SQRT(($B53-DJ$5)^2+($C53-DJ$6)^2+($D53-DJ$7)^2)</f>
        <v>2.33115610971163</v>
      </c>
      <c r="DK53" s="74" t="n">
        <f aca="false">SQRT(($B53-DK$5)^2+($C53-DK$6)^2+($D53-DK$7)^2)</f>
        <v>2.50595655541563</v>
      </c>
      <c r="DL53" s="74" t="n">
        <f aca="false">SQRT(($B53-DL$5)^2+($C53-DL$6)^2+($D53-DL$7)^2)</f>
        <v>2.50595655541563</v>
      </c>
      <c r="DM53" s="74" t="n">
        <f aca="false">SQRT(($B53-DM$5)^2+($C53-DM$6)^2+($D53-DM$7)^2)</f>
        <v>2.50595655541563</v>
      </c>
      <c r="DN53" s="74" t="n">
        <f aca="false">SQRT(($B53-DN$5)^2+($C53-DN$6)^2+($D53-DN$7)^2)</f>
        <v>2.50595655541563</v>
      </c>
      <c r="DO53" s="74" t="n">
        <f aca="false">SQRT(($B53-DO$5)^2+($C53-DO$6)^2+($D53-DO$7)^2)</f>
        <v>2.50595655541563</v>
      </c>
      <c r="DP53" s="74" t="n">
        <f aca="false">SQRT(($B53-DP$5)^2+($C53-DP$6)^2+($D53-DP$7)^2)</f>
        <v>2.81629941685552</v>
      </c>
      <c r="DQ53" s="74" t="n">
        <f aca="false">SQRT(($B53-DQ$5)^2+($C53-DQ$6)^2+($D53-DQ$7)^2)</f>
        <v>2.81629941685552</v>
      </c>
    </row>
    <row r="54" customFormat="false" ht="15" hidden="false" customHeight="false" outlineLevel="0" collapsed="false">
      <c r="A54" s="48" t="str">
        <f aca="false">KMeans_Data!A45</f>
        <v>Kambar Shahdadkot</v>
      </c>
      <c r="B54" s="72" t="n">
        <f aca="false">KMeans_Data!H45</f>
        <v>0.317115025857358</v>
      </c>
      <c r="C54" s="72" t="n">
        <f aca="false">KMeans_Data!I45</f>
        <v>-0.672650545388274</v>
      </c>
      <c r="D54" s="72" t="n">
        <f aca="false">KMeans_Data!J45</f>
        <v>1.01095878979359</v>
      </c>
      <c r="E54" s="74" t="n">
        <f aca="false">SQRT(($B54-E$5)^2+($C54-E$6)^2+($D54-E$7)^2)</f>
        <v>5.99739197654582</v>
      </c>
      <c r="F54" s="74" t="n">
        <f aca="false">SQRT(($B54-F$5)^2+($C54-F$6)^2+($D54-F$7)^2)</f>
        <v>5.89186746437971</v>
      </c>
      <c r="G54" s="74" t="n">
        <f aca="false">SQRT(($B54-G$5)^2+($C54-G$6)^2+($D54-G$7)^2)</f>
        <v>3.85320224674437</v>
      </c>
      <c r="H54" s="74" t="n">
        <f aca="false">SQRT(($B54-H$5)^2+($C54-H$6)^2+($D54-H$7)^2)</f>
        <v>4.73698215713566</v>
      </c>
      <c r="I54" s="74" t="n">
        <f aca="false">SQRT(($B54-I$5)^2+($C54-I$6)^2+($D54-I$7)^2)</f>
        <v>3.37733494873902</v>
      </c>
      <c r="J54" s="74" t="n">
        <f aca="false">SQRT(($B54-J$5)^2+($C54-J$6)^2+($D54-J$7)^2)</f>
        <v>3.16261801896236</v>
      </c>
      <c r="K54" s="74" t="n">
        <f aca="false">SQRT(($B54-K$5)^2+($C54-K$6)^2+($D54-K$7)^2)</f>
        <v>2.26011106221629</v>
      </c>
      <c r="L54" s="74" t="n">
        <f aca="false">SQRT(($B54-L$5)^2+($C54-L$6)^2+($D54-L$7)^2)</f>
        <v>1.83114165365619</v>
      </c>
      <c r="M54" s="74" t="n">
        <f aca="false">SQRT(($B54-M$5)^2+($C54-M$6)^2+($D54-M$7)^2)</f>
        <v>2.215249726934</v>
      </c>
      <c r="N54" s="74" t="n">
        <f aca="false">SQRT(($B54-N$5)^2+($C54-N$6)^2+($D54-N$7)^2)</f>
        <v>2.10410125274931</v>
      </c>
      <c r="O54" s="74" t="n">
        <f aca="false">SQRT(($B54-O$5)^2+($C54-O$6)^2+($D54-O$7)^2)</f>
        <v>2.30132337455311</v>
      </c>
      <c r="P54" s="74" t="n">
        <f aca="false">SQRT(($B54-P$5)^2+($C54-P$6)^2+($D54-P$7)^2)</f>
        <v>2.57668133457804</v>
      </c>
      <c r="Q54" s="74" t="n">
        <f aca="false">SQRT(($B54-Q$5)^2+($C54-Q$6)^2+($D54-Q$7)^2)</f>
        <v>1.81870929651065</v>
      </c>
      <c r="R54" s="74" t="n">
        <f aca="false">SQRT(($B54-R$5)^2+($C54-R$6)^2+($D54-R$7)^2)</f>
        <v>1.35466413068347</v>
      </c>
      <c r="S54" s="74" t="n">
        <f aca="false">SQRT(($B54-S$5)^2+($C54-S$6)^2+($D54-S$7)^2)</f>
        <v>0.881876971376686</v>
      </c>
      <c r="T54" s="74" t="n">
        <f aca="false">SQRT(($B54-T$5)^2+($C54-T$6)^2+($D54-T$7)^2)</f>
        <v>1.78994403457854</v>
      </c>
      <c r="U54" s="74" t="n">
        <f aca="false">SQRT(($B54-U$5)^2+($C54-U$6)^2+($D54-U$7)^2)</f>
        <v>1.32279877651087</v>
      </c>
      <c r="V54" s="74" t="n">
        <f aca="false">SQRT(($B54-V$5)^2+($C54-V$6)^2+($D54-V$7)^2)</f>
        <v>2.15849922527934</v>
      </c>
      <c r="W54" s="74" t="n">
        <f aca="false">SQRT(($B54-W$5)^2+($C54-W$6)^2+($D54-W$7)^2)</f>
        <v>2.12340226884751</v>
      </c>
      <c r="X54" s="74" t="n">
        <f aca="false">SQRT(($B54-X$5)^2+($C54-X$6)^2+($D54-X$7)^2)</f>
        <v>1.56642091654592</v>
      </c>
      <c r="Y54" s="74" t="n">
        <f aca="false">SQRT(($B54-Y$5)^2+($C54-Y$6)^2+($D54-Y$7)^2)</f>
        <v>1.57083646225094</v>
      </c>
      <c r="Z54" s="74" t="n">
        <f aca="false">SQRT(($B54-Z$5)^2+($C54-Z$6)^2+($D54-Z$7)^2)</f>
        <v>1.59732620099204</v>
      </c>
      <c r="AA54" s="74" t="n">
        <f aca="false">SQRT(($B54-AA$5)^2+($C54-AA$6)^2+($D54-AA$7)^2)</f>
        <v>0.956194216878703</v>
      </c>
      <c r="AB54" s="74" t="n">
        <f aca="false">SQRT(($B54-AB$5)^2+($C54-AB$6)^2+($D54-AB$7)^2)</f>
        <v>1.35110750172334</v>
      </c>
      <c r="AC54" s="74" t="n">
        <f aca="false">SQRT(($B54-AC$5)^2+($C54-AC$6)^2+($D54-AC$7)^2)</f>
        <v>2.12030242047578</v>
      </c>
      <c r="AD54" s="74" t="n">
        <f aca="false">SQRT(($B54-AD$5)^2+($C54-AD$6)^2+($D54-AD$7)^2)</f>
        <v>1.5499263768629</v>
      </c>
      <c r="AE54" s="74" t="n">
        <f aca="false">SQRT(($B54-AE$5)^2+($C54-AE$6)^2+($D54-AE$7)^2)</f>
        <v>2.24392796299193</v>
      </c>
      <c r="AF54" s="74" t="n">
        <f aca="false">SQRT(($B54-AF$5)^2+($C54-AF$6)^2+($D54-AF$7)^2)</f>
        <v>1.39527018153548</v>
      </c>
      <c r="AG54" s="74" t="n">
        <f aca="false">SQRT(($B54-AG$5)^2+($C54-AG$6)^2+($D54-AG$7)^2)</f>
        <v>1.43467780420576</v>
      </c>
      <c r="AH54" s="74" t="n">
        <f aca="false">SQRT(($B54-AH$5)^2+($C54-AH$6)^2+($D54-AH$7)^2)</f>
        <v>0.902620724238759</v>
      </c>
      <c r="AI54" s="74" t="n">
        <f aca="false">SQRT(($B54-AI$5)^2+($C54-AI$6)^2+($D54-AI$7)^2)</f>
        <v>1.4341063810521</v>
      </c>
      <c r="AJ54" s="74" t="n">
        <f aca="false">SQRT(($B54-AJ$5)^2+($C54-AJ$6)^2+($D54-AJ$7)^2)</f>
        <v>1.25033074517992</v>
      </c>
      <c r="AK54" s="74" t="n">
        <f aca="false">SQRT(($B54-AK$5)^2+($C54-AK$6)^2+($D54-AK$7)^2)</f>
        <v>1.29454145049303</v>
      </c>
      <c r="AL54" s="74" t="n">
        <f aca="false">SQRT(($B54-AL$5)^2+($C54-AL$6)^2+($D54-AL$7)^2)</f>
        <v>0.717673455096482</v>
      </c>
      <c r="AM54" s="74" t="n">
        <f aca="false">SQRT(($B54-AM$5)^2+($C54-AM$6)^2+($D54-AM$7)^2)</f>
        <v>2.17738423523545</v>
      </c>
      <c r="AN54" s="74" t="n">
        <f aca="false">SQRT(($B54-AN$5)^2+($C54-AN$6)^2+($D54-AN$7)^2)</f>
        <v>1.84674787566691</v>
      </c>
      <c r="AO54" s="74" t="n">
        <f aca="false">SQRT(($B54-AO$5)^2+($C54-AO$6)^2+($D54-AO$7)^2)</f>
        <v>1.1578489113739</v>
      </c>
      <c r="AP54" s="74" t="n">
        <f aca="false">SQRT(($B54-AP$5)^2+($C54-AP$6)^2+($D54-AP$7)^2)</f>
        <v>1.19206281387185</v>
      </c>
      <c r="AQ54" s="74" t="n">
        <f aca="false">SQRT(($B54-AQ$5)^2+($C54-AQ$6)^2+($D54-AQ$7)^2)</f>
        <v>1.98450666184077</v>
      </c>
      <c r="AR54" s="74" t="n">
        <f aca="false">SQRT(($B54-AR$5)^2+($C54-AR$6)^2+($D54-AR$7)^2)</f>
        <v>1.37356952415921</v>
      </c>
      <c r="AS54" s="74" t="n">
        <f aca="false">SQRT(($B54-AS$5)^2+($C54-AS$6)^2+($D54-AS$7)^2)</f>
        <v>0</v>
      </c>
      <c r="AT54" s="74" t="n">
        <f aca="false">SQRT(($B54-AT$5)^2+($C54-AT$6)^2+($D54-AT$7)^2)</f>
        <v>0.57813677301048</v>
      </c>
      <c r="AU54" s="74" t="n">
        <f aca="false">SQRT(($B54-AU$5)^2+($C54-AU$6)^2+($D54-AU$7)^2)</f>
        <v>1.73021448575683</v>
      </c>
      <c r="AV54" s="74" t="n">
        <f aca="false">SQRT(($B54-AV$5)^2+($C54-AV$6)^2+($D54-AV$7)^2)</f>
        <v>0.499727188851976</v>
      </c>
      <c r="AW54" s="74" t="n">
        <f aca="false">SQRT(($B54-AW$5)^2+($C54-AW$6)^2+($D54-AW$7)^2)</f>
        <v>1.83708270393995</v>
      </c>
      <c r="AX54" s="74" t="n">
        <f aca="false">SQRT(($B54-AX$5)^2+($C54-AX$6)^2+($D54-AX$7)^2)</f>
        <v>1.04756244886654</v>
      </c>
      <c r="AY54" s="74" t="n">
        <f aca="false">SQRT(($B54-AY$5)^2+($C54-AY$6)^2+($D54-AY$7)^2)</f>
        <v>2.15972787283436</v>
      </c>
      <c r="AZ54" s="74" t="n">
        <f aca="false">SQRT(($B54-AZ$5)^2+($C54-AZ$6)^2+($D54-AZ$7)^2)</f>
        <v>0.118123207587148</v>
      </c>
      <c r="BA54" s="74" t="n">
        <f aca="false">SQRT(($B54-BA$5)^2+($C54-BA$6)^2+($D54-BA$7)^2)</f>
        <v>0.581093671071364</v>
      </c>
      <c r="BB54" s="74" t="n">
        <f aca="false">SQRT(($B54-BB$5)^2+($C54-BB$6)^2+($D54-BB$7)^2)</f>
        <v>2.16008982433514</v>
      </c>
      <c r="BC54" s="74" t="n">
        <f aca="false">SQRT(($B54-BC$5)^2+($C54-BC$6)^2+($D54-BC$7)^2)</f>
        <v>2.16047654477484</v>
      </c>
      <c r="BD54" s="74" t="n">
        <f aca="false">SQRT(($B54-BD$5)^2+($C54-BD$6)^2+($D54-BD$7)^2)</f>
        <v>1.52159159671594</v>
      </c>
      <c r="BE54" s="74" t="n">
        <f aca="false">SQRT(($B54-BE$5)^2+($C54-BE$6)^2+($D54-BE$7)^2)</f>
        <v>1.26553075405877</v>
      </c>
      <c r="BF54" s="74" t="n">
        <f aca="false">SQRT(($B54-BF$5)^2+($C54-BF$6)^2+($D54-BF$7)^2)</f>
        <v>2.07563987474451</v>
      </c>
      <c r="BG54" s="74" t="n">
        <f aca="false">SQRT(($B54-BG$5)^2+($C54-BG$6)^2+($D54-BG$7)^2)</f>
        <v>0.690836065653302</v>
      </c>
      <c r="BH54" s="74" t="n">
        <f aca="false">SQRT(($B54-BH$5)^2+($C54-BH$6)^2+($D54-BH$7)^2)</f>
        <v>2.16907576046628</v>
      </c>
      <c r="BI54" s="74" t="n">
        <f aca="false">SQRT(($B54-BI$5)^2+($C54-BI$6)^2+($D54-BI$7)^2)</f>
        <v>2.17090745488222</v>
      </c>
      <c r="BJ54" s="74" t="n">
        <f aca="false">SQRT(($B54-BJ$5)^2+($C54-BJ$6)^2+($D54-BJ$7)^2)</f>
        <v>1.60799006560915</v>
      </c>
      <c r="BK54" s="74" t="n">
        <f aca="false">SQRT(($B54-BK$5)^2+($C54-BK$6)^2+($D54-BK$7)^2)</f>
        <v>1.44470971630945</v>
      </c>
      <c r="BL54" s="74" t="n">
        <f aca="false">SQRT(($B54-BL$5)^2+($C54-BL$6)^2+($D54-BL$7)^2)</f>
        <v>0.721971207002205</v>
      </c>
      <c r="BM54" s="74" t="n">
        <f aca="false">SQRT(($B54-BM$5)^2+($C54-BM$6)^2+($D54-BM$7)^2)</f>
        <v>1.36812284122349</v>
      </c>
      <c r="BN54" s="74" t="n">
        <f aca="false">SQRT(($B54-BN$5)^2+($C54-BN$6)^2+($D54-BN$7)^2)</f>
        <v>1.32717362270296</v>
      </c>
      <c r="BO54" s="74" t="n">
        <f aca="false">SQRT(($B54-BO$5)^2+($C54-BO$6)^2+($D54-BO$7)^2)</f>
        <v>1.87473775185332</v>
      </c>
      <c r="BP54" s="74" t="n">
        <f aca="false">SQRT(($B54-BP$5)^2+($C54-BP$6)^2+($D54-BP$7)^2)</f>
        <v>1.19293737863602</v>
      </c>
      <c r="BQ54" s="74" t="n">
        <f aca="false">SQRT(($B54-BQ$5)^2+($C54-BQ$6)^2+($D54-BQ$7)^2)</f>
        <v>0.924650928954719</v>
      </c>
      <c r="BR54" s="74" t="n">
        <f aca="false">SQRT(($B54-BR$5)^2+($C54-BR$6)^2+($D54-BR$7)^2)</f>
        <v>0.90398451631721</v>
      </c>
      <c r="BS54" s="74" t="n">
        <f aca="false">SQRT(($B54-BS$5)^2+($C54-BS$6)^2+($D54-BS$7)^2)</f>
        <v>0.641344389504418</v>
      </c>
      <c r="BT54" s="74" t="n">
        <f aca="false">SQRT(($B54-BT$5)^2+($C54-BT$6)^2+($D54-BT$7)^2)</f>
        <v>0.974993624660013</v>
      </c>
      <c r="BU54" s="74" t="n">
        <f aca="false">SQRT(($B54-BU$5)^2+($C54-BU$6)^2+($D54-BU$7)^2)</f>
        <v>1.04682370435858</v>
      </c>
      <c r="BV54" s="74" t="n">
        <f aca="false">SQRT(($B54-BV$5)^2+($C54-BV$6)^2+($D54-BV$7)^2)</f>
        <v>2.23246381874901</v>
      </c>
      <c r="BW54" s="74" t="n">
        <f aca="false">SQRT(($B54-BW$5)^2+($C54-BW$6)^2+($D54-BW$7)^2)</f>
        <v>0.93606862432825</v>
      </c>
      <c r="BX54" s="74" t="n">
        <f aca="false">SQRT(($B54-BX$5)^2+($C54-BX$6)^2+($D54-BX$7)^2)</f>
        <v>2.23665691932665</v>
      </c>
      <c r="BY54" s="74" t="n">
        <f aca="false">SQRT(($B54-BY$5)^2+($C54-BY$6)^2+($D54-BY$7)^2)</f>
        <v>1.34756702136486</v>
      </c>
      <c r="BZ54" s="74" t="n">
        <f aca="false">SQRT(($B54-BZ$5)^2+($C54-BZ$6)^2+($D54-BZ$7)^2)</f>
        <v>1.41061357535396</v>
      </c>
      <c r="CA54" s="74" t="n">
        <f aca="false">SQRT(($B54-CA$5)^2+($C54-CA$6)^2+($D54-CA$7)^2)</f>
        <v>2.25078392732106</v>
      </c>
      <c r="CB54" s="74" t="n">
        <f aca="false">SQRT(($B54-CB$5)^2+($C54-CB$6)^2+($D54-CB$7)^2)</f>
        <v>1.41904839152915</v>
      </c>
      <c r="CC54" s="74" t="n">
        <f aca="false">SQRT(($B54-CC$5)^2+($C54-CC$6)^2+($D54-CC$7)^2)</f>
        <v>2.25607977829141</v>
      </c>
      <c r="CD54" s="74" t="n">
        <f aca="false">SQRT(($B54-CD$5)^2+($C54-CD$6)^2+($D54-CD$7)^2)</f>
        <v>2.26770662859221</v>
      </c>
      <c r="CE54" s="74" t="n">
        <f aca="false">SQRT(($B54-CE$5)^2+($C54-CE$6)^2+($D54-CE$7)^2)</f>
        <v>1.20734310832352</v>
      </c>
      <c r="CF54" s="74" t="n">
        <f aca="false">SQRT(($B54-CF$5)^2+($C54-CF$6)^2+($D54-CF$7)^2)</f>
        <v>1.2477890864705</v>
      </c>
      <c r="CG54" s="74" t="n">
        <f aca="false">SQRT(($B54-CG$5)^2+($C54-CG$6)^2+($D54-CG$7)^2)</f>
        <v>1.69933214504786</v>
      </c>
      <c r="CH54" s="74" t="n">
        <f aca="false">SQRT(($B54-CH$5)^2+($C54-CH$6)^2+($D54-CH$7)^2)</f>
        <v>1.61598375973375</v>
      </c>
      <c r="CI54" s="74" t="n">
        <f aca="false">SQRT(($B54-CI$5)^2+($C54-CI$6)^2+($D54-CI$7)^2)</f>
        <v>1.73046329701641</v>
      </c>
      <c r="CJ54" s="74" t="n">
        <f aca="false">SQRT(($B54-CJ$5)^2+($C54-CJ$6)^2+($D54-CJ$7)^2)</f>
        <v>2.02875094431144</v>
      </c>
      <c r="CK54" s="74" t="n">
        <f aca="false">SQRT(($B54-CK$5)^2+($C54-CK$6)^2+($D54-CK$7)^2)</f>
        <v>1.39409135172424</v>
      </c>
      <c r="CL54" s="74" t="n">
        <f aca="false">SQRT(($B54-CL$5)^2+($C54-CL$6)^2+($D54-CL$7)^2)</f>
        <v>2.35810890451292</v>
      </c>
      <c r="CM54" s="74" t="n">
        <f aca="false">SQRT(($B54-CM$5)^2+($C54-CM$6)^2+($D54-CM$7)^2)</f>
        <v>1.63366476970221</v>
      </c>
      <c r="CN54" s="74" t="n">
        <f aca="false">SQRT(($B54-CN$5)^2+($C54-CN$6)^2+($D54-CN$7)^2)</f>
        <v>1.21232802474851</v>
      </c>
      <c r="CO54" s="74" t="n">
        <f aca="false">SQRT(($B54-CO$5)^2+($C54-CO$6)^2+($D54-CO$7)^2)</f>
        <v>1.6814195381007</v>
      </c>
      <c r="CP54" s="74" t="n">
        <f aca="false">SQRT(($B54-CP$5)^2+($C54-CP$6)^2+($D54-CP$7)^2)</f>
        <v>2.40385357273938</v>
      </c>
      <c r="CQ54" s="74" t="n">
        <f aca="false">SQRT(($B54-CQ$5)^2+($C54-CQ$6)^2+($D54-CQ$7)^2)</f>
        <v>1.79113214713523</v>
      </c>
      <c r="CR54" s="74" t="n">
        <f aca="false">SQRT(($B54-CR$5)^2+($C54-CR$6)^2+($D54-CR$7)^2)</f>
        <v>1.75468156939386</v>
      </c>
      <c r="CS54" s="74" t="n">
        <f aca="false">SQRT(($B54-CS$5)^2+($C54-CS$6)^2+($D54-CS$7)^2)</f>
        <v>2.44350658598406</v>
      </c>
      <c r="CT54" s="74" t="n">
        <f aca="false">SQRT(($B54-CT$5)^2+($C54-CT$6)^2+($D54-CT$7)^2)</f>
        <v>2.46721749746533</v>
      </c>
      <c r="CU54" s="74" t="n">
        <f aca="false">SQRT(($B54-CU$5)^2+($C54-CU$6)^2+($D54-CU$7)^2)</f>
        <v>2.2541657244558</v>
      </c>
      <c r="CV54" s="74" t="n">
        <f aca="false">SQRT(($B54-CV$5)^2+($C54-CV$6)^2+($D54-CV$7)^2)</f>
        <v>1.41153890294085</v>
      </c>
      <c r="CW54" s="74" t="n">
        <f aca="false">SQRT(($B54-CW$5)^2+($C54-CW$6)^2+($D54-CW$7)^2)</f>
        <v>2.46721749746533</v>
      </c>
      <c r="CX54" s="74" t="n">
        <f aca="false">SQRT(($B54-CX$5)^2+($C54-CX$6)^2+($D54-CX$7)^2)</f>
        <v>1.63205829069106</v>
      </c>
      <c r="CY54" s="74" t="n">
        <f aca="false">SQRT(($B54-CY$5)^2+($C54-CY$6)^2+($D54-CY$7)^2)</f>
        <v>2.49431463097018</v>
      </c>
      <c r="CZ54" s="74" t="n">
        <f aca="false">SQRT(($B54-CZ$5)^2+($C54-CZ$6)^2+($D54-CZ$7)^2)</f>
        <v>2.49431463097018</v>
      </c>
      <c r="DA54" s="74" t="n">
        <f aca="false">SQRT(($B54-DA$5)^2+($C54-DA$6)^2+($D54-DA$7)^2)</f>
        <v>1.96557658965578</v>
      </c>
      <c r="DB54" s="74" t="n">
        <f aca="false">SQRT(($B54-DB$5)^2+($C54-DB$6)^2+($D54-DB$7)^2)</f>
        <v>2.52567217725429</v>
      </c>
      <c r="DC54" s="74" t="n">
        <f aca="false">SQRT(($B54-DC$5)^2+($C54-DC$6)^2+($D54-DC$7)^2)</f>
        <v>2.52567217725429</v>
      </c>
      <c r="DD54" s="74" t="n">
        <f aca="false">SQRT(($B54-DD$5)^2+($C54-DD$6)^2+($D54-DD$7)^2)</f>
        <v>2.10769843575474</v>
      </c>
      <c r="DE54" s="74" t="n">
        <f aca="false">SQRT(($B54-DE$5)^2+($C54-DE$6)^2+($D54-DE$7)^2)</f>
        <v>2.34795088478266</v>
      </c>
      <c r="DF54" s="74" t="n">
        <f aca="false">SQRT(($B54-DF$5)^2+($C54-DF$6)^2+($D54-DF$7)^2)</f>
        <v>2.73087187524639</v>
      </c>
      <c r="DG54" s="74" t="n">
        <f aca="false">SQRT(($B54-DG$5)^2+($C54-DG$6)^2+($D54-DG$7)^2)</f>
        <v>2.82520330459637</v>
      </c>
      <c r="DH54" s="74" t="n">
        <f aca="false">SQRT(($B54-DH$5)^2+($C54-DH$6)^2+($D54-DH$7)^2)</f>
        <v>2.82520330459637</v>
      </c>
      <c r="DI54" s="74" t="n">
        <f aca="false">SQRT(($B54-DI$5)^2+($C54-DI$6)^2+($D54-DI$7)^2)</f>
        <v>2.82520330459637</v>
      </c>
      <c r="DJ54" s="74" t="n">
        <f aca="false">SQRT(($B54-DJ$5)^2+($C54-DJ$6)^2+($D54-DJ$7)^2)</f>
        <v>2.82520330459637</v>
      </c>
      <c r="DK54" s="74" t="n">
        <f aca="false">SQRT(($B54-DK$5)^2+($C54-DK$6)^2+($D54-DK$7)^2)</f>
        <v>2.96590649915147</v>
      </c>
      <c r="DL54" s="74" t="n">
        <f aca="false">SQRT(($B54-DL$5)^2+($C54-DL$6)^2+($D54-DL$7)^2)</f>
        <v>2.96590649915147</v>
      </c>
      <c r="DM54" s="74" t="n">
        <f aca="false">SQRT(($B54-DM$5)^2+($C54-DM$6)^2+($D54-DM$7)^2)</f>
        <v>2.96590649915147</v>
      </c>
      <c r="DN54" s="74" t="n">
        <f aca="false">SQRT(($B54-DN$5)^2+($C54-DN$6)^2+($D54-DN$7)^2)</f>
        <v>2.96590649915147</v>
      </c>
      <c r="DO54" s="74" t="n">
        <f aca="false">SQRT(($B54-DO$5)^2+($C54-DO$6)^2+($D54-DO$7)^2)</f>
        <v>2.96590649915147</v>
      </c>
      <c r="DP54" s="74" t="n">
        <f aca="false">SQRT(($B54-DP$5)^2+($C54-DP$6)^2+($D54-DP$7)^2)</f>
        <v>3.22425812165343</v>
      </c>
      <c r="DQ54" s="74" t="n">
        <f aca="false">SQRT(($B54-DQ$5)^2+($C54-DQ$6)^2+($D54-DQ$7)^2)</f>
        <v>3.22425812165343</v>
      </c>
    </row>
    <row r="55" customFormat="false" ht="15" hidden="false" customHeight="false" outlineLevel="0" collapsed="false">
      <c r="A55" s="48" t="str">
        <f aca="false">KMeans_Data!A46</f>
        <v>Nagar</v>
      </c>
      <c r="B55" s="72" t="n">
        <f aca="false">KMeans_Data!H46</f>
        <v>0.273717398386991</v>
      </c>
      <c r="C55" s="72" t="n">
        <f aca="false">KMeans_Data!I46</f>
        <v>-0.146983133929529</v>
      </c>
      <c r="D55" s="72" t="n">
        <f aca="false">KMeans_Data!J46</f>
        <v>0.774246840861612</v>
      </c>
      <c r="E55" s="74" t="n">
        <f aca="false">SQRT(($B55-E$5)^2+($C55-E$6)^2+($D55-E$7)^2)</f>
        <v>5.71555391045852</v>
      </c>
      <c r="F55" s="74" t="n">
        <f aca="false">SQRT(($B55-F$5)^2+($C55-F$6)^2+($D55-F$7)^2)</f>
        <v>5.56919313024589</v>
      </c>
      <c r="G55" s="74" t="n">
        <f aca="false">SQRT(($B55-G$5)^2+($C55-G$6)^2+($D55-G$7)^2)</f>
        <v>3.58950449830653</v>
      </c>
      <c r="H55" s="74" t="n">
        <f aca="false">SQRT(($B55-H$5)^2+($C55-H$6)^2+($D55-H$7)^2)</f>
        <v>4.3353509636674</v>
      </c>
      <c r="I55" s="74" t="n">
        <f aca="false">SQRT(($B55-I$5)^2+($C55-I$6)^2+($D55-I$7)^2)</f>
        <v>3.05730191339331</v>
      </c>
      <c r="J55" s="74" t="n">
        <f aca="false">SQRT(($B55-J$5)^2+($C55-J$6)^2+($D55-J$7)^2)</f>
        <v>2.75511459473948</v>
      </c>
      <c r="K55" s="74" t="n">
        <f aca="false">SQRT(($B55-K$5)^2+($C55-K$6)^2+($D55-K$7)^2)</f>
        <v>1.94582184881155</v>
      </c>
      <c r="L55" s="74" t="n">
        <f aca="false">SQRT(($B55-L$5)^2+($C55-L$6)^2+($D55-L$7)^2)</f>
        <v>1.63797421872258</v>
      </c>
      <c r="M55" s="74" t="n">
        <f aca="false">SQRT(($B55-M$5)^2+($C55-M$6)^2+($D55-M$7)^2)</f>
        <v>1.91472726820461</v>
      </c>
      <c r="N55" s="74" t="n">
        <f aca="false">SQRT(($B55-N$5)^2+($C55-N$6)^2+($D55-N$7)^2)</f>
        <v>1.84842393061552</v>
      </c>
      <c r="O55" s="74" t="n">
        <f aca="false">SQRT(($B55-O$5)^2+($C55-O$6)^2+($D55-O$7)^2)</f>
        <v>1.85261885749764</v>
      </c>
      <c r="P55" s="74" t="n">
        <f aca="false">SQRT(($B55-P$5)^2+($C55-P$6)^2+($D55-P$7)^2)</f>
        <v>2.1333538446303</v>
      </c>
      <c r="Q55" s="74" t="n">
        <f aca="false">SQRT(($B55-Q$5)^2+($C55-Q$6)^2+($D55-Q$7)^2)</f>
        <v>1.40924150638532</v>
      </c>
      <c r="R55" s="74" t="n">
        <f aca="false">SQRT(($B55-R$5)^2+($C55-R$6)^2+($D55-R$7)^2)</f>
        <v>1.15934318016295</v>
      </c>
      <c r="S55" s="74" t="n">
        <f aca="false">SQRT(($B55-S$5)^2+($C55-S$6)^2+($D55-S$7)^2)</f>
        <v>0.832503319683961</v>
      </c>
      <c r="T55" s="74" t="n">
        <f aca="false">SQRT(($B55-T$5)^2+($C55-T$6)^2+($D55-T$7)^2)</f>
        <v>1.35522590603005</v>
      </c>
      <c r="U55" s="74" t="n">
        <f aca="false">SQRT(($B55-U$5)^2+($C55-U$6)^2+($D55-U$7)^2)</f>
        <v>1.13952633778426</v>
      </c>
      <c r="V55" s="74" t="n">
        <f aca="false">SQRT(($B55-V$5)^2+($C55-V$6)^2+($D55-V$7)^2)</f>
        <v>1.64159685566626</v>
      </c>
      <c r="W55" s="74" t="n">
        <f aca="false">SQRT(($B55-W$5)^2+($C55-W$6)^2+($D55-W$7)^2)</f>
        <v>1.64134352132764</v>
      </c>
      <c r="X55" s="74" t="n">
        <f aca="false">SQRT(($B55-X$5)^2+($C55-X$6)^2+($D55-X$7)^2)</f>
        <v>1.1376070412718</v>
      </c>
      <c r="Y55" s="74" t="n">
        <f aca="false">SQRT(($B55-Y$5)^2+($C55-Y$6)^2+($D55-Y$7)^2)</f>
        <v>1.18877211162155</v>
      </c>
      <c r="Z55" s="74" t="n">
        <f aca="false">SQRT(($B55-Z$5)^2+($C55-Z$6)^2+($D55-Z$7)^2)</f>
        <v>1.09040599387788</v>
      </c>
      <c r="AA55" s="74" t="n">
        <f aca="false">SQRT(($B55-AA$5)^2+($C55-AA$6)^2+($D55-AA$7)^2)</f>
        <v>0.623553058837254</v>
      </c>
      <c r="AB55" s="74" t="n">
        <f aca="false">SQRT(($B55-AB$5)^2+($C55-AB$6)^2+($D55-AB$7)^2)</f>
        <v>0.86846304638161</v>
      </c>
      <c r="AC55" s="74" t="n">
        <f aca="false">SQRT(($B55-AC$5)^2+($C55-AC$6)^2+($D55-AC$7)^2)</f>
        <v>1.60478908467145</v>
      </c>
      <c r="AD55" s="74" t="n">
        <f aca="false">SQRT(($B55-AD$5)^2+($C55-AD$6)^2+($D55-AD$7)^2)</f>
        <v>1.15999224392736</v>
      </c>
      <c r="AE55" s="74" t="n">
        <f aca="false">SQRT(($B55-AE$5)^2+($C55-AE$6)^2+($D55-AE$7)^2)</f>
        <v>1.95559001345375</v>
      </c>
      <c r="AF55" s="74" t="n">
        <f aca="false">SQRT(($B55-AF$5)^2+($C55-AF$6)^2+($D55-AF$7)^2)</f>
        <v>0.901102111287289</v>
      </c>
      <c r="AG55" s="74" t="n">
        <f aca="false">SQRT(($B55-AG$5)^2+($C55-AG$6)^2+($D55-AG$7)^2)</f>
        <v>1.32183825879506</v>
      </c>
      <c r="AH55" s="74" t="n">
        <f aca="false">SQRT(($B55-AH$5)^2+($C55-AH$6)^2+($D55-AH$7)^2)</f>
        <v>0.432486827969438</v>
      </c>
      <c r="AI55" s="74" t="n">
        <f aca="false">SQRT(($B55-AI$5)^2+($C55-AI$6)^2+($D55-AI$7)^2)</f>
        <v>1.32111410403776</v>
      </c>
      <c r="AJ55" s="74" t="n">
        <f aca="false">SQRT(($B55-AJ$5)^2+($C55-AJ$6)^2+($D55-AJ$7)^2)</f>
        <v>0.827452811852882</v>
      </c>
      <c r="AK55" s="74" t="n">
        <f aca="false">SQRT(($B55-AK$5)^2+($C55-AK$6)^2+($D55-AK$7)^2)</f>
        <v>0.761917396543051</v>
      </c>
      <c r="AL55" s="74" t="n">
        <f aca="false">SQRT(($B55-AL$5)^2+($C55-AL$6)^2+($D55-AL$7)^2)</f>
        <v>0.306464962637285</v>
      </c>
      <c r="AM55" s="74" t="n">
        <f aca="false">SQRT(($B55-AM$5)^2+($C55-AM$6)^2+($D55-AM$7)^2)</f>
        <v>1.61168230815368</v>
      </c>
      <c r="AN55" s="74" t="n">
        <f aca="false">SQRT(($B55-AN$5)^2+($C55-AN$6)^2+($D55-AN$7)^2)</f>
        <v>1.30644717554048</v>
      </c>
      <c r="AO55" s="74" t="n">
        <f aca="false">SQRT(($B55-AO$5)^2+($C55-AO$6)^2+($D55-AO$7)^2)</f>
        <v>0.597209490381154</v>
      </c>
      <c r="AP55" s="74" t="n">
        <f aca="false">SQRT(($B55-AP$5)^2+($C55-AP$6)^2+($D55-AP$7)^2)</f>
        <v>0.631660836321682</v>
      </c>
      <c r="AQ55" s="74" t="n">
        <f aca="false">SQRT(($B55-AQ$5)^2+($C55-AQ$6)^2+($D55-AQ$7)^2)</f>
        <v>1.43326592248021</v>
      </c>
      <c r="AR55" s="74" t="n">
        <f aca="false">SQRT(($B55-AR$5)^2+($C55-AR$6)^2+($D55-AR$7)^2)</f>
        <v>0.914040547613483</v>
      </c>
      <c r="AS55" s="74" t="n">
        <f aca="false">SQRT(($B55-AS$5)^2+($C55-AS$6)^2+($D55-AS$7)^2)</f>
        <v>0.57813677301048</v>
      </c>
      <c r="AT55" s="74" t="n">
        <f aca="false">SQRT(($B55-AT$5)^2+($C55-AT$6)^2+($D55-AT$7)^2)</f>
        <v>0</v>
      </c>
      <c r="AU55" s="74" t="n">
        <f aca="false">SQRT(($B55-AU$5)^2+($C55-AU$6)^2+($D55-AU$7)^2)</f>
        <v>1.41085038939695</v>
      </c>
      <c r="AV55" s="74" t="n">
        <f aca="false">SQRT(($B55-AV$5)^2+($C55-AV$6)^2+($D55-AV$7)^2)</f>
        <v>0.586405376350961</v>
      </c>
      <c r="AW55" s="74" t="n">
        <f aca="false">SQRT(($B55-AW$5)^2+($C55-AW$6)^2+($D55-AW$7)^2)</f>
        <v>1.68326384428668</v>
      </c>
      <c r="AX55" s="74" t="n">
        <f aca="false">SQRT(($B55-AX$5)^2+($C55-AX$6)^2+($D55-AX$7)^2)</f>
        <v>0.500408368277373</v>
      </c>
      <c r="AY55" s="74" t="n">
        <f aca="false">SQRT(($B55-AY$5)^2+($C55-AY$6)^2+($D55-AY$7)^2)</f>
        <v>1.99188325438343</v>
      </c>
      <c r="AZ55" s="74" t="n">
        <f aca="false">SQRT(($B55-AZ$5)^2+($C55-AZ$6)^2+($D55-AZ$7)^2)</f>
        <v>0.590186781346922</v>
      </c>
      <c r="BA55" s="74" t="n">
        <f aca="false">SQRT(($B55-BA$5)^2+($C55-BA$6)^2+($D55-BA$7)^2)</f>
        <v>0.0821669809581396</v>
      </c>
      <c r="BB55" s="74" t="n">
        <f aca="false">SQRT(($B55-BB$5)^2+($C55-BB$6)^2+($D55-BB$7)^2)</f>
        <v>1.99213308429939</v>
      </c>
      <c r="BC55" s="74" t="n">
        <f aca="false">SQRT(($B55-BC$5)^2+($C55-BC$6)^2+($D55-BC$7)^2)</f>
        <v>1.99240799033708</v>
      </c>
      <c r="BD55" s="74" t="n">
        <f aca="false">SQRT(($B55-BD$5)^2+($C55-BD$6)^2+($D55-BD$7)^2)</f>
        <v>1.38550555057241</v>
      </c>
      <c r="BE55" s="74" t="n">
        <f aca="false">SQRT(($B55-BE$5)^2+($C55-BE$6)^2+($D55-BE$7)^2)</f>
        <v>1.15217204732847</v>
      </c>
      <c r="BF55" s="74" t="n">
        <f aca="false">SQRT(($B55-BF$5)^2+($C55-BF$6)^2+($D55-BF$7)^2)</f>
        <v>1.53466370736404</v>
      </c>
      <c r="BG55" s="74" t="n">
        <f aca="false">SQRT(($B55-BG$5)^2+($C55-BG$6)^2+($D55-BG$7)^2)</f>
        <v>0.232793961447579</v>
      </c>
      <c r="BH55" s="74" t="n">
        <f aca="false">SQRT(($B55-BH$5)^2+($C55-BH$6)^2+($D55-BH$7)^2)</f>
        <v>1.99949586373412</v>
      </c>
      <c r="BI55" s="74" t="n">
        <f aca="false">SQRT(($B55-BI$5)^2+($C55-BI$6)^2+($D55-BI$7)^2)</f>
        <v>2.00112443541219</v>
      </c>
      <c r="BJ55" s="74" t="n">
        <f aca="false">SQRT(($B55-BJ$5)^2+($C55-BJ$6)^2+($D55-BJ$7)^2)</f>
        <v>1.06555800325595</v>
      </c>
      <c r="BK55" s="74" t="n">
        <f aca="false">SQRT(($B55-BK$5)^2+($C55-BK$6)^2+($D55-BK$7)^2)</f>
        <v>1.3139684445252</v>
      </c>
      <c r="BL55" s="74" t="n">
        <f aca="false">SQRT(($B55-BL$5)^2+($C55-BL$6)^2+($D55-BL$7)^2)</f>
        <v>0.722096734970924</v>
      </c>
      <c r="BM55" s="74" t="n">
        <f aca="false">SQRT(($B55-BM$5)^2+($C55-BM$6)^2+($D55-BM$7)^2)</f>
        <v>0.807063294868335</v>
      </c>
      <c r="BN55" s="74" t="n">
        <f aca="false">SQRT(($B55-BN$5)^2+($C55-BN$6)^2+($D55-BN$7)^2)</f>
        <v>0.854457815637467</v>
      </c>
      <c r="BO55" s="74" t="n">
        <f aca="false">SQRT(($B55-BO$5)^2+($C55-BO$6)^2+($D55-BO$7)^2)</f>
        <v>1.71662538286724</v>
      </c>
      <c r="BP55" s="74" t="n">
        <f aca="false">SQRT(($B55-BP$5)^2+($C55-BP$6)^2+($D55-BP$7)^2)</f>
        <v>0.70161045675248</v>
      </c>
      <c r="BQ55" s="74" t="n">
        <f aca="false">SQRT(($B55-BQ$5)^2+($C55-BQ$6)^2+($D55-BQ$7)^2)</f>
        <v>0.549123111906748</v>
      </c>
      <c r="BR55" s="74" t="n">
        <f aca="false">SQRT(($B55-BR$5)^2+($C55-BR$6)^2+($D55-BR$7)^2)</f>
        <v>0.533626621835574</v>
      </c>
      <c r="BS55" s="74" t="n">
        <f aca="false">SQRT(($B55-BS$5)^2+($C55-BS$6)^2+($D55-BS$7)^2)</f>
        <v>0.71216162994939</v>
      </c>
      <c r="BT55" s="74" t="n">
        <f aca="false">SQRT(($B55-BT$5)^2+($C55-BT$6)^2+($D55-BT$7)^2)</f>
        <v>0.922933173080299</v>
      </c>
      <c r="BU55" s="74" t="n">
        <f aca="false">SQRT(($B55-BU$5)^2+($C55-BU$6)^2+($D55-BU$7)^2)</f>
        <v>0.978281748113211</v>
      </c>
      <c r="BV55" s="74" t="n">
        <f aca="false">SQRT(($B55-BV$5)^2+($C55-BV$6)^2+($D55-BV$7)^2)</f>
        <v>2.06084118443787</v>
      </c>
      <c r="BW55" s="74" t="n">
        <f aca="false">SQRT(($B55-BW$5)^2+($C55-BW$6)^2+($D55-BW$7)^2)</f>
        <v>0.903393589234008</v>
      </c>
      <c r="BX55" s="74" t="n">
        <f aca="false">SQRT(($B55-BX$5)^2+($C55-BX$6)^2+($D55-BX$7)^2)</f>
        <v>2.06504619106354</v>
      </c>
      <c r="BY55" s="74" t="n">
        <f aca="false">SQRT(($B55-BY$5)^2+($C55-BY$6)^2+($D55-BY$7)^2)</f>
        <v>1.23733243685506</v>
      </c>
      <c r="BZ55" s="74" t="n">
        <f aca="false">SQRT(($B55-BZ$5)^2+($C55-BZ$6)^2+($D55-BZ$7)^2)</f>
        <v>1.29385459017072</v>
      </c>
      <c r="CA55" s="74" t="n">
        <f aca="false">SQRT(($B55-CA$5)^2+($C55-CA$6)^2+($D55-CA$7)^2)</f>
        <v>2.07926980447867</v>
      </c>
      <c r="CB55" s="74" t="n">
        <f aca="false">SQRT(($B55-CB$5)^2+($C55-CB$6)^2+($D55-CB$7)^2)</f>
        <v>1.30243700509778</v>
      </c>
      <c r="CC55" s="74" t="n">
        <f aca="false">SQRT(($B55-CC$5)^2+($C55-CC$6)^2+($D55-CC$7)^2)</f>
        <v>2.08462115780278</v>
      </c>
      <c r="CD55" s="74" t="n">
        <f aca="false">SQRT(($B55-CD$5)^2+($C55-CD$6)^2+($D55-CD$7)^2)</f>
        <v>2.09640048203419</v>
      </c>
      <c r="CE55" s="74" t="n">
        <f aca="false">SQRT(($B55-CE$5)^2+($C55-CE$6)^2+($D55-CE$7)^2)</f>
        <v>1.12738931791066</v>
      </c>
      <c r="CF55" s="74" t="n">
        <f aca="false">SQRT(($B55-CF$5)^2+($C55-CF$6)^2+($D55-CF$7)^2)</f>
        <v>0.92908903475922</v>
      </c>
      <c r="CG55" s="74" t="n">
        <f aca="false">SQRT(($B55-CG$5)^2+($C55-CG$6)^2+($D55-CG$7)^2)</f>
        <v>1.39032779412672</v>
      </c>
      <c r="CH55" s="74" t="n">
        <f aca="false">SQRT(($B55-CH$5)^2+($C55-CH$6)^2+($D55-CH$7)^2)</f>
        <v>1.48638406967749</v>
      </c>
      <c r="CI55" s="74" t="n">
        <f aca="false">SQRT(($B55-CI$5)^2+($C55-CI$6)^2+($D55-CI$7)^2)</f>
        <v>1.59347997606454</v>
      </c>
      <c r="CJ55" s="74" t="n">
        <f aca="false">SQRT(($B55-CJ$5)^2+($C55-CJ$6)^2+($D55-CJ$7)^2)</f>
        <v>1.87246511557627</v>
      </c>
      <c r="CK55" s="74" t="n">
        <f aca="false">SQRT(($B55-CK$5)^2+($C55-CK$6)^2+($D55-CK$7)^2)</f>
        <v>1.30489446562727</v>
      </c>
      <c r="CL55" s="74" t="n">
        <f aca="false">SQRT(($B55-CL$5)^2+($C55-CL$6)^2+($D55-CL$7)^2)</f>
        <v>2.18886882750068</v>
      </c>
      <c r="CM55" s="74" t="n">
        <f aca="false">SQRT(($B55-CM$5)^2+($C55-CM$6)^2+($D55-CM$7)^2)</f>
        <v>1.51406951641416</v>
      </c>
      <c r="CN55" s="74" t="n">
        <f aca="false">SQRT(($B55-CN$5)^2+($C55-CN$6)^2+($D55-CN$7)^2)</f>
        <v>0.990682765756894</v>
      </c>
      <c r="CO55" s="74" t="n">
        <f aca="false">SQRT(($B55-CO$5)^2+($C55-CO$6)^2+($D55-CO$7)^2)</f>
        <v>1.39706726680185</v>
      </c>
      <c r="CP55" s="74" t="n">
        <f aca="false">SQRT(($B55-CP$5)^2+($C55-CP$6)^2+($D55-CP$7)^2)</f>
        <v>2.23597879437413</v>
      </c>
      <c r="CQ55" s="74" t="n">
        <f aca="false">SQRT(($B55-CQ$5)^2+($C55-CQ$6)^2+($D55-CQ$7)^2)</f>
        <v>1.66694531459431</v>
      </c>
      <c r="CR55" s="74" t="n">
        <f aca="false">SQRT(($B55-CR$5)^2+($C55-CR$6)^2+($D55-CR$7)^2)</f>
        <v>1.63875770204295</v>
      </c>
      <c r="CS55" s="74" t="n">
        <f aca="false">SQRT(($B55-CS$5)^2+($C55-CS$6)^2+($D55-CS$7)^2)</f>
        <v>2.27689855932904</v>
      </c>
      <c r="CT55" s="74" t="n">
        <f aca="false">SQRT(($B55-CT$5)^2+($C55-CT$6)^2+($D55-CT$7)^2)</f>
        <v>2.30139071437574</v>
      </c>
      <c r="CU55" s="74" t="n">
        <f aca="false">SQRT(($B55-CU$5)^2+($C55-CU$6)^2+($D55-CU$7)^2)</f>
        <v>1.97228561711585</v>
      </c>
      <c r="CV55" s="74" t="n">
        <f aca="false">SQRT(($B55-CV$5)^2+($C55-CV$6)^2+($D55-CV$7)^2)</f>
        <v>1.36732858148557</v>
      </c>
      <c r="CW55" s="74" t="n">
        <f aca="false">SQRT(($B55-CW$5)^2+($C55-CW$6)^2+($D55-CW$7)^2)</f>
        <v>2.30139071437574</v>
      </c>
      <c r="CX55" s="74" t="n">
        <f aca="false">SQRT(($B55-CX$5)^2+($C55-CX$6)^2+($D55-CX$7)^2)</f>
        <v>1.54730177037952</v>
      </c>
      <c r="CY55" s="74" t="n">
        <f aca="false">SQRT(($B55-CY$5)^2+($C55-CY$6)^2+($D55-CY$7)^2)</f>
        <v>2.32939539971414</v>
      </c>
      <c r="CZ55" s="74" t="n">
        <f aca="false">SQRT(($B55-CZ$5)^2+($C55-CZ$6)^2+($D55-CZ$7)^2)</f>
        <v>2.32939539971414</v>
      </c>
      <c r="DA55" s="74" t="n">
        <f aca="false">SQRT(($B55-DA$5)^2+($C55-DA$6)^2+($D55-DA$7)^2)</f>
        <v>1.83632635801183</v>
      </c>
      <c r="DB55" s="74" t="n">
        <f aca="false">SQRT(($B55-DB$5)^2+($C55-DB$6)^2+($D55-DB$7)^2)</f>
        <v>2.3618163830883</v>
      </c>
      <c r="DC55" s="74" t="n">
        <f aca="false">SQRT(($B55-DC$5)^2+($C55-DC$6)^2+($D55-DC$7)^2)</f>
        <v>2.3618163830883</v>
      </c>
      <c r="DD55" s="74" t="n">
        <f aca="false">SQRT(($B55-DD$5)^2+($C55-DD$6)^2+($D55-DD$7)^2)</f>
        <v>1.97042211268648</v>
      </c>
      <c r="DE55" s="74" t="n">
        <f aca="false">SQRT(($B55-DE$5)^2+($C55-DE$6)^2+($D55-DE$7)^2)</f>
        <v>2.2025206129006</v>
      </c>
      <c r="DF55" s="74" t="n">
        <f aca="false">SQRT(($B55-DF$5)^2+($C55-DF$6)^2+($D55-DF$7)^2)</f>
        <v>2.57400571512309</v>
      </c>
      <c r="DG55" s="74" t="n">
        <f aca="false">SQRT(($B55-DG$5)^2+($C55-DG$6)^2+($D55-DG$7)^2)</f>
        <v>2.67144569297507</v>
      </c>
      <c r="DH55" s="74" t="n">
        <f aca="false">SQRT(($B55-DH$5)^2+($C55-DH$6)^2+($D55-DH$7)^2)</f>
        <v>2.67144569297507</v>
      </c>
      <c r="DI55" s="74" t="n">
        <f aca="false">SQRT(($B55-DI$5)^2+($C55-DI$6)^2+($D55-DI$7)^2)</f>
        <v>2.67144569297507</v>
      </c>
      <c r="DJ55" s="74" t="n">
        <f aca="false">SQRT(($B55-DJ$5)^2+($C55-DJ$6)^2+($D55-DJ$7)^2)</f>
        <v>2.67144569297507</v>
      </c>
      <c r="DK55" s="74" t="n">
        <f aca="false">SQRT(($B55-DK$5)^2+($C55-DK$6)^2+($D55-DK$7)^2)</f>
        <v>2.8165818159944</v>
      </c>
      <c r="DL55" s="74" t="n">
        <f aca="false">SQRT(($B55-DL$5)^2+($C55-DL$6)^2+($D55-DL$7)^2)</f>
        <v>2.8165818159944</v>
      </c>
      <c r="DM55" s="74" t="n">
        <f aca="false">SQRT(($B55-DM$5)^2+($C55-DM$6)^2+($D55-DM$7)^2)</f>
        <v>2.8165818159944</v>
      </c>
      <c r="DN55" s="74" t="n">
        <f aca="false">SQRT(($B55-DN$5)^2+($C55-DN$6)^2+($D55-DN$7)^2)</f>
        <v>2.8165818159944</v>
      </c>
      <c r="DO55" s="74" t="n">
        <f aca="false">SQRT(($B55-DO$5)^2+($C55-DO$6)^2+($D55-DO$7)^2)</f>
        <v>2.8165818159944</v>
      </c>
      <c r="DP55" s="74" t="n">
        <f aca="false">SQRT(($B55-DP$5)^2+($C55-DP$6)^2+($D55-DP$7)^2)</f>
        <v>3.0823789094685</v>
      </c>
      <c r="DQ55" s="74" t="n">
        <f aca="false">SQRT(($B55-DQ$5)^2+($C55-DQ$6)^2+($D55-DQ$7)^2)</f>
        <v>3.0823789094685</v>
      </c>
    </row>
    <row r="56" customFormat="false" ht="15" hidden="false" customHeight="false" outlineLevel="0" collapsed="false">
      <c r="A56" s="48" t="str">
        <f aca="false">KMeans_Data!A47</f>
        <v>Rahim Yar Khan</v>
      </c>
      <c r="B56" s="72" t="n">
        <f aca="false">KMeans_Data!H47</f>
        <v>0.262278036420678</v>
      </c>
      <c r="C56" s="72" t="n">
        <f aca="false">KMeans_Data!I47</f>
        <v>-0.146983133929529</v>
      </c>
      <c r="D56" s="72" t="n">
        <f aca="false">KMeans_Data!J47</f>
        <v>-0.636557171841548</v>
      </c>
      <c r="E56" s="74" t="n">
        <f aca="false">SQRT(($B56-E$5)^2+($C56-E$6)^2+($D56-E$7)^2)</f>
        <v>6.45909936721902</v>
      </c>
      <c r="F56" s="74" t="n">
        <f aca="false">SQRT(($B56-F$5)^2+($C56-F$6)^2+($D56-F$7)^2)</f>
        <v>6.20106793727294</v>
      </c>
      <c r="G56" s="74" t="n">
        <f aca="false">SQRT(($B56-G$5)^2+($C56-G$6)^2+($D56-G$7)^2)</f>
        <v>4.40818703542716</v>
      </c>
      <c r="H56" s="74" t="n">
        <f aca="false">SQRT(($B56-H$5)^2+($C56-H$6)^2+($D56-H$7)^2)</f>
        <v>4.82449558406004</v>
      </c>
      <c r="I56" s="74" t="n">
        <f aca="false">SQRT(($B56-I$5)^2+($C56-I$6)^2+($D56-I$7)^2)</f>
        <v>3.73942352039505</v>
      </c>
      <c r="J56" s="74" t="n">
        <f aca="false">SQRT(($B56-J$5)^2+($C56-J$6)^2+($D56-J$7)^2)</f>
        <v>3.39076066619765</v>
      </c>
      <c r="K56" s="74" t="n">
        <f aca="false">SQRT(($B56-K$5)^2+($C56-K$6)^2+($D56-K$7)^2)</f>
        <v>1.13587859609232</v>
      </c>
      <c r="L56" s="74" t="n">
        <f aca="false">SQRT(($B56-L$5)^2+($C56-L$6)^2+($D56-L$7)^2)</f>
        <v>2.71600681287557</v>
      </c>
      <c r="M56" s="74" t="n">
        <f aca="false">SQRT(($B56-M$5)^2+($C56-M$6)^2+($D56-M$7)^2)</f>
        <v>2.87726765437943</v>
      </c>
      <c r="N56" s="74" t="n">
        <f aca="false">SQRT(($B56-N$5)^2+($C56-N$6)^2+($D56-N$7)^2)</f>
        <v>0.957868789973826</v>
      </c>
      <c r="O56" s="74" t="n">
        <f aca="false">SQRT(($B56-O$5)^2+($C56-O$6)^2+($D56-O$7)^2)</f>
        <v>2.45899454158476</v>
      </c>
      <c r="P56" s="74" t="n">
        <f aca="false">SQRT(($B56-P$5)^2+($C56-P$6)^2+($D56-P$7)^2)</f>
        <v>2.76930811678728</v>
      </c>
      <c r="Q56" s="74" t="n">
        <f aca="false">SQRT(($B56-Q$5)^2+($C56-Q$6)^2+($D56-Q$7)^2)</f>
        <v>2.20412424405571</v>
      </c>
      <c r="R56" s="74" t="n">
        <f aca="false">SQRT(($B56-R$5)^2+($C56-R$6)^2+($D56-R$7)^2)</f>
        <v>2.30571691728434</v>
      </c>
      <c r="S56" s="74" t="n">
        <f aca="false">SQRT(($B56-S$5)^2+($C56-S$6)^2+($D56-S$7)^2)</f>
        <v>1.95146206381483</v>
      </c>
      <c r="T56" s="74" t="n">
        <f aca="false">SQRT(($B56-T$5)^2+($C56-T$6)^2+($D56-T$7)^2)</f>
        <v>2.11496746056128</v>
      </c>
      <c r="U56" s="74" t="n">
        <f aca="false">SQRT(($B56-U$5)^2+($C56-U$6)^2+($D56-U$7)^2)</f>
        <v>2.36335908174451</v>
      </c>
      <c r="V56" s="74" t="n">
        <f aca="false">SQRT(($B56-V$5)^2+($C56-V$6)^2+($D56-V$7)^2)</f>
        <v>2.06365025029136</v>
      </c>
      <c r="W56" s="74" t="n">
        <f aca="false">SQRT(($B56-W$5)^2+($C56-W$6)^2+($D56-W$7)^2)</f>
        <v>2.26924305309056</v>
      </c>
      <c r="X56" s="74" t="n">
        <f aca="false">SQRT(($B56-X$5)^2+($C56-X$6)^2+($D56-X$7)^2)</f>
        <v>2.0095298620028</v>
      </c>
      <c r="Y56" s="74" t="n">
        <f aca="false">SQRT(($B56-Y$5)^2+($C56-Y$6)^2+($D56-Y$7)^2)</f>
        <v>2.19311390198309</v>
      </c>
      <c r="Z56" s="74" t="n">
        <f aca="false">SQRT(($B56-Z$5)^2+($C56-Z$6)^2+($D56-Z$7)^2)</f>
        <v>1.65869099110297</v>
      </c>
      <c r="AA56" s="74" t="n">
        <f aca="false">SQRT(($B56-AA$5)^2+($C56-AA$6)^2+($D56-AA$7)^2)</f>
        <v>1.7071006806131</v>
      </c>
      <c r="AB56" s="74" t="n">
        <f aca="false">SQRT(($B56-AB$5)^2+($C56-AB$6)^2+($D56-AB$7)^2)</f>
        <v>1.56659177709329</v>
      </c>
      <c r="AC56" s="74" t="n">
        <f aca="false">SQRT(($B56-AC$5)^2+($C56-AC$6)^2+($D56-AC$7)^2)</f>
        <v>2.10859051259651</v>
      </c>
      <c r="AD56" s="74" t="n">
        <f aca="false">SQRT(($B56-AD$5)^2+($C56-AD$6)^2+($D56-AD$7)^2)</f>
        <v>2.18370221460196</v>
      </c>
      <c r="AE56" s="74" t="n">
        <f aca="false">SQRT(($B56-AE$5)^2+($C56-AE$6)^2+($D56-AE$7)^2)</f>
        <v>0.637307822108715</v>
      </c>
      <c r="AF56" s="74" t="n">
        <f aca="false">SQRT(($B56-AF$5)^2+($C56-AF$6)^2+($D56-AF$7)^2)</f>
        <v>1.75762718358382</v>
      </c>
      <c r="AG56" s="74" t="n">
        <f aca="false">SQRT(($B56-AG$5)^2+($C56-AG$6)^2+($D56-AG$7)^2)</f>
        <v>0.657178494111924</v>
      </c>
      <c r="AH56" s="74" t="n">
        <f aca="false">SQRT(($B56-AH$5)^2+($C56-AH$6)^2+($D56-AH$7)^2)</f>
        <v>1.48495479111117</v>
      </c>
      <c r="AI56" s="74" t="n">
        <f aca="false">SQRT(($B56-AI$5)^2+($C56-AI$6)^2+($D56-AI$7)^2)</f>
        <v>0.655665523877156</v>
      </c>
      <c r="AJ56" s="74" t="n">
        <f aca="false">SQRT(($B56-AJ$5)^2+($C56-AJ$6)^2+($D56-AJ$7)^2)</f>
        <v>1.90764036888207</v>
      </c>
      <c r="AK56" s="74" t="n">
        <f aca="false">SQRT(($B56-AK$5)^2+($C56-AK$6)^2+($D56-AK$7)^2)</f>
        <v>1.0960376626031</v>
      </c>
      <c r="AL56" s="74" t="n">
        <f aca="false">SQRT(($B56-AL$5)^2+($C56-AL$6)^2+($D56-AL$7)^2)</f>
        <v>1.209215591853</v>
      </c>
      <c r="AM56" s="74" t="n">
        <f aca="false">SQRT(($B56-AM$5)^2+($C56-AM$6)^2+($D56-AM$7)^2)</f>
        <v>1.80979261535968</v>
      </c>
      <c r="AN56" s="74" t="n">
        <f aca="false">SQRT(($B56-AN$5)^2+($C56-AN$6)^2+($D56-AN$7)^2)</f>
        <v>1.88345901886543</v>
      </c>
      <c r="AO56" s="74" t="n">
        <f aca="false">SQRT(($B56-AO$5)^2+($C56-AO$6)^2+($D56-AO$7)^2)</f>
        <v>1.29992286699192</v>
      </c>
      <c r="AP56" s="74" t="n">
        <f aca="false">SQRT(($B56-AP$5)^2+($C56-AP$6)^2+($D56-AP$7)^2)</f>
        <v>1.22773961093829</v>
      </c>
      <c r="AQ56" s="74" t="n">
        <f aca="false">SQRT(($B56-AQ$5)^2+($C56-AQ$6)^2+($D56-AQ$7)^2)</f>
        <v>1.90699027325418</v>
      </c>
      <c r="AR56" s="74" t="n">
        <f aca="false">SQRT(($B56-AR$5)^2+($C56-AR$6)^2+($D56-AR$7)^2)</f>
        <v>0.649687322004227</v>
      </c>
      <c r="AS56" s="74" t="n">
        <f aca="false">SQRT(($B56-AS$5)^2+($C56-AS$6)^2+($D56-AS$7)^2)</f>
        <v>1.73021448575683</v>
      </c>
      <c r="AT56" s="74" t="n">
        <f aca="false">SQRT(($B56-AT$5)^2+($C56-AT$6)^2+($D56-AT$7)^2)</f>
        <v>1.41085038939695</v>
      </c>
      <c r="AU56" s="74" t="n">
        <f aca="false">SQRT(($B56-AU$5)^2+($C56-AU$6)^2+($D56-AU$7)^2)</f>
        <v>0</v>
      </c>
      <c r="AV56" s="74" t="n">
        <f aca="false">SQRT(($B56-AV$5)^2+($C56-AV$6)^2+($D56-AV$7)^2)</f>
        <v>1.26580941694476</v>
      </c>
      <c r="AW56" s="74" t="n">
        <f aca="false">SQRT(($B56-AW$5)^2+($C56-AW$6)^2+($D56-AW$7)^2)</f>
        <v>0.558738155216584</v>
      </c>
      <c r="AX56" s="74" t="n">
        <f aca="false">SQRT(($B56-AX$5)^2+($C56-AX$6)^2+($D56-AX$7)^2)</f>
        <v>1.0640097299991</v>
      </c>
      <c r="AY56" s="74" t="n">
        <f aca="false">SQRT(($B56-AY$5)^2+($C56-AY$6)^2+($D56-AY$7)^2)</f>
        <v>0.734338985595546</v>
      </c>
      <c r="AZ56" s="74" t="n">
        <f aca="false">SQRT(($B56-AZ$5)^2+($C56-AZ$6)^2+($D56-AZ$7)^2)</f>
        <v>1.75096790961021</v>
      </c>
      <c r="BA56" s="74" t="n">
        <f aca="false">SQRT(($B56-BA$5)^2+($C56-BA$6)^2+($D56-BA$7)^2)</f>
        <v>1.43396704192065</v>
      </c>
      <c r="BB56" s="74" t="n">
        <f aca="false">SQRT(($B56-BB$5)^2+($C56-BB$6)^2+($D56-BB$7)^2)</f>
        <v>0.734914476653822</v>
      </c>
      <c r="BC56" s="74" t="n">
        <f aca="false">SQRT(($B56-BC$5)^2+($C56-BC$6)^2+($D56-BC$7)^2)</f>
        <v>0.735556231722833</v>
      </c>
      <c r="BD56" s="74" t="n">
        <f aca="false">SQRT(($B56-BD$5)^2+($C56-BD$6)^2+($D56-BD$7)^2)</f>
        <v>0.55054722641252</v>
      </c>
      <c r="BE56" s="74" t="n">
        <f aca="false">SQRT(($B56-BE$5)^2+($C56-BE$6)^2+($D56-BE$7)^2)</f>
        <v>0.66509926769407</v>
      </c>
      <c r="BF56" s="74" t="n">
        <f aca="false">SQRT(($B56-BF$5)^2+($C56-BF$6)^2+($D56-BF$7)^2)</f>
        <v>2.08385153590445</v>
      </c>
      <c r="BG56" s="74" t="n">
        <f aca="false">SQRT(($B56-BG$5)^2+($C56-BG$6)^2+($D56-BG$7)^2)</f>
        <v>1.26522603900115</v>
      </c>
      <c r="BH56" s="74" t="n">
        <f aca="false">SQRT(($B56-BH$5)^2+($C56-BH$6)^2+($D56-BH$7)^2)</f>
        <v>0.752981694041576</v>
      </c>
      <c r="BI56" s="74" t="n">
        <f aca="false">SQRT(($B56-BI$5)^2+($C56-BI$6)^2+($D56-BI$7)^2)</f>
        <v>0.75704601895989</v>
      </c>
      <c r="BJ56" s="74" t="n">
        <f aca="false">SQRT(($B56-BJ$5)^2+($C56-BJ$6)^2+($D56-BJ$7)^2)</f>
        <v>0.975738886953504</v>
      </c>
      <c r="BK56" s="74" t="n">
        <f aca="false">SQRT(($B56-BK$5)^2+($C56-BK$6)^2+($D56-BK$7)^2)</f>
        <v>0.63091863938292</v>
      </c>
      <c r="BL56" s="74" t="n">
        <f aca="false">SQRT(($B56-BL$5)^2+($C56-BL$6)^2+($D56-BL$7)^2)</f>
        <v>1.16119936909473</v>
      </c>
      <c r="BM56" s="74" t="n">
        <f aca="false">SQRT(($B56-BM$5)^2+($C56-BM$6)^2+($D56-BM$7)^2)</f>
        <v>1.36612203482361</v>
      </c>
      <c r="BN56" s="74" t="n">
        <f aca="false">SQRT(($B56-BN$5)^2+($C56-BN$6)^2+($D56-BN$7)^2)</f>
        <v>0.806130803712429</v>
      </c>
      <c r="BO56" s="74" t="n">
        <f aca="false">SQRT(($B56-BO$5)^2+($C56-BO$6)^2+($D56-BO$7)^2)</f>
        <v>0.647047089951422</v>
      </c>
      <c r="BP56" s="74" t="n">
        <f aca="false">SQRT(($B56-BP$5)^2+($C56-BP$6)^2+($D56-BP$7)^2)</f>
        <v>1.01872309605143</v>
      </c>
      <c r="BQ56" s="74" t="n">
        <f aca="false">SQRT(($B56-BQ$5)^2+($C56-BQ$6)^2+($D56-BQ$7)^2)</f>
        <v>1.08416032289642</v>
      </c>
      <c r="BR56" s="74" t="n">
        <f aca="false">SQRT(($B56-BR$5)^2+($C56-BR$6)^2+($D56-BR$7)^2)</f>
        <v>1.138345511638</v>
      </c>
      <c r="BS56" s="74" t="n">
        <f aca="false">SQRT(($B56-BS$5)^2+($C56-BS$6)^2+($D56-BS$7)^2)</f>
        <v>1.40998976588957</v>
      </c>
      <c r="BT56" s="74" t="n">
        <f aca="false">SQRT(($B56-BT$5)^2+($C56-BT$6)^2+($D56-BT$7)^2)</f>
        <v>1.09230712759992</v>
      </c>
      <c r="BU56" s="74" t="n">
        <f aca="false">SQRT(($B56-BU$5)^2+($C56-BU$6)^2+($D56-BU$7)^2)</f>
        <v>1.02955213302142</v>
      </c>
      <c r="BV56" s="74" t="n">
        <f aca="false">SQRT(($B56-BV$5)^2+($C56-BV$6)^2+($D56-BV$7)^2)</f>
        <v>0.898986511394858</v>
      </c>
      <c r="BW56" s="74" t="n">
        <f aca="false">SQRT(($B56-BW$5)^2+($C56-BW$6)^2+($D56-BW$7)^2)</f>
        <v>1.19097653705173</v>
      </c>
      <c r="BX56" s="74" t="n">
        <f aca="false">SQRT(($B56-BX$5)^2+($C56-BX$6)^2+($D56-BX$7)^2)</f>
        <v>0.908383020566315</v>
      </c>
      <c r="BY56" s="74" t="n">
        <f aca="false">SQRT(($B56-BY$5)^2+($C56-BY$6)^2+($D56-BY$7)^2)</f>
        <v>0.899918001389057</v>
      </c>
      <c r="BZ56" s="74" t="n">
        <f aca="false">SQRT(($B56-BZ$5)^2+($C56-BZ$6)^2+($D56-BZ$7)^2)</f>
        <v>0.881999752714133</v>
      </c>
      <c r="CA56" s="74" t="n">
        <f aca="false">SQRT(($B56-CA$5)^2+($C56-CA$6)^2+($D56-CA$7)^2)</f>
        <v>0.939646032710342</v>
      </c>
      <c r="CB56" s="74" t="n">
        <f aca="false">SQRT(($B56-CB$5)^2+($C56-CB$6)^2+($D56-CB$7)^2)</f>
        <v>0.894308760427509</v>
      </c>
      <c r="CC56" s="74" t="n">
        <f aca="false">SQRT(($B56-CC$5)^2+($C56-CC$6)^2+($D56-CC$7)^2)</f>
        <v>0.951209368108768</v>
      </c>
      <c r="CD56" s="74" t="n">
        <f aca="false">SQRT(($B56-CD$5)^2+($C56-CD$6)^2+($D56-CD$7)^2)</f>
        <v>0.976302420740829</v>
      </c>
      <c r="CE56" s="74" t="n">
        <f aca="false">SQRT(($B56-CE$5)^2+($C56-CE$6)^2+($D56-CE$7)^2)</f>
        <v>1.08742889720866</v>
      </c>
      <c r="CF56" s="74" t="n">
        <f aca="false">SQRT(($B56-CF$5)^2+($C56-CF$6)^2+($D56-CF$7)^2)</f>
        <v>1.02283497878273</v>
      </c>
      <c r="CG56" s="74" t="n">
        <f aca="false">SQRT(($B56-CG$5)^2+($C56-CG$6)^2+($D56-CG$7)^2)</f>
        <v>0.770484085227511</v>
      </c>
      <c r="CH56" s="74" t="n">
        <f aca="false">SQRT(($B56-CH$5)^2+($C56-CH$6)^2+($D56-CH$7)^2)</f>
        <v>0.932722870448995</v>
      </c>
      <c r="CI56" s="74" t="n">
        <f aca="false">SQRT(($B56-CI$5)^2+($C56-CI$6)^2+($D56-CI$7)^2)</f>
        <v>0.952321370843721</v>
      </c>
      <c r="CJ56" s="74" t="n">
        <f aca="false">SQRT(($B56-CJ$5)^2+($C56-CJ$6)^2+($D56-CJ$7)^2)</f>
        <v>0.983339842437084</v>
      </c>
      <c r="CK56" s="74" t="n">
        <f aca="false">SQRT(($B56-CK$5)^2+($C56-CK$6)^2+($D56-CK$7)^2)</f>
        <v>1.17950314996622</v>
      </c>
      <c r="CL56" s="74" t="n">
        <f aca="false">SQRT(($B56-CL$5)^2+($C56-CL$6)^2+($D56-CL$7)^2)</f>
        <v>1.15915352873836</v>
      </c>
      <c r="CM56" s="74" t="n">
        <f aca="false">SQRT(($B56-CM$5)^2+($C56-CM$6)^2+($D56-CM$7)^2)</f>
        <v>1.08978695434351</v>
      </c>
      <c r="CN56" s="74" t="n">
        <f aca="false">SQRT(($B56-CN$5)^2+($C56-CN$6)^2+($D56-CN$7)^2)</f>
        <v>1.59321366928069</v>
      </c>
      <c r="CO56" s="74" t="n">
        <f aca="false">SQRT(($B56-CO$5)^2+($C56-CO$6)^2+($D56-CO$7)^2)</f>
        <v>1.10485293853612</v>
      </c>
      <c r="CP56" s="74" t="n">
        <f aca="false">SQRT(($B56-CP$5)^2+($C56-CP$6)^2+($D56-CP$7)^2)</f>
        <v>1.24483686598577</v>
      </c>
      <c r="CQ56" s="74" t="n">
        <f aca="false">SQRT(($B56-CQ$5)^2+($C56-CQ$6)^2+($D56-CQ$7)^2)</f>
        <v>1.19671356437586</v>
      </c>
      <c r="CR56" s="74" t="n">
        <f aca="false">SQRT(($B56-CR$5)^2+($C56-CR$6)^2+($D56-CR$7)^2)</f>
        <v>1.25550554675953</v>
      </c>
      <c r="CS56" s="74" t="n">
        <f aca="false">SQRT(($B56-CS$5)^2+($C56-CS$6)^2+($D56-CS$7)^2)</f>
        <v>1.31616696329655</v>
      </c>
      <c r="CT56" s="74" t="n">
        <f aca="false">SQRT(($B56-CT$5)^2+($C56-CT$6)^2+($D56-CT$7)^2)</f>
        <v>1.35767916753299</v>
      </c>
      <c r="CU56" s="74" t="n">
        <f aca="false">SQRT(($B56-CU$5)^2+($C56-CU$6)^2+($D56-CU$7)^2)</f>
        <v>1.15892156557391</v>
      </c>
      <c r="CV56" s="74" t="n">
        <f aca="false">SQRT(($B56-CV$5)^2+($C56-CV$6)^2+($D56-CV$7)^2)</f>
        <v>1.54829482851432</v>
      </c>
      <c r="CW56" s="74" t="n">
        <f aca="false">SQRT(($B56-CW$5)^2+($C56-CW$6)^2+($D56-CW$7)^2)</f>
        <v>1.35767916753299</v>
      </c>
      <c r="CX56" s="74" t="n">
        <f aca="false">SQRT(($B56-CX$5)^2+($C56-CX$6)^2+($D56-CX$7)^2)</f>
        <v>1.4405025949281</v>
      </c>
      <c r="CY56" s="74" t="n">
        <f aca="false">SQRT(($B56-CY$5)^2+($C56-CY$6)^2+($D56-CY$7)^2)</f>
        <v>1.40418012719343</v>
      </c>
      <c r="CZ56" s="74" t="n">
        <f aca="false">SQRT(($B56-CZ$5)^2+($C56-CZ$6)^2+($D56-CZ$7)^2)</f>
        <v>1.40418012719343</v>
      </c>
      <c r="DA56" s="74" t="n">
        <f aca="false">SQRT(($B56-DA$5)^2+($C56-DA$6)^2+($D56-DA$7)^2)</f>
        <v>1.31541767906194</v>
      </c>
      <c r="DB56" s="74" t="n">
        <f aca="false">SQRT(($B56-DB$5)^2+($C56-DB$6)^2+($D56-DB$7)^2)</f>
        <v>1.45685037150764</v>
      </c>
      <c r="DC56" s="74" t="n">
        <f aca="false">SQRT(($B56-DC$5)^2+($C56-DC$6)^2+($D56-DC$7)^2)</f>
        <v>1.45685037150764</v>
      </c>
      <c r="DD56" s="74" t="n">
        <f aca="false">SQRT(($B56-DD$5)^2+($C56-DD$6)^2+($D56-DD$7)^2)</f>
        <v>1.36500677211131</v>
      </c>
      <c r="DE56" s="74" t="n">
        <f aca="false">SQRT(($B56-DE$5)^2+($C56-DE$6)^2+($D56-DE$7)^2)</f>
        <v>1.51598249885293</v>
      </c>
      <c r="DF56" s="74" t="n">
        <f aca="false">SQRT(($B56-DF$5)^2+($C56-DF$6)^2+($D56-DF$7)^2)</f>
        <v>1.77805737179071</v>
      </c>
      <c r="DG56" s="74" t="n">
        <f aca="false">SQRT(($B56-DG$5)^2+($C56-DG$6)^2+($D56-DG$7)^2)</f>
        <v>1.91551012983867</v>
      </c>
      <c r="DH56" s="74" t="n">
        <f aca="false">SQRT(($B56-DH$5)^2+($C56-DH$6)^2+($D56-DH$7)^2)</f>
        <v>1.91551012983867</v>
      </c>
      <c r="DI56" s="74" t="n">
        <f aca="false">SQRT(($B56-DI$5)^2+($C56-DI$6)^2+($D56-DI$7)^2)</f>
        <v>1.91551012983867</v>
      </c>
      <c r="DJ56" s="74" t="n">
        <f aca="false">SQRT(($B56-DJ$5)^2+($C56-DJ$6)^2+($D56-DJ$7)^2)</f>
        <v>1.91551012983867</v>
      </c>
      <c r="DK56" s="74" t="n">
        <f aca="false">SQRT(($B56-DK$5)^2+($C56-DK$6)^2+($D56-DK$7)^2)</f>
        <v>2.11207526864895</v>
      </c>
      <c r="DL56" s="74" t="n">
        <f aca="false">SQRT(($B56-DL$5)^2+($C56-DL$6)^2+($D56-DL$7)^2)</f>
        <v>2.11207526864895</v>
      </c>
      <c r="DM56" s="74" t="n">
        <f aca="false">SQRT(($B56-DM$5)^2+($C56-DM$6)^2+($D56-DM$7)^2)</f>
        <v>2.11207526864895</v>
      </c>
      <c r="DN56" s="74" t="n">
        <f aca="false">SQRT(($B56-DN$5)^2+($C56-DN$6)^2+($D56-DN$7)^2)</f>
        <v>2.11207526864895</v>
      </c>
      <c r="DO56" s="74" t="n">
        <f aca="false">SQRT(($B56-DO$5)^2+($C56-DO$6)^2+($D56-DO$7)^2)</f>
        <v>2.11207526864895</v>
      </c>
      <c r="DP56" s="74" t="n">
        <f aca="false">SQRT(($B56-DP$5)^2+($C56-DP$6)^2+($D56-DP$7)^2)</f>
        <v>2.45367780569083</v>
      </c>
      <c r="DQ56" s="74" t="n">
        <f aca="false">SQRT(($B56-DQ$5)^2+($C56-DQ$6)^2+($D56-DQ$7)^2)</f>
        <v>2.45367780569083</v>
      </c>
    </row>
    <row r="57" customFormat="false" ht="15" hidden="false" customHeight="false" outlineLevel="0" collapsed="false">
      <c r="A57" s="48" t="str">
        <f aca="false">KMeans_Data!A48</f>
        <v>Jamshoro</v>
      </c>
      <c r="B57" s="72" t="n">
        <f aca="false">KMeans_Data!H48</f>
        <v>0.256462668461943</v>
      </c>
      <c r="C57" s="72" t="n">
        <f aca="false">KMeans_Data!I48</f>
        <v>-0.672650545388274</v>
      </c>
      <c r="D57" s="72" t="n">
        <f aca="false">KMeans_Data!J48</f>
        <v>0.514925973520034</v>
      </c>
      <c r="E57" s="74" t="n">
        <f aca="false">SQRT(($B57-E$5)^2+($C57-E$6)^2+($D57-E$7)^2)</f>
        <v>6.22905502444889</v>
      </c>
      <c r="F57" s="74" t="n">
        <f aca="false">SQRT(($B57-F$5)^2+($C57-F$6)^2+($D57-F$7)^2)</f>
        <v>6.08078349184625</v>
      </c>
      <c r="G57" s="74" t="n">
        <f aca="false">SQRT(($B57-G$5)^2+($C57-G$6)^2+($D57-G$7)^2)</f>
        <v>4.08605568902378</v>
      </c>
      <c r="H57" s="74" t="n">
        <f aca="false">SQRT(($B57-H$5)^2+($C57-H$6)^2+($D57-H$7)^2)</f>
        <v>4.8537326671123</v>
      </c>
      <c r="I57" s="74" t="n">
        <f aca="false">SQRT(($B57-I$5)^2+($C57-I$6)^2+($D57-I$7)^2)</f>
        <v>3.5441694564271</v>
      </c>
      <c r="J57" s="74" t="n">
        <f aca="false">SQRT(($B57-J$5)^2+($C57-J$6)^2+($D57-J$7)^2)</f>
        <v>3.28993275732025</v>
      </c>
      <c r="K57" s="74" t="n">
        <f aca="false">SQRT(($B57-K$5)^2+($C57-K$6)^2+($D57-K$7)^2)</f>
        <v>1.91337527800692</v>
      </c>
      <c r="L57" s="74" t="n">
        <f aca="false">SQRT(($B57-L$5)^2+($C57-L$6)^2+($D57-L$7)^2)</f>
        <v>2.10505190940514</v>
      </c>
      <c r="M57" s="74" t="n">
        <f aca="false">SQRT(($B57-M$5)^2+($C57-M$6)^2+($D57-M$7)^2)</f>
        <v>2.43935429961474</v>
      </c>
      <c r="N57" s="74" t="n">
        <f aca="false">SQRT(($B57-N$5)^2+($C57-N$6)^2+($D57-N$7)^2)</f>
        <v>1.72145637895332</v>
      </c>
      <c r="O57" s="74" t="n">
        <f aca="false">SQRT(($B57-O$5)^2+($C57-O$6)^2+($D57-O$7)^2)</f>
        <v>2.37135749765518</v>
      </c>
      <c r="P57" s="74" t="n">
        <f aca="false">SQRT(($B57-P$5)^2+($C57-P$6)^2+($D57-P$7)^2)</f>
        <v>2.67244011293623</v>
      </c>
      <c r="Q57" s="74" t="n">
        <f aca="false">SQRT(($B57-Q$5)^2+($C57-Q$6)^2+($D57-Q$7)^2)</f>
        <v>1.92728095789829</v>
      </c>
      <c r="R57" s="74" t="n">
        <f aca="false">SQRT(($B57-R$5)^2+($C57-R$6)^2+($D57-R$7)^2)</f>
        <v>1.62111347963302</v>
      </c>
      <c r="S57" s="74" t="n">
        <f aca="false">SQRT(($B57-S$5)^2+($C57-S$6)^2+($D57-S$7)^2)</f>
        <v>1.12512257938065</v>
      </c>
      <c r="T57" s="74" t="n">
        <f aca="false">SQRT(($B57-T$5)^2+($C57-T$6)^2+($D57-T$7)^2)</f>
        <v>1.87605299312992</v>
      </c>
      <c r="U57" s="74" t="n">
        <f aca="false">SQRT(($B57-U$5)^2+($C57-U$6)^2+($D57-U$7)^2)</f>
        <v>1.62343256486022</v>
      </c>
      <c r="V57" s="74" t="n">
        <f aca="false">SQRT(($B57-V$5)^2+($C57-V$6)^2+($D57-V$7)^2)</f>
        <v>2.14110644750368</v>
      </c>
      <c r="W57" s="74" t="n">
        <f aca="false">SQRT(($B57-W$5)^2+($C57-W$6)^2+($D57-W$7)^2)</f>
        <v>2.17883966682944</v>
      </c>
      <c r="X57" s="74" t="n">
        <f aca="false">SQRT(($B57-X$5)^2+($C57-X$6)^2+($D57-X$7)^2)</f>
        <v>1.67110319681497</v>
      </c>
      <c r="Y57" s="74" t="n">
        <f aca="false">SQRT(($B57-Y$5)^2+($C57-Y$6)^2+($D57-Y$7)^2)</f>
        <v>1.74068402613097</v>
      </c>
      <c r="Z57" s="74" t="n">
        <f aca="false">SQRT(($B57-Z$5)^2+($C57-Z$6)^2+($D57-Z$7)^2)</f>
        <v>1.57114464988075</v>
      </c>
      <c r="AA57" s="74" t="n">
        <f aca="false">SQRT(($B57-AA$5)^2+($C57-AA$6)^2+($D57-AA$7)^2)</f>
        <v>1.0815429013149</v>
      </c>
      <c r="AB57" s="74" t="n">
        <f aca="false">SQRT(($B57-AB$5)^2+($C57-AB$6)^2+($D57-AB$7)^2)</f>
        <v>1.33817583030261</v>
      </c>
      <c r="AC57" s="74" t="n">
        <f aca="false">SQRT(($B57-AC$5)^2+($C57-AC$6)^2+($D57-AC$7)^2)</f>
        <v>2.12567870399534</v>
      </c>
      <c r="AD57" s="74" t="n">
        <f aca="false">SQRT(($B57-AD$5)^2+($C57-AD$6)^2+($D57-AD$7)^2)</f>
        <v>1.72184880064686</v>
      </c>
      <c r="AE57" s="74" t="n">
        <f aca="false">SQRT(($B57-AE$5)^2+($C57-AE$6)^2+($D57-AE$7)^2)</f>
        <v>1.78474199217</v>
      </c>
      <c r="AF57" s="74" t="n">
        <f aca="false">SQRT(($B57-AF$5)^2+($C57-AF$6)^2+($D57-AF$7)^2)</f>
        <v>1.44722537971028</v>
      </c>
      <c r="AG57" s="74" t="n">
        <f aca="false">SQRT(($B57-AG$5)^2+($C57-AG$6)^2+($D57-AG$7)^2)</f>
        <v>0.969553593970183</v>
      </c>
      <c r="AH57" s="74" t="n">
        <f aca="false">SQRT(($B57-AH$5)^2+($C57-AH$6)^2+($D57-AH$7)^2)</f>
        <v>0.931919562329365</v>
      </c>
      <c r="AI57" s="74" t="n">
        <f aca="false">SQRT(($B57-AI$5)^2+($C57-AI$6)^2+($D57-AI$7)^2)</f>
        <v>0.968509720375075</v>
      </c>
      <c r="AJ57" s="74" t="n">
        <f aca="false">SQRT(($B57-AJ$5)^2+($C57-AJ$6)^2+($D57-AJ$7)^2)</f>
        <v>1.39471079882891</v>
      </c>
      <c r="AK57" s="74" t="n">
        <f aca="false">SQRT(($B57-AK$5)^2+($C57-AK$6)^2+($D57-AK$7)^2)</f>
        <v>1.11044496760682</v>
      </c>
      <c r="AL57" s="74" t="n">
        <f aca="false">SQRT(($B57-AL$5)^2+($C57-AL$6)^2+($D57-AL$7)^2)</f>
        <v>0.574296963852309</v>
      </c>
      <c r="AM57" s="74" t="n">
        <f aca="false">SQRT(($B57-AM$5)^2+($C57-AM$6)^2+($D57-AM$7)^2)</f>
        <v>2.07677727017456</v>
      </c>
      <c r="AN57" s="74" t="n">
        <f aca="false">SQRT(($B57-AN$5)^2+($C57-AN$6)^2+($D57-AN$7)^2)</f>
        <v>1.84059478088079</v>
      </c>
      <c r="AO57" s="74" t="n">
        <f aca="false">SQRT(($B57-AO$5)^2+($C57-AO$6)^2+($D57-AO$7)^2)</f>
        <v>1.06639017086875</v>
      </c>
      <c r="AP57" s="74" t="n">
        <f aca="false">SQRT(($B57-AP$5)^2+($C57-AP$6)^2+($D57-AP$7)^2)</f>
        <v>1.06680763500058</v>
      </c>
      <c r="AQ57" s="74" t="n">
        <f aca="false">SQRT(($B57-AQ$5)^2+($C57-AQ$6)^2+($D57-AQ$7)^2)</f>
        <v>1.95437093223765</v>
      </c>
      <c r="AR57" s="74" t="n">
        <f aca="false">SQRT(($B57-AR$5)^2+($C57-AR$6)^2+($D57-AR$7)^2)</f>
        <v>1.03164134169851</v>
      </c>
      <c r="AS57" s="74" t="n">
        <f aca="false">SQRT(($B57-AS$5)^2+($C57-AS$6)^2+($D57-AS$7)^2)</f>
        <v>0.499727188851976</v>
      </c>
      <c r="AT57" s="74" t="n">
        <f aca="false">SQRT(($B57-AT$5)^2+($C57-AT$6)^2+($D57-AT$7)^2)</f>
        <v>0.586405376350961</v>
      </c>
      <c r="AU57" s="74" t="n">
        <f aca="false">SQRT(($B57-AU$5)^2+($C57-AU$6)^2+($D57-AU$7)^2)</f>
        <v>1.26580941694476</v>
      </c>
      <c r="AV57" s="74" t="n">
        <f aca="false">SQRT(($B57-AV$5)^2+($C57-AV$6)^2+($D57-AV$7)^2)</f>
        <v>0</v>
      </c>
      <c r="AW57" s="74" t="n">
        <f aca="false">SQRT(($B57-AW$5)^2+($C57-AW$6)^2+($D57-AW$7)^2)</f>
        <v>1.33949088136886</v>
      </c>
      <c r="AX57" s="74" t="n">
        <f aca="false">SQRT(($B57-AX$5)^2+($C57-AX$6)^2+($D57-AX$7)^2)</f>
        <v>0.84410011114996</v>
      </c>
      <c r="AY57" s="74" t="n">
        <f aca="false">SQRT(($B57-AY$5)^2+($C57-AY$6)^2+($D57-AY$7)^2)</f>
        <v>1.66149687012237</v>
      </c>
      <c r="AZ57" s="74" t="n">
        <f aca="false">SQRT(($B57-AZ$5)^2+($C57-AZ$6)^2+($D57-AZ$7)^2)</f>
        <v>0.520555467324401</v>
      </c>
      <c r="BA57" s="74" t="n">
        <f aca="false">SQRT(($B57-BA$5)^2+($C57-BA$6)^2+($D57-BA$7)^2)</f>
        <v>0.599221828968001</v>
      </c>
      <c r="BB57" s="74" t="n">
        <f aca="false">SQRT(($B57-BB$5)^2+($C57-BB$6)^2+($D57-BB$7)^2)</f>
        <v>1.6617283913551</v>
      </c>
      <c r="BC57" s="74" t="n">
        <f aca="false">SQRT(($B57-BC$5)^2+($C57-BC$6)^2+($D57-BC$7)^2)</f>
        <v>1.66198911356829</v>
      </c>
      <c r="BD57" s="74" t="n">
        <f aca="false">SQRT(($B57-BD$5)^2+($C57-BD$6)^2+($D57-BD$7)^2)</f>
        <v>1.02206304874641</v>
      </c>
      <c r="BE57" s="74" t="n">
        <f aca="false">SQRT(($B57-BE$5)^2+($C57-BE$6)^2+($D57-BE$7)^2)</f>
        <v>0.765830810507155</v>
      </c>
      <c r="BF57" s="74" t="n">
        <f aca="false">SQRT(($B57-BF$5)^2+($C57-BF$6)^2+($D57-BF$7)^2)</f>
        <v>2.07380219027555</v>
      </c>
      <c r="BG57" s="74" t="n">
        <f aca="false">SQRT(($B57-BG$5)^2+($C57-BG$6)^2+($D57-BG$7)^2)</f>
        <v>0.557882710992194</v>
      </c>
      <c r="BH57" s="74" t="n">
        <f aca="false">SQRT(($B57-BH$5)^2+($C57-BH$6)^2+($D57-BH$7)^2)</f>
        <v>1.66941569030665</v>
      </c>
      <c r="BI57" s="74" t="n">
        <f aca="false">SQRT(($B57-BI$5)^2+($C57-BI$6)^2+($D57-BI$7)^2)</f>
        <v>1.67119532107018</v>
      </c>
      <c r="BJ57" s="74" t="n">
        <f aca="false">SQRT(($B57-BJ$5)^2+($C57-BJ$6)^2+($D57-BJ$7)^2)</f>
        <v>1.34265591373837</v>
      </c>
      <c r="BK57" s="74" t="n">
        <f aca="false">SQRT(($B57-BK$5)^2+($C57-BK$6)^2+($D57-BK$7)^2)</f>
        <v>0.948450596582726</v>
      </c>
      <c r="BL57" s="74" t="n">
        <f aca="false">SQRT(($B57-BL$5)^2+($C57-BL$6)^2+($D57-BL$7)^2)</f>
        <v>0.300612843222208</v>
      </c>
      <c r="BM57" s="74" t="n">
        <f aca="false">SQRT(($B57-BM$5)^2+($C57-BM$6)^2+($D57-BM$7)^2)</f>
        <v>1.25456278738747</v>
      </c>
      <c r="BN57" s="74" t="n">
        <f aca="false">SQRT(($B57-BN$5)^2+($C57-BN$6)^2+($D57-BN$7)^2)</f>
        <v>1.00349734160667</v>
      </c>
      <c r="BO57" s="74" t="n">
        <f aca="false">SQRT(($B57-BO$5)^2+($C57-BO$6)^2+($D57-BO$7)^2)</f>
        <v>1.37738425477471</v>
      </c>
      <c r="BP57" s="74" t="n">
        <f aca="false">SQRT(($B57-BP$5)^2+($C57-BP$6)^2+($D57-BP$7)^2)</f>
        <v>0.939431341467672</v>
      </c>
      <c r="BQ57" s="74" t="n">
        <f aca="false">SQRT(($B57-BQ$5)^2+($C57-BQ$6)^2+($D57-BQ$7)^2)</f>
        <v>0.65461818773702</v>
      </c>
      <c r="BR57" s="74" t="n">
        <f aca="false">SQRT(($B57-BR$5)^2+($C57-BR$6)^2+($D57-BR$7)^2)</f>
        <v>0.660478840347839</v>
      </c>
      <c r="BS57" s="74" t="n">
        <f aca="false">SQRT(($B57-BS$5)^2+($C57-BS$6)^2+($D57-BS$7)^2)</f>
        <v>0.437248720573372</v>
      </c>
      <c r="BT57" s="74" t="n">
        <f aca="false">SQRT(($B57-BT$5)^2+($C57-BT$6)^2+($D57-BT$7)^2)</f>
        <v>0.570167253022816</v>
      </c>
      <c r="BU57" s="74" t="n">
        <f aca="false">SQRT(($B57-BU$5)^2+($C57-BU$6)^2+($D57-BU$7)^2)</f>
        <v>0.621693002185833</v>
      </c>
      <c r="BV57" s="74" t="n">
        <f aca="false">SQRT(($B57-BV$5)^2+($C57-BV$6)^2+($D57-BV$7)^2)</f>
        <v>1.73900385465147</v>
      </c>
      <c r="BW57" s="74" t="n">
        <f aca="false">SQRT(($B57-BW$5)^2+($C57-BW$6)^2+($D57-BW$7)^2)</f>
        <v>0.57923870518446</v>
      </c>
      <c r="BX57" s="74" t="n">
        <f aca="false">SQRT(($B57-BX$5)^2+($C57-BX$6)^2+($D57-BX$7)^2)</f>
        <v>1.74382656712172</v>
      </c>
      <c r="BY57" s="74" t="n">
        <f aca="false">SQRT(($B57-BY$5)^2+($C57-BY$6)^2+($D57-BY$7)^2)</f>
        <v>0.89783512899983</v>
      </c>
      <c r="BZ57" s="74" t="n">
        <f aca="false">SQRT(($B57-BZ$5)^2+($C57-BZ$6)^2+($D57-BZ$7)^2)</f>
        <v>0.957327025671765</v>
      </c>
      <c r="CA57" s="74" t="n">
        <f aca="false">SQRT(($B57-CA$5)^2+($C57-CA$6)^2+($D57-CA$7)^2)</f>
        <v>1.76014492271007</v>
      </c>
      <c r="CB57" s="74" t="n">
        <f aca="false">SQRT(($B57-CB$5)^2+($C57-CB$6)^2+($D57-CB$7)^2)</f>
        <v>0.9685696700521</v>
      </c>
      <c r="CC57" s="74" t="n">
        <f aca="false">SQRT(($B57-CC$5)^2+($C57-CC$6)^2+($D57-CC$7)^2)</f>
        <v>1.76628489225417</v>
      </c>
      <c r="CD57" s="74" t="n">
        <f aca="false">SQRT(($B57-CD$5)^2+($C57-CD$6)^2+($D57-CD$7)^2)</f>
        <v>1.7797979847493</v>
      </c>
      <c r="CE57" s="74" t="n">
        <f aca="false">SQRT(($B57-CE$5)^2+($C57-CE$6)^2+($D57-CE$7)^2)</f>
        <v>0.812115940034129</v>
      </c>
      <c r="CF57" s="74" t="n">
        <f aca="false">SQRT(($B57-CF$5)^2+($C57-CF$6)^2+($D57-CF$7)^2)</f>
        <v>0.924276628586939</v>
      </c>
      <c r="CG57" s="74" t="n">
        <f aca="false">SQRT(($B57-CG$5)^2+($C57-CG$6)^2+($D57-CG$7)^2)</f>
        <v>1.28150367367834</v>
      </c>
      <c r="CH57" s="74" t="n">
        <f aca="false">SQRT(($B57-CH$5)^2+($C57-CH$6)^2+($D57-CH$7)^2)</f>
        <v>1.16872812842908</v>
      </c>
      <c r="CI57" s="74" t="n">
        <f aca="false">SQRT(($B57-CI$5)^2+($C57-CI$6)^2+($D57-CI$7)^2)</f>
        <v>1.28079094253019</v>
      </c>
      <c r="CJ57" s="74" t="n">
        <f aca="false">SQRT(($B57-CJ$5)^2+($C57-CJ$6)^2+($D57-CJ$7)^2)</f>
        <v>1.56200659006712</v>
      </c>
      <c r="CK57" s="74" t="n">
        <f aca="false">SQRT(($B57-CK$5)^2+($C57-CK$6)^2+($D57-CK$7)^2)</f>
        <v>1.02186080326241</v>
      </c>
      <c r="CL57" s="74" t="n">
        <f aca="false">SQRT(($B57-CL$5)^2+($C57-CL$6)^2+($D57-CL$7)^2)</f>
        <v>1.8855270764428</v>
      </c>
      <c r="CM57" s="74" t="n">
        <f aca="false">SQRT(($B57-CM$5)^2+($C57-CM$6)^2+($D57-CM$7)^2)</f>
        <v>1.21946405790072</v>
      </c>
      <c r="CN57" s="74" t="n">
        <f aca="false">SQRT(($B57-CN$5)^2+($C57-CN$6)^2+($D57-CN$7)^2)</f>
        <v>1.1026895359744</v>
      </c>
      <c r="CO57" s="74" t="n">
        <f aca="false">SQRT(($B57-CO$5)^2+($C57-CO$6)^2+($D57-CO$7)^2)</f>
        <v>1.32836207237853</v>
      </c>
      <c r="CP57" s="74" t="n">
        <f aca="false">SQRT(($B57-CP$5)^2+($C57-CP$6)^2+($D57-CP$7)^2)</f>
        <v>1.9390557860352</v>
      </c>
      <c r="CQ57" s="74" t="n">
        <f aca="false">SQRT(($B57-CQ$5)^2+($C57-CQ$6)^2+($D57-CQ$7)^2)</f>
        <v>1.38723020004304</v>
      </c>
      <c r="CR57" s="74" t="n">
        <f aca="false">SQRT(($B57-CR$5)^2+($C57-CR$6)^2+($D57-CR$7)^2)</f>
        <v>1.36875234165601</v>
      </c>
      <c r="CS57" s="74" t="n">
        <f aca="false">SQRT(($B57-CS$5)^2+($C57-CS$6)^2+($D57-CS$7)^2)</f>
        <v>1.98534700752188</v>
      </c>
      <c r="CT57" s="74" t="n">
        <f aca="false">SQRT(($B57-CT$5)^2+($C57-CT$6)^2+($D57-CT$7)^2)</f>
        <v>2.0129637432433</v>
      </c>
      <c r="CU57" s="74" t="n">
        <f aca="false">SQRT(($B57-CU$5)^2+($C57-CU$6)^2+($D57-CU$7)^2)</f>
        <v>1.8343319115703</v>
      </c>
      <c r="CV57" s="74" t="n">
        <f aca="false">SQRT(($B57-CV$5)^2+($C57-CV$6)^2+($D57-CV$7)^2)</f>
        <v>1.16486613033037</v>
      </c>
      <c r="CW57" s="74" t="n">
        <f aca="false">SQRT(($B57-CW$5)^2+($C57-CW$6)^2+($D57-CW$7)^2)</f>
        <v>2.0129637432433</v>
      </c>
      <c r="CX57" s="74" t="n">
        <f aca="false">SQRT(($B57-CX$5)^2+($C57-CX$6)^2+($D57-CX$7)^2)</f>
        <v>1.31307639560168</v>
      </c>
      <c r="CY57" s="74" t="n">
        <f aca="false">SQRT(($B57-CY$5)^2+($C57-CY$6)^2+($D57-CY$7)^2)</f>
        <v>2.04445942603939</v>
      </c>
      <c r="CZ57" s="74" t="n">
        <f aca="false">SQRT(($B57-CZ$5)^2+($C57-CZ$6)^2+($D57-CZ$7)^2)</f>
        <v>2.04445942603939</v>
      </c>
      <c r="DA57" s="74" t="n">
        <f aca="false">SQRT(($B57-DA$5)^2+($C57-DA$6)^2+($D57-DA$7)^2)</f>
        <v>1.56811969875191</v>
      </c>
      <c r="DB57" s="74" t="n">
        <f aca="false">SQRT(($B57-DB$5)^2+($C57-DB$6)^2+($D57-DB$7)^2)</f>
        <v>2.08081535135637</v>
      </c>
      <c r="DC57" s="74" t="n">
        <f aca="false">SQRT(($B57-DC$5)^2+($C57-DC$6)^2+($D57-DC$7)^2)</f>
        <v>2.08081535135637</v>
      </c>
      <c r="DD57" s="74" t="n">
        <f aca="false">SQRT(($B57-DD$5)^2+($C57-DD$6)^2+($D57-DD$7)^2)</f>
        <v>1.70241385602203</v>
      </c>
      <c r="DE57" s="74" t="n">
        <f aca="false">SQRT(($B57-DE$5)^2+($C57-DE$6)^2+($D57-DE$7)^2)</f>
        <v>1.94013726099808</v>
      </c>
      <c r="DF57" s="74" t="n">
        <f aca="false">SQRT(($B57-DF$5)^2+($C57-DF$6)^2+($D57-DF$7)^2)</f>
        <v>2.31617607437856</v>
      </c>
      <c r="DG57" s="74" t="n">
        <f aca="false">SQRT(($B57-DG$5)^2+($C57-DG$6)^2+($D57-DG$7)^2)</f>
        <v>2.42293647849278</v>
      </c>
      <c r="DH57" s="74" t="n">
        <f aca="false">SQRT(($B57-DH$5)^2+($C57-DH$6)^2+($D57-DH$7)^2)</f>
        <v>2.42293647849278</v>
      </c>
      <c r="DI57" s="74" t="n">
        <f aca="false">SQRT(($B57-DI$5)^2+($C57-DI$6)^2+($D57-DI$7)^2)</f>
        <v>2.42293647849278</v>
      </c>
      <c r="DJ57" s="74" t="n">
        <f aca="false">SQRT(($B57-DJ$5)^2+($C57-DJ$6)^2+($D57-DJ$7)^2)</f>
        <v>2.42293647849278</v>
      </c>
      <c r="DK57" s="74" t="n">
        <f aca="false">SQRT(($B57-DK$5)^2+($C57-DK$6)^2+($D57-DK$7)^2)</f>
        <v>2.58066844039465</v>
      </c>
      <c r="DL57" s="74" t="n">
        <f aca="false">SQRT(($B57-DL$5)^2+($C57-DL$6)^2+($D57-DL$7)^2)</f>
        <v>2.58066844039465</v>
      </c>
      <c r="DM57" s="74" t="n">
        <f aca="false">SQRT(($B57-DM$5)^2+($C57-DM$6)^2+($D57-DM$7)^2)</f>
        <v>2.58066844039465</v>
      </c>
      <c r="DN57" s="74" t="n">
        <f aca="false">SQRT(($B57-DN$5)^2+($C57-DN$6)^2+($D57-DN$7)^2)</f>
        <v>2.58066844039465</v>
      </c>
      <c r="DO57" s="74" t="n">
        <f aca="false">SQRT(($B57-DO$5)^2+($C57-DO$6)^2+($D57-DO$7)^2)</f>
        <v>2.58066844039465</v>
      </c>
      <c r="DP57" s="74" t="n">
        <f aca="false">SQRT(($B57-DP$5)^2+($C57-DP$6)^2+($D57-DP$7)^2)</f>
        <v>2.86623908661092</v>
      </c>
      <c r="DQ57" s="74" t="n">
        <f aca="false">SQRT(($B57-DQ$5)^2+($C57-DQ$6)^2+($D57-DQ$7)^2)</f>
        <v>2.86623908661092</v>
      </c>
    </row>
    <row r="58" customFormat="false" ht="15" hidden="false" customHeight="false" outlineLevel="0" collapsed="false">
      <c r="A58" s="48" t="str">
        <f aca="false">KMeans_Data!A49</f>
        <v>Gujranwala</v>
      </c>
      <c r="B58" s="72" t="n">
        <f aca="false">KMeans_Data!H49</f>
        <v>0.238616233785713</v>
      </c>
      <c r="C58" s="72" t="n">
        <f aca="false">KMeans_Data!I49</f>
        <v>-0.672650545388274</v>
      </c>
      <c r="D58" s="72" t="n">
        <f aca="false">KMeans_Data!J49</f>
        <v>-0.824446015898766</v>
      </c>
      <c r="E58" s="74" t="n">
        <f aca="false">SQRT(($B58-E$5)^2+($C58-E$6)^2+($D58-E$7)^2)</f>
        <v>6.93086632696364</v>
      </c>
      <c r="F58" s="74" t="n">
        <f aca="false">SQRT(($B58-F$5)^2+($C58-F$6)^2+($D58-F$7)^2)</f>
        <v>6.68416561534929</v>
      </c>
      <c r="G58" s="74" t="n">
        <f aca="false">SQRT(($B58-G$5)^2+($C58-G$6)^2+($D58-G$7)^2)</f>
        <v>4.85189739115915</v>
      </c>
      <c r="H58" s="74" t="n">
        <f aca="false">SQRT(($B58-H$5)^2+($C58-H$6)^2+($D58-H$7)^2)</f>
        <v>5.3330186896462</v>
      </c>
      <c r="I58" s="74" t="n">
        <f aca="false">SQRT(($B58-I$5)^2+($C58-I$6)^2+($D58-I$7)^2)</f>
        <v>4.19391129173368</v>
      </c>
      <c r="J58" s="74" t="n">
        <f aca="false">SQRT(($B58-J$5)^2+($C58-J$6)^2+($D58-J$7)^2)</f>
        <v>3.89220974722006</v>
      </c>
      <c r="K58" s="74" t="n">
        <f aca="false">SQRT(($B58-K$5)^2+($C58-K$6)^2+($D58-K$7)^2)</f>
        <v>1.38060208763755</v>
      </c>
      <c r="L58" s="74" t="n">
        <f aca="false">SQRT(($B58-L$5)^2+($C58-L$6)^2+($D58-L$7)^2)</f>
        <v>3.0824797958591</v>
      </c>
      <c r="M58" s="74" t="n">
        <f aca="false">SQRT(($B58-M$5)^2+($C58-M$6)^2+($D58-M$7)^2)</f>
        <v>3.30801403612034</v>
      </c>
      <c r="N58" s="74" t="n">
        <f aca="false">SQRT(($B58-N$5)^2+($C58-N$6)^2+($D58-N$7)^2)</f>
        <v>1.0970623070198</v>
      </c>
      <c r="O58" s="74" t="n">
        <f aca="false">SQRT(($B58-O$5)^2+($C58-O$6)^2+($D58-O$7)^2)</f>
        <v>2.95251210323042</v>
      </c>
      <c r="P58" s="74" t="n">
        <f aca="false">SQRT(($B58-P$5)^2+($C58-P$6)^2+($D58-P$7)^2)</f>
        <v>3.27317173933466</v>
      </c>
      <c r="Q58" s="74" t="n">
        <f aca="false">SQRT(($B58-Q$5)^2+($C58-Q$6)^2+($D58-Q$7)^2)</f>
        <v>2.65550762800608</v>
      </c>
      <c r="R58" s="74" t="n">
        <f aca="false">SQRT(($B58-R$5)^2+($C58-R$6)^2+($D58-R$7)^2)</f>
        <v>2.64756474909866</v>
      </c>
      <c r="S58" s="74" t="n">
        <f aca="false">SQRT(($B58-S$5)^2+($C58-S$6)^2+($D58-S$7)^2)</f>
        <v>2.19849140352325</v>
      </c>
      <c r="T58" s="74" t="n">
        <f aca="false">SQRT(($B58-T$5)^2+($C58-T$6)^2+($D58-T$7)^2)</f>
        <v>2.57527934483331</v>
      </c>
      <c r="U58" s="74" t="n">
        <f aca="false">SQRT(($B58-U$5)^2+($C58-U$6)^2+($D58-U$7)^2)</f>
        <v>2.70438270274017</v>
      </c>
      <c r="V58" s="74" t="n">
        <f aca="false">SQRT(($B58-V$5)^2+($C58-V$6)^2+($D58-V$7)^2)</f>
        <v>2.58396094162292</v>
      </c>
      <c r="W58" s="74" t="n">
        <f aca="false">SQRT(($B58-W$5)^2+($C58-W$6)^2+($D58-W$7)^2)</f>
        <v>2.77242333591901</v>
      </c>
      <c r="X58" s="74" t="n">
        <f aca="false">SQRT(($B58-X$5)^2+($C58-X$6)^2+($D58-X$7)^2)</f>
        <v>2.45059902123927</v>
      </c>
      <c r="Y58" s="74" t="n">
        <f aca="false">SQRT(($B58-Y$5)^2+($C58-Y$6)^2+($D58-Y$7)^2)</f>
        <v>2.61946111793716</v>
      </c>
      <c r="Z58" s="74" t="n">
        <f aca="false">SQRT(($B58-Z$5)^2+($C58-Z$6)^2+($D58-Z$7)^2)</f>
        <v>2.13508966738584</v>
      </c>
      <c r="AA58" s="74" t="n">
        <f aca="false">SQRT(($B58-AA$5)^2+($C58-AA$6)^2+($D58-AA$7)^2)</f>
        <v>2.04307551119251</v>
      </c>
      <c r="AB58" s="74" t="n">
        <f aca="false">SQRT(($B58-AB$5)^2+($C58-AB$6)^2+($D58-AB$7)^2)</f>
        <v>2.00288188805587</v>
      </c>
      <c r="AC58" s="74" t="n">
        <f aca="false">SQRT(($B58-AC$5)^2+($C58-AC$6)^2+($D58-AC$7)^2)</f>
        <v>2.6270141257333</v>
      </c>
      <c r="AD58" s="74" t="n">
        <f aca="false">SQRT(($B58-AD$5)^2+($C58-AD$6)^2+($D58-AD$7)^2)</f>
        <v>2.6115676085872</v>
      </c>
      <c r="AE58" s="74" t="n">
        <f aca="false">SQRT(($B58-AE$5)^2+($C58-AE$6)^2+($D58-AE$7)^2)</f>
        <v>0.738369626853435</v>
      </c>
      <c r="AF58" s="74" t="n">
        <f aca="false">SQRT(($B58-AF$5)^2+($C58-AF$6)^2+($D58-AF$7)^2)</f>
        <v>2.20472433773237</v>
      </c>
      <c r="AG58" s="74" t="n">
        <f aca="false">SQRT(($B58-AG$5)^2+($C58-AG$6)^2+($D58-AG$7)^2)</f>
        <v>0.543415082432949</v>
      </c>
      <c r="AH58" s="74" t="n">
        <f aca="false">SQRT(($B58-AH$5)^2+($C58-AH$6)^2+($D58-AH$7)^2)</f>
        <v>1.84075539413215</v>
      </c>
      <c r="AI58" s="74" t="n">
        <f aca="false">SQRT(($B58-AI$5)^2+($C58-AI$6)^2+($D58-AI$7)^2)</f>
        <v>0.541446144913525</v>
      </c>
      <c r="AJ58" s="74" t="n">
        <f aca="false">SQRT(($B58-AJ$5)^2+($C58-AJ$6)^2+($D58-AJ$7)^2)</f>
        <v>2.31386010111681</v>
      </c>
      <c r="AK58" s="74" t="n">
        <f aca="false">SQRT(($B58-AK$5)^2+($C58-AK$6)^2+($D58-AK$7)^2)</f>
        <v>1.55750784070286</v>
      </c>
      <c r="AL58" s="74" t="n">
        <f aca="false">SQRT(($B58-AL$5)^2+($C58-AL$6)^2+($D58-AL$7)^2)</f>
        <v>1.49384018862762</v>
      </c>
      <c r="AM58" s="74" t="n">
        <f aca="false">SQRT(($B58-AM$5)^2+($C58-AM$6)^2+($D58-AM$7)^2)</f>
        <v>2.35780666670606</v>
      </c>
      <c r="AN58" s="74" t="n">
        <f aca="false">SQRT(($B58-AN$5)^2+($C58-AN$6)^2+($D58-AN$7)^2)</f>
        <v>2.39531068012671</v>
      </c>
      <c r="AO58" s="74" t="n">
        <f aca="false">SQRT(($B58-AO$5)^2+($C58-AO$6)^2+($D58-AO$7)^2)</f>
        <v>1.73344973162199</v>
      </c>
      <c r="AP58" s="74" t="n">
        <f aca="false">SQRT(($B58-AP$5)^2+($C58-AP$6)^2+($D58-AP$7)^2)</f>
        <v>1.67100885843544</v>
      </c>
      <c r="AQ58" s="74" t="n">
        <f aca="false">SQRT(($B58-AQ$5)^2+($C58-AQ$6)^2+($D58-AQ$7)^2)</f>
        <v>2.43381795565698</v>
      </c>
      <c r="AR58" s="74" t="n">
        <f aca="false">SQRT(($B58-AR$5)^2+($C58-AR$6)^2+($D58-AR$7)^2)</f>
        <v>1.12838404193736</v>
      </c>
      <c r="AS58" s="74" t="n">
        <f aca="false">SQRT(($B58-AS$5)^2+($C58-AS$6)^2+($D58-AS$7)^2)</f>
        <v>1.83708270393995</v>
      </c>
      <c r="AT58" s="74" t="n">
        <f aca="false">SQRT(($B58-AT$5)^2+($C58-AT$6)^2+($D58-AT$7)^2)</f>
        <v>1.68326384428668</v>
      </c>
      <c r="AU58" s="74" t="n">
        <f aca="false">SQRT(($B58-AU$5)^2+($C58-AU$6)^2+($D58-AU$7)^2)</f>
        <v>0.558738155216584</v>
      </c>
      <c r="AV58" s="74" t="n">
        <f aca="false">SQRT(($B58-AV$5)^2+($C58-AV$6)^2+($D58-AV$7)^2)</f>
        <v>1.33949088136886</v>
      </c>
      <c r="AW58" s="74" t="n">
        <f aca="false">SQRT(($B58-AW$5)^2+($C58-AW$6)^2+($D58-AW$7)^2)</f>
        <v>0</v>
      </c>
      <c r="AX58" s="74" t="n">
        <f aca="false">SQRT(($B58-AX$5)^2+($C58-AX$6)^2+($D58-AX$7)^2)</f>
        <v>1.46587352199215</v>
      </c>
      <c r="AY58" s="74" t="n">
        <f aca="false">SQRT(($B58-AY$5)^2+($C58-AY$6)^2+($D58-AY$7)^2)</f>
        <v>0.32339611118537</v>
      </c>
      <c r="AZ58" s="74" t="n">
        <f aca="false">SQRT(($B58-AZ$5)^2+($C58-AZ$6)^2+($D58-AZ$7)^2)</f>
        <v>1.85734320882361</v>
      </c>
      <c r="BA58" s="74" t="n">
        <f aca="false">SQRT(($B58-BA$5)^2+($C58-BA$6)^2+($D58-BA$7)^2)</f>
        <v>1.70396250436929</v>
      </c>
      <c r="BB58" s="74" t="n">
        <f aca="false">SQRT(($B58-BB$5)^2+($C58-BB$6)^2+($D58-BB$7)^2)</f>
        <v>0.324223325876336</v>
      </c>
      <c r="BC58" s="74" t="n">
        <f aca="false">SQRT(($B58-BC$5)^2+($C58-BC$6)^2+($D58-BC$7)^2)</f>
        <v>0.325193293709721</v>
      </c>
      <c r="BD58" s="74" t="n">
        <f aca="false">SQRT(($B58-BD$5)^2+($C58-BD$6)^2+($D58-BD$7)^2)</f>
        <v>0.32900165578009</v>
      </c>
      <c r="BE58" s="74" t="n">
        <f aca="false">SQRT(($B58-BE$5)^2+($C58-BE$6)^2+($D58-BE$7)^2)</f>
        <v>0.586752198717141</v>
      </c>
      <c r="BF58" s="74" t="n">
        <f aca="false">SQRT(($B58-BF$5)^2+($C58-BF$6)^2+($D58-BF$7)^2)</f>
        <v>2.60481946389767</v>
      </c>
      <c r="BG58" s="74" t="n">
        <f aca="false">SQRT(($B58-BG$5)^2+($C58-BG$6)^2+($D58-BG$7)^2)</f>
        <v>1.54172114159466</v>
      </c>
      <c r="BH58" s="74" t="n">
        <f aca="false">SQRT(($B58-BH$5)^2+($C58-BH$6)^2+($D58-BH$7)^2)</f>
        <v>0.356113169291968</v>
      </c>
      <c r="BI58" s="74" t="n">
        <f aca="false">SQRT(($B58-BI$5)^2+($C58-BI$6)^2+($D58-BI$7)^2)</f>
        <v>0.363554460472887</v>
      </c>
      <c r="BJ58" s="74" t="n">
        <f aca="false">SQRT(($B58-BJ$5)^2+($C58-BJ$6)^2+($D58-BJ$7)^2)</f>
        <v>1.49163315591173</v>
      </c>
      <c r="BK58" s="74" t="n">
        <f aca="false">SQRT(($B58-BK$5)^2+($C58-BK$6)^2+($D58-BK$7)^2)</f>
        <v>0.484164557591932</v>
      </c>
      <c r="BL58" s="74" t="n">
        <f aca="false">SQRT(($B58-BL$5)^2+($C58-BL$6)^2+($D58-BL$7)^2)</f>
        <v>1.21300172261759</v>
      </c>
      <c r="BM58" s="74" t="n">
        <f aca="false">SQRT(($B58-BM$5)^2+($C58-BM$6)^2+($D58-BM$7)^2)</f>
        <v>1.82286890101568</v>
      </c>
      <c r="BN58" s="74" t="n">
        <f aca="false">SQRT(($B58-BN$5)^2+($C58-BN$6)^2+($D58-BN$7)^2)</f>
        <v>1.23538448432071</v>
      </c>
      <c r="BO58" s="74" t="n">
        <f aca="false">SQRT(($B58-BO$5)^2+($C58-BO$6)^2+($D58-BO$7)^2)</f>
        <v>0.303510157385617</v>
      </c>
      <c r="BP58" s="74" t="n">
        <f aca="false">SQRT(($B58-BP$5)^2+($C58-BP$6)^2+($D58-BP$7)^2)</f>
        <v>1.41245835901232</v>
      </c>
      <c r="BQ58" s="74" t="n">
        <f aca="false">SQRT(($B58-BQ$5)^2+($C58-BQ$6)^2+($D58-BQ$7)^2)</f>
        <v>1.36109252807774</v>
      </c>
      <c r="BR58" s="74" t="n">
        <f aca="false">SQRT(($B58-BR$5)^2+($C58-BR$6)^2+($D58-BR$7)^2)</f>
        <v>1.41074469324609</v>
      </c>
      <c r="BS58" s="74" t="n">
        <f aca="false">SQRT(($B58-BS$5)^2+($C58-BS$6)^2+($D58-BS$7)^2)</f>
        <v>1.48008494211884</v>
      </c>
      <c r="BT58" s="74" t="n">
        <f aca="false">SQRT(($B58-BT$5)^2+($C58-BT$6)^2+($D58-BT$7)^2)</f>
        <v>1.11449747050417</v>
      </c>
      <c r="BU58" s="74" t="n">
        <f aca="false">SQRT(($B58-BU$5)^2+($C58-BU$6)^2+($D58-BU$7)^2)</f>
        <v>1.03788213910546</v>
      </c>
      <c r="BV58" s="74" t="n">
        <f aca="false">SQRT(($B58-BV$5)^2+($C58-BV$6)^2+($D58-BV$7)^2)</f>
        <v>0.593040684487416</v>
      </c>
      <c r="BW58" s="74" t="n">
        <f aca="false">SQRT(($B58-BW$5)^2+($C58-BW$6)^2+($D58-BW$7)^2)</f>
        <v>1.2245150009933</v>
      </c>
      <c r="BX58" s="74" t="n">
        <f aca="false">SQRT(($B58-BX$5)^2+($C58-BX$6)^2+($D58-BX$7)^2)</f>
        <v>0.606565986483053</v>
      </c>
      <c r="BY58" s="74" t="n">
        <f aca="false">SQRT(($B58-BY$5)^2+($C58-BY$6)^2+($D58-BY$7)^2)</f>
        <v>0.844465875431556</v>
      </c>
      <c r="BZ58" s="74" t="n">
        <f aca="false">SQRT(($B58-BZ$5)^2+($C58-BZ$6)^2+($D58-BZ$7)^2)</f>
        <v>0.810621164888962</v>
      </c>
      <c r="CA58" s="74" t="n">
        <f aca="false">SQRT(($B58-CA$5)^2+($C58-CA$6)^2+($D58-CA$7)^2)</f>
        <v>0.650594052186704</v>
      </c>
      <c r="CB58" s="74" t="n">
        <f aca="false">SQRT(($B58-CB$5)^2+($C58-CB$6)^2+($D58-CB$7)^2)</f>
        <v>0.823472495462338</v>
      </c>
      <c r="CC58" s="74" t="n">
        <f aca="false">SQRT(($B58-CC$5)^2+($C58-CC$6)^2+($D58-CC$7)^2)</f>
        <v>0.666537994834314</v>
      </c>
      <c r="CD58" s="74" t="n">
        <f aca="false">SQRT(($B58-CD$5)^2+($C58-CD$6)^2+($D58-CD$7)^2)</f>
        <v>0.70058171229835</v>
      </c>
      <c r="CE58" s="74" t="n">
        <f aca="false">SQRT(($B58-CE$5)^2+($C58-CE$6)^2+($D58-CE$7)^2)</f>
        <v>1.07973309989261</v>
      </c>
      <c r="CF58" s="74" t="n">
        <f aca="false">SQRT(($B58-CF$5)^2+($C58-CF$6)^2+($D58-CF$7)^2)</f>
        <v>1.27213303533386</v>
      </c>
      <c r="CG58" s="74" t="n">
        <f aca="false">SQRT(($B58-CG$5)^2+($C58-CG$6)^2+($D58-CG$7)^2)</f>
        <v>0.979840014888349</v>
      </c>
      <c r="CH58" s="74" t="n">
        <f aca="false">SQRT(($B58-CH$5)^2+($C58-CH$6)^2+($D58-CH$7)^2)</f>
        <v>0.826897954590929</v>
      </c>
      <c r="CI58" s="74" t="n">
        <f aca="false">SQRT(($B58-CI$5)^2+($C58-CI$6)^2+($D58-CI$7)^2)</f>
        <v>0.824318084111536</v>
      </c>
      <c r="CJ58" s="74" t="n">
        <f aca="false">SQRT(($B58-CJ$5)^2+($C58-CJ$6)^2+($D58-CJ$7)^2)</f>
        <v>0.78586200833868</v>
      </c>
      <c r="CK58" s="74" t="n">
        <f aca="false">SQRT(($B58-CK$5)^2+($C58-CK$6)^2+($D58-CK$7)^2)</f>
        <v>1.15583784285004</v>
      </c>
      <c r="CL58" s="74" t="n">
        <f aca="false">SQRT(($B58-CL$5)^2+($C58-CL$6)^2+($D58-CL$7)^2)</f>
        <v>0.932377023105514</v>
      </c>
      <c r="CM58" s="74" t="n">
        <f aca="false">SQRT(($B58-CM$5)^2+($C58-CM$6)^2+($D58-CM$7)^2)</f>
        <v>1.01258491522657</v>
      </c>
      <c r="CN58" s="74" t="n">
        <f aca="false">SQRT(($B58-CN$5)^2+($C58-CN$6)^2+($D58-CN$7)^2)</f>
        <v>1.81109694878002</v>
      </c>
      <c r="CO58" s="74" t="n">
        <f aca="false">SQRT(($B58-CO$5)^2+($C58-CO$6)^2+($D58-CO$7)^2)</f>
        <v>1.28686652553471</v>
      </c>
      <c r="CP58" s="74" t="n">
        <f aca="false">SQRT(($B58-CP$5)^2+($C58-CP$6)^2+($D58-CP$7)^2)</f>
        <v>1.03450208694971</v>
      </c>
      <c r="CQ58" s="74" t="n">
        <f aca="false">SQRT(($B58-CQ$5)^2+($C58-CQ$6)^2+($D58-CQ$7)^2)</f>
        <v>1.1094963680837</v>
      </c>
      <c r="CR58" s="74" t="n">
        <f aca="false">SQRT(($B58-CR$5)^2+($C58-CR$6)^2+($D58-CR$7)^2)</f>
        <v>1.18522482635361</v>
      </c>
      <c r="CS58" s="74" t="n">
        <f aca="false">SQRT(($B58-CS$5)^2+($C58-CS$6)^2+($D58-CS$7)^2)</f>
        <v>1.11747778128948</v>
      </c>
      <c r="CT58" s="74" t="n">
        <f aca="false">SQRT(($B58-CT$5)^2+($C58-CT$6)^2+($D58-CT$7)^2)</f>
        <v>1.16507780825488</v>
      </c>
      <c r="CU58" s="74" t="n">
        <f aca="false">SQRT(($B58-CU$5)^2+($C58-CU$6)^2+($D58-CU$7)^2)</f>
        <v>1.23715977425505</v>
      </c>
      <c r="CV58" s="74" t="n">
        <f aca="false">SQRT(($B58-CV$5)^2+($C58-CV$6)^2+($D58-CV$7)^2)</f>
        <v>1.56252331938287</v>
      </c>
      <c r="CW58" s="74" t="n">
        <f aca="false">SQRT(($B58-CW$5)^2+($C58-CW$6)^2+($D58-CW$7)^2)</f>
        <v>1.16507780825488</v>
      </c>
      <c r="CX58" s="74" t="n">
        <f aca="false">SQRT(($B58-CX$5)^2+($C58-CX$6)^2+($D58-CX$7)^2)</f>
        <v>1.4156681926299</v>
      </c>
      <c r="CY58" s="74" t="n">
        <f aca="false">SQRT(($B58-CY$5)^2+($C58-CY$6)^2+($D58-CY$7)^2)</f>
        <v>1.21788354242004</v>
      </c>
      <c r="CZ58" s="74" t="n">
        <f aca="false">SQRT(($B58-CZ$5)^2+($C58-CZ$6)^2+($D58-CZ$7)^2)</f>
        <v>1.21788354242004</v>
      </c>
      <c r="DA58" s="74" t="n">
        <f aca="false">SQRT(($B58-DA$5)^2+($C58-DA$6)^2+($D58-DA$7)^2)</f>
        <v>1.21788354242004</v>
      </c>
      <c r="DB58" s="74" t="n">
        <f aca="false">SQRT(($B58-DB$5)^2+($C58-DB$6)^2+($D58-DB$7)^2)</f>
        <v>1.27711802160724</v>
      </c>
      <c r="DC58" s="74" t="n">
        <f aca="false">SQRT(($B58-DC$5)^2+($C58-DC$6)^2+($D58-DC$7)^2)</f>
        <v>1.27711802160724</v>
      </c>
      <c r="DD58" s="74" t="n">
        <f aca="false">SQRT(($B58-DD$5)^2+($C58-DD$6)^2+($D58-DD$7)^2)</f>
        <v>1.25026574739622</v>
      </c>
      <c r="DE58" s="74" t="n">
        <f aca="false">SQRT(($B58-DE$5)^2+($C58-DE$6)^2+($D58-DE$7)^2)</f>
        <v>1.38579713314056</v>
      </c>
      <c r="DF58" s="74" t="n">
        <f aca="false">SQRT(($B58-DF$5)^2+($C58-DF$6)^2+($D58-DF$7)^2)</f>
        <v>1.62881333480999</v>
      </c>
      <c r="DG58" s="74" t="n">
        <f aca="false">SQRT(($B58-DG$5)^2+($C58-DG$6)^2+($D58-DG$7)^2)</f>
        <v>1.77584857502609</v>
      </c>
      <c r="DH58" s="74" t="n">
        <f aca="false">SQRT(($B58-DH$5)^2+($C58-DH$6)^2+($D58-DH$7)^2)</f>
        <v>1.77584857502609</v>
      </c>
      <c r="DI58" s="74" t="n">
        <f aca="false">SQRT(($B58-DI$5)^2+($C58-DI$6)^2+($D58-DI$7)^2)</f>
        <v>1.77584857502609</v>
      </c>
      <c r="DJ58" s="74" t="n">
        <f aca="false">SQRT(($B58-DJ$5)^2+($C58-DJ$6)^2+($D58-DJ$7)^2)</f>
        <v>1.77584857502609</v>
      </c>
      <c r="DK58" s="74" t="n">
        <f aca="false">SQRT(($B58-DK$5)^2+($C58-DK$6)^2+($D58-DK$7)^2)</f>
        <v>1.98376768519845</v>
      </c>
      <c r="DL58" s="74" t="n">
        <f aca="false">SQRT(($B58-DL$5)^2+($C58-DL$6)^2+($D58-DL$7)^2)</f>
        <v>1.98376768519845</v>
      </c>
      <c r="DM58" s="74" t="n">
        <f aca="false">SQRT(($B58-DM$5)^2+($C58-DM$6)^2+($D58-DM$7)^2)</f>
        <v>1.98376768519845</v>
      </c>
      <c r="DN58" s="74" t="n">
        <f aca="false">SQRT(($B58-DN$5)^2+($C58-DN$6)^2+($D58-DN$7)^2)</f>
        <v>1.98376768519845</v>
      </c>
      <c r="DO58" s="74" t="n">
        <f aca="false">SQRT(($B58-DO$5)^2+($C58-DO$6)^2+($D58-DO$7)^2)</f>
        <v>1.98376768519845</v>
      </c>
      <c r="DP58" s="74" t="n">
        <f aca="false">SQRT(($B58-DP$5)^2+($C58-DP$6)^2+($D58-DP$7)^2)</f>
        <v>2.34049876920762</v>
      </c>
      <c r="DQ58" s="74" t="n">
        <f aca="false">SQRT(($B58-DQ$5)^2+($C58-DQ$6)^2+($D58-DQ$7)^2)</f>
        <v>2.34049876920762</v>
      </c>
    </row>
    <row r="59" customFormat="false" ht="15" hidden="false" customHeight="false" outlineLevel="0" collapsed="false">
      <c r="A59" s="48" t="str">
        <f aca="false">KMeans_Data!A50</f>
        <v>Bannu</v>
      </c>
      <c r="B59" s="72" t="n">
        <f aca="false">KMeans_Data!H50</f>
        <v>0.232528795764548</v>
      </c>
      <c r="C59" s="72" t="n">
        <f aca="false">KMeans_Data!I50</f>
        <v>0.160512589624996</v>
      </c>
      <c r="D59" s="72" t="n">
        <f aca="false">KMeans_Data!J50</f>
        <v>0.381616717142464</v>
      </c>
      <c r="E59" s="74" t="n">
        <f aca="false">SQRT(($B59-E$5)^2+($C59-E$6)^2+($D59-E$7)^2)</f>
        <v>5.70413302159258</v>
      </c>
      <c r="F59" s="74" t="n">
        <f aca="false">SQRT(($B59-F$5)^2+($C59-F$6)^2+($D59-F$7)^2)</f>
        <v>5.51013710107749</v>
      </c>
      <c r="G59" s="74" t="n">
        <f aca="false">SQRT(($B59-G$5)^2+($C59-G$6)^2+($D59-G$7)^2)</f>
        <v>3.61397945367306</v>
      </c>
      <c r="H59" s="74" t="n">
        <f aca="false">SQRT(($B59-H$5)^2+($C59-H$6)^2+($D59-H$7)^2)</f>
        <v>4.19705425036777</v>
      </c>
      <c r="I59" s="74" t="n">
        <f aca="false">SQRT(($B59-I$5)^2+($C59-I$6)^2+($D59-I$7)^2)</f>
        <v>3.01946888364744</v>
      </c>
      <c r="J59" s="74" t="n">
        <f aca="false">SQRT(($B59-J$5)^2+($C59-J$6)^2+($D59-J$7)^2)</f>
        <v>2.64663452529706</v>
      </c>
      <c r="K59" s="74" t="n">
        <f aca="false">SQRT(($B59-K$5)^2+($C59-K$6)^2+($D59-K$7)^2)</f>
        <v>1.63704873758696</v>
      </c>
      <c r="L59" s="74" t="n">
        <f aca="false">SQRT(($B59-L$5)^2+($C59-L$6)^2+($D59-L$7)^2)</f>
        <v>1.8034817995866</v>
      </c>
      <c r="M59" s="74" t="n">
        <f aca="false">SQRT(($B59-M$5)^2+($C59-M$6)^2+($D59-M$7)^2)</f>
        <v>1.97117400098526</v>
      </c>
      <c r="N59" s="74" t="n">
        <f aca="false">SQRT(($B59-N$5)^2+($C59-N$6)^2+($D59-N$7)^2)</f>
        <v>1.5773778657519</v>
      </c>
      <c r="O59" s="74" t="n">
        <f aca="false">SQRT(($B59-O$5)^2+($C59-O$6)^2+($D59-O$7)^2)</f>
        <v>1.70998939238727</v>
      </c>
      <c r="P59" s="74" t="n">
        <f aca="false">SQRT(($B59-P$5)^2+($C59-P$6)^2+($D59-P$7)^2)</f>
        <v>2.00055605094631</v>
      </c>
      <c r="Q59" s="74" t="n">
        <f aca="false">SQRT(($B59-Q$5)^2+($C59-Q$6)^2+($D59-Q$7)^2)</f>
        <v>1.35598384038139</v>
      </c>
      <c r="R59" s="74" t="n">
        <f aca="false">SQRT(($B59-R$5)^2+($C59-R$6)^2+($D59-R$7)^2)</f>
        <v>1.37141316387543</v>
      </c>
      <c r="S59" s="74" t="n">
        <f aca="false">SQRT(($B59-S$5)^2+($C59-S$6)^2+($D59-S$7)^2)</f>
        <v>1.14553929563377</v>
      </c>
      <c r="T59" s="74" t="n">
        <f aca="false">SQRT(($B59-T$5)^2+($C59-T$6)^2+($D59-T$7)^2)</f>
        <v>1.27212111085917</v>
      </c>
      <c r="U59" s="74" t="n">
        <f aca="false">SQRT(($B59-U$5)^2+($C59-U$6)^2+($D59-U$7)^2)</f>
        <v>1.38233513019328</v>
      </c>
      <c r="V59" s="74" t="n">
        <f aca="false">SQRT(($B59-V$5)^2+($C59-V$6)^2+($D59-V$7)^2)</f>
        <v>1.38952862796422</v>
      </c>
      <c r="W59" s="74" t="n">
        <f aca="false">SQRT(($B59-W$5)^2+($C59-W$6)^2+($D59-W$7)^2)</f>
        <v>1.47579234973369</v>
      </c>
      <c r="X59" s="74" t="n">
        <f aca="false">SQRT(($B59-X$5)^2+($C59-X$6)^2+($D59-X$7)^2)</f>
        <v>1.10143873660755</v>
      </c>
      <c r="Y59" s="74" t="n">
        <f aca="false">SQRT(($B59-Y$5)^2+($C59-Y$6)^2+($D59-Y$7)^2)</f>
        <v>1.22875841702102</v>
      </c>
      <c r="Z59" s="74" t="n">
        <f aca="false">SQRT(($B59-Z$5)^2+($C59-Z$6)^2+($D59-Z$7)^2)</f>
        <v>0.880251813996924</v>
      </c>
      <c r="AA59" s="74" t="n">
        <f aca="false">SQRT(($B59-AA$5)^2+($C59-AA$6)^2+($D59-AA$7)^2)</f>
        <v>0.79857721336699</v>
      </c>
      <c r="AB59" s="74" t="n">
        <f aca="false">SQRT(($B59-AB$5)^2+($C59-AB$6)^2+($D59-AB$7)^2)</f>
        <v>0.731559662180661</v>
      </c>
      <c r="AC59" s="74" t="n">
        <f aca="false">SQRT(($B59-AC$5)^2+($C59-AC$6)^2+($D59-AC$7)^2)</f>
        <v>1.37470122409992</v>
      </c>
      <c r="AD59" s="74" t="n">
        <f aca="false">SQRT(($B59-AD$5)^2+($C59-AD$6)^2+($D59-AD$7)^2)</f>
        <v>1.20141314937528</v>
      </c>
      <c r="AE59" s="74" t="n">
        <f aca="false">SQRT(($B59-AE$5)^2+($C59-AE$6)^2+($D59-AE$7)^2)</f>
        <v>1.61175911830142</v>
      </c>
      <c r="AF59" s="74" t="n">
        <f aca="false">SQRT(($B59-AF$5)^2+($C59-AF$6)^2+($D59-AF$7)^2)</f>
        <v>0.809195170168598</v>
      </c>
      <c r="AG59" s="74" t="n">
        <f aca="false">SQRT(($B59-AG$5)^2+($C59-AG$6)^2+($D59-AG$7)^2)</f>
        <v>1.19332464291005</v>
      </c>
      <c r="AH59" s="74" t="n">
        <f aca="false">SQRT(($B59-AH$5)^2+($C59-AH$6)^2+($D59-AH$7)^2)</f>
        <v>0.528320310611688</v>
      </c>
      <c r="AI59" s="74" t="n">
        <f aca="false">SQRT(($B59-AI$5)^2+($C59-AI$6)^2+($D59-AI$7)^2)</f>
        <v>1.19241316604894</v>
      </c>
      <c r="AJ59" s="74" t="n">
        <f aca="false">SQRT(($B59-AJ$5)^2+($C59-AJ$6)^2+($D59-AJ$7)^2)</f>
        <v>0.893518983141522</v>
      </c>
      <c r="AK59" s="74" t="n">
        <f aca="false">SQRT(($B59-AK$5)^2+($C59-AK$6)^2+($D59-AK$7)^2)</f>
        <v>0.382167359755365</v>
      </c>
      <c r="AL59" s="74" t="n">
        <f aca="false">SQRT(($B59-AL$5)^2+($C59-AL$6)^2+($D59-AL$7)^2)</f>
        <v>0.432672322994376</v>
      </c>
      <c r="AM59" s="74" t="n">
        <f aca="false">SQRT(($B59-AM$5)^2+($C59-AM$6)^2+($D59-AM$7)^2)</f>
        <v>1.24856219921041</v>
      </c>
      <c r="AN59" s="74" t="n">
        <f aca="false">SQRT(($B59-AN$5)^2+($C59-AN$6)^2+($D59-AN$7)^2)</f>
        <v>1.06493660138929</v>
      </c>
      <c r="AO59" s="74" t="n">
        <f aca="false">SQRT(($B59-AO$5)^2+($C59-AO$6)^2+($D59-AO$7)^2)</f>
        <v>0.336108194333043</v>
      </c>
      <c r="AP59" s="74" t="n">
        <f aca="false">SQRT(($B59-AP$5)^2+($C59-AP$6)^2+($D59-AP$7)^2)</f>
        <v>0.304018556766319</v>
      </c>
      <c r="AQ59" s="74" t="n">
        <f aca="false">SQRT(($B59-AQ$5)^2+($C59-AQ$6)^2+($D59-AQ$7)^2)</f>
        <v>1.15249884315864</v>
      </c>
      <c r="AR59" s="74" t="n">
        <f aca="false">SQRT(($B59-AR$5)^2+($C59-AR$6)^2+($D59-AR$7)^2)</f>
        <v>0.486410261783287</v>
      </c>
      <c r="AS59" s="74" t="n">
        <f aca="false">SQRT(($B59-AS$5)^2+($C59-AS$6)^2+($D59-AS$7)^2)</f>
        <v>1.04756244886654</v>
      </c>
      <c r="AT59" s="74" t="n">
        <f aca="false">SQRT(($B59-AT$5)^2+($C59-AT$6)^2+($D59-AT$7)^2)</f>
        <v>0.500408368277373</v>
      </c>
      <c r="AU59" s="74" t="n">
        <f aca="false">SQRT(($B59-AU$5)^2+($C59-AU$6)^2+($D59-AU$7)^2)</f>
        <v>1.0640097299991</v>
      </c>
      <c r="AV59" s="74" t="n">
        <f aca="false">SQRT(($B59-AV$5)^2+($C59-AV$6)^2+($D59-AV$7)^2)</f>
        <v>0.84410011114996</v>
      </c>
      <c r="AW59" s="74" t="n">
        <f aca="false">SQRT(($B59-AW$5)^2+($C59-AW$6)^2+($D59-AW$7)^2)</f>
        <v>1.46587352199215</v>
      </c>
      <c r="AX59" s="74" t="n">
        <f aca="false">SQRT(($B59-AX$5)^2+($C59-AX$6)^2+($D59-AX$7)^2)</f>
        <v>0</v>
      </c>
      <c r="AY59" s="74" t="n">
        <f aca="false">SQRT(($B59-AY$5)^2+($C59-AY$6)^2+($D59-AY$7)^2)</f>
        <v>1.7400235842162</v>
      </c>
      <c r="AZ59" s="74" t="n">
        <f aca="false">SQRT(($B59-AZ$5)^2+($C59-AZ$6)^2+($D59-AZ$7)^2)</f>
        <v>1.05774569757549</v>
      </c>
      <c r="BA59" s="74" t="n">
        <f aca="false">SQRT(($B59-BA$5)^2+($C59-BA$6)^2+($D59-BA$7)^2)</f>
        <v>0.517258327498746</v>
      </c>
      <c r="BB59" s="74" t="n">
        <f aca="false">SQRT(($B59-BB$5)^2+($C59-BB$6)^2+($D59-BB$7)^2)</f>
        <v>1.74015461568817</v>
      </c>
      <c r="BC59" s="74" t="n">
        <f aca="false">SQRT(($B59-BC$5)^2+($C59-BC$6)^2+($D59-BC$7)^2)</f>
        <v>1.74031240784043</v>
      </c>
      <c r="BD59" s="74" t="n">
        <f aca="false">SQRT(($B59-BD$5)^2+($C59-BD$6)^2+($D59-BD$7)^2)</f>
        <v>1.21712362742647</v>
      </c>
      <c r="BE59" s="74" t="n">
        <f aca="false">SQRT(($B59-BE$5)^2+($C59-BE$6)^2+($D59-BE$7)^2)</f>
        <v>1.04486374144202</v>
      </c>
      <c r="BF59" s="74" t="n">
        <f aca="false">SQRT(($B59-BF$5)^2+($C59-BF$6)^2+($D59-BF$7)^2)</f>
        <v>1.28613429562736</v>
      </c>
      <c r="BG59" s="74" t="n">
        <f aca="false">SQRT(($B59-BG$5)^2+($C59-BG$6)^2+($D59-BG$7)^2)</f>
        <v>0.409786560935088</v>
      </c>
      <c r="BH59" s="74" t="n">
        <f aca="false">SQRT(($B59-BH$5)^2+($C59-BH$6)^2+($D59-BH$7)^2)</f>
        <v>1.745995313248</v>
      </c>
      <c r="BI59" s="74" t="n">
        <f aca="false">SQRT(($B59-BI$5)^2+($C59-BI$6)^2+($D59-BI$7)^2)</f>
        <v>1.74747066059177</v>
      </c>
      <c r="BJ59" s="74" t="n">
        <f aca="false">SQRT(($B59-BJ$5)^2+($C59-BJ$6)^2+($D59-BJ$7)^2)</f>
        <v>0.578396318161404</v>
      </c>
      <c r="BK59" s="74" t="n">
        <f aca="false">SQRT(($B59-BK$5)^2+($C59-BK$6)^2+($D59-BK$7)^2)</f>
        <v>1.16455035962317</v>
      </c>
      <c r="BL59" s="74" t="n">
        <f aca="false">SQRT(($B59-BL$5)^2+($C59-BL$6)^2+($D59-BL$7)^2)</f>
        <v>0.866152063895713</v>
      </c>
      <c r="BM59" s="74" t="n">
        <f aca="false">SQRT(($B59-BM$5)^2+($C59-BM$6)^2+($D59-BM$7)^2)</f>
        <v>0.485000693181788</v>
      </c>
      <c r="BN59" s="74" t="n">
        <f aca="false">SQRT(($B59-BN$5)^2+($C59-BN$6)^2+($D59-BN$7)^2)</f>
        <v>0.437014720176224</v>
      </c>
      <c r="BO59" s="74" t="n">
        <f aca="false">SQRT(($B59-BO$5)^2+($C59-BO$6)^2+($D59-BO$7)^2)</f>
        <v>1.49573005571532</v>
      </c>
      <c r="BP59" s="74" t="n">
        <f aca="false">SQRT(($B59-BP$5)^2+($C59-BP$6)^2+($D59-BP$7)^2)</f>
        <v>0.350901486571318</v>
      </c>
      <c r="BQ59" s="74" t="n">
        <f aca="false">SQRT(($B59-BQ$5)^2+($C59-BQ$6)^2+($D59-BQ$7)^2)</f>
        <v>0.460438316734279</v>
      </c>
      <c r="BR59" s="74" t="n">
        <f aca="false">SQRT(($B59-BR$5)^2+($C59-BR$6)^2+($D59-BR$7)^2)</f>
        <v>0.481216091814912</v>
      </c>
      <c r="BS59" s="74" t="n">
        <f aca="false">SQRT(($B59-BS$5)^2+($C59-BS$6)^2+($D59-BS$7)^2)</f>
        <v>0.951361138131449</v>
      </c>
      <c r="BT59" s="74" t="n">
        <f aca="false">SQRT(($B59-BT$5)^2+($C59-BT$6)^2+($D59-BT$7)^2)</f>
        <v>0.964058341743239</v>
      </c>
      <c r="BU59" s="74" t="n">
        <f aca="false">SQRT(($B59-BU$5)^2+($C59-BU$6)^2+($D59-BU$7)^2)</f>
        <v>0.984019515441584</v>
      </c>
      <c r="BV59" s="74" t="n">
        <f aca="false">SQRT(($B59-BV$5)^2+($C59-BV$6)^2+($D59-BV$7)^2)</f>
        <v>1.8080882309453</v>
      </c>
      <c r="BW59" s="74" t="n">
        <f aca="false">SQRT(($B59-BW$5)^2+($C59-BW$6)^2+($D59-BW$7)^2)</f>
        <v>0.980659694027148</v>
      </c>
      <c r="BX59" s="74" t="n">
        <f aca="false">SQRT(($B59-BX$5)^2+($C59-BX$6)^2+($D59-BX$7)^2)</f>
        <v>1.81251568376892</v>
      </c>
      <c r="BY59" s="74" t="n">
        <f aca="false">SQRT(($B59-BY$5)^2+($C59-BY$6)^2+($D59-BY$7)^2)</f>
        <v>1.14266972964082</v>
      </c>
      <c r="BZ59" s="74" t="n">
        <f aca="false">SQRT(($B59-BZ$5)^2+($C59-BZ$6)^2+($D59-BZ$7)^2)</f>
        <v>1.18267450991935</v>
      </c>
      <c r="CA59" s="74" t="n">
        <f aca="false">SQRT(($B59-CA$5)^2+($C59-CA$6)^2+($D59-CA$7)^2)</f>
        <v>1.82755017649888</v>
      </c>
      <c r="CB59" s="74" t="n">
        <f aca="false">SQRT(($B59-CB$5)^2+($C59-CB$6)^2+($D59-CB$7)^2)</f>
        <v>1.19142641927205</v>
      </c>
      <c r="CC59" s="74" t="n">
        <f aca="false">SQRT(($B59-CC$5)^2+($C59-CC$6)^2+($D59-CC$7)^2)</f>
        <v>1.83322599909218</v>
      </c>
      <c r="CD59" s="74" t="n">
        <f aca="false">SQRT(($B59-CD$5)^2+($C59-CD$6)^2+($D59-CD$7)^2)</f>
        <v>1.84574911727622</v>
      </c>
      <c r="CE59" s="74" t="n">
        <f aca="false">SQRT(($B59-CE$5)^2+($C59-CE$6)^2+($D59-CE$7)^2)</f>
        <v>1.10207077406747</v>
      </c>
      <c r="CF59" s="74" t="n">
        <f aca="false">SQRT(($B59-CF$5)^2+($C59-CF$6)^2+($D59-CF$7)^2)</f>
        <v>0.74768650635695</v>
      </c>
      <c r="CG59" s="74" t="n">
        <f aca="false">SQRT(($B59-CG$5)^2+($C59-CG$6)^2+($D59-CG$7)^2)</f>
        <v>1.09549488272994</v>
      </c>
      <c r="CH59" s="74" t="n">
        <f aca="false">SQRT(($B59-CH$5)^2+($C59-CH$6)^2+($D59-CH$7)^2)</f>
        <v>1.34153502661254</v>
      </c>
      <c r="CI59" s="74" t="n">
        <f aca="false">SQRT(($B59-CI$5)^2+($C59-CI$6)^2+($D59-CI$7)^2)</f>
        <v>1.42978062096204</v>
      </c>
      <c r="CJ59" s="74" t="n">
        <f aca="false">SQRT(($B59-CJ$5)^2+($C59-CJ$6)^2+($D59-CJ$7)^2)</f>
        <v>1.66036035428755</v>
      </c>
      <c r="CK59" s="74" t="n">
        <f aca="false">SQRT(($B59-CK$5)^2+($C59-CK$6)^2+($D59-CK$7)^2)</f>
        <v>1.25258916066405</v>
      </c>
      <c r="CL59" s="74" t="n">
        <f aca="false">SQRT(($B59-CL$5)^2+($C59-CL$6)^2+($D59-CL$7)^2)</f>
        <v>1.94479445818178</v>
      </c>
      <c r="CM59" s="74" t="n">
        <f aca="false">SQRT(($B59-CM$5)^2+($C59-CM$6)^2+($D59-CM$7)^2)</f>
        <v>1.39121352815753</v>
      </c>
      <c r="CN59" s="74" t="n">
        <f aca="false">SQRT(($B59-CN$5)^2+($C59-CN$6)^2+($D59-CN$7)^2)</f>
        <v>1.01818486659476</v>
      </c>
      <c r="CO59" s="74" t="n">
        <f aca="false">SQRT(($B59-CO$5)^2+($C59-CO$6)^2+($D59-CO$7)^2)</f>
        <v>1.1693436261901</v>
      </c>
      <c r="CP59" s="74" t="n">
        <f aca="false">SQRT(($B59-CP$5)^2+($C59-CP$6)^2+($D59-CP$7)^2)</f>
        <v>1.99543914956875</v>
      </c>
      <c r="CQ59" s="74" t="n">
        <f aca="false">SQRT(($B59-CQ$5)^2+($C59-CQ$6)^2+($D59-CQ$7)^2)</f>
        <v>1.53071790864791</v>
      </c>
      <c r="CR59" s="74" t="n">
        <f aca="false">SQRT(($B59-CR$5)^2+($C59-CR$6)^2+($D59-CR$7)^2)</f>
        <v>1.52070064613805</v>
      </c>
      <c r="CS59" s="74" t="n">
        <f aca="false">SQRT(($B59-CS$5)^2+($C59-CS$6)^2+($D59-CS$7)^2)</f>
        <v>2.03943150382913</v>
      </c>
      <c r="CT59" s="74" t="n">
        <f aca="false">SQRT(($B59-CT$5)^2+($C59-CT$6)^2+($D59-CT$7)^2)</f>
        <v>2.06575086068352</v>
      </c>
      <c r="CU59" s="74" t="n">
        <f aca="false">SQRT(($B59-CU$5)^2+($C59-CU$6)^2+($D59-CU$7)^2)</f>
        <v>1.67026377899866</v>
      </c>
      <c r="CV59" s="74" t="n">
        <f aca="false">SQRT(($B59-CV$5)^2+($C59-CV$6)^2+($D59-CV$7)^2)</f>
        <v>1.39583779718467</v>
      </c>
      <c r="CW59" s="74" t="n">
        <f aca="false">SQRT(($B59-CW$5)^2+($C59-CW$6)^2+($D59-CW$7)^2)</f>
        <v>2.06575086068352</v>
      </c>
      <c r="CX59" s="74" t="n">
        <f aca="false">SQRT(($B59-CX$5)^2+($C59-CX$6)^2+($D59-CX$7)^2)</f>
        <v>1.49435767967361</v>
      </c>
      <c r="CY59" s="74" t="n">
        <f aca="false">SQRT(($B59-CY$5)^2+($C59-CY$6)^2+($D59-CY$7)^2)</f>
        <v>2.09582752355135</v>
      </c>
      <c r="CZ59" s="74" t="n">
        <f aca="false">SQRT(($B59-CZ$5)^2+($C59-CZ$6)^2+($D59-CZ$7)^2)</f>
        <v>2.09582752355135</v>
      </c>
      <c r="DA59" s="74" t="n">
        <f aca="false">SQRT(($B59-DA$5)^2+($C59-DA$6)^2+($D59-DA$7)^2)</f>
        <v>1.68610580126018</v>
      </c>
      <c r="DB59" s="74" t="n">
        <f aca="false">SQRT(($B59-DB$5)^2+($C59-DB$6)^2+($D59-DB$7)^2)</f>
        <v>2.13061887156825</v>
      </c>
      <c r="DC59" s="74" t="n">
        <f aca="false">SQRT(($B59-DC$5)^2+($C59-DC$6)^2+($D59-DC$7)^2)</f>
        <v>2.13061887156825</v>
      </c>
      <c r="DD59" s="74" t="n">
        <f aca="false">SQRT(($B59-DD$5)^2+($C59-DD$6)^2+($D59-DD$7)^2)</f>
        <v>1.8010244836264</v>
      </c>
      <c r="DE59" s="74" t="n">
        <f aca="false">SQRT(($B59-DE$5)^2+($C59-DE$6)^2+($D59-DE$7)^2)</f>
        <v>2.0130442042793</v>
      </c>
      <c r="DF59" s="74" t="n">
        <f aca="false">SQRT(($B59-DF$5)^2+($C59-DF$6)^2+($D59-DF$7)^2)</f>
        <v>2.35736017142755</v>
      </c>
      <c r="DG59" s="74" t="n">
        <f aca="false">SQRT(($B59-DG$5)^2+($C59-DG$6)^2+($D59-DG$7)^2)</f>
        <v>2.46087978509911</v>
      </c>
      <c r="DH59" s="74" t="n">
        <f aca="false">SQRT(($B59-DH$5)^2+($C59-DH$6)^2+($D59-DH$7)^2)</f>
        <v>2.46087978509911</v>
      </c>
      <c r="DI59" s="74" t="n">
        <f aca="false">SQRT(($B59-DI$5)^2+($C59-DI$6)^2+($D59-DI$7)^2)</f>
        <v>2.46087978509911</v>
      </c>
      <c r="DJ59" s="74" t="n">
        <f aca="false">SQRT(($B59-DJ$5)^2+($C59-DJ$6)^2+($D59-DJ$7)^2)</f>
        <v>2.46087978509911</v>
      </c>
      <c r="DK59" s="74" t="n">
        <f aca="false">SQRT(($B59-DK$5)^2+($C59-DK$6)^2+($D59-DK$7)^2)</f>
        <v>2.61439401973479</v>
      </c>
      <c r="DL59" s="74" t="n">
        <f aca="false">SQRT(($B59-DL$5)^2+($C59-DL$6)^2+($D59-DL$7)^2)</f>
        <v>2.61439401973479</v>
      </c>
      <c r="DM59" s="74" t="n">
        <f aca="false">SQRT(($B59-DM$5)^2+($C59-DM$6)^2+($D59-DM$7)^2)</f>
        <v>2.61439401973479</v>
      </c>
      <c r="DN59" s="74" t="n">
        <f aca="false">SQRT(($B59-DN$5)^2+($C59-DN$6)^2+($D59-DN$7)^2)</f>
        <v>2.61439401973479</v>
      </c>
      <c r="DO59" s="74" t="n">
        <f aca="false">SQRT(($B59-DO$5)^2+($C59-DO$6)^2+($D59-DO$7)^2)</f>
        <v>2.61439401973479</v>
      </c>
      <c r="DP59" s="74" t="n">
        <f aca="false">SQRT(($B59-DP$5)^2+($C59-DP$6)^2+($D59-DP$7)^2)</f>
        <v>2.89365929467502</v>
      </c>
      <c r="DQ59" s="74" t="n">
        <f aca="false">SQRT(($B59-DQ$5)^2+($C59-DQ$6)^2+($D59-DQ$7)^2)</f>
        <v>2.89365929467502</v>
      </c>
    </row>
    <row r="60" customFormat="false" ht="15" hidden="false" customHeight="false" outlineLevel="0" collapsed="false">
      <c r="A60" s="48" t="str">
        <f aca="false">KMeans_Data!A51</f>
        <v>Lodhran</v>
      </c>
      <c r="B60" s="72" t="n">
        <f aca="false">KMeans_Data!H51</f>
        <v>0.200975497781959</v>
      </c>
      <c r="C60" s="72" t="n">
        <f aca="false">KMeans_Data!I51</f>
        <v>-0.672650545388274</v>
      </c>
      <c r="D60" s="72" t="n">
        <f aca="false">KMeans_Data!J51</f>
        <v>-1.14564411633355</v>
      </c>
      <c r="E60" s="74" t="n">
        <f aca="false">SQRT(($B60-E$5)^2+($C60-E$6)^2+($D60-E$7)^2)</f>
        <v>7.14067054710151</v>
      </c>
      <c r="F60" s="74" t="n">
        <f aca="false">SQRT(($B60-F$5)^2+($C60-F$6)^2+($D60-F$7)^2)</f>
        <v>6.87465927222536</v>
      </c>
      <c r="G60" s="74" t="n">
        <f aca="false">SQRT(($B60-G$5)^2+($C60-G$6)^2+($D60-G$7)^2)</f>
        <v>5.08518914027567</v>
      </c>
      <c r="H60" s="74" t="n">
        <f aca="false">SQRT(($B60-H$5)^2+($C60-H$6)^2+($D60-H$7)^2)</f>
        <v>5.503395641683</v>
      </c>
      <c r="I60" s="74" t="n">
        <f aca="false">SQRT(($B60-I$5)^2+($C60-I$6)^2+($D60-I$7)^2)</f>
        <v>4.41116944786672</v>
      </c>
      <c r="J60" s="74" t="n">
        <f aca="false">SQRT(($B60-J$5)^2+($C60-J$6)^2+($D60-J$7)^2)</f>
        <v>4.09942058379209</v>
      </c>
      <c r="K60" s="74" t="n">
        <f aca="false">SQRT(($B60-K$5)^2+($C60-K$6)^2+($D60-K$7)^2)</f>
        <v>1.446900764945</v>
      </c>
      <c r="L60" s="74" t="n">
        <f aca="false">SQRT(($B60-L$5)^2+($C60-L$6)^2+($D60-L$7)^2)</f>
        <v>3.36517595003441</v>
      </c>
      <c r="M60" s="74" t="n">
        <f aca="false">SQRT(($B60-M$5)^2+($C60-M$6)^2+($D60-M$7)^2)</f>
        <v>3.56975881425888</v>
      </c>
      <c r="N60" s="74" t="n">
        <f aca="false">SQRT(($B60-N$5)^2+($C60-N$6)^2+($D60-N$7)^2)</f>
        <v>1.17499828219542</v>
      </c>
      <c r="O60" s="74" t="n">
        <f aca="false">SQRT(($B60-O$5)^2+($C60-O$6)^2+($D60-O$7)^2)</f>
        <v>3.17086484249845</v>
      </c>
      <c r="P60" s="74" t="n">
        <f aca="false">SQRT(($B60-P$5)^2+($C60-P$6)^2+($D60-P$7)^2)</f>
        <v>3.48774058072978</v>
      </c>
      <c r="Q60" s="74" t="n">
        <f aca="false">SQRT(($B60-Q$5)^2+($C60-Q$6)^2+($D60-Q$7)^2)</f>
        <v>2.90526293847173</v>
      </c>
      <c r="R60" s="74" t="n">
        <f aca="false">SQRT(($B60-R$5)^2+($C60-R$6)^2+($D60-R$7)^2)</f>
        <v>2.94083599570945</v>
      </c>
      <c r="S60" s="74" t="n">
        <f aca="false">SQRT(($B60-S$5)^2+($C60-S$6)^2+($D60-S$7)^2)</f>
        <v>2.50500986779847</v>
      </c>
      <c r="T60" s="74" t="n">
        <f aca="false">SQRT(($B60-T$5)^2+($C60-T$6)^2+($D60-T$7)^2)</f>
        <v>2.82173413592648</v>
      </c>
      <c r="U60" s="74" t="n">
        <f aca="false">SQRT(($B60-U$5)^2+($C60-U$6)^2+($D60-U$7)^2)</f>
        <v>3.00220509089464</v>
      </c>
      <c r="V60" s="74" t="n">
        <f aca="false">SQRT(($B60-V$5)^2+($C60-V$6)^2+($D60-V$7)^2)</f>
        <v>2.78469459029558</v>
      </c>
      <c r="W60" s="74" t="n">
        <f aca="false">SQRT(($B60-W$5)^2+($C60-W$6)^2+($D60-W$7)^2)</f>
        <v>2.99447343396605</v>
      </c>
      <c r="X60" s="74" t="n">
        <f aca="false">SQRT(($B60-X$5)^2+($C60-X$6)^2+($D60-X$7)^2)</f>
        <v>2.71127696945132</v>
      </c>
      <c r="Y60" s="74" t="n">
        <f aca="false">SQRT(($B60-Y$5)^2+($C60-Y$6)^2+($D60-Y$7)^2)</f>
        <v>2.88999732903811</v>
      </c>
      <c r="Z60" s="74" t="n">
        <f aca="false">SQRT(($B60-Z$5)^2+($C60-Z$6)^2+($D60-Z$7)^2)</f>
        <v>2.37301607825616</v>
      </c>
      <c r="AA60" s="74" t="n">
        <f aca="false">SQRT(($B60-AA$5)^2+($C60-AA$6)^2+($D60-AA$7)^2)</f>
        <v>2.33792140076097</v>
      </c>
      <c r="AB60" s="74" t="n">
        <f aca="false">SQRT(($B60-AB$5)^2+($C60-AB$6)^2+($D60-AB$7)^2)</f>
        <v>2.26171117839122</v>
      </c>
      <c r="AC60" s="74" t="n">
        <f aca="false">SQRT(($B60-AC$5)^2+($C60-AC$6)^2+($D60-AC$7)^2)</f>
        <v>2.83590842075098</v>
      </c>
      <c r="AD60" s="74" t="n">
        <f aca="false">SQRT(($B60-AD$5)^2+($C60-AD$6)^2+($D60-AD$7)^2)</f>
        <v>2.88289517889159</v>
      </c>
      <c r="AE60" s="74" t="n">
        <f aca="false">SQRT(($B60-AE$5)^2+($C60-AE$6)^2+($D60-AE$7)^2)</f>
        <v>0.688536235872892</v>
      </c>
      <c r="AF60" s="74" t="n">
        <f aca="false">SQRT(($B60-AF$5)^2+($C60-AF$6)^2+($D60-AF$7)^2)</f>
        <v>2.46644509063117</v>
      </c>
      <c r="AG60" s="74" t="n">
        <f aca="false">SQRT(($B60-AG$5)^2+($C60-AG$6)^2+($D60-AG$7)^2)</f>
        <v>0.835570277793497</v>
      </c>
      <c r="AH60" s="74" t="n">
        <f aca="false">SQRT(($B60-AH$5)^2+($C60-AH$6)^2+($D60-AH$7)^2)</f>
        <v>2.13311472248203</v>
      </c>
      <c r="AI60" s="74" t="n">
        <f aca="false">SQRT(($B60-AI$5)^2+($C60-AI$6)^2+($D60-AI$7)^2)</f>
        <v>0.834148354610933</v>
      </c>
      <c r="AJ60" s="74" t="n">
        <f aca="false">SQRT(($B60-AJ$5)^2+($C60-AJ$6)^2+($D60-AJ$7)^2)</f>
        <v>2.59388905641995</v>
      </c>
      <c r="AK60" s="74" t="n">
        <f aca="false">SQRT(($B60-AK$5)^2+($C60-AK$6)^2+($D60-AK$7)^2)</f>
        <v>1.80728503640632</v>
      </c>
      <c r="AL60" s="74" t="n">
        <f aca="false">SQRT(($B60-AL$5)^2+($C60-AL$6)^2+($D60-AL$7)^2)</f>
        <v>1.7996964990744</v>
      </c>
      <c r="AM60" s="74" t="n">
        <f aca="false">SQRT(($B60-AM$5)^2+($C60-AM$6)^2+($D60-AM$7)^2)</f>
        <v>2.53168043993145</v>
      </c>
      <c r="AN60" s="74" t="n">
        <f aca="false">SQRT(($B60-AN$5)^2+($C60-AN$6)^2+($D60-AN$7)^2)</f>
        <v>2.6172925308836</v>
      </c>
      <c r="AO60" s="74" t="n">
        <f aca="false">SQRT(($B60-AO$5)^2+($C60-AO$6)^2+($D60-AO$7)^2)</f>
        <v>2.00014697314669</v>
      </c>
      <c r="AP60" s="74" t="n">
        <f aca="false">SQRT(($B60-AP$5)^2+($C60-AP$6)^2+($D60-AP$7)^2)</f>
        <v>1.93301302432155</v>
      </c>
      <c r="AQ60" s="74" t="n">
        <f aca="false">SQRT(($B60-AQ$5)^2+($C60-AQ$6)^2+($D60-AQ$7)^2)</f>
        <v>2.64086271000203</v>
      </c>
      <c r="AR60" s="74" t="n">
        <f aca="false">SQRT(($B60-AR$5)^2+($C60-AR$6)^2+($D60-AR$7)^2)</f>
        <v>1.36686487574638</v>
      </c>
      <c r="AS60" s="74" t="n">
        <f aca="false">SQRT(($B60-AS$5)^2+($C60-AS$6)^2+($D60-AS$7)^2)</f>
        <v>2.15972787283436</v>
      </c>
      <c r="AT60" s="74" t="n">
        <f aca="false">SQRT(($B60-AT$5)^2+($C60-AT$6)^2+($D60-AT$7)^2)</f>
        <v>1.99188325438343</v>
      </c>
      <c r="AU60" s="74" t="n">
        <f aca="false">SQRT(($B60-AU$5)^2+($C60-AU$6)^2+($D60-AU$7)^2)</f>
        <v>0.734338985595546</v>
      </c>
      <c r="AV60" s="74" t="n">
        <f aca="false">SQRT(($B60-AV$5)^2+($C60-AV$6)^2+($D60-AV$7)^2)</f>
        <v>1.66149687012237</v>
      </c>
      <c r="AW60" s="74" t="n">
        <f aca="false">SQRT(($B60-AW$5)^2+($C60-AW$6)^2+($D60-AW$7)^2)</f>
        <v>0.32339611118537</v>
      </c>
      <c r="AX60" s="74" t="n">
        <f aca="false">SQRT(($B60-AX$5)^2+($C60-AX$6)^2+($D60-AX$7)^2)</f>
        <v>1.7400235842162</v>
      </c>
      <c r="AY60" s="74" t="n">
        <f aca="false">SQRT(($B60-AY$5)^2+($C60-AY$6)^2+($D60-AY$7)^2)</f>
        <v>0</v>
      </c>
      <c r="AZ60" s="74" t="n">
        <f aca="false">SQRT(($B60-AZ$5)^2+($C60-AZ$6)^2+($D60-AZ$7)^2)</f>
        <v>2.17815985834912</v>
      </c>
      <c r="BA60" s="74" t="n">
        <f aca="false">SQRT(($B60-BA$5)^2+($C60-BA$6)^2+($D60-BA$7)^2)</f>
        <v>2.01136497783831</v>
      </c>
      <c r="BB60" s="74" t="n">
        <f aca="false">SQRT(($B60-BB$5)^2+($C60-BB$6)^2+($D60-BB$7)^2)</f>
        <v>0.00654687899634082</v>
      </c>
      <c r="BC60" s="74" t="n">
        <f aca="false">SQRT(($B60-BC$5)^2+($C60-BC$6)^2+($D60-BC$7)^2)</f>
        <v>0.0131771599666733</v>
      </c>
      <c r="BD60" s="74" t="n">
        <f aca="false">SQRT(($B60-BD$5)^2+($C60-BD$6)^2+($D60-BD$7)^2)</f>
        <v>0.643273807587422</v>
      </c>
      <c r="BE60" s="74" t="n">
        <f aca="false">SQRT(($B60-BE$5)^2+($C60-BE$6)^2+($D60-BE$7)^2)</f>
        <v>0.9029756109934</v>
      </c>
      <c r="BF60" s="74" t="n">
        <f aca="false">SQRT(($B60-BF$5)^2+($C60-BF$6)^2+($D60-BF$7)^2)</f>
        <v>2.81222297448816</v>
      </c>
      <c r="BG60" s="74" t="n">
        <f aca="false">SQRT(($B60-BG$5)^2+($C60-BG$6)^2+($D60-BG$7)^2)</f>
        <v>1.84335318925663</v>
      </c>
      <c r="BH60" s="74" t="n">
        <f aca="false">SQRT(($B60-BH$5)^2+($C60-BH$6)^2+($D60-BH$7)^2)</f>
        <v>0.116139528075398</v>
      </c>
      <c r="BI60" s="74" t="n">
        <f aca="false">SQRT(($B60-BI$5)^2+($C60-BI$6)^2+($D60-BI$7)^2)</f>
        <v>0.132663773645333</v>
      </c>
      <c r="BJ60" s="74" t="n">
        <f aca="false">SQRT(($B60-BJ$5)^2+($C60-BJ$6)^2+($D60-BJ$7)^2)</f>
        <v>1.68724958950069</v>
      </c>
      <c r="BK60" s="74" t="n">
        <f aca="false">SQRT(($B60-BK$5)^2+($C60-BK$6)^2+($D60-BK$7)^2)</f>
        <v>0.770874506736687</v>
      </c>
      <c r="BL60" s="74" t="n">
        <f aca="false">SQRT(($B60-BL$5)^2+($C60-BL$6)^2+($D60-BL$7)^2)</f>
        <v>1.52356819130537</v>
      </c>
      <c r="BM60" s="74" t="n">
        <f aca="false">SQRT(($B60-BM$5)^2+($C60-BM$6)^2+($D60-BM$7)^2)</f>
        <v>2.0637306794982</v>
      </c>
      <c r="BN60" s="74" t="n">
        <f aca="false">SQRT(($B60-BN$5)^2+($C60-BN$6)^2+($D60-BN$7)^2)</f>
        <v>1.47197478610799</v>
      </c>
      <c r="BO60" s="74" t="n">
        <f aca="false">SQRT(($B60-BO$5)^2+($C60-BO$6)^2+($D60-BO$7)^2)</f>
        <v>0.416958953553995</v>
      </c>
      <c r="BP60" s="74" t="n">
        <f aca="false">SQRT(($B60-BP$5)^2+($C60-BP$6)^2+($D60-BP$7)^2)</f>
        <v>1.66559446913189</v>
      </c>
      <c r="BQ60" s="74" t="n">
        <f aca="false">SQRT(($B60-BQ$5)^2+($C60-BQ$6)^2+($D60-BQ$7)^2)</f>
        <v>1.64489211897899</v>
      </c>
      <c r="BR60" s="74" t="n">
        <f aca="false">SQRT(($B60-BR$5)^2+($C60-BR$6)^2+($D60-BR$7)^2)</f>
        <v>1.69494508587137</v>
      </c>
      <c r="BS60" s="74" t="n">
        <f aca="false">SQRT(($B60-BS$5)^2+($C60-BS$6)^2+($D60-BS$7)^2)</f>
        <v>1.78256888373039</v>
      </c>
      <c r="BT60" s="74" t="n">
        <f aca="false">SQRT(($B60-BT$5)^2+($C60-BT$6)^2+($D60-BT$7)^2)</f>
        <v>1.40236946501594</v>
      </c>
      <c r="BU60" s="74" t="n">
        <f aca="false">SQRT(($B60-BU$5)^2+($C60-BU$6)^2+($D60-BU$7)^2)</f>
        <v>1.32191575244852</v>
      </c>
      <c r="BV60" s="74" t="n">
        <f aca="false">SQRT(($B60-BV$5)^2+($C60-BV$6)^2+($D60-BV$7)^2)</f>
        <v>0.460886127599791</v>
      </c>
      <c r="BW60" s="74" t="n">
        <f aca="false">SQRT(($B60-BW$5)^2+($C60-BW$6)^2+($D60-BW$7)^2)</f>
        <v>1.50966662265151</v>
      </c>
      <c r="BX60" s="74" t="n">
        <f aca="false">SQRT(($B60-BX$5)^2+($C60-BX$6)^2+($D60-BX$7)^2)</f>
        <v>0.476901853327045</v>
      </c>
      <c r="BY60" s="74" t="n">
        <f aca="false">SQRT(($B60-BY$5)^2+($C60-BY$6)^2+($D60-BY$7)^2)</f>
        <v>1.09046608508226</v>
      </c>
      <c r="BZ60" s="74" t="n">
        <f aca="false">SQRT(($B60-BZ$5)^2+($C60-BZ$6)^2+($D60-BZ$7)^2)</f>
        <v>1.04499871739745</v>
      </c>
      <c r="CA60" s="74" t="n">
        <f aca="false">SQRT(($B60-CA$5)^2+($C60-CA$6)^2+($D60-CA$7)^2)</f>
        <v>0.528136959754747</v>
      </c>
      <c r="CB60" s="74" t="n">
        <f aca="false">SQRT(($B60-CB$5)^2+($C60-CB$6)^2+($D60-CB$7)^2)</f>
        <v>1.05434702915707</v>
      </c>
      <c r="CC60" s="74" t="n">
        <f aca="false">SQRT(($B60-CC$5)^2+($C60-CC$6)^2+($D60-CC$7)^2)</f>
        <v>0.546400939593829</v>
      </c>
      <c r="CD60" s="74" t="n">
        <f aca="false">SQRT(($B60-CD$5)^2+($C60-CD$6)^2+($D60-CD$7)^2)</f>
        <v>0.584971917163504</v>
      </c>
      <c r="CE60" s="74" t="n">
        <f aca="false">SQRT(($B60-CE$5)^2+($C60-CE$6)^2+($D60-CE$7)^2)</f>
        <v>1.3338664831801</v>
      </c>
      <c r="CF60" s="74" t="n">
        <f aca="false">SQRT(($B60-CF$5)^2+($C60-CF$6)^2+($D60-CF$7)^2)</f>
        <v>1.51443352098844</v>
      </c>
      <c r="CG60" s="74" t="n">
        <f aca="false">SQRT(($B60-CG$5)^2+($C60-CG$6)^2+($D60-CG$7)^2)</f>
        <v>1.13314463664758</v>
      </c>
      <c r="CH60" s="74" t="n">
        <f aca="false">SQRT(($B60-CH$5)^2+($C60-CH$6)^2+($D60-CH$7)^2)</f>
        <v>1.00383790528822</v>
      </c>
      <c r="CI60" s="74" t="n">
        <f aca="false">SQRT(($B60-CI$5)^2+($C60-CI$6)^2+($D60-CI$7)^2)</f>
        <v>0.966059366796661</v>
      </c>
      <c r="CJ60" s="74" t="n">
        <f aca="false">SQRT(($B60-CJ$5)^2+($C60-CJ$6)^2+($D60-CJ$7)^2)</f>
        <v>0.814250140987038</v>
      </c>
      <c r="CK60" s="74" t="n">
        <f aca="false">SQRT(($B60-CK$5)^2+($C60-CK$6)^2+($D60-CK$7)^2)</f>
        <v>1.37277006932618</v>
      </c>
      <c r="CL60" s="74" t="n">
        <f aca="false">SQRT(($B60-CL$5)^2+($C60-CL$6)^2+($D60-CL$7)^2)</f>
        <v>0.837664178578693</v>
      </c>
      <c r="CM60" s="74" t="n">
        <f aca="false">SQRT(($B60-CM$5)^2+($C60-CM$6)^2+($D60-CM$7)^2)</f>
        <v>1.17942974860863</v>
      </c>
      <c r="CN60" s="74" t="n">
        <f aca="false">SQRT(($B60-CN$5)^2+($C60-CN$6)^2+($D60-CN$7)^2)</f>
        <v>2.06080242485616</v>
      </c>
      <c r="CO60" s="74" t="n">
        <f aca="false">SQRT(($B60-CO$5)^2+($C60-CO$6)^2+($D60-CO$7)^2)</f>
        <v>1.44888007172869</v>
      </c>
      <c r="CP60" s="74" t="n">
        <f aca="false">SQRT(($B60-CP$5)^2+($C60-CP$6)^2+($D60-CP$7)^2)</f>
        <v>0.945734242415152</v>
      </c>
      <c r="CQ60" s="74" t="n">
        <f aca="false">SQRT(($B60-CQ$5)^2+($C60-CQ$6)^2+($D60-CQ$7)^2)</f>
        <v>1.23740173049273</v>
      </c>
      <c r="CR60" s="74" t="n">
        <f aca="false">SQRT(($B60-CR$5)^2+($C60-CR$6)^2+($D60-CR$7)^2)</f>
        <v>1.32506719288247</v>
      </c>
      <c r="CS60" s="74" t="n">
        <f aca="false">SQRT(($B60-CS$5)^2+($C60-CS$6)^2+($D60-CS$7)^2)</f>
        <v>1.03268088479662</v>
      </c>
      <c r="CT60" s="74" t="n">
        <f aca="false">SQRT(($B60-CT$5)^2+($C60-CT$6)^2+($D60-CT$7)^2)</f>
        <v>1.08228697575494</v>
      </c>
      <c r="CU60" s="74" t="n">
        <f aca="false">SQRT(($B60-CU$5)^2+($C60-CU$6)^2+($D60-CU$7)^2)</f>
        <v>1.2453270835734</v>
      </c>
      <c r="CV60" s="74" t="n">
        <f aca="false">SQRT(($B60-CV$5)^2+($C60-CV$6)^2+($D60-CV$7)^2)</f>
        <v>1.77812065399064</v>
      </c>
      <c r="CW60" s="74" t="n">
        <f aca="false">SQRT(($B60-CW$5)^2+($C60-CW$6)^2+($D60-CW$7)^2)</f>
        <v>1.08228697575494</v>
      </c>
      <c r="CX60" s="74" t="n">
        <f aca="false">SQRT(($B60-CX$5)^2+($C60-CX$6)^2+($D60-CX$7)^2)</f>
        <v>1.58988484602989</v>
      </c>
      <c r="CY60" s="74" t="n">
        <f aca="false">SQRT(($B60-CY$5)^2+($C60-CY$6)^2+($D60-CY$7)^2)</f>
        <v>1.13712396519162</v>
      </c>
      <c r="CZ60" s="74" t="n">
        <f aca="false">SQRT(($B60-CZ$5)^2+($C60-CZ$6)^2+($D60-CZ$7)^2)</f>
        <v>1.13712396519162</v>
      </c>
      <c r="DA60" s="74" t="n">
        <f aca="false">SQRT(($B60-DA$5)^2+($C60-DA$6)^2+($D60-DA$7)^2)</f>
        <v>1.30603361025082</v>
      </c>
      <c r="DB60" s="74" t="n">
        <f aca="false">SQRT(($B60-DB$5)^2+($C60-DB$6)^2+($D60-DB$7)^2)</f>
        <v>1.19842650383034</v>
      </c>
      <c r="DC60" s="74" t="n">
        <f aca="false">SQRT(($B60-DC$5)^2+($C60-DC$6)^2+($D60-DC$7)^2)</f>
        <v>1.19842650383034</v>
      </c>
      <c r="DD60" s="74" t="n">
        <f aca="false">SQRT(($B60-DD$5)^2+($C60-DD$6)^2+($D60-DD$7)^2)</f>
        <v>1.30207357785005</v>
      </c>
      <c r="DE60" s="74" t="n">
        <f aca="false">SQRT(($B60-DE$5)^2+($C60-DE$6)^2+($D60-DE$7)^2)</f>
        <v>1.38589100973482</v>
      </c>
      <c r="DF60" s="74" t="n">
        <f aca="false">SQRT(($B60-DF$5)^2+($C60-DF$6)^2+($D60-DF$7)^2)</f>
        <v>1.55918882908199</v>
      </c>
      <c r="DG60" s="74" t="n">
        <f aca="false">SQRT(($B60-DG$5)^2+($C60-DG$6)^2+($D60-DG$7)^2)</f>
        <v>1.70891872238845</v>
      </c>
      <c r="DH60" s="74" t="n">
        <f aca="false">SQRT(($B60-DH$5)^2+($C60-DH$6)^2+($D60-DH$7)^2)</f>
        <v>1.70891872238845</v>
      </c>
      <c r="DI60" s="74" t="n">
        <f aca="false">SQRT(($B60-DI$5)^2+($C60-DI$6)^2+($D60-DI$7)^2)</f>
        <v>1.70891872238845</v>
      </c>
      <c r="DJ60" s="74" t="n">
        <f aca="false">SQRT(($B60-DJ$5)^2+($C60-DJ$6)^2+($D60-DJ$7)^2)</f>
        <v>1.70891872238845</v>
      </c>
      <c r="DK60" s="74" t="n">
        <f aca="false">SQRT(($B60-DK$5)^2+($C60-DK$6)^2+($D60-DK$7)^2)</f>
        <v>1.91995115433364</v>
      </c>
      <c r="DL60" s="74" t="n">
        <f aca="false">SQRT(($B60-DL$5)^2+($C60-DL$6)^2+($D60-DL$7)^2)</f>
        <v>1.91995115433364</v>
      </c>
      <c r="DM60" s="74" t="n">
        <f aca="false">SQRT(($B60-DM$5)^2+($C60-DM$6)^2+($D60-DM$7)^2)</f>
        <v>1.91995115433364</v>
      </c>
      <c r="DN60" s="74" t="n">
        <f aca="false">SQRT(($B60-DN$5)^2+($C60-DN$6)^2+($D60-DN$7)^2)</f>
        <v>1.91995115433364</v>
      </c>
      <c r="DO60" s="74" t="n">
        <f aca="false">SQRT(($B60-DO$5)^2+($C60-DO$6)^2+($D60-DO$7)^2)</f>
        <v>1.91995115433364</v>
      </c>
      <c r="DP60" s="74" t="n">
        <f aca="false">SQRT(($B60-DP$5)^2+($C60-DP$6)^2+($D60-DP$7)^2)</f>
        <v>2.28071347958528</v>
      </c>
      <c r="DQ60" s="74" t="n">
        <f aca="false">SQRT(($B60-DQ$5)^2+($C60-DQ$6)^2+($D60-DQ$7)^2)</f>
        <v>2.28071347958528</v>
      </c>
    </row>
    <row r="61" customFormat="false" ht="15" hidden="false" customHeight="false" outlineLevel="0" collapsed="false">
      <c r="A61" s="48" t="str">
        <f aca="false">KMeans_Data!A52</f>
        <v>Jacobabad</v>
      </c>
      <c r="B61" s="72" t="n">
        <f aca="false">KMeans_Data!H52</f>
        <v>0.200975497781959</v>
      </c>
      <c r="C61" s="72" t="n">
        <f aca="false">KMeans_Data!I52</f>
        <v>-0.672650545388274</v>
      </c>
      <c r="D61" s="72" t="n">
        <f aca="false">KMeans_Data!J52</f>
        <v>1.03251574201556</v>
      </c>
      <c r="E61" s="74" t="n">
        <f aca="false">SQRT(($B61-E$5)^2+($C61-E$6)^2+($D61-E$7)^2)</f>
        <v>6.04755380426011</v>
      </c>
      <c r="F61" s="74" t="n">
        <f aca="false">SQRT(($B61-F$5)^2+($C61-F$6)^2+($D61-F$7)^2)</f>
        <v>5.94452329740744</v>
      </c>
      <c r="G61" s="74" t="n">
        <f aca="false">SQRT(($B61-G$5)^2+($C61-G$6)^2+($D61-G$7)^2)</f>
        <v>3.90870791667225</v>
      </c>
      <c r="H61" s="74" t="n">
        <f aca="false">SQRT(($B61-H$5)^2+($C61-H$6)^2+($D61-H$7)^2)</f>
        <v>4.78507319598016</v>
      </c>
      <c r="I61" s="74" t="n">
        <f aca="false">SQRT(($B61-I$5)^2+($C61-I$6)^2+($D61-I$7)^2)</f>
        <v>3.43823134577221</v>
      </c>
      <c r="J61" s="74" t="n">
        <f aca="false">SQRT(($B61-J$5)^2+($C61-J$6)^2+($D61-J$7)^2)</f>
        <v>3.20480393699322</v>
      </c>
      <c r="K61" s="74" t="n">
        <f aca="false">SQRT(($B61-K$5)^2+($C61-K$6)^2+($D61-K$7)^2)</f>
        <v>2.33209360323118</v>
      </c>
      <c r="L61" s="74" t="n">
        <f aca="false">SQRT(($B61-L$5)^2+($C61-L$6)^2+($D61-L$7)^2)</f>
        <v>1.88902032213753</v>
      </c>
      <c r="M61" s="74" t="n">
        <f aca="false">SQRT(($B61-M$5)^2+($C61-M$6)^2+($D61-M$7)^2)</f>
        <v>2.26065931767445</v>
      </c>
      <c r="N61" s="74" t="n">
        <f aca="false">SQRT(($B61-N$5)^2+($C61-N$6)^2+($D61-N$7)^2)</f>
        <v>2.1738812556797</v>
      </c>
      <c r="O61" s="74" t="n">
        <f aca="false">SQRT(($B61-O$5)^2+($C61-O$6)^2+($D61-O$7)^2)</f>
        <v>2.3457203869828</v>
      </c>
      <c r="P61" s="74" t="n">
        <f aca="false">SQRT(($B61-P$5)^2+($C61-P$6)^2+($D61-P$7)^2)</f>
        <v>2.61431320750315</v>
      </c>
      <c r="Q61" s="74" t="n">
        <f aca="false">SQRT(($B61-Q$5)^2+($C61-Q$6)^2+($D61-Q$7)^2)</f>
        <v>1.86739309862656</v>
      </c>
      <c r="R61" s="74" t="n">
        <f aca="false">SQRT(($B61-R$5)^2+($C61-R$6)^2+($D61-R$7)^2)</f>
        <v>1.41299396506918</v>
      </c>
      <c r="S61" s="74" t="n">
        <f aca="false">SQRT(($B61-S$5)^2+($C61-S$6)^2+($D61-S$7)^2)</f>
        <v>0.972303258363252</v>
      </c>
      <c r="T61" s="74" t="n">
        <f aca="false">SQRT(($B61-T$5)^2+($C61-T$6)^2+($D61-T$7)^2)</f>
        <v>1.83581825669786</v>
      </c>
      <c r="U61" s="74" t="n">
        <f aca="false">SQRT(($B61-U$5)^2+($C61-U$6)^2+($D61-U$7)^2)</f>
        <v>1.36742891703223</v>
      </c>
      <c r="V61" s="74" t="n">
        <f aca="false">SQRT(($B61-V$5)^2+($C61-V$6)^2+($D61-V$7)^2)</f>
        <v>2.19419117627018</v>
      </c>
      <c r="W61" s="74" t="n">
        <f aca="false">SQRT(($B61-W$5)^2+($C61-W$6)^2+($D61-W$7)^2)</f>
        <v>2.15641735113626</v>
      </c>
      <c r="X61" s="74" t="n">
        <f aca="false">SQRT(($B61-X$5)^2+($C61-X$6)^2+($D61-X$7)^2)</f>
        <v>1.60884235528245</v>
      </c>
      <c r="Y61" s="74" t="n">
        <f aca="false">SQRT(($B61-Y$5)^2+($C61-Y$6)^2+($D61-Y$7)^2)</f>
        <v>1.60629540529568</v>
      </c>
      <c r="Z61" s="74" t="n">
        <f aca="false">SQRT(($B61-Z$5)^2+($C61-Z$6)^2+($D61-Z$7)^2)</f>
        <v>1.64047440225768</v>
      </c>
      <c r="AA61" s="74" t="n">
        <f aca="false">SQRT(($B61-AA$5)^2+($C61-AA$6)^2+($D61-AA$7)^2)</f>
        <v>1.01921702067511</v>
      </c>
      <c r="AB61" s="74" t="n">
        <f aca="false">SQRT(($B61-AB$5)^2+($C61-AB$6)^2+($D61-AB$7)^2)</f>
        <v>1.40092803414875</v>
      </c>
      <c r="AC61" s="74" t="n">
        <f aca="false">SQRT(($B61-AC$5)^2+($C61-AC$6)^2+($D61-AC$7)^2)</f>
        <v>2.15061258226929</v>
      </c>
      <c r="AD61" s="74" t="n">
        <f aca="false">SQRT(($B61-AD$5)^2+($C61-AD$6)^2+($D61-AD$7)^2)</f>
        <v>1.57972661144291</v>
      </c>
      <c r="AE61" s="74" t="n">
        <f aca="false">SQRT(($B61-AE$5)^2+($C61-AE$6)^2+($D61-AE$7)^2)</f>
        <v>2.2843954378858</v>
      </c>
      <c r="AF61" s="74" t="n">
        <f aca="false">SQRT(($B61-AF$5)^2+($C61-AF$6)^2+($D61-AF$7)^2)</f>
        <v>1.4258104305311</v>
      </c>
      <c r="AG61" s="74" t="n">
        <f aca="false">SQRT(($B61-AG$5)^2+($C61-AG$6)^2+($D61-AG$7)^2)</f>
        <v>1.4810873146242</v>
      </c>
      <c r="AH61" s="74" t="n">
        <f aca="false">SQRT(($B61-AH$5)^2+($C61-AH$6)^2+($D61-AH$7)^2)</f>
        <v>0.948213625958048</v>
      </c>
      <c r="AI61" s="74" t="n">
        <f aca="false">SQRT(($B61-AI$5)^2+($C61-AI$6)^2+($D61-AI$7)^2)</f>
        <v>1.48028558795556</v>
      </c>
      <c r="AJ61" s="74" t="n">
        <f aca="false">SQRT(($B61-AJ$5)^2+($C61-AJ$6)^2+($D61-AJ$7)^2)</f>
        <v>1.27717760141729</v>
      </c>
      <c r="AK61" s="74" t="n">
        <f aca="false">SQRT(($B61-AK$5)^2+($C61-AK$6)^2+($D61-AK$7)^2)</f>
        <v>1.33072809334191</v>
      </c>
      <c r="AL61" s="74" t="n">
        <f aca="false">SQRT(($B61-AL$5)^2+($C61-AL$6)^2+($D61-AL$7)^2)</f>
        <v>0.766637531942854</v>
      </c>
      <c r="AM61" s="74" t="n">
        <f aca="false">SQRT(($B61-AM$5)^2+($C61-AM$6)^2+($D61-AM$7)^2)</f>
        <v>2.19641300042494</v>
      </c>
      <c r="AN61" s="74" t="n">
        <f aca="false">SQRT(($B61-AN$5)^2+($C61-AN$6)^2+($D61-AN$7)^2)</f>
        <v>1.86244674123603</v>
      </c>
      <c r="AO61" s="74" t="n">
        <f aca="false">SQRT(($B61-AO$5)^2+($C61-AO$6)^2+($D61-AO$7)^2)</f>
        <v>1.18399733877683</v>
      </c>
      <c r="AP61" s="74" t="n">
        <f aca="false">SQRT(($B61-AP$5)^2+($C61-AP$6)^2+($D61-AP$7)^2)</f>
        <v>1.21848743582762</v>
      </c>
      <c r="AQ61" s="74" t="n">
        <f aca="false">SQRT(($B61-AQ$5)^2+($C61-AQ$6)^2+($D61-AQ$7)^2)</f>
        <v>1.99743296600747</v>
      </c>
      <c r="AR61" s="74" t="n">
        <f aca="false">SQRT(($B61-AR$5)^2+($C61-AR$6)^2+($D61-AR$7)^2)</f>
        <v>1.40161332580276</v>
      </c>
      <c r="AS61" s="74" t="n">
        <f aca="false">SQRT(($B61-AS$5)^2+($C61-AS$6)^2+($D61-AS$7)^2)</f>
        <v>0.118123207587148</v>
      </c>
      <c r="AT61" s="74" t="n">
        <f aca="false">SQRT(($B61-AT$5)^2+($C61-AT$6)^2+($D61-AT$7)^2)</f>
        <v>0.590186781346922</v>
      </c>
      <c r="AU61" s="74" t="n">
        <f aca="false">SQRT(($B61-AU$5)^2+($C61-AU$6)^2+($D61-AU$7)^2)</f>
        <v>1.75096790961021</v>
      </c>
      <c r="AV61" s="74" t="n">
        <f aca="false">SQRT(($B61-AV$5)^2+($C61-AV$6)^2+($D61-AV$7)^2)</f>
        <v>0.520555467324401</v>
      </c>
      <c r="AW61" s="74" t="n">
        <f aca="false">SQRT(($B61-AW$5)^2+($C61-AW$6)^2+($D61-AW$7)^2)</f>
        <v>1.85734320882361</v>
      </c>
      <c r="AX61" s="74" t="n">
        <f aca="false">SQRT(($B61-AX$5)^2+($C61-AX$6)^2+($D61-AX$7)^2)</f>
        <v>1.05774569757549</v>
      </c>
      <c r="AY61" s="74" t="n">
        <f aca="false">SQRT(($B61-AY$5)^2+($C61-AY$6)^2+($D61-AY$7)^2)</f>
        <v>2.17815985834912</v>
      </c>
      <c r="AZ61" s="74" t="n">
        <f aca="false">SQRT(($B61-AZ$5)^2+($C61-AZ$6)^2+($D61-AZ$7)^2)</f>
        <v>0</v>
      </c>
      <c r="BA61" s="74" t="n">
        <f aca="false">SQRT(($B61-BA$5)^2+($C61-BA$6)^2+($D61-BA$7)^2)</f>
        <v>0.576542830899411</v>
      </c>
      <c r="BB61" s="74" t="n">
        <f aca="false">SQRT(($B61-BB$5)^2+($C61-BB$6)^2+($D61-BB$7)^2)</f>
        <v>2.17816969727981</v>
      </c>
      <c r="BC61" s="74" t="n">
        <f aca="false">SQRT(($B61-BC$5)^2+($C61-BC$6)^2+($D61-BC$7)^2)</f>
        <v>2.17819971675424</v>
      </c>
      <c r="BD61" s="74" t="n">
        <f aca="false">SQRT(($B61-BD$5)^2+($C61-BD$6)^2+($D61-BD$7)^2)</f>
        <v>1.53613095934927</v>
      </c>
      <c r="BE61" s="74" t="n">
        <f aca="false">SQRT(($B61-BE$5)^2+($C61-BE$6)^2+($D61-BE$7)^2)</f>
        <v>1.27733217271028</v>
      </c>
      <c r="BF61" s="74" t="n">
        <f aca="false">SQRT(($B61-BF$5)^2+($C61-BF$6)^2+($D61-BF$7)^2)</f>
        <v>2.07106726013969</v>
      </c>
      <c r="BG61" s="74" t="n">
        <f aca="false">SQRT(($B61-BG$5)^2+($C61-BG$6)^2+($D61-BG$7)^2)</f>
        <v>0.676684518178923</v>
      </c>
      <c r="BH61" s="74" t="n">
        <f aca="false">SQRT(($B61-BH$5)^2+($C61-BH$6)^2+($D61-BH$7)^2)</f>
        <v>2.18125394177409</v>
      </c>
      <c r="BI61" s="74" t="n">
        <f aca="false">SQRT(($B61-BI$5)^2+($C61-BI$6)^2+($D61-BI$7)^2)</f>
        <v>2.18219615189865</v>
      </c>
      <c r="BJ61" s="74" t="n">
        <f aca="false">SQRT(($B61-BJ$5)^2+($C61-BJ$6)^2+($D61-BJ$7)^2)</f>
        <v>1.60466906750562</v>
      </c>
      <c r="BK61" s="74" t="n">
        <f aca="false">SQRT(($B61-BK$5)^2+($C61-BK$6)^2+($D61-BK$7)^2)</f>
        <v>1.44557581936934</v>
      </c>
      <c r="BL61" s="74" t="n">
        <f aca="false">SQRT(($B61-BL$5)^2+($C61-BL$6)^2+($D61-BL$7)^2)</f>
        <v>0.69899179256585</v>
      </c>
      <c r="BM61" s="74" t="n">
        <f aca="false">SQRT(($B61-BM$5)^2+($C61-BM$6)^2+($D61-BM$7)^2)</f>
        <v>1.35139129003385</v>
      </c>
      <c r="BN61" s="74" t="n">
        <f aca="false">SQRT(($B61-BN$5)^2+($C61-BN$6)^2+($D61-BN$7)^2)</f>
        <v>1.31654125698538</v>
      </c>
      <c r="BO61" s="74" t="n">
        <f aca="false">SQRT(($B61-BO$5)^2+($C61-BO$6)^2+($D61-BO$7)^2)</f>
        <v>1.87589805682031</v>
      </c>
      <c r="BP61" s="74" t="n">
        <f aca="false">SQRT(($B61-BP$5)^2+($C61-BP$6)^2+($D61-BP$7)^2)</f>
        <v>1.17161084289555</v>
      </c>
      <c r="BQ61" s="74" t="n">
        <f aca="false">SQRT(($B61-BQ$5)^2+($C61-BQ$6)^2+($D61-BQ$7)^2)</f>
        <v>0.892644369382393</v>
      </c>
      <c r="BR61" s="74" t="n">
        <f aca="false">SQRT(($B61-BR$5)^2+($C61-BR$6)^2+($D61-BR$7)^2)</f>
        <v>0.866771986645889</v>
      </c>
      <c r="BS61" s="74" t="n">
        <f aca="false">SQRT(($B61-BS$5)^2+($C61-BS$6)^2+($D61-BS$7)^2)</f>
        <v>0.573826384281808</v>
      </c>
      <c r="BT61" s="74" t="n">
        <f aca="false">SQRT(($B61-BT$5)^2+($C61-BT$6)^2+($D61-BT$7)^2)</f>
        <v>0.936102494086021</v>
      </c>
      <c r="BU61" s="74" t="n">
        <f aca="false">SQRT(($B61-BU$5)^2+($C61-BU$6)^2+($D61-BU$7)^2)</f>
        <v>1.01250071959291</v>
      </c>
      <c r="BV61" s="74" t="n">
        <f aca="false">SQRT(($B61-BV$5)^2+($C61-BV$6)^2+($D61-BV$7)^2)</f>
        <v>2.22638639753691</v>
      </c>
      <c r="BW61" s="74" t="n">
        <f aca="false">SQRT(($B61-BW$5)^2+($C61-BW$6)^2+($D61-BW$7)^2)</f>
        <v>0.885240852615384</v>
      </c>
      <c r="BX61" s="74" t="n">
        <f aca="false">SQRT(($B61-BX$5)^2+($C61-BX$6)^2+($D61-BX$7)^2)</f>
        <v>2.22975688052088</v>
      </c>
      <c r="BY61" s="74" t="n">
        <f aca="false">SQRT(($B61-BY$5)^2+($C61-BY$6)^2+($D61-BY$7)^2)</f>
        <v>1.3174869250083</v>
      </c>
      <c r="BZ61" s="74" t="n">
        <f aca="false">SQRT(($B61-BZ$5)^2+($C61-BZ$6)^2+($D61-BZ$7)^2)</f>
        <v>1.38138873773973</v>
      </c>
      <c r="CA61" s="74" t="n">
        <f aca="false">SQRT(($B61-CA$5)^2+($C61-CA$6)^2+($D61-CA$7)^2)</f>
        <v>2.2412739718255</v>
      </c>
      <c r="CB61" s="74" t="n">
        <f aca="false">SQRT(($B61-CB$5)^2+($C61-CB$6)^2+($D61-CB$7)^2)</f>
        <v>1.38847404847343</v>
      </c>
      <c r="CC61" s="74" t="n">
        <f aca="false">SQRT(($B61-CC$5)^2+($C61-CC$6)^2+($D61-CC$7)^2)</f>
        <v>2.24564786983901</v>
      </c>
      <c r="CD61" s="74" t="n">
        <f aca="false">SQRT(($B61-CD$5)^2+($C61-CD$6)^2+($D61-CD$7)^2)</f>
        <v>2.25534310303186</v>
      </c>
      <c r="CE61" s="74" t="n">
        <f aca="false">SQRT(($B61-CE$5)^2+($C61-CE$6)^2+($D61-CE$7)^2)</f>
        <v>1.16007366376373</v>
      </c>
      <c r="CF61" s="74" t="n">
        <f aca="false">SQRT(($B61-CF$5)^2+($C61-CF$6)^2+($D61-CF$7)^2)</f>
        <v>1.20038443277832</v>
      </c>
      <c r="CG61" s="74" t="n">
        <f aca="false">SQRT(($B61-CG$5)^2+($C61-CG$6)^2+($D61-CG$7)^2)</f>
        <v>1.66717087065843</v>
      </c>
      <c r="CH61" s="74" t="n">
        <f aca="false">SQRT(($B61-CH$5)^2+($C61-CH$6)^2+($D61-CH$7)^2)</f>
        <v>1.58212909855746</v>
      </c>
      <c r="CI61" s="74" t="n">
        <f aca="false">SQRT(($B61-CI$5)^2+($C61-CI$6)^2+($D61-CI$7)^2)</f>
        <v>1.69681107755661</v>
      </c>
      <c r="CJ61" s="74" t="n">
        <f aca="false">SQRT(($B61-CJ$5)^2+($C61-CJ$6)^2+($D61-CJ$7)^2)</f>
        <v>2.00203447590964</v>
      </c>
      <c r="CK61" s="74" t="n">
        <f aca="false">SQRT(($B61-CK$5)^2+($C61-CK$6)^2+($D61-CK$7)^2)</f>
        <v>1.33727234949321</v>
      </c>
      <c r="CL61" s="74" t="n">
        <f aca="false">SQRT(($B61-CL$5)^2+($C61-CL$6)^2+($D61-CL$7)^2)</f>
        <v>2.33367985049307</v>
      </c>
      <c r="CM61" s="74" t="n">
        <f aca="false">SQRT(($B61-CM$5)^2+($C61-CM$6)^2+($D61-CM$7)^2)</f>
        <v>1.58696181073527</v>
      </c>
      <c r="CN61" s="74" t="n">
        <f aca="false">SQRT(($B61-CN$5)^2+($C61-CN$6)^2+($D61-CN$7)^2)</f>
        <v>1.12360546229855</v>
      </c>
      <c r="CO61" s="74" t="n">
        <f aca="false">SQRT(($B61-CO$5)^2+($C61-CO$6)^2+($D61-CO$7)^2)</f>
        <v>1.62662502658287</v>
      </c>
      <c r="CP61" s="74" t="n">
        <f aca="false">SQRT(($B61-CP$5)^2+($C61-CP$6)^2+($D61-CP$7)^2)</f>
        <v>2.37461441623688</v>
      </c>
      <c r="CQ61" s="74" t="n">
        <f aca="false">SQRT(($B61-CQ$5)^2+($C61-CQ$6)^2+($D61-CQ$7)^2)</f>
        <v>1.73971405323841</v>
      </c>
      <c r="CR61" s="74" t="n">
        <f aca="false">SQRT(($B61-CR$5)^2+($C61-CR$6)^2+($D61-CR$7)^2)</f>
        <v>1.69799773924543</v>
      </c>
      <c r="CS61" s="74" t="n">
        <f aca="false">SQRT(($B61-CS$5)^2+($C61-CS$6)^2+($D61-CS$7)^2)</f>
        <v>2.41056221208825</v>
      </c>
      <c r="CT61" s="74" t="n">
        <f aca="false">SQRT(($B61-CT$5)^2+($C61-CT$6)^2+($D61-CT$7)^2)</f>
        <v>2.4322264422566</v>
      </c>
      <c r="CU61" s="74" t="n">
        <f aca="false">SQRT(($B61-CU$5)^2+($C61-CU$6)^2+($D61-CU$7)^2)</f>
        <v>2.21268576524431</v>
      </c>
      <c r="CV61" s="74" t="n">
        <f aca="false">SQRT(($B61-CV$5)^2+($C61-CV$6)^2+($D61-CV$7)^2)</f>
        <v>1.32671778903269</v>
      </c>
      <c r="CW61" s="74" t="n">
        <f aca="false">SQRT(($B61-CW$5)^2+($C61-CW$6)^2+($D61-CW$7)^2)</f>
        <v>2.4322264422566</v>
      </c>
      <c r="CX61" s="74" t="n">
        <f aca="false">SQRT(($B61-CX$5)^2+($C61-CX$6)^2+($D61-CX$7)^2)</f>
        <v>1.55933751866515</v>
      </c>
      <c r="CY61" s="74" t="n">
        <f aca="false">SQRT(($B61-CY$5)^2+($C61-CY$6)^2+($D61-CY$7)^2)</f>
        <v>2.4571184913912</v>
      </c>
      <c r="CZ61" s="74" t="n">
        <f aca="false">SQRT(($B61-CZ$5)^2+($C61-CZ$6)^2+($D61-CZ$7)^2)</f>
        <v>2.4571184913912</v>
      </c>
      <c r="DA61" s="74" t="n">
        <f aca="false">SQRT(($B61-DA$5)^2+($C61-DA$6)^2+($D61-DA$7)^2)</f>
        <v>1.91092148552683</v>
      </c>
      <c r="DB61" s="74" t="n">
        <f aca="false">SQRT(($B61-DB$5)^2+($C61-DB$6)^2+($D61-DB$7)^2)</f>
        <v>2.48608255164756</v>
      </c>
      <c r="DC61" s="74" t="n">
        <f aca="false">SQRT(($B61-DC$5)^2+($C61-DC$6)^2+($D61-DC$7)^2)</f>
        <v>2.48608255164756</v>
      </c>
      <c r="DD61" s="74" t="n">
        <f aca="false">SQRT(($B61-DD$5)^2+($C61-DD$6)^2+($D61-DD$7)^2)</f>
        <v>2.05475800931752</v>
      </c>
      <c r="DE61" s="74" t="n">
        <f aca="false">SQRT(($B61-DE$5)^2+($C61-DE$6)^2+($D61-DE$7)^2)</f>
        <v>2.29474021220206</v>
      </c>
      <c r="DF61" s="74" t="n">
        <f aca="false">SQRT(($B61-DF$5)^2+($C61-DF$6)^2+($D61-DF$7)^2)</f>
        <v>2.67870307672528</v>
      </c>
      <c r="DG61" s="74" t="n">
        <f aca="false">SQRT(($B61-DG$5)^2+($C61-DG$6)^2+($D61-DG$7)^2)</f>
        <v>2.76853455247595</v>
      </c>
      <c r="DH61" s="74" t="n">
        <f aca="false">SQRT(($B61-DH$5)^2+($C61-DH$6)^2+($D61-DH$7)^2)</f>
        <v>2.76853455247595</v>
      </c>
      <c r="DI61" s="74" t="n">
        <f aca="false">SQRT(($B61-DI$5)^2+($C61-DI$6)^2+($D61-DI$7)^2)</f>
        <v>2.76853455247595</v>
      </c>
      <c r="DJ61" s="74" t="n">
        <f aca="false">SQRT(($B61-DJ$5)^2+($C61-DJ$6)^2+($D61-DJ$7)^2)</f>
        <v>2.76853455247595</v>
      </c>
      <c r="DK61" s="74" t="n">
        <f aca="false">SQRT(($B61-DK$5)^2+($C61-DK$6)^2+($D61-DK$7)^2)</f>
        <v>2.90354831259108</v>
      </c>
      <c r="DL61" s="74" t="n">
        <f aca="false">SQRT(($B61-DL$5)^2+($C61-DL$6)^2+($D61-DL$7)^2)</f>
        <v>2.90354831259108</v>
      </c>
      <c r="DM61" s="74" t="n">
        <f aca="false">SQRT(($B61-DM$5)^2+($C61-DM$6)^2+($D61-DM$7)^2)</f>
        <v>2.90354831259108</v>
      </c>
      <c r="DN61" s="74" t="n">
        <f aca="false">SQRT(($B61-DN$5)^2+($C61-DN$6)^2+($D61-DN$7)^2)</f>
        <v>2.90354831259108</v>
      </c>
      <c r="DO61" s="74" t="n">
        <f aca="false">SQRT(($B61-DO$5)^2+($C61-DO$6)^2+($D61-DO$7)^2)</f>
        <v>2.90354831259108</v>
      </c>
      <c r="DP61" s="74" t="n">
        <f aca="false">SQRT(($B61-DP$5)^2+($C61-DP$6)^2+($D61-DP$7)^2)</f>
        <v>3.15373339781369</v>
      </c>
      <c r="DQ61" s="74" t="n">
        <f aca="false">SQRT(($B61-DQ$5)^2+($C61-DQ$6)^2+($D61-DQ$7)^2)</f>
        <v>3.15373339781369</v>
      </c>
    </row>
    <row r="62" customFormat="false" ht="15" hidden="false" customHeight="false" outlineLevel="0" collapsed="false">
      <c r="A62" s="48" t="str">
        <f aca="false">KMeans_Data!A53</f>
        <v>Skardu</v>
      </c>
      <c r="B62" s="72" t="n">
        <f aca="false">KMeans_Data!H53</f>
        <v>0.194428618785618</v>
      </c>
      <c r="C62" s="72" t="n">
        <f aca="false">KMeans_Data!I53</f>
        <v>-0.146983133929529</v>
      </c>
      <c r="D62" s="72" t="n">
        <f aca="false">KMeans_Data!J53</f>
        <v>0.795803793083582</v>
      </c>
      <c r="E62" s="74" t="n">
        <f aca="false">SQRT(($B62-E$5)^2+($C62-E$6)^2+($D62-E$7)^2)</f>
        <v>5.7483282810053</v>
      </c>
      <c r="F62" s="74" t="n">
        <f aca="false">SQRT(($B62-F$5)^2+($C62-F$6)^2+($D62-F$7)^2)</f>
        <v>5.6046830954629</v>
      </c>
      <c r="G62" s="74" t="n">
        <f aca="false">SQRT(($B62-G$5)^2+($C62-G$6)^2+($D62-G$7)^2)</f>
        <v>3.62683739800656</v>
      </c>
      <c r="H62" s="74" t="n">
        <f aca="false">SQRT(($B62-H$5)^2+($C62-H$6)^2+($D62-H$7)^2)</f>
        <v>4.36957580947866</v>
      </c>
      <c r="I62" s="74" t="n">
        <f aca="false">SQRT(($B62-I$5)^2+($C62-I$6)^2+($D62-I$7)^2)</f>
        <v>3.10080148172481</v>
      </c>
      <c r="J62" s="74" t="n">
        <f aca="false">SQRT(($B62-J$5)^2+($C62-J$6)^2+($D62-J$7)^2)</f>
        <v>2.78604139670945</v>
      </c>
      <c r="K62" s="74" t="n">
        <f aca="false">SQRT(($B62-K$5)^2+($C62-K$6)^2+($D62-K$7)^2)</f>
        <v>2.00771163855164</v>
      </c>
      <c r="L62" s="74" t="n">
        <f aca="false">SQRT(($B62-L$5)^2+($C62-L$6)^2+($D62-L$7)^2)</f>
        <v>1.67753017924619</v>
      </c>
      <c r="M62" s="74" t="n">
        <f aca="false">SQRT(($B62-M$5)^2+($C62-M$6)^2+($D62-M$7)^2)</f>
        <v>1.94665780336377</v>
      </c>
      <c r="N62" s="74" t="n">
        <f aca="false">SQRT(($B62-N$5)^2+($C62-N$6)^2+($D62-N$7)^2)</f>
        <v>1.90774210840511</v>
      </c>
      <c r="O62" s="74" t="n">
        <f aca="false">SQRT(($B62-O$5)^2+($C62-O$6)^2+($D62-O$7)^2)</f>
        <v>1.88871902637149</v>
      </c>
      <c r="P62" s="74" t="n">
        <f aca="false">SQRT(($B62-P$5)^2+($C62-P$6)^2+($D62-P$7)^2)</f>
        <v>2.16248269966106</v>
      </c>
      <c r="Q62" s="74" t="n">
        <f aca="false">SQRT(($B62-Q$5)^2+($C62-Q$6)^2+($D62-Q$7)^2)</f>
        <v>1.44962949335563</v>
      </c>
      <c r="R62" s="74" t="n">
        <f aca="false">SQRT(($B62-R$5)^2+($C62-R$6)^2+($D62-R$7)^2)</f>
        <v>1.20079425949173</v>
      </c>
      <c r="S62" s="74" t="n">
        <f aca="false">SQRT(($B62-S$5)^2+($C62-S$6)^2+($D62-S$7)^2)</f>
        <v>0.894034237808123</v>
      </c>
      <c r="T62" s="74" t="n">
        <f aca="false">SQRT(($B62-T$5)^2+($C62-T$6)^2+($D62-T$7)^2)</f>
        <v>1.39437305372561</v>
      </c>
      <c r="U62" s="74" t="n">
        <f aca="false">SQRT(($B62-U$5)^2+($C62-U$6)^2+($D62-U$7)^2)</f>
        <v>1.16900074009001</v>
      </c>
      <c r="V62" s="74" t="n">
        <f aca="false">SQRT(($B62-V$5)^2+($C62-V$6)^2+($D62-V$7)^2)</f>
        <v>1.67337242718011</v>
      </c>
      <c r="W62" s="74" t="n">
        <f aca="false">SQRT(($B62-W$5)^2+($C62-W$6)^2+($D62-W$7)^2)</f>
        <v>1.66895878502483</v>
      </c>
      <c r="X62" s="74" t="n">
        <f aca="false">SQRT(($B62-X$5)^2+($C62-X$6)^2+($D62-X$7)^2)</f>
        <v>1.17458885154443</v>
      </c>
      <c r="Y62" s="74" t="n">
        <f aca="false">SQRT(($B62-Y$5)^2+($C62-Y$6)^2+($D62-Y$7)^2)</f>
        <v>1.21674616676738</v>
      </c>
      <c r="Z62" s="74" t="n">
        <f aca="false">SQRT(($B62-Z$5)^2+($C62-Z$6)^2+($D62-Z$7)^2)</f>
        <v>1.13297637702302</v>
      </c>
      <c r="AA62" s="74" t="n">
        <f aca="false">SQRT(($B62-AA$5)^2+($C62-AA$6)^2+($D62-AA$7)^2)</f>
        <v>0.684408934588204</v>
      </c>
      <c r="AB62" s="74" t="n">
        <f aca="false">SQRT(($B62-AB$5)^2+($C62-AB$6)^2+($D62-AB$7)^2)</f>
        <v>0.920020193418883</v>
      </c>
      <c r="AC62" s="74" t="n">
        <f aca="false">SQRT(($B62-AC$5)^2+($C62-AC$6)^2+($D62-AC$7)^2)</f>
        <v>1.6314103987583</v>
      </c>
      <c r="AD62" s="74" t="n">
        <f aca="false">SQRT(($B62-AD$5)^2+($C62-AD$6)^2+($D62-AD$7)^2)</f>
        <v>1.18300344393404</v>
      </c>
      <c r="AE62" s="74" t="n">
        <f aca="false">SQRT(($B62-AE$5)^2+($C62-AE$6)^2+($D62-AE$7)^2)</f>
        <v>1.99319881835379</v>
      </c>
      <c r="AF62" s="74" t="n">
        <f aca="false">SQRT(($B62-AF$5)^2+($C62-AF$6)^2+($D62-AF$7)^2)</f>
        <v>0.930908445755733</v>
      </c>
      <c r="AG62" s="74" t="n">
        <f aca="false">SQRT(($B62-AG$5)^2+($C62-AG$6)^2+($D62-AG$7)^2)</f>
        <v>1.36119094871206</v>
      </c>
      <c r="AH62" s="74" t="n">
        <f aca="false">SQRT(($B62-AH$5)^2+($C62-AH$6)^2+($D62-AH$7)^2)</f>
        <v>0.491624805899277</v>
      </c>
      <c r="AI62" s="74" t="n">
        <f aca="false">SQRT(($B62-AI$5)^2+($C62-AI$6)^2+($D62-AI$7)^2)</f>
        <v>1.36030333348169</v>
      </c>
      <c r="AJ62" s="74" t="n">
        <f aca="false">SQRT(($B62-AJ$5)^2+($C62-AJ$6)^2+($D62-AJ$7)^2)</f>
        <v>0.850589710818524</v>
      </c>
      <c r="AK62" s="74" t="n">
        <f aca="false">SQRT(($B62-AK$5)^2+($C62-AK$6)^2+($D62-AK$7)^2)</f>
        <v>0.805719652026295</v>
      </c>
      <c r="AL62" s="74" t="n">
        <f aca="false">SQRT(($B62-AL$5)^2+($C62-AL$6)^2+($D62-AL$7)^2)</f>
        <v>0.379102082042211</v>
      </c>
      <c r="AM62" s="74" t="n">
        <f aca="false">SQRT(($B62-AM$5)^2+($C62-AM$6)^2+($D62-AM$7)^2)</f>
        <v>1.63029675858432</v>
      </c>
      <c r="AN62" s="74" t="n">
        <f aca="false">SQRT(($B62-AN$5)^2+($C62-AN$6)^2+($D62-AN$7)^2)</f>
        <v>1.32077434233112</v>
      </c>
      <c r="AO62" s="74" t="n">
        <f aca="false">SQRT(($B62-AO$5)^2+($C62-AO$6)^2+($D62-AO$7)^2)</f>
        <v>0.631513855010133</v>
      </c>
      <c r="AP62" s="74" t="n">
        <f aca="false">SQRT(($B62-AP$5)^2+($C62-AP$6)^2+($D62-AP$7)^2)</f>
        <v>0.666270498856712</v>
      </c>
      <c r="AQ62" s="74" t="n">
        <f aca="false">SQRT(($B62-AQ$5)^2+($C62-AQ$6)^2+($D62-AQ$7)^2)</f>
        <v>1.44517294935987</v>
      </c>
      <c r="AR62" s="74" t="n">
        <f aca="false">SQRT(($B62-AR$5)^2+($C62-AR$6)^2+($D62-AR$7)^2)</f>
        <v>0.947317395156758</v>
      </c>
      <c r="AS62" s="74" t="n">
        <f aca="false">SQRT(($B62-AS$5)^2+($C62-AS$6)^2+($D62-AS$7)^2)</f>
        <v>0.581093671071364</v>
      </c>
      <c r="AT62" s="74" t="n">
        <f aca="false">SQRT(($B62-AT$5)^2+($C62-AT$6)^2+($D62-AT$7)^2)</f>
        <v>0.0821669809581396</v>
      </c>
      <c r="AU62" s="74" t="n">
        <f aca="false">SQRT(($B62-AU$5)^2+($C62-AU$6)^2+($D62-AU$7)^2)</f>
        <v>1.43396704192065</v>
      </c>
      <c r="AV62" s="74" t="n">
        <f aca="false">SQRT(($B62-AV$5)^2+($C62-AV$6)^2+($D62-AV$7)^2)</f>
        <v>0.599221828968001</v>
      </c>
      <c r="AW62" s="74" t="n">
        <f aca="false">SQRT(($B62-AW$5)^2+($C62-AW$6)^2+($D62-AW$7)^2)</f>
        <v>1.70396250436929</v>
      </c>
      <c r="AX62" s="74" t="n">
        <f aca="false">SQRT(($B62-AX$5)^2+($C62-AX$6)^2+($D62-AX$7)^2)</f>
        <v>0.517258327498746</v>
      </c>
      <c r="AY62" s="74" t="n">
        <f aca="false">SQRT(($B62-AY$5)^2+($C62-AY$6)^2+($D62-AY$7)^2)</f>
        <v>2.01136497783831</v>
      </c>
      <c r="AZ62" s="74" t="n">
        <f aca="false">SQRT(($B62-AZ$5)^2+($C62-AZ$6)^2+($D62-AZ$7)^2)</f>
        <v>0.576542830899411</v>
      </c>
      <c r="BA62" s="74" t="n">
        <f aca="false">SQRT(($B62-BA$5)^2+($C62-BA$6)^2+($D62-BA$7)^2)</f>
        <v>0</v>
      </c>
      <c r="BB62" s="74" t="n">
        <f aca="false">SQRT(($B62-BB$5)^2+($C62-BB$6)^2+($D62-BB$7)^2)</f>
        <v>2.01135432295006</v>
      </c>
      <c r="BC62" s="74" t="n">
        <f aca="false">SQRT(($B62-BC$5)^2+($C62-BC$6)^2+($D62-BC$7)^2)</f>
        <v>2.01136525103613</v>
      </c>
      <c r="BD62" s="74" t="n">
        <f aca="false">SQRT(($B62-BD$5)^2+($C62-BD$6)^2+($D62-BD$7)^2)</f>
        <v>1.4016393684175</v>
      </c>
      <c r="BE62" s="74" t="n">
        <f aca="false">SQRT(($B62-BE$5)^2+($C62-BE$6)^2+($D62-BE$7)^2)</f>
        <v>1.16578581744404</v>
      </c>
      <c r="BF62" s="74" t="n">
        <f aca="false">SQRT(($B62-BF$5)^2+($C62-BF$6)^2+($D62-BF$7)^2)</f>
        <v>1.52950576296508</v>
      </c>
      <c r="BG62" s="74" t="n">
        <f aca="false">SQRT(($B62-BG$5)^2+($C62-BG$6)^2+($D62-BG$7)^2)</f>
        <v>0.200634147868449</v>
      </c>
      <c r="BH62" s="74" t="n">
        <f aca="false">SQRT(($B62-BH$5)^2+($C62-BH$6)^2+($D62-BH$7)^2)</f>
        <v>2.01433779718846</v>
      </c>
      <c r="BI62" s="74" t="n">
        <f aca="false">SQRT(($B62-BI$5)^2+($C62-BI$6)^2+($D62-BI$7)^2)</f>
        <v>2.01530436499448</v>
      </c>
      <c r="BJ62" s="74" t="n">
        <f aca="false">SQRT(($B62-BJ$5)^2+($C62-BJ$6)^2+($D62-BJ$7)^2)</f>
        <v>1.06573064741377</v>
      </c>
      <c r="BK62" s="74" t="n">
        <f aca="false">SQRT(($B62-BK$5)^2+($C62-BK$6)^2+($D62-BK$7)^2)</f>
        <v>1.3196301272281</v>
      </c>
      <c r="BL62" s="74" t="n">
        <f aca="false">SQRT(($B62-BL$5)^2+($C62-BL$6)^2+($D62-BL$7)^2)</f>
        <v>0.708436287629014</v>
      </c>
      <c r="BM62" s="74" t="n">
        <f aca="false">SQRT(($B62-BM$5)^2+($C62-BM$6)^2+($D62-BM$7)^2)</f>
        <v>0.788132737700181</v>
      </c>
      <c r="BN62" s="74" t="n">
        <f aca="false">SQRT(($B62-BN$5)^2+($C62-BN$6)^2+($D62-BN$7)^2)</f>
        <v>0.847379827907855</v>
      </c>
      <c r="BO62" s="74" t="n">
        <f aca="false">SQRT(($B62-BO$5)^2+($C62-BO$6)^2+($D62-BO$7)^2)</f>
        <v>1.72301591750232</v>
      </c>
      <c r="BP62" s="74" t="n">
        <f aca="false">SQRT(($B62-BP$5)^2+($C62-BP$6)^2+($D62-BP$7)^2)</f>
        <v>0.679657661306424</v>
      </c>
      <c r="BQ62" s="74" t="n">
        <f aca="false">SQRT(($B62-BQ$5)^2+($C62-BQ$6)^2+($D62-BQ$7)^2)</f>
        <v>0.514137912637357</v>
      </c>
      <c r="BR62" s="74" t="n">
        <f aca="false">SQRT(($B62-BR$5)^2+($C62-BR$6)^2+($D62-BR$7)^2)</f>
        <v>0.491542973526152</v>
      </c>
      <c r="BS62" s="74" t="n">
        <f aca="false">SQRT(($B62-BS$5)^2+($C62-BS$6)^2+($D62-BS$7)^2)</f>
        <v>0.671358675750474</v>
      </c>
      <c r="BT62" s="74" t="n">
        <f aca="false">SQRT(($B62-BT$5)^2+($C62-BT$6)^2+($D62-BT$7)^2)</f>
        <v>0.897856077585449</v>
      </c>
      <c r="BU62" s="74" t="n">
        <f aca="false">SQRT(($B62-BU$5)^2+($C62-BU$6)^2+($D62-BU$7)^2)</f>
        <v>0.95656552344271</v>
      </c>
      <c r="BV62" s="74" t="n">
        <f aca="false">SQRT(($B62-BV$5)^2+($C62-BV$6)^2+($D62-BV$7)^2)</f>
        <v>2.06203064120576</v>
      </c>
      <c r="BW62" s="74" t="n">
        <f aca="false">SQRT(($B62-BW$5)^2+($C62-BW$6)^2+($D62-BW$7)^2)</f>
        <v>0.869902032644816</v>
      </c>
      <c r="BX62" s="74" t="n">
        <f aca="false">SQRT(($B62-BX$5)^2+($C62-BX$6)^2+($D62-BX$7)^2)</f>
        <v>2.06561855489525</v>
      </c>
      <c r="BY62" s="74" t="n">
        <f aca="false">SQRT(($B62-BY$5)^2+($C62-BY$6)^2+($D62-BY$7)^2)</f>
        <v>1.21921483407763</v>
      </c>
      <c r="BZ62" s="74" t="n">
        <f aca="false">SQRT(($B62-BZ$5)^2+($C62-BZ$6)^2+($D62-BZ$7)^2)</f>
        <v>1.27648841043317</v>
      </c>
      <c r="CA62" s="74" t="n">
        <f aca="false">SQRT(($B62-CA$5)^2+($C62-CA$6)^2+($D62-CA$7)^2)</f>
        <v>2.07788412208079</v>
      </c>
      <c r="CB62" s="74" t="n">
        <f aca="false">SQRT(($B62-CB$5)^2+($C62-CB$6)^2+($D62-CB$7)^2)</f>
        <v>1.28405952212825</v>
      </c>
      <c r="CC62" s="74" t="n">
        <f aca="false">SQRT(($B62-CC$5)^2+($C62-CC$6)^2+($D62-CC$7)^2)</f>
        <v>2.08254378566058</v>
      </c>
      <c r="CD62" s="74" t="n">
        <f aca="false">SQRT(($B62-CD$5)^2+($C62-CD$6)^2+($D62-CD$7)^2)</f>
        <v>2.09287403759247</v>
      </c>
      <c r="CE62" s="74" t="n">
        <f aca="false">SQRT(($B62-CE$5)^2+($C62-CE$6)^2+($D62-CE$7)^2)</f>
        <v>1.0962446256149</v>
      </c>
      <c r="CF62" s="74" t="n">
        <f aca="false">SQRT(($B62-CF$5)^2+($C62-CF$6)^2+($D62-CF$7)^2)</f>
        <v>0.88870900612069</v>
      </c>
      <c r="CG62" s="74" t="n">
        <f aca="false">SQRT(($B62-CG$5)^2+($C62-CG$6)^2+($D62-CG$7)^2)</f>
        <v>1.36831869194333</v>
      </c>
      <c r="CH62" s="74" t="n">
        <f aca="false">SQRT(($B62-CH$5)^2+($C62-CH$6)^2+($D62-CH$7)^2)</f>
        <v>1.46581795260914</v>
      </c>
      <c r="CI62" s="74" t="n">
        <f aca="false">SQRT(($B62-CI$5)^2+($C62-CI$6)^2+($D62-CI$7)^2)</f>
        <v>1.5732306832436</v>
      </c>
      <c r="CJ62" s="74" t="n">
        <f aca="false">SQRT(($B62-CJ$5)^2+($C62-CJ$6)^2+($D62-CJ$7)^2)</f>
        <v>1.85785267895795</v>
      </c>
      <c r="CK62" s="74" t="n">
        <f aca="false">SQRT(($B62-CK$5)^2+($C62-CK$6)^2+($D62-CK$7)^2)</f>
        <v>1.26688676524504</v>
      </c>
      <c r="CL62" s="74" t="n">
        <f aca="false">SQRT(($B62-CL$5)^2+($C62-CL$6)^2+($D62-CL$7)^2)</f>
        <v>2.17630470709296</v>
      </c>
      <c r="CM62" s="74" t="n">
        <f aca="false">SQRT(($B62-CM$5)^2+($C62-CM$6)^2+($D62-CM$7)^2)</f>
        <v>1.48383459474336</v>
      </c>
      <c r="CN62" s="74" t="n">
        <f aca="false">SQRT(($B62-CN$5)^2+($C62-CN$6)^2+($D62-CN$7)^2)</f>
        <v>0.916021789825533</v>
      </c>
      <c r="CO62" s="74" t="n">
        <f aca="false">SQRT(($B62-CO$5)^2+($C62-CO$6)^2+($D62-CO$7)^2)</f>
        <v>1.35582837501829</v>
      </c>
      <c r="CP62" s="74" t="n">
        <f aca="false">SQRT(($B62-CP$5)^2+($C62-CP$6)^2+($D62-CP$7)^2)</f>
        <v>2.21982411827052</v>
      </c>
      <c r="CQ62" s="74" t="n">
        <f aca="false">SQRT(($B62-CQ$5)^2+($C62-CQ$6)^2+($D62-CQ$7)^2)</f>
        <v>1.63339034303286</v>
      </c>
      <c r="CR62" s="74" t="n">
        <f aca="false">SQRT(($B62-CR$5)^2+($C62-CR$6)^2+($D62-CR$7)^2)</f>
        <v>1.60123706450727</v>
      </c>
      <c r="CS62" s="74" t="n">
        <f aca="false">SQRT(($B62-CS$5)^2+($C62-CS$6)^2+($D62-CS$7)^2)</f>
        <v>2.25798521038328</v>
      </c>
      <c r="CT62" s="74" t="n">
        <f aca="false">SQRT(($B62-CT$5)^2+($C62-CT$6)^2+($D62-CT$7)^2)</f>
        <v>2.28095659060494</v>
      </c>
      <c r="CU62" s="74" t="n">
        <f aca="false">SQRT(($B62-CU$5)^2+($C62-CU$6)^2+($D62-CU$7)^2)</f>
        <v>1.94484606056149</v>
      </c>
      <c r="CV62" s="74" t="n">
        <f aca="false">SQRT(($B62-CV$5)^2+($C62-CV$6)^2+($D62-CV$7)^2)</f>
        <v>1.30962816416101</v>
      </c>
      <c r="CW62" s="74" t="n">
        <f aca="false">SQRT(($B62-CW$5)^2+($C62-CW$6)^2+($D62-CW$7)^2)</f>
        <v>2.28095659060494</v>
      </c>
      <c r="CX62" s="74" t="n">
        <f aca="false">SQRT(($B62-CX$5)^2+($C62-CX$6)^2+($D62-CX$7)^2)</f>
        <v>1.49796663218132</v>
      </c>
      <c r="CY62" s="74" t="n">
        <f aca="false">SQRT(($B62-CY$5)^2+($C62-CY$6)^2+($D62-CY$7)^2)</f>
        <v>2.30732545608107</v>
      </c>
      <c r="CZ62" s="74" t="n">
        <f aca="false">SQRT(($B62-CZ$5)^2+($C62-CZ$6)^2+($D62-CZ$7)^2)</f>
        <v>2.30732545608107</v>
      </c>
      <c r="DA62" s="74" t="n">
        <f aca="false">SQRT(($B62-DA$5)^2+($C62-DA$6)^2+($D62-DA$7)^2)</f>
        <v>1.80057382986088</v>
      </c>
      <c r="DB62" s="74" t="n">
        <f aca="false">SQRT(($B62-DB$5)^2+($C62-DB$6)^2+($D62-DB$7)^2)</f>
        <v>2.33797417704823</v>
      </c>
      <c r="DC62" s="74" t="n">
        <f aca="false">SQRT(($B62-DC$5)^2+($C62-DC$6)^2+($D62-DC$7)^2)</f>
        <v>2.33797417704823</v>
      </c>
      <c r="DD62" s="74" t="n">
        <f aca="false">SQRT(($B62-DD$5)^2+($C62-DD$6)^2+($D62-DD$7)^2)</f>
        <v>1.9361201412633</v>
      </c>
      <c r="DE62" s="74" t="n">
        <f aca="false">SQRT(($B62-DE$5)^2+($C62-DE$6)^2+($D62-DE$7)^2)</f>
        <v>2.16828313883177</v>
      </c>
      <c r="DF62" s="74" t="n">
        <f aca="false">SQRT(($B62-DF$5)^2+($C62-DF$6)^2+($D62-DF$7)^2)</f>
        <v>2.54091385875548</v>
      </c>
      <c r="DG62" s="74" t="n">
        <f aca="false">SQRT(($B62-DG$5)^2+($C62-DG$6)^2+($D62-DG$7)^2)</f>
        <v>2.63507421254586</v>
      </c>
      <c r="DH62" s="74" t="n">
        <f aca="false">SQRT(($B62-DH$5)^2+($C62-DH$6)^2+($D62-DH$7)^2)</f>
        <v>2.63507421254586</v>
      </c>
      <c r="DI62" s="74" t="n">
        <f aca="false">SQRT(($B62-DI$5)^2+($C62-DI$6)^2+($D62-DI$7)^2)</f>
        <v>2.63507421254586</v>
      </c>
      <c r="DJ62" s="74" t="n">
        <f aca="false">SQRT(($B62-DJ$5)^2+($C62-DJ$6)^2+($D62-DJ$7)^2)</f>
        <v>2.63507421254586</v>
      </c>
      <c r="DK62" s="74" t="n">
        <f aca="false">SQRT(($B62-DK$5)^2+($C62-DK$6)^2+($D62-DK$7)^2)</f>
        <v>2.77608755865678</v>
      </c>
      <c r="DL62" s="74" t="n">
        <f aca="false">SQRT(($B62-DL$5)^2+($C62-DL$6)^2+($D62-DL$7)^2)</f>
        <v>2.77608755865678</v>
      </c>
      <c r="DM62" s="74" t="n">
        <f aca="false">SQRT(($B62-DM$5)^2+($C62-DM$6)^2+($D62-DM$7)^2)</f>
        <v>2.77608755865678</v>
      </c>
      <c r="DN62" s="74" t="n">
        <f aca="false">SQRT(($B62-DN$5)^2+($C62-DN$6)^2+($D62-DN$7)^2)</f>
        <v>2.77608755865678</v>
      </c>
      <c r="DO62" s="74" t="n">
        <f aca="false">SQRT(($B62-DO$5)^2+($C62-DO$6)^2+($D62-DO$7)^2)</f>
        <v>2.77608755865678</v>
      </c>
      <c r="DP62" s="74" t="n">
        <f aca="false">SQRT(($B62-DP$5)^2+($C62-DP$6)^2+($D62-DP$7)^2)</f>
        <v>3.03601382402719</v>
      </c>
      <c r="DQ62" s="74" t="n">
        <f aca="false">SQRT(($B62-DQ$5)^2+($C62-DQ$6)^2+($D62-DQ$7)^2)</f>
        <v>3.03601382402719</v>
      </c>
    </row>
    <row r="63" customFormat="false" ht="15" hidden="false" customHeight="false" outlineLevel="0" collapsed="false">
      <c r="A63" s="48" t="str">
        <f aca="false">KMeans_Data!A54</f>
        <v>Sialkot</v>
      </c>
      <c r="B63" s="72" t="n">
        <f aca="false">KMeans_Data!H54</f>
        <v>0.194428618785618</v>
      </c>
      <c r="C63" s="72" t="n">
        <f aca="false">KMeans_Data!I54</f>
        <v>-0.672650545388274</v>
      </c>
      <c r="D63" s="72" t="n">
        <f aca="false">KMeans_Data!J54</f>
        <v>-1.14564411633355</v>
      </c>
      <c r="E63" s="74" t="n">
        <f aca="false">SQRT(($B63-E$5)^2+($C63-E$6)^2+($D63-E$7)^2)</f>
        <v>7.14349075775095</v>
      </c>
      <c r="F63" s="74" t="n">
        <f aca="false">SQRT(($B63-F$5)^2+($C63-F$6)^2+($D63-F$7)^2)</f>
        <v>6.87756556799784</v>
      </c>
      <c r="G63" s="74" t="n">
        <f aca="false">SQRT(($B63-G$5)^2+($C63-G$6)^2+($D63-G$7)^2)</f>
        <v>5.08797804025303</v>
      </c>
      <c r="H63" s="74" t="n">
        <f aca="false">SQRT(($B63-H$5)^2+($C63-H$6)^2+($D63-H$7)^2)</f>
        <v>5.50594976821478</v>
      </c>
      <c r="I63" s="74" t="n">
        <f aca="false">SQRT(($B63-I$5)^2+($C63-I$6)^2+($D63-I$7)^2)</f>
        <v>4.41409734885371</v>
      </c>
      <c r="J63" s="74" t="n">
        <f aca="false">SQRT(($B63-J$5)^2+($C63-J$6)^2+($D63-J$7)^2)</f>
        <v>4.1014898870059</v>
      </c>
      <c r="K63" s="74" t="n">
        <f aca="false">SQRT(($B63-K$5)^2+($C63-K$6)^2+($D63-K$7)^2)</f>
        <v>1.45205784641388</v>
      </c>
      <c r="L63" s="74" t="n">
        <f aca="false">SQRT(($B63-L$5)^2+($C63-L$6)^2+($D63-L$7)^2)</f>
        <v>3.36735154175076</v>
      </c>
      <c r="M63" s="74" t="n">
        <f aca="false">SQRT(($B63-M$5)^2+($C63-M$6)^2+($D63-M$7)^2)</f>
        <v>3.57170492086661</v>
      </c>
      <c r="N63" s="74" t="n">
        <f aca="false">SQRT(($B63-N$5)^2+($C63-N$6)^2+($D63-N$7)^2)</f>
        <v>1.18057822945678</v>
      </c>
      <c r="O63" s="74" t="n">
        <f aca="false">SQRT(($B63-O$5)^2+($C63-O$6)^2+($D63-O$7)^2)</f>
        <v>3.17281201052703</v>
      </c>
      <c r="P63" s="74" t="n">
        <f aca="false">SQRT(($B63-P$5)^2+($C63-P$6)^2+($D63-P$7)^2)</f>
        <v>3.48948451402161</v>
      </c>
      <c r="Q63" s="74" t="n">
        <f aca="false">SQRT(($B63-Q$5)^2+($C63-Q$6)^2+($D63-Q$7)^2)</f>
        <v>2.90716609370922</v>
      </c>
      <c r="R63" s="74" t="n">
        <f aca="false">SQRT(($B63-R$5)^2+($C63-R$6)^2+($D63-R$7)^2)</f>
        <v>2.94270459419819</v>
      </c>
      <c r="S63" s="74" t="n">
        <f aca="false">SQRT(($B63-S$5)^2+($C63-S$6)^2+($D63-S$7)^2)</f>
        <v>2.507126222772</v>
      </c>
      <c r="T63" s="74" t="n">
        <f aca="false">SQRT(($B63-T$5)^2+($C63-T$6)^2+($D63-T$7)^2)</f>
        <v>2.82352687373406</v>
      </c>
      <c r="U63" s="74" t="n">
        <f aca="false">SQRT(($B63-U$5)^2+($C63-U$6)^2+($D63-U$7)^2)</f>
        <v>3.00369295626098</v>
      </c>
      <c r="V63" s="74" t="n">
        <f aca="false">SQRT(($B63-V$5)^2+($C63-V$6)^2+($D63-V$7)^2)</f>
        <v>2.78623478691033</v>
      </c>
      <c r="W63" s="74" t="n">
        <f aca="false">SQRT(($B63-W$5)^2+($C63-W$6)^2+($D63-W$7)^2)</f>
        <v>2.99590171580631</v>
      </c>
      <c r="X63" s="74" t="n">
        <f aca="false">SQRT(($B63-X$5)^2+($C63-X$6)^2+($D63-X$7)^2)</f>
        <v>2.71283164065287</v>
      </c>
      <c r="Y63" s="74" t="n">
        <f aca="false">SQRT(($B63-Y$5)^2+($C63-Y$6)^2+($D63-Y$7)^2)</f>
        <v>2.89133841417516</v>
      </c>
      <c r="Z63" s="74" t="n">
        <f aca="false">SQRT(($B63-Z$5)^2+($C63-Z$6)^2+($D63-Z$7)^2)</f>
        <v>2.37463752799313</v>
      </c>
      <c r="AA63" s="74" t="n">
        <f aca="false">SQRT(($B63-AA$5)^2+($C63-AA$6)^2+($D63-AA$7)^2)</f>
        <v>2.33956124059354</v>
      </c>
      <c r="AB63" s="74" t="n">
        <f aca="false">SQRT(($B63-AB$5)^2+($C63-AB$6)^2+($D63-AB$7)^2)</f>
        <v>2.26340623327127</v>
      </c>
      <c r="AC63" s="74" t="n">
        <f aca="false">SQRT(($B63-AC$5)^2+($C63-AC$6)^2+($D63-AC$7)^2)</f>
        <v>2.83721040771156</v>
      </c>
      <c r="AD63" s="74" t="n">
        <f aca="false">SQRT(($B63-AD$5)^2+($C63-AD$6)^2+($D63-AD$7)^2)</f>
        <v>2.88405426593002</v>
      </c>
      <c r="AE63" s="74" t="n">
        <f aca="false">SQRT(($B63-AE$5)^2+($C63-AE$6)^2+($D63-AE$7)^2)</f>
        <v>0.692782629672915</v>
      </c>
      <c r="AF63" s="74" t="n">
        <f aca="false">SQRT(($B63-AF$5)^2+($C63-AF$6)^2+($D63-AF$7)^2)</f>
        <v>2.46751906716384</v>
      </c>
      <c r="AG63" s="74" t="n">
        <f aca="false">SQRT(($B63-AG$5)^2+($C63-AG$6)^2+($D63-AG$7)^2)</f>
        <v>0.838542778499086</v>
      </c>
      <c r="AH63" s="74" t="n">
        <f aca="false">SQRT(($B63-AH$5)^2+($C63-AH$6)^2+($D63-AH$7)^2)</f>
        <v>2.13428084410432</v>
      </c>
      <c r="AI63" s="74" t="n">
        <f aca="false">SQRT(($B63-AI$5)^2+($C63-AI$6)^2+($D63-AI$7)^2)</f>
        <v>0.837101159716495</v>
      </c>
      <c r="AJ63" s="74" t="n">
        <f aca="false">SQRT(($B63-AJ$5)^2+($C63-AJ$6)^2+($D63-AJ$7)^2)</f>
        <v>2.5948240193809</v>
      </c>
      <c r="AK63" s="74" t="n">
        <f aca="false">SQRT(($B63-AK$5)^2+($C63-AK$6)^2+($D63-AK$7)^2)</f>
        <v>1.80849419597068</v>
      </c>
      <c r="AL63" s="74" t="n">
        <f aca="false">SQRT(($B63-AL$5)^2+($C63-AL$6)^2+($D63-AL$7)^2)</f>
        <v>1.80074040962049</v>
      </c>
      <c r="AM63" s="74" t="n">
        <f aca="false">SQRT(($B63-AM$5)^2+($C63-AM$6)^2+($D63-AM$7)^2)</f>
        <v>2.53242263139292</v>
      </c>
      <c r="AN63" s="74" t="n">
        <f aca="false">SQRT(($B63-AN$5)^2+($C63-AN$6)^2+($D63-AN$7)^2)</f>
        <v>2.61793272357432</v>
      </c>
      <c r="AO63" s="74" t="n">
        <f aca="false">SQRT(($B63-AO$5)^2+($C63-AO$6)^2+($D63-AO$7)^2)</f>
        <v>2.00091783478494</v>
      </c>
      <c r="AP63" s="74" t="n">
        <f aca="false">SQRT(($B63-AP$5)^2+($C63-AP$6)^2+($D63-AP$7)^2)</f>
        <v>1.93379649421922</v>
      </c>
      <c r="AQ63" s="74" t="n">
        <f aca="false">SQRT(($B63-AQ$5)^2+($C63-AQ$6)^2+($D63-AQ$7)^2)</f>
        <v>2.64138314022047</v>
      </c>
      <c r="AR63" s="74" t="n">
        <f aca="false">SQRT(($B63-AR$5)^2+($C63-AR$6)^2+($D63-AR$7)^2)</f>
        <v>1.36778493115336</v>
      </c>
      <c r="AS63" s="74" t="n">
        <f aca="false">SQRT(($B63-AS$5)^2+($C63-AS$6)^2+($D63-AS$7)^2)</f>
        <v>2.16008982433514</v>
      </c>
      <c r="AT63" s="74" t="n">
        <f aca="false">SQRT(($B63-AT$5)^2+($C63-AT$6)^2+($D63-AT$7)^2)</f>
        <v>1.99213308429939</v>
      </c>
      <c r="AU63" s="74" t="n">
        <f aca="false">SQRT(($B63-AU$5)^2+($C63-AU$6)^2+($D63-AU$7)^2)</f>
        <v>0.734914476653822</v>
      </c>
      <c r="AV63" s="74" t="n">
        <f aca="false">SQRT(($B63-AV$5)^2+($C63-AV$6)^2+($D63-AV$7)^2)</f>
        <v>1.6617283913551</v>
      </c>
      <c r="AW63" s="74" t="n">
        <f aca="false">SQRT(($B63-AW$5)^2+($C63-AW$6)^2+($D63-AW$7)^2)</f>
        <v>0.324223325876336</v>
      </c>
      <c r="AX63" s="74" t="n">
        <f aca="false">SQRT(($B63-AX$5)^2+($C63-AX$6)^2+($D63-AX$7)^2)</f>
        <v>1.74015461568817</v>
      </c>
      <c r="AY63" s="74" t="n">
        <f aca="false">SQRT(($B63-AY$5)^2+($C63-AY$6)^2+($D63-AY$7)^2)</f>
        <v>0.00654687899634082</v>
      </c>
      <c r="AZ63" s="74" t="n">
        <f aca="false">SQRT(($B63-AZ$5)^2+($C63-AZ$6)^2+($D63-AZ$7)^2)</f>
        <v>2.17816969727981</v>
      </c>
      <c r="BA63" s="74" t="n">
        <f aca="false">SQRT(($B63-BA$5)^2+($C63-BA$6)^2+($D63-BA$7)^2)</f>
        <v>2.01135432295006</v>
      </c>
      <c r="BB63" s="74" t="n">
        <f aca="false">SQRT(($B63-BB$5)^2+($C63-BB$6)^2+($D63-BB$7)^2)</f>
        <v>0</v>
      </c>
      <c r="BC63" s="74" t="n">
        <f aca="false">SQRT(($B63-BC$5)^2+($C63-BC$6)^2+($D63-BC$7)^2)</f>
        <v>0.00663028097033253</v>
      </c>
      <c r="BD63" s="74" t="n">
        <f aca="false">SQRT(($B63-BD$5)^2+($C63-BD$6)^2+($D63-BD$7)^2)</f>
        <v>0.642965184935694</v>
      </c>
      <c r="BE63" s="74" t="n">
        <f aca="false">SQRT(($B63-BE$5)^2+($C63-BE$6)^2+($D63-BE$7)^2)</f>
        <v>0.902653750688688</v>
      </c>
      <c r="BF63" s="74" t="n">
        <f aca="false">SQRT(($B63-BF$5)^2+($C63-BF$6)^2+($D63-BF$7)^2)</f>
        <v>2.81206879639302</v>
      </c>
      <c r="BG63" s="74" t="n">
        <f aca="false">SQRT(($B63-BG$5)^2+($C63-BG$6)^2+($D63-BG$7)^2)</f>
        <v>1.84300918205253</v>
      </c>
      <c r="BH63" s="74" t="n">
        <f aca="false">SQRT(($B63-BH$5)^2+($C63-BH$6)^2+($D63-BH$7)^2)</f>
        <v>0.109592649079057</v>
      </c>
      <c r="BI63" s="74" t="n">
        <f aca="false">SQRT(($B63-BI$5)^2+($C63-BI$6)^2+($D63-BI$7)^2)</f>
        <v>0.126116894648992</v>
      </c>
      <c r="BJ63" s="74" t="n">
        <f aca="false">SQRT(($B63-BJ$5)^2+($C63-BJ$6)^2+($D63-BJ$7)^2)</f>
        <v>1.68657758576418</v>
      </c>
      <c r="BK63" s="74" t="n">
        <f aca="false">SQRT(($B63-BK$5)^2+($C63-BK$6)^2+($D63-BK$7)^2)</f>
        <v>0.76924434687905</v>
      </c>
      <c r="BL63" s="74" t="n">
        <f aca="false">SQRT(($B63-BL$5)^2+($C63-BL$6)^2+($D63-BL$7)^2)</f>
        <v>1.52270297363805</v>
      </c>
      <c r="BM63" s="74" t="n">
        <f aca="false">SQRT(($B63-BM$5)^2+($C63-BM$6)^2+($D63-BM$7)^2)</f>
        <v>2.06299760070465</v>
      </c>
      <c r="BN63" s="74" t="n">
        <f aca="false">SQRT(($B63-BN$5)^2+($C63-BN$6)^2+($D63-BN$7)^2)</f>
        <v>1.4709009486898</v>
      </c>
      <c r="BO63" s="74" t="n">
        <f aca="false">SQRT(($B63-BO$5)^2+($C63-BO$6)^2+($D63-BO$7)^2)</f>
        <v>0.412815213760596</v>
      </c>
      <c r="BP63" s="74" t="n">
        <f aca="false">SQRT(($B63-BP$5)^2+($C63-BP$6)^2+($D63-BP$7)^2)</f>
        <v>1.66442985531169</v>
      </c>
      <c r="BQ63" s="74" t="n">
        <f aca="false">SQRT(($B63-BQ$5)^2+($C63-BQ$6)^2+($D63-BQ$7)^2)</f>
        <v>1.64366624966081</v>
      </c>
      <c r="BR63" s="74" t="n">
        <f aca="false">SQRT(($B63-BR$5)^2+($C63-BR$6)^2+($D63-BR$7)^2)</f>
        <v>1.69366185281083</v>
      </c>
      <c r="BS63" s="74" t="n">
        <f aca="false">SQRT(($B63-BS$5)^2+($C63-BS$6)^2+($D63-BS$7)^2)</f>
        <v>1.78120701035703</v>
      </c>
      <c r="BT63" s="74" t="n">
        <f aca="false">SQRT(($B63-BT$5)^2+($C63-BT$6)^2+($D63-BT$7)^2)</f>
        <v>1.40044322312089</v>
      </c>
      <c r="BU63" s="74" t="n">
        <f aca="false">SQRT(($B63-BU$5)^2+($C63-BU$6)^2+($D63-BU$7)^2)</f>
        <v>1.31987210037476</v>
      </c>
      <c r="BV63" s="74" t="n">
        <f aca="false">SQRT(($B63-BV$5)^2+($C63-BV$6)^2+($D63-BV$7)^2)</f>
        <v>0.45433924860345</v>
      </c>
      <c r="BW63" s="74" t="n">
        <f aca="false">SQRT(($B63-BW$5)^2+($C63-BW$6)^2+($D63-BW$7)^2)</f>
        <v>1.50761126810557</v>
      </c>
      <c r="BX63" s="74" t="n">
        <f aca="false">SQRT(($B63-BX$5)^2+($C63-BX$6)^2+($D63-BX$7)^2)</f>
        <v>0.470354974330705</v>
      </c>
      <c r="BY63" s="74" t="n">
        <f aca="false">SQRT(($B63-BY$5)^2+($C63-BY$6)^2+($D63-BY$7)^2)</f>
        <v>1.08741660957164</v>
      </c>
      <c r="BZ63" s="74" t="n">
        <f aca="false">SQRT(($B63-BZ$5)^2+($C63-BZ$6)^2+($D63-BZ$7)^2)</f>
        <v>1.04170527667324</v>
      </c>
      <c r="CA63" s="74" t="n">
        <f aca="false">SQRT(($B63-CA$5)^2+($C63-CA$6)^2+($D63-CA$7)^2)</f>
        <v>0.521590080758407</v>
      </c>
      <c r="CB63" s="74" t="n">
        <f aca="false">SQRT(($B63-CB$5)^2+($C63-CB$6)^2+($D63-CB$7)^2)</f>
        <v>1.05096911365031</v>
      </c>
      <c r="CC63" s="74" t="n">
        <f aca="false">SQRT(($B63-CC$5)^2+($C63-CC$6)^2+($D63-CC$7)^2)</f>
        <v>0.539854060597488</v>
      </c>
      <c r="CD63" s="74" t="n">
        <f aca="false">SQRT(($B63-CD$5)^2+($C63-CD$6)^2+($D63-CD$7)^2)</f>
        <v>0.578425038167163</v>
      </c>
      <c r="CE63" s="74" t="n">
        <f aca="false">SQRT(($B63-CE$5)^2+($C63-CE$6)^2+($D63-CE$7)^2)</f>
        <v>1.33090791953853</v>
      </c>
      <c r="CF63" s="74" t="n">
        <f aca="false">SQRT(($B63-CF$5)^2+($C63-CF$6)^2+($D63-CF$7)^2)</f>
        <v>1.51182835825784</v>
      </c>
      <c r="CG63" s="74" t="n">
        <f aca="false">SQRT(($B63-CG$5)^2+($C63-CG$6)^2+($D63-CG$7)^2)</f>
        <v>1.12927485147695</v>
      </c>
      <c r="CH63" s="74" t="n">
        <f aca="false">SQRT(($B63-CH$5)^2+($C63-CH$6)^2+($D63-CH$7)^2)</f>
        <v>0.999467589623872</v>
      </c>
      <c r="CI63" s="74" t="n">
        <f aca="false">SQRT(($B63-CI$5)^2+($C63-CI$6)^2+($D63-CI$7)^2)</f>
        <v>0.961179531950569</v>
      </c>
      <c r="CJ63" s="74" t="n">
        <f aca="false">SQRT(($B63-CJ$5)^2+($C63-CJ$6)^2+($D63-CJ$7)^2)</f>
        <v>0.808238285072586</v>
      </c>
      <c r="CK63" s="74" t="n">
        <f aca="false">SQRT(($B63-CK$5)^2+($C63-CK$6)^2+($D63-CK$7)^2)</f>
        <v>1.36893590210667</v>
      </c>
      <c r="CL63" s="74" t="n">
        <f aca="false">SQRT(($B63-CL$5)^2+($C63-CL$6)^2+($D63-CL$7)^2)</f>
        <v>0.831117299582352</v>
      </c>
      <c r="CM63" s="74" t="n">
        <f aca="false">SQRT(($B63-CM$5)^2+($C63-CM$6)^2+($D63-CM$7)^2)</f>
        <v>1.17478901148</v>
      </c>
      <c r="CN63" s="74" t="n">
        <f aca="false">SQRT(($B63-CN$5)^2+($C63-CN$6)^2+($D63-CN$7)^2)</f>
        <v>2.05792889081909</v>
      </c>
      <c r="CO63" s="74" t="n">
        <f aca="false">SQRT(($B63-CO$5)^2+($C63-CO$6)^2+($D63-CO$7)^2)</f>
        <v>1.44461521125231</v>
      </c>
      <c r="CP63" s="74" t="n">
        <f aca="false">SQRT(($B63-CP$5)^2+($C63-CP$6)^2+($D63-CP$7)^2)</f>
        <v>0.939187363418811</v>
      </c>
      <c r="CQ63" s="74" t="n">
        <f aca="false">SQRT(($B63-CQ$5)^2+($C63-CQ$6)^2+($D63-CQ$7)^2)</f>
        <v>1.23218391696626</v>
      </c>
      <c r="CR63" s="74" t="n">
        <f aca="false">SQRT(($B63-CR$5)^2+($C63-CR$6)^2+($D63-CR$7)^2)</f>
        <v>1.31997130790363</v>
      </c>
      <c r="CS63" s="74" t="n">
        <f aca="false">SQRT(($B63-CS$5)^2+($C63-CS$6)^2+($D63-CS$7)^2)</f>
        <v>1.02613400580028</v>
      </c>
      <c r="CT63" s="74" t="n">
        <f aca="false">SQRT(($B63-CT$5)^2+($C63-CT$6)^2+($D63-CT$7)^2)</f>
        <v>1.0757400967586</v>
      </c>
      <c r="CU63" s="74" t="n">
        <f aca="false">SQRT(($B63-CU$5)^2+($C63-CU$6)^2+($D63-CU$7)^2)</f>
        <v>1.23964156229406</v>
      </c>
      <c r="CV63" s="74" t="n">
        <f aca="false">SQRT(($B63-CV$5)^2+($C63-CV$6)^2+($D63-CV$7)^2)</f>
        <v>1.77414337583904</v>
      </c>
      <c r="CW63" s="74" t="n">
        <f aca="false">SQRT(($B63-CW$5)^2+($C63-CW$6)^2+($D63-CW$7)^2)</f>
        <v>1.0757400967586</v>
      </c>
      <c r="CX63" s="74" t="n">
        <f aca="false">SQRT(($B63-CX$5)^2+($C63-CX$6)^2+($D63-CX$7)^2)</f>
        <v>1.58520896390734</v>
      </c>
      <c r="CY63" s="74" t="n">
        <f aca="false">SQRT(($B63-CY$5)^2+($C63-CY$6)^2+($D63-CY$7)^2)</f>
        <v>1.13057708619528</v>
      </c>
      <c r="CZ63" s="74" t="n">
        <f aca="false">SQRT(($B63-CZ$5)^2+($C63-CZ$6)^2+($D63-CZ$7)^2)</f>
        <v>1.13057708619528</v>
      </c>
      <c r="DA63" s="74" t="n">
        <f aca="false">SQRT(($B63-DA$5)^2+($C63-DA$6)^2+($D63-DA$7)^2)</f>
        <v>1.30033742802454</v>
      </c>
      <c r="DB63" s="74" t="n">
        <f aca="false">SQRT(($B63-DB$5)^2+($C63-DB$6)^2+($D63-DB$7)^2)</f>
        <v>1.191879624834</v>
      </c>
      <c r="DC63" s="74" t="n">
        <f aca="false">SQRT(($B63-DC$5)^2+($C63-DC$6)^2+($D63-DC$7)^2)</f>
        <v>1.191879624834</v>
      </c>
      <c r="DD63" s="74" t="n">
        <f aca="false">SQRT(($B63-DD$5)^2+($C63-DD$6)^2+($D63-DD$7)^2)</f>
        <v>1.29605036829077</v>
      </c>
      <c r="DE63" s="74" t="n">
        <f aca="false">SQRT(($B63-DE$5)^2+($C63-DE$6)^2+($D63-DE$7)^2)</f>
        <v>1.37952322158346</v>
      </c>
      <c r="DF63" s="74" t="n">
        <f aca="false">SQRT(($B63-DF$5)^2+($C63-DF$6)^2+($D63-DF$7)^2)</f>
        <v>1.55264195008565</v>
      </c>
      <c r="DG63" s="74" t="n">
        <f aca="false">SQRT(($B63-DG$5)^2+($C63-DG$6)^2+($D63-DG$7)^2)</f>
        <v>1.70237184339211</v>
      </c>
      <c r="DH63" s="74" t="n">
        <f aca="false">SQRT(($B63-DH$5)^2+($C63-DH$6)^2+($D63-DH$7)^2)</f>
        <v>1.70237184339211</v>
      </c>
      <c r="DI63" s="74" t="n">
        <f aca="false">SQRT(($B63-DI$5)^2+($C63-DI$6)^2+($D63-DI$7)^2)</f>
        <v>1.70237184339211</v>
      </c>
      <c r="DJ63" s="74" t="n">
        <f aca="false">SQRT(($B63-DJ$5)^2+($C63-DJ$6)^2+($D63-DJ$7)^2)</f>
        <v>1.70237184339211</v>
      </c>
      <c r="DK63" s="74" t="n">
        <f aca="false">SQRT(($B63-DK$5)^2+($C63-DK$6)^2+($D63-DK$7)^2)</f>
        <v>1.9134042753373</v>
      </c>
      <c r="DL63" s="74" t="n">
        <f aca="false">SQRT(($B63-DL$5)^2+($C63-DL$6)^2+($D63-DL$7)^2)</f>
        <v>1.9134042753373</v>
      </c>
      <c r="DM63" s="74" t="n">
        <f aca="false">SQRT(($B63-DM$5)^2+($C63-DM$6)^2+($D63-DM$7)^2)</f>
        <v>1.9134042753373</v>
      </c>
      <c r="DN63" s="74" t="n">
        <f aca="false">SQRT(($B63-DN$5)^2+($C63-DN$6)^2+($D63-DN$7)^2)</f>
        <v>1.9134042753373</v>
      </c>
      <c r="DO63" s="74" t="n">
        <f aca="false">SQRT(($B63-DO$5)^2+($C63-DO$6)^2+($D63-DO$7)^2)</f>
        <v>1.9134042753373</v>
      </c>
      <c r="DP63" s="74" t="n">
        <f aca="false">SQRT(($B63-DP$5)^2+($C63-DP$6)^2+($D63-DP$7)^2)</f>
        <v>2.27416660058894</v>
      </c>
      <c r="DQ63" s="74" t="n">
        <f aca="false">SQRT(($B63-DQ$5)^2+($C63-DQ$6)^2+($D63-DQ$7)^2)</f>
        <v>2.27416660058894</v>
      </c>
    </row>
    <row r="64" customFormat="false" ht="15" hidden="false" customHeight="false" outlineLevel="0" collapsed="false">
      <c r="A64" s="48" t="str">
        <f aca="false">KMeans_Data!A55</f>
        <v>Faisalabad</v>
      </c>
      <c r="B64" s="72" t="n">
        <f aca="false">KMeans_Data!H55</f>
        <v>0.187798337815286</v>
      </c>
      <c r="C64" s="72" t="n">
        <f aca="false">KMeans_Data!I55</f>
        <v>-0.672650545388274</v>
      </c>
      <c r="D64" s="72" t="n">
        <f aca="false">KMeans_Data!J55</f>
        <v>-1.14564411633355</v>
      </c>
      <c r="E64" s="74" t="n">
        <f aca="false">SQRT(($B64-E$5)^2+($C64-E$6)^2+($D64-E$7)^2)</f>
        <v>7.14635187409098</v>
      </c>
      <c r="F64" s="74" t="n">
        <f aca="false">SQRT(($B64-F$5)^2+($C64-F$6)^2+($D64-F$7)^2)</f>
        <v>6.88051398544456</v>
      </c>
      <c r="G64" s="74" t="n">
        <f aca="false">SQRT(($B64-G$5)^2+($C64-G$6)^2+($D64-G$7)^2)</f>
        <v>5.09080949239547</v>
      </c>
      <c r="H64" s="74" t="n">
        <f aca="false">SQRT(($B64-H$5)^2+($C64-H$6)^2+($D64-H$7)^2)</f>
        <v>5.50854315553241</v>
      </c>
      <c r="I64" s="74" t="n">
        <f aca="false">SQRT(($B64-I$5)^2+($C64-I$6)^2+($D64-I$7)^2)</f>
        <v>4.41707046076252</v>
      </c>
      <c r="J64" s="74" t="n">
        <f aca="false">SQRT(($B64-J$5)^2+($C64-J$6)^2+($D64-J$7)^2)</f>
        <v>4.10359513331944</v>
      </c>
      <c r="K64" s="74" t="n">
        <f aca="false">SQRT(($B64-K$5)^2+($C64-K$6)^2+($D64-K$7)^2)</f>
        <v>1.4572920010858</v>
      </c>
      <c r="L64" s="74" t="n">
        <f aca="false">SQRT(($B64-L$5)^2+($C64-L$6)^2+($D64-L$7)^2)</f>
        <v>3.36956638144894</v>
      </c>
      <c r="M64" s="74" t="n">
        <f aca="false">SQRT(($B64-M$5)^2+($C64-M$6)^2+($D64-M$7)^2)</f>
        <v>3.57368696303383</v>
      </c>
      <c r="N64" s="74" t="n">
        <f aca="false">SQRT(($B64-N$5)^2+($C64-N$6)^2+($D64-N$7)^2)</f>
        <v>1.1862393353549</v>
      </c>
      <c r="O64" s="74" t="n">
        <f aca="false">SQRT(($B64-O$5)^2+($C64-O$6)^2+($D64-O$7)^2)</f>
        <v>3.1747965264447</v>
      </c>
      <c r="P64" s="74" t="n">
        <f aca="false">SQRT(($B64-P$5)^2+($C64-P$6)^2+($D64-P$7)^2)</f>
        <v>3.49126228822433</v>
      </c>
      <c r="Q64" s="74" t="n">
        <f aca="false">SQRT(($B64-Q$5)^2+($C64-Q$6)^2+($D64-Q$7)^2)</f>
        <v>2.90910724103618</v>
      </c>
      <c r="R64" s="74" t="n">
        <f aca="false">SQRT(($B64-R$5)^2+($C64-R$6)^2+($D64-R$7)^2)</f>
        <v>2.94461062391018</v>
      </c>
      <c r="S64" s="74" t="n">
        <f aca="false">SQRT(($B64-S$5)^2+($C64-S$6)^2+($D64-S$7)^2)</f>
        <v>2.50928512824414</v>
      </c>
      <c r="T64" s="74" t="n">
        <f aca="false">SQRT(($B64-T$5)^2+($C64-T$6)^2+($D64-T$7)^2)</f>
        <v>2.82535675172236</v>
      </c>
      <c r="U64" s="74" t="n">
        <f aca="false">SQRT(($B64-U$5)^2+($C64-U$6)^2+($D64-U$7)^2)</f>
        <v>3.00521356121423</v>
      </c>
      <c r="V64" s="74" t="n">
        <f aca="false">SQRT(($B64-V$5)^2+($C64-V$6)^2+($D64-V$7)^2)</f>
        <v>2.78780940688041</v>
      </c>
      <c r="W64" s="74" t="n">
        <f aca="false">SQRT(($B64-W$5)^2+($C64-W$6)^2+($D64-W$7)^2)</f>
        <v>2.99736207337955</v>
      </c>
      <c r="X64" s="74" t="n">
        <f aca="false">SQRT(($B64-X$5)^2+($C64-X$6)^2+($D64-X$7)^2)</f>
        <v>2.71442130299207</v>
      </c>
      <c r="Y64" s="74" t="n">
        <f aca="false">SQRT(($B64-Y$5)^2+($C64-Y$6)^2+($D64-Y$7)^2)</f>
        <v>2.89271105147699</v>
      </c>
      <c r="Z64" s="74" t="n">
        <f aca="false">SQRT(($B64-Z$5)^2+($C64-Z$6)^2+($D64-Z$7)^2)</f>
        <v>2.37629688942438</v>
      </c>
      <c r="AA64" s="74" t="n">
        <f aca="false">SQRT(($B64-AA$5)^2+($C64-AA$6)^2+($D64-AA$7)^2)</f>
        <v>2.34123945867375</v>
      </c>
      <c r="AB64" s="74" t="n">
        <f aca="false">SQRT(($B64-AB$5)^2+($C64-AB$6)^2+($D64-AB$7)^2)</f>
        <v>2.26514087446557</v>
      </c>
      <c r="AC64" s="74" t="n">
        <f aca="false">SQRT(($B64-AC$5)^2+($C64-AC$6)^2+($D64-AC$7)^2)</f>
        <v>2.8385437619497</v>
      </c>
      <c r="AD64" s="74" t="n">
        <f aca="false">SQRT(($B64-AD$5)^2+($C64-AD$6)^2+($D64-AD$7)^2)</f>
        <v>2.8852427848085</v>
      </c>
      <c r="AE64" s="74" t="n">
        <f aca="false">SQRT(($B64-AE$5)^2+($C64-AE$6)^2+($D64-AE$7)^2)</f>
        <v>0.697119421223826</v>
      </c>
      <c r="AF64" s="74" t="n">
        <f aca="false">SQRT(($B64-AF$5)^2+($C64-AF$6)^2+($D64-AF$7)^2)</f>
        <v>2.46862394489722</v>
      </c>
      <c r="AG64" s="74" t="n">
        <f aca="false">SQRT(($B64-AG$5)^2+($C64-AG$6)^2+($D64-AG$7)^2)</f>
        <v>0.841594353578997</v>
      </c>
      <c r="AH64" s="74" t="n">
        <f aca="false">SQRT(($B64-AH$5)^2+($C64-AH$6)^2+($D64-AH$7)^2)</f>
        <v>2.135481628606</v>
      </c>
      <c r="AI64" s="74" t="n">
        <f aca="false">SQRT(($B64-AI$5)^2+($C64-AI$6)^2+($D64-AI$7)^2)</f>
        <v>0.840133001552774</v>
      </c>
      <c r="AJ64" s="74" t="n">
        <f aca="false">SQRT(($B64-AJ$5)^2+($C64-AJ$6)^2+($D64-AJ$7)^2)</f>
        <v>2.59578737870646</v>
      </c>
      <c r="AK64" s="74" t="n">
        <f aca="false">SQRT(($B64-AK$5)^2+($C64-AK$6)^2+($D64-AK$7)^2)</f>
        <v>1.80974207433736</v>
      </c>
      <c r="AL64" s="74" t="n">
        <f aca="false">SQRT(($B64-AL$5)^2+($C64-AL$6)^2+($D64-AL$7)^2)</f>
        <v>1.8018212469261</v>
      </c>
      <c r="AM64" s="74" t="n">
        <f aca="false">SQRT(($B64-AM$5)^2+($C64-AM$6)^2+($D64-AM$7)^2)</f>
        <v>2.53319130091377</v>
      </c>
      <c r="AN64" s="74" t="n">
        <f aca="false">SQRT(($B64-AN$5)^2+($C64-AN$6)^2+($D64-AN$7)^2)</f>
        <v>2.61859759460401</v>
      </c>
      <c r="AO64" s="74" t="n">
        <f aca="false">SQRT(($B64-AO$5)^2+($C64-AO$6)^2+($D64-AO$7)^2)</f>
        <v>2.00172003744086</v>
      </c>
      <c r="AP64" s="74" t="n">
        <f aca="false">SQRT(($B64-AP$5)^2+($C64-AP$6)^2+($D64-AP$7)^2)</f>
        <v>1.93461220195338</v>
      </c>
      <c r="AQ64" s="74" t="n">
        <f aca="false">SQRT(($B64-AQ$5)^2+($C64-AQ$6)^2+($D64-AQ$7)^2)</f>
        <v>2.64192663082064</v>
      </c>
      <c r="AR64" s="74" t="n">
        <f aca="false">SQRT(($B64-AR$5)^2+($C64-AR$6)^2+($D64-AR$7)^2)</f>
        <v>1.36874799276377</v>
      </c>
      <c r="AS64" s="74" t="n">
        <f aca="false">SQRT(($B64-AS$5)^2+($C64-AS$6)^2+($D64-AS$7)^2)</f>
        <v>2.16047654477484</v>
      </c>
      <c r="AT64" s="74" t="n">
        <f aca="false">SQRT(($B64-AT$5)^2+($C64-AT$6)^2+($D64-AT$7)^2)</f>
        <v>1.99240799033708</v>
      </c>
      <c r="AU64" s="74" t="n">
        <f aca="false">SQRT(($B64-AU$5)^2+($C64-AU$6)^2+($D64-AU$7)^2)</f>
        <v>0.735556231722833</v>
      </c>
      <c r="AV64" s="74" t="n">
        <f aca="false">SQRT(($B64-AV$5)^2+($C64-AV$6)^2+($D64-AV$7)^2)</f>
        <v>1.66198911356829</v>
      </c>
      <c r="AW64" s="74" t="n">
        <f aca="false">SQRT(($B64-AW$5)^2+($C64-AW$6)^2+($D64-AW$7)^2)</f>
        <v>0.325193293709721</v>
      </c>
      <c r="AX64" s="74" t="n">
        <f aca="false">SQRT(($B64-AX$5)^2+($C64-AX$6)^2+($D64-AX$7)^2)</f>
        <v>1.74031240784043</v>
      </c>
      <c r="AY64" s="74" t="n">
        <f aca="false">SQRT(($B64-AY$5)^2+($C64-AY$6)^2+($D64-AY$7)^2)</f>
        <v>0.0131771599666733</v>
      </c>
      <c r="AZ64" s="74" t="n">
        <f aca="false">SQRT(($B64-AZ$5)^2+($C64-AZ$6)^2+($D64-AZ$7)^2)</f>
        <v>2.17819971675424</v>
      </c>
      <c r="BA64" s="74" t="n">
        <f aca="false">SQRT(($B64-BA$5)^2+($C64-BA$6)^2+($D64-BA$7)^2)</f>
        <v>2.01136525103613</v>
      </c>
      <c r="BB64" s="74" t="n">
        <f aca="false">SQRT(($B64-BB$5)^2+($C64-BB$6)^2+($D64-BB$7)^2)</f>
        <v>0.00663028097033253</v>
      </c>
      <c r="BC64" s="74" t="n">
        <f aca="false">SQRT(($B64-BC$5)^2+($C64-BC$6)^2+($D64-BC$7)^2)</f>
        <v>0</v>
      </c>
      <c r="BD64" s="74" t="n">
        <f aca="false">SQRT(($B64-BD$5)^2+($C64-BD$6)^2+($D64-BD$7)^2)</f>
        <v>0.642720450772208</v>
      </c>
      <c r="BE64" s="74" t="n">
        <f aca="false">SQRT(($B64-BE$5)^2+($C64-BE$6)^2+($D64-BE$7)^2)</f>
        <v>0.902376084552549</v>
      </c>
      <c r="BF64" s="74" t="n">
        <f aca="false">SQRT(($B64-BF$5)^2+($C64-BF$6)^2+($D64-BF$7)^2)</f>
        <v>2.81192818091594</v>
      </c>
      <c r="BG64" s="74" t="n">
        <f aca="false">SQRT(($B64-BG$5)^2+($C64-BG$6)^2+($D64-BG$7)^2)</f>
        <v>1.84268443396241</v>
      </c>
      <c r="BH64" s="74" t="n">
        <f aca="false">SQRT(($B64-BH$5)^2+($C64-BH$6)^2+($D64-BH$7)^2)</f>
        <v>0.102962368108725</v>
      </c>
      <c r="BI64" s="74" t="n">
        <f aca="false">SQRT(($B64-BI$5)^2+($C64-BI$6)^2+($D64-BI$7)^2)</f>
        <v>0.11948661367866</v>
      </c>
      <c r="BJ64" s="74" t="n">
        <f aca="false">SQRT(($B64-BJ$5)^2+($C64-BJ$6)^2+($D64-BJ$7)^2)</f>
        <v>1.68592265955185</v>
      </c>
      <c r="BK64" s="74" t="n">
        <f aca="false">SQRT(($B64-BK$5)^2+($C64-BK$6)^2+($D64-BK$7)^2)</f>
        <v>0.767646800301613</v>
      </c>
      <c r="BL64" s="74" t="n">
        <f aca="false">SQRT(($B64-BL$5)^2+($C64-BL$6)^2+($D64-BL$7)^2)</f>
        <v>1.52185493724821</v>
      </c>
      <c r="BM64" s="74" t="n">
        <f aca="false">SQRT(($B64-BM$5)^2+($C64-BM$6)^2+($D64-BM$7)^2)</f>
        <v>2.062276100081</v>
      </c>
      <c r="BN64" s="74" t="n">
        <f aca="false">SQRT(($B64-BN$5)^2+($C64-BN$6)^2+($D64-BN$7)^2)</f>
        <v>1.46984235243875</v>
      </c>
      <c r="BO64" s="74" t="n">
        <f aca="false">SQRT(($B64-BO$5)^2+($C64-BO$6)^2+($D64-BO$7)^2)</f>
        <v>0.408682760465912</v>
      </c>
      <c r="BP64" s="74" t="n">
        <f aca="false">SQRT(($B64-BP$5)^2+($C64-BP$6)^2+($D64-BP$7)^2)</f>
        <v>1.66327583825533</v>
      </c>
      <c r="BQ64" s="74" t="n">
        <f aca="false">SQRT(($B64-BQ$5)^2+($C64-BQ$6)^2+($D64-BQ$7)^2)</f>
        <v>1.64245042837711</v>
      </c>
      <c r="BR64" s="74" t="n">
        <f aca="false">SQRT(($B64-BR$5)^2+($C64-BR$6)^2+($D64-BR$7)^2)</f>
        <v>1.6923870930488</v>
      </c>
      <c r="BS64" s="74" t="n">
        <f aca="false">SQRT(($B64-BS$5)^2+($C64-BS$6)^2+($D64-BS$7)^2)</f>
        <v>1.77985126961761</v>
      </c>
      <c r="BT64" s="74" t="n">
        <f aca="false">SQRT(($B64-BT$5)^2+($C64-BT$6)^2+($D64-BT$7)^2)</f>
        <v>1.39852097469094</v>
      </c>
      <c r="BU64" s="74" t="n">
        <f aca="false">SQRT(($B64-BU$5)^2+($C64-BU$6)^2+($D64-BU$7)^2)</f>
        <v>1.31783233258747</v>
      </c>
      <c r="BV64" s="74" t="n">
        <f aca="false">SQRT(($B64-BV$5)^2+($C64-BV$6)^2+($D64-BV$7)^2)</f>
        <v>0.447708967633117</v>
      </c>
      <c r="BW64" s="74" t="n">
        <f aca="false">SQRT(($B64-BW$5)^2+($C64-BW$6)^2+($D64-BW$7)^2)</f>
        <v>1.5055558857357</v>
      </c>
      <c r="BX64" s="74" t="n">
        <f aca="false">SQRT(($B64-BX$5)^2+($C64-BX$6)^2+($D64-BX$7)^2)</f>
        <v>0.463724693360372</v>
      </c>
      <c r="BY64" s="74" t="n">
        <f aca="false">SQRT(($B64-BY$5)^2+($C64-BY$6)^2+($D64-BY$7)^2)</f>
        <v>1.0843598318861</v>
      </c>
      <c r="BZ64" s="74" t="n">
        <f aca="false">SQRT(($B64-BZ$5)^2+($C64-BZ$6)^2+($D64-BZ$7)^2)</f>
        <v>1.03840130320656</v>
      </c>
      <c r="CA64" s="74" t="n">
        <f aca="false">SQRT(($B64-CA$5)^2+($C64-CA$6)^2+($D64-CA$7)^2)</f>
        <v>0.514959799788074</v>
      </c>
      <c r="CB64" s="74" t="n">
        <f aca="false">SQRT(($B64-CB$5)^2+($C64-CB$6)^2+($D64-CB$7)^2)</f>
        <v>1.0475787656607</v>
      </c>
      <c r="CC64" s="74" t="n">
        <f aca="false">SQRT(($B64-CC$5)^2+($C64-CC$6)^2+($D64-CC$7)^2)</f>
        <v>0.533223779627156</v>
      </c>
      <c r="CD64" s="74" t="n">
        <f aca="false">SQRT(($B64-CD$5)^2+($C64-CD$6)^2+($D64-CD$7)^2)</f>
        <v>0.571794757196831</v>
      </c>
      <c r="CE64" s="74" t="n">
        <f aca="false">SQRT(($B64-CE$5)^2+($C64-CE$6)^2+($D64-CE$7)^2)</f>
        <v>1.32793784466618</v>
      </c>
      <c r="CF64" s="74" t="n">
        <f aca="false">SQRT(($B64-CF$5)^2+($C64-CF$6)^2+($D64-CF$7)^2)</f>
        <v>1.50921436974304</v>
      </c>
      <c r="CG64" s="74" t="n">
        <f aca="false">SQRT(($B64-CG$5)^2+($C64-CG$6)^2+($D64-CG$7)^2)</f>
        <v>1.1253810236629</v>
      </c>
      <c r="CH64" s="74" t="n">
        <f aca="false">SQRT(($B64-CH$5)^2+($C64-CH$6)^2+($D64-CH$7)^2)</f>
        <v>0.995065937991458</v>
      </c>
      <c r="CI64" s="74" t="n">
        <f aca="false">SQRT(($B64-CI$5)^2+($C64-CI$6)^2+($D64-CI$7)^2)</f>
        <v>0.956257834603823</v>
      </c>
      <c r="CJ64" s="74" t="n">
        <f aca="false">SQRT(($B64-CJ$5)^2+($C64-CJ$6)^2+($D64-CJ$7)^2)</f>
        <v>0.802158380153289</v>
      </c>
      <c r="CK64" s="74" t="n">
        <f aca="false">SQRT(($B64-CK$5)^2+($C64-CK$6)^2+($D64-CK$7)^2)</f>
        <v>1.36507391621612</v>
      </c>
      <c r="CL64" s="74" t="n">
        <f aca="false">SQRT(($B64-CL$5)^2+($C64-CL$6)^2+($D64-CL$7)^2)</f>
        <v>0.82448701861202</v>
      </c>
      <c r="CM64" s="74" t="n">
        <f aca="false">SQRT(($B64-CM$5)^2+($C64-CM$6)^2+($D64-CM$7)^2)</f>
        <v>1.17010772995004</v>
      </c>
      <c r="CN64" s="74" t="n">
        <f aca="false">SQRT(($B64-CN$5)^2+($C64-CN$6)^2+($D64-CN$7)^2)</f>
        <v>2.05503591231986</v>
      </c>
      <c r="CO64" s="74" t="n">
        <f aca="false">SQRT(($B64-CO$5)^2+($C64-CO$6)^2+($D64-CO$7)^2)</f>
        <v>1.44031347872635</v>
      </c>
      <c r="CP64" s="74" t="n">
        <f aca="false">SQRT(($B64-CP$5)^2+($C64-CP$6)^2+($D64-CP$7)^2)</f>
        <v>0.932557082448478</v>
      </c>
      <c r="CQ64" s="74" t="n">
        <f aca="false">SQRT(($B64-CQ$5)^2+($C64-CQ$6)^2+($D64-CQ$7)^2)</f>
        <v>1.22691262154256</v>
      </c>
      <c r="CR64" s="74" t="n">
        <f aca="false">SQRT(($B64-CR$5)^2+($C64-CR$6)^2+($D64-CR$7)^2)</f>
        <v>1.31482360062908</v>
      </c>
      <c r="CS64" s="74" t="n">
        <f aca="false">SQRT(($B64-CS$5)^2+($C64-CS$6)^2+($D64-CS$7)^2)</f>
        <v>1.01950372482995</v>
      </c>
      <c r="CT64" s="74" t="n">
        <f aca="false">SQRT(($B64-CT$5)^2+($C64-CT$6)^2+($D64-CT$7)^2)</f>
        <v>1.06910981578827</v>
      </c>
      <c r="CU64" s="74" t="n">
        <f aca="false">SQRT(($B64-CU$5)^2+($C64-CU$6)^2+($D64-CU$7)^2)</f>
        <v>1.23389231515861</v>
      </c>
      <c r="CV64" s="74" t="n">
        <f aca="false">SQRT(($B64-CV$5)^2+($C64-CV$6)^2+($D64-CV$7)^2)</f>
        <v>1.77013100093585</v>
      </c>
      <c r="CW64" s="74" t="n">
        <f aca="false">SQRT(($B64-CW$5)^2+($C64-CW$6)^2+($D64-CW$7)^2)</f>
        <v>1.06910981578827</v>
      </c>
      <c r="CX64" s="74" t="n">
        <f aca="false">SQRT(($B64-CX$5)^2+($C64-CX$6)^2+($D64-CX$7)^2)</f>
        <v>1.58048705543505</v>
      </c>
      <c r="CY64" s="74" t="n">
        <f aca="false">SQRT(($B64-CY$5)^2+($C64-CY$6)^2+($D64-CY$7)^2)</f>
        <v>1.12394680522495</v>
      </c>
      <c r="CZ64" s="74" t="n">
        <f aca="false">SQRT(($B64-CZ$5)^2+($C64-CZ$6)^2+($D64-CZ$7)^2)</f>
        <v>1.12394680522495</v>
      </c>
      <c r="DA64" s="74" t="n">
        <f aca="false">SQRT(($B64-DA$5)^2+($C64-DA$6)^2+($D64-DA$7)^2)</f>
        <v>1.29457688063206</v>
      </c>
      <c r="DB64" s="74" t="n">
        <f aca="false">SQRT(($B64-DB$5)^2+($C64-DB$6)^2+($D64-DB$7)^2)</f>
        <v>1.18524934386367</v>
      </c>
      <c r="DC64" s="74" t="n">
        <f aca="false">SQRT(($B64-DC$5)^2+($C64-DC$6)^2+($D64-DC$7)^2)</f>
        <v>1.18524934386367</v>
      </c>
      <c r="DD64" s="74" t="n">
        <f aca="false">SQRT(($B64-DD$5)^2+($C64-DD$6)^2+($D64-DD$7)^2)</f>
        <v>1.28995562876459</v>
      </c>
      <c r="DE64" s="74" t="n">
        <f aca="false">SQRT(($B64-DE$5)^2+($C64-DE$6)^2+($D64-DE$7)^2)</f>
        <v>1.37307602972241</v>
      </c>
      <c r="DF64" s="74" t="n">
        <f aca="false">SQRT(($B64-DF$5)^2+($C64-DF$6)^2+($D64-DF$7)^2)</f>
        <v>1.54601166911532</v>
      </c>
      <c r="DG64" s="74" t="n">
        <f aca="false">SQRT(($B64-DG$5)^2+($C64-DG$6)^2+($D64-DG$7)^2)</f>
        <v>1.69574156242178</v>
      </c>
      <c r="DH64" s="74" t="n">
        <f aca="false">SQRT(($B64-DH$5)^2+($C64-DH$6)^2+($D64-DH$7)^2)</f>
        <v>1.69574156242178</v>
      </c>
      <c r="DI64" s="74" t="n">
        <f aca="false">SQRT(($B64-DI$5)^2+($C64-DI$6)^2+($D64-DI$7)^2)</f>
        <v>1.69574156242178</v>
      </c>
      <c r="DJ64" s="74" t="n">
        <f aca="false">SQRT(($B64-DJ$5)^2+($C64-DJ$6)^2+($D64-DJ$7)^2)</f>
        <v>1.69574156242178</v>
      </c>
      <c r="DK64" s="74" t="n">
        <f aca="false">SQRT(($B64-DK$5)^2+($C64-DK$6)^2+($D64-DK$7)^2)</f>
        <v>1.90677399436696</v>
      </c>
      <c r="DL64" s="74" t="n">
        <f aca="false">SQRT(($B64-DL$5)^2+($C64-DL$6)^2+($D64-DL$7)^2)</f>
        <v>1.90677399436696</v>
      </c>
      <c r="DM64" s="74" t="n">
        <f aca="false">SQRT(($B64-DM$5)^2+($C64-DM$6)^2+($D64-DM$7)^2)</f>
        <v>1.90677399436696</v>
      </c>
      <c r="DN64" s="74" t="n">
        <f aca="false">SQRT(($B64-DN$5)^2+($C64-DN$6)^2+($D64-DN$7)^2)</f>
        <v>1.90677399436696</v>
      </c>
      <c r="DO64" s="74" t="n">
        <f aca="false">SQRT(($B64-DO$5)^2+($C64-DO$6)^2+($D64-DO$7)^2)</f>
        <v>1.90677399436696</v>
      </c>
      <c r="DP64" s="74" t="n">
        <f aca="false">SQRT(($B64-DP$5)^2+($C64-DP$6)^2+($D64-DP$7)^2)</f>
        <v>2.26753631961861</v>
      </c>
      <c r="DQ64" s="74" t="n">
        <f aca="false">SQRT(($B64-DQ$5)^2+($C64-DQ$6)^2+($D64-DQ$7)^2)</f>
        <v>2.26753631961861</v>
      </c>
    </row>
    <row r="65" customFormat="false" ht="15" hidden="false" customHeight="false" outlineLevel="0" collapsed="false">
      <c r="A65" s="48" t="str">
        <f aca="false">KMeans_Data!A56</f>
        <v>Jhelum</v>
      </c>
      <c r="B65" s="72" t="n">
        <f aca="false">KMeans_Data!H56</f>
        <v>0.167385132550892</v>
      </c>
      <c r="C65" s="72" t="n">
        <f aca="false">KMeans_Data!I56</f>
        <v>-0.672650545388274</v>
      </c>
      <c r="D65" s="72" t="n">
        <f aca="false">KMeans_Data!J56</f>
        <v>-0.503247915463979</v>
      </c>
      <c r="E65" s="74" t="n">
        <f aca="false">SQRT(($B65-E$5)^2+($C65-E$6)^2+($D65-E$7)^2)</f>
        <v>6.77926767473373</v>
      </c>
      <c r="F65" s="74" t="n">
        <f aca="false">SQRT(($B65-F$5)^2+($C65-F$6)^2+($D65-F$7)^2)</f>
        <v>6.55467540797812</v>
      </c>
      <c r="G65" s="74" t="n">
        <f aca="false">SQRT(($B65-G$5)^2+($C65-G$6)^2+($D65-G$7)^2)</f>
        <v>4.67957261103997</v>
      </c>
      <c r="H65" s="74" t="n">
        <f aca="false">SQRT(($B65-H$5)^2+($C65-H$6)^2+($D65-H$7)^2)</f>
        <v>5.22171838460935</v>
      </c>
      <c r="I65" s="74" t="n">
        <f aca="false">SQRT(($B65-I$5)^2+($C65-I$6)^2+($D65-I$7)^2)</f>
        <v>4.04388258876544</v>
      </c>
      <c r="J65" s="74" t="n">
        <f aca="false">SQRT(($B65-J$5)^2+($C65-J$6)^2+($D65-J$7)^2)</f>
        <v>3.73891286598649</v>
      </c>
      <c r="K65" s="74" t="n">
        <f aca="false">SQRT(($B65-K$5)^2+($C65-K$6)^2+($D65-K$7)^2)</f>
        <v>1.47347742058227</v>
      </c>
      <c r="L65" s="74" t="n">
        <f aca="false">SQRT(($B65-L$5)^2+($C65-L$6)^2+($D65-L$7)^2)</f>
        <v>2.85069286606791</v>
      </c>
      <c r="M65" s="74" t="n">
        <f aca="false">SQRT(($B65-M$5)^2+($C65-M$6)^2+($D65-M$7)^2)</f>
        <v>3.09479769503396</v>
      </c>
      <c r="N65" s="74" t="n">
        <f aca="false">SQRT(($B65-N$5)^2+($C65-N$6)^2+($D65-N$7)^2)</f>
        <v>1.20373079868078</v>
      </c>
      <c r="O65" s="74" t="n">
        <f aca="false">SQRT(($B65-O$5)^2+($C65-O$6)^2+($D65-O$7)^2)</f>
        <v>2.79098582549799</v>
      </c>
      <c r="P65" s="74" t="n">
        <f aca="false">SQRT(($B65-P$5)^2+($C65-P$6)^2+($D65-P$7)^2)</f>
        <v>3.10953952833218</v>
      </c>
      <c r="Q65" s="74" t="n">
        <f aca="false">SQRT(($B65-Q$5)^2+($C65-Q$6)^2+($D65-Q$7)^2)</f>
        <v>2.45982982293558</v>
      </c>
      <c r="R65" s="74" t="n">
        <f aca="false">SQRT(($B65-R$5)^2+($C65-R$6)^2+($D65-R$7)^2)</f>
        <v>2.39946355433655</v>
      </c>
      <c r="S65" s="74" t="n">
        <f aca="false">SQRT(($B65-S$5)^2+($C65-S$6)^2+($D65-S$7)^2)</f>
        <v>1.94215611350887</v>
      </c>
      <c r="T65" s="74" t="n">
        <f aca="false">SQRT(($B65-T$5)^2+($C65-T$6)^2+($D65-T$7)^2)</f>
        <v>2.38204983186328</v>
      </c>
      <c r="U65" s="74" t="n">
        <f aca="false">SQRT(($B65-U$5)^2+($C65-U$6)^2+($D65-U$7)^2)</f>
        <v>2.44267392508464</v>
      </c>
      <c r="V65" s="74" t="n">
        <f aca="false">SQRT(($B65-V$5)^2+($C65-V$6)^2+($D65-V$7)^2)</f>
        <v>2.43839904009217</v>
      </c>
      <c r="W65" s="74" t="n">
        <f aca="false">SQRT(($B65-W$5)^2+($C65-W$6)^2+($D65-W$7)^2)</f>
        <v>2.59845939616869</v>
      </c>
      <c r="X65" s="74" t="n">
        <f aca="false">SQRT(($B65-X$5)^2+($C65-X$6)^2+($D65-X$7)^2)</f>
        <v>2.23696199969036</v>
      </c>
      <c r="Y65" s="74" t="n">
        <f aca="false">SQRT(($B65-Y$5)^2+($C65-Y$6)^2+($D65-Y$7)^2)</f>
        <v>2.38828816688293</v>
      </c>
      <c r="Z65" s="74" t="n">
        <f aca="false">SQRT(($B65-Z$5)^2+($C65-Z$6)^2+($D65-Z$7)^2)</f>
        <v>1.95395615402909</v>
      </c>
      <c r="AA65" s="74" t="n">
        <f aca="false">SQRT(($B65-AA$5)^2+($C65-AA$6)^2+($D65-AA$7)^2)</f>
        <v>1.79273845571368</v>
      </c>
      <c r="AB65" s="74" t="n">
        <f aca="false">SQRT(($B65-AB$5)^2+($C65-AB$6)^2+($D65-AB$7)^2)</f>
        <v>1.79977965829334</v>
      </c>
      <c r="AC65" s="74" t="n">
        <f aca="false">SQRT(($B65-AC$5)^2+($C65-AC$6)^2+($D65-AC$7)^2)</f>
        <v>2.46713998251333</v>
      </c>
      <c r="AD65" s="74" t="n">
        <f aca="false">SQRT(($B65-AD$5)^2+($C65-AD$6)^2+($D65-AD$7)^2)</f>
        <v>2.37582894169262</v>
      </c>
      <c r="AE65" s="74" t="n">
        <f aca="false">SQRT(($B65-AE$5)^2+($C65-AE$6)^2+($D65-AE$7)^2)</f>
        <v>0.957997101567507</v>
      </c>
      <c r="AF65" s="74" t="n">
        <f aca="false">SQRT(($B65-AF$5)^2+($C65-AF$6)^2+($D65-AF$7)^2)</f>
        <v>1.98249974932987</v>
      </c>
      <c r="AG65" s="74" t="n">
        <f aca="false">SQRT(($B65-AG$5)^2+($C65-AG$6)^2+($D65-AG$7)^2)</f>
        <v>0.423195408588256</v>
      </c>
      <c r="AH65" s="74" t="n">
        <f aca="false">SQRT(($B65-AH$5)^2+($C65-AH$6)^2+($D65-AH$7)^2)</f>
        <v>1.58532474973883</v>
      </c>
      <c r="AI65" s="74" t="n">
        <f aca="false">SQRT(($B65-AI$5)^2+($C65-AI$6)^2+($D65-AI$7)^2)</f>
        <v>0.420128057849758</v>
      </c>
      <c r="AJ65" s="74" t="n">
        <f aca="false">SQRT(($B65-AJ$5)^2+($C65-AJ$6)^2+($D65-AJ$7)^2)</f>
        <v>2.06500105251492</v>
      </c>
      <c r="AK65" s="74" t="n">
        <f aca="false">SQRT(($B65-AK$5)^2+($C65-AK$6)^2+($D65-AK$7)^2)</f>
        <v>1.36455336702302</v>
      </c>
      <c r="AL65" s="74" t="n">
        <f aca="false">SQRT(($B65-AL$5)^2+($C65-AL$6)^2+($D65-AL$7)^2)</f>
        <v>1.22091387800185</v>
      </c>
      <c r="AM65" s="74" t="n">
        <f aca="false">SQRT(($B65-AM$5)^2+($C65-AM$6)^2+($D65-AM$7)^2)</f>
        <v>2.23058733815912</v>
      </c>
      <c r="AN65" s="74" t="n">
        <f aca="false">SQRT(($B65-AN$5)^2+($C65-AN$6)^2+($D65-AN$7)^2)</f>
        <v>2.21008134692367</v>
      </c>
      <c r="AO65" s="74" t="n">
        <f aca="false">SQRT(($B65-AO$5)^2+($C65-AO$6)^2+($D65-AO$7)^2)</f>
        <v>1.50476457533782</v>
      </c>
      <c r="AP65" s="74" t="n">
        <f aca="false">SQRT(($B65-AP$5)^2+($C65-AP$6)^2+($D65-AP$7)^2)</f>
        <v>1.4499310247666</v>
      </c>
      <c r="AQ65" s="74" t="n">
        <f aca="false">SQRT(($B65-AQ$5)^2+($C65-AQ$6)^2+($D65-AQ$7)^2)</f>
        <v>2.26327584330587</v>
      </c>
      <c r="AR65" s="74" t="n">
        <f aca="false">SQRT(($B65-AR$5)^2+($C65-AR$6)^2+($D65-AR$7)^2)</f>
        <v>0.961218155279225</v>
      </c>
      <c r="AS65" s="74" t="n">
        <f aca="false">SQRT(($B65-AS$5)^2+($C65-AS$6)^2+($D65-AS$7)^2)</f>
        <v>1.52159159671594</v>
      </c>
      <c r="AT65" s="74" t="n">
        <f aca="false">SQRT(($B65-AT$5)^2+($C65-AT$6)^2+($D65-AT$7)^2)</f>
        <v>1.38550555057241</v>
      </c>
      <c r="AU65" s="74" t="n">
        <f aca="false">SQRT(($B65-AU$5)^2+($C65-AU$6)^2+($D65-AU$7)^2)</f>
        <v>0.55054722641252</v>
      </c>
      <c r="AV65" s="74" t="n">
        <f aca="false">SQRT(($B65-AV$5)^2+($C65-AV$6)^2+($D65-AV$7)^2)</f>
        <v>1.02206304874641</v>
      </c>
      <c r="AW65" s="74" t="n">
        <f aca="false">SQRT(($B65-AW$5)^2+($C65-AW$6)^2+($D65-AW$7)^2)</f>
        <v>0.32900165578009</v>
      </c>
      <c r="AX65" s="74" t="n">
        <f aca="false">SQRT(($B65-AX$5)^2+($C65-AX$6)^2+($D65-AX$7)^2)</f>
        <v>1.21712362742647</v>
      </c>
      <c r="AY65" s="74" t="n">
        <f aca="false">SQRT(($B65-AY$5)^2+($C65-AY$6)^2+($D65-AY$7)^2)</f>
        <v>0.643273807587422</v>
      </c>
      <c r="AZ65" s="74" t="n">
        <f aca="false">SQRT(($B65-AZ$5)^2+($C65-AZ$6)^2+($D65-AZ$7)^2)</f>
        <v>1.53613095934927</v>
      </c>
      <c r="BA65" s="74" t="n">
        <f aca="false">SQRT(($B65-BA$5)^2+($C65-BA$6)^2+($D65-BA$7)^2)</f>
        <v>1.4016393684175</v>
      </c>
      <c r="BB65" s="74" t="n">
        <f aca="false">SQRT(($B65-BB$5)^2+($C65-BB$6)^2+($D65-BB$7)^2)</f>
        <v>0.642965184935694</v>
      </c>
      <c r="BC65" s="74" t="n">
        <f aca="false">SQRT(($B65-BC$5)^2+($C65-BC$6)^2+($D65-BC$7)^2)</f>
        <v>0.642720450772208</v>
      </c>
      <c r="BD65" s="74" t="n">
        <f aca="false">SQRT(($B65-BD$5)^2+($C65-BD$6)^2+($D65-BD$7)^2)</f>
        <v>0</v>
      </c>
      <c r="BE65" s="74" t="n">
        <f aca="false">SQRT(($B65-BE$5)^2+($C65-BE$6)^2+($D65-BE$7)^2)</f>
        <v>0.259702156307929</v>
      </c>
      <c r="BF65" s="74" t="n">
        <f aca="false">SQRT(($B65-BF$5)^2+($C65-BF$6)^2+($D65-BF$7)^2)</f>
        <v>2.41889828980326</v>
      </c>
      <c r="BG65" s="74" t="n">
        <f aca="false">SQRT(($B65-BG$5)^2+($C65-BG$6)^2+($D65-BG$7)^2)</f>
        <v>1.24043821046426</v>
      </c>
      <c r="BH65" s="74" t="n">
        <f aca="false">SQRT(($B65-BH$5)^2+($C65-BH$6)^2+($D65-BH$7)^2)</f>
        <v>0.647678348548076</v>
      </c>
      <c r="BI65" s="74" t="n">
        <f aca="false">SQRT(($B65-BI$5)^2+($C65-BI$6)^2+($D65-BI$7)^2)</f>
        <v>0.649991091590095</v>
      </c>
      <c r="BJ65" s="74" t="n">
        <f aca="false">SQRT(($B65-BJ$5)^2+($C65-BJ$6)^2+($D65-BJ$7)^2)</f>
        <v>1.33016657255667</v>
      </c>
      <c r="BK65" s="74" t="n">
        <f aca="false">SQRT(($B65-BK$5)^2+($C65-BK$6)^2+($D65-BK$7)^2)</f>
        <v>0.191704408900548</v>
      </c>
      <c r="BL65" s="74" t="n">
        <f aca="false">SQRT(($B65-BL$5)^2+($C65-BL$6)^2+($D65-BL$7)^2)</f>
        <v>0.884066899014153</v>
      </c>
      <c r="BM65" s="74" t="n">
        <f aca="false">SQRT(($B65-BM$5)^2+($C65-BM$6)^2+($D65-BM$7)^2)</f>
        <v>1.59384064179839</v>
      </c>
      <c r="BN65" s="74" t="n">
        <f aca="false">SQRT(($B65-BN$5)^2+($C65-BN$6)^2+($D65-BN$7)^2)</f>
        <v>1.01833487253131</v>
      </c>
      <c r="BO65" s="74" t="n">
        <f aca="false">SQRT(($B65-BO$5)^2+($C65-BO$6)^2+($D65-BO$7)^2)</f>
        <v>0.396385897389426</v>
      </c>
      <c r="BP65" s="74" t="n">
        <f aca="false">SQRT(($B65-BP$5)^2+($C65-BP$6)^2+($D65-BP$7)^2)</f>
        <v>1.16417263498931</v>
      </c>
      <c r="BQ65" s="74" t="n">
        <f aca="false">SQRT(($B65-BQ$5)^2+($C65-BQ$6)^2+($D65-BQ$7)^2)</f>
        <v>1.06599927634861</v>
      </c>
      <c r="BR65" s="74" t="n">
        <f aca="false">SQRT(($B65-BR$5)^2+($C65-BR$6)^2+($D65-BR$7)^2)</f>
        <v>1.11317970958579</v>
      </c>
      <c r="BS65" s="74" t="n">
        <f aca="false">SQRT(($B65-BS$5)^2+($C65-BS$6)^2+($D65-BS$7)^2)</f>
        <v>1.15193714718075</v>
      </c>
      <c r="BT65" s="74" t="n">
        <f aca="false">SQRT(($B65-BT$5)^2+($C65-BT$6)^2+($D65-BT$7)^2)</f>
        <v>0.794799400659848</v>
      </c>
      <c r="BU65" s="74" t="n">
        <f aca="false">SQRT(($B65-BU$5)^2+($C65-BU$6)^2+($D65-BU$7)^2)</f>
        <v>0.721854828171629</v>
      </c>
      <c r="BV65" s="74" t="n">
        <f aca="false">SQRT(($B65-BV$5)^2+($C65-BV$6)^2+($D65-BV$7)^2)</f>
        <v>0.771527411975707</v>
      </c>
      <c r="BW65" s="74" t="n">
        <f aca="false">SQRT(($B65-BW$5)^2+($C65-BW$6)^2+($D65-BW$7)^2)</f>
        <v>0.905852859976288</v>
      </c>
      <c r="BX65" s="74" t="n">
        <f aca="false">SQRT(($B65-BX$5)^2+($C65-BX$6)^2+($D65-BX$7)^2)</f>
        <v>0.780511341602116</v>
      </c>
      <c r="BY65" s="74" t="n">
        <f aca="false">SQRT(($B65-BY$5)^2+($C65-BY$6)^2+($D65-BY$7)^2)</f>
        <v>0.574981388768095</v>
      </c>
      <c r="BZ65" s="74" t="n">
        <f aca="false">SQRT(($B65-BZ$5)^2+($C65-BZ$6)^2+($D65-BZ$7)^2)</f>
        <v>0.558411717636511</v>
      </c>
      <c r="CA65" s="74" t="n">
        <f aca="false">SQRT(($B65-CA$5)^2+($C65-CA$6)^2+($D65-CA$7)^2)</f>
        <v>0.810709080402232</v>
      </c>
      <c r="CB65" s="74" t="n">
        <f aca="false">SQRT(($B65-CB$5)^2+($C65-CB$6)^2+($D65-CB$7)^2)</f>
        <v>0.574649456118297</v>
      </c>
      <c r="CC65" s="74" t="n">
        <f aca="false">SQRT(($B65-CC$5)^2+($C65-CC$6)^2+($D65-CC$7)^2)</f>
        <v>0.821977836726715</v>
      </c>
      <c r="CD65" s="74" t="n">
        <f aca="false">SQRT(($B65-CD$5)^2+($C65-CD$6)^2+($D65-CD$7)^2)</f>
        <v>0.846578109038431</v>
      </c>
      <c r="CE65" s="74" t="n">
        <f aca="false">SQRT(($B65-CE$5)^2+($C65-CE$6)^2+($D65-CE$7)^2)</f>
        <v>0.790733621451183</v>
      </c>
      <c r="CF65" s="74" t="n">
        <f aca="false">SQRT(($B65-CF$5)^2+($C65-CF$6)^2+($D65-CF$7)^2)</f>
        <v>1.00794263265286</v>
      </c>
      <c r="CG65" s="74" t="n">
        <f aca="false">SQRT(($B65-CG$5)^2+($C65-CG$6)^2+($D65-CG$7)^2)</f>
        <v>0.833355403146396</v>
      </c>
      <c r="CH65" s="74" t="n">
        <f aca="false">SQRT(($B65-CH$5)^2+($C65-CH$6)^2+($D65-CH$7)^2)</f>
        <v>0.646649055116881</v>
      </c>
      <c r="CI65" s="74" t="n">
        <f aca="false">SQRT(($B65-CI$5)^2+($C65-CI$6)^2+($D65-CI$7)^2)</f>
        <v>0.687934285272228</v>
      </c>
      <c r="CJ65" s="74" t="n">
        <f aca="false">SQRT(($B65-CJ$5)^2+($C65-CJ$6)^2+($D65-CJ$7)^2)</f>
        <v>0.783495726287643</v>
      </c>
      <c r="CK65" s="74" t="n">
        <f aca="false">SQRT(($B65-CK$5)^2+($C65-CK$6)^2+($D65-CK$7)^2)</f>
        <v>0.903620568370381</v>
      </c>
      <c r="CL65" s="74" t="n">
        <f aca="false">SQRT(($B65-CL$5)^2+($C65-CL$6)^2+($D65-CL$7)^2)</f>
        <v>1.02917810713358</v>
      </c>
      <c r="CM65" s="74" t="n">
        <f aca="false">SQRT(($B65-CM$5)^2+($C65-CM$6)^2+($D65-CM$7)^2)</f>
        <v>0.825734167291478</v>
      </c>
      <c r="CN65" s="74" t="n">
        <f aca="false">SQRT(($B65-CN$5)^2+($C65-CN$6)^2+($D65-CN$7)^2)</f>
        <v>1.52326613593876</v>
      </c>
      <c r="CO65" s="74" t="n">
        <f aca="false">SQRT(($B65-CO$5)^2+($C65-CO$6)^2+($D65-CO$7)^2)</f>
        <v>1.10068201578706</v>
      </c>
      <c r="CP65" s="74" t="n">
        <f aca="false">SQRT(($B65-CP$5)^2+($C65-CP$6)^2+($D65-CP$7)^2)</f>
        <v>1.11565197601048</v>
      </c>
      <c r="CQ65" s="74" t="n">
        <f aca="false">SQRT(($B65-CQ$5)^2+($C65-CQ$6)^2+($D65-CQ$7)^2)</f>
        <v>0.959392322074023</v>
      </c>
      <c r="CR65" s="74" t="n">
        <f aca="false">SQRT(($B65-CR$5)^2+($C65-CR$6)^2+($D65-CR$7)^2)</f>
        <v>1.01660419240082</v>
      </c>
      <c r="CS65" s="74" t="n">
        <f aca="false">SQRT(($B65-CS$5)^2+($C65-CS$6)^2+($D65-CS$7)^2)</f>
        <v>1.18779406682195</v>
      </c>
      <c r="CT65" s="74" t="n">
        <f aca="false">SQRT(($B65-CT$5)^2+($C65-CT$6)^2+($D65-CT$7)^2)</f>
        <v>1.22981196116151</v>
      </c>
      <c r="CU65" s="74" t="n">
        <f aca="false">SQRT(($B65-CU$5)^2+($C65-CU$6)^2+($D65-CU$7)^2)</f>
        <v>1.21624793036491</v>
      </c>
      <c r="CV65" s="74" t="n">
        <f aca="false">SQRT(($B65-CV$5)^2+($C65-CV$6)^2+($D65-CV$7)^2)</f>
        <v>1.30008274590933</v>
      </c>
      <c r="CW65" s="74" t="n">
        <f aca="false">SQRT(($B65-CW$5)^2+($C65-CW$6)^2+($D65-CW$7)^2)</f>
        <v>1.22981196116151</v>
      </c>
      <c r="CX65" s="74" t="n">
        <f aca="false">SQRT(($B65-CX$5)^2+($C65-CX$6)^2+($D65-CX$7)^2)</f>
        <v>1.19896980410853</v>
      </c>
      <c r="CY65" s="74" t="n">
        <f aca="false">SQRT(($B65-CY$5)^2+($C65-CY$6)^2+($D65-CY$7)^2)</f>
        <v>1.27689439075186</v>
      </c>
      <c r="CZ65" s="74" t="n">
        <f aca="false">SQRT(($B65-CZ$5)^2+($C65-CZ$6)^2+($D65-CZ$7)^2)</f>
        <v>1.27689439075186</v>
      </c>
      <c r="DA65" s="74" t="n">
        <f aca="false">SQRT(($B65-DA$5)^2+($C65-DA$6)^2+($D65-DA$7)^2)</f>
        <v>1.10353359996056</v>
      </c>
      <c r="DB65" s="74" t="n">
        <f aca="false">SQRT(($B65-DB$5)^2+($C65-DB$6)^2+($D65-DB$7)^2)</f>
        <v>1.33023159963915</v>
      </c>
      <c r="DC65" s="74" t="n">
        <f aca="false">SQRT(($B65-DC$5)^2+($C65-DC$6)^2+($D65-DC$7)^2)</f>
        <v>1.33023159963915</v>
      </c>
      <c r="DD65" s="74" t="n">
        <f aca="false">SQRT(($B65-DD$5)^2+($C65-DD$6)^2+($D65-DD$7)^2)</f>
        <v>1.17243958804827</v>
      </c>
      <c r="DE65" s="74" t="n">
        <f aca="false">SQRT(($B65-DE$5)^2+($C65-DE$6)^2+($D65-DE$7)^2)</f>
        <v>1.35323762583048</v>
      </c>
      <c r="DF65" s="74" t="n">
        <f aca="false">SQRT(($B65-DF$5)^2+($C65-DF$6)^2+($D65-DF$7)^2)</f>
        <v>1.65533185548879</v>
      </c>
      <c r="DG65" s="74" t="n">
        <f aca="false">SQRT(($B65-DG$5)^2+($C65-DG$6)^2+($D65-DG$7)^2)</f>
        <v>1.79426809122476</v>
      </c>
      <c r="DH65" s="74" t="n">
        <f aca="false">SQRT(($B65-DH$5)^2+($C65-DH$6)^2+($D65-DH$7)^2)</f>
        <v>1.79426809122476</v>
      </c>
      <c r="DI65" s="74" t="n">
        <f aca="false">SQRT(($B65-DI$5)^2+($C65-DI$6)^2+($D65-DI$7)^2)</f>
        <v>1.79426809122476</v>
      </c>
      <c r="DJ65" s="74" t="n">
        <f aca="false">SQRT(($B65-DJ$5)^2+($C65-DJ$6)^2+($D65-DJ$7)^2)</f>
        <v>1.79426809122476</v>
      </c>
      <c r="DK65" s="74" t="n">
        <f aca="false">SQRT(($B65-DK$5)^2+($C65-DK$6)^2+($D65-DK$7)^2)</f>
        <v>1.99274431514817</v>
      </c>
      <c r="DL65" s="74" t="n">
        <f aca="false">SQRT(($B65-DL$5)^2+($C65-DL$6)^2+($D65-DL$7)^2)</f>
        <v>1.99274431514817</v>
      </c>
      <c r="DM65" s="74" t="n">
        <f aca="false">SQRT(($B65-DM$5)^2+($C65-DM$6)^2+($D65-DM$7)^2)</f>
        <v>1.99274431514817</v>
      </c>
      <c r="DN65" s="74" t="n">
        <f aca="false">SQRT(($B65-DN$5)^2+($C65-DN$6)^2+($D65-DN$7)^2)</f>
        <v>1.99274431514817</v>
      </c>
      <c r="DO65" s="74" t="n">
        <f aca="false">SQRT(($B65-DO$5)^2+($C65-DO$6)^2+($D65-DO$7)^2)</f>
        <v>1.99274431514817</v>
      </c>
      <c r="DP65" s="74" t="n">
        <f aca="false">SQRT(($B65-DP$5)^2+($C65-DP$6)^2+($D65-DP$7)^2)</f>
        <v>2.33714252238854</v>
      </c>
      <c r="DQ65" s="74" t="n">
        <f aca="false">SQRT(($B65-DQ$5)^2+($C65-DQ$6)^2+($D65-DQ$7)^2)</f>
        <v>2.33714252238854</v>
      </c>
    </row>
    <row r="66" customFormat="false" ht="15" hidden="false" customHeight="false" outlineLevel="0" collapsed="false">
      <c r="A66" s="48" t="str">
        <f aca="false">KMeans_Data!A57</f>
        <v>Vehari</v>
      </c>
      <c r="B66" s="72" t="n">
        <f aca="false">KMeans_Data!H57</f>
        <v>0.153317518957985</v>
      </c>
      <c r="C66" s="72" t="n">
        <f aca="false">KMeans_Data!I57</f>
        <v>-0.672650545388274</v>
      </c>
      <c r="D66" s="72" t="n">
        <f aca="false">KMeans_Data!J57</f>
        <v>-0.2439270481224</v>
      </c>
      <c r="E66" s="74" t="n">
        <f aca="false">SQRT(($B66-E$5)^2+($C66-E$6)^2+($D66-E$7)^2)</f>
        <v>6.6457002194291</v>
      </c>
      <c r="F66" s="74" t="n">
        <f aca="false">SQRT(($B66-F$5)^2+($C66-F$6)^2+($D66-F$7)^2)</f>
        <v>6.4394656619626</v>
      </c>
      <c r="G66" s="74" t="n">
        <f aca="false">SQRT(($B66-G$5)^2+($C66-G$6)^2+($D66-G$7)^2)</f>
        <v>4.53169441572176</v>
      </c>
      <c r="H66" s="74" t="n">
        <f aca="false">SQRT(($B66-H$5)^2+($C66-H$6)^2+($D66-H$7)^2)</f>
        <v>5.1267460226072</v>
      </c>
      <c r="I66" s="74" t="n">
        <f aca="false">SQRT(($B66-I$5)^2+($C66-I$6)^2+($D66-I$7)^2)</f>
        <v>3.91610999292906</v>
      </c>
      <c r="J66" s="74" t="n">
        <f aca="false">SQRT(($B66-J$5)^2+($C66-J$6)^2+($D66-J$7)^2)</f>
        <v>3.61588173180457</v>
      </c>
      <c r="K66" s="74" t="n">
        <f aca="false">SQRT(($B66-K$5)^2+($C66-K$6)^2+($D66-K$7)^2)</f>
        <v>1.56145599295645</v>
      </c>
      <c r="L66" s="74" t="n">
        <f aca="false">SQRT(($B66-L$5)^2+($C66-L$6)^2+($D66-L$7)^2)</f>
        <v>2.65916534500855</v>
      </c>
      <c r="M66" s="74" t="n">
        <f aca="false">SQRT(($B66-M$5)^2+($C66-M$6)^2+($D66-M$7)^2)</f>
        <v>2.92156919062465</v>
      </c>
      <c r="N66" s="74" t="n">
        <f aca="false">SQRT(($B66-N$5)^2+($C66-N$6)^2+($D66-N$7)^2)</f>
        <v>1.30847083587817</v>
      </c>
      <c r="O66" s="74" t="n">
        <f aca="false">SQRT(($B66-O$5)^2+($C66-O$6)^2+($D66-O$7)^2)</f>
        <v>2.66661527257334</v>
      </c>
      <c r="P66" s="74" t="n">
        <f aca="false">SQRT(($B66-P$5)^2+($C66-P$6)^2+($D66-P$7)^2)</f>
        <v>2.98286496565549</v>
      </c>
      <c r="Q66" s="74" t="n">
        <f aca="false">SQRT(($B66-Q$5)^2+($C66-Q$6)^2+($D66-Q$7)^2)</f>
        <v>2.30682354554733</v>
      </c>
      <c r="R66" s="74" t="n">
        <f aca="false">SQRT(($B66-R$5)^2+($C66-R$6)^2+($D66-R$7)^2)</f>
        <v>2.19675402888218</v>
      </c>
      <c r="S66" s="74" t="n">
        <f aca="false">SQRT(($B66-S$5)^2+($C66-S$6)^2+($D66-S$7)^2)</f>
        <v>1.73114553912784</v>
      </c>
      <c r="T66" s="74" t="n">
        <f aca="false">SQRT(($B66-T$5)^2+($C66-T$6)^2+($D66-T$7)^2)</f>
        <v>2.23289987614834</v>
      </c>
      <c r="U66" s="74" t="n">
        <f aca="false">SQRT(($B66-U$5)^2+($C66-U$6)^2+($D66-U$7)^2)</f>
        <v>2.22980536059579</v>
      </c>
      <c r="V66" s="74" t="n">
        <f aca="false">SQRT(($B66-V$5)^2+($C66-V$6)^2+($D66-V$7)^2)</f>
        <v>2.33470097117856</v>
      </c>
      <c r="W66" s="74" t="n">
        <f aca="false">SQRT(($B66-W$5)^2+($C66-W$6)^2+($D66-W$7)^2)</f>
        <v>2.46841572069522</v>
      </c>
      <c r="X66" s="74" t="n">
        <f aca="false">SQRT(($B66-X$5)^2+($C66-X$6)^2+($D66-X$7)^2)</f>
        <v>2.07164930614015</v>
      </c>
      <c r="Y66" s="74" t="n">
        <f aca="false">SQRT(($B66-Y$5)^2+($C66-Y$6)^2+($D66-Y$7)^2)</f>
        <v>2.20681578985851</v>
      </c>
      <c r="Z66" s="74" t="n">
        <f aca="false">SQRT(($B66-Z$5)^2+($C66-Z$6)^2+($D66-Z$7)^2)</f>
        <v>1.82238516052416</v>
      </c>
      <c r="AA66" s="74" t="n">
        <f aca="false">SQRT(($B66-AA$5)^2+($C66-AA$6)^2+($D66-AA$7)^2)</f>
        <v>1.59372421050902</v>
      </c>
      <c r="AB66" s="74" t="n">
        <f aca="false">SQRT(($B66-AB$5)^2+($C66-AB$6)^2+($D66-AB$7)^2)</f>
        <v>1.6483229332021</v>
      </c>
      <c r="AC66" s="74" t="n">
        <f aca="false">SQRT(($B66-AC$5)^2+($C66-AC$6)^2+($D66-AC$7)^2)</f>
        <v>2.35211407091349</v>
      </c>
      <c r="AD66" s="74" t="n">
        <f aca="false">SQRT(($B66-AD$5)^2+($C66-AD$6)^2+($D66-AD$7)^2)</f>
        <v>2.19161707029623</v>
      </c>
      <c r="AE66" s="74" t="n">
        <f aca="false">SQRT(($B66-AE$5)^2+($C66-AE$6)^2+($D66-AE$7)^2)</f>
        <v>1.15405107167602</v>
      </c>
      <c r="AF66" s="74" t="n">
        <f aca="false">SQRT(($B66-AF$5)^2+($C66-AF$6)^2+($D66-AF$7)^2)</f>
        <v>1.81551601602614</v>
      </c>
      <c r="AG66" s="74" t="n">
        <f aca="false">SQRT(($B66-AG$5)^2+($C66-AG$6)^2+($D66-AG$7)^2)</f>
        <v>0.452168575449235</v>
      </c>
      <c r="AH66" s="74" t="n">
        <f aca="false">SQRT(($B66-AH$5)^2+($C66-AH$6)^2+($D66-AH$7)^2)</f>
        <v>1.38776749522378</v>
      </c>
      <c r="AI66" s="74" t="n">
        <f aca="false">SQRT(($B66-AI$5)^2+($C66-AI$6)^2+($D66-AI$7)^2)</f>
        <v>0.449199992206742</v>
      </c>
      <c r="AJ66" s="74" t="n">
        <f aca="false">SQRT(($B66-AJ$5)^2+($C66-AJ$6)^2+($D66-AJ$7)^2)</f>
        <v>1.87201766559871</v>
      </c>
      <c r="AK66" s="74" t="n">
        <f aca="false">SQRT(($B66-AK$5)^2+($C66-AK$6)^2+($D66-AK$7)^2)</f>
        <v>1.23692757892253</v>
      </c>
      <c r="AL66" s="74" t="n">
        <f aca="false">SQRT(($B66-AL$5)^2+($C66-AL$6)^2+($D66-AL$7)^2)</f>
        <v>1.00980225300644</v>
      </c>
      <c r="AM66" s="74" t="n">
        <f aca="false">SQRT(($B66-AM$5)^2+($C66-AM$6)^2+($D66-AM$7)^2)</f>
        <v>2.15209252858846</v>
      </c>
      <c r="AN66" s="74" t="n">
        <f aca="false">SQRT(($B66-AN$5)^2+($C66-AN$6)^2+($D66-AN$7)^2)</f>
        <v>2.07983281835682</v>
      </c>
      <c r="AO66" s="74" t="n">
        <f aca="false">SQRT(($B66-AO$5)^2+($C66-AO$6)^2+($D66-AO$7)^2)</f>
        <v>1.34096244450698</v>
      </c>
      <c r="AP66" s="74" t="n">
        <f aca="false">SQRT(($B66-AP$5)^2+($C66-AP$6)^2+($D66-AP$7)^2)</f>
        <v>1.29512456688136</v>
      </c>
      <c r="AQ66" s="74" t="n">
        <f aca="false">SQRT(($B66-AQ$5)^2+($C66-AQ$6)^2+($D66-AQ$7)^2)</f>
        <v>2.14700815802815</v>
      </c>
      <c r="AR66" s="74" t="n">
        <f aca="false">SQRT(($B66-AR$5)^2+($C66-AR$6)^2+($D66-AR$7)^2)</f>
        <v>0.881719430811047</v>
      </c>
      <c r="AS66" s="74" t="n">
        <f aca="false">SQRT(($B66-AS$5)^2+($C66-AS$6)^2+($D66-AS$7)^2)</f>
        <v>1.26553075405877</v>
      </c>
      <c r="AT66" s="74" t="n">
        <f aca="false">SQRT(($B66-AT$5)^2+($C66-AT$6)^2+($D66-AT$7)^2)</f>
        <v>1.15217204732847</v>
      </c>
      <c r="AU66" s="74" t="n">
        <f aca="false">SQRT(($B66-AU$5)^2+($C66-AU$6)^2+($D66-AU$7)^2)</f>
        <v>0.66509926769407</v>
      </c>
      <c r="AV66" s="74" t="n">
        <f aca="false">SQRT(($B66-AV$5)^2+($C66-AV$6)^2+($D66-AV$7)^2)</f>
        <v>0.765830810507155</v>
      </c>
      <c r="AW66" s="74" t="n">
        <f aca="false">SQRT(($B66-AW$5)^2+($C66-AW$6)^2+($D66-AW$7)^2)</f>
        <v>0.586752198717141</v>
      </c>
      <c r="AX66" s="74" t="n">
        <f aca="false">SQRT(($B66-AX$5)^2+($C66-AX$6)^2+($D66-AX$7)^2)</f>
        <v>1.04486374144202</v>
      </c>
      <c r="AY66" s="74" t="n">
        <f aca="false">SQRT(($B66-AY$5)^2+($C66-AY$6)^2+($D66-AY$7)^2)</f>
        <v>0.9029756109934</v>
      </c>
      <c r="AZ66" s="74" t="n">
        <f aca="false">SQRT(($B66-AZ$5)^2+($C66-AZ$6)^2+($D66-AZ$7)^2)</f>
        <v>1.27733217271028</v>
      </c>
      <c r="BA66" s="74" t="n">
        <f aca="false">SQRT(($B66-BA$5)^2+($C66-BA$6)^2+($D66-BA$7)^2)</f>
        <v>1.16578581744404</v>
      </c>
      <c r="BB66" s="74" t="n">
        <f aca="false">SQRT(($B66-BB$5)^2+($C66-BB$6)^2+($D66-BB$7)^2)</f>
        <v>0.902653750688688</v>
      </c>
      <c r="BC66" s="74" t="n">
        <f aca="false">SQRT(($B66-BC$5)^2+($C66-BC$6)^2+($D66-BC$7)^2)</f>
        <v>0.902376084552549</v>
      </c>
      <c r="BD66" s="74" t="n">
        <f aca="false">SQRT(($B66-BD$5)^2+($C66-BD$6)^2+($D66-BD$7)^2)</f>
        <v>0.259702156307929</v>
      </c>
      <c r="BE66" s="74" t="n">
        <f aca="false">SQRT(($B66-BE$5)^2+($C66-BE$6)^2+($D66-BE$7)^2)</f>
        <v>0</v>
      </c>
      <c r="BF66" s="74" t="n">
        <f aca="false">SQRT(($B66-BF$5)^2+($C66-BF$6)^2+($D66-BF$7)^2)</f>
        <v>2.29236597207132</v>
      </c>
      <c r="BG66" s="74" t="n">
        <f aca="false">SQRT(($B66-BG$5)^2+($C66-BG$6)^2+($D66-BG$7)^2)</f>
        <v>1.01121897073429</v>
      </c>
      <c r="BH66" s="74" t="n">
        <f aca="false">SQRT(($B66-BH$5)^2+($C66-BH$6)^2+($D66-BH$7)^2)</f>
        <v>0.904313769491095</v>
      </c>
      <c r="BI66" s="74" t="n">
        <f aca="false">SQRT(($B66-BI$5)^2+($C66-BI$6)^2+($D66-BI$7)^2)</f>
        <v>0.905714997257155</v>
      </c>
      <c r="BJ66" s="74" t="n">
        <f aca="false">SQRT(($B66-BJ$5)^2+($C66-BJ$6)^2+($D66-BJ$7)^2)</f>
        <v>1.25249185914092</v>
      </c>
      <c r="BK66" s="74" t="n">
        <f aca="false">SQRT(($B66-BK$5)^2+($C66-BK$6)^2+($D66-BK$7)^2)</f>
        <v>0.214534546794047</v>
      </c>
      <c r="BL66" s="74" t="n">
        <f aca="false">SQRT(($B66-BL$5)^2+($C66-BL$6)^2+($D66-BL$7)^2)</f>
        <v>0.627974187037047</v>
      </c>
      <c r="BM66" s="74" t="n">
        <f aca="false">SQRT(($B66-BM$5)^2+($C66-BM$6)^2+($D66-BM$7)^2)</f>
        <v>1.44250777479479</v>
      </c>
      <c r="BN66" s="74" t="n">
        <f aca="false">SQRT(($B66-BN$5)^2+($C66-BN$6)^2+($D66-BN$7)^2)</f>
        <v>0.902908061764552</v>
      </c>
      <c r="BO66" s="74" t="n">
        <f aca="false">SQRT(($B66-BO$5)^2+($C66-BO$6)^2+($D66-BO$7)^2)</f>
        <v>0.620176189168314</v>
      </c>
      <c r="BP66" s="74" t="n">
        <f aca="false">SQRT(($B66-BP$5)^2+($C66-BP$6)^2+($D66-BP$7)^2)</f>
        <v>1.00833252303153</v>
      </c>
      <c r="BQ66" s="74" t="n">
        <f aca="false">SQRT(($B66-BQ$5)^2+($C66-BQ$6)^2+($D66-BQ$7)^2)</f>
        <v>0.858523476887425</v>
      </c>
      <c r="BR66" s="74" t="n">
        <f aca="false">SQRT(($B66-BR$5)^2+($C66-BR$6)^2+($D66-BR$7)^2)</f>
        <v>0.902149794329204</v>
      </c>
      <c r="BS66" s="74" t="n">
        <f aca="false">SQRT(($B66-BS$5)^2+($C66-BS$6)^2+($D66-BS$7)^2)</f>
        <v>0.902251808208967</v>
      </c>
      <c r="BT66" s="74" t="n">
        <f aca="false">SQRT(($B66-BT$5)^2+($C66-BT$6)^2+($D66-BT$7)^2)</f>
        <v>0.57177150741788</v>
      </c>
      <c r="BU66" s="74" t="n">
        <f aca="false">SQRT(($B66-BU$5)^2+($C66-BU$6)^2+($D66-BU$7)^2)</f>
        <v>0.51000882985736</v>
      </c>
      <c r="BV66" s="74" t="n">
        <f aca="false">SQRT(($B66-BV$5)^2+($C66-BV$6)^2+($D66-BV$7)^2)</f>
        <v>0.991892723052249</v>
      </c>
      <c r="BW66" s="74" t="n">
        <f aca="false">SQRT(($B66-BW$5)^2+($C66-BW$6)^2+($D66-BW$7)^2)</f>
        <v>0.68251977914065</v>
      </c>
      <c r="BX66" s="74" t="n">
        <f aca="false">SQRT(($B66-BX$5)^2+($C66-BX$6)^2+($D66-BX$7)^2)</f>
        <v>0.998671104469197</v>
      </c>
      <c r="BY66" s="74" t="n">
        <f aca="false">SQRT(($B66-BY$5)^2+($C66-BY$6)^2+($D66-BY$7)^2)</f>
        <v>0.466952166121487</v>
      </c>
      <c r="BZ66" s="74" t="n">
        <f aca="false">SQRT(($B66-BZ$5)^2+($C66-BZ$6)^2+($D66-BZ$7)^2)</f>
        <v>0.480478980930773</v>
      </c>
      <c r="CA66" s="74" t="n">
        <f aca="false">SQRT(($B66-CA$5)^2+($C66-CA$6)^2+($D66-CA$7)^2)</f>
        <v>1.02174053566431</v>
      </c>
      <c r="CB66" s="74" t="n">
        <f aca="false">SQRT(($B66-CB$5)^2+($C66-CB$6)^2+($D66-CB$7)^2)</f>
        <v>0.498742960769855</v>
      </c>
      <c r="CC66" s="74" t="n">
        <f aca="false">SQRT(($B66-CC$5)^2+($C66-CC$6)^2+($D66-CC$7)^2)</f>
        <v>1.0304553420798</v>
      </c>
      <c r="CD66" s="74" t="n">
        <f aca="false">SQRT(($B66-CD$5)^2+($C66-CD$6)^2+($D66-CD$7)^2)</f>
        <v>1.04966658489125</v>
      </c>
      <c r="CE66" s="74" t="n">
        <f aca="false">SQRT(($B66-CE$5)^2+($C66-CE$6)^2+($D66-CE$7)^2)</f>
        <v>0.627173489154577</v>
      </c>
      <c r="CF66" s="74" t="n">
        <f aca="false">SQRT(($B66-CF$5)^2+($C66-CF$6)^2+($D66-CF$7)^2)</f>
        <v>0.856815327442217</v>
      </c>
      <c r="CG66" s="74" t="n">
        <f aca="false">SQRT(($B66-CG$5)^2+($C66-CG$6)^2+($D66-CG$7)^2)</f>
        <v>0.830865799838228</v>
      </c>
      <c r="CH66" s="74" t="n">
        <f aca="false">SQRT(($B66-CH$5)^2+($C66-CH$6)^2+($D66-CH$7)^2)</f>
        <v>0.643437448297098</v>
      </c>
      <c r="CI66" s="74" t="n">
        <f aca="false">SQRT(($B66-CI$5)^2+($C66-CI$6)^2+($D66-CI$7)^2)</f>
        <v>0.722041275439953</v>
      </c>
      <c r="CJ66" s="74" t="n">
        <f aca="false">SQRT(($B66-CJ$5)^2+($C66-CJ$6)^2+($D66-CJ$7)^2)</f>
        <v>0.90983031393939</v>
      </c>
      <c r="CK66" s="74" t="n">
        <f aca="false">SQRT(($B66-CK$5)^2+($C66-CK$6)^2+($D66-CK$7)^2)</f>
        <v>0.786840737243305</v>
      </c>
      <c r="CL66" s="74" t="n">
        <f aca="false">SQRT(($B66-CL$5)^2+($C66-CL$6)^2+($D66-CL$7)^2)</f>
        <v>1.19883421153811</v>
      </c>
      <c r="CM66" s="74" t="n">
        <f aca="false">SQRT(($B66-CM$5)^2+($C66-CM$6)^2+($D66-CM$7)^2)</f>
        <v>0.793229052418902</v>
      </c>
      <c r="CN66" s="74" t="n">
        <f aca="false">SQRT(($B66-CN$5)^2+($C66-CN$6)^2+($D66-CN$7)^2)</f>
        <v>1.33275206227378</v>
      </c>
      <c r="CO66" s="74" t="n">
        <f aca="false">SQRT(($B66-CO$5)^2+($C66-CO$6)^2+($D66-CO$7)^2)</f>
        <v>1.04244711840501</v>
      </c>
      <c r="CP66" s="74" t="n">
        <f aca="false">SQRT(($B66-CP$5)^2+($C66-CP$6)^2+($D66-CP$7)^2)</f>
        <v>1.27264867356596</v>
      </c>
      <c r="CQ66" s="74" t="n">
        <f aca="false">SQRT(($B66-CQ$5)^2+($C66-CQ$6)^2+($D66-CQ$7)^2)</f>
        <v>0.952583015716142</v>
      </c>
      <c r="CR66" s="74" t="n">
        <f aca="false">SQRT(($B66-CR$5)^2+($C66-CR$6)^2+($D66-CR$7)^2)</f>
        <v>0.98760956822081</v>
      </c>
      <c r="CS66" s="74" t="n">
        <f aca="false">SQRT(($B66-CS$5)^2+($C66-CS$6)^2+($D66-CS$7)^2)</f>
        <v>1.33542644739204</v>
      </c>
      <c r="CT66" s="74" t="n">
        <f aca="false">SQRT(($B66-CT$5)^2+($C66-CT$6)^2+($D66-CT$7)^2)</f>
        <v>1.37242516458775</v>
      </c>
      <c r="CU66" s="74" t="n">
        <f aca="false">SQRT(($B66-CU$5)^2+($C66-CU$6)^2+($D66-CU$7)^2)</f>
        <v>1.29760766825272</v>
      </c>
      <c r="CV66" s="74" t="n">
        <f aca="false">SQRT(($B66-CV$5)^2+($C66-CV$6)^2+($D66-CV$7)^2)</f>
        <v>1.15309439264207</v>
      </c>
      <c r="CW66" s="74" t="n">
        <f aca="false">SQRT(($B66-CW$5)^2+($C66-CW$6)^2+($D66-CW$7)^2)</f>
        <v>1.37242516458775</v>
      </c>
      <c r="CX66" s="74" t="n">
        <f aca="false">SQRT(($B66-CX$5)^2+($C66-CX$6)^2+($D66-CX$7)^2)</f>
        <v>1.10941591706224</v>
      </c>
      <c r="CY66" s="74" t="n">
        <f aca="false">SQRT(($B66-CY$5)^2+($C66-CY$6)^2+($D66-CY$7)^2)</f>
        <v>1.41422410054254</v>
      </c>
      <c r="CZ66" s="74" t="n">
        <f aca="false">SQRT(($B66-CZ$5)^2+($C66-CZ$6)^2+($D66-CZ$7)^2)</f>
        <v>1.41422410054254</v>
      </c>
      <c r="DA66" s="74" t="n">
        <f aca="false">SQRT(($B66-DA$5)^2+($C66-DA$6)^2+($D66-DA$7)^2)</f>
        <v>1.11990332068926</v>
      </c>
      <c r="DB66" s="74" t="n">
        <f aca="false">SQRT(($B66-DB$5)^2+($C66-DB$6)^2+($D66-DB$7)^2)</f>
        <v>1.46197191123792</v>
      </c>
      <c r="DC66" s="74" t="n">
        <f aca="false">SQRT(($B66-DC$5)^2+($C66-DC$6)^2+($D66-DC$7)^2)</f>
        <v>1.46197191123792</v>
      </c>
      <c r="DD66" s="74" t="n">
        <f aca="false">SQRT(($B66-DD$5)^2+($C66-DD$6)^2+($D66-DD$7)^2)</f>
        <v>1.215905675699</v>
      </c>
      <c r="DE66" s="74" t="n">
        <f aca="false">SQRT(($B66-DE$5)^2+($C66-DE$6)^2+($D66-DE$7)^2)</f>
        <v>1.42418341795652</v>
      </c>
      <c r="DF66" s="74" t="n">
        <f aca="false">SQRT(($B66-DF$5)^2+($C66-DF$6)^2+($D66-DF$7)^2)</f>
        <v>1.76006226662156</v>
      </c>
      <c r="DG66" s="74" t="n">
        <f aca="false">SQRT(($B66-DG$5)^2+($C66-DG$6)^2+($D66-DG$7)^2)</f>
        <v>1.89020658373939</v>
      </c>
      <c r="DH66" s="74" t="n">
        <f aca="false">SQRT(($B66-DH$5)^2+($C66-DH$6)^2+($D66-DH$7)^2)</f>
        <v>1.89020658373939</v>
      </c>
      <c r="DI66" s="74" t="n">
        <f aca="false">SQRT(($B66-DI$5)^2+($C66-DI$6)^2+($D66-DI$7)^2)</f>
        <v>1.89020658373939</v>
      </c>
      <c r="DJ66" s="74" t="n">
        <f aca="false">SQRT(($B66-DJ$5)^2+($C66-DJ$6)^2+($D66-DJ$7)^2)</f>
        <v>1.89020658373939</v>
      </c>
      <c r="DK66" s="74" t="n">
        <f aca="false">SQRT(($B66-DK$5)^2+($C66-DK$6)^2+($D66-DK$7)^2)</f>
        <v>2.07811823681026</v>
      </c>
      <c r="DL66" s="74" t="n">
        <f aca="false">SQRT(($B66-DL$5)^2+($C66-DL$6)^2+($D66-DL$7)^2)</f>
        <v>2.07811823681026</v>
      </c>
      <c r="DM66" s="74" t="n">
        <f aca="false">SQRT(($B66-DM$5)^2+($C66-DM$6)^2+($D66-DM$7)^2)</f>
        <v>2.07811823681026</v>
      </c>
      <c r="DN66" s="74" t="n">
        <f aca="false">SQRT(($B66-DN$5)^2+($C66-DN$6)^2+($D66-DN$7)^2)</f>
        <v>2.07811823681026</v>
      </c>
      <c r="DO66" s="74" t="n">
        <f aca="false">SQRT(($B66-DO$5)^2+($C66-DO$6)^2+($D66-DO$7)^2)</f>
        <v>2.07811823681026</v>
      </c>
      <c r="DP66" s="74" t="n">
        <f aca="false">SQRT(($B66-DP$5)^2+($C66-DP$6)^2+($D66-DP$7)^2)</f>
        <v>2.40824220970061</v>
      </c>
      <c r="DQ66" s="74" t="n">
        <f aca="false">SQRT(($B66-DQ$5)^2+($C66-DQ$6)^2+($D66-DQ$7)^2)</f>
        <v>2.40824220970061</v>
      </c>
    </row>
    <row r="67" customFormat="false" ht="15" hidden="false" customHeight="false" outlineLevel="0" collapsed="false">
      <c r="A67" s="48" t="str">
        <f aca="false">KMeans_Data!A58</f>
        <v>Astore</v>
      </c>
      <c r="B67" s="72" t="n">
        <f aca="false">KMeans_Data!H58</f>
        <v>0.131476411515176</v>
      </c>
      <c r="C67" s="72" t="n">
        <f aca="false">KMeans_Data!I58</f>
        <v>1.38107452085777</v>
      </c>
      <c r="D67" s="72" t="n">
        <f aca="false">KMeans_Data!J58</f>
        <v>0.774246840861612</v>
      </c>
      <c r="E67" s="74" t="n">
        <f aca="false">SQRT(($B67-E$5)^2+($C67-E$6)^2+($D67-E$7)^2)</f>
        <v>4.80457793575169</v>
      </c>
      <c r="F67" s="74" t="n">
        <f aca="false">SQRT(($B67-F$5)^2+($C67-F$6)^2+($D67-F$7)^2)</f>
        <v>4.5896474479325</v>
      </c>
      <c r="G67" s="74" t="n">
        <f aca="false">SQRT(($B67-G$5)^2+($C67-G$6)^2+($D67-G$7)^2)</f>
        <v>2.89381724873175</v>
      </c>
      <c r="H67" s="74" t="n">
        <f aca="false">SQRT(($B67-H$5)^2+($C67-H$6)^2+($D67-H$7)^2)</f>
        <v>3.22574905125236</v>
      </c>
      <c r="I67" s="74" t="n">
        <f aca="false">SQRT(($B67-I$5)^2+($C67-I$6)^2+($D67-I$7)^2)</f>
        <v>2.34084981201924</v>
      </c>
      <c r="J67" s="74" t="n">
        <f aca="false">SQRT(($B67-J$5)^2+($C67-J$6)^2+($D67-J$7)^2)</f>
        <v>1.73948952680208</v>
      </c>
      <c r="K67" s="74" t="n">
        <f aca="false">SQRT(($B67-K$5)^2+($C67-K$6)^2+($D67-K$7)^2)</f>
        <v>2.34624450103872</v>
      </c>
      <c r="L67" s="74" t="n">
        <f aca="false">SQRT(($B67-L$5)^2+($C67-L$6)^2+($D67-L$7)^2)</f>
        <v>1.66988568107099</v>
      </c>
      <c r="M67" s="74" t="n">
        <f aca="false">SQRT(($B67-M$5)^2+($C67-M$6)^2+($D67-M$7)^2)</f>
        <v>1.46593377139253</v>
      </c>
      <c r="N67" s="74" t="n">
        <f aca="false">SQRT(($B67-N$5)^2+($C67-N$6)^2+($D67-N$7)^2)</f>
        <v>2.45678898725541</v>
      </c>
      <c r="O67" s="74" t="n">
        <f aca="false">SQRT(($B67-O$5)^2+($C67-O$6)^2+($D67-O$7)^2)</f>
        <v>1.03640010536617</v>
      </c>
      <c r="P67" s="74" t="n">
        <f aca="false">SQRT(($B67-P$5)^2+($C67-P$6)^2+($D67-P$7)^2)</f>
        <v>1.13810148373539</v>
      </c>
      <c r="Q67" s="74" t="n">
        <f aca="false">SQRT(($B67-Q$5)^2+($C67-Q$6)^2+($D67-Q$7)^2)</f>
        <v>1.03628290330231</v>
      </c>
      <c r="R67" s="74" t="n">
        <f aca="false">SQRT(($B67-R$5)^2+($C67-R$6)^2+($D67-R$7)^2)</f>
        <v>1.51987007841697</v>
      </c>
      <c r="S67" s="74" t="n">
        <f aca="false">SQRT(($B67-S$5)^2+($C67-S$6)^2+($D67-S$7)^2)</f>
        <v>1.80474175330048</v>
      </c>
      <c r="T67" s="74" t="n">
        <f aca="false">SQRT(($B67-T$5)^2+($C67-T$6)^2+($D67-T$7)^2)</f>
        <v>0.950843178625183</v>
      </c>
      <c r="U67" s="74" t="n">
        <f aca="false">SQRT(($B67-U$5)^2+($C67-U$6)^2+($D67-U$7)^2)</f>
        <v>1.4898776306388</v>
      </c>
      <c r="V67" s="74" t="n">
        <f aca="false">SQRT(($B67-V$5)^2+($C67-V$6)^2+($D67-V$7)^2)</f>
        <v>0.738179042314846</v>
      </c>
      <c r="W67" s="74" t="n">
        <f aca="false">SQRT(($B67-W$5)^2+($C67-W$6)^2+($D67-W$7)^2)</f>
        <v>0.737256311763305</v>
      </c>
      <c r="X67" s="74" t="n">
        <f aca="false">SQRT(($B67-X$5)^2+($C67-X$6)^2+($D67-X$7)^2)</f>
        <v>0.952583252478157</v>
      </c>
      <c r="Y67" s="74" t="n">
        <f aca="false">SQRT(($B67-Y$5)^2+($C67-Y$6)^2+($D67-Y$7)^2)</f>
        <v>1.00582418252983</v>
      </c>
      <c r="Z67" s="74" t="n">
        <f aca="false">SQRT(($B67-Z$5)^2+($C67-Z$6)^2+($D67-Z$7)^2)</f>
        <v>0.886729652264833</v>
      </c>
      <c r="AA67" s="74" t="n">
        <f aca="false">SQRT(($B67-AA$5)^2+($C67-AA$6)^2+($D67-AA$7)^2)</f>
        <v>1.3961709230086</v>
      </c>
      <c r="AB67" s="74" t="n">
        <f aca="false">SQRT(($B67-AB$5)^2+($C67-AB$6)^2+($D67-AB$7)^2)</f>
        <v>1.06337552161154</v>
      </c>
      <c r="AC67" s="74" t="n">
        <f aca="false">SQRT(($B67-AC$5)^2+($C67-AC$6)^2+($D67-AC$7)^2)</f>
        <v>0.63204002312002</v>
      </c>
      <c r="AD67" s="74" t="n">
        <f aca="false">SQRT(($B67-AD$5)^2+($C67-AD$6)^2+($D67-AD$7)^2)</f>
        <v>0.959615747094584</v>
      </c>
      <c r="AE67" s="74" t="n">
        <f aca="false">SQRT(($B67-AE$5)^2+($C67-AE$6)^2+($D67-AE$7)^2)</f>
        <v>2.50705797216509</v>
      </c>
      <c r="AF67" s="74" t="n">
        <f aca="false">SQRT(($B67-AF$5)^2+($C67-AF$6)^2+($D67-AF$7)^2)</f>
        <v>0.845244446018128</v>
      </c>
      <c r="AG67" s="74" t="n">
        <f aca="false">SQRT(($B67-AG$5)^2+($C67-AG$6)^2+($D67-AG$7)^2)</f>
        <v>2.40737244836897</v>
      </c>
      <c r="AH67" s="74" t="n">
        <f aca="false">SQRT(($B67-AH$5)^2+($C67-AH$6)^2+($D67-AH$7)^2)</f>
        <v>1.29961069818291</v>
      </c>
      <c r="AI67" s="74" t="n">
        <f aca="false">SQRT(($B67-AI$5)^2+($C67-AI$6)^2+($D67-AI$7)^2)</f>
        <v>2.40678792350031</v>
      </c>
      <c r="AJ67" s="74" t="n">
        <f aca="false">SQRT(($B67-AJ$5)^2+($C67-AJ$6)^2+($D67-AJ$7)^2)</f>
        <v>0.999984510481511</v>
      </c>
      <c r="AK67" s="74" t="n">
        <f aca="false">SQRT(($B67-AK$5)^2+($C67-AK$6)^2+($D67-AK$7)^2)</f>
        <v>1.18430366682372</v>
      </c>
      <c r="AL67" s="74" t="n">
        <f aca="false">SQRT(($B67-AL$5)^2+($C67-AL$6)^2+($D67-AL$7)^2)</f>
        <v>1.58402916349046</v>
      </c>
      <c r="AM67" s="74" t="n">
        <f aca="false">SQRT(($B67-AM$5)^2+($C67-AM$6)^2+($D67-AM$7)^2)</f>
        <v>0.585514378279026</v>
      </c>
      <c r="AN67" s="74" t="n">
        <f aca="false">SQRT(($B67-AN$5)^2+($C67-AN$6)^2+($D67-AN$7)^2)</f>
        <v>0.402631475397738</v>
      </c>
      <c r="AO67" s="74" t="n">
        <f aca="false">SQRT(($B67-AO$5)^2+($C67-AO$6)^2+($D67-AO$7)^2)</f>
        <v>1.07272414491948</v>
      </c>
      <c r="AP67" s="74" t="n">
        <f aca="false">SQRT(($B67-AP$5)^2+($C67-AP$6)^2+($D67-AP$7)^2)</f>
        <v>1.0917344226736</v>
      </c>
      <c r="AQ67" s="74" t="n">
        <f aca="false">SQRT(($B67-AQ$5)^2+($C67-AQ$6)^2+($D67-AQ$7)^2)</f>
        <v>0.330588885733942</v>
      </c>
      <c r="AR67" s="74" t="n">
        <f aca="false">SQRT(($B67-AR$5)^2+($C67-AR$6)^2+($D67-AR$7)^2)</f>
        <v>1.51127761552096</v>
      </c>
      <c r="AS67" s="74" t="n">
        <f aca="false">SQRT(($B67-AS$5)^2+($C67-AS$6)^2+($D67-AS$7)^2)</f>
        <v>2.07563987474451</v>
      </c>
      <c r="AT67" s="74" t="n">
        <f aca="false">SQRT(($B67-AT$5)^2+($C67-AT$6)^2+($D67-AT$7)^2)</f>
        <v>1.53466370736404</v>
      </c>
      <c r="AU67" s="74" t="n">
        <f aca="false">SQRT(($B67-AU$5)^2+($C67-AU$6)^2+($D67-AU$7)^2)</f>
        <v>2.08385153590445</v>
      </c>
      <c r="AV67" s="74" t="n">
        <f aca="false">SQRT(($B67-AV$5)^2+($C67-AV$6)^2+($D67-AV$7)^2)</f>
        <v>2.07380219027555</v>
      </c>
      <c r="AW67" s="74" t="n">
        <f aca="false">SQRT(($B67-AW$5)^2+($C67-AW$6)^2+($D67-AW$7)^2)</f>
        <v>2.60481946389767</v>
      </c>
      <c r="AX67" s="74" t="n">
        <f aca="false">SQRT(($B67-AX$5)^2+($C67-AX$6)^2+($D67-AX$7)^2)</f>
        <v>1.28613429562736</v>
      </c>
      <c r="AY67" s="74" t="n">
        <f aca="false">SQRT(($B67-AY$5)^2+($C67-AY$6)^2+($D67-AY$7)^2)</f>
        <v>2.81222297448816</v>
      </c>
      <c r="AZ67" s="74" t="n">
        <f aca="false">SQRT(($B67-AZ$5)^2+($C67-AZ$6)^2+($D67-AZ$7)^2)</f>
        <v>2.07106726013969</v>
      </c>
      <c r="BA67" s="74" t="n">
        <f aca="false">SQRT(($B67-BA$5)^2+($C67-BA$6)^2+($D67-BA$7)^2)</f>
        <v>1.52950576296508</v>
      </c>
      <c r="BB67" s="74" t="n">
        <f aca="false">SQRT(($B67-BB$5)^2+($C67-BB$6)^2+($D67-BB$7)^2)</f>
        <v>2.81206879639302</v>
      </c>
      <c r="BC67" s="74" t="n">
        <f aca="false">SQRT(($B67-BC$5)^2+($C67-BC$6)^2+($D67-BC$7)^2)</f>
        <v>2.81192818091594</v>
      </c>
      <c r="BD67" s="74" t="n">
        <f aca="false">SQRT(($B67-BD$5)^2+($C67-BD$6)^2+($D67-BD$7)^2)</f>
        <v>2.41889828980326</v>
      </c>
      <c r="BE67" s="74" t="n">
        <f aca="false">SQRT(($B67-BE$5)^2+($C67-BE$6)^2+($D67-BE$7)^2)</f>
        <v>2.29236597207132</v>
      </c>
      <c r="BF67" s="74" t="n">
        <f aca="false">SQRT(($B67-BF$5)^2+($C67-BF$6)^2+($D67-BF$7)^2)</f>
        <v>0</v>
      </c>
      <c r="BG67" s="74" t="n">
        <f aca="false">SQRT(($B67-BG$5)^2+($C67-BG$6)^2+($D67-BG$7)^2)</f>
        <v>1.53629702428212</v>
      </c>
      <c r="BH67" s="74" t="n">
        <f aca="false">SQRT(($B67-BH$5)^2+($C67-BH$6)^2+($D67-BH$7)^2)</f>
        <v>2.81175092532379</v>
      </c>
      <c r="BI67" s="74" t="n">
        <f aca="false">SQRT(($B67-BI$5)^2+($C67-BI$6)^2+($D67-BI$7)^2)</f>
        <v>2.81207356108953</v>
      </c>
      <c r="BJ67" s="74" t="n">
        <f aca="false">SQRT(($B67-BJ$5)^2+($C67-BJ$6)^2+($D67-BJ$7)^2)</f>
        <v>1.13843965579079</v>
      </c>
      <c r="BK67" s="74" t="n">
        <f aca="false">SQRT(($B67-BK$5)^2+($C67-BK$6)^2+($D67-BK$7)^2)</f>
        <v>2.36897308867281</v>
      </c>
      <c r="BL67" s="74" t="n">
        <f aca="false">SQRT(($B67-BL$5)^2+($C67-BL$6)^2+($D67-BL$7)^2)</f>
        <v>2.09862508877507</v>
      </c>
      <c r="BM67" s="74" t="n">
        <f aca="false">SQRT(($B67-BM$5)^2+($C67-BM$6)^2+($D67-BM$7)^2)</f>
        <v>0.891915693034155</v>
      </c>
      <c r="BN67" s="74" t="n">
        <f aca="false">SQRT(($B67-BN$5)^2+($C67-BN$6)^2+($D67-BN$7)^2)</f>
        <v>1.43361917167678</v>
      </c>
      <c r="BO67" s="74" t="n">
        <f aca="false">SQRT(($B67-BO$5)^2+($C67-BO$6)^2+($D67-BO$7)^2)</f>
        <v>2.61001279814816</v>
      </c>
      <c r="BP67" s="74" t="n">
        <f aca="false">SQRT(($B67-BP$5)^2+($C67-BP$6)^2+($D67-BP$7)^2)</f>
        <v>1.34231995765934</v>
      </c>
      <c r="BQ67" s="74" t="n">
        <f aca="false">SQRT(($B67-BQ$5)^2+($C67-BQ$6)^2+($D67-BQ$7)^2)</f>
        <v>1.596094228922</v>
      </c>
      <c r="BR67" s="74" t="n">
        <f aca="false">SQRT(($B67-BR$5)^2+($C67-BR$6)^2+($D67-BR$7)^2)</f>
        <v>1.58866296355981</v>
      </c>
      <c r="BS67" s="74" t="n">
        <f aca="false">SQRT(($B67-BS$5)^2+($C67-BS$6)^2+($D67-BS$7)^2)</f>
        <v>2.08369726771968</v>
      </c>
      <c r="BT67" s="74" t="n">
        <f aca="false">SQRT(($B67-BT$5)^2+($C67-BT$6)^2+($D67-BT$7)^2)</f>
        <v>2.16207638343073</v>
      </c>
      <c r="BU67" s="74" t="n">
        <f aca="false">SQRT(($B67-BU$5)^2+($C67-BU$6)^2+($D67-BU$7)^2)</f>
        <v>2.18627624615653</v>
      </c>
      <c r="BV67" s="74" t="n">
        <f aca="false">SQRT(($B67-BV$5)^2+($C67-BV$6)^2+($D67-BV$7)^2)</f>
        <v>2.83847701265494</v>
      </c>
      <c r="BW67" s="74" t="n">
        <f aca="false">SQRT(($B67-BW$5)^2+($C67-BW$6)^2+($D67-BW$7)^2)</f>
        <v>2.14975560371371</v>
      </c>
      <c r="BX67" s="74" t="n">
        <f aca="false">SQRT(($B67-BX$5)^2+($C67-BX$6)^2+($D67-BX$7)^2)</f>
        <v>2.84072965096213</v>
      </c>
      <c r="BY67" s="74" t="n">
        <f aca="false">SQRT(($B67-BY$5)^2+($C67-BY$6)^2+($D67-BY$7)^2)</f>
        <v>2.30797852774314</v>
      </c>
      <c r="BZ67" s="74" t="n">
        <f aca="false">SQRT(($B67-BZ$5)^2+($C67-BZ$6)^2+($D67-BZ$7)^2)</f>
        <v>2.3376940379215</v>
      </c>
      <c r="CA67" s="74" t="n">
        <f aca="false">SQRT(($B67-CA$5)^2+($C67-CA$6)^2+($D67-CA$7)^2)</f>
        <v>2.84852885438162</v>
      </c>
      <c r="CB67" s="74" t="n">
        <f aca="false">SQRT(($B67-CB$5)^2+($C67-CB$6)^2+($D67-CB$7)^2)</f>
        <v>2.34134578685911</v>
      </c>
      <c r="CC67" s="74" t="n">
        <f aca="false">SQRT(($B67-CC$5)^2+($C67-CC$6)^2+($D67-CC$7)^2)</f>
        <v>2.85152648820835</v>
      </c>
      <c r="CD67" s="74" t="n">
        <f aca="false">SQRT(($B67-CD$5)^2+($C67-CD$6)^2+($D67-CD$7)^2)</f>
        <v>2.85823025220848</v>
      </c>
      <c r="CE67" s="74" t="n">
        <f aca="false">SQRT(($B67-CE$5)^2+($C67-CE$6)^2+($D67-CE$7)^2)</f>
        <v>2.24494647570529</v>
      </c>
      <c r="CF67" s="74" t="n">
        <f aca="false">SQRT(($B67-CF$5)^2+($C67-CF$6)^2+($D67-CF$7)^2)</f>
        <v>1.73939190961924</v>
      </c>
      <c r="CG67" s="74" t="n">
        <f aca="false">SQRT(($B67-CG$5)^2+($C67-CG$6)^2+($D67-CG$7)^2)</f>
        <v>2.01900014669373</v>
      </c>
      <c r="CH67" s="74" t="n">
        <f aca="false">SQRT(($B67-CH$5)^2+($C67-CH$6)^2+($D67-CH$7)^2)</f>
        <v>2.44114482235745</v>
      </c>
      <c r="CI67" s="74" t="n">
        <f aca="false">SQRT(($B67-CI$5)^2+($C67-CI$6)^2+($D67-CI$7)^2)</f>
        <v>2.5049784104029</v>
      </c>
      <c r="CJ67" s="74" t="n">
        <f aca="false">SQRT(($B67-CJ$5)^2+($C67-CJ$6)^2+($D67-CJ$7)^2)</f>
        <v>2.68965970037942</v>
      </c>
      <c r="CK67" s="74" t="n">
        <f aca="false">SQRT(($B67-CK$5)^2+($C67-CK$6)^2+($D67-CK$7)^2)</f>
        <v>2.32689164148277</v>
      </c>
      <c r="CL67" s="74" t="n">
        <f aca="false">SQRT(($B67-CL$5)^2+($C67-CL$6)^2+($D67-CL$7)^2)</f>
        <v>2.91442027585138</v>
      </c>
      <c r="CM67" s="74" t="n">
        <f aca="false">SQRT(($B67-CM$5)^2+($C67-CM$6)^2+($D67-CM$7)^2)</f>
        <v>2.44849041264696</v>
      </c>
      <c r="CN67" s="74" t="n">
        <f aca="false">SQRT(($B67-CN$5)^2+($C67-CN$6)^2+($D67-CN$7)^2)</f>
        <v>1.74867941073232</v>
      </c>
      <c r="CO67" s="74" t="n">
        <f aca="false">SQRT(($B67-CO$5)^2+($C67-CO$6)^2+($D67-CO$7)^2)</f>
        <v>2.00430824458025</v>
      </c>
      <c r="CP67" s="74" t="n">
        <f aca="false">SQRT(($B67-CP$5)^2+($C67-CP$6)^2+($D67-CP$7)^2)</f>
        <v>2.94475058096903</v>
      </c>
      <c r="CQ67" s="74" t="n">
        <f aca="false">SQRT(($B67-CQ$5)^2+($C67-CQ$6)^2+($D67-CQ$7)^2)</f>
        <v>2.53748103964565</v>
      </c>
      <c r="CR67" s="74" t="n">
        <f aca="false">SQRT(($B67-CR$5)^2+($C67-CR$6)^2+($D67-CR$7)^2)</f>
        <v>2.5164949570378</v>
      </c>
      <c r="CS67" s="74" t="n">
        <f aca="false">SQRT(($B67-CS$5)^2+($C67-CS$6)^2+($D67-CS$7)^2)</f>
        <v>2.97178180764777</v>
      </c>
      <c r="CT67" s="74" t="n">
        <f aca="false">SQRT(($B67-CT$5)^2+($C67-CT$6)^2+($D67-CT$7)^2)</f>
        <v>2.98822811116236</v>
      </c>
      <c r="CU67" s="74" t="n">
        <f aca="false">SQRT(($B67-CU$5)^2+($C67-CU$6)^2+($D67-CU$7)^2)</f>
        <v>2.43238943339766</v>
      </c>
      <c r="CV67" s="74" t="n">
        <f aca="false">SQRT(($B67-CV$5)^2+($C67-CV$6)^2+($D67-CV$7)^2)</f>
        <v>2.34578248647939</v>
      </c>
      <c r="CW67" s="74" t="n">
        <f aca="false">SQRT(($B67-CW$5)^2+($C67-CW$6)^2+($D67-CW$7)^2)</f>
        <v>2.98822811116236</v>
      </c>
      <c r="CX67" s="74" t="n">
        <f aca="false">SQRT(($B67-CX$5)^2+($C67-CX$6)^2+($D67-CX$7)^2)</f>
        <v>2.45186676998498</v>
      </c>
      <c r="CY67" s="74" t="n">
        <f aca="false">SQRT(($B67-CY$5)^2+($C67-CY$6)^2+($D67-CY$7)^2)</f>
        <v>3.00725636042995</v>
      </c>
      <c r="CZ67" s="74" t="n">
        <f aca="false">SQRT(($B67-CZ$5)^2+($C67-CZ$6)^2+($D67-CZ$7)^2)</f>
        <v>3.00725636042995</v>
      </c>
      <c r="DA67" s="74" t="n">
        <f aca="false">SQRT(($B67-DA$5)^2+($C67-DA$6)^2+($D67-DA$7)^2)</f>
        <v>2.64378561579149</v>
      </c>
      <c r="DB67" s="74" t="n">
        <f aca="false">SQRT(($B67-DB$5)^2+($C67-DB$6)^2+($D67-DB$7)^2)</f>
        <v>3.02956185765761</v>
      </c>
      <c r="DC67" s="74" t="n">
        <f aca="false">SQRT(($B67-DC$5)^2+($C67-DC$6)^2+($D67-DC$7)^2)</f>
        <v>3.02956185765761</v>
      </c>
      <c r="DD67" s="74" t="n">
        <f aca="false">SQRT(($B67-DD$5)^2+($C67-DD$6)^2+($D67-DD$7)^2)</f>
        <v>2.73543995074163</v>
      </c>
      <c r="DE67" s="74" t="n">
        <f aca="false">SQRT(($B67-DE$5)^2+($C67-DE$6)^2+($D67-DE$7)^2)</f>
        <v>2.89975344066101</v>
      </c>
      <c r="DF67" s="74" t="n">
        <f aca="false">SQRT(($B67-DF$5)^2+($C67-DF$6)^2+($D67-DF$7)^2)</f>
        <v>3.18165734564486</v>
      </c>
      <c r="DG67" s="74" t="n">
        <f aca="false">SQRT(($B67-DG$5)^2+($C67-DG$6)^2+($D67-DG$7)^2)</f>
        <v>3.25445305367099</v>
      </c>
      <c r="DH67" s="74" t="n">
        <f aca="false">SQRT(($B67-DH$5)^2+($C67-DH$6)^2+($D67-DH$7)^2)</f>
        <v>3.25445305367099</v>
      </c>
      <c r="DI67" s="74" t="n">
        <f aca="false">SQRT(($B67-DI$5)^2+($C67-DI$6)^2+($D67-DI$7)^2)</f>
        <v>3.25445305367099</v>
      </c>
      <c r="DJ67" s="74" t="n">
        <f aca="false">SQRT(($B67-DJ$5)^2+($C67-DJ$6)^2+($D67-DJ$7)^2)</f>
        <v>3.25445305367099</v>
      </c>
      <c r="DK67" s="74" t="n">
        <f aca="false">SQRT(($B67-DK$5)^2+($C67-DK$6)^2+($D67-DK$7)^2)</f>
        <v>3.36570063901411</v>
      </c>
      <c r="DL67" s="74" t="n">
        <f aca="false">SQRT(($B67-DL$5)^2+($C67-DL$6)^2+($D67-DL$7)^2)</f>
        <v>3.36570063901411</v>
      </c>
      <c r="DM67" s="74" t="n">
        <f aca="false">SQRT(($B67-DM$5)^2+($C67-DM$6)^2+($D67-DM$7)^2)</f>
        <v>3.36570063901411</v>
      </c>
      <c r="DN67" s="74" t="n">
        <f aca="false">SQRT(($B67-DN$5)^2+($C67-DN$6)^2+($D67-DN$7)^2)</f>
        <v>3.36570063901411</v>
      </c>
      <c r="DO67" s="74" t="n">
        <f aca="false">SQRT(($B67-DO$5)^2+($C67-DO$6)^2+($D67-DO$7)^2)</f>
        <v>3.36570063901411</v>
      </c>
      <c r="DP67" s="74" t="n">
        <f aca="false">SQRT(($B67-DP$5)^2+($C67-DP$6)^2+($D67-DP$7)^2)</f>
        <v>3.57676348511696</v>
      </c>
      <c r="DQ67" s="74" t="n">
        <f aca="false">SQRT(($B67-DQ$5)^2+($C67-DQ$6)^2+($D67-DQ$7)^2)</f>
        <v>3.57676348511696</v>
      </c>
    </row>
    <row r="68" customFormat="false" ht="15" hidden="false" customHeight="false" outlineLevel="0" collapsed="false">
      <c r="A68" s="48" t="str">
        <f aca="false">KMeans_Data!A59</f>
        <v>Sanghar</v>
      </c>
      <c r="B68" s="72" t="n">
        <f aca="false">KMeans_Data!H59</f>
        <v>0.100851695433816</v>
      </c>
      <c r="C68" s="72" t="n">
        <f aca="false">KMeans_Data!I59</f>
        <v>-0.146983133929529</v>
      </c>
      <c r="D68" s="72" t="n">
        <f aca="false">KMeans_Data!J59</f>
        <v>0.618328666074444</v>
      </c>
      <c r="E68" s="74" t="n">
        <f aca="false">SQRT(($B68-E$5)^2+($C68-E$6)^2+($D68-E$7)^2)</f>
        <v>5.87639549417765</v>
      </c>
      <c r="F68" s="74" t="n">
        <f aca="false">SQRT(($B68-F$5)^2+($C68-F$6)^2+($D68-F$7)^2)</f>
        <v>5.7178313117771</v>
      </c>
      <c r="G68" s="74" t="n">
        <f aca="false">SQRT(($B68-G$5)^2+($C68-G$6)^2+($D68-G$7)^2)</f>
        <v>3.76297013070133</v>
      </c>
      <c r="H68" s="74" t="n">
        <f aca="false">SQRT(($B68-H$5)^2+($C68-H$6)^2+($D68-H$7)^2)</f>
        <v>4.45371736957233</v>
      </c>
      <c r="I68" s="74" t="n">
        <f aca="false">SQRT(($B68-I$5)^2+($C68-I$6)^2+($D68-I$7)^2)</f>
        <v>3.21634548896903</v>
      </c>
      <c r="J68" s="74" t="n">
        <f aca="false">SQRT(($B68-J$5)^2+($C68-J$6)^2+($D68-J$7)^2)</f>
        <v>2.87668758042532</v>
      </c>
      <c r="K68" s="74" t="n">
        <f aca="false">SQRT(($B68-K$5)^2+($C68-K$6)^2+($D68-K$7)^2)</f>
        <v>1.92622760813087</v>
      </c>
      <c r="L68" s="74" t="n">
        <f aca="false">SQRT(($B68-L$5)^2+($C68-L$6)^2+($D68-L$7)^2)</f>
        <v>1.84221041545865</v>
      </c>
      <c r="M68" s="74" t="n">
        <f aca="false">SQRT(($B68-M$5)^2+($C68-M$6)^2+($D68-M$7)^2)</f>
        <v>2.08526840048948</v>
      </c>
      <c r="N68" s="74" t="n">
        <f aca="false">SQRT(($B68-N$5)^2+($C68-N$6)^2+($D68-N$7)^2)</f>
        <v>1.81469293234979</v>
      </c>
      <c r="O68" s="74" t="n">
        <f aca="false">SQRT(($B68-O$5)^2+($C68-O$6)^2+($D68-O$7)^2)</f>
        <v>1.96291240112974</v>
      </c>
      <c r="P68" s="74" t="n">
        <f aca="false">SQRT(($B68-P$5)^2+($C68-P$6)^2+($D68-P$7)^2)</f>
        <v>2.24116702843797</v>
      </c>
      <c r="Q68" s="74" t="n">
        <f aca="false">SQRT(($B68-Q$5)^2+($C68-Q$6)^2+($D68-Q$7)^2)</f>
        <v>1.54966329302371</v>
      </c>
      <c r="R68" s="74" t="n">
        <f aca="false">SQRT(($B68-R$5)^2+($C68-R$6)^2+($D68-R$7)^2)</f>
        <v>1.37089904037788</v>
      </c>
      <c r="S68" s="74" t="n">
        <f aca="false">SQRT(($B68-S$5)^2+($C68-S$6)^2+($D68-S$7)^2)</f>
        <v>1.05994938824257</v>
      </c>
      <c r="T68" s="74" t="n">
        <f aca="false">SQRT(($B68-T$5)^2+($C68-T$6)^2+($D68-T$7)^2)</f>
        <v>1.48371154245349</v>
      </c>
      <c r="U68" s="74" t="n">
        <f aca="false">SQRT(($B68-U$5)^2+($C68-U$6)^2+($D68-U$7)^2)</f>
        <v>1.34708719980039</v>
      </c>
      <c r="V68" s="74" t="n">
        <f aca="false">SQRT(($B68-V$5)^2+($C68-V$6)^2+($D68-V$7)^2)</f>
        <v>1.70314088260712</v>
      </c>
      <c r="W68" s="74" t="n">
        <f aca="false">SQRT(($B68-W$5)^2+($C68-W$6)^2+($D68-W$7)^2)</f>
        <v>1.73140407143595</v>
      </c>
      <c r="X68" s="74" t="n">
        <f aca="false">SQRT(($B68-X$5)^2+($C68-X$6)^2+($D68-X$7)^2)</f>
        <v>1.2753693132081</v>
      </c>
      <c r="Y68" s="74" t="n">
        <f aca="false">SQRT(($B68-Y$5)^2+($C68-Y$6)^2+($D68-Y$7)^2)</f>
        <v>1.34160379853774</v>
      </c>
      <c r="Z68" s="74" t="n">
        <f aca="false">SQRT(($B68-Z$5)^2+($C68-Z$6)^2+($D68-Z$7)^2)</f>
        <v>1.17112715358175</v>
      </c>
      <c r="AA68" s="74" t="n">
        <f aca="false">SQRT(($B68-AA$5)^2+($C68-AA$6)^2+($D68-AA$7)^2)</f>
        <v>0.822851119115502</v>
      </c>
      <c r="AB68" s="74" t="n">
        <f aca="false">SQRT(($B68-AB$5)^2+($C68-AB$6)^2+($D68-AB$7)^2)</f>
        <v>0.975332504533536</v>
      </c>
      <c r="AC68" s="74" t="n">
        <f aca="false">SQRT(($B68-AC$5)^2+($C68-AC$6)^2+($D68-AC$7)^2)</f>
        <v>1.66848092516288</v>
      </c>
      <c r="AD68" s="74" t="n">
        <f aca="false">SQRT(($B68-AD$5)^2+($C68-AD$6)^2+($D68-AD$7)^2)</f>
        <v>1.30660071889035</v>
      </c>
      <c r="AE68" s="74" t="n">
        <f aca="false">SQRT(($B68-AE$5)^2+($C68-AE$6)^2+($D68-AE$7)^2)</f>
        <v>1.8461934608515</v>
      </c>
      <c r="AF68" s="74" t="n">
        <f aca="false">SQRT(($B68-AF$5)^2+($C68-AF$6)^2+($D68-AF$7)^2)</f>
        <v>1.00532303081166</v>
      </c>
      <c r="AG68" s="74" t="n">
        <f aca="false">SQRT(($B68-AG$5)^2+($C68-AG$6)^2+($D68-AG$7)^2)</f>
        <v>1.24114450141204</v>
      </c>
      <c r="AH68" s="74" t="n">
        <f aca="false">SQRT(($B68-AH$5)^2+($C68-AH$6)^2+($D68-AH$7)^2)</f>
        <v>0.590447628223611</v>
      </c>
      <c r="AI68" s="74" t="n">
        <f aca="false">SQRT(($B68-AI$5)^2+($C68-AI$6)^2+($D68-AI$7)^2)</f>
        <v>1.23993221028339</v>
      </c>
      <c r="AJ68" s="74" t="n">
        <f aca="false">SQRT(($B68-AJ$5)^2+($C68-AJ$6)^2+($D68-AJ$7)^2)</f>
        <v>0.972866300016225</v>
      </c>
      <c r="AK68" s="74" t="n">
        <f aca="false">SQRT(($B68-AK$5)^2+($C68-AK$6)^2+($D68-AK$7)^2)</f>
        <v>0.756202138662263</v>
      </c>
      <c r="AL68" s="74" t="n">
        <f aca="false">SQRT(($B68-AL$5)^2+($C68-AL$6)^2+($D68-AL$7)^2)</f>
        <v>0.389583123618921</v>
      </c>
      <c r="AM68" s="74" t="n">
        <f aca="false">SQRT(($B68-AM$5)^2+($C68-AM$6)^2+($D68-AM$7)^2)</f>
        <v>1.60594745602435</v>
      </c>
      <c r="AN68" s="74" t="n">
        <f aca="false">SQRT(($B68-AN$5)^2+($C68-AN$6)^2+($D68-AN$7)^2)</f>
        <v>1.34394636902561</v>
      </c>
      <c r="AO68" s="74" t="n">
        <f aca="false">SQRT(($B68-AO$5)^2+($C68-AO$6)^2+($D68-AO$7)^2)</f>
        <v>0.626862317337673</v>
      </c>
      <c r="AP68" s="74" t="n">
        <f aca="false">SQRT(($B68-AP$5)^2+($C68-AP$6)^2+($D68-AP$7)^2)</f>
        <v>0.639542447358341</v>
      </c>
      <c r="AQ68" s="74" t="n">
        <f aca="false">SQRT(($B68-AQ$5)^2+($C68-AQ$6)^2+($D68-AQ$7)^2)</f>
        <v>1.45234460465428</v>
      </c>
      <c r="AR68" s="74" t="n">
        <f aca="false">SQRT(($B68-AR$5)^2+($C68-AR$6)^2+($D68-AR$7)^2)</f>
        <v>0.814771681755087</v>
      </c>
      <c r="AS68" s="74" t="n">
        <f aca="false">SQRT(($B68-AS$5)^2+($C68-AS$6)^2+($D68-AS$7)^2)</f>
        <v>0.690836065653302</v>
      </c>
      <c r="AT68" s="74" t="n">
        <f aca="false">SQRT(($B68-AT$5)^2+($C68-AT$6)^2+($D68-AT$7)^2)</f>
        <v>0.232793961447579</v>
      </c>
      <c r="AU68" s="74" t="n">
        <f aca="false">SQRT(($B68-AU$5)^2+($C68-AU$6)^2+($D68-AU$7)^2)</f>
        <v>1.26522603900115</v>
      </c>
      <c r="AV68" s="74" t="n">
        <f aca="false">SQRT(($B68-AV$5)^2+($C68-AV$6)^2+($D68-AV$7)^2)</f>
        <v>0.557882710992194</v>
      </c>
      <c r="AW68" s="74" t="n">
        <f aca="false">SQRT(($B68-AW$5)^2+($C68-AW$6)^2+($D68-AW$7)^2)</f>
        <v>1.54172114159466</v>
      </c>
      <c r="AX68" s="74" t="n">
        <f aca="false">SQRT(($B68-AX$5)^2+($C68-AX$6)^2+($D68-AX$7)^2)</f>
        <v>0.409786560935088</v>
      </c>
      <c r="AY68" s="74" t="n">
        <f aca="false">SQRT(($B68-AY$5)^2+($C68-AY$6)^2+($D68-AY$7)^2)</f>
        <v>1.84335318925663</v>
      </c>
      <c r="AZ68" s="74" t="n">
        <f aca="false">SQRT(($B68-AZ$5)^2+($C68-AZ$6)^2+($D68-AZ$7)^2)</f>
        <v>0.676684518178923</v>
      </c>
      <c r="BA68" s="74" t="n">
        <f aca="false">SQRT(($B68-BA$5)^2+($C68-BA$6)^2+($D68-BA$7)^2)</f>
        <v>0.200634147868449</v>
      </c>
      <c r="BB68" s="74" t="n">
        <f aca="false">SQRT(($B68-BB$5)^2+($C68-BB$6)^2+($D68-BB$7)^2)</f>
        <v>1.84300918205253</v>
      </c>
      <c r="BC68" s="74" t="n">
        <f aca="false">SQRT(($B68-BC$5)^2+($C68-BC$6)^2+($D68-BC$7)^2)</f>
        <v>1.84268443396241</v>
      </c>
      <c r="BD68" s="74" t="n">
        <f aca="false">SQRT(($B68-BD$5)^2+($C68-BD$6)^2+($D68-BD$7)^2)</f>
        <v>1.24043821046426</v>
      </c>
      <c r="BE68" s="74" t="n">
        <f aca="false">SQRT(($B68-BE$5)^2+($C68-BE$6)^2+($D68-BE$7)^2)</f>
        <v>1.01121897073429</v>
      </c>
      <c r="BF68" s="74" t="n">
        <f aca="false">SQRT(($B68-BF$5)^2+($C68-BF$6)^2+($D68-BF$7)^2)</f>
        <v>1.53629702428212</v>
      </c>
      <c r="BG68" s="74" t="n">
        <f aca="false">SQRT(($B68-BG$5)^2+($C68-BG$6)^2+($D68-BG$7)^2)</f>
        <v>0</v>
      </c>
      <c r="BH68" s="74" t="n">
        <f aca="false">SQRT(($B68-BH$5)^2+($C68-BH$6)^2+($D68-BH$7)^2)</f>
        <v>1.84070168903506</v>
      </c>
      <c r="BI68" s="74" t="n">
        <f aca="false">SQRT(($B68-BI$5)^2+($C68-BI$6)^2+($D68-BI$7)^2)</f>
        <v>1.84091962189498</v>
      </c>
      <c r="BJ68" s="74" t="n">
        <f aca="false">SQRT(($B68-BJ$5)^2+($C68-BJ$6)^2+($D68-BJ$7)^2)</f>
        <v>0.92943211321771</v>
      </c>
      <c r="BK68" s="74" t="n">
        <f aca="false">SQRT(($B68-BK$5)^2+($C68-BK$6)^2+($D68-BK$7)^2)</f>
        <v>1.14978648404102</v>
      </c>
      <c r="BL68" s="74" t="n">
        <f aca="false">SQRT(($B68-BL$5)^2+($C68-BL$6)^2+($D68-BL$7)^2)</f>
        <v>0.593171531142671</v>
      </c>
      <c r="BM68" s="74" t="n">
        <f aca="false">SQRT(($B68-BM$5)^2+($C68-BM$6)^2+($D68-BM$7)^2)</f>
        <v>0.717250419132392</v>
      </c>
      <c r="BN68" s="74" t="n">
        <f aca="false">SQRT(($B68-BN$5)^2+($C68-BN$6)^2+($D68-BN$7)^2)</f>
        <v>0.668219349214616</v>
      </c>
      <c r="BO68" s="74" t="n">
        <f aca="false">SQRT(($B68-BO$5)^2+($C68-BO$6)^2+($D68-BO$7)^2)</f>
        <v>1.54447292648382</v>
      </c>
      <c r="BP68" s="74" t="n">
        <f aca="false">SQRT(($B68-BP$5)^2+($C68-BP$6)^2+($D68-BP$7)^2)</f>
        <v>0.508936768687389</v>
      </c>
      <c r="BQ68" s="74" t="n">
        <f aca="false">SQRT(($B68-BQ$5)^2+($C68-BQ$6)^2+($D68-BQ$7)^2)</f>
        <v>0.317123373625904</v>
      </c>
      <c r="BR68" s="74" t="n">
        <f aca="false">SQRT(($B68-BR$5)^2+($C68-BR$6)^2+($D68-BR$7)^2)</f>
        <v>0.301068578720992</v>
      </c>
      <c r="BS68" s="74" t="n">
        <f aca="false">SQRT(($B68-BS$5)^2+($C68-BS$6)^2+($D68-BS$7)^2)</f>
        <v>0.593080996033056</v>
      </c>
      <c r="BT68" s="74" t="n">
        <f aca="false">SQRT(($B68-BT$5)^2+($C68-BT$6)^2+($D68-BT$7)^2)</f>
        <v>0.745745841264365</v>
      </c>
      <c r="BU68" s="74" t="n">
        <f aca="false">SQRT(($B68-BU$5)^2+($C68-BU$6)^2+($D68-BU$7)^2)</f>
        <v>0.79688176250197</v>
      </c>
      <c r="BV68" s="74" t="n">
        <f aca="false">SQRT(($B68-BV$5)^2+($C68-BV$6)^2+($D68-BV$7)^2)</f>
        <v>1.87565339545102</v>
      </c>
      <c r="BW68" s="74" t="n">
        <f aca="false">SQRT(($B68-BW$5)^2+($C68-BW$6)^2+($D68-BW$7)^2)</f>
        <v>0.726811065314425</v>
      </c>
      <c r="BX68" s="74" t="n">
        <f aca="false">SQRT(($B68-BX$5)^2+($C68-BX$6)^2+($D68-BX$7)^2)</f>
        <v>1.87879959129371</v>
      </c>
      <c r="BY68" s="74" t="n">
        <f aca="false">SQRT(($B68-BY$5)^2+($C68-BY$6)^2+($D68-BY$7)^2)</f>
        <v>1.04179373078656</v>
      </c>
      <c r="BZ68" s="74" t="n">
        <f aca="false">SQRT(($B68-BZ$5)^2+($C68-BZ$6)^2+($D68-BZ$7)^2)</f>
        <v>1.09681648740709</v>
      </c>
      <c r="CA68" s="74" t="n">
        <f aca="false">SQRT(($B68-CA$5)^2+($C68-CA$6)^2+($D68-CA$7)^2)</f>
        <v>1.88974111122638</v>
      </c>
      <c r="CB68" s="74" t="n">
        <f aca="false">SQRT(($B68-CB$5)^2+($C68-CB$6)^2+($D68-CB$7)^2)</f>
        <v>1.10407174919162</v>
      </c>
      <c r="CC68" s="74" t="n">
        <f aca="false">SQRT(($B68-CC$5)^2+($C68-CC$6)^2+($D68-CC$7)^2)</f>
        <v>1.89396132161514</v>
      </c>
      <c r="CD68" s="74" t="n">
        <f aca="false">SQRT(($B68-CD$5)^2+($C68-CD$6)^2+($D68-CD$7)^2)</f>
        <v>1.9034190024758</v>
      </c>
      <c r="CE68" s="74" t="n">
        <f aca="false">SQRT(($B68-CE$5)^2+($C68-CE$6)^2+($D68-CE$7)^2)</f>
        <v>0.928815777316807</v>
      </c>
      <c r="CF68" s="74" t="n">
        <f aca="false">SQRT(($B68-CF$5)^2+($C68-CF$6)^2+($D68-CF$7)^2)</f>
        <v>0.696349652679369</v>
      </c>
      <c r="CG68" s="74" t="n">
        <f aca="false">SQRT(($B68-CG$5)^2+($C68-CG$6)^2+($D68-CG$7)^2)</f>
        <v>1.16774454079932</v>
      </c>
      <c r="CH68" s="74" t="n">
        <f aca="false">SQRT(($B68-CH$5)^2+($C68-CH$6)^2+($D68-CH$7)^2)</f>
        <v>1.28060670778985</v>
      </c>
      <c r="CI68" s="74" t="n">
        <f aca="false">SQRT(($B68-CI$5)^2+($C68-CI$6)^2+($D68-CI$7)^2)</f>
        <v>1.38578471264951</v>
      </c>
      <c r="CJ68" s="74" t="n">
        <f aca="false">SQRT(($B68-CJ$5)^2+($C68-CJ$6)^2+($D68-CJ$7)^2)</f>
        <v>1.66671993478686</v>
      </c>
      <c r="CK68" s="74" t="n">
        <f aca="false">SQRT(($B68-CK$5)^2+($C68-CK$6)^2+($D68-CK$7)^2)</f>
        <v>1.09585800679399</v>
      </c>
      <c r="CL68" s="74" t="n">
        <f aca="false">SQRT(($B68-CL$5)^2+($C68-CL$6)^2+($D68-CL$7)^2)</f>
        <v>1.98289989941909</v>
      </c>
      <c r="CM68" s="74" t="n">
        <f aca="false">SQRT(($B68-CM$5)^2+($C68-CM$6)^2+($D68-CM$7)^2)</f>
        <v>1.30079392109696</v>
      </c>
      <c r="CN68" s="74" t="n">
        <f aca="false">SQRT(($B68-CN$5)^2+($C68-CN$6)^2+($D68-CN$7)^2)</f>
        <v>0.807103726108784</v>
      </c>
      <c r="CO68" s="74" t="n">
        <f aca="false">SQRT(($B68-CO$5)^2+($C68-CO$6)^2+($D68-CO$7)^2)</f>
        <v>1.16432930452002</v>
      </c>
      <c r="CP68" s="74" t="n">
        <f aca="false">SQRT(($B68-CP$5)^2+($C68-CP$6)^2+($D68-CP$7)^2)</f>
        <v>2.02558219307346</v>
      </c>
      <c r="CQ68" s="74" t="n">
        <f aca="false">SQRT(($B68-CQ$5)^2+($C68-CQ$6)^2+($D68-CQ$7)^2)</f>
        <v>1.44922490555567</v>
      </c>
      <c r="CR68" s="74" t="n">
        <f aca="false">SQRT(($B68-CR$5)^2+($C68-CR$6)^2+($D68-CR$7)^2)</f>
        <v>1.42047940168709</v>
      </c>
      <c r="CS68" s="74" t="n">
        <f aca="false">SQRT(($B68-CS$5)^2+($C68-CS$6)^2+($D68-CS$7)^2)</f>
        <v>2.06339257451673</v>
      </c>
      <c r="CT68" s="74" t="n">
        <f aca="false">SQRT(($B68-CT$5)^2+($C68-CT$6)^2+($D68-CT$7)^2)</f>
        <v>2.08628154949002</v>
      </c>
      <c r="CU68" s="74" t="n">
        <f aca="false">SQRT(($B68-CU$5)^2+($C68-CU$6)^2+($D68-CU$7)^2)</f>
        <v>1.7453490430683</v>
      </c>
      <c r="CV68" s="74" t="n">
        <f aca="false">SQRT(($B68-CV$5)^2+($C68-CV$6)^2+($D68-CV$7)^2)</f>
        <v>1.16863121067387</v>
      </c>
      <c r="CW68" s="74" t="n">
        <f aca="false">SQRT(($B68-CW$5)^2+($C68-CW$6)^2+($D68-CW$7)^2)</f>
        <v>2.08628154949002</v>
      </c>
      <c r="CX68" s="74" t="n">
        <f aca="false">SQRT(($B68-CX$5)^2+($C68-CX$6)^2+($D68-CX$7)^2)</f>
        <v>1.33336279914313</v>
      </c>
      <c r="CY68" s="74" t="n">
        <f aca="false">SQRT(($B68-CY$5)^2+($C68-CY$6)^2+($D68-CY$7)^2)</f>
        <v>2.11265130636444</v>
      </c>
      <c r="CZ68" s="74" t="n">
        <f aca="false">SQRT(($B68-CZ$5)^2+($C68-CZ$6)^2+($D68-CZ$7)^2)</f>
        <v>2.11265130636444</v>
      </c>
      <c r="DA68" s="74" t="n">
        <f aca="false">SQRT(($B68-DA$5)^2+($C68-DA$6)^2+($D68-DA$7)^2)</f>
        <v>1.61543480012737</v>
      </c>
      <c r="DB68" s="74" t="n">
        <f aca="false">SQRT(($B68-DB$5)^2+($C68-DB$6)^2+($D68-DB$7)^2)</f>
        <v>2.14340734080787</v>
      </c>
      <c r="DC68" s="74" t="n">
        <f aca="false">SQRT(($B68-DC$5)^2+($C68-DC$6)^2+($D68-DC$7)^2)</f>
        <v>2.14340734080787</v>
      </c>
      <c r="DD68" s="74" t="n">
        <f aca="false">SQRT(($B68-DD$5)^2+($C68-DD$6)^2+($D68-DD$7)^2)</f>
        <v>1.7485232391235</v>
      </c>
      <c r="DE68" s="74" t="n">
        <f aca="false">SQRT(($B68-DE$5)^2+($C68-DE$6)^2+($D68-DE$7)^2)</f>
        <v>1.97876485921586</v>
      </c>
      <c r="DF68" s="74" t="n">
        <f aca="false">SQRT(($B68-DF$5)^2+($C68-DF$6)^2+($D68-DF$7)^2)</f>
        <v>2.3487862731172</v>
      </c>
      <c r="DG68" s="74" t="n">
        <f aca="false">SQRT(($B68-DG$5)^2+($C68-DG$6)^2+($D68-DG$7)^2)</f>
        <v>2.44461598196802</v>
      </c>
      <c r="DH68" s="74" t="n">
        <f aca="false">SQRT(($B68-DH$5)^2+($C68-DH$6)^2+($D68-DH$7)^2)</f>
        <v>2.44461598196802</v>
      </c>
      <c r="DI68" s="74" t="n">
        <f aca="false">SQRT(($B68-DI$5)^2+($C68-DI$6)^2+($D68-DI$7)^2)</f>
        <v>2.44461598196802</v>
      </c>
      <c r="DJ68" s="74" t="n">
        <f aca="false">SQRT(($B68-DJ$5)^2+($C68-DJ$6)^2+($D68-DJ$7)^2)</f>
        <v>2.44461598196802</v>
      </c>
      <c r="DK68" s="74" t="n">
        <f aca="false">SQRT(($B68-DK$5)^2+($C68-DK$6)^2+($D68-DK$7)^2)</f>
        <v>2.5883774445742</v>
      </c>
      <c r="DL68" s="74" t="n">
        <f aca="false">SQRT(($B68-DL$5)^2+($C68-DL$6)^2+($D68-DL$7)^2)</f>
        <v>2.5883774445742</v>
      </c>
      <c r="DM68" s="74" t="n">
        <f aca="false">SQRT(($B68-DM$5)^2+($C68-DM$6)^2+($D68-DM$7)^2)</f>
        <v>2.5883774445742</v>
      </c>
      <c r="DN68" s="74" t="n">
        <f aca="false">SQRT(($B68-DN$5)^2+($C68-DN$6)^2+($D68-DN$7)^2)</f>
        <v>2.5883774445742</v>
      </c>
      <c r="DO68" s="74" t="n">
        <f aca="false">SQRT(($B68-DO$5)^2+($C68-DO$6)^2+($D68-DO$7)^2)</f>
        <v>2.5883774445742</v>
      </c>
      <c r="DP68" s="74" t="n">
        <f aca="false">SQRT(($B68-DP$5)^2+($C68-DP$6)^2+($D68-DP$7)^2)</f>
        <v>2.85357627285817</v>
      </c>
      <c r="DQ68" s="74" t="n">
        <f aca="false">SQRT(($B68-DQ$5)^2+($C68-DQ$6)^2+($D68-DQ$7)^2)</f>
        <v>2.85357627285817</v>
      </c>
    </row>
    <row r="69" customFormat="false" ht="15" hidden="false" customHeight="false" outlineLevel="0" collapsed="false">
      <c r="A69" s="48" t="str">
        <f aca="false">KMeans_Data!A60</f>
        <v>Bhakkar</v>
      </c>
      <c r="B69" s="72" t="n">
        <f aca="false">KMeans_Data!H60</f>
        <v>0.0848359697065613</v>
      </c>
      <c r="C69" s="72" t="n">
        <f aca="false">KMeans_Data!I60</f>
        <v>-0.672650545388274</v>
      </c>
      <c r="D69" s="72" t="n">
        <f aca="false">KMeans_Data!J60</f>
        <v>-1.14564411633355</v>
      </c>
      <c r="E69" s="74" t="n">
        <f aca="false">SQRT(($B69-E$5)^2+($C69-E$6)^2+($D69-E$7)^2)</f>
        <v>7.19142094483798</v>
      </c>
      <c r="F69" s="74" t="n">
        <f aca="false">SQRT(($B69-F$5)^2+($C69-F$6)^2+($D69-F$7)^2)</f>
        <v>6.9269537459761</v>
      </c>
      <c r="G69" s="74" t="n">
        <f aca="false">SQRT(($B69-G$5)^2+($C69-G$6)^2+($D69-G$7)^2)</f>
        <v>5.13567773757729</v>
      </c>
      <c r="H69" s="74" t="n">
        <f aca="false">SQRT(($B69-H$5)^2+($C69-H$6)^2+($D69-H$7)^2)</f>
        <v>5.54967731303398</v>
      </c>
      <c r="I69" s="74" t="n">
        <f aca="false">SQRT(($B69-I$5)^2+($C69-I$6)^2+($D69-I$7)^2)</f>
        <v>4.46425004761346</v>
      </c>
      <c r="J69" s="74" t="n">
        <f aca="false">SQRT(($B69-J$5)^2+($C69-J$6)^2+($D69-J$7)^2)</f>
        <v>4.13751405157019</v>
      </c>
      <c r="K69" s="74" t="n">
        <f aca="false">SQRT(($B69-K$5)^2+($C69-K$6)^2+($D69-K$7)^2)</f>
        <v>1.53995486772932</v>
      </c>
      <c r="L69" s="74" t="n">
        <f aca="false">SQRT(($B69-L$5)^2+($C69-L$6)^2+($D69-L$7)^2)</f>
        <v>3.40543306815841</v>
      </c>
      <c r="M69" s="74" t="n">
        <f aca="false">SQRT(($B69-M$5)^2+($C69-M$6)^2+($D69-M$7)^2)</f>
        <v>3.60589142432955</v>
      </c>
      <c r="N69" s="74" t="n">
        <f aca="false">SQRT(($B69-N$5)^2+($C69-N$6)^2+($D69-N$7)^2)</f>
        <v>1.27535062061458</v>
      </c>
      <c r="O69" s="74" t="n">
        <f aca="false">SQRT(($B69-O$5)^2+($C69-O$6)^2+($D69-O$7)^2)</f>
        <v>3.20721624279703</v>
      </c>
      <c r="P69" s="74" t="n">
        <f aca="false">SQRT(($B69-P$5)^2+($C69-P$6)^2+($D69-P$7)^2)</f>
        <v>3.52035730068622</v>
      </c>
      <c r="Q69" s="74" t="n">
        <f aca="false">SQRT(($B69-Q$5)^2+($C69-Q$6)^2+($D69-Q$7)^2)</f>
        <v>2.94100600140459</v>
      </c>
      <c r="R69" s="74" t="n">
        <f aca="false">SQRT(($B69-R$5)^2+($C69-R$6)^2+($D69-R$7)^2)</f>
        <v>2.97594925599832</v>
      </c>
      <c r="S69" s="74" t="n">
        <f aca="false">SQRT(($B69-S$5)^2+($C69-S$6)^2+($D69-S$7)^2)</f>
        <v>2.54479378150959</v>
      </c>
      <c r="T69" s="74" t="n">
        <f aca="false">SQRT(($B69-T$5)^2+($C69-T$6)^2+($D69-T$7)^2)</f>
        <v>2.85559897502741</v>
      </c>
      <c r="U69" s="74" t="n">
        <f aca="false">SQRT(($B69-U$5)^2+($C69-U$6)^2+($D69-U$7)^2)</f>
        <v>3.03059146697633</v>
      </c>
      <c r="V69" s="74" t="n">
        <f aca="false">SQRT(($B69-V$5)^2+($C69-V$6)^2+($D69-V$7)^2)</f>
        <v>2.8141542661784</v>
      </c>
      <c r="W69" s="74" t="n">
        <f aca="false">SQRT(($B69-W$5)^2+($C69-W$6)^2+($D69-W$7)^2)</f>
        <v>3.02181714887009</v>
      </c>
      <c r="X69" s="74" t="n">
        <f aca="false">SQRT(($B69-X$5)^2+($C69-X$6)^2+($D69-X$7)^2)</f>
        <v>2.74104803433879</v>
      </c>
      <c r="Y69" s="74" t="n">
        <f aca="false">SQRT(($B69-Y$5)^2+($C69-Y$6)^2+($D69-Y$7)^2)</f>
        <v>2.91587945575767</v>
      </c>
      <c r="Z69" s="74" t="n">
        <f aca="false">SQRT(($B69-Z$5)^2+($C69-Z$6)^2+($D69-Z$7)^2)</f>
        <v>2.40426596696112</v>
      </c>
      <c r="AA69" s="74" t="n">
        <f aca="false">SQRT(($B69-AA$5)^2+($C69-AA$6)^2+($D69-AA$7)^2)</f>
        <v>2.3695302417575</v>
      </c>
      <c r="AB69" s="74" t="n">
        <f aca="false">SQRT(($B69-AB$5)^2+($C69-AB$6)^2+($D69-AB$7)^2)</f>
        <v>2.29437018480607</v>
      </c>
      <c r="AC69" s="74" t="n">
        <f aca="false">SQRT(($B69-AC$5)^2+($C69-AC$6)^2+($D69-AC$7)^2)</f>
        <v>2.86114237159593</v>
      </c>
      <c r="AD69" s="74" t="n">
        <f aca="false">SQRT(($B69-AD$5)^2+($C69-AD$6)^2+($D69-AD$7)^2)</f>
        <v>2.90557940741222</v>
      </c>
      <c r="AE69" s="74" t="n">
        <f aca="false">SQRT(($B69-AE$5)^2+($C69-AE$6)^2+($D69-AE$7)^2)</f>
        <v>0.768677089421903</v>
      </c>
      <c r="AF69" s="74" t="n">
        <f aca="false">SQRT(($B69-AF$5)^2+($C69-AF$6)^2+($D69-AF$7)^2)</f>
        <v>2.48798739958835</v>
      </c>
      <c r="AG69" s="74" t="n">
        <f aca="false">SQRT(($B69-AG$5)^2+($C69-AG$6)^2+($D69-AG$7)^2)</f>
        <v>0.893970765278817</v>
      </c>
      <c r="AH69" s="74" t="n">
        <f aca="false">SQRT(($B69-AH$5)^2+($C69-AH$6)^2+($D69-AH$7)^2)</f>
        <v>2.15666048772422</v>
      </c>
      <c r="AI69" s="74" t="n">
        <f aca="false">SQRT(($B69-AI$5)^2+($C69-AI$6)^2+($D69-AI$7)^2)</f>
        <v>0.892230124808587</v>
      </c>
      <c r="AJ69" s="74" t="n">
        <f aca="false">SQRT(($B69-AJ$5)^2+($C69-AJ$6)^2+($D69-AJ$7)^2)</f>
        <v>2.61286206506718</v>
      </c>
      <c r="AK69" s="74" t="n">
        <f aca="false">SQRT(($B69-AK$5)^2+($C69-AK$6)^2+($D69-AK$7)^2)</f>
        <v>1.83209335845905</v>
      </c>
      <c r="AL69" s="74" t="n">
        <f aca="false">SQRT(($B69-AL$5)^2+($C69-AL$6)^2+($D69-AL$7)^2)</f>
        <v>1.82162309847202</v>
      </c>
      <c r="AM69" s="74" t="n">
        <f aca="false">SQRT(($B69-AM$5)^2+($C69-AM$6)^2+($D69-AM$7)^2)</f>
        <v>2.54731409018159</v>
      </c>
      <c r="AN69" s="74" t="n">
        <f aca="false">SQRT(($B69-AN$5)^2+($C69-AN$6)^2+($D69-AN$7)^2)</f>
        <v>2.63104612315687</v>
      </c>
      <c r="AO69" s="74" t="n">
        <f aca="false">SQRT(($B69-AO$5)^2+($C69-AO$6)^2+($D69-AO$7)^2)</f>
        <v>2.01693576102357</v>
      </c>
      <c r="AP69" s="74" t="n">
        <f aca="false">SQRT(($B69-AP$5)^2+($C69-AP$6)^2+($D69-AP$7)^2)</f>
        <v>1.95013083111231</v>
      </c>
      <c r="AQ69" s="74" t="n">
        <f aca="false">SQRT(($B69-AQ$5)^2+($C69-AQ$6)^2+($D69-AQ$7)^2)</f>
        <v>2.65248015706327</v>
      </c>
      <c r="AR69" s="74" t="n">
        <f aca="false">SQRT(($B69-AR$5)^2+($C69-AR$6)^2+($D69-AR$7)^2)</f>
        <v>1.38768915053374</v>
      </c>
      <c r="AS69" s="74" t="n">
        <f aca="false">SQRT(($B69-AS$5)^2+($C69-AS$6)^2+($D69-AS$7)^2)</f>
        <v>2.16907576046628</v>
      </c>
      <c r="AT69" s="74" t="n">
        <f aca="false">SQRT(($B69-AT$5)^2+($C69-AT$6)^2+($D69-AT$7)^2)</f>
        <v>1.99949586373412</v>
      </c>
      <c r="AU69" s="74" t="n">
        <f aca="false">SQRT(($B69-AU$5)^2+($C69-AU$6)^2+($D69-AU$7)^2)</f>
        <v>0.752981694041576</v>
      </c>
      <c r="AV69" s="74" t="n">
        <f aca="false">SQRT(($B69-AV$5)^2+($C69-AV$6)^2+($D69-AV$7)^2)</f>
        <v>1.66941569030665</v>
      </c>
      <c r="AW69" s="74" t="n">
        <f aca="false">SQRT(($B69-AW$5)^2+($C69-AW$6)^2+($D69-AW$7)^2)</f>
        <v>0.356113169291968</v>
      </c>
      <c r="AX69" s="74" t="n">
        <f aca="false">SQRT(($B69-AX$5)^2+($C69-AX$6)^2+($D69-AX$7)^2)</f>
        <v>1.745995313248</v>
      </c>
      <c r="AY69" s="74" t="n">
        <f aca="false">SQRT(($B69-AY$5)^2+($C69-AY$6)^2+($D69-AY$7)^2)</f>
        <v>0.116139528075398</v>
      </c>
      <c r="AZ69" s="74" t="n">
        <f aca="false">SQRT(($B69-AZ$5)^2+($C69-AZ$6)^2+($D69-AZ$7)^2)</f>
        <v>2.18125394177409</v>
      </c>
      <c r="BA69" s="74" t="n">
        <f aca="false">SQRT(($B69-BA$5)^2+($C69-BA$6)^2+($D69-BA$7)^2)</f>
        <v>2.01433779718846</v>
      </c>
      <c r="BB69" s="74" t="n">
        <f aca="false">SQRT(($B69-BB$5)^2+($C69-BB$6)^2+($D69-BB$7)^2)</f>
        <v>0.109592649079057</v>
      </c>
      <c r="BC69" s="74" t="n">
        <f aca="false">SQRT(($B69-BC$5)^2+($C69-BC$6)^2+($D69-BC$7)^2)</f>
        <v>0.102962368108725</v>
      </c>
      <c r="BD69" s="74" t="n">
        <f aca="false">SQRT(($B69-BD$5)^2+($C69-BD$6)^2+($D69-BD$7)^2)</f>
        <v>0.647678348548076</v>
      </c>
      <c r="BE69" s="74" t="n">
        <f aca="false">SQRT(($B69-BE$5)^2+($C69-BE$6)^2+($D69-BE$7)^2)</f>
        <v>0.904313769491095</v>
      </c>
      <c r="BF69" s="74" t="n">
        <f aca="false">SQRT(($B69-BF$5)^2+($C69-BF$6)^2+($D69-BF$7)^2)</f>
        <v>2.81175092532379</v>
      </c>
      <c r="BG69" s="74" t="n">
        <f aca="false">SQRT(($B69-BG$5)^2+($C69-BG$6)^2+($D69-BG$7)^2)</f>
        <v>1.84070168903506</v>
      </c>
      <c r="BH69" s="74" t="n">
        <f aca="false">SQRT(($B69-BH$5)^2+($C69-BH$6)^2+($D69-BH$7)^2)</f>
        <v>0</v>
      </c>
      <c r="BI69" s="74" t="n">
        <f aca="false">SQRT(($B69-BI$5)^2+($C69-BI$6)^2+($D69-BI$7)^2)</f>
        <v>0.0165242455699354</v>
      </c>
      <c r="BJ69" s="74" t="n">
        <f aca="false">SQRT(($B69-BJ$5)^2+($C69-BJ$6)^2+($D69-BJ$7)^2)</f>
        <v>1.67908289933391</v>
      </c>
      <c r="BK69" s="74" t="n">
        <f aca="false">SQRT(($B69-BK$5)^2+($C69-BK$6)^2+($D69-BK$7)^2)</f>
        <v>0.749958397955627</v>
      </c>
      <c r="BL69" s="74" t="n">
        <f aca="false">SQRT(($B69-BL$5)^2+($C69-BL$6)^2+($D69-BL$7)^2)</f>
        <v>1.51235968641584</v>
      </c>
      <c r="BM69" s="74" t="n">
        <f aca="false">SQRT(($B69-BM$5)^2+($C69-BM$6)^2+($D69-BM$7)^2)</f>
        <v>2.05378820220089</v>
      </c>
      <c r="BN69" s="74" t="n">
        <f aca="false">SQRT(($B69-BN$5)^2+($C69-BN$6)^2+($D69-BN$7)^2)</f>
        <v>1.45718132312975</v>
      </c>
      <c r="BO69" s="74" t="n">
        <f aca="false">SQRT(($B69-BO$5)^2+($C69-BO$6)^2+($D69-BO$7)^2)</f>
        <v>0.354382929431542</v>
      </c>
      <c r="BP69" s="74" t="n">
        <f aca="false">SQRT(($B69-BP$5)^2+($C69-BP$6)^2+($D69-BP$7)^2)</f>
        <v>1.6486767691075</v>
      </c>
      <c r="BQ69" s="74" t="n">
        <f aca="false">SQRT(($B69-BQ$5)^2+($C69-BQ$6)^2+($D69-BQ$7)^2)</f>
        <v>1.62692452088094</v>
      </c>
      <c r="BR69" s="74" t="n">
        <f aca="false">SQRT(($B69-BR$5)^2+($C69-BR$6)^2+($D69-BR$7)^2)</f>
        <v>1.6758365533911</v>
      </c>
      <c r="BS69" s="74" t="n">
        <f aca="false">SQRT(($B69-BS$5)^2+($C69-BS$6)^2+($D69-BS$7)^2)</f>
        <v>1.76186886701064</v>
      </c>
      <c r="BT69" s="74" t="n">
        <f aca="false">SQRT(($B69-BT$5)^2+($C69-BT$6)^2+($D69-BT$7)^2)</f>
        <v>1.37244070539967</v>
      </c>
      <c r="BU69" s="74" t="n">
        <f aca="false">SQRT(($B69-BU$5)^2+($C69-BU$6)^2+($D69-BU$7)^2)</f>
        <v>1.29012194384887</v>
      </c>
      <c r="BV69" s="74" t="n">
        <f aca="false">SQRT(($B69-BV$5)^2+($C69-BV$6)^2+($D69-BV$7)^2)</f>
        <v>0.344746599524393</v>
      </c>
      <c r="BW69" s="74" t="n">
        <f aca="false">SQRT(($B69-BW$5)^2+($C69-BW$6)^2+($D69-BW$7)^2)</f>
        <v>1.47709423841616</v>
      </c>
      <c r="BX69" s="74" t="n">
        <f aca="false">SQRT(($B69-BX$5)^2+($C69-BX$6)^2+($D69-BX$7)^2)</f>
        <v>0.360762325251647</v>
      </c>
      <c r="BY69" s="74" t="n">
        <f aca="false">SQRT(($B69-BY$5)^2+($C69-BY$6)^2+($D69-BY$7)^2)</f>
        <v>1.04116666389066</v>
      </c>
      <c r="BZ69" s="74" t="n">
        <f aca="false">SQRT(($B69-BZ$5)^2+($C69-BZ$6)^2+($D69-BZ$7)^2)</f>
        <v>0.991380630642791</v>
      </c>
      <c r="CA69" s="74" t="n">
        <f aca="false">SQRT(($B69-CA$5)^2+($C69-CA$6)^2+($D69-CA$7)^2)</f>
        <v>0.41199743167935</v>
      </c>
      <c r="CB69" s="74" t="n">
        <f aca="false">SQRT(($B69-CB$5)^2+($C69-CB$6)^2+($D69-CB$7)^2)</f>
        <v>0.999108879624814</v>
      </c>
      <c r="CC69" s="74" t="n">
        <f aca="false">SQRT(($B69-CC$5)^2+($C69-CC$6)^2+($D69-CC$7)^2)</f>
        <v>0.430261411518431</v>
      </c>
      <c r="CD69" s="74" t="n">
        <f aca="false">SQRT(($B69-CD$5)^2+($C69-CD$6)^2+($D69-CD$7)^2)</f>
        <v>0.468832389088106</v>
      </c>
      <c r="CE69" s="74" t="n">
        <f aca="false">SQRT(($B69-CE$5)^2+($C69-CE$6)^2+($D69-CE$7)^2)</f>
        <v>1.28532871285424</v>
      </c>
      <c r="CF69" s="74" t="n">
        <f aca="false">SQRT(($B69-CF$5)^2+($C69-CF$6)^2+($D69-CF$7)^2)</f>
        <v>1.471862423812</v>
      </c>
      <c r="CG69" s="74" t="n">
        <f aca="false">SQRT(($B69-CG$5)^2+($C69-CG$6)^2+($D69-CG$7)^2)</f>
        <v>1.06837846698791</v>
      </c>
      <c r="CH69" s="74" t="n">
        <f aca="false">SQRT(($B69-CH$5)^2+($C69-CH$6)^2+($D69-CH$7)^2)</f>
        <v>0.930110918790711</v>
      </c>
      <c r="CI69" s="74" t="n">
        <f aca="false">SQRT(($B69-CI$5)^2+($C69-CI$6)^2+($D69-CI$7)^2)</f>
        <v>0.882702682305148</v>
      </c>
      <c r="CJ69" s="74" t="n">
        <f aca="false">SQRT(($B69-CJ$5)^2+($C69-CJ$6)^2+($D69-CJ$7)^2)</f>
        <v>0.709010261666983</v>
      </c>
      <c r="CK69" s="74" t="n">
        <f aca="false">SQRT(($B69-CK$5)^2+($C69-CK$6)^2+($D69-CK$7)^2)</f>
        <v>1.3079538901359</v>
      </c>
      <c r="CL69" s="74" t="n">
        <f aca="false">SQRT(($B69-CL$5)^2+($C69-CL$6)^2+($D69-CL$7)^2)</f>
        <v>0.721524650503295</v>
      </c>
      <c r="CM69" s="74" t="n">
        <f aca="false">SQRT(($B69-CM$5)^2+($C69-CM$6)^2+($D69-CM$7)^2)</f>
        <v>1.09998685315461</v>
      </c>
      <c r="CN69" s="74" t="n">
        <f aca="false">SQRT(($B69-CN$5)^2+($C69-CN$6)^2+($D69-CN$7)^2)</f>
        <v>2.01238167287958</v>
      </c>
      <c r="CO69" s="74" t="n">
        <f aca="false">SQRT(($B69-CO$5)^2+($C69-CO$6)^2+($D69-CO$7)^2)</f>
        <v>1.37588792967903</v>
      </c>
      <c r="CP69" s="74" t="n">
        <f aca="false">SQRT(($B69-CP$5)^2+($C69-CP$6)^2+($D69-CP$7)^2)</f>
        <v>0.829594714339754</v>
      </c>
      <c r="CQ69" s="74" t="n">
        <f aca="false">SQRT(($B69-CQ$5)^2+($C69-CQ$6)^2+($D69-CQ$7)^2)</f>
        <v>1.14686549758095</v>
      </c>
      <c r="CR69" s="74" t="n">
        <f aca="false">SQRT(($B69-CR$5)^2+($C69-CR$6)^2+($D69-CR$7)^2)</f>
        <v>1.23669774577682</v>
      </c>
      <c r="CS69" s="74" t="n">
        <f aca="false">SQRT(($B69-CS$5)^2+($C69-CS$6)^2+($D69-CS$7)^2)</f>
        <v>0.916541356721223</v>
      </c>
      <c r="CT69" s="74" t="n">
        <f aca="false">SQRT(($B69-CT$5)^2+($C69-CT$6)^2+($D69-CT$7)^2)</f>
        <v>0.966147447679545</v>
      </c>
      <c r="CU69" s="74" t="n">
        <f aca="false">SQRT(($B69-CU$5)^2+($C69-CU$6)^2+($D69-CU$7)^2)</f>
        <v>1.14583390500122</v>
      </c>
      <c r="CV69" s="74" t="n">
        <f aca="false">SQRT(($B69-CV$5)^2+($C69-CV$6)^2+($D69-CV$7)^2)</f>
        <v>1.70991486715481</v>
      </c>
      <c r="CW69" s="74" t="n">
        <f aca="false">SQRT(($B69-CW$5)^2+($C69-CW$6)^2+($D69-CW$7)^2)</f>
        <v>0.966147447679545</v>
      </c>
      <c r="CX69" s="74" t="n">
        <f aca="false">SQRT(($B69-CX$5)^2+($C69-CX$6)^2+($D69-CX$7)^2)</f>
        <v>1.50900368861574</v>
      </c>
      <c r="CY69" s="74" t="n">
        <f aca="false">SQRT(($B69-CY$5)^2+($C69-CY$6)^2+($D69-CY$7)^2)</f>
        <v>1.02098443711622</v>
      </c>
      <c r="CZ69" s="74" t="n">
        <f aca="false">SQRT(($B69-CZ$5)^2+($C69-CZ$6)^2+($D69-CZ$7)^2)</f>
        <v>1.02098443711622</v>
      </c>
      <c r="DA69" s="74" t="n">
        <f aca="false">SQRT(($B69-DA$5)^2+($C69-DA$6)^2+($D69-DA$7)^2)</f>
        <v>1.20626783913242</v>
      </c>
      <c r="DB69" s="74" t="n">
        <f aca="false">SQRT(($B69-DB$5)^2+($C69-DB$6)^2+($D69-DB$7)^2)</f>
        <v>1.08228697575494</v>
      </c>
      <c r="DC69" s="74" t="n">
        <f aca="false">SQRT(($B69-DC$5)^2+($C69-DC$6)^2+($D69-DC$7)^2)</f>
        <v>1.08228697575494</v>
      </c>
      <c r="DD69" s="74" t="n">
        <f aca="false">SQRT(($B69-DD$5)^2+($C69-DD$6)^2+($D69-DD$7)^2)</f>
        <v>1.19604122627148</v>
      </c>
      <c r="DE69" s="74" t="n">
        <f aca="false">SQRT(($B69-DE$5)^2+($C69-DE$6)^2+($D69-DE$7)^2)</f>
        <v>1.27319825061724</v>
      </c>
      <c r="DF69" s="74" t="n">
        <f aca="false">SQRT(($B69-DF$5)^2+($C69-DF$6)^2+($D69-DF$7)^2)</f>
        <v>1.44304930100659</v>
      </c>
      <c r="DG69" s="74" t="n">
        <f aca="false">SQRT(($B69-DG$5)^2+($C69-DG$6)^2+($D69-DG$7)^2)</f>
        <v>1.59277919431306</v>
      </c>
      <c r="DH69" s="74" t="n">
        <f aca="false">SQRT(($B69-DH$5)^2+($C69-DH$6)^2+($D69-DH$7)^2)</f>
        <v>1.59277919431306</v>
      </c>
      <c r="DI69" s="74" t="n">
        <f aca="false">SQRT(($B69-DI$5)^2+($C69-DI$6)^2+($D69-DI$7)^2)</f>
        <v>1.59277919431306</v>
      </c>
      <c r="DJ69" s="74" t="n">
        <f aca="false">SQRT(($B69-DJ$5)^2+($C69-DJ$6)^2+($D69-DJ$7)^2)</f>
        <v>1.59277919431306</v>
      </c>
      <c r="DK69" s="74" t="n">
        <f aca="false">SQRT(($B69-DK$5)^2+($C69-DK$6)^2+($D69-DK$7)^2)</f>
        <v>1.80381162625824</v>
      </c>
      <c r="DL69" s="74" t="n">
        <f aca="false">SQRT(($B69-DL$5)^2+($C69-DL$6)^2+($D69-DL$7)^2)</f>
        <v>1.80381162625824</v>
      </c>
      <c r="DM69" s="74" t="n">
        <f aca="false">SQRT(($B69-DM$5)^2+($C69-DM$6)^2+($D69-DM$7)^2)</f>
        <v>1.80381162625824</v>
      </c>
      <c r="DN69" s="74" t="n">
        <f aca="false">SQRT(($B69-DN$5)^2+($C69-DN$6)^2+($D69-DN$7)^2)</f>
        <v>1.80381162625824</v>
      </c>
      <c r="DO69" s="74" t="n">
        <f aca="false">SQRT(($B69-DO$5)^2+($C69-DO$6)^2+($D69-DO$7)^2)</f>
        <v>1.80381162625824</v>
      </c>
      <c r="DP69" s="74" t="n">
        <f aca="false">SQRT(($B69-DP$5)^2+($C69-DP$6)^2+($D69-DP$7)^2)</f>
        <v>2.16457395150989</v>
      </c>
      <c r="DQ69" s="74" t="n">
        <f aca="false">SQRT(($B69-DQ$5)^2+($C69-DQ$6)^2+($D69-DQ$7)^2)</f>
        <v>2.16457395150989</v>
      </c>
    </row>
    <row r="70" customFormat="false" ht="15" hidden="false" customHeight="false" outlineLevel="0" collapsed="false">
      <c r="A70" s="48" t="str">
        <f aca="false">KMeans_Data!A61</f>
        <v>Muzaffargar</v>
      </c>
      <c r="B70" s="72" t="n">
        <f aca="false">KMeans_Data!H61</f>
        <v>0.0683117241366259</v>
      </c>
      <c r="C70" s="72" t="n">
        <f aca="false">KMeans_Data!I61</f>
        <v>-0.672650545388274</v>
      </c>
      <c r="D70" s="72" t="n">
        <f aca="false">KMeans_Data!J61</f>
        <v>-1.14564411633355</v>
      </c>
      <c r="E70" s="74" t="n">
        <f aca="false">SQRT(($B70-E$5)^2+($C70-E$6)^2+($D70-E$7)^2)</f>
        <v>7.19876486075222</v>
      </c>
      <c r="F70" s="74" t="n">
        <f aca="false">SQRT(($B70-F$5)^2+($C70-F$6)^2+($D70-F$7)^2)</f>
        <v>6.93452018155622</v>
      </c>
      <c r="G70" s="74" t="n">
        <f aca="false">SQRT(($B70-G$5)^2+($C70-G$6)^2+($D70-G$7)^2)</f>
        <v>5.14303406425606</v>
      </c>
      <c r="H70" s="74" t="n">
        <f aca="false">SQRT(($B70-H$5)^2+($C70-H$6)^2+($D70-H$7)^2)</f>
        <v>5.55642817535898</v>
      </c>
      <c r="I70" s="74" t="n">
        <f aca="false">SQRT(($B70-I$5)^2+($C70-I$6)^2+($D70-I$7)^2)</f>
        <v>4.47199622147107</v>
      </c>
      <c r="J70" s="74" t="n">
        <f aca="false">SQRT(($B70-J$5)^2+($C70-J$6)^2+($D70-J$7)^2)</f>
        <v>4.14317005950737</v>
      </c>
      <c r="K70" s="74" t="n">
        <f aca="false">SQRT(($B70-K$5)^2+($C70-K$6)^2+($D70-K$7)^2)</f>
        <v>1.55344718021014</v>
      </c>
      <c r="L70" s="74" t="n">
        <f aca="false">SQRT(($B70-L$5)^2+($C70-L$6)^2+($D70-L$7)^2)</f>
        <v>3.41144352513218</v>
      </c>
      <c r="M70" s="74" t="n">
        <f aca="false">SQRT(($B70-M$5)^2+($C70-M$6)^2+($D70-M$7)^2)</f>
        <v>3.6113064925013</v>
      </c>
      <c r="N70" s="74" t="n">
        <f aca="false">SQRT(($B70-N$5)^2+($C70-N$6)^2+($D70-N$7)^2)</f>
        <v>1.28984401889728</v>
      </c>
      <c r="O70" s="74" t="n">
        <f aca="false">SQRT(($B70-O$5)^2+($C70-O$6)^2+($D70-O$7)^2)</f>
        <v>3.21269605661112</v>
      </c>
      <c r="P70" s="74" t="n">
        <f aca="false">SQRT(($B70-P$5)^2+($C70-P$6)^2+($D70-P$7)^2)</f>
        <v>3.5252843929753</v>
      </c>
      <c r="Q70" s="74" t="n">
        <f aca="false">SQRT(($B70-Q$5)^2+($C70-Q$6)^2+($D70-Q$7)^2)</f>
        <v>2.94642828668678</v>
      </c>
      <c r="R70" s="74" t="n">
        <f aca="false">SQRT(($B70-R$5)^2+($C70-R$6)^2+($D70-R$7)^2)</f>
        <v>2.98127921245279</v>
      </c>
      <c r="S70" s="74" t="n">
        <f aca="false">SQRT(($B70-S$5)^2+($C70-S$6)^2+($D70-S$7)^2)</f>
        <v>2.55083351027121</v>
      </c>
      <c r="T70" s="74" t="n">
        <f aca="false">SQRT(($B70-T$5)^2+($C70-T$6)^2+($D70-T$7)^2)</f>
        <v>2.86076782790981</v>
      </c>
      <c r="U70" s="74" t="n">
        <f aca="false">SQRT(($B70-U$5)^2+($C70-U$6)^2+($D70-U$7)^2)</f>
        <v>3.03496985515145</v>
      </c>
      <c r="V70" s="74" t="n">
        <f aca="false">SQRT(($B70-V$5)^2+($C70-V$6)^2+($D70-V$7)^2)</f>
        <v>2.81870963062693</v>
      </c>
      <c r="W70" s="74" t="n">
        <f aca="false">SQRT(($B70-W$5)^2+($C70-W$6)^2+($D70-W$7)^2)</f>
        <v>3.02604974974604</v>
      </c>
      <c r="X70" s="74" t="n">
        <f aca="false">SQRT(($B70-X$5)^2+($C70-X$6)^2+($D70-X$7)^2)</f>
        <v>2.74565683954267</v>
      </c>
      <c r="Y70" s="74" t="n">
        <f aca="false">SQRT(($B70-Y$5)^2+($C70-Y$6)^2+($D70-Y$7)^2)</f>
        <v>2.91991870620354</v>
      </c>
      <c r="Z70" s="74" t="n">
        <f aca="false">SQRT(($B70-Z$5)^2+($C70-Z$6)^2+($D70-Z$7)^2)</f>
        <v>2.40913424535378</v>
      </c>
      <c r="AA70" s="74" t="n">
        <f aca="false">SQRT(($B70-AA$5)^2+($C70-AA$6)^2+($D70-AA$7)^2)</f>
        <v>2.3744549847503</v>
      </c>
      <c r="AB70" s="74" t="n">
        <f aca="false">SQRT(($B70-AB$5)^2+($C70-AB$6)^2+($D70-AB$7)^2)</f>
        <v>2.29945590367139</v>
      </c>
      <c r="AC70" s="74" t="n">
        <f aca="false">SQRT(($B70-AC$5)^2+($C70-AC$6)^2+($D70-AC$7)^2)</f>
        <v>2.86509716710666</v>
      </c>
      <c r="AD70" s="74" t="n">
        <f aca="false">SQRT(($B70-AD$5)^2+($C70-AD$6)^2+($D70-AD$7)^2)</f>
        <v>2.90916932046897</v>
      </c>
      <c r="AE70" s="74" t="n">
        <f aca="false">SQRT(($B70-AE$5)^2+($C70-AE$6)^2+($D70-AE$7)^2)</f>
        <v>0.780815175351106</v>
      </c>
      <c r="AF70" s="74" t="n">
        <f aca="false">SQRT(($B70-AF$5)^2+($C70-AF$6)^2+($D70-AF$7)^2)</f>
        <v>2.49147725700466</v>
      </c>
      <c r="AG70" s="74" t="n">
        <f aca="false">SQRT(($B70-AG$5)^2+($C70-AG$6)^2+($D70-AG$7)^2)</f>
        <v>0.903187113564467</v>
      </c>
      <c r="AH70" s="74" t="n">
        <f aca="false">SQRT(($B70-AH$5)^2+($C70-AH$6)^2+($D70-AH$7)^2)</f>
        <v>2.16049709378342</v>
      </c>
      <c r="AI70" s="74" t="n">
        <f aca="false">SQRT(($B70-AI$5)^2+($C70-AI$6)^2+($D70-AI$7)^2)</f>
        <v>0.901406270450443</v>
      </c>
      <c r="AJ70" s="74" t="n">
        <f aca="false">SQRT(($B70-AJ$5)^2+($C70-AJ$6)^2+($D70-AJ$7)^2)</f>
        <v>2.61596937770276</v>
      </c>
      <c r="AK70" s="74" t="n">
        <f aca="false">SQRT(($B70-AK$5)^2+($C70-AK$6)^2+($D70-AK$7)^2)</f>
        <v>1.83619285253426</v>
      </c>
      <c r="AL70" s="74" t="n">
        <f aca="false">SQRT(($B70-AL$5)^2+($C70-AL$6)^2+($D70-AL$7)^2)</f>
        <v>1.82532197523014</v>
      </c>
      <c r="AM70" s="74" t="n">
        <f aca="false">SQRT(($B70-AM$5)^2+($C70-AM$6)^2+($D70-AM$7)^2)</f>
        <v>2.54996052408834</v>
      </c>
      <c r="AN70" s="74" t="n">
        <f aca="false">SQRT(($B70-AN$5)^2+($C70-AN$6)^2+($D70-AN$7)^2)</f>
        <v>2.63341339082901</v>
      </c>
      <c r="AO70" s="74" t="n">
        <f aca="false">SQRT(($B70-AO$5)^2+($C70-AO$6)^2+($D70-AO$7)^2)</f>
        <v>2.01985584220289</v>
      </c>
      <c r="AP70" s="74" t="n">
        <f aca="false">SQRT(($B70-AP$5)^2+($C70-AP$6)^2+($D70-AP$7)^2)</f>
        <v>1.95311542369437</v>
      </c>
      <c r="AQ70" s="74" t="n">
        <f aca="false">SQRT(($B70-AQ$5)^2+($C70-AQ$6)^2+($D70-AQ$7)^2)</f>
        <v>2.65454188774029</v>
      </c>
      <c r="AR70" s="74" t="n">
        <f aca="false">SQRT(($B70-AR$5)^2+($C70-AR$6)^2+($D70-AR$7)^2)</f>
        <v>1.39141464401792</v>
      </c>
      <c r="AS70" s="74" t="n">
        <f aca="false">SQRT(($B70-AS$5)^2+($C70-AS$6)^2+($D70-AS$7)^2)</f>
        <v>2.17090745488222</v>
      </c>
      <c r="AT70" s="74" t="n">
        <f aca="false">SQRT(($B70-AT$5)^2+($C70-AT$6)^2+($D70-AT$7)^2)</f>
        <v>2.00112443541219</v>
      </c>
      <c r="AU70" s="74" t="n">
        <f aca="false">SQRT(($B70-AU$5)^2+($C70-AU$6)^2+($D70-AU$7)^2)</f>
        <v>0.75704601895989</v>
      </c>
      <c r="AV70" s="74" t="n">
        <f aca="false">SQRT(($B70-AV$5)^2+($C70-AV$6)^2+($D70-AV$7)^2)</f>
        <v>1.67119532107018</v>
      </c>
      <c r="AW70" s="74" t="n">
        <f aca="false">SQRT(($B70-AW$5)^2+($C70-AW$6)^2+($D70-AW$7)^2)</f>
        <v>0.363554460472887</v>
      </c>
      <c r="AX70" s="74" t="n">
        <f aca="false">SQRT(($B70-AX$5)^2+($C70-AX$6)^2+($D70-AX$7)^2)</f>
        <v>1.74747066059177</v>
      </c>
      <c r="AY70" s="74" t="n">
        <f aca="false">SQRT(($B70-AY$5)^2+($C70-AY$6)^2+($D70-AY$7)^2)</f>
        <v>0.132663773645333</v>
      </c>
      <c r="AZ70" s="74" t="n">
        <f aca="false">SQRT(($B70-AZ$5)^2+($C70-AZ$6)^2+($D70-AZ$7)^2)</f>
        <v>2.18219615189865</v>
      </c>
      <c r="BA70" s="74" t="n">
        <f aca="false">SQRT(($B70-BA$5)^2+($C70-BA$6)^2+($D70-BA$7)^2)</f>
        <v>2.01530436499448</v>
      </c>
      <c r="BB70" s="74" t="n">
        <f aca="false">SQRT(($B70-BB$5)^2+($C70-BB$6)^2+($D70-BB$7)^2)</f>
        <v>0.126116894648992</v>
      </c>
      <c r="BC70" s="74" t="n">
        <f aca="false">SQRT(($B70-BC$5)^2+($C70-BC$6)^2+($D70-BC$7)^2)</f>
        <v>0.11948661367866</v>
      </c>
      <c r="BD70" s="74" t="n">
        <f aca="false">SQRT(($B70-BD$5)^2+($C70-BD$6)^2+($D70-BD$7)^2)</f>
        <v>0.649991091590095</v>
      </c>
      <c r="BE70" s="74" t="n">
        <f aca="false">SQRT(($B70-BE$5)^2+($C70-BE$6)^2+($D70-BE$7)^2)</f>
        <v>0.905714997257155</v>
      </c>
      <c r="BF70" s="74" t="n">
        <f aca="false">SQRT(($B70-BF$5)^2+($C70-BF$6)^2+($D70-BF$7)^2)</f>
        <v>2.81207356108953</v>
      </c>
      <c r="BG70" s="74" t="n">
        <f aca="false">SQRT(($B70-BG$5)^2+($C70-BG$6)^2+($D70-BG$7)^2)</f>
        <v>1.84091962189498</v>
      </c>
      <c r="BH70" s="74" t="n">
        <f aca="false">SQRT(($B70-BH$5)^2+($C70-BH$6)^2+($D70-BH$7)^2)</f>
        <v>0.0165242455699354</v>
      </c>
      <c r="BI70" s="74" t="n">
        <f aca="false">SQRT(($B70-BI$5)^2+($C70-BI$6)^2+($D70-BI$7)^2)</f>
        <v>0</v>
      </c>
      <c r="BJ70" s="74" t="n">
        <f aca="false">SQRT(($B70-BJ$5)^2+($C70-BJ$6)^2+($D70-BJ$7)^2)</f>
        <v>1.67857083245523</v>
      </c>
      <c r="BK70" s="74" t="n">
        <f aca="false">SQRT(($B70-BK$5)^2+($C70-BK$6)^2+($D70-BK$7)^2)</f>
        <v>0.748400880299352</v>
      </c>
      <c r="BL70" s="74" t="n">
        <f aca="false">SQRT(($B70-BL$5)^2+($C70-BL$6)^2+($D70-BL$7)^2)</f>
        <v>1.51148353650981</v>
      </c>
      <c r="BM70" s="74" t="n">
        <f aca="false">SQRT(($B70-BM$5)^2+($C70-BM$6)^2+($D70-BM$7)^2)</f>
        <v>2.05290366847247</v>
      </c>
      <c r="BN70" s="74" t="n">
        <f aca="false">SQRT(($B70-BN$5)^2+($C70-BN$6)^2+($D70-BN$7)^2)</f>
        <v>1.45581739273486</v>
      </c>
      <c r="BO70" s="74" t="n">
        <f aca="false">SQRT(($B70-BO$5)^2+($C70-BO$6)^2+($D70-BO$7)^2)</f>
        <v>0.347723977188551</v>
      </c>
      <c r="BP70" s="74" t="n">
        <f aca="false">SQRT(($B70-BP$5)^2+($C70-BP$6)^2+($D70-BP$7)^2)</f>
        <v>1.64692127369415</v>
      </c>
      <c r="BQ70" s="74" t="n">
        <f aca="false">SQRT(($B70-BQ$5)^2+($C70-BQ$6)^2+($D70-BQ$7)^2)</f>
        <v>1.62502659653551</v>
      </c>
      <c r="BR70" s="74" t="n">
        <f aca="false">SQRT(($B70-BR$5)^2+($C70-BR$6)^2+($D70-BR$7)^2)</f>
        <v>1.67375506493166</v>
      </c>
      <c r="BS70" s="74" t="n">
        <f aca="false">SQRT(($B70-BS$5)^2+($C70-BS$6)^2+($D70-BS$7)^2)</f>
        <v>1.75952694086607</v>
      </c>
      <c r="BT70" s="74" t="n">
        <f aca="false">SQRT(($B70-BT$5)^2+($C70-BT$6)^2+($D70-BT$7)^2)</f>
        <v>1.36893018318136</v>
      </c>
      <c r="BU70" s="74" t="n">
        <f aca="false">SQRT(($B70-BU$5)^2+($C70-BU$6)^2+($D70-BU$7)^2)</f>
        <v>1.28638679509213</v>
      </c>
      <c r="BV70" s="74" t="n">
        <f aca="false">SQRT(($B70-BV$5)^2+($C70-BV$6)^2+($D70-BV$7)^2)</f>
        <v>0.328222353954457</v>
      </c>
      <c r="BW70" s="74" t="n">
        <f aca="false">SQRT(($B70-BW$5)^2+($C70-BW$6)^2+($D70-BW$7)^2)</f>
        <v>1.47314554248526</v>
      </c>
      <c r="BX70" s="74" t="n">
        <f aca="false">SQRT(($B70-BX$5)^2+($C70-BX$6)^2+($D70-BX$7)^2)</f>
        <v>0.344238079681712</v>
      </c>
      <c r="BY70" s="74" t="n">
        <f aca="false">SQRT(($B70-BY$5)^2+($C70-BY$6)^2+($D70-BY$7)^2)</f>
        <v>1.03502092311772</v>
      </c>
      <c r="BZ70" s="74" t="n">
        <f aca="false">SQRT(($B70-BZ$5)^2+($C70-BZ$6)^2+($D70-BZ$7)^2)</f>
        <v>0.984628210054358</v>
      </c>
      <c r="CA70" s="74" t="n">
        <f aca="false">SQRT(($B70-CA$5)^2+($C70-CA$6)^2+($D70-CA$7)^2)</f>
        <v>0.395473186109414</v>
      </c>
      <c r="CB70" s="74" t="n">
        <f aca="false">SQRT(($B70-CB$5)^2+($C70-CB$6)^2+($D70-CB$7)^2)</f>
        <v>0.992104890417546</v>
      </c>
      <c r="CC70" s="74" t="n">
        <f aca="false">SQRT(($B70-CC$5)^2+($C70-CC$6)^2+($D70-CC$7)^2)</f>
        <v>0.413737165948496</v>
      </c>
      <c r="CD70" s="74" t="n">
        <f aca="false">SQRT(($B70-CD$5)^2+($C70-CD$6)^2+($D70-CD$7)^2)</f>
        <v>0.452308143518171</v>
      </c>
      <c r="CE70" s="74" t="n">
        <f aca="false">SQRT(($B70-CE$5)^2+($C70-CE$6)^2+($D70-CE$7)^2)</f>
        <v>1.2791302209271</v>
      </c>
      <c r="CF70" s="74" t="n">
        <f aca="false">SQRT(($B70-CF$5)^2+($C70-CF$6)^2+($D70-CF$7)^2)</f>
        <v>1.46645259610776</v>
      </c>
      <c r="CG70" s="74" t="n">
        <f aca="false">SQRT(($B70-CG$5)^2+($C70-CG$6)^2+($D70-CG$7)^2)</f>
        <v>1.05987638006413</v>
      </c>
      <c r="CH70" s="74" t="n">
        <f aca="false">SQRT(($B70-CH$5)^2+($C70-CH$6)^2+($D70-CH$7)^2)</f>
        <v>0.920332392969034</v>
      </c>
      <c r="CI70" s="74" t="n">
        <f aca="false">SQRT(($B70-CI$5)^2+($C70-CI$6)^2+($D70-CI$7)^2)</f>
        <v>0.871452816385139</v>
      </c>
      <c r="CJ70" s="74" t="n">
        <f aca="false">SQRT(($B70-CJ$5)^2+($C70-CJ$6)^2+($D70-CJ$7)^2)</f>
        <v>0.694319273760929</v>
      </c>
      <c r="CK70" s="74" t="n">
        <f aca="false">SQRT(($B70-CK$5)^2+($C70-CK$6)^2+($D70-CK$7)^2)</f>
        <v>1.29931286351007</v>
      </c>
      <c r="CL70" s="74" t="n">
        <f aca="false">SQRT(($B70-CL$5)^2+($C70-CL$6)^2+($D70-CL$7)^2)</f>
        <v>0.70500040493336</v>
      </c>
      <c r="CM70" s="74" t="n">
        <f aca="false">SQRT(($B70-CM$5)^2+($C70-CM$6)^2+($D70-CM$7)^2)</f>
        <v>1.08921936577775</v>
      </c>
      <c r="CN70" s="74" t="n">
        <f aca="false">SQRT(($B70-CN$5)^2+($C70-CN$6)^2+($D70-CN$7)^2)</f>
        <v>2.00594389429944</v>
      </c>
      <c r="CO70" s="74" t="n">
        <f aca="false">SQRT(($B70-CO$5)^2+($C70-CO$6)^2+($D70-CO$7)^2)</f>
        <v>1.36598821084281</v>
      </c>
      <c r="CP70" s="74" t="n">
        <f aca="false">SQRT(($B70-CP$5)^2+($C70-CP$6)^2+($D70-CP$7)^2)</f>
        <v>0.813070468769818</v>
      </c>
      <c r="CQ70" s="74" t="n">
        <f aca="false">SQRT(($B70-CQ$5)^2+($C70-CQ$6)^2+($D70-CQ$7)^2)</f>
        <v>1.13436320116688</v>
      </c>
      <c r="CR70" s="74" t="n">
        <f aca="false">SQRT(($B70-CR$5)^2+($C70-CR$6)^2+($D70-CR$7)^2)</f>
        <v>1.22450155418203</v>
      </c>
      <c r="CS70" s="74" t="n">
        <f aca="false">SQRT(($B70-CS$5)^2+($C70-CS$6)^2+($D70-CS$7)^2)</f>
        <v>0.900017111151288</v>
      </c>
      <c r="CT70" s="74" t="n">
        <f aca="false">SQRT(($B70-CT$5)^2+($C70-CT$6)^2+($D70-CT$7)^2)</f>
        <v>0.949623202109609</v>
      </c>
      <c r="CU70" s="74" t="n">
        <f aca="false">SQRT(($B70-CU$5)^2+($C70-CU$6)^2+($D70-CU$7)^2)</f>
        <v>1.13193580788734</v>
      </c>
      <c r="CV70" s="74" t="n">
        <f aca="false">SQRT(($B70-CV$5)^2+($C70-CV$6)^2+($D70-CV$7)^2)</f>
        <v>1.70063287873787</v>
      </c>
      <c r="CW70" s="74" t="n">
        <f aca="false">SQRT(($B70-CW$5)^2+($C70-CW$6)^2+($D70-CW$7)^2)</f>
        <v>0.949623202109609</v>
      </c>
      <c r="CX70" s="74" t="n">
        <f aca="false">SQRT(($B70-CX$5)^2+($C70-CX$6)^2+($D70-CX$7)^2)</f>
        <v>1.49787288773901</v>
      </c>
      <c r="CY70" s="74" t="n">
        <f aca="false">SQRT(($B70-CY$5)^2+($C70-CY$6)^2+($D70-CY$7)^2)</f>
        <v>1.00446019154629</v>
      </c>
      <c r="CZ70" s="74" t="n">
        <f aca="false">SQRT(($B70-CZ$5)^2+($C70-CZ$6)^2+($D70-CZ$7)^2)</f>
        <v>1.00446019154629</v>
      </c>
      <c r="DA70" s="74" t="n">
        <f aca="false">SQRT(($B70-DA$5)^2+($C70-DA$6)^2+($D70-DA$7)^2)</f>
        <v>1.19231420158148</v>
      </c>
      <c r="DB70" s="74" t="n">
        <f aca="false">SQRT(($B70-DB$5)^2+($C70-DB$6)^2+($D70-DB$7)^2)</f>
        <v>1.06576273018501</v>
      </c>
      <c r="DC70" s="74" t="n">
        <f aca="false">SQRT(($B70-DC$5)^2+($C70-DC$6)^2+($D70-DC$7)^2)</f>
        <v>1.06576273018501</v>
      </c>
      <c r="DD70" s="74" t="n">
        <f aca="false">SQRT(($B70-DD$5)^2+($C70-DD$6)^2+($D70-DD$7)^2)</f>
        <v>1.18110952671783</v>
      </c>
      <c r="DE70" s="74" t="n">
        <f aca="false">SQRT(($B70-DE$5)^2+($C70-DE$6)^2+($D70-DE$7)^2)</f>
        <v>1.25721539025145</v>
      </c>
      <c r="DF70" s="74" t="n">
        <f aca="false">SQRT(($B70-DF$5)^2+($C70-DF$6)^2+($D70-DF$7)^2)</f>
        <v>1.42652505543666</v>
      </c>
      <c r="DG70" s="74" t="n">
        <f aca="false">SQRT(($B70-DG$5)^2+($C70-DG$6)^2+($D70-DG$7)^2)</f>
        <v>1.57625494874312</v>
      </c>
      <c r="DH70" s="74" t="n">
        <f aca="false">SQRT(($B70-DH$5)^2+($C70-DH$6)^2+($D70-DH$7)^2)</f>
        <v>1.57625494874312</v>
      </c>
      <c r="DI70" s="74" t="n">
        <f aca="false">SQRT(($B70-DI$5)^2+($C70-DI$6)^2+($D70-DI$7)^2)</f>
        <v>1.57625494874312</v>
      </c>
      <c r="DJ70" s="74" t="n">
        <f aca="false">SQRT(($B70-DJ$5)^2+($C70-DJ$6)^2+($D70-DJ$7)^2)</f>
        <v>1.57625494874312</v>
      </c>
      <c r="DK70" s="74" t="n">
        <f aca="false">SQRT(($B70-DK$5)^2+($C70-DK$6)^2+($D70-DK$7)^2)</f>
        <v>1.7872873806883</v>
      </c>
      <c r="DL70" s="74" t="n">
        <f aca="false">SQRT(($B70-DL$5)^2+($C70-DL$6)^2+($D70-DL$7)^2)</f>
        <v>1.7872873806883</v>
      </c>
      <c r="DM70" s="74" t="n">
        <f aca="false">SQRT(($B70-DM$5)^2+($C70-DM$6)^2+($D70-DM$7)^2)</f>
        <v>1.7872873806883</v>
      </c>
      <c r="DN70" s="74" t="n">
        <f aca="false">SQRT(($B70-DN$5)^2+($C70-DN$6)^2+($D70-DN$7)^2)</f>
        <v>1.7872873806883</v>
      </c>
      <c r="DO70" s="74" t="n">
        <f aca="false">SQRT(($B70-DO$5)^2+($C70-DO$6)^2+($D70-DO$7)^2)</f>
        <v>1.7872873806883</v>
      </c>
      <c r="DP70" s="74" t="n">
        <f aca="false">SQRT(($B70-DP$5)^2+($C70-DP$6)^2+($D70-DP$7)^2)</f>
        <v>2.14804970593995</v>
      </c>
      <c r="DQ70" s="74" t="n">
        <f aca="false">SQRT(($B70-DQ$5)^2+($C70-DQ$6)^2+($D70-DQ$7)^2)</f>
        <v>2.14804970593995</v>
      </c>
    </row>
    <row r="71" customFormat="false" ht="15" hidden="false" customHeight="false" outlineLevel="0" collapsed="false">
      <c r="A71" s="48" t="str">
        <f aca="false">KMeans_Data!A62</f>
        <v>Badin</v>
      </c>
      <c r="B71" s="72" t="n">
        <f aca="false">KMeans_Data!H62</f>
        <v>0.0245489826438638</v>
      </c>
      <c r="C71" s="72" t="n">
        <f aca="false">KMeans_Data!I62</f>
        <v>0.547911385844501</v>
      </c>
      <c r="D71" s="72" t="n">
        <f aca="false">KMeans_Data!J62</f>
        <v>0.00583902902802759</v>
      </c>
      <c r="E71" s="74" t="n">
        <f aca="false">SQRT(($B71-E$5)^2+($C71-E$6)^2+($D71-E$7)^2)</f>
        <v>5.76973078701142</v>
      </c>
      <c r="F71" s="74" t="n">
        <f aca="false">SQRT(($B71-F$5)^2+($C71-F$6)^2+($D71-F$7)^2)</f>
        <v>5.53016857496925</v>
      </c>
      <c r="G71" s="74" t="n">
        <f aca="false">SQRT(($B71-G$5)^2+($C71-G$6)^2+($D71-G$7)^2)</f>
        <v>3.75835569789173</v>
      </c>
      <c r="H71" s="74" t="n">
        <f aca="false">SQRT(($B71-H$5)^2+($C71-H$6)^2+($D71-H$7)^2)</f>
        <v>4.13993035897564</v>
      </c>
      <c r="I71" s="74" t="n">
        <f aca="false">SQRT(($B71-I$5)^2+($C71-I$6)^2+($D71-I$7)^2)</f>
        <v>3.12572044330973</v>
      </c>
      <c r="J71" s="74" t="n">
        <f aca="false">SQRT(($B71-J$5)^2+($C71-J$6)^2+($D71-J$7)^2)</f>
        <v>2.65663603098548</v>
      </c>
      <c r="K71" s="74" t="n">
        <f aca="false">SQRT(($B71-K$5)^2+($C71-K$6)^2+($D71-K$7)^2)</f>
        <v>1.6026524893667</v>
      </c>
      <c r="L71" s="74" t="n">
        <f aca="false">SQRT(($B71-L$5)^2+($C71-L$6)^2+($D71-L$7)^2)</f>
        <v>2.15392245594399</v>
      </c>
      <c r="M71" s="74" t="n">
        <f aca="false">SQRT(($B71-M$5)^2+($C71-M$6)^2+($D71-M$7)^2)</f>
        <v>2.19544645858172</v>
      </c>
      <c r="N71" s="74" t="n">
        <f aca="false">SQRT(($B71-N$5)^2+($C71-N$6)^2+($D71-N$7)^2)</f>
        <v>1.59923613086868</v>
      </c>
      <c r="O71" s="74" t="n">
        <f aca="false">SQRT(($B71-O$5)^2+($C71-O$6)^2+($D71-O$7)^2)</f>
        <v>1.75307793059553</v>
      </c>
      <c r="P71" s="74" t="n">
        <f aca="false">SQRT(($B71-P$5)^2+($C71-P$6)^2+($D71-P$7)^2)</f>
        <v>2.01324296453837</v>
      </c>
      <c r="Q71" s="74" t="n">
        <f aca="false">SQRT(($B71-Q$5)^2+($C71-Q$6)^2+($D71-Q$7)^2)</f>
        <v>1.54592207466617</v>
      </c>
      <c r="R71" s="74" t="n">
        <f aca="false">SQRT(($B71-R$5)^2+($C71-R$6)^2+($D71-R$7)^2)</f>
        <v>1.78866697626789</v>
      </c>
      <c r="S71" s="74" t="n">
        <f aca="false">SQRT(($B71-S$5)^2+($C71-S$6)^2+($D71-S$7)^2)</f>
        <v>1.67263415002029</v>
      </c>
      <c r="T71" s="74" t="n">
        <f aca="false">SQRT(($B71-T$5)^2+($C71-T$6)^2+($D71-T$7)^2)</f>
        <v>1.44125298807431</v>
      </c>
      <c r="U71" s="74" t="n">
        <f aca="false">SQRT(($B71-U$5)^2+($C71-U$6)^2+($D71-U$7)^2)</f>
        <v>1.8024444041058</v>
      </c>
      <c r="V71" s="74" t="n">
        <f aca="false">SQRT(($B71-V$5)^2+($C71-V$6)^2+($D71-V$7)^2)</f>
        <v>1.32500460861633</v>
      </c>
      <c r="W71" s="74" t="n">
        <f aca="false">SQRT(($B71-W$5)^2+($C71-W$6)^2+($D71-W$7)^2)</f>
        <v>1.49651020291591</v>
      </c>
      <c r="X71" s="74" t="n">
        <f aca="false">SQRT(($B71-X$5)^2+($C71-X$6)^2+($D71-X$7)^2)</f>
        <v>1.33999502643285</v>
      </c>
      <c r="Y71" s="74" t="n">
        <f aca="false">SQRT(($B71-Y$5)^2+($C71-Y$6)^2+($D71-Y$7)^2)</f>
        <v>1.49826529237193</v>
      </c>
      <c r="Z71" s="74" t="n">
        <f aca="false">SQRT(($B71-Z$5)^2+($C71-Z$6)^2+($D71-Z$7)^2)</f>
        <v>1.00969748703939</v>
      </c>
      <c r="AA71" s="74" t="n">
        <f aca="false">SQRT(($B71-AA$5)^2+($C71-AA$6)^2+($D71-AA$7)^2)</f>
        <v>1.27902113254624</v>
      </c>
      <c r="AB71" s="74" t="n">
        <f aca="false">SQRT(($B71-AB$5)^2+($C71-AB$6)^2+($D71-AB$7)^2)</f>
        <v>1.00664998305003</v>
      </c>
      <c r="AC71" s="74" t="n">
        <f aca="false">SQRT(($B71-AC$5)^2+($C71-AC$6)^2+($D71-AC$7)^2)</f>
        <v>1.3262902474772</v>
      </c>
      <c r="AD71" s="74" t="n">
        <f aca="false">SQRT(($B71-AD$5)^2+($C71-AD$6)^2+($D71-AD$7)^2)</f>
        <v>1.46694239287473</v>
      </c>
      <c r="AE71" s="74" t="n">
        <f aca="false">SQRT(($B71-AE$5)^2+($C71-AE$6)^2+($D71-AE$7)^2)</f>
        <v>1.4814138332876</v>
      </c>
      <c r="AF71" s="74" t="n">
        <f aca="false">SQRT(($B71-AF$5)^2+($C71-AF$6)^2+($D71-AF$7)^2)</f>
        <v>1.05136408980083</v>
      </c>
      <c r="AG71" s="74" t="n">
        <f aca="false">SQRT(($B71-AG$5)^2+($C71-AG$6)^2+($D71-AG$7)^2)</f>
        <v>1.40013800470437</v>
      </c>
      <c r="AH71" s="74" t="n">
        <f aca="false">SQRT(($B71-AH$5)^2+($C71-AH$6)^2+($D71-AH$7)^2)</f>
        <v>1.02850963811139</v>
      </c>
      <c r="AI71" s="74" t="n">
        <f aca="false">SQRT(($B71-AI$5)^2+($C71-AI$6)^2+($D71-AI$7)^2)</f>
        <v>1.39889092043741</v>
      </c>
      <c r="AJ71" s="74" t="n">
        <f aca="false">SQRT(($B71-AJ$5)^2+($C71-AJ$6)^2+($D71-AJ$7)^2)</f>
        <v>1.2338655380947</v>
      </c>
      <c r="AK71" s="74" t="n">
        <f aca="false">SQRT(($B71-AK$5)^2+($C71-AK$6)^2+($D71-AK$7)^2)</f>
        <v>0.603851572825215</v>
      </c>
      <c r="AL71" s="74" t="n">
        <f aca="false">SQRT(($B71-AL$5)^2+($C71-AL$6)^2+($D71-AL$7)^2)</f>
        <v>0.996480621768702</v>
      </c>
      <c r="AM71" s="74" t="n">
        <f aca="false">SQRT(($B71-AM$5)^2+($C71-AM$6)^2+($D71-AM$7)^2)</f>
        <v>0.998415558110499</v>
      </c>
      <c r="AN71" s="74" t="n">
        <f aca="false">SQRT(($B71-AN$5)^2+($C71-AN$6)^2+($D71-AN$7)^2)</f>
        <v>1.02529805711929</v>
      </c>
      <c r="AO71" s="74" t="n">
        <f aca="false">SQRT(($B71-AO$5)^2+($C71-AO$6)^2+($D71-AO$7)^2)</f>
        <v>0.693530736969596</v>
      </c>
      <c r="AP71" s="74" t="n">
        <f aca="false">SQRT(($B71-AP$5)^2+($C71-AP$6)^2+($D71-AP$7)^2)</f>
        <v>0.631549903974244</v>
      </c>
      <c r="AQ71" s="74" t="n">
        <f aca="false">SQRT(($B71-AQ$5)^2+($C71-AQ$6)^2+($D71-AQ$7)^2)</f>
        <v>1.02936531425374</v>
      </c>
      <c r="AR71" s="74" t="n">
        <f aca="false">SQRT(($B71-AR$5)^2+($C71-AR$6)^2+($D71-AR$7)^2)</f>
        <v>0.539134149284754</v>
      </c>
      <c r="AS71" s="74" t="n">
        <f aca="false">SQRT(($B71-AS$5)^2+($C71-AS$6)^2+($D71-AS$7)^2)</f>
        <v>1.60799006560915</v>
      </c>
      <c r="AT71" s="74" t="n">
        <f aca="false">SQRT(($B71-AT$5)^2+($C71-AT$6)^2+($D71-AT$7)^2)</f>
        <v>1.06555800325595</v>
      </c>
      <c r="AU71" s="74" t="n">
        <f aca="false">SQRT(($B71-AU$5)^2+($C71-AU$6)^2+($D71-AU$7)^2)</f>
        <v>0.975738886953504</v>
      </c>
      <c r="AV71" s="74" t="n">
        <f aca="false">SQRT(($B71-AV$5)^2+($C71-AV$6)^2+($D71-AV$7)^2)</f>
        <v>1.34265591373837</v>
      </c>
      <c r="AW71" s="74" t="n">
        <f aca="false">SQRT(($B71-AW$5)^2+($C71-AW$6)^2+($D71-AW$7)^2)</f>
        <v>1.49163315591173</v>
      </c>
      <c r="AX71" s="74" t="n">
        <f aca="false">SQRT(($B71-AX$5)^2+($C71-AX$6)^2+($D71-AX$7)^2)</f>
        <v>0.578396318161404</v>
      </c>
      <c r="AY71" s="74" t="n">
        <f aca="false">SQRT(($B71-AY$5)^2+($C71-AY$6)^2+($D71-AY$7)^2)</f>
        <v>1.68724958950069</v>
      </c>
      <c r="AZ71" s="74" t="n">
        <f aca="false">SQRT(($B71-AZ$5)^2+($C71-AZ$6)^2+($D71-AZ$7)^2)</f>
        <v>1.60466906750562</v>
      </c>
      <c r="BA71" s="74" t="n">
        <f aca="false">SQRT(($B71-BA$5)^2+($C71-BA$6)^2+($D71-BA$7)^2)</f>
        <v>1.06573064741377</v>
      </c>
      <c r="BB71" s="74" t="n">
        <f aca="false">SQRT(($B71-BB$5)^2+($C71-BB$6)^2+($D71-BB$7)^2)</f>
        <v>1.68657758576418</v>
      </c>
      <c r="BC71" s="74" t="n">
        <f aca="false">SQRT(($B71-BC$5)^2+($C71-BC$6)^2+($D71-BC$7)^2)</f>
        <v>1.68592265955185</v>
      </c>
      <c r="BD71" s="74" t="n">
        <f aca="false">SQRT(($B71-BD$5)^2+($C71-BD$6)^2+($D71-BD$7)^2)</f>
        <v>1.33016657255667</v>
      </c>
      <c r="BE71" s="74" t="n">
        <f aca="false">SQRT(($B71-BE$5)^2+($C71-BE$6)^2+($D71-BE$7)^2)</f>
        <v>1.25249185914092</v>
      </c>
      <c r="BF71" s="74" t="n">
        <f aca="false">SQRT(($B71-BF$5)^2+($C71-BF$6)^2+($D71-BF$7)^2)</f>
        <v>1.13843965579079</v>
      </c>
      <c r="BG71" s="74" t="n">
        <f aca="false">SQRT(($B71-BG$5)^2+($C71-BG$6)^2+($D71-BG$7)^2)</f>
        <v>0.92943211321771</v>
      </c>
      <c r="BH71" s="74" t="n">
        <f aca="false">SQRT(($B71-BH$5)^2+($C71-BH$6)^2+($D71-BH$7)^2)</f>
        <v>1.67908289933391</v>
      </c>
      <c r="BI71" s="74" t="n">
        <f aca="false">SQRT(($B71-BI$5)^2+($C71-BI$6)^2+($D71-BI$7)^2)</f>
        <v>1.67857083245523</v>
      </c>
      <c r="BJ71" s="74" t="n">
        <f aca="false">SQRT(($B71-BJ$5)^2+($C71-BJ$6)^2+($D71-BJ$7)^2)</f>
        <v>0</v>
      </c>
      <c r="BK71" s="74" t="n">
        <f aca="false">SQRT(($B71-BK$5)^2+($C71-BK$6)^2+($D71-BK$7)^2)</f>
        <v>1.28635016051199</v>
      </c>
      <c r="BL71" s="74" t="n">
        <f aca="false">SQRT(($B71-BL$5)^2+($C71-BL$6)^2+($D71-BL$7)^2)</f>
        <v>1.27237354295488</v>
      </c>
      <c r="BM71" s="74" t="n">
        <f aca="false">SQRT(($B71-BM$5)^2+($C71-BM$6)^2+($D71-BM$7)^2)</f>
        <v>0.499399400845566</v>
      </c>
      <c r="BN71" s="74" t="n">
        <f aca="false">SQRT(($B71-BN$5)^2+($C71-BN$6)^2+($D71-BN$7)^2)</f>
        <v>0.395100376033265</v>
      </c>
      <c r="BO71" s="74" t="n">
        <f aca="false">SQRT(($B71-BO$5)^2+($C71-BO$6)^2+($D71-BO$7)^2)</f>
        <v>1.47889983341709</v>
      </c>
      <c r="BP71" s="74" t="n">
        <f aca="false">SQRT(($B71-BP$5)^2+($C71-BP$6)^2+($D71-BP$7)^2)</f>
        <v>0.482143469769021</v>
      </c>
      <c r="BQ71" s="74" t="n">
        <f aca="false">SQRT(($B71-BQ$5)^2+($C71-BQ$6)^2+($D71-BQ$7)^2)</f>
        <v>0.801398378910426</v>
      </c>
      <c r="BR71" s="74" t="n">
        <f aca="false">SQRT(($B71-BR$5)^2+($C71-BR$6)^2+($D71-BR$7)^2)</f>
        <v>0.829714881150302</v>
      </c>
      <c r="BS71" s="74" t="n">
        <f aca="false">SQRT(($B71-BS$5)^2+($C71-BS$6)^2+($D71-BS$7)^2)</f>
        <v>1.37060706020556</v>
      </c>
      <c r="BT71" s="74" t="n">
        <f aca="false">SQRT(($B71-BT$5)^2+($C71-BT$6)^2+($D71-BT$7)^2)</f>
        <v>1.2578860336853</v>
      </c>
      <c r="BU71" s="74" t="n">
        <f aca="false">SQRT(($B71-BU$5)^2+($C71-BU$6)^2+($D71-BU$7)^2)</f>
        <v>1.24806537202459</v>
      </c>
      <c r="BV71" s="74" t="n">
        <f aca="false">SQRT(($B71-BV$5)^2+($C71-BV$6)^2+($D71-BV$7)^2)</f>
        <v>1.70194069613143</v>
      </c>
      <c r="BW71" s="74" t="n">
        <f aca="false">SQRT(($B71-BW$5)^2+($C71-BW$6)^2+($D71-BW$7)^2)</f>
        <v>1.28800202109982</v>
      </c>
      <c r="BX71" s="74" t="n">
        <f aca="false">SQRT(($B71-BX$5)^2+($C71-BX$6)^2+($D71-BX$7)^2)</f>
        <v>1.70469067308009</v>
      </c>
      <c r="BY71" s="74" t="n">
        <f aca="false">SQRT(($B71-BY$5)^2+($C71-BY$6)^2+($D71-BY$7)^2)</f>
        <v>1.27932542376729</v>
      </c>
      <c r="BZ71" s="74" t="n">
        <f aca="false">SQRT(($B71-BZ$5)^2+($C71-BZ$6)^2+($D71-BZ$7)^2)</f>
        <v>1.29454809030883</v>
      </c>
      <c r="CA71" s="74" t="n">
        <f aca="false">SQRT(($B71-CA$5)^2+($C71-CA$6)^2+($D71-CA$7)^2)</f>
        <v>1.71446350176343</v>
      </c>
      <c r="CB71" s="74" t="n">
        <f aca="false">SQRT(($B71-CB$5)^2+($C71-CB$6)^2+($D71-CB$7)^2)</f>
        <v>1.29962902246031</v>
      </c>
      <c r="CC71" s="74" t="n">
        <f aca="false">SQRT(($B71-CC$5)^2+($C71-CC$6)^2+($D71-CC$7)^2)</f>
        <v>1.71830321444669</v>
      </c>
      <c r="CD71" s="74" t="n">
        <f aca="false">SQRT(($B71-CD$5)^2+($C71-CD$6)^2+($D71-CD$7)^2)</f>
        <v>1.72701887874527</v>
      </c>
      <c r="CE71" s="74" t="n">
        <f aca="false">SQRT(($B71-CE$5)^2+($C71-CE$6)^2+($D71-CE$7)^2)</f>
        <v>1.29427688756625</v>
      </c>
      <c r="CF71" s="74" t="n">
        <f aca="false">SQRT(($B71-CF$5)^2+($C71-CF$6)^2+($D71-CF$7)^2)</f>
        <v>0.827438963438348</v>
      </c>
      <c r="CG71" s="74" t="n">
        <f aca="false">SQRT(($B71-CG$5)^2+($C71-CG$6)^2+($D71-CG$7)^2)</f>
        <v>0.944971148740878</v>
      </c>
      <c r="CH71" s="74" t="n">
        <f aca="false">SQRT(($B71-CH$5)^2+($C71-CH$6)^2+($D71-CH$7)^2)</f>
        <v>1.37835536285653</v>
      </c>
      <c r="CI71" s="74" t="n">
        <f aca="false">SQRT(($B71-CI$5)^2+($C71-CI$6)^2+($D71-CI$7)^2)</f>
        <v>1.4304100538676</v>
      </c>
      <c r="CJ71" s="74" t="n">
        <f aca="false">SQRT(($B71-CJ$5)^2+($C71-CJ$6)^2+($D71-CJ$7)^2)</f>
        <v>1.5830647264599</v>
      </c>
      <c r="CK71" s="74" t="n">
        <f aca="false">SQRT(($B71-CK$5)^2+($C71-CK$6)^2+($D71-CK$7)^2)</f>
        <v>1.37400857097999</v>
      </c>
      <c r="CL71" s="74" t="n">
        <f aca="false">SQRT(($B71-CL$5)^2+($C71-CL$6)^2+($D71-CL$7)^2)</f>
        <v>1.80358534857069</v>
      </c>
      <c r="CM71" s="74" t="n">
        <f aca="false">SQRT(($B71-CM$5)^2+($C71-CM$6)^2+($D71-CM$7)^2)</f>
        <v>1.42484205975609</v>
      </c>
      <c r="CN71" s="74" t="n">
        <f aca="false">SQRT(($B71-CN$5)^2+($C71-CN$6)^2+($D71-CN$7)^2)</f>
        <v>1.18514896840293</v>
      </c>
      <c r="CO71" s="74" t="n">
        <f aca="false">SQRT(($B71-CO$5)^2+($C71-CO$6)^2+($D71-CO$7)^2)</f>
        <v>1.05357248947632</v>
      </c>
      <c r="CP71" s="74" t="n">
        <f aca="false">SQRT(($B71-CP$5)^2+($C71-CP$6)^2+($D71-CP$7)^2)</f>
        <v>1.84594670596815</v>
      </c>
      <c r="CQ71" s="74" t="n">
        <f aca="false">SQRT(($B71-CQ$5)^2+($C71-CQ$6)^2+($D71-CQ$7)^2)</f>
        <v>1.52053264297125</v>
      </c>
      <c r="CR71" s="74" t="n">
        <f aca="false">SQRT(($B71-CR$5)^2+($C71-CR$6)^2+($D71-CR$7)^2)</f>
        <v>1.52515939929468</v>
      </c>
      <c r="CS71" s="74" t="n">
        <f aca="false">SQRT(($B71-CS$5)^2+($C71-CS$6)^2+($D71-CS$7)^2)</f>
        <v>1.88384086578081</v>
      </c>
      <c r="CT71" s="74" t="n">
        <f aca="false">SQRT(($B71-CT$5)^2+($C71-CT$6)^2+($D71-CT$7)^2)</f>
        <v>1.90690011173513</v>
      </c>
      <c r="CU71" s="74" t="n">
        <f aca="false">SQRT(($B71-CU$5)^2+($C71-CU$6)^2+($D71-CU$7)^2)</f>
        <v>1.4116780169536</v>
      </c>
      <c r="CV71" s="74" t="n">
        <f aca="false">SQRT(($B71-CV$5)^2+($C71-CV$6)^2+($D71-CV$7)^2)</f>
        <v>1.54194744214011</v>
      </c>
      <c r="CW71" s="74" t="n">
        <f aca="false">SQRT(($B71-CW$5)^2+($C71-CW$6)^2+($D71-CW$7)^2)</f>
        <v>1.90690011173513</v>
      </c>
      <c r="CX71" s="74" t="n">
        <f aca="false">SQRT(($B71-CX$5)^2+($C71-CX$6)^2+($D71-CX$7)^2)</f>
        <v>1.55381361287754</v>
      </c>
      <c r="CY71" s="74" t="n">
        <f aca="false">SQRT(($B71-CY$5)^2+($C71-CY$6)^2+($D71-CY$7)^2)</f>
        <v>1.9335522885523</v>
      </c>
      <c r="CZ71" s="74" t="n">
        <f aca="false">SQRT(($B71-CZ$5)^2+($C71-CZ$6)^2+($D71-CZ$7)^2)</f>
        <v>1.9335522885523</v>
      </c>
      <c r="DA71" s="74" t="n">
        <f aca="false">SQRT(($B71-DA$5)^2+($C71-DA$6)^2+($D71-DA$7)^2)</f>
        <v>1.6345887970882</v>
      </c>
      <c r="DB71" s="74" t="n">
        <f aca="false">SQRT(($B71-DB$5)^2+($C71-DB$6)^2+($D71-DB$7)^2)</f>
        <v>1.96473123834112</v>
      </c>
      <c r="DC71" s="74" t="n">
        <f aca="false">SQRT(($B71-DC$5)^2+($C71-DC$6)^2+($D71-DC$7)^2)</f>
        <v>1.96473123834112</v>
      </c>
      <c r="DD71" s="74" t="n">
        <f aca="false">SQRT(($B71-DD$5)^2+($C71-DD$6)^2+($D71-DD$7)^2)</f>
        <v>1.71666195966279</v>
      </c>
      <c r="DE71" s="74" t="n">
        <f aca="false">SQRT(($B71-DE$5)^2+($C71-DE$6)^2+($D71-DE$7)^2)</f>
        <v>1.88470040063997</v>
      </c>
      <c r="DF71" s="74" t="n">
        <f aca="false">SQRT(($B71-DF$5)^2+($C71-DF$6)^2+($D71-DF$7)^2)</f>
        <v>2.17433127165341</v>
      </c>
      <c r="DG71" s="74" t="n">
        <f aca="false">SQRT(($B71-DG$5)^2+($C71-DG$6)^2+($D71-DG$7)^2)</f>
        <v>2.2724914141333</v>
      </c>
      <c r="DH71" s="74" t="n">
        <f aca="false">SQRT(($B71-DH$5)^2+($C71-DH$6)^2+($D71-DH$7)^2)</f>
        <v>2.2724914141333</v>
      </c>
      <c r="DI71" s="74" t="n">
        <f aca="false">SQRT(($B71-DI$5)^2+($C71-DI$6)^2+($D71-DI$7)^2)</f>
        <v>2.2724914141333</v>
      </c>
      <c r="DJ71" s="74" t="n">
        <f aca="false">SQRT(($B71-DJ$5)^2+($C71-DJ$6)^2+($D71-DJ$7)^2)</f>
        <v>2.2724914141333</v>
      </c>
      <c r="DK71" s="74" t="n">
        <f aca="false">SQRT(($B71-DK$5)^2+($C71-DK$6)^2+($D71-DK$7)^2)</f>
        <v>2.41982706603353</v>
      </c>
      <c r="DL71" s="74" t="n">
        <f aca="false">SQRT(($B71-DL$5)^2+($C71-DL$6)^2+($D71-DL$7)^2)</f>
        <v>2.41982706603353</v>
      </c>
      <c r="DM71" s="74" t="n">
        <f aca="false">SQRT(($B71-DM$5)^2+($C71-DM$6)^2+($D71-DM$7)^2)</f>
        <v>2.41982706603353</v>
      </c>
      <c r="DN71" s="74" t="n">
        <f aca="false">SQRT(($B71-DN$5)^2+($C71-DN$6)^2+($D71-DN$7)^2)</f>
        <v>2.41982706603353</v>
      </c>
      <c r="DO71" s="74" t="n">
        <f aca="false">SQRT(($B71-DO$5)^2+($C71-DO$6)^2+($D71-DO$7)^2)</f>
        <v>2.41982706603353</v>
      </c>
      <c r="DP71" s="74" t="n">
        <f aca="false">SQRT(($B71-DP$5)^2+($C71-DP$6)^2+($D71-DP$7)^2)</f>
        <v>2.691413846061</v>
      </c>
      <c r="DQ71" s="74" t="n">
        <f aca="false">SQRT(($B71-DQ$5)^2+($C71-DQ$6)^2+($D71-DQ$7)^2)</f>
        <v>2.691413846061</v>
      </c>
    </row>
    <row r="72" customFormat="false" ht="15" hidden="false" customHeight="false" outlineLevel="0" collapsed="false">
      <c r="A72" s="48" t="str">
        <f aca="false">KMeans_Data!A63</f>
        <v>Bahawalpur</v>
      </c>
      <c r="B72" s="72" t="n">
        <f aca="false">KMeans_Data!H63</f>
        <v>0.00595879156403144</v>
      </c>
      <c r="C72" s="72" t="n">
        <f aca="false">KMeans_Data!I63</f>
        <v>-0.672650545388274</v>
      </c>
      <c r="D72" s="72" t="n">
        <f aca="false">KMeans_Data!J63</f>
        <v>-0.399845222909568</v>
      </c>
      <c r="E72" s="74" t="n">
        <f aca="false">SQRT(($B72-E$5)^2+($C72-E$6)^2+($D72-E$7)^2)</f>
        <v>6.79864298983629</v>
      </c>
      <c r="F72" s="74" t="n">
        <f aca="false">SQRT(($B72-F$5)^2+($C72-F$6)^2+($D72-F$7)^2)</f>
        <v>6.58311330292605</v>
      </c>
      <c r="G72" s="74" t="n">
        <f aca="false">SQRT(($B72-G$5)^2+($C72-G$6)^2+($D72-G$7)^2)</f>
        <v>4.69572303775877</v>
      </c>
      <c r="H72" s="74" t="n">
        <f aca="false">SQRT(($B72-H$5)^2+($C72-H$6)^2+($D72-H$7)^2)</f>
        <v>5.25004748460687</v>
      </c>
      <c r="I72" s="74" t="n">
        <f aca="false">SQRT(($B72-I$5)^2+($C72-I$6)^2+($D72-I$7)^2)</f>
        <v>4.07206657725157</v>
      </c>
      <c r="J72" s="74" t="n">
        <f aca="false">SQRT(($B72-J$5)^2+($C72-J$6)^2+($D72-J$7)^2)</f>
        <v>3.74724652409824</v>
      </c>
      <c r="K72" s="74" t="n">
        <f aca="false">SQRT(($B72-K$5)^2+($C72-K$6)^2+($D72-K$7)^2)</f>
        <v>1.6287190669995</v>
      </c>
      <c r="L72" s="74" t="n">
        <f aca="false">SQRT(($B72-L$5)^2+($C72-L$6)^2+($D72-L$7)^2)</f>
        <v>2.84140301700344</v>
      </c>
      <c r="M72" s="74" t="n">
        <f aca="false">SQRT(($B72-M$5)^2+($C72-M$6)^2+($D72-M$7)^2)</f>
        <v>3.0841984816138</v>
      </c>
      <c r="N72" s="74" t="n">
        <f aca="false">SQRT(($B72-N$5)^2+($C72-N$6)^2+($D72-N$7)^2)</f>
        <v>1.37332557413894</v>
      </c>
      <c r="O72" s="74" t="n">
        <f aca="false">SQRT(($B72-O$5)^2+($C72-O$6)^2+($D72-O$7)^2)</f>
        <v>2.79861360577818</v>
      </c>
      <c r="P72" s="74" t="n">
        <f aca="false">SQRT(($B72-P$5)^2+($C72-P$6)^2+($D72-P$7)^2)</f>
        <v>3.10972755348079</v>
      </c>
      <c r="Q72" s="74" t="n">
        <f aca="false">SQRT(($B72-Q$5)^2+($C72-Q$6)^2+($D72-Q$7)^2)</f>
        <v>2.45815562727347</v>
      </c>
      <c r="R72" s="74" t="n">
        <f aca="false">SQRT(($B72-R$5)^2+($C72-R$6)^2+($D72-R$7)^2)</f>
        <v>2.38052099434104</v>
      </c>
      <c r="S72" s="74" t="n">
        <f aca="false">SQRT(($B72-S$5)^2+($C72-S$6)^2+($D72-S$7)^2)</f>
        <v>1.93252841203719</v>
      </c>
      <c r="T72" s="74" t="n">
        <f aca="false">SQRT(($B72-T$5)^2+($C72-T$6)^2+($D72-T$7)^2)</f>
        <v>2.37904857508407</v>
      </c>
      <c r="U72" s="74" t="n">
        <f aca="false">SQRT(($B72-U$5)^2+($C72-U$6)^2+($D72-U$7)^2)</f>
        <v>2.40874200964708</v>
      </c>
      <c r="V72" s="74" t="n">
        <f aca="false">SQRT(($B72-V$5)^2+($C72-V$6)^2+($D72-V$7)^2)</f>
        <v>2.44375639618043</v>
      </c>
      <c r="W72" s="74" t="n">
        <f aca="false">SQRT(($B72-W$5)^2+($C72-W$6)^2+($D72-W$7)^2)</f>
        <v>2.59078959757389</v>
      </c>
      <c r="X72" s="74" t="n">
        <f aca="false">SQRT(($B72-X$5)^2+($C72-X$6)^2+($D72-X$7)^2)</f>
        <v>2.22260908874147</v>
      </c>
      <c r="Y72" s="74" t="n">
        <f aca="false">SQRT(($B72-Y$5)^2+($C72-Y$6)^2+($D72-Y$7)^2)</f>
        <v>2.36119628559363</v>
      </c>
      <c r="Z72" s="74" t="n">
        <f aca="false">SQRT(($B72-Z$5)^2+($C72-Z$6)^2+($D72-Z$7)^2)</f>
        <v>1.95508224697291</v>
      </c>
      <c r="AA72" s="74" t="n">
        <f aca="false">SQRT(($B72-AA$5)^2+($C72-AA$6)^2+($D72-AA$7)^2)</f>
        <v>1.77398869747604</v>
      </c>
      <c r="AB72" s="74" t="n">
        <f aca="false">SQRT(($B72-AB$5)^2+($C72-AB$6)^2+($D72-AB$7)^2)</f>
        <v>1.79800651171096</v>
      </c>
      <c r="AC72" s="74" t="n">
        <f aca="false">SQRT(($B72-AC$5)^2+($C72-AC$6)^2+($D72-AC$7)^2)</f>
        <v>2.46187756558657</v>
      </c>
      <c r="AD72" s="74" t="n">
        <f aca="false">SQRT(($B72-AD$5)^2+($C72-AD$6)^2+($D72-AD$7)^2)</f>
        <v>2.34253356990912</v>
      </c>
      <c r="AE72" s="74" t="n">
        <f aca="false">SQRT(($B72-AE$5)^2+($C72-AE$6)^2+($D72-AE$7)^2)</f>
        <v>1.11435028622649</v>
      </c>
      <c r="AF72" s="74" t="n">
        <f aca="false">SQRT(($B72-AF$5)^2+($C72-AF$6)^2+($D72-AF$7)^2)</f>
        <v>1.95520848522362</v>
      </c>
      <c r="AG72" s="74" t="n">
        <f aca="false">SQRT(($B72-AG$5)^2+($C72-AG$6)^2+($D72-AG$7)^2)</f>
        <v>0.57179475719683</v>
      </c>
      <c r="AH72" s="74" t="n">
        <f aca="false">SQRT(($B72-AH$5)^2+($C72-AH$6)^2+($D72-AH$7)^2)</f>
        <v>1.55460338957257</v>
      </c>
      <c r="AI72" s="74" t="n">
        <f aca="false">SQRT(($B72-AI$5)^2+($C72-AI$6)^2+($D72-AI$7)^2)</f>
        <v>0.568630795978586</v>
      </c>
      <c r="AJ72" s="74" t="n">
        <f aca="false">SQRT(($B72-AJ$5)^2+($C72-AJ$6)^2+($D72-AJ$7)^2)</f>
        <v>2.02386697862757</v>
      </c>
      <c r="AK72" s="74" t="n">
        <f aca="false">SQRT(($B72-AK$5)^2+($C72-AK$6)^2+($D72-AK$7)^2)</f>
        <v>1.36124101669339</v>
      </c>
      <c r="AL72" s="74" t="n">
        <f aca="false">SQRT(($B72-AL$5)^2+($C72-AL$6)^2+($D72-AL$7)^2)</f>
        <v>1.1881114623511</v>
      </c>
      <c r="AM72" s="74" t="n">
        <f aca="false">SQRT(($B72-AM$5)^2+($C72-AM$6)^2+($D72-AM$7)^2)</f>
        <v>2.22420854251812</v>
      </c>
      <c r="AN72" s="74" t="n">
        <f aca="false">SQRT(($B72-AN$5)^2+($C72-AN$6)^2+($D72-AN$7)^2)</f>
        <v>2.18191012918035</v>
      </c>
      <c r="AO72" s="74" t="n">
        <f aca="false">SQRT(($B72-AO$5)^2+($C72-AO$6)^2+($D72-AO$7)^2)</f>
        <v>1.47348514227209</v>
      </c>
      <c r="AP72" s="74" t="n">
        <f aca="false">SQRT(($B72-AP$5)^2+($C72-AP$6)^2+($D72-AP$7)^2)</f>
        <v>1.42276527756565</v>
      </c>
      <c r="AQ72" s="74" t="n">
        <f aca="false">SQRT(($B72-AQ$5)^2+($C72-AQ$6)^2+($D72-AQ$7)^2)</f>
        <v>2.23666822210492</v>
      </c>
      <c r="AR72" s="74" t="n">
        <f aca="false">SQRT(($B72-AR$5)^2+($C72-AR$6)^2+($D72-AR$7)^2)</f>
        <v>0.971960290982349</v>
      </c>
      <c r="AS72" s="74" t="n">
        <f aca="false">SQRT(($B72-AS$5)^2+($C72-AS$6)^2+($D72-AS$7)^2)</f>
        <v>1.44470971630945</v>
      </c>
      <c r="AT72" s="74" t="n">
        <f aca="false">SQRT(($B72-AT$5)^2+($C72-AT$6)^2+($D72-AT$7)^2)</f>
        <v>1.3139684445252</v>
      </c>
      <c r="AU72" s="74" t="n">
        <f aca="false">SQRT(($B72-AU$5)^2+($C72-AU$6)^2+($D72-AU$7)^2)</f>
        <v>0.63091863938292</v>
      </c>
      <c r="AV72" s="74" t="n">
        <f aca="false">SQRT(($B72-AV$5)^2+($C72-AV$6)^2+($D72-AV$7)^2)</f>
        <v>0.948450596582726</v>
      </c>
      <c r="AW72" s="74" t="n">
        <f aca="false">SQRT(($B72-AW$5)^2+($C72-AW$6)^2+($D72-AW$7)^2)</f>
        <v>0.484164557591932</v>
      </c>
      <c r="AX72" s="74" t="n">
        <f aca="false">SQRT(($B72-AX$5)^2+($C72-AX$6)^2+($D72-AX$7)^2)</f>
        <v>1.16455035962317</v>
      </c>
      <c r="AY72" s="74" t="n">
        <f aca="false">SQRT(($B72-AY$5)^2+($C72-AY$6)^2+($D72-AY$7)^2)</f>
        <v>0.770874506736687</v>
      </c>
      <c r="AZ72" s="74" t="n">
        <f aca="false">SQRT(($B72-AZ$5)^2+($C72-AZ$6)^2+($D72-AZ$7)^2)</f>
        <v>1.44557581936934</v>
      </c>
      <c r="BA72" s="74" t="n">
        <f aca="false">SQRT(($B72-BA$5)^2+($C72-BA$6)^2+($D72-BA$7)^2)</f>
        <v>1.3196301272281</v>
      </c>
      <c r="BB72" s="74" t="n">
        <f aca="false">SQRT(($B72-BB$5)^2+($C72-BB$6)^2+($D72-BB$7)^2)</f>
        <v>0.76924434687905</v>
      </c>
      <c r="BC72" s="74" t="n">
        <f aca="false">SQRT(($B72-BC$5)^2+($C72-BC$6)^2+($D72-BC$7)^2)</f>
        <v>0.767646800301613</v>
      </c>
      <c r="BD72" s="74" t="n">
        <f aca="false">SQRT(($B72-BD$5)^2+($C72-BD$6)^2+($D72-BD$7)^2)</f>
        <v>0.191704408900548</v>
      </c>
      <c r="BE72" s="74" t="n">
        <f aca="false">SQRT(($B72-BE$5)^2+($C72-BE$6)^2+($D72-BE$7)^2)</f>
        <v>0.214534546794047</v>
      </c>
      <c r="BF72" s="74" t="n">
        <f aca="false">SQRT(($B72-BF$5)^2+($C72-BF$6)^2+($D72-BF$7)^2)</f>
        <v>2.36897308867281</v>
      </c>
      <c r="BG72" s="74" t="n">
        <f aca="false">SQRT(($B72-BG$5)^2+($C72-BG$6)^2+($D72-BG$7)^2)</f>
        <v>1.14978648404102</v>
      </c>
      <c r="BH72" s="74" t="n">
        <f aca="false">SQRT(($B72-BH$5)^2+($C72-BH$6)^2+($D72-BH$7)^2)</f>
        <v>0.749958397955627</v>
      </c>
      <c r="BI72" s="74" t="n">
        <f aca="false">SQRT(($B72-BI$5)^2+($C72-BI$6)^2+($D72-BI$7)^2)</f>
        <v>0.748400880299352</v>
      </c>
      <c r="BJ72" s="74" t="n">
        <f aca="false">SQRT(($B72-BJ$5)^2+($C72-BJ$6)^2+($D72-BJ$7)^2)</f>
        <v>1.28635016051199</v>
      </c>
      <c r="BK72" s="74" t="n">
        <f aca="false">SQRT(($B72-BK$5)^2+($C72-BK$6)^2+($D72-BK$7)^2)</f>
        <v>0</v>
      </c>
      <c r="BL72" s="74" t="n">
        <f aca="false">SQRT(($B72-BL$5)^2+($C72-BL$6)^2+($D72-BL$7)^2)</f>
        <v>0.764033104703053</v>
      </c>
      <c r="BM72" s="74" t="n">
        <f aca="false">SQRT(($B72-BM$5)^2+($C72-BM$6)^2+($D72-BM$7)^2)</f>
        <v>1.51802817604575</v>
      </c>
      <c r="BN72" s="74" t="n">
        <f aca="false">SQRT(($B72-BN$5)^2+($C72-BN$6)^2+($D72-BN$7)^2)</f>
        <v>0.944812972612064</v>
      </c>
      <c r="BO72" s="74" t="n">
        <f aca="false">SQRT(($B72-BO$5)^2+($C72-BO$6)^2+($D72-BO$7)^2)</f>
        <v>0.430471765221783</v>
      </c>
      <c r="BP72" s="74" t="n">
        <f aca="false">SQRT(($B72-BP$5)^2+($C72-BP$6)^2+($D72-BP$7)^2)</f>
        <v>1.0711213634575</v>
      </c>
      <c r="BQ72" s="74" t="n">
        <f aca="false">SQRT(($B72-BQ$5)^2+($C72-BQ$6)^2+($D72-BQ$7)^2)</f>
        <v>0.948945404752665</v>
      </c>
      <c r="BR72" s="74" t="n">
        <f aca="false">SQRT(($B72-BR$5)^2+($C72-BR$6)^2+($D72-BR$7)^2)</f>
        <v>0.992672207460083</v>
      </c>
      <c r="BS72" s="74" t="n">
        <f aca="false">SQRT(($B72-BS$5)^2+($C72-BS$6)^2+($D72-BS$7)^2)</f>
        <v>1.01303297407246</v>
      </c>
      <c r="BT72" s="74" t="n">
        <f aca="false">SQRT(($B72-BT$5)^2+($C72-BT$6)^2+($D72-BT$7)^2)</f>
        <v>0.633234322702484</v>
      </c>
      <c r="BU72" s="74" t="n">
        <f aca="false">SQRT(($B72-BU$5)^2+($C72-BU$6)^2+($D72-BU$7)^2)</f>
        <v>0.554820875789486</v>
      </c>
      <c r="BV72" s="74" t="n">
        <f aca="false">SQRT(($B72-BV$5)^2+($C72-BV$6)^2+($D72-BV$7)^2)</f>
        <v>0.791771771824664</v>
      </c>
      <c r="BW72" s="74" t="n">
        <f aca="false">SQRT(($B72-BW$5)^2+($C72-BW$6)^2+($D72-BW$7)^2)</f>
        <v>0.742177010008173</v>
      </c>
      <c r="BX72" s="74" t="n">
        <f aca="false">SQRT(($B72-BX$5)^2+($C72-BX$6)^2+($D72-BX$7)^2)</f>
        <v>0.797292434175297</v>
      </c>
      <c r="BY72" s="74" t="n">
        <f aca="false">SQRT(($B72-BY$5)^2+($C72-BY$6)^2+($D72-BY$7)^2)</f>
        <v>0.383353151258838</v>
      </c>
      <c r="BZ72" s="74" t="n">
        <f aca="false">SQRT(($B72-BZ$5)^2+($C72-BZ$6)^2+($D72-BZ$7)^2)</f>
        <v>0.367803725573025</v>
      </c>
      <c r="CA72" s="74" t="n">
        <f aca="false">SQRT(($B72-CA$5)^2+($C72-CA$6)^2+($D72-CA$7)^2)</f>
        <v>0.816813989075161</v>
      </c>
      <c r="CB72" s="74" t="n">
        <f aca="false">SQRT(($B72-CB$5)^2+($C72-CB$6)^2+($D72-CB$7)^2)</f>
        <v>0.384423408098586</v>
      </c>
      <c r="CC72" s="74" t="n">
        <f aca="false">SQRT(($B72-CC$5)^2+($C72-CC$6)^2+($D72-CC$7)^2)</f>
        <v>0.82443123964198</v>
      </c>
      <c r="CD72" s="74" t="n">
        <f aca="false">SQRT(($B72-CD$5)^2+($C72-CD$6)^2+($D72-CD$7)^2)</f>
        <v>0.841594353578997</v>
      </c>
      <c r="CE72" s="74" t="n">
        <f aca="false">SQRT(($B72-CE$5)^2+($C72-CE$6)^2+($D72-CE$7)^2)</f>
        <v>0.603698779552699</v>
      </c>
      <c r="CF72" s="74" t="n">
        <f aca="false">SQRT(($B72-CF$5)^2+($C72-CF$6)^2+($D72-CF$7)^2)</f>
        <v>0.857462807647251</v>
      </c>
      <c r="CG72" s="74" t="n">
        <f aca="false">SQRT(($B72-CG$5)^2+($C72-CG$6)^2+($D72-CG$7)^2)</f>
        <v>0.709761653779992</v>
      </c>
      <c r="CH72" s="74" t="n">
        <f aca="false">SQRT(($B72-CH$5)^2+($C72-CH$6)^2+($D72-CH$7)^2)</f>
        <v>0.476901853327046</v>
      </c>
      <c r="CI72" s="74" t="n">
        <f aca="false">SQRT(($B72-CI$5)^2+($C72-CI$6)^2+($D72-CI$7)^2)</f>
        <v>0.536565683046452</v>
      </c>
      <c r="CJ72" s="74" t="n">
        <f aca="false">SQRT(($B72-CJ$5)^2+($C72-CJ$6)^2+($D72-CJ$7)^2)</f>
        <v>0.697367281552377</v>
      </c>
      <c r="CK72" s="74" t="n">
        <f aca="false">SQRT(($B72-CK$5)^2+($C72-CK$6)^2+($D72-CK$7)^2)</f>
        <v>0.711988006438538</v>
      </c>
      <c r="CL72" s="74" t="n">
        <f aca="false">SQRT(($B72-CL$5)^2+($C72-CL$6)^2+($D72-CL$7)^2)</f>
        <v>0.98448553222692</v>
      </c>
      <c r="CM72" s="74" t="n">
        <f aca="false">SQRT(($B72-CM$5)^2+($C72-CM$6)^2+($D72-CM$7)^2)</f>
        <v>0.648177200715542</v>
      </c>
      <c r="CN72" s="74" t="n">
        <f aca="false">SQRT(($B72-CN$5)^2+($C72-CN$6)^2+($D72-CN$7)^2)</f>
        <v>1.35683477038046</v>
      </c>
      <c r="CO72" s="74" t="n">
        <f aca="false">SQRT(($B72-CO$5)^2+($C72-CO$6)^2+($D72-CO$7)^2)</f>
        <v>0.941986139132391</v>
      </c>
      <c r="CP72" s="74" t="n">
        <f aca="false">SQRT(($B72-CP$5)^2+($C72-CP$6)^2+($D72-CP$7)^2)</f>
        <v>1.05820263115647</v>
      </c>
      <c r="CQ72" s="74" t="n">
        <f aca="false">SQRT(($B72-CQ$5)^2+($C72-CQ$6)^2+($D72-CQ$7)^2)</f>
        <v>0.79237736566723</v>
      </c>
      <c r="CR72" s="74" t="n">
        <f aca="false">SQRT(($B72-CR$5)^2+($C72-CR$6)^2+($D72-CR$7)^2)</f>
        <v>0.841914001469077</v>
      </c>
      <c r="CS72" s="74" t="n">
        <f aca="false">SQRT(($B72-CS$5)^2+($C72-CS$6)^2+($D72-CS$7)^2)</f>
        <v>1.12156019254713</v>
      </c>
      <c r="CT72" s="74" t="n">
        <f aca="false">SQRT(($B72-CT$5)^2+($C72-CT$6)^2+($D72-CT$7)^2)</f>
        <v>1.15907916927047</v>
      </c>
      <c r="CU72" s="74" t="n">
        <f aca="false">SQRT(($B72-CU$5)^2+($C72-CU$6)^2+($D72-CU$7)^2)</f>
        <v>1.11528498245116</v>
      </c>
      <c r="CV72" s="74" t="n">
        <f aca="false">SQRT(($B72-CV$5)^2+($C72-CV$6)^2+($D72-CV$7)^2)</f>
        <v>1.10881934501153</v>
      </c>
      <c r="CW72" s="74" t="n">
        <f aca="false">SQRT(($B72-CW$5)^2+($C72-CW$6)^2+($D72-CW$7)^2)</f>
        <v>1.15907916927047</v>
      </c>
      <c r="CX72" s="74" t="n">
        <f aca="false">SQRT(($B72-CX$5)^2+($C72-CX$6)^2+($D72-CX$7)^2)</f>
        <v>1.01047361111724</v>
      </c>
      <c r="CY72" s="74" t="n">
        <f aca="false">SQRT(($B72-CY$5)^2+($C72-CY$6)^2+($D72-CY$7)^2)</f>
        <v>1.20157483197817</v>
      </c>
      <c r="CZ72" s="74" t="n">
        <f aca="false">SQRT(($B72-CZ$5)^2+($C72-CZ$6)^2+($D72-CZ$7)^2)</f>
        <v>1.20157483197817</v>
      </c>
      <c r="DA72" s="74" t="n">
        <f aca="false">SQRT(($B72-DA$5)^2+($C72-DA$6)^2+($D72-DA$7)^2)</f>
        <v>0.947764846488004</v>
      </c>
      <c r="DB72" s="74" t="n">
        <f aca="false">SQRT(($B72-DB$5)^2+($C72-DB$6)^2+($D72-DB$7)^2)</f>
        <v>1.25021886538999</v>
      </c>
      <c r="DC72" s="74" t="n">
        <f aca="false">SQRT(($B72-DC$5)^2+($C72-DC$6)^2+($D72-DC$7)^2)</f>
        <v>1.25021886538999</v>
      </c>
      <c r="DD72" s="74" t="n">
        <f aca="false">SQRT(($B72-DD$5)^2+($C72-DD$6)^2+($D72-DD$7)^2)</f>
        <v>1.03095284504761</v>
      </c>
      <c r="DE72" s="74" t="n">
        <f aca="false">SQRT(($B72-DE$5)^2+($C72-DE$6)^2+($D72-DE$7)^2)</f>
        <v>1.2288274818621</v>
      </c>
      <c r="DF72" s="74" t="n">
        <f aca="false">SQRT(($B72-DF$5)^2+($C72-DF$6)^2+($D72-DF$7)^2)</f>
        <v>1.55472877706431</v>
      </c>
      <c r="DG72" s="74" t="n">
        <f aca="false">SQRT(($B72-DG$5)^2+($C72-DG$6)^2+($D72-DG$7)^2)</f>
        <v>1.68763601051815</v>
      </c>
      <c r="DH72" s="74" t="n">
        <f aca="false">SQRT(($B72-DH$5)^2+($C72-DH$6)^2+($D72-DH$7)^2)</f>
        <v>1.68763601051815</v>
      </c>
      <c r="DI72" s="74" t="n">
        <f aca="false">SQRT(($B72-DI$5)^2+($C72-DI$6)^2+($D72-DI$7)^2)</f>
        <v>1.68763601051815</v>
      </c>
      <c r="DJ72" s="74" t="n">
        <f aca="false">SQRT(($B72-DJ$5)^2+($C72-DJ$6)^2+($D72-DJ$7)^2)</f>
        <v>1.68763601051815</v>
      </c>
      <c r="DK72" s="74" t="n">
        <f aca="false">SQRT(($B72-DK$5)^2+($C72-DK$6)^2+($D72-DK$7)^2)</f>
        <v>1.87925911990036</v>
      </c>
      <c r="DL72" s="74" t="n">
        <f aca="false">SQRT(($B72-DL$5)^2+($C72-DL$6)^2+($D72-DL$7)^2)</f>
        <v>1.87925911990036</v>
      </c>
      <c r="DM72" s="74" t="n">
        <f aca="false">SQRT(($B72-DM$5)^2+($C72-DM$6)^2+($D72-DM$7)^2)</f>
        <v>1.87925911990036</v>
      </c>
      <c r="DN72" s="74" t="n">
        <f aca="false">SQRT(($B72-DN$5)^2+($C72-DN$6)^2+($D72-DN$7)^2)</f>
        <v>1.87925911990036</v>
      </c>
      <c r="DO72" s="74" t="n">
        <f aca="false">SQRT(($B72-DO$5)^2+($C72-DO$6)^2+($D72-DO$7)^2)</f>
        <v>1.87925911990036</v>
      </c>
      <c r="DP72" s="74" t="n">
        <f aca="false">SQRT(($B72-DP$5)^2+($C72-DP$6)^2+($D72-DP$7)^2)</f>
        <v>2.21502754381688</v>
      </c>
      <c r="DQ72" s="74" t="n">
        <f aca="false">SQRT(($B72-DQ$5)^2+($C72-DQ$6)^2+($D72-DQ$7)^2)</f>
        <v>2.21502754381688</v>
      </c>
    </row>
    <row r="73" customFormat="false" ht="15" hidden="false" customHeight="false" outlineLevel="0" collapsed="false">
      <c r="A73" s="48" t="str">
        <f aca="false">KMeans_Data!A64</f>
        <v>Dadu</v>
      </c>
      <c r="B73" s="72" t="n">
        <f aca="false">KMeans_Data!H64</f>
        <v>-0.00359138496118499</v>
      </c>
      <c r="C73" s="72" t="n">
        <f aca="false">KMeans_Data!I64</f>
        <v>-0.672650545388274</v>
      </c>
      <c r="D73" s="72" t="n">
        <f aca="false">KMeans_Data!J64</f>
        <v>0.364128192341594</v>
      </c>
      <c r="E73" s="74" t="n">
        <f aca="false">SQRT(($B73-E$5)^2+($C73-E$6)^2+($D73-E$7)^2)</f>
        <v>6.42548092998272</v>
      </c>
      <c r="F73" s="74" t="n">
        <f aca="false">SQRT(($B73-F$5)^2+($C73-F$6)^2+($D73-F$7)^2)</f>
        <v>6.26709415434671</v>
      </c>
      <c r="G73" s="74" t="n">
        <f aca="false">SQRT(($B73-G$5)^2+($C73-G$6)^2+($D73-G$7)^2)</f>
        <v>4.29451226585086</v>
      </c>
      <c r="H73" s="74" t="n">
        <f aca="false">SQRT(($B73-H$5)^2+($C73-H$6)^2+($D73-H$7)^2)</f>
        <v>5.00747138134322</v>
      </c>
      <c r="I73" s="74" t="n">
        <f aca="false">SQRT(($B73-I$5)^2+($C73-I$6)^2+($D73-I$7)^2)</f>
        <v>3.74215159484787</v>
      </c>
      <c r="J73" s="74" t="n">
        <f aca="false">SQRT(($B73-J$5)^2+($C73-J$6)^2+($D73-J$7)^2)</f>
        <v>3.44057911099888</v>
      </c>
      <c r="K73" s="74" t="n">
        <f aca="false">SQRT(($B73-K$5)^2+($C73-K$6)^2+($D73-K$7)^2)</f>
        <v>1.97755165507848</v>
      </c>
      <c r="L73" s="74" t="n">
        <f aca="false">SQRT(($B73-L$5)^2+($C73-L$6)^2+($D73-L$7)^2)</f>
        <v>2.33183787457351</v>
      </c>
      <c r="M73" s="74" t="n">
        <f aca="false">SQRT(($B73-M$5)^2+($C73-M$6)^2+($D73-M$7)^2)</f>
        <v>2.63027958841923</v>
      </c>
      <c r="N73" s="74" t="n">
        <f aca="false">SQRT(($B73-N$5)^2+($C73-N$6)^2+($D73-N$7)^2)</f>
        <v>1.77239192898495</v>
      </c>
      <c r="O73" s="74" t="n">
        <f aca="false">SQRT(($B73-O$5)^2+($C73-O$6)^2+($D73-O$7)^2)</f>
        <v>2.51328020540072</v>
      </c>
      <c r="P73" s="74" t="n">
        <f aca="false">SQRT(($B73-P$5)^2+($C73-P$6)^2+($D73-P$7)^2)</f>
        <v>2.8074358142369</v>
      </c>
      <c r="Q73" s="74" t="n">
        <f aca="false">SQRT(($B73-Q$5)^2+($C73-Q$6)^2+($D73-Q$7)^2)</f>
        <v>2.09384634805233</v>
      </c>
      <c r="R73" s="74" t="n">
        <f aca="false">SQRT(($B73-R$5)^2+($C73-R$6)^2+($D73-R$7)^2)</f>
        <v>1.84734515584859</v>
      </c>
      <c r="S73" s="74" t="n">
        <f aca="false">SQRT(($B73-S$5)^2+($C73-S$6)^2+($D73-S$7)^2)</f>
        <v>1.39415935532987</v>
      </c>
      <c r="T73" s="74" t="n">
        <f aca="false">SQRT(($B73-T$5)^2+($C73-T$6)^2+($D73-T$7)^2)</f>
        <v>2.03148588531614</v>
      </c>
      <c r="U73" s="74" t="n">
        <f aca="false">SQRT(($B73-U$5)^2+($C73-U$6)^2+($D73-U$7)^2)</f>
        <v>1.83643180663691</v>
      </c>
      <c r="V73" s="74" t="n">
        <f aca="false">SQRT(($B73-V$5)^2+($C73-V$6)^2+($D73-V$7)^2)</f>
        <v>2.23967746534985</v>
      </c>
      <c r="W73" s="74" t="n">
        <f aca="false">SQRT(($B73-W$5)^2+($C73-W$6)^2+($D73-W$7)^2)</f>
        <v>2.29641078274664</v>
      </c>
      <c r="X73" s="74" t="n">
        <f aca="false">SQRT(($B73-X$5)^2+($C73-X$6)^2+($D73-X$7)^2)</f>
        <v>1.82885816851718</v>
      </c>
      <c r="Y73" s="74" t="n">
        <f aca="false">SQRT(($B73-Y$5)^2+($C73-Y$6)^2+($D73-Y$7)^2)</f>
        <v>1.90394345117886</v>
      </c>
      <c r="Z73" s="74" t="n">
        <f aca="false">SQRT(($B73-Z$5)^2+($C73-Z$6)^2+($D73-Z$7)^2)</f>
        <v>1.69271068226418</v>
      </c>
      <c r="AA73" s="74" t="n">
        <f aca="false">SQRT(($B73-AA$5)^2+($C73-AA$6)^2+($D73-AA$7)^2)</f>
        <v>1.29164840160286</v>
      </c>
      <c r="AB73" s="74" t="n">
        <f aca="false">SQRT(($B73-AB$5)^2+($C73-AB$6)^2+($D73-AB$7)^2)</f>
        <v>1.48361405885936</v>
      </c>
      <c r="AC73" s="74" t="n">
        <f aca="false">SQRT(($B73-AC$5)^2+($C73-AC$6)^2+($D73-AC$7)^2)</f>
        <v>2.22169694563246</v>
      </c>
      <c r="AD73" s="74" t="n">
        <f aca="false">SQRT(($B73-AD$5)^2+($C73-AD$6)^2+($D73-AD$7)^2)</f>
        <v>1.87625893700958</v>
      </c>
      <c r="AE73" s="74" t="n">
        <f aca="false">SQRT(($B73-AE$5)^2+($C73-AE$6)^2+($D73-AE$7)^2)</f>
        <v>1.72548050387342</v>
      </c>
      <c r="AF73" s="74" t="n">
        <f aca="false">SQRT(($B73-AF$5)^2+($C73-AF$6)^2+($D73-AF$7)^2)</f>
        <v>1.57251722445622</v>
      </c>
      <c r="AG73" s="74" t="n">
        <f aca="false">SQRT(($B73-AG$5)^2+($C73-AG$6)^2+($D73-AG$7)^2)</f>
        <v>0.960009016194543</v>
      </c>
      <c r="AH73" s="74" t="n">
        <f aca="false">SQRT(($B73-AH$5)^2+($C73-AH$6)^2+($D73-AH$7)^2)</f>
        <v>1.09834380043349</v>
      </c>
      <c r="AI73" s="74" t="n">
        <f aca="false">SQRT(($B73-AI$5)^2+($C73-AI$6)^2+($D73-AI$7)^2)</f>
        <v>0.958096350152721</v>
      </c>
      <c r="AJ73" s="74" t="n">
        <f aca="false">SQRT(($B73-AJ$5)^2+($C73-AJ$6)^2+($D73-AJ$7)^2)</f>
        <v>1.5421562156777</v>
      </c>
      <c r="AK73" s="74" t="n">
        <f aca="false">SQRT(($B73-AK$5)^2+($C73-AK$6)^2+($D73-AK$7)^2)</f>
        <v>1.18225775187603</v>
      </c>
      <c r="AL73" s="74" t="n">
        <f aca="false">SQRT(($B73-AL$5)^2+($C73-AL$6)^2+($D73-AL$7)^2)</f>
        <v>0.74169103253652</v>
      </c>
      <c r="AM73" s="74" t="n">
        <f aca="false">SQRT(($B73-AM$5)^2+($C73-AM$6)^2+($D73-AM$7)^2)</f>
        <v>2.11175081026636</v>
      </c>
      <c r="AN73" s="74" t="n">
        <f aca="false">SQRT(($B73-AN$5)^2+($C73-AN$6)^2+($D73-AN$7)^2)</f>
        <v>1.90852672412408</v>
      </c>
      <c r="AO73" s="74" t="n">
        <f aca="false">SQRT(($B73-AO$5)^2+($C73-AO$6)^2+($D73-AO$7)^2)</f>
        <v>1.15198230200418</v>
      </c>
      <c r="AP73" s="74" t="n">
        <f aca="false">SQRT(($B73-AP$5)^2+($C73-AP$6)^2+($D73-AP$7)^2)</f>
        <v>1.14094795180145</v>
      </c>
      <c r="AQ73" s="74" t="n">
        <f aca="false">SQRT(($B73-AQ$5)^2+($C73-AQ$6)^2+($D73-AQ$7)^2)</f>
        <v>2.00569847539461</v>
      </c>
      <c r="AR73" s="74" t="n">
        <f aca="false">SQRT(($B73-AR$5)^2+($C73-AR$6)^2+($D73-AR$7)^2)</f>
        <v>1.02225846179816</v>
      </c>
      <c r="AS73" s="74" t="n">
        <f aca="false">SQRT(($B73-AS$5)^2+($C73-AS$6)^2+($D73-AS$7)^2)</f>
        <v>0.721971207002205</v>
      </c>
      <c r="AT73" s="74" t="n">
        <f aca="false">SQRT(($B73-AT$5)^2+($C73-AT$6)^2+($D73-AT$7)^2)</f>
        <v>0.722096734970924</v>
      </c>
      <c r="AU73" s="74" t="n">
        <f aca="false">SQRT(($B73-AU$5)^2+($C73-AU$6)^2+($D73-AU$7)^2)</f>
        <v>1.16119936909473</v>
      </c>
      <c r="AV73" s="74" t="n">
        <f aca="false">SQRT(($B73-AV$5)^2+($C73-AV$6)^2+($D73-AV$7)^2)</f>
        <v>0.300612843222208</v>
      </c>
      <c r="AW73" s="74" t="n">
        <f aca="false">SQRT(($B73-AW$5)^2+($C73-AW$6)^2+($D73-AW$7)^2)</f>
        <v>1.21300172261759</v>
      </c>
      <c r="AX73" s="74" t="n">
        <f aca="false">SQRT(($B73-AX$5)^2+($C73-AX$6)^2+($D73-AX$7)^2)</f>
        <v>0.866152063895713</v>
      </c>
      <c r="AY73" s="74" t="n">
        <f aca="false">SQRT(($B73-AY$5)^2+($C73-AY$6)^2+($D73-AY$7)^2)</f>
        <v>1.52356819130537</v>
      </c>
      <c r="AZ73" s="74" t="n">
        <f aca="false">SQRT(($B73-AZ$5)^2+($C73-AZ$6)^2+($D73-AZ$7)^2)</f>
        <v>0.69899179256585</v>
      </c>
      <c r="BA73" s="74" t="n">
        <f aca="false">SQRT(($B73-BA$5)^2+($C73-BA$6)^2+($D73-BA$7)^2)</f>
        <v>0.708436287629014</v>
      </c>
      <c r="BB73" s="74" t="n">
        <f aca="false">SQRT(($B73-BB$5)^2+($C73-BB$6)^2+($D73-BB$7)^2)</f>
        <v>1.52270297363805</v>
      </c>
      <c r="BC73" s="74" t="n">
        <f aca="false">SQRT(($B73-BC$5)^2+($C73-BC$6)^2+($D73-BC$7)^2)</f>
        <v>1.52185493724821</v>
      </c>
      <c r="BD73" s="74" t="n">
        <f aca="false">SQRT(($B73-BD$5)^2+($C73-BD$6)^2+($D73-BD$7)^2)</f>
        <v>0.884066899014153</v>
      </c>
      <c r="BE73" s="74" t="n">
        <f aca="false">SQRT(($B73-BE$5)^2+($C73-BE$6)^2+($D73-BE$7)^2)</f>
        <v>0.627974187037047</v>
      </c>
      <c r="BF73" s="74" t="n">
        <f aca="false">SQRT(($B73-BF$5)^2+($C73-BF$6)^2+($D73-BF$7)^2)</f>
        <v>2.09862508877507</v>
      </c>
      <c r="BG73" s="74" t="n">
        <f aca="false">SQRT(($B73-BG$5)^2+($C73-BG$6)^2+($D73-BG$7)^2)</f>
        <v>0.593171531142671</v>
      </c>
      <c r="BH73" s="74" t="n">
        <f aca="false">SQRT(($B73-BH$5)^2+($C73-BH$6)^2+($D73-BH$7)^2)</f>
        <v>1.51235968641584</v>
      </c>
      <c r="BI73" s="74" t="n">
        <f aca="false">SQRT(($B73-BI$5)^2+($C73-BI$6)^2+($D73-BI$7)^2)</f>
        <v>1.51148353650981</v>
      </c>
      <c r="BJ73" s="74" t="n">
        <f aca="false">SQRT(($B73-BJ$5)^2+($C73-BJ$6)^2+($D73-BJ$7)^2)</f>
        <v>1.27237354295488</v>
      </c>
      <c r="BK73" s="74" t="n">
        <f aca="false">SQRT(($B73-BK$5)^2+($C73-BK$6)^2+($D73-BK$7)^2)</f>
        <v>0.764033104703053</v>
      </c>
      <c r="BL73" s="74" t="n">
        <f aca="false">SQRT(($B73-BL$5)^2+($C73-BL$6)^2+($D73-BL$7)^2)</f>
        <v>0</v>
      </c>
      <c r="BM73" s="74" t="n">
        <f aca="false">SQRT(($B73-BM$5)^2+($C73-BM$6)^2+($D73-BM$7)^2)</f>
        <v>1.22866991467402</v>
      </c>
      <c r="BN73" s="74" t="n">
        <f aca="false">SQRT(($B73-BN$5)^2+($C73-BN$6)^2+($D73-BN$7)^2)</f>
        <v>0.893830803647496</v>
      </c>
      <c r="BO73" s="74" t="n">
        <f aca="false">SQRT(($B73-BO$5)^2+($C73-BO$6)^2+($D73-BO$7)^2)</f>
        <v>1.19015404454119</v>
      </c>
      <c r="BP73" s="74" t="n">
        <f aca="false">SQRT(($B73-BP$5)^2+($C73-BP$6)^2+($D73-BP$7)^2)</f>
        <v>0.844369703600016</v>
      </c>
      <c r="BQ73" s="74" t="n">
        <f aca="false">SQRT(($B73-BQ$5)^2+($C73-BQ$6)^2+($D73-BQ$7)^2)</f>
        <v>0.536650133544506</v>
      </c>
      <c r="BR73" s="74" t="n">
        <f aca="false">SQRT(($B73-BR$5)^2+($C73-BR$6)^2+($D73-BR$7)^2)</f>
        <v>0.545740345565449</v>
      </c>
      <c r="BS73" s="74" t="n">
        <f aca="false">SQRT(($B73-BS$5)^2+($C73-BS$6)^2+($D73-BS$7)^2)</f>
        <v>0.288163780927293</v>
      </c>
      <c r="BT73" s="74" t="n">
        <f aca="false">SQRT(($B73-BT$5)^2+($C73-BT$6)^2+($D73-BT$7)^2)</f>
        <v>0.271239665490436</v>
      </c>
      <c r="BU73" s="74" t="n">
        <f aca="false">SQRT(($B73-BU$5)^2+($C73-BU$6)^2+($D73-BU$7)^2)</f>
        <v>0.330910562401317</v>
      </c>
      <c r="BV73" s="74" t="n">
        <f aca="false">SQRT(($B73-BV$5)^2+($C73-BV$6)^2+($D73-BV$7)^2)</f>
        <v>1.53137584522095</v>
      </c>
      <c r="BW73" s="74" t="n">
        <f aca="false">SQRT(($B73-BW$5)^2+($C73-BW$6)^2+($D73-BW$7)^2)</f>
        <v>0.283123387137336</v>
      </c>
      <c r="BX73" s="74" t="n">
        <f aca="false">SQRT(($B73-BX$5)^2+($C73-BX$6)^2+($D73-BX$7)^2)</f>
        <v>1.53413779050163</v>
      </c>
      <c r="BY73" s="74" t="n">
        <f aca="false">SQRT(($B73-BY$5)^2+($C73-BY$6)^2+($D73-BY$7)^2)</f>
        <v>0.626019749551899</v>
      </c>
      <c r="BZ73" s="74" t="n">
        <f aca="false">SQRT(($B73-BZ$5)^2+($C73-BZ$6)^2+($D73-BZ$7)^2)</f>
        <v>0.688787899278885</v>
      </c>
      <c r="CA73" s="74" t="n">
        <f aca="false">SQRT(($B73-CA$5)^2+($C73-CA$6)^2+($D73-CA$7)^2)</f>
        <v>1.54405635220337</v>
      </c>
      <c r="CB73" s="74" t="n">
        <f aca="false">SQRT(($B73-CB$5)^2+($C73-CB$6)^2+($D73-CB$7)^2)</f>
        <v>0.697554082404169</v>
      </c>
      <c r="CC73" s="74" t="n">
        <f aca="false">SQRT(($B73-CC$5)^2+($C73-CC$6)^2+($D73-CC$7)^2)</f>
        <v>1.54798673975757</v>
      </c>
      <c r="CD73" s="74" t="n">
        <f aca="false">SQRT(($B73-CD$5)^2+($C73-CD$6)^2+($D73-CD$7)^2)</f>
        <v>1.55695870666329</v>
      </c>
      <c r="CE73" s="74" t="n">
        <f aca="false">SQRT(($B73-CE$5)^2+($C73-CE$6)^2+($D73-CE$7)^2)</f>
        <v>0.513637499591784</v>
      </c>
      <c r="CF73" s="74" t="n">
        <f aca="false">SQRT(($B73-CF$5)^2+($C73-CF$6)^2+($D73-CF$7)^2)</f>
        <v>0.698281782132866</v>
      </c>
      <c r="CG73" s="74" t="n">
        <f aca="false">SQRT(($B73-CG$5)^2+($C73-CG$6)^2+($D73-CG$7)^2)</f>
        <v>1.03846001198397</v>
      </c>
      <c r="CH73" s="74" t="n">
        <f aca="false">SQRT(($B73-CH$5)^2+($C73-CH$6)^2+($D73-CH$7)^2)</f>
        <v>0.895585266191893</v>
      </c>
      <c r="CI73" s="74" t="n">
        <f aca="false">SQRT(($B73-CI$5)^2+($C73-CI$6)^2+($D73-CI$7)^2)</f>
        <v>1.00974583239521</v>
      </c>
      <c r="CJ73" s="74" t="n">
        <f aca="false">SQRT(($B73-CJ$5)^2+($C73-CJ$6)^2+($D73-CJ$7)^2)</f>
        <v>1.30700755308323</v>
      </c>
      <c r="CK73" s="74" t="n">
        <f aca="false">SQRT(($B73-CK$5)^2+($C73-CK$6)^2+($D73-CK$7)^2)</f>
        <v>0.721626406353206</v>
      </c>
      <c r="CL73" s="74" t="n">
        <f aca="false">SQRT(($B73-CL$5)^2+($C73-CL$6)^2+($D73-CL$7)^2)</f>
        <v>1.6371391541456</v>
      </c>
      <c r="CM73" s="74" t="n">
        <f aca="false">SQRT(($B73-CM$5)^2+($C73-CM$6)^2+($D73-CM$7)^2)</f>
        <v>0.928716925435576</v>
      </c>
      <c r="CN73" s="74" t="n">
        <f aca="false">SQRT(($B73-CN$5)^2+($C73-CN$6)^2+($D73-CN$7)^2)</f>
        <v>0.916442846046322</v>
      </c>
      <c r="CO73" s="74" t="n">
        <f aca="false">SQRT(($B73-CO$5)^2+($C73-CO$6)^2+($D73-CO$7)^2)</f>
        <v>1.06017248514024</v>
      </c>
      <c r="CP73" s="74" t="n">
        <f aca="false">SQRT(($B73-CP$5)^2+($C73-CP$6)^2+($D73-CP$7)^2)</f>
        <v>1.68188628601504</v>
      </c>
      <c r="CQ73" s="74" t="n">
        <f aca="false">SQRT(($B73-CQ$5)^2+($C73-CQ$6)^2+($D73-CQ$7)^2)</f>
        <v>1.09383444234971</v>
      </c>
      <c r="CR73" s="74" t="n">
        <f aca="false">SQRT(($B73-CR$5)^2+($C73-CR$6)^2+($D73-CR$7)^2)</f>
        <v>1.07120294155368</v>
      </c>
      <c r="CS73" s="74" t="n">
        <f aca="false">SQRT(($B73-CS$5)^2+($C73-CS$6)^2+($D73-CS$7)^2)</f>
        <v>1.72197131928476</v>
      </c>
      <c r="CT73" s="74" t="n">
        <f aca="false">SQRT(($B73-CT$5)^2+($C73-CT$6)^2+($D73-CT$7)^2)</f>
        <v>1.74636908633855</v>
      </c>
      <c r="CU73" s="74" t="n">
        <f aca="false">SQRT(($B73-CU$5)^2+($C73-CU$6)^2+($D73-CU$7)^2)</f>
        <v>1.56825617730031</v>
      </c>
      <c r="CV73" s="74" t="n">
        <f aca="false">SQRT(($B73-CV$5)^2+($C73-CV$6)^2+($D73-CV$7)^2)</f>
        <v>0.883282109681974</v>
      </c>
      <c r="CW73" s="74" t="n">
        <f aca="false">SQRT(($B73-CW$5)^2+($C73-CW$6)^2+($D73-CW$7)^2)</f>
        <v>1.74636908633855</v>
      </c>
      <c r="CX73" s="74" t="n">
        <f aca="false">SQRT(($B73-CX$5)^2+($C73-CX$6)^2+($D73-CX$7)^2)</f>
        <v>1.01417562631831</v>
      </c>
      <c r="CY73" s="74" t="n">
        <f aca="false">SQRT(($B73-CY$5)^2+($C73-CY$6)^2+($D73-CY$7)^2)</f>
        <v>1.77456336490617</v>
      </c>
      <c r="CZ73" s="74" t="n">
        <f aca="false">SQRT(($B73-CZ$5)^2+($C73-CZ$6)^2+($D73-CZ$7)^2)</f>
        <v>1.77456336490617</v>
      </c>
      <c r="DA73" s="74" t="n">
        <f aca="false">SQRT(($B73-DA$5)^2+($C73-DA$6)^2+($D73-DA$7)^2)</f>
        <v>1.27357921795888</v>
      </c>
      <c r="DB73" s="74" t="n">
        <f aca="false">SQRT(($B73-DB$5)^2+($C73-DB$6)^2+($D73-DB$7)^2)</f>
        <v>1.80753129169867</v>
      </c>
      <c r="DC73" s="74" t="n">
        <f aca="false">SQRT(($B73-DC$5)^2+($C73-DC$6)^2+($D73-DC$7)^2)</f>
        <v>1.80753129169867</v>
      </c>
      <c r="DD73" s="74" t="n">
        <f aca="false">SQRT(($B73-DD$5)^2+($C73-DD$6)^2+($D73-DD$7)^2)</f>
        <v>1.41036454312987</v>
      </c>
      <c r="DE73" s="74" t="n">
        <f aca="false">SQRT(($B73-DE$5)^2+($C73-DE$6)^2+($D73-DE$7)^2)</f>
        <v>1.64939553349866</v>
      </c>
      <c r="DF73" s="74" t="n">
        <f aca="false">SQRT(($B73-DF$5)^2+($C73-DF$6)^2+($D73-DF$7)^2)</f>
        <v>2.02840159769833</v>
      </c>
      <c r="DG73" s="74" t="n">
        <f aca="false">SQRT(($B73-DG$5)^2+($C73-DG$6)^2+($D73-DG$7)^2)</f>
        <v>2.131311071028</v>
      </c>
      <c r="DH73" s="74" t="n">
        <f aca="false">SQRT(($B73-DH$5)^2+($C73-DH$6)^2+($D73-DH$7)^2)</f>
        <v>2.131311071028</v>
      </c>
      <c r="DI73" s="74" t="n">
        <f aca="false">SQRT(($B73-DI$5)^2+($C73-DI$6)^2+($D73-DI$7)^2)</f>
        <v>2.131311071028</v>
      </c>
      <c r="DJ73" s="74" t="n">
        <f aca="false">SQRT(($B73-DJ$5)^2+($C73-DJ$6)^2+($D73-DJ$7)^2)</f>
        <v>2.131311071028</v>
      </c>
      <c r="DK73" s="74" t="n">
        <f aca="false">SQRT(($B73-DK$5)^2+($C73-DK$6)^2+($D73-DK$7)^2)</f>
        <v>2.28515986820667</v>
      </c>
      <c r="DL73" s="74" t="n">
        <f aca="false">SQRT(($B73-DL$5)^2+($C73-DL$6)^2+($D73-DL$7)^2)</f>
        <v>2.28515986820667</v>
      </c>
      <c r="DM73" s="74" t="n">
        <f aca="false">SQRT(($B73-DM$5)^2+($C73-DM$6)^2+($D73-DM$7)^2)</f>
        <v>2.28515986820667</v>
      </c>
      <c r="DN73" s="74" t="n">
        <f aca="false">SQRT(($B73-DN$5)^2+($C73-DN$6)^2+($D73-DN$7)^2)</f>
        <v>2.28515986820667</v>
      </c>
      <c r="DO73" s="74" t="n">
        <f aca="false">SQRT(($B73-DO$5)^2+($C73-DO$6)^2+($D73-DO$7)^2)</f>
        <v>2.28515986820667</v>
      </c>
      <c r="DP73" s="74" t="n">
        <f aca="false">SQRT(($B73-DP$5)^2+($C73-DP$6)^2+($D73-DP$7)^2)</f>
        <v>2.56706001402801</v>
      </c>
      <c r="DQ73" s="74" t="n">
        <f aca="false">SQRT(($B73-DQ$5)^2+($C73-DQ$6)^2+($D73-DQ$7)^2)</f>
        <v>2.56706001402801</v>
      </c>
    </row>
    <row r="74" customFormat="false" ht="15" hidden="false" customHeight="false" outlineLevel="0" collapsed="false">
      <c r="A74" s="48" t="str">
        <f aca="false">KMeans_Data!A65</f>
        <v>Other</v>
      </c>
      <c r="B74" s="72" t="n">
        <f aca="false">KMeans_Data!H65</f>
        <v>-0.0333406256173151</v>
      </c>
      <c r="C74" s="72" t="n">
        <f aca="false">KMeans_Data!I65</f>
        <v>0.547911385844501</v>
      </c>
      <c r="D74" s="72" t="n">
        <f aca="false">KMeans_Data!J65</f>
        <v>0.501871845301586</v>
      </c>
      <c r="E74" s="74" t="n">
        <f aca="false">SQRT(($B74-E$5)^2+($C74-E$6)^2+($D74-E$7)^2)</f>
        <v>5.54024690953817</v>
      </c>
      <c r="F74" s="74" t="n">
        <f aca="false">SQRT(($B74-F$5)^2+($C74-F$6)^2+($D74-F$7)^2)</f>
        <v>5.34342305314682</v>
      </c>
      <c r="G74" s="74" t="n">
        <f aca="false">SQRT(($B74-G$5)^2+($C74-G$6)^2+($D74-G$7)^2)</f>
        <v>3.50682462887929</v>
      </c>
      <c r="H74" s="74" t="n">
        <f aca="false">SQRT(($B74-H$5)^2+($C74-H$6)^2+($D74-H$7)^2)</f>
        <v>4.00449650129114</v>
      </c>
      <c r="I74" s="74" t="n">
        <f aca="false">SQRT(($B74-I$5)^2+($C74-I$6)^2+($D74-I$7)^2)</f>
        <v>2.93100554955407</v>
      </c>
      <c r="J74" s="74" t="n">
        <f aca="false">SQRT(($B74-J$5)^2+($C74-J$6)^2+($D74-J$7)^2)</f>
        <v>2.45988360260331</v>
      </c>
      <c r="K74" s="74" t="n">
        <f aca="false">SQRT(($B74-K$5)^2+($C74-K$6)^2+($D74-K$7)^2)</f>
        <v>1.94777660920967</v>
      </c>
      <c r="L74" s="74" t="n">
        <f aca="false">SQRT(($B74-L$5)^2+($C74-L$6)^2+($D74-L$7)^2)</f>
        <v>1.82591749283088</v>
      </c>
      <c r="M74" s="74" t="n">
        <f aca="false">SQRT(($B74-M$5)^2+($C74-M$6)^2+($D74-M$7)^2)</f>
        <v>1.88044103394828</v>
      </c>
      <c r="N74" s="74" t="n">
        <f aca="false">SQRT(($B74-N$5)^2+($C74-N$6)^2+($D74-N$7)^2)</f>
        <v>1.94085655254626</v>
      </c>
      <c r="O74" s="74" t="n">
        <f aca="false">SQRT(($B74-O$5)^2+($C74-O$6)^2+($D74-O$7)^2)</f>
        <v>1.573923900278</v>
      </c>
      <c r="P74" s="74" t="n">
        <f aca="false">SQRT(($B74-P$5)^2+($C74-P$6)^2+($D74-P$7)^2)</f>
        <v>1.81062431813634</v>
      </c>
      <c r="Q74" s="74" t="n">
        <f aca="false">SQRT(($B74-Q$5)^2+($C74-Q$6)^2+($D74-Q$7)^2)</f>
        <v>1.30038682970432</v>
      </c>
      <c r="R74" s="74" t="n">
        <f aca="false">SQRT(($B74-R$5)^2+($C74-R$6)^2+($D74-R$7)^2)</f>
        <v>1.45363127810799</v>
      </c>
      <c r="S74" s="74" t="n">
        <f aca="false">SQRT(($B74-S$5)^2+($C74-S$6)^2+($D74-S$7)^2)</f>
        <v>1.41743466088086</v>
      </c>
      <c r="T74" s="74" t="n">
        <f aca="false">SQRT(($B74-T$5)^2+($C74-T$6)^2+($D74-T$7)^2)</f>
        <v>1.20512536656463</v>
      </c>
      <c r="U74" s="74" t="n">
        <f aca="false">SQRT(($B74-U$5)^2+($C74-U$6)^2+($D74-U$7)^2)</f>
        <v>1.42562754410349</v>
      </c>
      <c r="V74" s="74" t="n">
        <f aca="false">SQRT(($B74-V$5)^2+($C74-V$6)^2+($D74-V$7)^2)</f>
        <v>1.22201660704375</v>
      </c>
      <c r="W74" s="74" t="n">
        <f aca="false">SQRT(($B74-W$5)^2+($C74-W$6)^2+($D74-W$7)^2)</f>
        <v>1.28976799949888</v>
      </c>
      <c r="X74" s="74" t="n">
        <f aca="false">SQRT(($B74-X$5)^2+($C74-X$6)^2+($D74-X$7)^2)</f>
        <v>1.056838507633</v>
      </c>
      <c r="Y74" s="74" t="n">
        <f aca="false">SQRT(($B74-Y$5)^2+($C74-Y$6)^2+($D74-Y$7)^2)</f>
        <v>1.15337554824027</v>
      </c>
      <c r="Z74" s="74" t="n">
        <f aca="false">SQRT(($B74-Z$5)^2+($C74-Z$6)^2+($D74-Z$7)^2)</f>
        <v>0.865664656559136</v>
      </c>
      <c r="AA74" s="74" t="n">
        <f aca="false">SQRT(($B74-AA$5)^2+($C74-AA$6)^2+($D74-AA$7)^2)</f>
        <v>1.01335855597081</v>
      </c>
      <c r="AB74" s="74" t="n">
        <f aca="false">SQRT(($B74-AB$5)^2+($C74-AB$6)^2+($D74-AB$7)^2)</f>
        <v>0.833396237832499</v>
      </c>
      <c r="AC74" s="74" t="n">
        <f aca="false">SQRT(($B74-AC$5)^2+($C74-AC$6)^2+($D74-AC$7)^2)</f>
        <v>1.17367124402127</v>
      </c>
      <c r="AD74" s="74" t="n">
        <f aca="false">SQRT(($B74-AD$5)^2+($C74-AD$6)^2+($D74-AD$7)^2)</f>
        <v>1.103632562529</v>
      </c>
      <c r="AE74" s="74" t="n">
        <f aca="false">SQRT(($B74-AE$5)^2+($C74-AE$6)^2+($D74-AE$7)^2)</f>
        <v>1.91265439138235</v>
      </c>
      <c r="AF74" s="74" t="n">
        <f aca="false">SQRT(($B74-AF$5)^2+($C74-AF$6)^2+($D74-AF$7)^2)</f>
        <v>0.749116034994393</v>
      </c>
      <c r="AG74" s="74" t="n">
        <f aca="false">SQRT(($B74-AG$5)^2+($C74-AG$6)^2+($D74-AG$7)^2)</f>
        <v>1.63594046011368</v>
      </c>
      <c r="AH74" s="74" t="n">
        <f aca="false">SQRT(($B74-AH$5)^2+($C74-AH$6)^2+($D74-AH$7)^2)</f>
        <v>0.775713029012926</v>
      </c>
      <c r="AI74" s="74" t="n">
        <f aca="false">SQRT(($B74-AI$5)^2+($C74-AI$6)^2+($D74-AI$7)^2)</f>
        <v>1.63476121900132</v>
      </c>
      <c r="AJ74" s="74" t="n">
        <f aca="false">SQRT(($B74-AJ$5)^2+($C74-AJ$6)^2+($D74-AJ$7)^2)</f>
        <v>0.85785619960098</v>
      </c>
      <c r="AK74" s="74" t="n">
        <f aca="false">SQRT(($B74-AK$5)^2+($C74-AK$6)^2+($D74-AK$7)^2)</f>
        <v>0.627768975251977</v>
      </c>
      <c r="AL74" s="74" t="n">
        <f aca="false">SQRT(($B74-AL$5)^2+($C74-AL$6)^2+($D74-AL$7)^2)</f>
        <v>0.868222698590694</v>
      </c>
      <c r="AM74" s="74" t="n">
        <f aca="false">SQRT(($B74-AM$5)^2+($C74-AM$6)^2+($D74-AM$7)^2)</f>
        <v>1.00021534878381</v>
      </c>
      <c r="AN74" s="74" t="n">
        <f aca="false">SQRT(($B74-AN$5)^2+($C74-AN$6)^2+($D74-AN$7)^2)</f>
        <v>0.801345402755027</v>
      </c>
      <c r="AO74" s="74" t="n">
        <f aca="false">SQRT(($B74-AO$5)^2+($C74-AO$6)^2+($D74-AO$7)^2)</f>
        <v>0.497796268487841</v>
      </c>
      <c r="AP74" s="74" t="n">
        <f aca="false">SQRT(($B74-AP$5)^2+($C74-AP$6)^2+($D74-AP$7)^2)</f>
        <v>0.49415534969556</v>
      </c>
      <c r="AQ74" s="74" t="n">
        <f aca="false">SQRT(($B74-AQ$5)^2+($C74-AQ$6)^2+($D74-AQ$7)^2)</f>
        <v>0.85767954566053</v>
      </c>
      <c r="AR74" s="74" t="n">
        <f aca="false">SQRT(($B74-AR$5)^2+($C74-AR$6)^2+($D74-AR$7)^2)</f>
        <v>0.816196218654995</v>
      </c>
      <c r="AS74" s="74" t="n">
        <f aca="false">SQRT(($B74-AS$5)^2+($C74-AS$6)^2+($D74-AS$7)^2)</f>
        <v>1.36812284122349</v>
      </c>
      <c r="AT74" s="74" t="n">
        <f aca="false">SQRT(($B74-AT$5)^2+($C74-AT$6)^2+($D74-AT$7)^2)</f>
        <v>0.807063294868335</v>
      </c>
      <c r="AU74" s="74" t="n">
        <f aca="false">SQRT(($B74-AU$5)^2+($C74-AU$6)^2+($D74-AU$7)^2)</f>
        <v>1.36612203482361</v>
      </c>
      <c r="AV74" s="74" t="n">
        <f aca="false">SQRT(($B74-AV$5)^2+($C74-AV$6)^2+($D74-AV$7)^2)</f>
        <v>1.25456278738747</v>
      </c>
      <c r="AW74" s="74" t="n">
        <f aca="false">SQRT(($B74-AW$5)^2+($C74-AW$6)^2+($D74-AW$7)^2)</f>
        <v>1.82286890101568</v>
      </c>
      <c r="AX74" s="74" t="n">
        <f aca="false">SQRT(($B74-AX$5)^2+($C74-AX$6)^2+($D74-AX$7)^2)</f>
        <v>0.485000693181788</v>
      </c>
      <c r="AY74" s="74" t="n">
        <f aca="false">SQRT(($B74-AY$5)^2+($C74-AY$6)^2+($D74-AY$7)^2)</f>
        <v>2.0637306794982</v>
      </c>
      <c r="AZ74" s="74" t="n">
        <f aca="false">SQRT(($B74-AZ$5)^2+($C74-AZ$6)^2+($D74-AZ$7)^2)</f>
        <v>1.35139129003385</v>
      </c>
      <c r="BA74" s="74" t="n">
        <f aca="false">SQRT(($B74-BA$5)^2+($C74-BA$6)^2+($D74-BA$7)^2)</f>
        <v>0.788132737700181</v>
      </c>
      <c r="BB74" s="74" t="n">
        <f aca="false">SQRT(($B74-BB$5)^2+($C74-BB$6)^2+($D74-BB$7)^2)</f>
        <v>2.06299760070465</v>
      </c>
      <c r="BC74" s="74" t="n">
        <f aca="false">SQRT(($B74-BC$5)^2+($C74-BC$6)^2+($D74-BC$7)^2)</f>
        <v>2.062276100081</v>
      </c>
      <c r="BD74" s="74" t="n">
        <f aca="false">SQRT(($B74-BD$5)^2+($C74-BD$6)^2+($D74-BD$7)^2)</f>
        <v>1.59384064179839</v>
      </c>
      <c r="BE74" s="74" t="n">
        <f aca="false">SQRT(($B74-BE$5)^2+($C74-BE$6)^2+($D74-BE$7)^2)</f>
        <v>1.44250777479479</v>
      </c>
      <c r="BF74" s="74" t="n">
        <f aca="false">SQRT(($B74-BF$5)^2+($C74-BF$6)^2+($D74-BF$7)^2)</f>
        <v>0.891915693034155</v>
      </c>
      <c r="BG74" s="74" t="n">
        <f aca="false">SQRT(($B74-BG$5)^2+($C74-BG$6)^2+($D74-BG$7)^2)</f>
        <v>0.717250419132392</v>
      </c>
      <c r="BH74" s="74" t="n">
        <f aca="false">SQRT(($B74-BH$5)^2+($C74-BH$6)^2+($D74-BH$7)^2)</f>
        <v>2.05378820220089</v>
      </c>
      <c r="BI74" s="74" t="n">
        <f aca="false">SQRT(($B74-BI$5)^2+($C74-BI$6)^2+($D74-BI$7)^2)</f>
        <v>2.05290366847247</v>
      </c>
      <c r="BJ74" s="74" t="n">
        <f aca="false">SQRT(($B74-BJ$5)^2+($C74-BJ$6)^2+($D74-BJ$7)^2)</f>
        <v>0.499399400845566</v>
      </c>
      <c r="BK74" s="74" t="n">
        <f aca="false">SQRT(($B74-BK$5)^2+($C74-BK$6)^2+($D74-BK$7)^2)</f>
        <v>1.51802817604575</v>
      </c>
      <c r="BL74" s="74" t="n">
        <f aca="false">SQRT(($B74-BL$5)^2+($C74-BL$6)^2+($D74-BL$7)^2)</f>
        <v>1.22866991467402</v>
      </c>
      <c r="BM74" s="74" t="n">
        <f aca="false">SQRT(($B74-BM$5)^2+($C74-BM$6)^2+($D74-BM$7)^2)</f>
        <v>0</v>
      </c>
      <c r="BN74" s="74" t="n">
        <f aca="false">SQRT(($B74-BN$5)^2+($C74-BN$6)^2+($D74-BN$7)^2)</f>
        <v>0.600675942456282</v>
      </c>
      <c r="BO74" s="74" t="n">
        <f aca="false">SQRT(($B74-BO$5)^2+($C74-BO$6)^2+($D74-BO$7)^2)</f>
        <v>1.80274404936678</v>
      </c>
      <c r="BP74" s="74" t="n">
        <f aca="false">SQRT(($B74-BP$5)^2+($C74-BP$6)^2+($D74-BP$7)^2)</f>
        <v>0.458643729856184</v>
      </c>
      <c r="BQ74" s="74" t="n">
        <f aca="false">SQRT(($B74-BQ$5)^2+($C74-BQ$6)^2+($D74-BQ$7)^2)</f>
        <v>0.709396991890124</v>
      </c>
      <c r="BR74" s="74" t="n">
        <f aca="false">SQRT(($B74-BR$5)^2+($C74-BR$6)^2+($D74-BR$7)^2)</f>
        <v>0.705827536955707</v>
      </c>
      <c r="BS74" s="74" t="n">
        <f aca="false">SQRT(($B74-BS$5)^2+($C74-BS$6)^2+($D74-BS$7)^2)</f>
        <v>1.23221968719986</v>
      </c>
      <c r="BT74" s="74" t="n">
        <f aca="false">SQRT(($B74-BT$5)^2+($C74-BT$6)^2+($D74-BT$7)^2)</f>
        <v>1.27184422435764</v>
      </c>
      <c r="BU74" s="74" t="n">
        <f aca="false">SQRT(($B74-BU$5)^2+($C74-BU$6)^2+($D74-BU$7)^2)</f>
        <v>1.29491059053138</v>
      </c>
      <c r="BV74" s="74" t="n">
        <f aca="false">SQRT(($B74-BV$5)^2+($C74-BV$6)^2+($D74-BV$7)^2)</f>
        <v>2.06286554060624</v>
      </c>
      <c r="BW74" s="74" t="n">
        <f aca="false">SQRT(($B74-BW$5)^2+($C74-BW$6)^2+($D74-BW$7)^2)</f>
        <v>1.26289783313954</v>
      </c>
      <c r="BX74" s="74" t="n">
        <f aca="false">SQRT(($B74-BX$5)^2+($C74-BX$6)^2+($D74-BX$7)^2)</f>
        <v>2.06468595873121</v>
      </c>
      <c r="BY74" s="74" t="n">
        <f aca="false">SQRT(($B74-BY$5)^2+($C74-BY$6)^2+($D74-BY$7)^2)</f>
        <v>1.42611132138465</v>
      </c>
      <c r="BZ74" s="74" t="n">
        <f aca="false">SQRT(($B74-BZ$5)^2+($C74-BZ$6)^2+($D74-BZ$7)^2)</f>
        <v>1.46024590438863</v>
      </c>
      <c r="CA74" s="74" t="n">
        <f aca="false">SQRT(($B74-CA$5)^2+($C74-CA$6)^2+($D74-CA$7)^2)</f>
        <v>2.07133072098443</v>
      </c>
      <c r="CB74" s="74" t="n">
        <f aca="false">SQRT(($B74-CB$5)^2+($C74-CB$6)^2+($D74-CB$7)^2)</f>
        <v>1.46403017383738</v>
      </c>
      <c r="CC74" s="74" t="n">
        <f aca="false">SQRT(($B74-CC$5)^2+($C74-CC$6)^2+($D74-CC$7)^2)</f>
        <v>2.07400029033663</v>
      </c>
      <c r="CD74" s="74" t="n">
        <f aca="false">SQRT(($B74-CD$5)^2+($C74-CD$6)^2+($D74-CD$7)^2)</f>
        <v>2.08015378217998</v>
      </c>
      <c r="CE74" s="74" t="n">
        <f aca="false">SQRT(($B74-CE$5)^2+($C74-CE$6)^2+($D74-CE$7)^2)</f>
        <v>1.35576220740359</v>
      </c>
      <c r="CF74" s="74" t="n">
        <f aca="false">SQRT(($B74-CF$5)^2+($C74-CF$6)^2+($D74-CF$7)^2)</f>
        <v>0.867259463226377</v>
      </c>
      <c r="CG74" s="74" t="n">
        <f aca="false">SQRT(($B74-CG$5)^2+($C74-CG$6)^2+($D74-CG$7)^2)</f>
        <v>1.21961795527778</v>
      </c>
      <c r="CH74" s="74" t="n">
        <f aca="false">SQRT(($B74-CH$5)^2+($C74-CH$6)^2+($D74-CH$7)^2)</f>
        <v>1.57935461223838</v>
      </c>
      <c r="CI74" s="74" t="n">
        <f aca="false">SQRT(($B74-CI$5)^2+($C74-CI$6)^2+($D74-CI$7)^2)</f>
        <v>1.65451180423078</v>
      </c>
      <c r="CJ74" s="74" t="n">
        <f aca="false">SQRT(($B74-CJ$5)^2+($C74-CJ$6)^2+($D74-CJ$7)^2)</f>
        <v>1.87429693459076</v>
      </c>
      <c r="CK74" s="74" t="n">
        <f aca="false">SQRT(($B74-CK$5)^2+($C74-CK$6)^2+($D74-CK$7)^2)</f>
        <v>1.45065341041521</v>
      </c>
      <c r="CL74" s="74" t="n">
        <f aca="false">SQRT(($B74-CL$5)^2+($C74-CL$6)^2+($D74-CL$7)^2)</f>
        <v>2.13731353514313</v>
      </c>
      <c r="CM74" s="74" t="n">
        <f aca="false">SQRT(($B74-CM$5)^2+($C74-CM$6)^2+($D74-CM$7)^2)</f>
        <v>1.58797565311545</v>
      </c>
      <c r="CN74" s="74" t="n">
        <f aca="false">SQRT(($B74-CN$5)^2+($C74-CN$6)^2+($D74-CN$7)^2)</f>
        <v>0.975520259111971</v>
      </c>
      <c r="CO74" s="74" t="n">
        <f aca="false">SQRT(($B74-CO$5)^2+($C74-CO$6)^2+($D74-CO$7)^2)</f>
        <v>1.20695607672594</v>
      </c>
      <c r="CP74" s="74" t="n">
        <f aca="false">SQRT(($B74-CP$5)^2+($C74-CP$6)^2+($D74-CP$7)^2)</f>
        <v>2.17029859970496</v>
      </c>
      <c r="CQ74" s="74" t="n">
        <f aca="false">SQRT(($B74-CQ$5)^2+($C74-CQ$6)^2+($D74-CQ$7)^2)</f>
        <v>1.69410492460582</v>
      </c>
      <c r="CR74" s="74" t="n">
        <f aca="false">SQRT(($B74-CR$5)^2+($C74-CR$6)^2+($D74-CR$7)^2)</f>
        <v>1.67183255484504</v>
      </c>
      <c r="CS74" s="74" t="n">
        <f aca="false">SQRT(($B74-CS$5)^2+($C74-CS$6)^2+($D74-CS$7)^2)</f>
        <v>2.20033328476808</v>
      </c>
      <c r="CT74" s="74" t="n">
        <f aca="false">SQRT(($B74-CT$5)^2+($C74-CT$6)^2+($D74-CT$7)^2)</f>
        <v>2.21881383587313</v>
      </c>
      <c r="CU74" s="74" t="n">
        <f aca="false">SQRT(($B74-CU$5)^2+($C74-CU$6)^2+($D74-CU$7)^2)</f>
        <v>1.72077076596386</v>
      </c>
      <c r="CV74" s="74" t="n">
        <f aca="false">SQRT(($B74-CV$5)^2+($C74-CV$6)^2+($D74-CV$7)^2)</f>
        <v>1.50494469705257</v>
      </c>
      <c r="CW74" s="74" t="n">
        <f aca="false">SQRT(($B74-CW$5)^2+($C74-CW$6)^2+($D74-CW$7)^2)</f>
        <v>2.21881383587313</v>
      </c>
      <c r="CX74" s="74" t="n">
        <f aca="false">SQRT(($B74-CX$5)^2+($C74-CX$6)^2+($D74-CX$7)^2)</f>
        <v>1.61012672544532</v>
      </c>
      <c r="CY74" s="74" t="n">
        <f aca="false">SQRT(($B74-CY$5)^2+($C74-CY$6)^2+($D74-CY$7)^2)</f>
        <v>2.24034423047419</v>
      </c>
      <c r="CZ74" s="74" t="n">
        <f aca="false">SQRT(($B74-CZ$5)^2+($C74-CZ$6)^2+($D74-CZ$7)^2)</f>
        <v>2.24034423047419</v>
      </c>
      <c r="DA74" s="74" t="n">
        <f aca="false">SQRT(($B74-DA$5)^2+($C74-DA$6)^2+($D74-DA$7)^2)</f>
        <v>1.82074137665344</v>
      </c>
      <c r="DB74" s="74" t="n">
        <f aca="false">SQRT(($B74-DB$5)^2+($C74-DB$6)^2+($D74-DB$7)^2)</f>
        <v>2.26574250467086</v>
      </c>
      <c r="DC74" s="74" t="n">
        <f aca="false">SQRT(($B74-DC$5)^2+($C74-DC$6)^2+($D74-DC$7)^2)</f>
        <v>2.26574250467086</v>
      </c>
      <c r="DD74" s="74" t="n">
        <f aca="false">SQRT(($B74-DD$5)^2+($C74-DD$6)^2+($D74-DD$7)^2)</f>
        <v>1.92751157732012</v>
      </c>
      <c r="DE74" s="74" t="n">
        <f aca="false">SQRT(($B74-DE$5)^2+($C74-DE$6)^2+($D74-DE$7)^2)</f>
        <v>2.11885125771335</v>
      </c>
      <c r="DF74" s="74" t="n">
        <f aca="false">SQRT(($B74-DF$5)^2+($C74-DF$6)^2+($D74-DF$7)^2)</f>
        <v>2.44118167248574</v>
      </c>
      <c r="DG74" s="74" t="n">
        <f aca="false">SQRT(($B74-DG$5)^2+($C74-DG$6)^2+($D74-DG$7)^2)</f>
        <v>2.52557579509364</v>
      </c>
      <c r="DH74" s="74" t="n">
        <f aca="false">SQRT(($B74-DH$5)^2+($C74-DH$6)^2+($D74-DH$7)^2)</f>
        <v>2.52557579509364</v>
      </c>
      <c r="DI74" s="74" t="n">
        <f aca="false">SQRT(($B74-DI$5)^2+($C74-DI$6)^2+($D74-DI$7)^2)</f>
        <v>2.52557579509364</v>
      </c>
      <c r="DJ74" s="74" t="n">
        <f aca="false">SQRT(($B74-DJ$5)^2+($C74-DJ$6)^2+($D74-DJ$7)^2)</f>
        <v>2.52557579509364</v>
      </c>
      <c r="DK74" s="74" t="n">
        <f aca="false">SQRT(($B74-DK$5)^2+($C74-DK$6)^2+($D74-DK$7)^2)</f>
        <v>2.65432585213842</v>
      </c>
      <c r="DL74" s="74" t="n">
        <f aca="false">SQRT(($B74-DL$5)^2+($C74-DL$6)^2+($D74-DL$7)^2)</f>
        <v>2.65432585213842</v>
      </c>
      <c r="DM74" s="74" t="n">
        <f aca="false">SQRT(($B74-DM$5)^2+($C74-DM$6)^2+($D74-DM$7)^2)</f>
        <v>2.65432585213842</v>
      </c>
      <c r="DN74" s="74" t="n">
        <f aca="false">SQRT(($B74-DN$5)^2+($C74-DN$6)^2+($D74-DN$7)^2)</f>
        <v>2.65432585213842</v>
      </c>
      <c r="DO74" s="74" t="n">
        <f aca="false">SQRT(($B74-DO$5)^2+($C74-DO$6)^2+($D74-DO$7)^2)</f>
        <v>2.65432585213842</v>
      </c>
      <c r="DP74" s="74" t="n">
        <f aca="false">SQRT(($B74-DP$5)^2+($C74-DP$6)^2+($D74-DP$7)^2)</f>
        <v>2.89686423762356</v>
      </c>
      <c r="DQ74" s="74" t="n">
        <f aca="false">SQRT(($B74-DQ$5)^2+($C74-DQ$6)^2+($D74-DQ$7)^2)</f>
        <v>2.89686423762356</v>
      </c>
    </row>
    <row r="75" customFormat="false" ht="15" hidden="false" customHeight="false" outlineLevel="0" collapsed="false">
      <c r="A75" s="48" t="str">
        <f aca="false">KMeans_Data!A66</f>
        <v>Thatta</v>
      </c>
      <c r="B75" s="72" t="n">
        <f aca="false">KMeans_Data!H66</f>
        <v>-0.0436472993942904</v>
      </c>
      <c r="C75" s="72" t="n">
        <f aca="false">KMeans_Data!I66</f>
        <v>0.160512589624996</v>
      </c>
      <c r="D75" s="72" t="n">
        <f aca="false">KMeans_Data!J66</f>
        <v>0.042930091906806</v>
      </c>
      <c r="E75" s="74" t="n">
        <f aca="false">SQRT(($B75-E$5)^2+($C75-E$6)^2+($D75-E$7)^2)</f>
        <v>6.02934929788541</v>
      </c>
      <c r="F75" s="74" t="n">
        <f aca="false">SQRT(($B75-F$5)^2+($C75-F$6)^2+($D75-F$7)^2)</f>
        <v>5.81176341313801</v>
      </c>
      <c r="G75" s="74" t="n">
        <f aca="false">SQRT(($B75-G$5)^2+($C75-G$6)^2+($D75-G$7)^2)</f>
        <v>3.97214289695555</v>
      </c>
      <c r="H75" s="74" t="n">
        <f aca="false">SQRT(($B75-H$5)^2+($C75-H$6)^2+($D75-H$7)^2)</f>
        <v>4.45258869940347</v>
      </c>
      <c r="I75" s="74" t="n">
        <f aca="false">SQRT(($B75-I$5)^2+($C75-I$6)^2+($D75-I$7)^2)</f>
        <v>3.35702838059043</v>
      </c>
      <c r="J75" s="74" t="n">
        <f aca="false">SQRT(($B75-J$5)^2+($C75-J$6)^2+($D75-J$7)^2)</f>
        <v>2.93454321547239</v>
      </c>
      <c r="K75" s="74" t="n">
        <f aca="false">SQRT(($B75-K$5)^2+($C75-K$6)^2+($D75-K$7)^2)</f>
        <v>1.63260001053062</v>
      </c>
      <c r="L75" s="74" t="n">
        <f aca="false">SQRT(($B75-L$5)^2+($C75-L$6)^2+($D75-L$7)^2)</f>
        <v>2.22516577619518</v>
      </c>
      <c r="M75" s="74" t="n">
        <f aca="false">SQRT(($B75-M$5)^2+($C75-M$6)^2+($D75-M$7)^2)</f>
        <v>2.35234976641369</v>
      </c>
      <c r="N75" s="74" t="n">
        <f aca="false">SQRT(($B75-N$5)^2+($C75-N$6)^2+($D75-N$7)^2)</f>
        <v>1.54834842640115</v>
      </c>
      <c r="O75" s="74" t="n">
        <f aca="false">SQRT(($B75-O$5)^2+($C75-O$6)^2+($D75-O$7)^2)</f>
        <v>2.00695390860097</v>
      </c>
      <c r="P75" s="74" t="n">
        <f aca="false">SQRT(($B75-P$5)^2+($C75-P$6)^2+($D75-P$7)^2)</f>
        <v>2.28455157433196</v>
      </c>
      <c r="Q75" s="74" t="n">
        <f aca="false">SQRT(($B75-Q$5)^2+($C75-Q$6)^2+($D75-Q$7)^2)</f>
        <v>1.71769643837723</v>
      </c>
      <c r="R75" s="74" t="n">
        <f aca="false">SQRT(($B75-R$5)^2+($C75-R$6)^2+($D75-R$7)^2)</f>
        <v>1.80383182415036</v>
      </c>
      <c r="S75" s="74" t="n">
        <f aca="false">SQRT(($B75-S$5)^2+($C75-S$6)^2+($D75-S$7)^2)</f>
        <v>1.56951871466506</v>
      </c>
      <c r="T75" s="74" t="n">
        <f aca="false">SQRT(($B75-T$5)^2+($C75-T$6)^2+($D75-T$7)^2)</f>
        <v>1.62301077026402</v>
      </c>
      <c r="U75" s="74" t="n">
        <f aca="false">SQRT(($B75-U$5)^2+($C75-U$6)^2+($D75-U$7)^2)</f>
        <v>1.80927611145672</v>
      </c>
      <c r="V75" s="74" t="n">
        <f aca="false">SQRT(($B75-V$5)^2+($C75-V$6)^2+($D75-V$7)^2)</f>
        <v>1.620133707801</v>
      </c>
      <c r="W75" s="74" t="n">
        <f aca="false">SQRT(($B75-W$5)^2+($C75-W$6)^2+($D75-W$7)^2)</f>
        <v>1.75642869209674</v>
      </c>
      <c r="X75" s="74" t="n">
        <f aca="false">SQRT(($B75-X$5)^2+($C75-X$6)^2+($D75-X$7)^2)</f>
        <v>1.47796593098181</v>
      </c>
      <c r="Y75" s="74" t="n">
        <f aca="false">SQRT(($B75-Y$5)^2+($C75-Y$6)^2+($D75-Y$7)^2)</f>
        <v>1.61534265076971</v>
      </c>
      <c r="Z75" s="74" t="n">
        <f aca="false">SQRT(($B75-Z$5)^2+($C75-Z$6)^2+($D75-Z$7)^2)</f>
        <v>1.19652401461167</v>
      </c>
      <c r="AA75" s="74" t="n">
        <f aca="false">SQRT(($B75-AA$5)^2+($C75-AA$6)^2+($D75-AA$7)^2)</f>
        <v>1.23474754458259</v>
      </c>
      <c r="AB75" s="74" t="n">
        <f aca="false">SQRT(($B75-AB$5)^2+($C75-AB$6)^2+($D75-AB$7)^2)</f>
        <v>1.10630305760825</v>
      </c>
      <c r="AC75" s="74" t="n">
        <f aca="false">SQRT(($B75-AC$5)^2+($C75-AC$6)^2+($D75-AC$7)^2)</f>
        <v>1.61483078630795</v>
      </c>
      <c r="AD75" s="74" t="n">
        <f aca="false">SQRT(($B75-AD$5)^2+($C75-AD$6)^2+($D75-AD$7)^2)</f>
        <v>1.58258514047902</v>
      </c>
      <c r="AE75" s="74" t="n">
        <f aca="false">SQRT(($B75-AE$5)^2+($C75-AE$6)^2+($D75-AE$7)^2)</f>
        <v>1.40798608818062</v>
      </c>
      <c r="AF75" s="74" t="n">
        <f aca="false">SQRT(($B75-AF$5)^2+($C75-AF$6)^2+($D75-AF$7)^2)</f>
        <v>1.17604045430726</v>
      </c>
      <c r="AG75" s="74" t="n">
        <f aca="false">SQRT(($B75-AG$5)^2+($C75-AG$6)^2+($D75-AG$7)^2)</f>
        <v>1.12975652378901</v>
      </c>
      <c r="AH75" s="74" t="n">
        <f aca="false">SQRT(($B75-AH$5)^2+($C75-AH$6)^2+($D75-AH$7)^2)</f>
        <v>0.965241025680162</v>
      </c>
      <c r="AI75" s="74" t="n">
        <f aca="false">SQRT(($B75-AI$5)^2+($C75-AI$6)^2+($D75-AI$7)^2)</f>
        <v>1.1280193426202</v>
      </c>
      <c r="AJ75" s="74" t="n">
        <f aca="false">SQRT(($B75-AJ$5)^2+($C75-AJ$6)^2+($D75-AJ$7)^2)</f>
        <v>1.29248283416562</v>
      </c>
      <c r="AK75" s="74" t="n">
        <f aca="false">SQRT(($B75-AK$5)^2+($C75-AK$6)^2+($D75-AK$7)^2)</f>
        <v>0.661775589607335</v>
      </c>
      <c r="AL75" s="74" t="n">
        <f aca="false">SQRT(($B75-AL$5)^2+($C75-AL$6)^2+($D75-AL$7)^2)</f>
        <v>0.795566882015392</v>
      </c>
      <c r="AM75" s="74" t="n">
        <f aca="false">SQRT(($B75-AM$5)^2+($C75-AM$6)^2+($D75-AM$7)^2)</f>
        <v>1.35605108352684</v>
      </c>
      <c r="AN75" s="74" t="n">
        <f aca="false">SQRT(($B75-AN$5)^2+($C75-AN$6)^2+($D75-AN$7)^2)</f>
        <v>1.29468328631619</v>
      </c>
      <c r="AO75" s="74" t="n">
        <f aca="false">SQRT(($B75-AO$5)^2+($C75-AO$6)^2+($D75-AO$7)^2)</f>
        <v>0.722560104821178</v>
      </c>
      <c r="AP75" s="74" t="n">
        <f aca="false">SQRT(($B75-AP$5)^2+($C75-AP$6)^2+($D75-AP$7)^2)</f>
        <v>0.667308565387128</v>
      </c>
      <c r="AQ75" s="74" t="n">
        <f aca="false">SQRT(($B75-AQ$5)^2+($C75-AQ$6)^2+($D75-AQ$7)^2)</f>
        <v>1.33536762169287</v>
      </c>
      <c r="AR75" s="74" t="n">
        <f aca="false">SQRT(($B75-AR$5)^2+($C75-AR$6)^2+($D75-AR$7)^2)</f>
        <v>0.450229866726303</v>
      </c>
      <c r="AS75" s="74" t="n">
        <f aca="false">SQRT(($B75-AS$5)^2+($C75-AS$6)^2+($D75-AS$7)^2)</f>
        <v>1.32717362270296</v>
      </c>
      <c r="AT75" s="74" t="n">
        <f aca="false">SQRT(($B75-AT$5)^2+($C75-AT$6)^2+($D75-AT$7)^2)</f>
        <v>0.854457815637467</v>
      </c>
      <c r="AU75" s="74" t="n">
        <f aca="false">SQRT(($B75-AU$5)^2+($C75-AU$6)^2+($D75-AU$7)^2)</f>
        <v>0.806130803712429</v>
      </c>
      <c r="AV75" s="74" t="n">
        <f aca="false">SQRT(($B75-AV$5)^2+($C75-AV$6)^2+($D75-AV$7)^2)</f>
        <v>1.00349734160667</v>
      </c>
      <c r="AW75" s="74" t="n">
        <f aca="false">SQRT(($B75-AW$5)^2+($C75-AW$6)^2+($D75-AW$7)^2)</f>
        <v>1.23538448432071</v>
      </c>
      <c r="AX75" s="74" t="n">
        <f aca="false">SQRT(($B75-AX$5)^2+($C75-AX$6)^2+($D75-AX$7)^2)</f>
        <v>0.437014720176224</v>
      </c>
      <c r="AY75" s="74" t="n">
        <f aca="false">SQRT(($B75-AY$5)^2+($C75-AY$6)^2+($D75-AY$7)^2)</f>
        <v>1.47197478610799</v>
      </c>
      <c r="AZ75" s="74" t="n">
        <f aca="false">SQRT(($B75-AZ$5)^2+($C75-AZ$6)^2+($D75-AZ$7)^2)</f>
        <v>1.31654125698538</v>
      </c>
      <c r="BA75" s="74" t="n">
        <f aca="false">SQRT(($B75-BA$5)^2+($C75-BA$6)^2+($D75-BA$7)^2)</f>
        <v>0.847379827907855</v>
      </c>
      <c r="BB75" s="74" t="n">
        <f aca="false">SQRT(($B75-BB$5)^2+($C75-BB$6)^2+($D75-BB$7)^2)</f>
        <v>1.4709009486898</v>
      </c>
      <c r="BC75" s="74" t="n">
        <f aca="false">SQRT(($B75-BC$5)^2+($C75-BC$6)^2+($D75-BC$7)^2)</f>
        <v>1.46984235243875</v>
      </c>
      <c r="BD75" s="74" t="n">
        <f aca="false">SQRT(($B75-BD$5)^2+($C75-BD$6)^2+($D75-BD$7)^2)</f>
        <v>1.01833487253131</v>
      </c>
      <c r="BE75" s="74" t="n">
        <f aca="false">SQRT(($B75-BE$5)^2+($C75-BE$6)^2+($D75-BE$7)^2)</f>
        <v>0.902908061764552</v>
      </c>
      <c r="BF75" s="74" t="n">
        <f aca="false">SQRT(($B75-BF$5)^2+($C75-BF$6)^2+($D75-BF$7)^2)</f>
        <v>1.43361917167678</v>
      </c>
      <c r="BG75" s="74" t="n">
        <f aca="false">SQRT(($B75-BG$5)^2+($C75-BG$6)^2+($D75-BG$7)^2)</f>
        <v>0.668219349214616</v>
      </c>
      <c r="BH75" s="74" t="n">
        <f aca="false">SQRT(($B75-BH$5)^2+($C75-BH$6)^2+($D75-BH$7)^2)</f>
        <v>1.45718132312975</v>
      </c>
      <c r="BI75" s="74" t="n">
        <f aca="false">SQRT(($B75-BI$5)^2+($C75-BI$6)^2+($D75-BI$7)^2)</f>
        <v>1.45581739273486</v>
      </c>
      <c r="BJ75" s="74" t="n">
        <f aca="false">SQRT(($B75-BJ$5)^2+($C75-BJ$6)^2+($D75-BJ$7)^2)</f>
        <v>0.395100376033265</v>
      </c>
      <c r="BK75" s="74" t="n">
        <f aca="false">SQRT(($B75-BK$5)^2+($C75-BK$6)^2+($D75-BK$7)^2)</f>
        <v>0.944812972612064</v>
      </c>
      <c r="BL75" s="74" t="n">
        <f aca="false">SQRT(($B75-BL$5)^2+($C75-BL$6)^2+($D75-BL$7)^2)</f>
        <v>0.893830803647496</v>
      </c>
      <c r="BM75" s="74" t="n">
        <f aca="false">SQRT(($B75-BM$5)^2+($C75-BM$6)^2+($D75-BM$7)^2)</f>
        <v>0.600675942456282</v>
      </c>
      <c r="BN75" s="74" t="n">
        <f aca="false">SQRT(($B75-BN$5)^2+($C75-BN$6)^2+($D75-BN$7)^2)</f>
        <v>0</v>
      </c>
      <c r="BO75" s="74" t="n">
        <f aca="false">SQRT(($B75-BO$5)^2+($C75-BO$6)^2+($D75-BO$7)^2)</f>
        <v>1.20289381949415</v>
      </c>
      <c r="BP75" s="74" t="n">
        <f aca="false">SQRT(($B75-BP$5)^2+($C75-BP$6)^2+($D75-BP$7)^2)</f>
        <v>0.228895568768932</v>
      </c>
      <c r="BQ75" s="74" t="n">
        <f aca="false">SQRT(($B75-BQ$5)^2+($C75-BQ$6)^2+($D75-BQ$7)^2)</f>
        <v>0.46226501962884</v>
      </c>
      <c r="BR75" s="74" t="n">
        <f aca="false">SQRT(($B75-BR$5)^2+($C75-BR$6)^2+($D75-BR$7)^2)</f>
        <v>0.50294353053172</v>
      </c>
      <c r="BS75" s="74" t="n">
        <f aca="false">SQRT(($B75-BS$5)^2+($C75-BS$6)^2+($D75-BS$7)^2)</f>
        <v>1.00904275179398</v>
      </c>
      <c r="BT75" s="74" t="n">
        <f aca="false">SQRT(($B75-BT$5)^2+($C75-BT$6)^2+($D75-BT$7)^2)</f>
        <v>0.863790339083529</v>
      </c>
      <c r="BU75" s="74" t="n">
        <f aca="false">SQRT(($B75-BU$5)^2+($C75-BU$6)^2+($D75-BU$7)^2)</f>
        <v>0.853106682259573</v>
      </c>
      <c r="BV75" s="74" t="n">
        <f aca="false">SQRT(($B75-BV$5)^2+($C75-BV$6)^2+($D75-BV$7)^2)</f>
        <v>1.46752829142242</v>
      </c>
      <c r="BW75" s="74" t="n">
        <f aca="false">SQRT(($B75-BW$5)^2+($C75-BW$6)^2+($D75-BW$7)^2)</f>
        <v>0.898635828467975</v>
      </c>
      <c r="BX75" s="74" t="n">
        <f aca="false">SQRT(($B75-BX$5)^2+($C75-BX$6)^2+($D75-BX$7)^2)</f>
        <v>1.46997381540136</v>
      </c>
      <c r="BY75" s="74" t="n">
        <f aca="false">SQRT(($B75-BY$5)^2+($C75-BY$6)^2+($D75-BY$7)^2)</f>
        <v>0.903030075521295</v>
      </c>
      <c r="BZ75" s="74" t="n">
        <f aca="false">SQRT(($B75-BZ$5)^2+($C75-BZ$6)^2+($D75-BZ$7)^2)</f>
        <v>0.925650100585239</v>
      </c>
      <c r="CA75" s="74" t="n">
        <f aca="false">SQRT(($B75-CA$5)^2+($C75-CA$6)^2+($D75-CA$7)^2)</f>
        <v>1.47893533949998</v>
      </c>
      <c r="CB75" s="74" t="n">
        <f aca="false">SQRT(($B75-CB$5)^2+($C75-CB$6)^2+($D75-CB$7)^2)</f>
        <v>0.931406396570198</v>
      </c>
      <c r="CC75" s="74" t="n">
        <f aca="false">SQRT(($B75-CC$5)^2+($C75-CC$6)^2+($D75-CC$7)^2)</f>
        <v>1.48254494207776</v>
      </c>
      <c r="CD75" s="74" t="n">
        <f aca="false">SQRT(($B75-CD$5)^2+($C75-CD$6)^2+($D75-CD$7)^2)</f>
        <v>1.49087456934359</v>
      </c>
      <c r="CE75" s="74" t="n">
        <f aca="false">SQRT(($B75-CE$5)^2+($C75-CE$6)^2+($D75-CE$7)^2)</f>
        <v>0.907915340142524</v>
      </c>
      <c r="CF75" s="74" t="n">
        <f aca="false">SQRT(($B75-CF$5)^2+($C75-CF$6)^2+($D75-CF$7)^2)</f>
        <v>0.483695168557085</v>
      </c>
      <c r="CG75" s="74" t="n">
        <f aca="false">SQRT(($B75-CG$5)^2+($C75-CG$6)^2+($D75-CG$7)^2)</f>
        <v>0.687884632735263</v>
      </c>
      <c r="CH75" s="74" t="n">
        <f aca="false">SQRT(($B75-CH$5)^2+($C75-CH$6)^2+($D75-CH$7)^2)</f>
        <v>1.03575694904459</v>
      </c>
      <c r="CI75" s="74" t="n">
        <f aca="false">SQRT(($B75-CI$5)^2+($C75-CI$6)^2+($D75-CI$7)^2)</f>
        <v>1.10449382206848</v>
      </c>
      <c r="CJ75" s="74" t="n">
        <f aca="false">SQRT(($B75-CJ$5)^2+($C75-CJ$6)^2+($D75-CJ$7)^2)</f>
        <v>1.30388402326251</v>
      </c>
      <c r="CK75" s="74" t="n">
        <f aca="false">SQRT(($B75-CK$5)^2+($C75-CK$6)^2+($D75-CK$7)^2)</f>
        <v>1.00768159331647</v>
      </c>
      <c r="CL75" s="74" t="n">
        <f aca="false">SQRT(($B75-CL$5)^2+($C75-CL$6)^2+($D75-CL$7)^2)</f>
        <v>1.56798199546266</v>
      </c>
      <c r="CM75" s="74" t="n">
        <f aca="false">SQRT(($B75-CM$5)^2+($C75-CM$6)^2+($D75-CM$7)^2)</f>
        <v>1.0836189432401</v>
      </c>
      <c r="CN75" s="74" t="n">
        <f aca="false">SQRT(($B75-CN$5)^2+($C75-CN$6)^2+($D75-CN$7)^2)</f>
        <v>0.936173813606912</v>
      </c>
      <c r="CO75" s="74" t="n">
        <f aca="false">SQRT(($B75-CO$5)^2+($C75-CO$6)^2+($D75-CO$7)^2)</f>
        <v>0.797951650900123</v>
      </c>
      <c r="CP75" s="74" t="n">
        <f aca="false">SQRT(($B75-CP$5)^2+($C75-CP$6)^2+($D75-CP$7)^2)</f>
        <v>1.61196362138986</v>
      </c>
      <c r="CQ75" s="74" t="n">
        <f aca="false">SQRT(($B75-CQ$5)^2+($C75-CQ$6)^2+($D75-CQ$7)^2)</f>
        <v>1.20079971497689</v>
      </c>
      <c r="CR75" s="74" t="n">
        <f aca="false">SQRT(($B75-CR$5)^2+($C75-CR$6)^2+($D75-CR$7)^2)</f>
        <v>1.20148553197987</v>
      </c>
      <c r="CS75" s="74" t="n">
        <f aca="false">SQRT(($B75-CS$5)^2+($C75-CS$6)^2+($D75-CS$7)^2)</f>
        <v>1.65163706894197</v>
      </c>
      <c r="CT75" s="74" t="n">
        <f aca="false">SQRT(($B75-CT$5)^2+($C75-CT$6)^2+($D75-CT$7)^2)</f>
        <v>1.67587312589983</v>
      </c>
      <c r="CU75" s="74" t="n">
        <f aca="false">SQRT(($B75-CU$5)^2+($C75-CU$6)^2+($D75-CU$7)^2)</f>
        <v>1.24441801998773</v>
      </c>
      <c r="CV75" s="74" t="n">
        <f aca="false">SQRT(($B75-CV$5)^2+($C75-CV$6)^2+($D75-CV$7)^2)</f>
        <v>1.2021764311492</v>
      </c>
      <c r="CW75" s="74" t="n">
        <f aca="false">SQRT(($B75-CW$5)^2+($C75-CW$6)^2+($D75-CW$7)^2)</f>
        <v>1.67587312589983</v>
      </c>
      <c r="CX75" s="74" t="n">
        <f aca="false">SQRT(($B75-CX$5)^2+($C75-CX$6)^2+($D75-CX$7)^2)</f>
        <v>1.22340167590008</v>
      </c>
      <c r="CY75" s="74" t="n">
        <f aca="false">SQRT(($B75-CY$5)^2+($C75-CY$6)^2+($D75-CY$7)^2)</f>
        <v>1.70394477403117</v>
      </c>
      <c r="CZ75" s="74" t="n">
        <f aca="false">SQRT(($B75-CZ$5)^2+($C75-CZ$6)^2+($D75-CZ$7)^2)</f>
        <v>1.70394477403117</v>
      </c>
      <c r="DA75" s="74" t="n">
        <f aca="false">SQRT(($B75-DA$5)^2+($C75-DA$6)^2+($D75-DA$7)^2)</f>
        <v>1.33754609647274</v>
      </c>
      <c r="DB75" s="74" t="n">
        <f aca="false">SQRT(($B75-DB$5)^2+($C75-DB$6)^2+($D75-DB$7)^2)</f>
        <v>1.73683936184853</v>
      </c>
      <c r="DC75" s="74" t="n">
        <f aca="false">SQRT(($B75-DC$5)^2+($C75-DC$6)^2+($D75-DC$7)^2)</f>
        <v>1.73683936184853</v>
      </c>
      <c r="DD75" s="74" t="n">
        <f aca="false">SQRT(($B75-DD$5)^2+($C75-DD$6)^2+($D75-DD$7)^2)</f>
        <v>1.43722136846362</v>
      </c>
      <c r="DE75" s="74" t="n">
        <f aca="false">SQRT(($B75-DE$5)^2+($C75-DE$6)^2+($D75-DE$7)^2)</f>
        <v>1.63226484621185</v>
      </c>
      <c r="DF75" s="74" t="n">
        <f aca="false">SQRT(($B75-DF$5)^2+($C75-DF$6)^2+($D75-DF$7)^2)</f>
        <v>1.95830368183276</v>
      </c>
      <c r="DG75" s="74" t="n">
        <f aca="false">SQRT(($B75-DG$5)^2+($C75-DG$6)^2+($D75-DG$7)^2)</f>
        <v>2.06180309792967</v>
      </c>
      <c r="DH75" s="74" t="n">
        <f aca="false">SQRT(($B75-DH$5)^2+($C75-DH$6)^2+($D75-DH$7)^2)</f>
        <v>2.06180309792967</v>
      </c>
      <c r="DI75" s="74" t="n">
        <f aca="false">SQRT(($B75-DI$5)^2+($C75-DI$6)^2+($D75-DI$7)^2)</f>
        <v>2.06180309792967</v>
      </c>
      <c r="DJ75" s="74" t="n">
        <f aca="false">SQRT(($B75-DJ$5)^2+($C75-DJ$6)^2+($D75-DJ$7)^2)</f>
        <v>2.06180309792967</v>
      </c>
      <c r="DK75" s="74" t="n">
        <f aca="false">SQRT(($B75-DK$5)^2+($C75-DK$6)^2+($D75-DK$7)^2)</f>
        <v>2.21666293385688</v>
      </c>
      <c r="DL75" s="74" t="n">
        <f aca="false">SQRT(($B75-DL$5)^2+($C75-DL$6)^2+($D75-DL$7)^2)</f>
        <v>2.21666293385688</v>
      </c>
      <c r="DM75" s="74" t="n">
        <f aca="false">SQRT(($B75-DM$5)^2+($C75-DM$6)^2+($D75-DM$7)^2)</f>
        <v>2.21666293385688</v>
      </c>
      <c r="DN75" s="74" t="n">
        <f aca="false">SQRT(($B75-DN$5)^2+($C75-DN$6)^2+($D75-DN$7)^2)</f>
        <v>2.21666293385688</v>
      </c>
      <c r="DO75" s="74" t="n">
        <f aca="false">SQRT(($B75-DO$5)^2+($C75-DO$6)^2+($D75-DO$7)^2)</f>
        <v>2.21666293385688</v>
      </c>
      <c r="DP75" s="74" t="n">
        <f aca="false">SQRT(($B75-DP$5)^2+($C75-DP$6)^2+($D75-DP$7)^2)</f>
        <v>2.50050689361822</v>
      </c>
      <c r="DQ75" s="74" t="n">
        <f aca="false">SQRT(($B75-DQ$5)^2+($C75-DQ$6)^2+($D75-DQ$7)^2)</f>
        <v>2.50050689361822</v>
      </c>
    </row>
    <row r="76" customFormat="false" ht="15" hidden="false" customHeight="false" outlineLevel="0" collapsed="false">
      <c r="A76" s="48" t="str">
        <f aca="false">KMeans_Data!A67</f>
        <v>Hafizabad</v>
      </c>
      <c r="B76" s="72" t="n">
        <f aca="false">KMeans_Data!H67</f>
        <v>-0.0648939235999031</v>
      </c>
      <c r="C76" s="72" t="n">
        <f aca="false">KMeans_Data!I67</f>
        <v>-0.672650545388274</v>
      </c>
      <c r="D76" s="72" t="n">
        <f aca="false">KMeans_Data!J67</f>
        <v>-0.824446015898766</v>
      </c>
      <c r="E76" s="74" t="n">
        <f aca="false">SQRT(($B76-E$5)^2+($C76-E$6)^2+($D76-E$7)^2)</f>
        <v>7.06907020065435</v>
      </c>
      <c r="F76" s="74" t="n">
        <f aca="false">SQRT(($B76-F$5)^2+($C76-F$6)^2+($D76-F$7)^2)</f>
        <v>6.82629119004401</v>
      </c>
      <c r="G76" s="74" t="n">
        <f aca="false">SQRT(($B76-G$5)^2+($C76-G$6)^2+($D76-G$7)^2)</f>
        <v>4.99234421031922</v>
      </c>
      <c r="H76" s="74" t="n">
        <f aca="false">SQRT(($B76-H$5)^2+($C76-H$6)^2+($D76-H$7)^2)</f>
        <v>5.46003355592841</v>
      </c>
      <c r="I76" s="74" t="n">
        <f aca="false">SQRT(($B76-I$5)^2+($C76-I$6)^2+($D76-I$7)^2)</f>
        <v>4.34212870840476</v>
      </c>
      <c r="J76" s="74" t="n">
        <f aca="false">SQRT(($B76-J$5)^2+($C76-J$6)^2+($D76-J$7)^2)</f>
        <v>4.00041351901798</v>
      </c>
      <c r="K76" s="74" t="n">
        <f aca="false">SQRT(($B76-K$5)^2+($C76-K$6)^2+($D76-K$7)^2)</f>
        <v>1.63291986574935</v>
      </c>
      <c r="L76" s="74" t="n">
        <f aca="false">SQRT(($B76-L$5)^2+($C76-L$6)^2+($D76-L$7)^2)</f>
        <v>3.20125021655525</v>
      </c>
      <c r="M76" s="74" t="n">
        <f aca="false">SQRT(($B76-M$5)^2+($C76-M$6)^2+($D76-M$7)^2)</f>
        <v>3.41387557433769</v>
      </c>
      <c r="N76" s="74" t="n">
        <f aca="false">SQRT(($B76-N$5)^2+($C76-N$6)^2+($D76-N$7)^2)</f>
        <v>1.37119566702779</v>
      </c>
      <c r="O76" s="74" t="n">
        <f aca="false">SQRT(($B76-O$5)^2+($C76-O$6)^2+($D76-O$7)^2)</f>
        <v>3.05896267765943</v>
      </c>
      <c r="P76" s="74" t="n">
        <f aca="false">SQRT(($B76-P$5)^2+($C76-P$6)^2+($D76-P$7)^2)</f>
        <v>3.36823840673118</v>
      </c>
      <c r="Q76" s="74" t="n">
        <f aca="false">SQRT(($B76-Q$5)^2+($C76-Q$6)^2+($D76-Q$7)^2)</f>
        <v>2.76257675685378</v>
      </c>
      <c r="R76" s="74" t="n">
        <f aca="false">SQRT(($B76-R$5)^2+($C76-R$6)^2+($D76-R$7)^2)</f>
        <v>2.75437055778799</v>
      </c>
      <c r="S76" s="74" t="n">
        <f aca="false">SQRT(($B76-S$5)^2+($C76-S$6)^2+($D76-S$7)^2)</f>
        <v>2.32215499672009</v>
      </c>
      <c r="T76" s="74" t="n">
        <f aca="false">SQRT(($B76-T$5)^2+($C76-T$6)^2+($D76-T$7)^2)</f>
        <v>2.67741043381806</v>
      </c>
      <c r="U76" s="74" t="n">
        <f aca="false">SQRT(($B76-U$5)^2+($C76-U$6)^2+($D76-U$7)^2)</f>
        <v>2.79199492153443</v>
      </c>
      <c r="V76" s="74" t="n">
        <f aca="false">SQRT(($B76-V$5)^2+($C76-V$6)^2+($D76-V$7)^2)</f>
        <v>2.67243646047826</v>
      </c>
      <c r="W76" s="74" t="n">
        <f aca="false">SQRT(($B76-W$5)^2+($C76-W$6)^2+($D76-W$7)^2)</f>
        <v>2.8548665956389</v>
      </c>
      <c r="X76" s="74" t="n">
        <f aca="false">SQRT(($B76-X$5)^2+($C76-X$6)^2+($D76-X$7)^2)</f>
        <v>2.54237180727841</v>
      </c>
      <c r="Y76" s="74" t="n">
        <f aca="false">SQRT(($B76-Y$5)^2+($C76-Y$6)^2+($D76-Y$7)^2)</f>
        <v>2.6996845718399</v>
      </c>
      <c r="Z76" s="74" t="n">
        <f aca="false">SQRT(($B76-Z$5)^2+($C76-Z$6)^2+($D76-Z$7)^2)</f>
        <v>2.2322118912936</v>
      </c>
      <c r="AA76" s="74" t="n">
        <f aca="false">SQRT(($B76-AA$5)^2+($C76-AA$6)^2+($D76-AA$7)^2)</f>
        <v>2.1440691860743</v>
      </c>
      <c r="AB76" s="74" t="n">
        <f aca="false">SQRT(($B76-AB$5)^2+($C76-AB$6)^2+($D76-AB$7)^2)</f>
        <v>2.10580411903411</v>
      </c>
      <c r="AC76" s="74" t="n">
        <f aca="false">SQRT(($B76-AC$5)^2+($C76-AC$6)^2+($D76-AC$7)^2)</f>
        <v>2.7038699020637</v>
      </c>
      <c r="AD76" s="74" t="n">
        <f aca="false">SQRT(($B76-AD$5)^2+($C76-AD$6)^2+($D76-AD$7)^2)</f>
        <v>2.68280700945331</v>
      </c>
      <c r="AE76" s="74" t="n">
        <f aca="false">SQRT(($B76-AE$5)^2+($C76-AE$6)^2+($D76-AE$7)^2)</f>
        <v>0.940425373676004</v>
      </c>
      <c r="AF76" s="74" t="n">
        <f aca="false">SQRT(($B76-AF$5)^2+($C76-AF$6)^2+($D76-AF$7)^2)</f>
        <v>2.2745877425809</v>
      </c>
      <c r="AG76" s="74" t="n">
        <f aca="false">SQRT(($B76-AG$5)^2+($C76-AG$6)^2+($D76-AG$7)^2)</f>
        <v>0.770247756983905</v>
      </c>
      <c r="AH76" s="74" t="n">
        <f aca="false">SQRT(($B76-AH$5)^2+($C76-AH$6)^2+($D76-AH$7)^2)</f>
        <v>1.91999012402401</v>
      </c>
      <c r="AI76" s="74" t="n">
        <f aca="false">SQRT(($B76-AI$5)^2+($C76-AI$6)^2+($D76-AI$7)^2)</f>
        <v>0.767609923353145</v>
      </c>
      <c r="AJ76" s="74" t="n">
        <f aca="false">SQRT(($B76-AJ$5)^2+($C76-AJ$6)^2+($D76-AJ$7)^2)</f>
        <v>2.37615931109489</v>
      </c>
      <c r="AK76" s="74" t="n">
        <f aca="false">SQRT(($B76-AK$5)^2+($C76-AK$6)^2+($D76-AK$7)^2)</f>
        <v>1.6418890564336</v>
      </c>
      <c r="AL76" s="74" t="n">
        <f aca="false">SQRT(($B76-AL$5)^2+($C76-AL$6)^2+($D76-AL$7)^2)</f>
        <v>1.57260453326532</v>
      </c>
      <c r="AM76" s="74" t="n">
        <f aca="false">SQRT(($B76-AM$5)^2+($C76-AM$6)^2+($D76-AM$7)^2)</f>
        <v>2.40848059706762</v>
      </c>
      <c r="AN76" s="74" t="n">
        <f aca="false">SQRT(($B76-AN$5)^2+($C76-AN$6)^2+($D76-AN$7)^2)</f>
        <v>2.44134641429941</v>
      </c>
      <c r="AO76" s="74" t="n">
        <f aca="false">SQRT(($B76-AO$5)^2+($C76-AO$6)^2+($D76-AO$7)^2)</f>
        <v>1.79307439947672</v>
      </c>
      <c r="AP76" s="74" t="n">
        <f aca="false">SQRT(($B76-AP$5)^2+($C76-AP$6)^2+($D76-AP$7)^2)</f>
        <v>1.73205103382771</v>
      </c>
      <c r="AQ76" s="74" t="n">
        <f aca="false">SQRT(($B76-AQ$5)^2+($C76-AQ$6)^2+($D76-AQ$7)^2)</f>
        <v>2.47349887982408</v>
      </c>
      <c r="AR76" s="74" t="n">
        <f aca="false">SQRT(($B76-AR$5)^2+($C76-AR$6)^2+($D76-AR$7)^2)</f>
        <v>1.20713509376952</v>
      </c>
      <c r="AS76" s="74" t="n">
        <f aca="false">SQRT(($B76-AS$5)^2+($C76-AS$6)^2+($D76-AS$7)^2)</f>
        <v>1.87473775185332</v>
      </c>
      <c r="AT76" s="74" t="n">
        <f aca="false">SQRT(($B76-AT$5)^2+($C76-AT$6)^2+($D76-AT$7)^2)</f>
        <v>1.71662538286724</v>
      </c>
      <c r="AU76" s="74" t="n">
        <f aca="false">SQRT(($B76-AU$5)^2+($C76-AU$6)^2+($D76-AU$7)^2)</f>
        <v>0.647047089951422</v>
      </c>
      <c r="AV76" s="74" t="n">
        <f aca="false">SQRT(($B76-AV$5)^2+($C76-AV$6)^2+($D76-AV$7)^2)</f>
        <v>1.37738425477471</v>
      </c>
      <c r="AW76" s="74" t="n">
        <f aca="false">SQRT(($B76-AW$5)^2+($C76-AW$6)^2+($D76-AW$7)^2)</f>
        <v>0.303510157385617</v>
      </c>
      <c r="AX76" s="74" t="n">
        <f aca="false">SQRT(($B76-AX$5)^2+($C76-AX$6)^2+($D76-AX$7)^2)</f>
        <v>1.49573005571532</v>
      </c>
      <c r="AY76" s="74" t="n">
        <f aca="false">SQRT(($B76-AY$5)^2+($C76-AY$6)^2+($D76-AY$7)^2)</f>
        <v>0.416958953553995</v>
      </c>
      <c r="AZ76" s="74" t="n">
        <f aca="false">SQRT(($B76-AZ$5)^2+($C76-AZ$6)^2+($D76-AZ$7)^2)</f>
        <v>1.87589805682031</v>
      </c>
      <c r="BA76" s="74" t="n">
        <f aca="false">SQRT(($B76-BA$5)^2+($C76-BA$6)^2+($D76-BA$7)^2)</f>
        <v>1.72301591750232</v>
      </c>
      <c r="BB76" s="74" t="n">
        <f aca="false">SQRT(($B76-BB$5)^2+($C76-BB$6)^2+($D76-BB$7)^2)</f>
        <v>0.412815213760596</v>
      </c>
      <c r="BC76" s="74" t="n">
        <f aca="false">SQRT(($B76-BC$5)^2+($C76-BC$6)^2+($D76-BC$7)^2)</f>
        <v>0.408682760465912</v>
      </c>
      <c r="BD76" s="74" t="n">
        <f aca="false">SQRT(($B76-BD$5)^2+($C76-BD$6)^2+($D76-BD$7)^2)</f>
        <v>0.396385897389426</v>
      </c>
      <c r="BE76" s="74" t="n">
        <f aca="false">SQRT(($B76-BE$5)^2+($C76-BE$6)^2+($D76-BE$7)^2)</f>
        <v>0.620176189168314</v>
      </c>
      <c r="BF76" s="74" t="n">
        <f aca="false">SQRT(($B76-BF$5)^2+($C76-BF$6)^2+($D76-BF$7)^2)</f>
        <v>2.61001279814816</v>
      </c>
      <c r="BG76" s="74" t="n">
        <f aca="false">SQRT(($B76-BG$5)^2+($C76-BG$6)^2+($D76-BG$7)^2)</f>
        <v>1.54447292648382</v>
      </c>
      <c r="BH76" s="74" t="n">
        <f aca="false">SQRT(($B76-BH$5)^2+($C76-BH$6)^2+($D76-BH$7)^2)</f>
        <v>0.354382929431542</v>
      </c>
      <c r="BI76" s="74" t="n">
        <f aca="false">SQRT(($B76-BI$5)^2+($C76-BI$6)^2+($D76-BI$7)^2)</f>
        <v>0.347723977188551</v>
      </c>
      <c r="BJ76" s="74" t="n">
        <f aca="false">SQRT(($B76-BJ$5)^2+($C76-BJ$6)^2+($D76-BJ$7)^2)</f>
        <v>1.47889983341709</v>
      </c>
      <c r="BK76" s="74" t="n">
        <f aca="false">SQRT(($B76-BK$5)^2+($C76-BK$6)^2+($D76-BK$7)^2)</f>
        <v>0.430471765221783</v>
      </c>
      <c r="BL76" s="74" t="n">
        <f aca="false">SQRT(($B76-BL$5)^2+($C76-BL$6)^2+($D76-BL$7)^2)</f>
        <v>1.19015404454119</v>
      </c>
      <c r="BM76" s="74" t="n">
        <f aca="false">SQRT(($B76-BM$5)^2+($C76-BM$6)^2+($D76-BM$7)^2)</f>
        <v>1.80274404936678</v>
      </c>
      <c r="BN76" s="74" t="n">
        <f aca="false">SQRT(($B76-BN$5)^2+($C76-BN$6)^2+($D76-BN$7)^2)</f>
        <v>1.20289381949415</v>
      </c>
      <c r="BO76" s="74" t="n">
        <f aca="false">SQRT(($B76-BO$5)^2+($C76-BO$6)^2+($D76-BO$7)^2)</f>
        <v>0</v>
      </c>
      <c r="BP76" s="74" t="n">
        <f aca="false">SQRT(($B76-BP$5)^2+($C76-BP$6)^2+($D76-BP$7)^2)</f>
        <v>1.37205326654314</v>
      </c>
      <c r="BQ76" s="74" t="n">
        <f aca="false">SQRT(($B76-BQ$5)^2+($C76-BQ$6)^2+($D76-BQ$7)^2)</f>
        <v>1.31642107204507</v>
      </c>
      <c r="BR76" s="74" t="n">
        <f aca="false">SQRT(($B76-BR$5)^2+($C76-BR$6)^2+($D76-BR$7)^2)</f>
        <v>1.36231230511354</v>
      </c>
      <c r="BS76" s="74" t="n">
        <f aca="false">SQRT(($B76-BS$5)^2+($C76-BS$6)^2+($D76-BS$7)^2)</f>
        <v>1.42580934773319</v>
      </c>
      <c r="BT76" s="74" t="n">
        <f aca="false">SQRT(($B76-BT$5)^2+($C76-BT$6)^2+($D76-BT$7)^2)</f>
        <v>1.02912443813097</v>
      </c>
      <c r="BU76" s="74" t="n">
        <f aca="false">SQRT(($B76-BU$5)^2+($C76-BU$6)^2+($D76-BU$7)^2)</f>
        <v>0.945617169933127</v>
      </c>
      <c r="BV76" s="74" t="n">
        <f aca="false">SQRT(($B76-BV$5)^2+($C76-BV$6)^2+($D76-BV$7)^2)</f>
        <v>0.375765532515963</v>
      </c>
      <c r="BW76" s="74" t="n">
        <f aca="false">SQRT(($B76-BW$5)^2+($C76-BW$6)^2+($D76-BW$7)^2)</f>
        <v>1.1310250212772</v>
      </c>
      <c r="BX76" s="74" t="n">
        <f aca="false">SQRT(($B76-BX$5)^2+($C76-BX$6)^2+($D76-BX$7)^2)</f>
        <v>0.384321359093681</v>
      </c>
      <c r="BY76" s="74" t="n">
        <f aca="false">SQRT(($B76-BY$5)^2+($C76-BY$6)^2+($D76-BY$7)^2)</f>
        <v>0.687395949791673</v>
      </c>
      <c r="BZ76" s="74" t="n">
        <f aca="false">SQRT(($B76-BZ$5)^2+($C76-BZ$6)^2+($D76-BZ$7)^2)</f>
        <v>0.637013762514053</v>
      </c>
      <c r="CA76" s="74" t="n">
        <f aca="false">SQRT(($B76-CA$5)^2+($C76-CA$6)^2+($D76-CA$7)^2)</f>
        <v>0.414671534358326</v>
      </c>
      <c r="CB76" s="74" t="n">
        <f aca="false">SQRT(($B76-CB$5)^2+($C76-CB$6)^2+($D76-CB$7)^2)</f>
        <v>0.64474817150454</v>
      </c>
      <c r="CC76" s="74" t="n">
        <f aca="false">SQRT(($B76-CC$5)^2+($C76-CC$6)^2+($D76-CC$7)^2)</f>
        <v>0.426457679533652</v>
      </c>
      <c r="CD76" s="74" t="n">
        <f aca="false">SQRT(($B76-CD$5)^2+($C76-CD$6)^2+($D76-CD$7)^2)</f>
        <v>0.452763318453459</v>
      </c>
      <c r="CE76" s="74" t="n">
        <f aca="false">SQRT(($B76-CE$5)^2+($C76-CE$6)^2+($D76-CE$7)^2)</f>
        <v>0.93145704337276</v>
      </c>
      <c r="CF76" s="74" t="n">
        <f aca="false">SQRT(($B76-CF$5)^2+($C76-CF$6)^2+($D76-CF$7)^2)</f>
        <v>1.14896088542333</v>
      </c>
      <c r="CG76" s="74" t="n">
        <f aca="false">SQRT(($B76-CG$5)^2+($C76-CG$6)^2+($D76-CG$7)^2)</f>
        <v>0.788345078934218</v>
      </c>
      <c r="CH76" s="74" t="n">
        <f aca="false">SQRT(($B76-CH$5)^2+($C76-CH$6)^2+($D76-CH$7)^2)</f>
        <v>0.587504668926181</v>
      </c>
      <c r="CI76" s="74" t="n">
        <f aca="false">SQRT(($B76-CI$5)^2+($C76-CI$6)^2+($D76-CI$7)^2)</f>
        <v>0.557485342900261</v>
      </c>
      <c r="CJ76" s="74" t="n">
        <f aca="false">SQRT(($B76-CJ$5)^2+($C76-CJ$6)^2+($D76-CJ$7)^2)</f>
        <v>0.482351850953064</v>
      </c>
      <c r="CK76" s="74" t="n">
        <f aca="false">SQRT(($B76-CK$5)^2+($C76-CK$6)^2+($D76-CK$7)^2)</f>
        <v>0.957029342655325</v>
      </c>
      <c r="CL76" s="74" t="n">
        <f aca="false">SQRT(($B76-CL$5)^2+($C76-CL$6)^2+($D76-CL$7)^2)</f>
        <v>0.655833411836191</v>
      </c>
      <c r="CM76" s="74" t="n">
        <f aca="false">SQRT(($B76-CM$5)^2+($C76-CM$6)^2+($D76-CM$7)^2)</f>
        <v>0.765583934921567</v>
      </c>
      <c r="CN76" s="74" t="n">
        <f aca="false">SQRT(($B76-CN$5)^2+($C76-CN$6)^2+($D76-CN$7)^2)</f>
        <v>1.67292419180425</v>
      </c>
      <c r="CO76" s="74" t="n">
        <f aca="false">SQRT(($B76-CO$5)^2+($C76-CO$6)^2+($D76-CO$7)^2)</f>
        <v>1.07294700765696</v>
      </c>
      <c r="CP76" s="74" t="n">
        <f aca="false">SQRT(($B76-CP$5)^2+($C76-CP$6)^2+($D76-CP$7)^2)</f>
        <v>0.751920470928636</v>
      </c>
      <c r="CQ76" s="74" t="n">
        <f aca="false">SQRT(($B76-CQ$5)^2+($C76-CQ$6)^2+($D76-CQ$7)^2)</f>
        <v>0.837187944664135</v>
      </c>
      <c r="CR76" s="74" t="n">
        <f aca="false">SQRT(($B76-CR$5)^2+($C76-CR$6)^2+($D76-CR$7)^2)</f>
        <v>0.920418023224497</v>
      </c>
      <c r="CS76" s="74" t="n">
        <f aca="false">SQRT(($B76-CS$5)^2+($C76-CS$6)^2+($D76-CS$7)^2)</f>
        <v>0.831365166546687</v>
      </c>
      <c r="CT76" s="74" t="n">
        <f aca="false">SQRT(($B76-CT$5)^2+($C76-CT$6)^2+($D76-CT$7)^2)</f>
        <v>0.877328811114418</v>
      </c>
      <c r="CU76" s="74" t="n">
        <f aca="false">SQRT(($B76-CU$5)^2+($C76-CU$6)^2+($D76-CU$7)^2)</f>
        <v>0.971011766436566</v>
      </c>
      <c r="CV76" s="74" t="n">
        <f aca="false">SQRT(($B76-CV$5)^2+($C76-CV$6)^2+($D76-CV$7)^2)</f>
        <v>1.36153540796364</v>
      </c>
      <c r="CW76" s="74" t="n">
        <f aca="false">SQRT(($B76-CW$5)^2+($C76-CW$6)^2+($D76-CW$7)^2)</f>
        <v>0.877328811114418</v>
      </c>
      <c r="CX76" s="74" t="n">
        <f aca="false">SQRT(($B76-CX$5)^2+($C76-CX$6)^2+($D76-CX$7)^2)</f>
        <v>1.17606496783065</v>
      </c>
      <c r="CY76" s="74" t="n">
        <f aca="false">SQRT(($B76-CY$5)^2+($C76-CY$6)^2+($D76-CY$7)^2)</f>
        <v>0.928575629570402</v>
      </c>
      <c r="CZ76" s="74" t="n">
        <f aca="false">SQRT(($B76-CZ$5)^2+($C76-CZ$6)^2+($D76-CZ$7)^2)</f>
        <v>0.928575629570402</v>
      </c>
      <c r="DA76" s="74" t="n">
        <f aca="false">SQRT(($B76-DA$5)^2+($C76-DA$6)^2+($D76-DA$7)^2)</f>
        <v>0.928575629570402</v>
      </c>
      <c r="DB76" s="74" t="n">
        <f aca="false">SQRT(($B76-DB$5)^2+($C76-DB$6)^2+($D76-DB$7)^2)</f>
        <v>0.986321920950627</v>
      </c>
      <c r="DC76" s="74" t="n">
        <f aca="false">SQRT(($B76-DC$5)^2+($C76-DC$6)^2+($D76-DC$7)^2)</f>
        <v>0.986321920950627</v>
      </c>
      <c r="DD76" s="74" t="n">
        <f aca="false">SQRT(($B76-DD$5)^2+($C76-DD$6)^2+($D76-DD$7)^2)</f>
        <v>0.951296446827158</v>
      </c>
      <c r="DE76" s="74" t="n">
        <f aca="false">SQRT(($B76-DE$5)^2+($C76-DE$6)^2+($D76-DE$7)^2)</f>
        <v>1.08228697575494</v>
      </c>
      <c r="DF76" s="74" t="n">
        <f aca="false">SQRT(($B76-DF$5)^2+($C76-DF$6)^2+($D76-DF$7)^2)</f>
        <v>1.33260771048975</v>
      </c>
      <c r="DG76" s="74" t="n">
        <f aca="false">SQRT(($B76-DG$5)^2+($C76-DG$6)^2+($D76-DG$7)^2)</f>
        <v>1.47836379313704</v>
      </c>
      <c r="DH76" s="74" t="n">
        <f aca="false">SQRT(($B76-DH$5)^2+($C76-DH$6)^2+($D76-DH$7)^2)</f>
        <v>1.47836379313704</v>
      </c>
      <c r="DI76" s="74" t="n">
        <f aca="false">SQRT(($B76-DI$5)^2+($C76-DI$6)^2+($D76-DI$7)^2)</f>
        <v>1.47836379313704</v>
      </c>
      <c r="DJ76" s="74" t="n">
        <f aca="false">SQRT(($B76-DJ$5)^2+($C76-DJ$6)^2+($D76-DJ$7)^2)</f>
        <v>1.47836379313704</v>
      </c>
      <c r="DK76" s="74" t="n">
        <f aca="false">SQRT(($B76-DK$5)^2+($C76-DK$6)^2+($D76-DK$7)^2)</f>
        <v>1.68497910936832</v>
      </c>
      <c r="DL76" s="74" t="n">
        <f aca="false">SQRT(($B76-DL$5)^2+($C76-DL$6)^2+($D76-DL$7)^2)</f>
        <v>1.68497910936832</v>
      </c>
      <c r="DM76" s="74" t="n">
        <f aca="false">SQRT(($B76-DM$5)^2+($C76-DM$6)^2+($D76-DM$7)^2)</f>
        <v>1.68497910936832</v>
      </c>
      <c r="DN76" s="74" t="n">
        <f aca="false">SQRT(($B76-DN$5)^2+($C76-DN$6)^2+($D76-DN$7)^2)</f>
        <v>1.68497910936832</v>
      </c>
      <c r="DO76" s="74" t="n">
        <f aca="false">SQRT(($B76-DO$5)^2+($C76-DO$6)^2+($D76-DO$7)^2)</f>
        <v>1.68497910936832</v>
      </c>
      <c r="DP76" s="74" t="n">
        <f aca="false">SQRT(($B76-DP$5)^2+($C76-DP$6)^2+($D76-DP$7)^2)</f>
        <v>2.04028546987929</v>
      </c>
      <c r="DQ76" s="74" t="n">
        <f aca="false">SQRT(($B76-DQ$5)^2+($C76-DQ$6)^2+($D76-DQ$7)^2)</f>
        <v>2.04028546987929</v>
      </c>
    </row>
    <row r="77" customFormat="false" ht="15" hidden="false" customHeight="false" outlineLevel="0" collapsed="false">
      <c r="A77" s="48" t="str">
        <f aca="false">KMeans_Data!A68</f>
        <v>Mirpurkhas</v>
      </c>
      <c r="B77" s="72" t="n">
        <f aca="false">KMeans_Data!H68</f>
        <v>-0.0984842888309702</v>
      </c>
      <c r="C77" s="72" t="n">
        <f aca="false">KMeans_Data!I68</f>
        <v>0.160512589624996</v>
      </c>
      <c r="D77" s="72" t="n">
        <f aca="false">KMeans_Data!J68</f>
        <v>0.265159896369606</v>
      </c>
      <c r="E77" s="74" t="n">
        <f aca="false">SQRT(($B77-E$5)^2+($C77-E$6)^2+($D77-E$7)^2)</f>
        <v>5.94497441444557</v>
      </c>
      <c r="F77" s="74" t="n">
        <f aca="false">SQRT(($B77-F$5)^2+($C77-F$6)^2+($D77-F$7)^2)</f>
        <v>5.74612322678282</v>
      </c>
      <c r="G77" s="74" t="n">
        <f aca="false">SQRT(($B77-G$5)^2+($C77-G$6)^2+($D77-G$7)^2)</f>
        <v>3.88060451935273</v>
      </c>
      <c r="H77" s="74" t="n">
        <f aca="false">SQRT(($B77-H$5)^2+($C77-H$6)^2+($D77-H$7)^2)</f>
        <v>4.40796311410467</v>
      </c>
      <c r="I77" s="74" t="n">
        <f aca="false">SQRT(($B77-I$5)^2+($C77-I$6)^2+($D77-I$7)^2)</f>
        <v>3.29089395276862</v>
      </c>
      <c r="J77" s="74" t="n">
        <f aca="false">SQRT(($B77-J$5)^2+($C77-J$6)^2+($D77-J$7)^2)</f>
        <v>2.86532397110915</v>
      </c>
      <c r="K77" s="74" t="n">
        <f aca="false">SQRT(($B77-K$5)^2+($C77-K$6)^2+($D77-K$7)^2)</f>
        <v>1.80415706349731</v>
      </c>
      <c r="L77" s="74" t="n">
        <f aca="false">SQRT(($B77-L$5)^2+($C77-L$6)^2+($D77-L$7)^2)</f>
        <v>2.09900330827948</v>
      </c>
      <c r="M77" s="74" t="n">
        <f aca="false">SQRT(($B77-M$5)^2+($C77-M$6)^2+($D77-M$7)^2)</f>
        <v>2.2347970559497</v>
      </c>
      <c r="N77" s="74" t="n">
        <f aca="false">SQRT(($B77-N$5)^2+($C77-N$6)^2+($D77-N$7)^2)</f>
        <v>1.72390665882089</v>
      </c>
      <c r="O77" s="74" t="n">
        <f aca="false">SQRT(($B77-O$5)^2+($C77-O$6)^2+($D77-O$7)^2)</f>
        <v>1.94678933194869</v>
      </c>
      <c r="P77" s="74" t="n">
        <f aca="false">SQRT(($B77-P$5)^2+($C77-P$6)^2+($D77-P$7)^2)</f>
        <v>2.21368653351875</v>
      </c>
      <c r="Q77" s="74" t="n">
        <f aca="false">SQRT(($B77-Q$5)^2+($C77-Q$6)^2+($D77-Q$7)^2)</f>
        <v>1.63120922452748</v>
      </c>
      <c r="R77" s="74" t="n">
        <f aca="false">SQRT(($B77-R$5)^2+($C77-R$6)^2+($D77-R$7)^2)</f>
        <v>1.67042015284584</v>
      </c>
      <c r="S77" s="74" t="n">
        <f aca="false">SQRT(($B77-S$5)^2+($C77-S$6)^2+($D77-S$7)^2)</f>
        <v>1.4599834067485</v>
      </c>
      <c r="T77" s="74" t="n">
        <f aca="false">SQRT(($B77-T$5)^2+($C77-T$6)^2+($D77-T$7)^2)</f>
        <v>1.54062229395736</v>
      </c>
      <c r="U77" s="74" t="n">
        <f aca="false">SQRT(($B77-U$5)^2+($C77-U$6)^2+($D77-U$7)^2)</f>
        <v>1.65607958894422</v>
      </c>
      <c r="V77" s="74" t="n">
        <f aca="false">SQRT(($B77-V$5)^2+($C77-V$6)^2+($D77-V$7)^2)</f>
        <v>1.58739534481823</v>
      </c>
      <c r="W77" s="74" t="n">
        <f aca="false">SQRT(($B77-W$5)^2+($C77-W$6)^2+($D77-W$7)^2)</f>
        <v>1.68504300400339</v>
      </c>
      <c r="X77" s="74" t="n">
        <f aca="false">SQRT(($B77-X$5)^2+($C77-X$6)^2+($D77-X$7)^2)</f>
        <v>1.37556688099178</v>
      </c>
      <c r="Y77" s="74" t="n">
        <f aca="false">SQRT(($B77-Y$5)^2+($C77-Y$6)^2+($D77-Y$7)^2)</f>
        <v>1.48609272633789</v>
      </c>
      <c r="Z77" s="74" t="n">
        <f aca="false">SQRT(($B77-Z$5)^2+($C77-Z$6)^2+($D77-Z$7)^2)</f>
        <v>1.14859511554463</v>
      </c>
      <c r="AA77" s="74" t="n">
        <f aca="false">SQRT(($B77-AA$5)^2+($C77-AA$6)^2+($D77-AA$7)^2)</f>
        <v>1.12261048222785</v>
      </c>
      <c r="AB77" s="74" t="n">
        <f aca="false">SQRT(($B77-AB$5)^2+($C77-AB$6)^2+($D77-AB$7)^2)</f>
        <v>1.04382712431361</v>
      </c>
      <c r="AC77" s="74" t="n">
        <f aca="false">SQRT(($B77-AC$5)^2+($C77-AC$6)^2+($D77-AC$7)^2)</f>
        <v>1.56332399943818</v>
      </c>
      <c r="AD77" s="74" t="n">
        <f aca="false">SQRT(($B77-AD$5)^2+($C77-AD$6)^2+($D77-AD$7)^2)</f>
        <v>1.4457901724883</v>
      </c>
      <c r="AE77" s="74" t="n">
        <f aca="false">SQRT(($B77-AE$5)^2+($C77-AE$6)^2+($D77-AE$7)^2)</f>
        <v>1.62440504187555</v>
      </c>
      <c r="AF77" s="74" t="n">
        <f aca="false">SQRT(($B77-AF$5)^2+($C77-AF$6)^2+($D77-AF$7)^2)</f>
        <v>1.06643812797149</v>
      </c>
      <c r="AG77" s="74" t="n">
        <f aca="false">SQRT(($B77-AG$5)^2+($C77-AG$6)^2+($D77-AG$7)^2)</f>
        <v>1.26241444510253</v>
      </c>
      <c r="AH77" s="74" t="n">
        <f aca="false">SQRT(($B77-AH$5)^2+($C77-AH$6)^2+($D77-AH$7)^2)</f>
        <v>0.850852900143624</v>
      </c>
      <c r="AI77" s="74" t="n">
        <f aca="false">SQRT(($B77-AI$5)^2+($C77-AI$6)^2+($D77-AI$7)^2)</f>
        <v>1.26072243625201</v>
      </c>
      <c r="AJ77" s="74" t="n">
        <f aca="false">SQRT(($B77-AJ$5)^2+($C77-AJ$6)^2+($D77-AJ$7)^2)</f>
        <v>1.14638294428255</v>
      </c>
      <c r="AK77" s="74" t="n">
        <f aca="false">SQRT(($B77-AK$5)^2+($C77-AK$6)^2+($D77-AK$7)^2)</f>
        <v>0.667140941548857</v>
      </c>
      <c r="AL77" s="74" t="n">
        <f aca="false">SQRT(($B77-AL$5)^2+($C77-AL$6)^2+($D77-AL$7)^2)</f>
        <v>0.719028981714968</v>
      </c>
      <c r="AM77" s="74" t="n">
        <f aca="false">SQRT(($B77-AM$5)^2+($C77-AM$6)^2+($D77-AM$7)^2)</f>
        <v>1.3534070161895</v>
      </c>
      <c r="AN77" s="74" t="n">
        <f aca="false">SQRT(($B77-AN$5)^2+($C77-AN$6)^2+($D77-AN$7)^2)</f>
        <v>1.2175213264876</v>
      </c>
      <c r="AO77" s="74" t="n">
        <f aca="false">SQRT(($B77-AO$5)^2+($C77-AO$6)^2+($D77-AO$7)^2)</f>
        <v>0.637080292659256</v>
      </c>
      <c r="AP77" s="74" t="n">
        <f aca="false">SQRT(($B77-AP$5)^2+($C77-AP$6)^2+($D77-AP$7)^2)</f>
        <v>0.603336101438952</v>
      </c>
      <c r="AQ77" s="74" t="n">
        <f aca="false">SQRT(($B77-AQ$5)^2+($C77-AQ$6)^2+($D77-AQ$7)^2)</f>
        <v>1.27468723342213</v>
      </c>
      <c r="AR77" s="74" t="n">
        <f aca="false">SQRT(($B77-AR$5)^2+($C77-AR$6)^2+($D77-AR$7)^2)</f>
        <v>0.597227267261683</v>
      </c>
      <c r="AS77" s="74" t="n">
        <f aca="false">SQRT(($B77-AS$5)^2+($C77-AS$6)^2+($D77-AS$7)^2)</f>
        <v>1.19293737863602</v>
      </c>
      <c r="AT77" s="74" t="n">
        <f aca="false">SQRT(($B77-AT$5)^2+($C77-AT$6)^2+($D77-AT$7)^2)</f>
        <v>0.70161045675248</v>
      </c>
      <c r="AU77" s="74" t="n">
        <f aca="false">SQRT(($B77-AU$5)^2+($C77-AU$6)^2+($D77-AU$7)^2)</f>
        <v>1.01872309605143</v>
      </c>
      <c r="AV77" s="74" t="n">
        <f aca="false">SQRT(($B77-AV$5)^2+($C77-AV$6)^2+($D77-AV$7)^2)</f>
        <v>0.939431341467672</v>
      </c>
      <c r="AW77" s="74" t="n">
        <f aca="false">SQRT(($B77-AW$5)^2+($C77-AW$6)^2+($D77-AW$7)^2)</f>
        <v>1.41245835901232</v>
      </c>
      <c r="AX77" s="74" t="n">
        <f aca="false">SQRT(($B77-AX$5)^2+($C77-AX$6)^2+($D77-AX$7)^2)</f>
        <v>0.350901486571318</v>
      </c>
      <c r="AY77" s="74" t="n">
        <f aca="false">SQRT(($B77-AY$5)^2+($C77-AY$6)^2+($D77-AY$7)^2)</f>
        <v>1.66559446913189</v>
      </c>
      <c r="AZ77" s="74" t="n">
        <f aca="false">SQRT(($B77-AZ$5)^2+($C77-AZ$6)^2+($D77-AZ$7)^2)</f>
        <v>1.17161084289555</v>
      </c>
      <c r="BA77" s="74" t="n">
        <f aca="false">SQRT(($B77-BA$5)^2+($C77-BA$6)^2+($D77-BA$7)^2)</f>
        <v>0.679657661306424</v>
      </c>
      <c r="BB77" s="74" t="n">
        <f aca="false">SQRT(($B77-BB$5)^2+($C77-BB$6)^2+($D77-BB$7)^2)</f>
        <v>1.66442985531169</v>
      </c>
      <c r="BC77" s="74" t="n">
        <f aca="false">SQRT(($B77-BC$5)^2+($C77-BC$6)^2+($D77-BC$7)^2)</f>
        <v>1.66327583825533</v>
      </c>
      <c r="BD77" s="74" t="n">
        <f aca="false">SQRT(($B77-BD$5)^2+($C77-BD$6)^2+($D77-BD$7)^2)</f>
        <v>1.16417263498931</v>
      </c>
      <c r="BE77" s="74" t="n">
        <f aca="false">SQRT(($B77-BE$5)^2+($C77-BE$6)^2+($D77-BE$7)^2)</f>
        <v>1.00833252303153</v>
      </c>
      <c r="BF77" s="74" t="n">
        <f aca="false">SQRT(($B77-BF$5)^2+($C77-BF$6)^2+($D77-BF$7)^2)</f>
        <v>1.34231995765934</v>
      </c>
      <c r="BG77" s="74" t="n">
        <f aca="false">SQRT(($B77-BG$5)^2+($C77-BG$6)^2+($D77-BG$7)^2)</f>
        <v>0.508936768687389</v>
      </c>
      <c r="BH77" s="74" t="n">
        <f aca="false">SQRT(($B77-BH$5)^2+($C77-BH$6)^2+($D77-BH$7)^2)</f>
        <v>1.6486767691075</v>
      </c>
      <c r="BI77" s="74" t="n">
        <f aca="false">SQRT(($B77-BI$5)^2+($C77-BI$6)^2+($D77-BI$7)^2)</f>
        <v>1.64692127369415</v>
      </c>
      <c r="BJ77" s="74" t="n">
        <f aca="false">SQRT(($B77-BJ$5)^2+($C77-BJ$6)^2+($D77-BJ$7)^2)</f>
        <v>0.482143469769021</v>
      </c>
      <c r="BK77" s="74" t="n">
        <f aca="false">SQRT(($B77-BK$5)^2+($C77-BK$6)^2+($D77-BK$7)^2)</f>
        <v>1.0711213634575</v>
      </c>
      <c r="BL77" s="74" t="n">
        <f aca="false">SQRT(($B77-BL$5)^2+($C77-BL$6)^2+($D77-BL$7)^2)</f>
        <v>0.844369703600016</v>
      </c>
      <c r="BM77" s="74" t="n">
        <f aca="false">SQRT(($B77-BM$5)^2+($C77-BM$6)^2+($D77-BM$7)^2)</f>
        <v>0.458643729856184</v>
      </c>
      <c r="BN77" s="74" t="n">
        <f aca="false">SQRT(($B77-BN$5)^2+($C77-BN$6)^2+($D77-BN$7)^2)</f>
        <v>0.228895568768932</v>
      </c>
      <c r="BO77" s="74" t="n">
        <f aca="false">SQRT(($B77-BO$5)^2+($C77-BO$6)^2+($D77-BO$7)^2)</f>
        <v>1.37205326654314</v>
      </c>
      <c r="BP77" s="74" t="n">
        <f aca="false">SQRT(($B77-BP$5)^2+($C77-BP$6)^2+($D77-BP$7)^2)</f>
        <v>0</v>
      </c>
      <c r="BQ77" s="74" t="n">
        <f aca="false">SQRT(($B77-BQ$5)^2+($C77-BQ$6)^2+($D77-BQ$7)^2)</f>
        <v>0.329017656056909</v>
      </c>
      <c r="BR77" s="74" t="n">
        <f aca="false">SQRT(($B77-BR$5)^2+($C77-BR$6)^2+($D77-BR$7)^2)</f>
        <v>0.350942317301326</v>
      </c>
      <c r="BS77" s="74" t="n">
        <f aca="false">SQRT(($B77-BS$5)^2+($C77-BS$6)^2+($D77-BS$7)^2)</f>
        <v>0.89999984423813</v>
      </c>
      <c r="BT77" s="74" t="n">
        <f aca="false">SQRT(($B77-BT$5)^2+($C77-BT$6)^2+($D77-BT$7)^2)</f>
        <v>0.844246251680879</v>
      </c>
      <c r="BU77" s="74" t="n">
        <f aca="false">SQRT(($B77-BU$5)^2+($C77-BU$6)^2+($D77-BU$7)^2)</f>
        <v>0.855546419988815</v>
      </c>
      <c r="BV77" s="74" t="n">
        <f aca="false">SQRT(($B77-BV$5)^2+($C77-BV$6)^2+($D77-BV$7)^2)</f>
        <v>1.64638611369535</v>
      </c>
      <c r="BW77" s="74" t="n">
        <f aca="false">SQRT(($B77-BW$5)^2+($C77-BW$6)^2+($D77-BW$7)^2)</f>
        <v>0.852121586848976</v>
      </c>
      <c r="BX77" s="74" t="n">
        <f aca="false">SQRT(($B77-BX$5)^2+($C77-BX$6)^2+($D77-BX$7)^2)</f>
        <v>1.64803351265812</v>
      </c>
      <c r="BY77" s="74" t="n">
        <f aca="false">SQRT(($B77-BY$5)^2+($C77-BY$6)^2+($D77-BY$7)^2)</f>
        <v>0.968861198958465</v>
      </c>
      <c r="BZ77" s="74" t="n">
        <f aca="false">SQRT(($B77-BZ$5)^2+($C77-BZ$6)^2+($D77-BZ$7)^2)</f>
        <v>1.002807846057</v>
      </c>
      <c r="CA77" s="74" t="n">
        <f aca="false">SQRT(($B77-CA$5)^2+($C77-CA$6)^2+($D77-CA$7)^2)</f>
        <v>1.65433431365024</v>
      </c>
      <c r="CB77" s="74" t="n">
        <f aca="false">SQRT(($B77-CB$5)^2+($C77-CB$6)^2+($D77-CB$7)^2)</f>
        <v>1.00712971340979</v>
      </c>
      <c r="CC77" s="74" t="n">
        <f aca="false">SQRT(($B77-CC$5)^2+($C77-CC$6)^2+($D77-CC$7)^2)</f>
        <v>1.6569576653735</v>
      </c>
      <c r="CD77" s="74" t="n">
        <f aca="false">SQRT(($B77-CD$5)^2+($C77-CD$6)^2+($D77-CD$7)^2)</f>
        <v>1.66314339384673</v>
      </c>
      <c r="CE77" s="74" t="n">
        <f aca="false">SQRT(($B77-CE$5)^2+($C77-CE$6)^2+($D77-CE$7)^2)</f>
        <v>0.914952024223246</v>
      </c>
      <c r="CF77" s="74" t="n">
        <f aca="false">SQRT(($B77-CF$5)^2+($C77-CF$6)^2+($D77-CF$7)^2)</f>
        <v>0.451688894257504</v>
      </c>
      <c r="CG77" s="74" t="n">
        <f aca="false">SQRT(($B77-CG$5)^2+($C77-CG$6)^2+($D77-CG$7)^2)</f>
        <v>0.821894741561152</v>
      </c>
      <c r="CH77" s="74" t="n">
        <f aca="false">SQRT(($B77-CH$5)^2+($C77-CH$6)^2+($D77-CH$7)^2)</f>
        <v>1.12921129809557</v>
      </c>
      <c r="CI77" s="74" t="n">
        <f aca="false">SQRT(($B77-CI$5)^2+($C77-CI$6)^2+($D77-CI$7)^2)</f>
        <v>1.20944207143741</v>
      </c>
      <c r="CJ77" s="74" t="n">
        <f aca="false">SQRT(($B77-CJ$5)^2+($C77-CJ$6)^2+($D77-CJ$7)^2)</f>
        <v>1.44318700266554</v>
      </c>
      <c r="CK77" s="74" t="n">
        <f aca="false">SQRT(($B77-CK$5)^2+($C77-CK$6)^2+($D77-CK$7)^2)</f>
        <v>1.02011810996658</v>
      </c>
      <c r="CL77" s="74" t="n">
        <f aca="false">SQRT(($B77-CL$5)^2+($C77-CL$6)^2+($D77-CL$7)^2)</f>
        <v>1.72458480201343</v>
      </c>
      <c r="CM77" s="74" t="n">
        <f aca="false">SQRT(($B77-CM$5)^2+($C77-CM$6)^2+($D77-CM$7)^2)</f>
        <v>1.14927239983588</v>
      </c>
      <c r="CN77" s="74" t="n">
        <f aca="false">SQRT(($B77-CN$5)^2+($C77-CN$6)^2+($D77-CN$7)^2)</f>
        <v>0.771934564983849</v>
      </c>
      <c r="CO77" s="74" t="n">
        <f aca="false">SQRT(($B77-CO$5)^2+($C77-CO$6)^2+($D77-CO$7)^2)</f>
        <v>0.843931761575647</v>
      </c>
      <c r="CP77" s="74" t="n">
        <f aca="false">SQRT(($B77-CP$5)^2+($C77-CP$6)^2+($D77-CP$7)^2)</f>
        <v>1.76130617554897</v>
      </c>
      <c r="CQ77" s="74" t="n">
        <f aca="false">SQRT(($B77-CQ$5)^2+($C77-CQ$6)^2+($D77-CQ$7)^2)</f>
        <v>1.26871832928576</v>
      </c>
      <c r="CR77" s="74" t="n">
        <f aca="false">SQRT(($B77-CR$5)^2+($C77-CR$6)^2+($D77-CR$7)^2)</f>
        <v>1.25250798812422</v>
      </c>
      <c r="CS77" s="74" t="n">
        <f aca="false">SQRT(($B77-CS$5)^2+($C77-CS$6)^2+($D77-CS$7)^2)</f>
        <v>1.79503257648049</v>
      </c>
      <c r="CT77" s="74" t="n">
        <f aca="false">SQRT(($B77-CT$5)^2+($C77-CT$6)^2+($D77-CT$7)^2)</f>
        <v>1.81585990094623</v>
      </c>
      <c r="CU77" s="74" t="n">
        <f aca="false">SQRT(($B77-CU$5)^2+($C77-CU$6)^2+($D77-CU$7)^2)</f>
        <v>1.37644944408231</v>
      </c>
      <c r="CV77" s="74" t="n">
        <f aca="false">SQRT(($B77-CV$5)^2+($C77-CV$6)^2+($D77-CV$7)^2)</f>
        <v>1.14323191768124</v>
      </c>
      <c r="CW77" s="74" t="n">
        <f aca="false">SQRT(($B77-CW$5)^2+($C77-CW$6)^2+($D77-CW$7)^2)</f>
        <v>1.81585990094623</v>
      </c>
      <c r="CX77" s="74" t="n">
        <f aca="false">SQRT(($B77-CX$5)^2+($C77-CX$6)^2+($D77-CX$7)^2)</f>
        <v>1.21886295510256</v>
      </c>
      <c r="CY77" s="74" t="n">
        <f aca="false">SQRT(($B77-CY$5)^2+($C77-CY$6)^2+($D77-CY$7)^2)</f>
        <v>1.84016576641301</v>
      </c>
      <c r="CZ77" s="74" t="n">
        <f aca="false">SQRT(($B77-CZ$5)^2+($C77-CZ$6)^2+($D77-CZ$7)^2)</f>
        <v>1.84016576641301</v>
      </c>
      <c r="DA77" s="74" t="n">
        <f aca="false">SQRT(($B77-DA$5)^2+($C77-DA$6)^2+($D77-DA$7)^2)</f>
        <v>1.40935895034088</v>
      </c>
      <c r="DB77" s="74" t="n">
        <f aca="false">SQRT(($B77-DB$5)^2+($C77-DB$6)^2+($D77-DB$7)^2)</f>
        <v>1.86886862311644</v>
      </c>
      <c r="DC77" s="74" t="n">
        <f aca="false">SQRT(($B77-DC$5)^2+($C77-DC$6)^2+($D77-DC$7)^2)</f>
        <v>1.86886862311644</v>
      </c>
      <c r="DD77" s="74" t="n">
        <f aca="false">SQRT(($B77-DD$5)^2+($C77-DD$6)^2+($D77-DD$7)^2)</f>
        <v>1.52164241506114</v>
      </c>
      <c r="DE77" s="74" t="n">
        <f aca="false">SQRT(($B77-DE$5)^2+($C77-DE$6)^2+($D77-DE$7)^2)</f>
        <v>1.72660546579686</v>
      </c>
      <c r="DF77" s="74" t="n">
        <f aca="false">SQRT(($B77-DF$5)^2+($C77-DF$6)^2+($D77-DF$7)^2)</f>
        <v>2.0667476943847</v>
      </c>
      <c r="DG77" s="74" t="n">
        <f aca="false">SQRT(($B77-DG$5)^2+($C77-DG$6)^2+($D77-DG$7)^2)</f>
        <v>2.16127352814075</v>
      </c>
      <c r="DH77" s="74" t="n">
        <f aca="false">SQRT(($B77-DH$5)^2+($C77-DH$6)^2+($D77-DH$7)^2)</f>
        <v>2.16127352814075</v>
      </c>
      <c r="DI77" s="74" t="n">
        <f aca="false">SQRT(($B77-DI$5)^2+($C77-DI$6)^2+($D77-DI$7)^2)</f>
        <v>2.16127352814075</v>
      </c>
      <c r="DJ77" s="74" t="n">
        <f aca="false">SQRT(($B77-DJ$5)^2+($C77-DJ$6)^2+($D77-DJ$7)^2)</f>
        <v>2.16127352814075</v>
      </c>
      <c r="DK77" s="74" t="n">
        <f aca="false">SQRT(($B77-DK$5)^2+($C77-DK$6)^2+($D77-DK$7)^2)</f>
        <v>2.3044567786491</v>
      </c>
      <c r="DL77" s="74" t="n">
        <f aca="false">SQRT(($B77-DL$5)^2+($C77-DL$6)^2+($D77-DL$7)^2)</f>
        <v>2.3044567786491</v>
      </c>
      <c r="DM77" s="74" t="n">
        <f aca="false">SQRT(($B77-DM$5)^2+($C77-DM$6)^2+($D77-DM$7)^2)</f>
        <v>2.3044567786491</v>
      </c>
      <c r="DN77" s="74" t="n">
        <f aca="false">SQRT(($B77-DN$5)^2+($C77-DN$6)^2+($D77-DN$7)^2)</f>
        <v>2.3044567786491</v>
      </c>
      <c r="DO77" s="74" t="n">
        <f aca="false">SQRT(($B77-DO$5)^2+($C77-DO$6)^2+($D77-DO$7)^2)</f>
        <v>2.3044567786491</v>
      </c>
      <c r="DP77" s="74" t="n">
        <f aca="false">SQRT(($B77-DP$5)^2+($C77-DP$6)^2+($D77-DP$7)^2)</f>
        <v>2.57097159994448</v>
      </c>
      <c r="DQ77" s="74" t="n">
        <f aca="false">SQRT(($B77-DQ$5)^2+($C77-DQ$6)^2+($D77-DQ$7)^2)</f>
        <v>2.57097159994448</v>
      </c>
    </row>
    <row r="78" customFormat="false" ht="15" hidden="false" customHeight="false" outlineLevel="0" collapsed="false">
      <c r="A78" s="48" t="str">
        <f aca="false">KMeans_Data!A69</f>
        <v>Kashmore</v>
      </c>
      <c r="B78" s="72" t="n">
        <f aca="false">KMeans_Data!H69</f>
        <v>-0.110180736511367</v>
      </c>
      <c r="C78" s="72" t="n">
        <f aca="false">KMeans_Data!I69</f>
        <v>-0.146983133929529</v>
      </c>
      <c r="D78" s="72" t="n">
        <f aca="false">KMeans_Data!J69</f>
        <v>0.381616717142464</v>
      </c>
      <c r="E78" s="74" t="n">
        <f aca="false">SQRT(($B78-E$5)^2+($C78-E$6)^2+($D78-E$7)^2)</f>
        <v>6.10075211782889</v>
      </c>
      <c r="F78" s="74" t="n">
        <f aca="false">SQRT(($B78-F$5)^2+($C78-F$6)^2+($D78-F$7)^2)</f>
        <v>5.92449645043037</v>
      </c>
      <c r="G78" s="74" t="n">
        <f aca="false">SQRT(($B78-G$5)^2+($C78-G$6)^2+($D78-G$7)^2)</f>
        <v>4.00578701051002</v>
      </c>
      <c r="H78" s="74" t="n">
        <f aca="false">SQRT(($B78-H$5)^2+($C78-H$6)^2+($D78-H$7)^2)</f>
        <v>4.62245469214332</v>
      </c>
      <c r="I78" s="74" t="n">
        <f aca="false">SQRT(($B78-I$5)^2+($C78-I$6)^2+($D78-I$7)^2)</f>
        <v>3.43942941279615</v>
      </c>
      <c r="J78" s="74" t="n">
        <f aca="false">SQRT(($B78-J$5)^2+($C78-J$6)^2+($D78-J$7)^2)</f>
        <v>3.05849942354584</v>
      </c>
      <c r="K78" s="74" t="n">
        <f aca="false">SQRT(($B78-K$5)^2+($C78-K$6)^2+($D78-K$7)^2)</f>
        <v>1.91066940096644</v>
      </c>
      <c r="L78" s="74" t="n">
        <f aca="false">SQRT(($B78-L$5)^2+($C78-L$6)^2+($D78-L$7)^2)</f>
        <v>2.12854382831548</v>
      </c>
      <c r="M78" s="74" t="n">
        <f aca="false">SQRT(($B78-M$5)^2+($C78-M$6)^2+($D78-M$7)^2)</f>
        <v>2.33404000243104</v>
      </c>
      <c r="N78" s="74" t="n">
        <f aca="false">SQRT(($B78-N$5)^2+($C78-N$6)^2+($D78-N$7)^2)</f>
        <v>1.78190766498489</v>
      </c>
      <c r="O78" s="74" t="n">
        <f aca="false">SQRT(($B78-O$5)^2+($C78-O$6)^2+($D78-O$7)^2)</f>
        <v>2.1372430708703</v>
      </c>
      <c r="P78" s="74" t="n">
        <f aca="false">SQRT(($B78-P$5)^2+($C78-P$6)^2+($D78-P$7)^2)</f>
        <v>2.41167739687427</v>
      </c>
      <c r="Q78" s="74" t="n">
        <f aca="false">SQRT(($B78-Q$5)^2+($C78-Q$6)^2+($D78-Q$7)^2)</f>
        <v>1.76586328853379</v>
      </c>
      <c r="R78" s="74" t="n">
        <f aca="false">SQRT(($B78-R$5)^2+($C78-R$6)^2+($D78-R$7)^2)</f>
        <v>1.66690792501503</v>
      </c>
      <c r="S78" s="74" t="n">
        <f aca="false">SQRT(($B78-S$5)^2+($C78-S$6)^2+($D78-S$7)^2)</f>
        <v>1.36621898990965</v>
      </c>
      <c r="T78" s="74" t="n">
        <f aca="false">SQRT(($B78-T$5)^2+($C78-T$6)^2+($D78-T$7)^2)</f>
        <v>1.68777644767703</v>
      </c>
      <c r="U78" s="74" t="n">
        <f aca="false">SQRT(($B78-U$5)^2+($C78-U$6)^2+($D78-U$7)^2)</f>
        <v>1.64344998324734</v>
      </c>
      <c r="V78" s="74" t="n">
        <f aca="false">SQRT(($B78-V$5)^2+($C78-V$6)^2+($D78-V$7)^2)</f>
        <v>1.82173321870696</v>
      </c>
      <c r="W78" s="74" t="n">
        <f aca="false">SQRT(($B78-W$5)^2+($C78-W$6)^2+($D78-W$7)^2)</f>
        <v>1.88801716610137</v>
      </c>
      <c r="X78" s="74" t="n">
        <f aca="false">SQRT(($B78-X$5)^2+($C78-X$6)^2+($D78-X$7)^2)</f>
        <v>1.49596220821151</v>
      </c>
      <c r="Y78" s="74" t="n">
        <f aca="false">SQRT(($B78-Y$5)^2+($C78-Y$6)^2+($D78-Y$7)^2)</f>
        <v>1.58082767191606</v>
      </c>
      <c r="Z78" s="74" t="n">
        <f aca="false">SQRT(($B78-Z$5)^2+($C78-Z$6)^2+($D78-Z$7)^2)</f>
        <v>1.32707329773994</v>
      </c>
      <c r="AA78" s="74" t="n">
        <f aca="false">SQRT(($B78-AA$5)^2+($C78-AA$6)^2+($D78-AA$7)^2)</f>
        <v>1.1078702680576</v>
      </c>
      <c r="AB78" s="74" t="n">
        <f aca="false">SQRT(($B78-AB$5)^2+($C78-AB$6)^2+($D78-AB$7)^2)</f>
        <v>1.16750907952026</v>
      </c>
      <c r="AC78" s="74" t="n">
        <f aca="false">SQRT(($B78-AC$5)^2+($C78-AC$6)^2+($D78-AC$7)^2)</f>
        <v>1.79310436068721</v>
      </c>
      <c r="AD78" s="74" t="n">
        <f aca="false">SQRT(($B78-AD$5)^2+($C78-AD$6)^2+($D78-AD$7)^2)</f>
        <v>1.54162590848876</v>
      </c>
      <c r="AE78" s="74" t="n">
        <f aca="false">SQRT(($B78-AE$5)^2+($C78-AE$6)^2+($D78-AE$7)^2)</f>
        <v>1.70406590633308</v>
      </c>
      <c r="AF78" s="74" t="n">
        <f aca="false">SQRT(($B78-AF$5)^2+($C78-AF$6)^2+($D78-AF$7)^2)</f>
        <v>1.20149703069517</v>
      </c>
      <c r="AG78" s="74" t="n">
        <f aca="false">SQRT(($B78-AG$5)^2+($C78-AG$6)^2+($D78-AG$7)^2)</f>
        <v>1.16630295038323</v>
      </c>
      <c r="AH78" s="74" t="n">
        <f aca="false">SQRT(($B78-AH$5)^2+($C78-AH$6)^2+($D78-AH$7)^2)</f>
        <v>0.853082306334387</v>
      </c>
      <c r="AI78" s="74" t="n">
        <f aca="false">SQRT(($B78-AI$5)^2+($C78-AI$6)^2+($D78-AI$7)^2)</f>
        <v>1.16443951664508</v>
      </c>
      <c r="AJ78" s="74" t="n">
        <f aca="false">SQRT(($B78-AJ$5)^2+($C78-AJ$6)^2+($D78-AJ$7)^2)</f>
        <v>1.21601986712609</v>
      </c>
      <c r="AK78" s="74" t="n">
        <f aca="false">SQRT(($B78-AK$5)^2+($C78-AK$6)^2+($D78-AK$7)^2)</f>
        <v>0.83499826220883</v>
      </c>
      <c r="AL78" s="74" t="n">
        <f aca="false">SQRT(($B78-AL$5)^2+($C78-AL$6)^2+($D78-AL$7)^2)</f>
        <v>0.618852686967942</v>
      </c>
      <c r="AM78" s="74" t="n">
        <f aca="false">SQRT(($B78-AM$5)^2+($C78-AM$6)^2+($D78-AM$7)^2)</f>
        <v>1.64146984826494</v>
      </c>
      <c r="AN78" s="74" t="n">
        <f aca="false">SQRT(($B78-AN$5)^2+($C78-AN$6)^2+($D78-AN$7)^2)</f>
        <v>1.45039527362718</v>
      </c>
      <c r="AO78" s="74" t="n">
        <f aca="false">SQRT(($B78-AO$5)^2+($C78-AO$6)^2+($D78-AO$7)^2)</f>
        <v>0.772481161758955</v>
      </c>
      <c r="AP78" s="74" t="n">
        <f aca="false">SQRT(($B78-AP$5)^2+($C78-AP$6)^2+($D78-AP$7)^2)</f>
        <v>0.757179181118108</v>
      </c>
      <c r="AQ78" s="74" t="n">
        <f aca="false">SQRT(($B78-AQ$5)^2+($C78-AQ$6)^2+($D78-AQ$7)^2)</f>
        <v>1.53107271780228</v>
      </c>
      <c r="AR78" s="74" t="n">
        <f aca="false">SQRT(($B78-AR$5)^2+($C78-AR$6)^2+($D78-AR$7)^2)</f>
        <v>0.745945096140315</v>
      </c>
      <c r="AS78" s="74" t="n">
        <f aca="false">SQRT(($B78-AS$5)^2+($C78-AS$6)^2+($D78-AS$7)^2)</f>
        <v>0.924650928954719</v>
      </c>
      <c r="AT78" s="74" t="n">
        <f aca="false">SQRT(($B78-AT$5)^2+($C78-AT$6)^2+($D78-AT$7)^2)</f>
        <v>0.549123111906748</v>
      </c>
      <c r="AU78" s="74" t="n">
        <f aca="false">SQRT(($B78-AU$5)^2+($C78-AU$6)^2+($D78-AU$7)^2)</f>
        <v>1.08416032289642</v>
      </c>
      <c r="AV78" s="74" t="n">
        <f aca="false">SQRT(($B78-AV$5)^2+($C78-AV$6)^2+($D78-AV$7)^2)</f>
        <v>0.65461818773702</v>
      </c>
      <c r="AW78" s="74" t="n">
        <f aca="false">SQRT(($B78-AW$5)^2+($C78-AW$6)^2+($D78-AW$7)^2)</f>
        <v>1.36109252807774</v>
      </c>
      <c r="AX78" s="74" t="n">
        <f aca="false">SQRT(($B78-AX$5)^2+($C78-AX$6)^2+($D78-AX$7)^2)</f>
        <v>0.460438316734279</v>
      </c>
      <c r="AY78" s="74" t="n">
        <f aca="false">SQRT(($B78-AY$5)^2+($C78-AY$6)^2+($D78-AY$7)^2)</f>
        <v>1.64489211897899</v>
      </c>
      <c r="AZ78" s="74" t="n">
        <f aca="false">SQRT(($B78-AZ$5)^2+($C78-AZ$6)^2+($D78-AZ$7)^2)</f>
        <v>0.892644369382393</v>
      </c>
      <c r="BA78" s="74" t="n">
        <f aca="false">SQRT(($B78-BA$5)^2+($C78-BA$6)^2+($D78-BA$7)^2)</f>
        <v>0.514137912637357</v>
      </c>
      <c r="BB78" s="74" t="n">
        <f aca="false">SQRT(($B78-BB$5)^2+($C78-BB$6)^2+($D78-BB$7)^2)</f>
        <v>1.64366624966081</v>
      </c>
      <c r="BC78" s="74" t="n">
        <f aca="false">SQRT(($B78-BC$5)^2+($C78-BC$6)^2+($D78-BC$7)^2)</f>
        <v>1.64245042837711</v>
      </c>
      <c r="BD78" s="74" t="n">
        <f aca="false">SQRT(($B78-BD$5)^2+($C78-BD$6)^2+($D78-BD$7)^2)</f>
        <v>1.06599927634861</v>
      </c>
      <c r="BE78" s="74" t="n">
        <f aca="false">SQRT(($B78-BE$5)^2+($C78-BE$6)^2+($D78-BE$7)^2)</f>
        <v>0.858523476887425</v>
      </c>
      <c r="BF78" s="74" t="n">
        <f aca="false">SQRT(($B78-BF$5)^2+($C78-BF$6)^2+($D78-BF$7)^2)</f>
        <v>1.596094228922</v>
      </c>
      <c r="BG78" s="74" t="n">
        <f aca="false">SQRT(($B78-BG$5)^2+($C78-BG$6)^2+($D78-BG$7)^2)</f>
        <v>0.317123373625904</v>
      </c>
      <c r="BH78" s="74" t="n">
        <f aca="false">SQRT(($B78-BH$5)^2+($C78-BH$6)^2+($D78-BH$7)^2)</f>
        <v>1.62692452088094</v>
      </c>
      <c r="BI78" s="74" t="n">
        <f aca="false">SQRT(($B78-BI$5)^2+($C78-BI$6)^2+($D78-BI$7)^2)</f>
        <v>1.62502659653551</v>
      </c>
      <c r="BJ78" s="74" t="n">
        <f aca="false">SQRT(($B78-BJ$5)^2+($C78-BJ$6)^2+($D78-BJ$7)^2)</f>
        <v>0.801398378910426</v>
      </c>
      <c r="BK78" s="74" t="n">
        <f aca="false">SQRT(($B78-BK$5)^2+($C78-BK$6)^2+($D78-BK$7)^2)</f>
        <v>0.948945404752665</v>
      </c>
      <c r="BL78" s="74" t="n">
        <f aca="false">SQRT(($B78-BL$5)^2+($C78-BL$6)^2+($D78-BL$7)^2)</f>
        <v>0.536650133544506</v>
      </c>
      <c r="BM78" s="74" t="n">
        <f aca="false">SQRT(($B78-BM$5)^2+($C78-BM$6)^2+($D78-BM$7)^2)</f>
        <v>0.709396991890124</v>
      </c>
      <c r="BN78" s="74" t="n">
        <f aca="false">SQRT(($B78-BN$5)^2+($C78-BN$6)^2+($D78-BN$7)^2)</f>
        <v>0.46226501962884</v>
      </c>
      <c r="BO78" s="74" t="n">
        <f aca="false">SQRT(($B78-BO$5)^2+($C78-BO$6)^2+($D78-BO$7)^2)</f>
        <v>1.31642107204507</v>
      </c>
      <c r="BP78" s="74" t="n">
        <f aca="false">SQRT(($B78-BP$5)^2+($C78-BP$6)^2+($D78-BP$7)^2)</f>
        <v>0.329017656056909</v>
      </c>
      <c r="BQ78" s="74" t="n">
        <f aca="false">SQRT(($B78-BQ$5)^2+($C78-BQ$6)^2+($D78-BQ$7)^2)</f>
        <v>0</v>
      </c>
      <c r="BR78" s="74" t="n">
        <f aca="false">SQRT(($B78-BR$5)^2+($C78-BR$6)^2+($D78-BR$7)^2)</f>
        <v>0.0544970618533212</v>
      </c>
      <c r="BS78" s="74" t="n">
        <f aca="false">SQRT(($B78-BS$5)^2+($C78-BS$6)^2+($D78-BS$7)^2)</f>
        <v>0.571638672974506</v>
      </c>
      <c r="BT78" s="74" t="n">
        <f aca="false">SQRT(($B78-BT$5)^2+($C78-BT$6)^2+($D78-BT$7)^2)</f>
        <v>0.567923236215329</v>
      </c>
      <c r="BU78" s="74" t="n">
        <f aca="false">SQRT(($B78-BU$5)^2+($C78-BU$6)^2+($D78-BU$7)^2)</f>
        <v>0.60118443319705</v>
      </c>
      <c r="BV78" s="74" t="n">
        <f aca="false">SQRT(($B78-BV$5)^2+($C78-BV$6)^2+($D78-BV$7)^2)</f>
        <v>1.62211926870041</v>
      </c>
      <c r="BW78" s="74" t="n">
        <f aca="false">SQRT(($B78-BW$5)^2+($C78-BW$6)^2+($D78-BW$7)^2)</f>
        <v>0.559288675685092</v>
      </c>
      <c r="BX78" s="74" t="n">
        <f aca="false">SQRT(($B78-BX$5)^2+($C78-BX$6)^2+($D78-BX$7)^2)</f>
        <v>1.62367591937815</v>
      </c>
      <c r="BY78" s="74" t="n">
        <f aca="false">SQRT(($B78-BY$5)^2+($C78-BY$6)^2+($D78-BY$7)^2)</f>
        <v>0.7961036500249</v>
      </c>
      <c r="BZ78" s="74" t="n">
        <f aca="false">SQRT(($B78-BZ$5)^2+($C78-BZ$6)^2+($D78-BZ$7)^2)</f>
        <v>0.845406331271091</v>
      </c>
      <c r="CA78" s="74" t="n">
        <f aca="false">SQRT(($B78-CA$5)^2+($C78-CA$6)^2+($D78-CA$7)^2)</f>
        <v>1.6297031987946</v>
      </c>
      <c r="CB78" s="74" t="n">
        <f aca="false">SQRT(($B78-CB$5)^2+($C78-CB$6)^2+($D78-CB$7)^2)</f>
        <v>0.85027719074629</v>
      </c>
      <c r="CC78" s="74" t="n">
        <f aca="false">SQRT(($B78-CC$5)^2+($C78-CC$6)^2+($D78-CC$7)^2)</f>
        <v>1.63223526254995</v>
      </c>
      <c r="CD78" s="74" t="n">
        <f aca="false">SQRT(($B78-CD$5)^2+($C78-CD$6)^2+($D78-CD$7)^2)</f>
        <v>1.63823896581825</v>
      </c>
      <c r="CE78" s="74" t="n">
        <f aca="false">SQRT(($B78-CE$5)^2+($C78-CE$6)^2+($D78-CE$7)^2)</f>
        <v>0.691090078207004</v>
      </c>
      <c r="CF78" s="74" t="n">
        <f aca="false">SQRT(($B78-CF$5)^2+($C78-CF$6)^2+($D78-CF$7)^2)</f>
        <v>0.381263136169552</v>
      </c>
      <c r="CG78" s="74" t="n">
        <f aca="false">SQRT(($B78-CG$5)^2+($C78-CG$6)^2+($D78-CG$7)^2)</f>
        <v>0.860716108290568</v>
      </c>
      <c r="CH78" s="74" t="n">
        <f aca="false">SQRT(($B78-CH$5)^2+($C78-CH$6)^2+($D78-CH$7)^2)</f>
        <v>1.0085427341172</v>
      </c>
      <c r="CI78" s="74" t="n">
        <f aca="false">SQRT(($B78-CI$5)^2+($C78-CI$6)^2+($D78-CI$7)^2)</f>
        <v>1.10802250993838</v>
      </c>
      <c r="CJ78" s="74" t="n">
        <f aca="false">SQRT(($B78-CJ$5)^2+($C78-CJ$6)^2+($D78-CJ$7)^2)</f>
        <v>1.38634028686283</v>
      </c>
      <c r="CK78" s="74" t="n">
        <f aca="false">SQRT(($B78-CK$5)^2+($C78-CK$6)^2+($D78-CK$7)^2)</f>
        <v>0.833332976162861</v>
      </c>
      <c r="CL78" s="74" t="n">
        <f aca="false">SQRT(($B78-CL$5)^2+($C78-CL$6)^2+($D78-CL$7)^2)</f>
        <v>1.69884151595586</v>
      </c>
      <c r="CM78" s="74" t="n">
        <f aca="false">SQRT(($B78-CM$5)^2+($C78-CM$6)^2+($D78-CM$7)^2)</f>
        <v>1.0194665726198</v>
      </c>
      <c r="CN78" s="74" t="n">
        <f aca="false">SQRT(($B78-CN$5)^2+($C78-CN$6)^2+($D78-CN$7)^2)</f>
        <v>0.64512200218108</v>
      </c>
      <c r="CO78" s="74" t="n">
        <f aca="false">SQRT(($B78-CO$5)^2+($C78-CO$6)^2+($D78-CO$7)^2)</f>
        <v>0.848769231229716</v>
      </c>
      <c r="CP78" s="74" t="n">
        <f aca="false">SQRT(($B78-CP$5)^2+($C78-CP$6)^2+($D78-CP$7)^2)</f>
        <v>1.7353792465428</v>
      </c>
      <c r="CQ78" s="74" t="n">
        <f aca="false">SQRT(($B78-CQ$5)^2+($C78-CQ$6)^2+($D78-CQ$7)^2)</f>
        <v>1.15944236778311</v>
      </c>
      <c r="CR78" s="74" t="n">
        <f aca="false">SQRT(($B78-CR$5)^2+($C78-CR$6)^2+($D78-CR$7)^2)</f>
        <v>1.13256315434392</v>
      </c>
      <c r="CS78" s="74" t="n">
        <f aca="false">SQRT(($B78-CS$5)^2+($C78-CS$6)^2+($D78-CS$7)^2)</f>
        <v>1.76902507111219</v>
      </c>
      <c r="CT78" s="74" t="n">
        <f aca="false">SQRT(($B78-CT$5)^2+($C78-CT$6)^2+($D78-CT$7)^2)</f>
        <v>1.78983085831224</v>
      </c>
      <c r="CU78" s="74" t="n">
        <f aca="false">SQRT(($B78-CU$5)^2+($C78-CU$6)^2+($D78-CU$7)^2)</f>
        <v>1.43151316321507</v>
      </c>
      <c r="CV78" s="74" t="n">
        <f aca="false">SQRT(($B78-CV$5)^2+($C78-CV$6)^2+($D78-CV$7)^2)</f>
        <v>0.940495103124627</v>
      </c>
      <c r="CW78" s="74" t="n">
        <f aca="false">SQRT(($B78-CW$5)^2+($C78-CW$6)^2+($D78-CW$7)^2)</f>
        <v>1.78983085831224</v>
      </c>
      <c r="CX78" s="74" t="n">
        <f aca="false">SQRT(($B78-CX$5)^2+($C78-CX$6)^2+($D78-CX$7)^2)</f>
        <v>1.06380752006602</v>
      </c>
      <c r="CY78" s="74" t="n">
        <f aca="false">SQRT(($B78-CY$5)^2+($C78-CY$6)^2+($D78-CY$7)^2)</f>
        <v>1.81413190629151</v>
      </c>
      <c r="CZ78" s="74" t="n">
        <f aca="false">SQRT(($B78-CZ$5)^2+($C78-CZ$6)^2+($D78-CZ$7)^2)</f>
        <v>1.81413190629151</v>
      </c>
      <c r="DA78" s="74" t="n">
        <f aca="false">SQRT(($B78-DA$5)^2+($C78-DA$6)^2+($D78-DA$7)^2)</f>
        <v>1.31967205698717</v>
      </c>
      <c r="DB78" s="74" t="n">
        <f aca="false">SQRT(($B78-DB$5)^2+($C78-DB$6)^2+($D78-DB$7)^2)</f>
        <v>1.84285116386101</v>
      </c>
      <c r="DC78" s="74" t="n">
        <f aca="false">SQRT(($B78-DC$5)^2+($C78-DC$6)^2+($D78-DC$7)^2)</f>
        <v>1.84285116386101</v>
      </c>
      <c r="DD78" s="74" t="n">
        <f aca="false">SQRT(($B78-DD$5)^2+($C78-DD$6)^2+($D78-DD$7)^2)</f>
        <v>1.44922490555567</v>
      </c>
      <c r="DE78" s="74" t="n">
        <f aca="false">SQRT(($B78-DE$5)^2+($C78-DE$6)^2+($D78-DE$7)^2)</f>
        <v>1.6751963709482</v>
      </c>
      <c r="DF78" s="74" t="n">
        <f aca="false">SQRT(($B78-DF$5)^2+($C78-DF$6)^2+($D78-DF$7)^2)</f>
        <v>2.04118525337474</v>
      </c>
      <c r="DG78" s="74" t="n">
        <f aca="false">SQRT(($B78-DG$5)^2+($C78-DG$6)^2+($D78-DG$7)^2)</f>
        <v>2.13602243763156</v>
      </c>
      <c r="DH78" s="74" t="n">
        <f aca="false">SQRT(($B78-DH$5)^2+($C78-DH$6)^2+($D78-DH$7)^2)</f>
        <v>2.13602243763156</v>
      </c>
      <c r="DI78" s="74" t="n">
        <f aca="false">SQRT(($B78-DI$5)^2+($C78-DI$6)^2+($D78-DI$7)^2)</f>
        <v>2.13602243763156</v>
      </c>
      <c r="DJ78" s="74" t="n">
        <f aca="false">SQRT(($B78-DJ$5)^2+($C78-DJ$6)^2+($D78-DJ$7)^2)</f>
        <v>2.13602243763156</v>
      </c>
      <c r="DK78" s="74" t="n">
        <f aca="false">SQRT(($B78-DK$5)^2+($C78-DK$6)^2+($D78-DK$7)^2)</f>
        <v>2.27970896732173</v>
      </c>
      <c r="DL78" s="74" t="n">
        <f aca="false">SQRT(($B78-DL$5)^2+($C78-DL$6)^2+($D78-DL$7)^2)</f>
        <v>2.27970896732173</v>
      </c>
      <c r="DM78" s="74" t="n">
        <f aca="false">SQRT(($B78-DM$5)^2+($C78-DM$6)^2+($D78-DM$7)^2)</f>
        <v>2.27970896732173</v>
      </c>
      <c r="DN78" s="74" t="n">
        <f aca="false">SQRT(($B78-DN$5)^2+($C78-DN$6)^2+($D78-DN$7)^2)</f>
        <v>2.27970896732173</v>
      </c>
      <c r="DO78" s="74" t="n">
        <f aca="false">SQRT(($B78-DO$5)^2+($C78-DO$6)^2+($D78-DO$7)^2)</f>
        <v>2.27970896732173</v>
      </c>
      <c r="DP78" s="74" t="n">
        <f aca="false">SQRT(($B78-DP$5)^2+($C78-DP$6)^2+($D78-DP$7)^2)</f>
        <v>2.54715677244681</v>
      </c>
      <c r="DQ78" s="74" t="n">
        <f aca="false">SQRT(($B78-DQ$5)^2+($C78-DQ$6)^2+($D78-DQ$7)^2)</f>
        <v>2.54715677244681</v>
      </c>
    </row>
    <row r="79" customFormat="false" ht="15" hidden="false" customHeight="false" outlineLevel="0" collapsed="false">
      <c r="A79" s="48" t="str">
        <f aca="false">KMeans_Data!A70</f>
        <v>Naushero Feroz</v>
      </c>
      <c r="B79" s="72" t="n">
        <f aca="false">KMeans_Data!H70</f>
        <v>-0.134393009866687</v>
      </c>
      <c r="C79" s="72" t="n">
        <f aca="false">KMeans_Data!I70</f>
        <v>-0.146983133929529</v>
      </c>
      <c r="D79" s="72" t="n">
        <f aca="false">KMeans_Data!J70</f>
        <v>0.430439822017226</v>
      </c>
      <c r="E79" s="74" t="n">
        <f aca="false">SQRT(($B79-E$5)^2+($C79-E$6)^2+($D79-E$7)^2)</f>
        <v>6.09144375722268</v>
      </c>
      <c r="F79" s="74" t="n">
        <f aca="false">SQRT(($B79-F$5)^2+($C79-F$6)^2+($D79-F$7)^2)</f>
        <v>5.91953310510946</v>
      </c>
      <c r="G79" s="74" t="n">
        <f aca="false">SQRT(($B79-G$5)^2+($C79-G$6)^2+($D79-G$7)^2)</f>
        <v>3.99684228339151</v>
      </c>
      <c r="H79" s="74" t="n">
        <f aca="false">SQRT(($B79-H$5)^2+($C79-H$6)^2+($D79-H$7)^2)</f>
        <v>4.62234690002442</v>
      </c>
      <c r="I79" s="74" t="n">
        <f aca="false">SQRT(($B79-I$5)^2+($C79-I$6)^2+($D79-I$7)^2)</f>
        <v>3.43725482764318</v>
      </c>
      <c r="J79" s="74" t="n">
        <f aca="false">SQRT(($B79-J$5)^2+($C79-J$6)^2+($D79-J$7)^2)</f>
        <v>3.05473006225175</v>
      </c>
      <c r="K79" s="74" t="n">
        <f aca="false">SQRT(($B79-K$5)^2+($C79-K$6)^2+($D79-K$7)^2)</f>
        <v>1.95999849857533</v>
      </c>
      <c r="L79" s="74" t="n">
        <f aca="false">SQRT(($B79-L$5)^2+($C79-L$6)^2+($D79-L$7)^2)</f>
        <v>2.11463579309068</v>
      </c>
      <c r="M79" s="74" t="n">
        <f aca="false">SQRT(($B79-M$5)^2+($C79-M$6)^2+($D79-M$7)^2)</f>
        <v>2.32136254253999</v>
      </c>
      <c r="N79" s="74" t="n">
        <f aca="false">SQRT(($B79-N$5)^2+($C79-N$6)^2+($D79-N$7)^2)</f>
        <v>1.8328807176224</v>
      </c>
      <c r="O79" s="74" t="n">
        <f aca="false">SQRT(($B79-O$5)^2+($C79-O$6)^2+($D79-O$7)^2)</f>
        <v>2.13825251820443</v>
      </c>
      <c r="P79" s="74" t="n">
        <f aca="false">SQRT(($B79-P$5)^2+($C79-P$6)^2+($D79-P$7)^2)</f>
        <v>2.40881492304183</v>
      </c>
      <c r="Q79" s="74" t="n">
        <f aca="false">SQRT(($B79-Q$5)^2+($C79-Q$6)^2+($D79-Q$7)^2)</f>
        <v>1.76318451762348</v>
      </c>
      <c r="R79" s="74" t="n">
        <f aca="false">SQRT(($B79-R$5)^2+($C79-R$6)^2+($D79-R$7)^2)</f>
        <v>1.65251443757261</v>
      </c>
      <c r="S79" s="74" t="n">
        <f aca="false">SQRT(($B79-S$5)^2+($C79-S$6)^2+($D79-S$7)^2)</f>
        <v>1.35903831530378</v>
      </c>
      <c r="T79" s="74" t="n">
        <f aca="false">SQRT(($B79-T$5)^2+($C79-T$6)^2+($D79-T$7)^2)</f>
        <v>1.68634385316646</v>
      </c>
      <c r="U79" s="74" t="n">
        <f aca="false">SQRT(($B79-U$5)^2+($C79-U$6)^2+($D79-U$7)^2)</f>
        <v>1.62312162593127</v>
      </c>
      <c r="V79" s="74" t="n">
        <f aca="false">SQRT(($B79-V$5)^2+($C79-V$6)^2+($D79-V$7)^2)</f>
        <v>1.82899137976896</v>
      </c>
      <c r="W79" s="74" t="n">
        <f aca="false">SQRT(($B79-W$5)^2+($C79-W$6)^2+($D79-W$7)^2)</f>
        <v>1.886838093059</v>
      </c>
      <c r="X79" s="74" t="n">
        <f aca="false">SQRT(($B79-X$5)^2+($C79-X$6)^2+($D79-X$7)^2)</f>
        <v>1.49097325297854</v>
      </c>
      <c r="Y79" s="74" t="n">
        <f aca="false">SQRT(($B79-Y$5)^2+($C79-Y$6)^2+($D79-Y$7)^2)</f>
        <v>1.56811334921892</v>
      </c>
      <c r="Z79" s="74" t="n">
        <f aca="false">SQRT(($B79-Z$5)^2+($C79-Z$6)^2+($D79-Z$7)^2)</f>
        <v>1.33579874423911</v>
      </c>
      <c r="AA79" s="74" t="n">
        <f aca="false">SQRT(($B79-AA$5)^2+($C79-AA$6)^2+($D79-AA$7)^2)</f>
        <v>1.10325754422675</v>
      </c>
      <c r="AB79" s="74" t="n">
        <f aca="false">SQRT(($B79-AB$5)^2+($C79-AB$6)^2+($D79-AB$7)^2)</f>
        <v>1.17534766984178</v>
      </c>
      <c r="AC79" s="74" t="n">
        <f aca="false">SQRT(($B79-AC$5)^2+($C79-AC$6)^2+($D79-AC$7)^2)</f>
        <v>1.79627637878855</v>
      </c>
      <c r="AD79" s="74" t="n">
        <f aca="false">SQRT(($B79-AD$5)^2+($C79-AD$6)^2+($D79-AD$7)^2)</f>
        <v>1.52697165172369</v>
      </c>
      <c r="AE79" s="74" t="n">
        <f aca="false">SQRT(($B79-AE$5)^2+($C79-AE$6)^2+($D79-AE$7)^2)</f>
        <v>1.75856295081393</v>
      </c>
      <c r="AF79" s="74" t="n">
        <f aca="false">SQRT(($B79-AF$5)^2+($C79-AF$6)^2+($D79-AF$7)^2)</f>
        <v>1.19710839825312</v>
      </c>
      <c r="AG79" s="74" t="n">
        <f aca="false">SQRT(($B79-AG$5)^2+($C79-AG$6)^2+($D79-AG$7)^2)</f>
        <v>1.21361122451298</v>
      </c>
      <c r="AH79" s="74" t="n">
        <f aca="false">SQRT(($B79-AH$5)^2+($C79-AH$6)^2+($D79-AH$7)^2)</f>
        <v>0.851458058998249</v>
      </c>
      <c r="AI79" s="74" t="n">
        <f aca="false">SQRT(($B79-AI$5)^2+($C79-AI$6)^2+($D79-AI$7)^2)</f>
        <v>1.21175732171424</v>
      </c>
      <c r="AJ79" s="74" t="n">
        <f aca="false">SQRT(($B79-AJ$5)^2+($C79-AJ$6)^2+($D79-AJ$7)^2)</f>
        <v>1.20127482720333</v>
      </c>
      <c r="AK79" s="74" t="n">
        <f aca="false">SQRT(($B79-AK$5)^2+($C79-AK$6)^2+($D79-AK$7)^2)</f>
        <v>0.860544513358135</v>
      </c>
      <c r="AL79" s="74" t="n">
        <f aca="false">SQRT(($B79-AL$5)^2+($C79-AL$6)^2+($D79-AL$7)^2)</f>
        <v>0.630966620057113</v>
      </c>
      <c r="AM79" s="74" t="n">
        <f aca="false">SQRT(($B79-AM$5)^2+($C79-AM$6)^2+($D79-AM$7)^2)</f>
        <v>1.65331717416825</v>
      </c>
      <c r="AN79" s="74" t="n">
        <f aca="false">SQRT(($B79-AN$5)^2+($C79-AN$6)^2+($D79-AN$7)^2)</f>
        <v>1.44945201154809</v>
      </c>
      <c r="AO79" s="74" t="n">
        <f aca="false">SQRT(($B79-AO$5)^2+($C79-AO$6)^2+($D79-AO$7)^2)</f>
        <v>0.781376404571486</v>
      </c>
      <c r="AP79" s="74" t="n">
        <f aca="false">SQRT(($B79-AP$5)^2+($C79-AP$6)^2+($D79-AP$7)^2)</f>
        <v>0.771178161578036</v>
      </c>
      <c r="AQ79" s="74" t="n">
        <f aca="false">SQRT(($B79-AQ$5)^2+($C79-AQ$6)^2+($D79-AQ$7)^2)</f>
        <v>1.53235795517832</v>
      </c>
      <c r="AR79" s="74" t="n">
        <f aca="false">SQRT(($B79-AR$5)^2+($C79-AR$6)^2+($D79-AR$7)^2)</f>
        <v>0.792818474051637</v>
      </c>
      <c r="AS79" s="74" t="n">
        <f aca="false">SQRT(($B79-AS$5)^2+($C79-AS$6)^2+($D79-AS$7)^2)</f>
        <v>0.90398451631721</v>
      </c>
      <c r="AT79" s="74" t="n">
        <f aca="false">SQRT(($B79-AT$5)^2+($C79-AT$6)^2+($D79-AT$7)^2)</f>
        <v>0.533626621835574</v>
      </c>
      <c r="AU79" s="74" t="n">
        <f aca="false">SQRT(($B79-AU$5)^2+($C79-AU$6)^2+($D79-AU$7)^2)</f>
        <v>1.138345511638</v>
      </c>
      <c r="AV79" s="74" t="n">
        <f aca="false">SQRT(($B79-AV$5)^2+($C79-AV$6)^2+($D79-AV$7)^2)</f>
        <v>0.660478840347839</v>
      </c>
      <c r="AW79" s="74" t="n">
        <f aca="false">SQRT(($B79-AW$5)^2+($C79-AW$6)^2+($D79-AW$7)^2)</f>
        <v>1.41074469324609</v>
      </c>
      <c r="AX79" s="74" t="n">
        <f aca="false">SQRT(($B79-AX$5)^2+($C79-AX$6)^2+($D79-AX$7)^2)</f>
        <v>0.481216091814912</v>
      </c>
      <c r="AY79" s="74" t="n">
        <f aca="false">SQRT(($B79-AY$5)^2+($C79-AY$6)^2+($D79-AY$7)^2)</f>
        <v>1.69494508587137</v>
      </c>
      <c r="AZ79" s="74" t="n">
        <f aca="false">SQRT(($B79-AZ$5)^2+($C79-AZ$6)^2+($D79-AZ$7)^2)</f>
        <v>0.866771986645889</v>
      </c>
      <c r="BA79" s="74" t="n">
        <f aca="false">SQRT(($B79-BA$5)^2+($C79-BA$6)^2+($D79-BA$7)^2)</f>
        <v>0.491542973526152</v>
      </c>
      <c r="BB79" s="74" t="n">
        <f aca="false">SQRT(($B79-BB$5)^2+($C79-BB$6)^2+($D79-BB$7)^2)</f>
        <v>1.69366185281083</v>
      </c>
      <c r="BC79" s="74" t="n">
        <f aca="false">SQRT(($B79-BC$5)^2+($C79-BC$6)^2+($D79-BC$7)^2)</f>
        <v>1.6923870930488</v>
      </c>
      <c r="BD79" s="74" t="n">
        <f aca="false">SQRT(($B79-BD$5)^2+($C79-BD$6)^2+($D79-BD$7)^2)</f>
        <v>1.11317970958579</v>
      </c>
      <c r="BE79" s="74" t="n">
        <f aca="false">SQRT(($B79-BE$5)^2+($C79-BE$6)^2+($D79-BE$7)^2)</f>
        <v>0.902149794329204</v>
      </c>
      <c r="BF79" s="74" t="n">
        <f aca="false">SQRT(($B79-BF$5)^2+($C79-BF$6)^2+($D79-BF$7)^2)</f>
        <v>1.58866296355981</v>
      </c>
      <c r="BG79" s="74" t="n">
        <f aca="false">SQRT(($B79-BG$5)^2+($C79-BG$6)^2+($D79-BG$7)^2)</f>
        <v>0.301068578720992</v>
      </c>
      <c r="BH79" s="74" t="n">
        <f aca="false">SQRT(($B79-BH$5)^2+($C79-BH$6)^2+($D79-BH$7)^2)</f>
        <v>1.6758365533911</v>
      </c>
      <c r="BI79" s="74" t="n">
        <f aca="false">SQRT(($B79-BI$5)^2+($C79-BI$6)^2+($D79-BI$7)^2)</f>
        <v>1.67375506493166</v>
      </c>
      <c r="BJ79" s="74" t="n">
        <f aca="false">SQRT(($B79-BJ$5)^2+($C79-BJ$6)^2+($D79-BJ$7)^2)</f>
        <v>0.829714881150302</v>
      </c>
      <c r="BK79" s="74" t="n">
        <f aca="false">SQRT(($B79-BK$5)^2+($C79-BK$6)^2+($D79-BK$7)^2)</f>
        <v>0.992672207460083</v>
      </c>
      <c r="BL79" s="74" t="n">
        <f aca="false">SQRT(($B79-BL$5)^2+($C79-BL$6)^2+($D79-BL$7)^2)</f>
        <v>0.545740345565449</v>
      </c>
      <c r="BM79" s="74" t="n">
        <f aca="false">SQRT(($B79-BM$5)^2+($C79-BM$6)^2+($D79-BM$7)^2)</f>
        <v>0.705827536955707</v>
      </c>
      <c r="BN79" s="74" t="n">
        <f aca="false">SQRT(($B79-BN$5)^2+($C79-BN$6)^2+($D79-BN$7)^2)</f>
        <v>0.50294353053172</v>
      </c>
      <c r="BO79" s="74" t="n">
        <f aca="false">SQRT(($B79-BO$5)^2+($C79-BO$6)^2+($D79-BO$7)^2)</f>
        <v>1.36231230511354</v>
      </c>
      <c r="BP79" s="74" t="n">
        <f aca="false">SQRT(($B79-BP$5)^2+($C79-BP$6)^2+($D79-BP$7)^2)</f>
        <v>0.350942317301326</v>
      </c>
      <c r="BQ79" s="74" t="n">
        <f aca="false">SQRT(($B79-BQ$5)^2+($C79-BQ$6)^2+($D79-BQ$7)^2)</f>
        <v>0.0544970618533212</v>
      </c>
      <c r="BR79" s="74" t="n">
        <f aca="false">SQRT(($B79-BR$5)^2+($C79-BR$6)^2+($D79-BR$7)^2)</f>
        <v>0</v>
      </c>
      <c r="BS79" s="74" t="n">
        <f aca="false">SQRT(($B79-BS$5)^2+($C79-BS$6)^2+($D79-BS$7)^2)</f>
        <v>0.552850364234542</v>
      </c>
      <c r="BT79" s="74" t="n">
        <f aca="false">SQRT(($B79-BT$5)^2+($C79-BT$6)^2+($D79-BT$7)^2)</f>
        <v>0.582061643329255</v>
      </c>
      <c r="BU79" s="74" t="n">
        <f aca="false">SQRT(($B79-BU$5)^2+($C79-BU$6)^2+($D79-BU$7)^2)</f>
        <v>0.621233796240105</v>
      </c>
      <c r="BV79" s="74" t="n">
        <f aca="false">SQRT(($B79-BV$5)^2+($C79-BV$6)^2+($D79-BV$7)^2)</f>
        <v>1.66616970357621</v>
      </c>
      <c r="BW79" s="74" t="n">
        <f aca="false">SQRT(($B79-BW$5)^2+($C79-BW$6)^2+($D79-BW$7)^2)</f>
        <v>0.563040148212336</v>
      </c>
      <c r="BX79" s="74" t="n">
        <f aca="false">SQRT(($B79-BX$5)^2+($C79-BX$6)^2+($D79-BX$7)^2)</f>
        <v>1.6674526968211</v>
      </c>
      <c r="BY79" s="74" t="n">
        <f aca="false">SQRT(($B79-BY$5)^2+($C79-BY$6)^2+($D79-BY$7)^2)</f>
        <v>0.825916519438673</v>
      </c>
      <c r="BZ79" s="74" t="n">
        <f aca="false">SQRT(($B79-BZ$5)^2+($C79-BZ$6)^2+($D79-BZ$7)^2)</f>
        <v>0.876502469556724</v>
      </c>
      <c r="CA79" s="74" t="n">
        <f aca="false">SQRT(($B79-CA$5)^2+($C79-CA$6)^2+($D79-CA$7)^2)</f>
        <v>1.67258078558987</v>
      </c>
      <c r="CB79" s="74" t="n">
        <f aca="false">SQRT(($B79-CB$5)^2+($C79-CB$6)^2+($D79-CB$7)^2)</f>
        <v>0.880699489238157</v>
      </c>
      <c r="CC79" s="74" t="n">
        <f aca="false">SQRT(($B79-CC$5)^2+($C79-CC$6)^2+($D79-CC$7)^2)</f>
        <v>1.67478401459106</v>
      </c>
      <c r="CD79" s="74" t="n">
        <f aca="false">SQRT(($B79-CD$5)^2+($C79-CD$6)^2+($D79-CD$7)^2)</f>
        <v>1.68007995947767</v>
      </c>
      <c r="CE79" s="74" t="n">
        <f aca="false">SQRT(($B79-CE$5)^2+($C79-CE$6)^2+($D79-CE$7)^2)</f>
        <v>0.706681675619819</v>
      </c>
      <c r="CF79" s="74" t="n">
        <f aca="false">SQRT(($B79-CF$5)^2+($C79-CF$6)^2+($D79-CF$7)^2)</f>
        <v>0.397189792867857</v>
      </c>
      <c r="CG79" s="74" t="n">
        <f aca="false">SQRT(($B79-CG$5)^2+($C79-CG$6)^2+($D79-CG$7)^2)</f>
        <v>0.895901330091941</v>
      </c>
      <c r="CH79" s="74" t="n">
        <f aca="false">SQRT(($B79-CH$5)^2+($C79-CH$6)^2+($D79-CH$7)^2)</f>
        <v>1.03873260309391</v>
      </c>
      <c r="CI79" s="74" t="n">
        <f aca="false">SQRT(($B79-CI$5)^2+($C79-CI$6)^2+($D79-CI$7)^2)</f>
        <v>1.13895372393126</v>
      </c>
      <c r="CJ79" s="74" t="n">
        <f aca="false">SQRT(($B79-CJ$5)^2+($C79-CJ$6)^2+($D79-CJ$7)^2)</f>
        <v>1.42179889540714</v>
      </c>
      <c r="CK79" s="74" t="n">
        <f aca="false">SQRT(($B79-CK$5)^2+($C79-CK$6)^2+($D79-CK$7)^2)</f>
        <v>0.845030303644481</v>
      </c>
      <c r="CL79" s="74" t="n">
        <f aca="false">SQRT(($B79-CL$5)^2+($C79-CL$6)^2+($D79-CL$7)^2)</f>
        <v>1.73570381955912</v>
      </c>
      <c r="CM79" s="74" t="n">
        <f aca="false">SQRT(($B79-CM$5)^2+($C79-CM$6)^2+($D79-CM$7)^2)</f>
        <v>1.04155804347969</v>
      </c>
      <c r="CN79" s="74" t="n">
        <f aca="false">SQRT(($B79-CN$5)^2+($C79-CN$6)^2+($D79-CN$7)^2)</f>
        <v>0.605130087612697</v>
      </c>
      <c r="CO79" s="74" t="n">
        <f aca="false">SQRT(($B79-CO$5)^2+($C79-CO$6)^2+($D79-CO$7)^2)</f>
        <v>0.864690630032677</v>
      </c>
      <c r="CP79" s="74" t="n">
        <f aca="false">SQRT(($B79-CP$5)^2+($C79-CP$6)^2+($D79-CP$7)^2)</f>
        <v>1.77000371140122</v>
      </c>
      <c r="CQ79" s="74" t="n">
        <f aca="false">SQRT(($B79-CQ$5)^2+($C79-CQ$6)^2+($D79-CQ$7)^2)</f>
        <v>1.17933744946761</v>
      </c>
      <c r="CR79" s="74" t="n">
        <f aca="false">SQRT(($B79-CR$5)^2+($C79-CR$6)^2+($D79-CR$7)^2)</f>
        <v>1.14838441657223</v>
      </c>
      <c r="CS79" s="74" t="n">
        <f aca="false">SQRT(($B79-CS$5)^2+($C79-CS$6)^2+($D79-CS$7)^2)</f>
        <v>1.80183555285181</v>
      </c>
      <c r="CT79" s="74" t="n">
        <f aca="false">SQRT(($B79-CT$5)^2+($C79-CT$6)^2+($D79-CT$7)^2)</f>
        <v>1.82160753352507</v>
      </c>
      <c r="CU79" s="74" t="n">
        <f aca="false">SQRT(($B79-CU$5)^2+($C79-CU$6)^2+($D79-CU$7)^2)</f>
        <v>1.46035121261989</v>
      </c>
      <c r="CV79" s="74" t="n">
        <f aca="false">SQRT(($B79-CV$5)^2+($C79-CV$6)^2+($D79-CV$7)^2)</f>
        <v>0.928186877352873</v>
      </c>
      <c r="CW79" s="74" t="n">
        <f aca="false">SQRT(($B79-CW$5)^2+($C79-CW$6)^2+($D79-CW$7)^2)</f>
        <v>1.82160753352507</v>
      </c>
      <c r="CX79" s="74" t="n">
        <f aca="false">SQRT(($B79-CX$5)^2+($C79-CX$6)^2+($D79-CX$7)^2)</f>
        <v>1.06549971660683</v>
      </c>
      <c r="CY79" s="74" t="n">
        <f aca="false">SQRT(($B79-CY$5)^2+($C79-CY$6)^2+($D79-CY$7)^2)</f>
        <v>1.8447706149809</v>
      </c>
      <c r="CZ79" s="74" t="n">
        <f aca="false">SQRT(($B79-CZ$5)^2+($C79-CZ$6)^2+($D79-CZ$7)^2)</f>
        <v>1.8447706149809</v>
      </c>
      <c r="DA79" s="74" t="n">
        <f aca="false">SQRT(($B79-DA$5)^2+($C79-DA$6)^2+($D79-DA$7)^2)</f>
        <v>1.33824916674454</v>
      </c>
      <c r="DB79" s="74" t="n">
        <f aca="false">SQRT(($B79-DB$5)^2+($C79-DB$6)^2+($D79-DB$7)^2)</f>
        <v>1.87222752703036</v>
      </c>
      <c r="DC79" s="74" t="n">
        <f aca="false">SQRT(($B79-DC$5)^2+($C79-DC$6)^2+($D79-DC$7)^2)</f>
        <v>1.87222752703036</v>
      </c>
      <c r="DD79" s="74" t="n">
        <f aca="false">SQRT(($B79-DD$5)^2+($C79-DD$6)^2+($D79-DD$7)^2)</f>
        <v>1.46958426677294</v>
      </c>
      <c r="DE79" s="74" t="n">
        <f aca="false">SQRT(($B79-DE$5)^2+($C79-DE$6)^2+($D79-DE$7)^2)</f>
        <v>1.69611438375062</v>
      </c>
      <c r="DF79" s="74" t="n">
        <f aca="false">SQRT(($B79-DF$5)^2+($C79-DF$6)^2+($D79-DF$7)^2)</f>
        <v>2.06351714006699</v>
      </c>
      <c r="DG79" s="74" t="n">
        <f aca="false">SQRT(($B79-DG$5)^2+($C79-DG$6)^2+($D79-DG$7)^2)</f>
        <v>2.15569176846061</v>
      </c>
      <c r="DH79" s="74" t="n">
        <f aca="false">SQRT(($B79-DH$5)^2+($C79-DH$6)^2+($D79-DH$7)^2)</f>
        <v>2.15569176846061</v>
      </c>
      <c r="DI79" s="74" t="n">
        <f aca="false">SQRT(($B79-DI$5)^2+($C79-DI$6)^2+($D79-DI$7)^2)</f>
        <v>2.15569176846061</v>
      </c>
      <c r="DJ79" s="74" t="n">
        <f aca="false">SQRT(($B79-DJ$5)^2+($C79-DJ$6)^2+($D79-DJ$7)^2)</f>
        <v>2.15569176846061</v>
      </c>
      <c r="DK79" s="74" t="n">
        <f aca="false">SQRT(($B79-DK$5)^2+($C79-DK$6)^2+($D79-DK$7)^2)</f>
        <v>2.29592442653765</v>
      </c>
      <c r="DL79" s="74" t="n">
        <f aca="false">SQRT(($B79-DL$5)^2+($C79-DL$6)^2+($D79-DL$7)^2)</f>
        <v>2.29592442653765</v>
      </c>
      <c r="DM79" s="74" t="n">
        <f aca="false">SQRT(($B79-DM$5)^2+($C79-DM$6)^2+($D79-DM$7)^2)</f>
        <v>2.29592442653765</v>
      </c>
      <c r="DN79" s="74" t="n">
        <f aca="false">SQRT(($B79-DN$5)^2+($C79-DN$6)^2+($D79-DN$7)^2)</f>
        <v>2.29592442653765</v>
      </c>
      <c r="DO79" s="74" t="n">
        <f aca="false">SQRT(($B79-DO$5)^2+($C79-DO$6)^2+($D79-DO$7)^2)</f>
        <v>2.29592442653765</v>
      </c>
      <c r="DP79" s="74" t="n">
        <f aca="false">SQRT(($B79-DP$5)^2+($C79-DP$6)^2+($D79-DP$7)^2)</f>
        <v>2.55826774752687</v>
      </c>
      <c r="DQ79" s="74" t="n">
        <f aca="false">SQRT(($B79-DQ$5)^2+($C79-DQ$6)^2+($D79-DQ$7)^2)</f>
        <v>2.55826774752687</v>
      </c>
    </row>
    <row r="80" customFormat="false" ht="15" hidden="false" customHeight="false" outlineLevel="0" collapsed="false">
      <c r="A80" s="48" t="str">
        <f aca="false">KMeans_Data!A71</f>
        <v>Tando M. Khan</v>
      </c>
      <c r="B80" s="72" t="n">
        <f aca="false">KMeans_Data!H71</f>
        <v>-0.172963987436362</v>
      </c>
      <c r="C80" s="72" t="n">
        <f aca="false">KMeans_Data!I71</f>
        <v>-0.672650545388274</v>
      </c>
      <c r="D80" s="72" t="n">
        <f aca="false">KMeans_Data!J71</f>
        <v>0.597261815332999</v>
      </c>
      <c r="E80" s="74" t="n">
        <f aca="false">SQRT(($B80-E$5)^2+($C80-E$6)^2+($D80-E$7)^2)</f>
        <v>6.41352976848323</v>
      </c>
      <c r="F80" s="74" t="n">
        <f aca="false">SQRT(($B80-F$5)^2+($C80-F$6)^2+($D80-F$7)^2)</f>
        <v>6.27547949973628</v>
      </c>
      <c r="G80" s="74" t="n">
        <f aca="false">SQRT(($B80-G$5)^2+($C80-G$6)^2+($D80-G$7)^2)</f>
        <v>4.2885538040986</v>
      </c>
      <c r="H80" s="74" t="n">
        <f aca="false">SQRT(($B80-H$5)^2+($C80-H$6)^2+($D80-H$7)^2)</f>
        <v>5.03573234103996</v>
      </c>
      <c r="I80" s="74" t="n">
        <f aca="false">SQRT(($B80-I$5)^2+($C80-I$6)^2+($D80-I$7)^2)</f>
        <v>3.76857561047966</v>
      </c>
      <c r="J80" s="74" t="n">
        <f aca="false">SQRT(($B80-J$5)^2+($C80-J$6)^2+($D80-J$7)^2)</f>
        <v>3.45320070449445</v>
      </c>
      <c r="K80" s="74" t="n">
        <f aca="false">SQRT(($B80-K$5)^2+($C80-K$6)^2+($D80-K$7)^2)</f>
        <v>2.23671660497685</v>
      </c>
      <c r="L80" s="74" t="n">
        <f aca="false">SQRT(($B80-L$5)^2+($C80-L$6)^2+($D80-L$7)^2)</f>
        <v>2.30946722957855</v>
      </c>
      <c r="M80" s="74" t="n">
        <f aca="false">SQRT(($B80-M$5)^2+($C80-M$6)^2+($D80-M$7)^2)</f>
        <v>2.60928517786832</v>
      </c>
      <c r="N80" s="74" t="n">
        <f aca="false">SQRT(($B80-N$5)^2+($C80-N$6)^2+($D80-N$7)^2)</f>
        <v>2.04617612636342</v>
      </c>
      <c r="O80" s="74" t="n">
        <f aca="false">SQRT(($B80-O$5)^2+($C80-O$6)^2+($D80-O$7)^2)</f>
        <v>2.54878588647308</v>
      </c>
      <c r="P80" s="74" t="n">
        <f aca="false">SQRT(($B80-P$5)^2+($C80-P$6)^2+($D80-P$7)^2)</f>
        <v>2.82372383975942</v>
      </c>
      <c r="Q80" s="74" t="n">
        <f aca="false">SQRT(($B80-Q$5)^2+($C80-Q$6)^2+($D80-Q$7)^2)</f>
        <v>2.11839099302514</v>
      </c>
      <c r="R80" s="74" t="n">
        <f aca="false">SQRT(($B80-R$5)^2+($C80-R$6)^2+($D80-R$7)^2)</f>
        <v>1.82551676868197</v>
      </c>
      <c r="S80" s="74" t="n">
        <f aca="false">SQRT(($B80-S$5)^2+($C80-S$6)^2+($D80-S$7)^2)</f>
        <v>1.41245644771464</v>
      </c>
      <c r="T80" s="74" t="n">
        <f aca="false">SQRT(($B80-T$5)^2+($C80-T$6)^2+($D80-T$7)^2)</f>
        <v>2.06025527940114</v>
      </c>
      <c r="U80" s="74" t="n">
        <f aca="false">SQRT(($B80-U$5)^2+($C80-U$6)^2+($D80-U$7)^2)</f>
        <v>1.78506870078497</v>
      </c>
      <c r="V80" s="74" t="n">
        <f aca="false">SQRT(($B80-V$5)^2+($C80-V$6)^2+($D80-V$7)^2)</f>
        <v>2.29582985925141</v>
      </c>
      <c r="W80" s="74" t="n">
        <f aca="false">SQRT(($B80-W$5)^2+($C80-W$6)^2+($D80-W$7)^2)</f>
        <v>2.3195260889521</v>
      </c>
      <c r="X80" s="74" t="n">
        <f aca="false">SQRT(($B80-X$5)^2+($C80-X$6)^2+($D80-X$7)^2)</f>
        <v>1.84404596362977</v>
      </c>
      <c r="Y80" s="74" t="n">
        <f aca="false">SQRT(($B80-Y$5)^2+($C80-Y$6)^2+($D80-Y$7)^2)</f>
        <v>1.88551951186217</v>
      </c>
      <c r="Z80" s="74" t="n">
        <f aca="false">SQRT(($B80-Z$5)^2+($C80-Z$6)^2+($D80-Z$7)^2)</f>
        <v>1.7598649721255</v>
      </c>
      <c r="AA80" s="74" t="n">
        <f aca="false">SQRT(($B80-AA$5)^2+($C80-AA$6)^2+($D80-AA$7)^2)</f>
        <v>1.31921680703552</v>
      </c>
      <c r="AB80" s="74" t="n">
        <f aca="false">SQRT(($B80-AB$5)^2+($C80-AB$6)^2+($D80-AB$7)^2)</f>
        <v>1.55225100180607</v>
      </c>
      <c r="AC80" s="74" t="n">
        <f aca="false">SQRT(($B80-AC$5)^2+($C80-AC$6)^2+($D80-AC$7)^2)</f>
        <v>2.26023276410473</v>
      </c>
      <c r="AD80" s="74" t="n">
        <f aca="false">SQRT(($B80-AD$5)^2+($C80-AD$6)^2+($D80-AD$7)^2)</f>
        <v>1.84883924254891</v>
      </c>
      <c r="AE80" s="74" t="n">
        <f aca="false">SQRT(($B80-AE$5)^2+($C80-AE$6)^2+($D80-AE$7)^2)</f>
        <v>1.99604958037871</v>
      </c>
      <c r="AF80" s="74" t="n">
        <f aca="false">SQRT(($B80-AF$5)^2+($C80-AF$6)^2+($D80-AF$7)^2)</f>
        <v>1.58863257751907</v>
      </c>
      <c r="AG80" s="74" t="n">
        <f aca="false">SQRT(($B80-AG$5)^2+($C80-AG$6)^2+($D80-AG$7)^2)</f>
        <v>1.24811828961317</v>
      </c>
      <c r="AH80" s="74" t="n">
        <f aca="false">SQRT(($B80-AH$5)^2+($C80-AH$6)^2+($D80-AH$7)^2)</f>
        <v>1.13652880804173</v>
      </c>
      <c r="AI80" s="74" t="n">
        <f aca="false">SQRT(($B80-AI$5)^2+($C80-AI$6)^2+($D80-AI$7)^2)</f>
        <v>1.24621779524155</v>
      </c>
      <c r="AJ80" s="74" t="n">
        <f aca="false">SQRT(($B80-AJ$5)^2+($C80-AJ$6)^2+($D80-AJ$7)^2)</f>
        <v>1.51841352185857</v>
      </c>
      <c r="AK80" s="74" t="n">
        <f aca="false">SQRT(($B80-AK$5)^2+($C80-AK$6)^2+($D80-AK$7)^2)</f>
        <v>1.30313529281904</v>
      </c>
      <c r="AL80" s="74" t="n">
        <f aca="false">SQRT(($B80-AL$5)^2+($C80-AL$6)^2+($D80-AL$7)^2)</f>
        <v>0.843184904735731</v>
      </c>
      <c r="AM80" s="74" t="n">
        <f aca="false">SQRT(($B80-AM$5)^2+($C80-AM$6)^2+($D80-AM$7)^2)</f>
        <v>2.17587753394048</v>
      </c>
      <c r="AN80" s="74" t="n">
        <f aca="false">SQRT(($B80-AN$5)^2+($C80-AN$6)^2+($D80-AN$7)^2)</f>
        <v>1.92733773508954</v>
      </c>
      <c r="AO80" s="74" t="n">
        <f aca="false">SQRT(($B80-AO$5)^2+($C80-AO$6)^2+($D80-AO$7)^2)</f>
        <v>1.2149432124772</v>
      </c>
      <c r="AP80" s="74" t="n">
        <f aca="false">SQRT(($B80-AP$5)^2+($C80-AP$6)^2+($D80-AP$7)^2)</f>
        <v>1.21922128528654</v>
      </c>
      <c r="AQ80" s="74" t="n">
        <f aca="false">SQRT(($B80-AQ$5)^2+($C80-AQ$6)^2+($D80-AQ$7)^2)</f>
        <v>2.03024565750999</v>
      </c>
      <c r="AR80" s="74" t="n">
        <f aca="false">SQRT(($B80-AR$5)^2+($C80-AR$6)^2+($D80-AR$7)^2)</f>
        <v>1.21152015372234</v>
      </c>
      <c r="AS80" s="74" t="n">
        <f aca="false">SQRT(($B80-AS$5)^2+($C80-AS$6)^2+($D80-AS$7)^2)</f>
        <v>0.641344389504418</v>
      </c>
      <c r="AT80" s="74" t="n">
        <f aca="false">SQRT(($B80-AT$5)^2+($C80-AT$6)^2+($D80-AT$7)^2)</f>
        <v>0.71216162994939</v>
      </c>
      <c r="AU80" s="74" t="n">
        <f aca="false">SQRT(($B80-AU$5)^2+($C80-AU$6)^2+($D80-AU$7)^2)</f>
        <v>1.40998976588957</v>
      </c>
      <c r="AV80" s="74" t="n">
        <f aca="false">SQRT(($B80-AV$5)^2+($C80-AV$6)^2+($D80-AV$7)^2)</f>
        <v>0.437248720573372</v>
      </c>
      <c r="AW80" s="74" t="n">
        <f aca="false">SQRT(($B80-AW$5)^2+($C80-AW$6)^2+($D80-AW$7)^2)</f>
        <v>1.48008494211884</v>
      </c>
      <c r="AX80" s="74" t="n">
        <f aca="false">SQRT(($B80-AX$5)^2+($C80-AX$6)^2+($D80-AX$7)^2)</f>
        <v>0.951361138131449</v>
      </c>
      <c r="AY80" s="74" t="n">
        <f aca="false">SQRT(($B80-AY$5)^2+($C80-AY$6)^2+($D80-AY$7)^2)</f>
        <v>1.78256888373039</v>
      </c>
      <c r="AZ80" s="74" t="n">
        <f aca="false">SQRT(($B80-AZ$5)^2+($C80-AZ$6)^2+($D80-AZ$7)^2)</f>
        <v>0.573826384281808</v>
      </c>
      <c r="BA80" s="74" t="n">
        <f aca="false">SQRT(($B80-BA$5)^2+($C80-BA$6)^2+($D80-BA$7)^2)</f>
        <v>0.671358675750474</v>
      </c>
      <c r="BB80" s="74" t="n">
        <f aca="false">SQRT(($B80-BB$5)^2+($C80-BB$6)^2+($D80-BB$7)^2)</f>
        <v>1.78120701035703</v>
      </c>
      <c r="BC80" s="74" t="n">
        <f aca="false">SQRT(($B80-BC$5)^2+($C80-BC$6)^2+($D80-BC$7)^2)</f>
        <v>1.77985126961761</v>
      </c>
      <c r="BD80" s="74" t="n">
        <f aca="false">SQRT(($B80-BD$5)^2+($C80-BD$6)^2+($D80-BD$7)^2)</f>
        <v>1.15193714718075</v>
      </c>
      <c r="BE80" s="74" t="n">
        <f aca="false">SQRT(($B80-BE$5)^2+($C80-BE$6)^2+($D80-BE$7)^2)</f>
        <v>0.902251808208967</v>
      </c>
      <c r="BF80" s="74" t="n">
        <f aca="false">SQRT(($B80-BF$5)^2+($C80-BF$6)^2+($D80-BF$7)^2)</f>
        <v>2.08369726771968</v>
      </c>
      <c r="BG80" s="74" t="n">
        <f aca="false">SQRT(($B80-BG$5)^2+($C80-BG$6)^2+($D80-BG$7)^2)</f>
        <v>0.593080996033056</v>
      </c>
      <c r="BH80" s="74" t="n">
        <f aca="false">SQRT(($B80-BH$5)^2+($C80-BH$6)^2+($D80-BH$7)^2)</f>
        <v>1.76186886701064</v>
      </c>
      <c r="BI80" s="74" t="n">
        <f aca="false">SQRT(($B80-BI$5)^2+($C80-BI$6)^2+($D80-BI$7)^2)</f>
        <v>1.75952694086607</v>
      </c>
      <c r="BJ80" s="74" t="n">
        <f aca="false">SQRT(($B80-BJ$5)^2+($C80-BJ$6)^2+($D80-BJ$7)^2)</f>
        <v>1.37060706020556</v>
      </c>
      <c r="BK80" s="74" t="n">
        <f aca="false">SQRT(($B80-BK$5)^2+($C80-BK$6)^2+($D80-BK$7)^2)</f>
        <v>1.01303297407246</v>
      </c>
      <c r="BL80" s="74" t="n">
        <f aca="false">SQRT(($B80-BL$5)^2+($C80-BL$6)^2+($D80-BL$7)^2)</f>
        <v>0.288163780927293</v>
      </c>
      <c r="BM80" s="74" t="n">
        <f aca="false">SQRT(($B80-BM$5)^2+($C80-BM$6)^2+($D80-BM$7)^2)</f>
        <v>1.23221968719986</v>
      </c>
      <c r="BN80" s="74" t="n">
        <f aca="false">SQRT(($B80-BN$5)^2+($C80-BN$6)^2+($D80-BN$7)^2)</f>
        <v>1.00904275179398</v>
      </c>
      <c r="BO80" s="74" t="n">
        <f aca="false">SQRT(($B80-BO$5)^2+($C80-BO$6)^2+($D80-BO$7)^2)</f>
        <v>1.42580934773319</v>
      </c>
      <c r="BP80" s="74" t="n">
        <f aca="false">SQRT(($B80-BP$5)^2+($C80-BP$6)^2+($D80-BP$7)^2)</f>
        <v>0.89999984423813</v>
      </c>
      <c r="BQ80" s="74" t="n">
        <f aca="false">SQRT(($B80-BQ$5)^2+($C80-BQ$6)^2+($D80-BQ$7)^2)</f>
        <v>0.571638672974506</v>
      </c>
      <c r="BR80" s="74" t="n">
        <f aca="false">SQRT(($B80-BR$5)^2+($C80-BR$6)^2+($D80-BR$7)^2)</f>
        <v>0.552850364234542</v>
      </c>
      <c r="BS80" s="74" t="n">
        <f aca="false">SQRT(($B80-BS$5)^2+($C80-BS$6)^2+($D80-BS$7)^2)</f>
        <v>0</v>
      </c>
      <c r="BT80" s="74" t="n">
        <f aca="false">SQRT(($B80-BT$5)^2+($C80-BT$6)^2+($D80-BT$7)^2)</f>
        <v>0.405678670794365</v>
      </c>
      <c r="BU80" s="74" t="n">
        <f aca="false">SQRT(($B80-BU$5)^2+($C80-BU$6)^2+($D80-BU$7)^2)</f>
        <v>0.489795011505605</v>
      </c>
      <c r="BV80" s="74" t="n">
        <f aca="false">SQRT(($B80-BV$5)^2+($C80-BV$6)^2+($D80-BV$7)^2)</f>
        <v>1.74507329509676</v>
      </c>
      <c r="BW80" s="74" t="n">
        <f aca="false">SQRT(($B80-BW$5)^2+($C80-BW$6)^2+($D80-BW$7)^2)</f>
        <v>0.32716880293663</v>
      </c>
      <c r="BX80" s="74" t="n">
        <f aca="false">SQRT(($B80-BX$5)^2+($C80-BX$6)^2+($D80-BX$7)^2)</f>
        <v>1.74594453975062</v>
      </c>
      <c r="BY80" s="74" t="n">
        <f aca="false">SQRT(($B80-BY$5)^2+($C80-BY$6)^2+($D80-BY$7)^2)</f>
        <v>0.791184723184379</v>
      </c>
      <c r="BZ80" s="74" t="n">
        <f aca="false">SQRT(($B80-BZ$5)^2+($C80-BZ$6)^2+($D80-BZ$7)^2)</f>
        <v>0.855204984290198</v>
      </c>
      <c r="CA80" s="74" t="n">
        <f aca="false">SQRT(($B80-CA$5)^2+($C80-CA$6)^2+($D80-CA$7)^2)</f>
        <v>1.74971367594583</v>
      </c>
      <c r="CB80" s="74" t="n">
        <f aca="false">SQRT(($B80-CB$5)^2+($C80-CB$6)^2+($D80-CB$7)^2)</f>
        <v>0.858686006201744</v>
      </c>
      <c r="CC80" s="74" t="n">
        <f aca="false">SQRT(($B80-CC$5)^2+($C80-CC$6)^2+($D80-CC$7)^2)</f>
        <v>1.75141772284163</v>
      </c>
      <c r="CD80" s="74" t="n">
        <f aca="false">SQRT(($B80-CD$5)^2+($C80-CD$6)^2+($D80-CD$7)^2)</f>
        <v>1.75563543310425</v>
      </c>
      <c r="CE80" s="74" t="n">
        <f aca="false">SQRT(($B80-CE$5)^2+($C80-CE$6)^2+($D80-CE$7)^2)</f>
        <v>0.600708533799879</v>
      </c>
      <c r="CF80" s="74" t="n">
        <f aca="false">SQRT(($B80-CF$5)^2+($C80-CF$6)^2+($D80-CF$7)^2)</f>
        <v>0.734684501507708</v>
      </c>
      <c r="CG80" s="74" t="n">
        <f aca="false">SQRT(($B80-CG$5)^2+($C80-CG$6)^2+($D80-CG$7)^2)</f>
        <v>1.16590745855714</v>
      </c>
      <c r="CH80" s="74" t="n">
        <f aca="false">SQRT(($B80-CH$5)^2+($C80-CH$6)^2+($D80-CH$7)^2)</f>
        <v>1.04067957337954</v>
      </c>
      <c r="CI80" s="74" t="n">
        <f aca="false">SQRT(($B80-CI$5)^2+($C80-CI$6)^2+($D80-CI$7)^2)</f>
        <v>1.15409579962195</v>
      </c>
      <c r="CJ80" s="74" t="n">
        <f aca="false">SQRT(($B80-CJ$5)^2+($C80-CJ$6)^2+($D80-CJ$7)^2)</f>
        <v>1.4701496568557</v>
      </c>
      <c r="CK80" s="74" t="n">
        <f aca="false">SQRT(($B80-CK$5)^2+($C80-CK$6)^2+($D80-CK$7)^2)</f>
        <v>0.765422378760894</v>
      </c>
      <c r="CL80" s="74" t="n">
        <f aca="false">SQRT(($B80-CL$5)^2+($C80-CL$6)^2+($D80-CL$7)^2)</f>
        <v>1.80354142671318</v>
      </c>
      <c r="CM80" s="74" t="n">
        <f aca="false">SQRT(($B80-CM$5)^2+($C80-CM$6)^2+($D80-CM$7)^2)</f>
        <v>1.02367840367267</v>
      </c>
      <c r="CN80" s="74" t="n">
        <f aca="false">SQRT(($B80-CN$5)^2+($C80-CN$6)^2+($D80-CN$7)^2)</f>
        <v>0.749420105080067</v>
      </c>
      <c r="CO80" s="74" t="n">
        <f aca="false">SQRT(($B80-CO$5)^2+($C80-CO$6)^2+($D80-CO$7)^2)</f>
        <v>1.10027364280223</v>
      </c>
      <c r="CP80" s="74" t="n">
        <f aca="false">SQRT(($B80-CP$5)^2+($C80-CP$6)^2+($D80-CP$7)^2)</f>
        <v>1.83430377282397</v>
      </c>
      <c r="CQ80" s="74" t="n">
        <f aca="false">SQRT(($B80-CQ$5)^2+($C80-CQ$6)^2+($D80-CQ$7)^2)</f>
        <v>1.17070447834432</v>
      </c>
      <c r="CR80" s="74" t="n">
        <f aca="false">SQRT(($B80-CR$5)^2+($C80-CR$6)^2+($D80-CR$7)^2)</f>
        <v>1.12552970393146</v>
      </c>
      <c r="CS80" s="74" t="n">
        <f aca="false">SQRT(($B80-CS$5)^2+($C80-CS$6)^2+($D80-CS$7)^2)</f>
        <v>1.86323946881683</v>
      </c>
      <c r="CT80" s="74" t="n">
        <f aca="false">SQRT(($B80-CT$5)^2+($C80-CT$6)^2+($D80-CT$7)^2)</f>
        <v>1.88134984890849</v>
      </c>
      <c r="CU80" s="74" t="n">
        <f aca="false">SQRT(($B80-CU$5)^2+($C80-CU$6)^2+($D80-CU$7)^2)</f>
        <v>1.67312149953463</v>
      </c>
      <c r="CV80" s="74" t="n">
        <f aca="false">SQRT(($B80-CV$5)^2+($C80-CV$6)^2+($D80-CV$7)^2)</f>
        <v>0.782334871988139</v>
      </c>
      <c r="CW80" s="74" t="n">
        <f aca="false">SQRT(($B80-CW$5)^2+($C80-CW$6)^2+($D80-CW$7)^2)</f>
        <v>1.88134984890849</v>
      </c>
      <c r="CX80" s="74" t="n">
        <f aca="false">SQRT(($B80-CX$5)^2+($C80-CX$6)^2+($D80-CX$7)^2)</f>
        <v>0.990731978588217</v>
      </c>
      <c r="CY80" s="74" t="n">
        <f aca="false">SQRT(($B80-CY$5)^2+($C80-CY$6)^2+($D80-CY$7)^2)</f>
        <v>1.90267486374067</v>
      </c>
      <c r="CZ80" s="74" t="n">
        <f aca="false">SQRT(($B80-CZ$5)^2+($C80-CZ$6)^2+($D80-CZ$7)^2)</f>
        <v>1.90267486374067</v>
      </c>
      <c r="DA80" s="74" t="n">
        <f aca="false">SQRT(($B80-DA$5)^2+($C80-DA$6)^2+($D80-DA$7)^2)</f>
        <v>1.33924315120554</v>
      </c>
      <c r="DB80" s="74" t="n">
        <f aca="false">SQRT(($B80-DB$5)^2+($C80-DB$6)^2+($D80-DB$7)^2)</f>
        <v>1.92808193044232</v>
      </c>
      <c r="DC80" s="74" t="n">
        <f aca="false">SQRT(($B80-DC$5)^2+($C80-DC$6)^2+($D80-DC$7)^2)</f>
        <v>1.92808193044232</v>
      </c>
      <c r="DD80" s="74" t="n">
        <f aca="false">SQRT(($B80-DD$5)^2+($C80-DD$6)^2+($D80-DD$7)^2)</f>
        <v>1.48394344129827</v>
      </c>
      <c r="DE80" s="74" t="n">
        <f aca="false">SQRT(($B80-DE$5)^2+($C80-DE$6)^2+($D80-DE$7)^2)</f>
        <v>1.72347084363319</v>
      </c>
      <c r="DF80" s="74" t="n">
        <f aca="false">SQRT(($B80-DF$5)^2+($C80-DF$6)^2+($D80-DF$7)^2)</f>
        <v>2.107732690302</v>
      </c>
      <c r="DG80" s="74" t="n">
        <f aca="false">SQRT(($B80-DG$5)^2+($C80-DG$6)^2+($D80-DG$7)^2)</f>
        <v>2.19542493616015</v>
      </c>
      <c r="DH80" s="74" t="n">
        <f aca="false">SQRT(($B80-DH$5)^2+($C80-DH$6)^2+($D80-DH$7)^2)</f>
        <v>2.19542493616015</v>
      </c>
      <c r="DI80" s="74" t="n">
        <f aca="false">SQRT(($B80-DI$5)^2+($C80-DI$6)^2+($D80-DI$7)^2)</f>
        <v>2.19542493616015</v>
      </c>
      <c r="DJ80" s="74" t="n">
        <f aca="false">SQRT(($B80-DJ$5)^2+($C80-DJ$6)^2+($D80-DJ$7)^2)</f>
        <v>2.19542493616015</v>
      </c>
      <c r="DK80" s="74" t="n">
        <f aca="false">SQRT(($B80-DK$5)^2+($C80-DK$6)^2+($D80-DK$7)^2)</f>
        <v>2.32977963929621</v>
      </c>
      <c r="DL80" s="74" t="n">
        <f aca="false">SQRT(($B80-DL$5)^2+($C80-DL$6)^2+($D80-DL$7)^2)</f>
        <v>2.32977963929621</v>
      </c>
      <c r="DM80" s="74" t="n">
        <f aca="false">SQRT(($B80-DM$5)^2+($C80-DM$6)^2+($D80-DM$7)^2)</f>
        <v>2.32977963929621</v>
      </c>
      <c r="DN80" s="74" t="n">
        <f aca="false">SQRT(($B80-DN$5)^2+($C80-DN$6)^2+($D80-DN$7)^2)</f>
        <v>2.32977963929621</v>
      </c>
      <c r="DO80" s="74" t="n">
        <f aca="false">SQRT(($B80-DO$5)^2+($C80-DO$6)^2+($D80-DO$7)^2)</f>
        <v>2.32977963929621</v>
      </c>
      <c r="DP80" s="74" t="n">
        <f aca="false">SQRT(($B80-DP$5)^2+($C80-DP$6)^2+($D80-DP$7)^2)</f>
        <v>2.5833134057316</v>
      </c>
      <c r="DQ80" s="74" t="n">
        <f aca="false">SQRT(($B80-DQ$5)^2+($C80-DQ$6)^2+($D80-DQ$7)^2)</f>
        <v>2.5833134057316</v>
      </c>
    </row>
    <row r="81" customFormat="false" ht="15" hidden="false" customHeight="false" outlineLevel="0" collapsed="false">
      <c r="A81" s="48" t="str">
        <f aca="false">KMeans_Data!A72</f>
        <v>Chitral Lower</v>
      </c>
      <c r="B81" s="72" t="n">
        <f aca="false">KMeans_Data!H72</f>
        <v>-0.214623816906368</v>
      </c>
      <c r="C81" s="72" t="n">
        <f aca="false">KMeans_Data!I72</f>
        <v>-0.672650545388274</v>
      </c>
      <c r="D81" s="72" t="n">
        <f aca="false">KMeans_Data!J72</f>
        <v>0.193727873085246</v>
      </c>
      <c r="E81" s="74" t="n">
        <f aca="false">SQRT(($B81-E$5)^2+($C81-E$6)^2+($D81-E$7)^2)</f>
        <v>6.61273726401933</v>
      </c>
      <c r="F81" s="74" t="n">
        <f aca="false">SQRT(($B81-F$5)^2+($C81-F$6)^2+($D81-F$7)^2)</f>
        <v>6.44303934386914</v>
      </c>
      <c r="G81" s="74" t="n">
        <f aca="false">SQRT(($B81-G$5)^2+($C81-G$6)^2+($D81-G$7)^2)</f>
        <v>4.49447587225728</v>
      </c>
      <c r="H81" s="74" t="n">
        <f aca="false">SQRT(($B81-H$5)^2+($C81-H$6)^2+($D81-H$7)^2)</f>
        <v>5.15504497298548</v>
      </c>
      <c r="I81" s="74" t="n">
        <f aca="false">SQRT(($B81-I$5)^2+($C81-I$6)^2+($D81-I$7)^2)</f>
        <v>3.93054948838408</v>
      </c>
      <c r="J81" s="74" t="n">
        <f aca="false">SQRT(($B81-J$5)^2+($C81-J$6)^2+($D81-J$7)^2)</f>
        <v>3.59318252109804</v>
      </c>
      <c r="K81" s="74" t="n">
        <f aca="false">SQRT(($B81-K$5)^2+($C81-K$6)^2+($D81-K$7)^2)</f>
        <v>2.03619202215935</v>
      </c>
      <c r="L81" s="74" t="n">
        <f aca="false">SQRT(($B81-L$5)^2+($C81-L$6)^2+($D81-L$7)^2)</f>
        <v>2.55568544324411</v>
      </c>
      <c r="M81" s="74" t="n">
        <f aca="false">SQRT(($B81-M$5)^2+($C81-M$6)^2+($D81-M$7)^2)</f>
        <v>2.82464633903599</v>
      </c>
      <c r="N81" s="74" t="n">
        <f aca="false">SQRT(($B81-N$5)^2+($C81-N$6)^2+($D81-N$7)^2)</f>
        <v>1.8216806193404</v>
      </c>
      <c r="O81" s="74" t="n">
        <f aca="false">SQRT(($B81-O$5)^2+($C81-O$6)^2+($D81-O$7)^2)</f>
        <v>2.6619549174171</v>
      </c>
      <c r="P81" s="74" t="n">
        <f aca="false">SQRT(($B81-P$5)^2+($C81-P$6)^2+($D81-P$7)^2)</f>
        <v>2.95059671343651</v>
      </c>
      <c r="Q81" s="74" t="n">
        <f aca="false">SQRT(($B81-Q$5)^2+($C81-Q$6)^2+($D81-Q$7)^2)</f>
        <v>2.26791367625546</v>
      </c>
      <c r="R81" s="74" t="n">
        <f aca="false">SQRT(($B81-R$5)^2+($C81-R$6)^2+($D81-R$7)^2)</f>
        <v>2.07427434150847</v>
      </c>
      <c r="S81" s="74" t="n">
        <f aca="false">SQRT(($B81-S$5)^2+($C81-S$6)^2+($D81-S$7)^2)</f>
        <v>1.64854749032393</v>
      </c>
      <c r="T81" s="74" t="n">
        <f aca="false">SQRT(($B81-T$5)^2+($C81-T$6)^2+($D81-T$7)^2)</f>
        <v>2.19716886969586</v>
      </c>
      <c r="U81" s="74" t="n">
        <f aca="false">SQRT(($B81-U$5)^2+($C81-U$6)^2+($D81-U$7)^2)</f>
        <v>2.05779429773159</v>
      </c>
      <c r="V81" s="74" t="n">
        <f aca="false">SQRT(($B81-V$5)^2+($C81-V$6)^2+($D81-V$7)^2)</f>
        <v>2.35327332947825</v>
      </c>
      <c r="W81" s="74" t="n">
        <f aca="false">SQRT(($B81-W$5)^2+($C81-W$6)^2+($D81-W$7)^2)</f>
        <v>2.42943547687952</v>
      </c>
      <c r="X81" s="74" t="n">
        <f aca="false">SQRT(($B81-X$5)^2+($C81-X$6)^2+($D81-X$7)^2)</f>
        <v>2.0010718112464</v>
      </c>
      <c r="Y81" s="74" t="n">
        <f aca="false">SQRT(($B81-Y$5)^2+($C81-Y$6)^2+($D81-Y$7)^2)</f>
        <v>2.0836556078405</v>
      </c>
      <c r="Z81" s="74" t="n">
        <f aca="false">SQRT(($B81-Z$5)^2+($C81-Z$6)^2+($D81-Z$7)^2)</f>
        <v>1.83264053809639</v>
      </c>
      <c r="AA81" s="74" t="n">
        <f aca="false">SQRT(($B81-AA$5)^2+($C81-AA$6)^2+($D81-AA$7)^2)</f>
        <v>1.50900448718196</v>
      </c>
      <c r="AB81" s="74" t="n">
        <f aca="false">SQRT(($B81-AB$5)^2+($C81-AB$6)^2+($D81-AB$7)^2)</f>
        <v>1.64625536081516</v>
      </c>
      <c r="AC81" s="74" t="n">
        <f aca="false">SQRT(($B81-AC$5)^2+($C81-AC$6)^2+($D81-AC$7)^2)</f>
        <v>2.33591984515547</v>
      </c>
      <c r="AD81" s="74" t="n">
        <f aca="false">SQRT(($B81-AD$5)^2+($C81-AD$6)^2+($D81-AD$7)^2)</f>
        <v>2.05083602794461</v>
      </c>
      <c r="AE81" s="74" t="n">
        <f aca="false">SQRT(($B81-AE$5)^2+($C81-AE$6)^2+($D81-AE$7)^2)</f>
        <v>1.67641112725911</v>
      </c>
      <c r="AF81" s="74" t="n">
        <f aca="false">SQRT(($B81-AF$5)^2+($C81-AF$6)^2+($D81-AF$7)^2)</f>
        <v>1.72500563056731</v>
      </c>
      <c r="AG81" s="74" t="n">
        <f aca="false">SQRT(($B81-AG$5)^2+($C81-AG$6)^2+($D81-AG$7)^2)</f>
        <v>0.990045913031616</v>
      </c>
      <c r="AH81" s="74" t="n">
        <f aca="false">SQRT(($B81-AH$5)^2+($C81-AH$6)^2+($D81-AH$7)^2)</f>
        <v>1.29133693121081</v>
      </c>
      <c r="AI81" s="74" t="n">
        <f aca="false">SQRT(($B81-AI$5)^2+($C81-AI$6)^2+($D81-AI$7)^2)</f>
        <v>0.987515477372798</v>
      </c>
      <c r="AJ81" s="74" t="n">
        <f aca="false">SQRT(($B81-AJ$5)^2+($C81-AJ$6)^2+($D81-AJ$7)^2)</f>
        <v>1.71712845064591</v>
      </c>
      <c r="AK81" s="74" t="n">
        <f aca="false">SQRT(($B81-AK$5)^2+($C81-AK$6)^2+($D81-AK$7)^2)</f>
        <v>1.29259831951941</v>
      </c>
      <c r="AL81" s="74" t="n">
        <f aca="false">SQRT(($B81-AL$5)^2+($C81-AL$6)^2+($D81-AL$7)^2)</f>
        <v>0.945420991130096</v>
      </c>
      <c r="AM81" s="74" t="n">
        <f aca="false">SQRT(($B81-AM$5)^2+($C81-AM$6)^2+($D81-AM$7)^2)</f>
        <v>2.17251289304331</v>
      </c>
      <c r="AN81" s="74" t="n">
        <f aca="false">SQRT(($B81-AN$5)^2+($C81-AN$6)^2+($D81-AN$7)^2)</f>
        <v>2.00753733968351</v>
      </c>
      <c r="AO81" s="74" t="n">
        <f aca="false">SQRT(($B81-AO$5)^2+($C81-AO$6)^2+($D81-AO$7)^2)</f>
        <v>1.28255291878168</v>
      </c>
      <c r="AP81" s="74" t="n">
        <f aca="false">SQRT(($B81-AP$5)^2+($C81-AP$6)^2+($D81-AP$7)^2)</f>
        <v>1.26124433964834</v>
      </c>
      <c r="AQ81" s="74" t="n">
        <f aca="false">SQRT(($B81-AQ$5)^2+($C81-AQ$6)^2+($D81-AQ$7)^2)</f>
        <v>2.08807844830604</v>
      </c>
      <c r="AR81" s="74" t="n">
        <f aca="false">SQRT(($B81-AR$5)^2+($C81-AR$6)^2+($D81-AR$7)^2)</f>
        <v>1.06477505457966</v>
      </c>
      <c r="AS81" s="74" t="n">
        <f aca="false">SQRT(($B81-AS$5)^2+($C81-AS$6)^2+($D81-AS$7)^2)</f>
        <v>0.974993624660013</v>
      </c>
      <c r="AT81" s="74" t="n">
        <f aca="false">SQRT(($B81-AT$5)^2+($C81-AT$6)^2+($D81-AT$7)^2)</f>
        <v>0.922933173080299</v>
      </c>
      <c r="AU81" s="74" t="n">
        <f aca="false">SQRT(($B81-AU$5)^2+($C81-AU$6)^2+($D81-AU$7)^2)</f>
        <v>1.09230712759992</v>
      </c>
      <c r="AV81" s="74" t="n">
        <f aca="false">SQRT(($B81-AV$5)^2+($C81-AV$6)^2+($D81-AV$7)^2)</f>
        <v>0.570167253022816</v>
      </c>
      <c r="AW81" s="74" t="n">
        <f aca="false">SQRT(($B81-AW$5)^2+($C81-AW$6)^2+($D81-AW$7)^2)</f>
        <v>1.11449747050417</v>
      </c>
      <c r="AX81" s="74" t="n">
        <f aca="false">SQRT(($B81-AX$5)^2+($C81-AX$6)^2+($D81-AX$7)^2)</f>
        <v>0.964058341743239</v>
      </c>
      <c r="AY81" s="74" t="n">
        <f aca="false">SQRT(($B81-AY$5)^2+($C81-AY$6)^2+($D81-AY$7)^2)</f>
        <v>1.40236946501594</v>
      </c>
      <c r="AZ81" s="74" t="n">
        <f aca="false">SQRT(($B81-AZ$5)^2+($C81-AZ$6)^2+($D81-AZ$7)^2)</f>
        <v>0.936102494086021</v>
      </c>
      <c r="BA81" s="74" t="n">
        <f aca="false">SQRT(($B81-BA$5)^2+($C81-BA$6)^2+($D81-BA$7)^2)</f>
        <v>0.897856077585449</v>
      </c>
      <c r="BB81" s="74" t="n">
        <f aca="false">SQRT(($B81-BB$5)^2+($C81-BB$6)^2+($D81-BB$7)^2)</f>
        <v>1.40044322312089</v>
      </c>
      <c r="BC81" s="74" t="n">
        <f aca="false">SQRT(($B81-BC$5)^2+($C81-BC$6)^2+($D81-BC$7)^2)</f>
        <v>1.39852097469094</v>
      </c>
      <c r="BD81" s="74" t="n">
        <f aca="false">SQRT(($B81-BD$5)^2+($C81-BD$6)^2+($D81-BD$7)^2)</f>
        <v>0.794799400659848</v>
      </c>
      <c r="BE81" s="74" t="n">
        <f aca="false">SQRT(($B81-BE$5)^2+($C81-BE$6)^2+($D81-BE$7)^2)</f>
        <v>0.57177150741788</v>
      </c>
      <c r="BF81" s="74" t="n">
        <f aca="false">SQRT(($B81-BF$5)^2+($C81-BF$6)^2+($D81-BF$7)^2)</f>
        <v>2.16207638343073</v>
      </c>
      <c r="BG81" s="74" t="n">
        <f aca="false">SQRT(($B81-BG$5)^2+($C81-BG$6)^2+($D81-BG$7)^2)</f>
        <v>0.745745841264365</v>
      </c>
      <c r="BH81" s="74" t="n">
        <f aca="false">SQRT(($B81-BH$5)^2+($C81-BH$6)^2+($D81-BH$7)^2)</f>
        <v>1.37244070539967</v>
      </c>
      <c r="BI81" s="74" t="n">
        <f aca="false">SQRT(($B81-BI$5)^2+($C81-BI$6)^2+($D81-BI$7)^2)</f>
        <v>1.36893018318136</v>
      </c>
      <c r="BJ81" s="74" t="n">
        <f aca="false">SQRT(($B81-BJ$5)^2+($C81-BJ$6)^2+($D81-BJ$7)^2)</f>
        <v>1.2578860336853</v>
      </c>
      <c r="BK81" s="74" t="n">
        <f aca="false">SQRT(($B81-BK$5)^2+($C81-BK$6)^2+($D81-BK$7)^2)</f>
        <v>0.633234322702484</v>
      </c>
      <c r="BL81" s="74" t="n">
        <f aca="false">SQRT(($B81-BL$5)^2+($C81-BL$6)^2+($D81-BL$7)^2)</f>
        <v>0.271239665490436</v>
      </c>
      <c r="BM81" s="74" t="n">
        <f aca="false">SQRT(($B81-BM$5)^2+($C81-BM$6)^2+($D81-BM$7)^2)</f>
        <v>1.27184422435764</v>
      </c>
      <c r="BN81" s="74" t="n">
        <f aca="false">SQRT(($B81-BN$5)^2+($C81-BN$6)^2+($D81-BN$7)^2)</f>
        <v>0.863790339083529</v>
      </c>
      <c r="BO81" s="74" t="n">
        <f aca="false">SQRT(($B81-BO$5)^2+($C81-BO$6)^2+($D81-BO$7)^2)</f>
        <v>1.02912443813097</v>
      </c>
      <c r="BP81" s="74" t="n">
        <f aca="false">SQRT(($B81-BP$5)^2+($C81-BP$6)^2+($D81-BP$7)^2)</f>
        <v>0.844246251680879</v>
      </c>
      <c r="BQ81" s="74" t="n">
        <f aca="false">SQRT(($B81-BQ$5)^2+($C81-BQ$6)^2+($D81-BQ$7)^2)</f>
        <v>0.567923236215329</v>
      </c>
      <c r="BR81" s="74" t="n">
        <f aca="false">SQRT(($B81-BR$5)^2+($C81-BR$6)^2+($D81-BR$7)^2)</f>
        <v>0.582061643329255</v>
      </c>
      <c r="BS81" s="74" t="n">
        <f aca="false">SQRT(($B81-BS$5)^2+($C81-BS$6)^2+($D81-BS$7)^2)</f>
        <v>0.405678670794365</v>
      </c>
      <c r="BT81" s="74" t="n">
        <f aca="false">SQRT(($B81-BT$5)^2+($C81-BT$6)^2+($D81-BT$7)^2)</f>
        <v>0</v>
      </c>
      <c r="BU81" s="74" t="n">
        <f aca="false">SQRT(($B81-BU$5)^2+($C81-BU$6)^2+($D81-BU$7)^2)</f>
        <v>0.0844861515028075</v>
      </c>
      <c r="BV81" s="74" t="n">
        <f aca="false">SQRT(($B81-BV$5)^2+($C81-BV$6)^2+($D81-BV$7)^2)</f>
        <v>1.34013738902523</v>
      </c>
      <c r="BW81" s="74" t="n">
        <f aca="false">SQRT(($B81-BW$5)^2+($C81-BW$6)^2+($D81-BW$7)^2)</f>
        <v>0.111377514828032</v>
      </c>
      <c r="BX81" s="74" t="n">
        <f aca="false">SQRT(($B81-BX$5)^2+($C81-BX$6)^2+($D81-BX$7)^2)</f>
        <v>1.34077415222819</v>
      </c>
      <c r="BY81" s="74" t="n">
        <f aca="false">SQRT(($B81-BY$5)^2+($C81-BY$6)^2+($D81-BY$7)^2)</f>
        <v>0.387573907905926</v>
      </c>
      <c r="BZ81" s="74" t="n">
        <f aca="false">SQRT(($B81-BZ$5)^2+($C81-BZ$6)^2+($D81-BZ$7)^2)</f>
        <v>0.451892190256002</v>
      </c>
      <c r="CA81" s="74" t="n">
        <f aca="false">SQRT(($B81-CA$5)^2+($C81-CA$6)^2+($D81-CA$7)^2)</f>
        <v>1.34409153244739</v>
      </c>
      <c r="CB81" s="74" t="n">
        <f aca="false">SQRT(($B81-CB$5)^2+($C81-CB$6)^2+($D81-CB$7)^2)</f>
        <v>0.456783203648285</v>
      </c>
      <c r="CC81" s="74" t="n">
        <f aca="false">SQRT(($B81-CC$5)^2+($C81-CC$6)^2+($D81-CC$7)^2)</f>
        <v>1.34574380589977</v>
      </c>
      <c r="CD81" s="74" t="n">
        <f aca="false">SQRT(($B81-CD$5)^2+($C81-CD$6)^2+($D81-CD$7)^2)</f>
        <v>1.35003866778285</v>
      </c>
      <c r="CE81" s="74" t="n">
        <f aca="false">SQRT(($B81-CE$5)^2+($C81-CE$6)^2+($D81-CE$7)^2)</f>
        <v>0.24240178140373</v>
      </c>
      <c r="CF81" s="74" t="n">
        <f aca="false">SQRT(($B81-CF$5)^2+($C81-CF$6)^2+($D81-CF$7)^2)</f>
        <v>0.561537008290976</v>
      </c>
      <c r="CG81" s="74" t="n">
        <f aca="false">SQRT(($B81-CG$5)^2+($C81-CG$6)^2+($D81-CG$7)^2)</f>
        <v>0.833279546756362</v>
      </c>
      <c r="CH81" s="74" t="n">
        <f aca="false">SQRT(($B81-CH$5)^2+($C81-CH$6)^2+($D81-CH$7)^2)</f>
        <v>0.646551293845082</v>
      </c>
      <c r="CI81" s="74" t="n">
        <f aca="false">SQRT(($B81-CI$5)^2+($C81-CI$6)^2+($D81-CI$7)^2)</f>
        <v>0.761160666953643</v>
      </c>
      <c r="CJ81" s="74" t="n">
        <f aca="false">SQRT(($B81-CJ$5)^2+($C81-CJ$6)^2+($D81-CJ$7)^2)</f>
        <v>1.07112811321405</v>
      </c>
      <c r="CK81" s="74" t="n">
        <f aca="false">SQRT(($B81-CK$5)^2+($C81-CK$6)^2+($D81-CK$7)^2)</f>
        <v>0.45230375612895</v>
      </c>
      <c r="CL81" s="74" t="n">
        <f aca="false">SQRT(($B81-CL$5)^2+($C81-CL$6)^2+($D81-CL$7)^2)</f>
        <v>1.40429914027264</v>
      </c>
      <c r="CM81" s="74" t="n">
        <f aca="false">SQRT(($B81-CM$5)^2+($C81-CM$6)^2+($D81-CM$7)^2)</f>
        <v>0.661292874892056</v>
      </c>
      <c r="CN81" s="74" t="n">
        <f aca="false">SQRT(($B81-CN$5)^2+($C81-CN$6)^2+($D81-CN$7)^2)</f>
        <v>0.840832848203948</v>
      </c>
      <c r="CO81" s="74" t="n">
        <f aca="false">SQRT(($B81-CO$5)^2+($C81-CO$6)^2+($D81-CO$7)^2)</f>
        <v>0.835809870694463</v>
      </c>
      <c r="CP81" s="74" t="n">
        <f aca="false">SQRT(($B81-CP$5)^2+($C81-CP$6)^2+($D81-CP$7)^2)</f>
        <v>1.44047227242859</v>
      </c>
      <c r="CQ81" s="74" t="n">
        <f aca="false">SQRT(($B81-CQ$5)^2+($C81-CQ$6)^2+($D81-CQ$7)^2)</f>
        <v>0.824183392605463</v>
      </c>
      <c r="CR81" s="74" t="n">
        <f aca="false">SQRT(($B81-CR$5)^2+($C81-CR$6)^2+($D81-CR$7)^2)</f>
        <v>0.799974487855409</v>
      </c>
      <c r="CS81" s="74" t="n">
        <f aca="false">SQRT(($B81-CS$5)^2+($C81-CS$6)^2+($D81-CS$7)^2)</f>
        <v>1.47468877740593</v>
      </c>
      <c r="CT81" s="74" t="n">
        <f aca="false">SQRT(($B81-CT$5)^2+($C81-CT$6)^2+($D81-CT$7)^2)</f>
        <v>1.49612491572667</v>
      </c>
      <c r="CU81" s="74" t="n">
        <f aca="false">SQRT(($B81-CU$5)^2+($C81-CU$6)^2+($D81-CU$7)^2)</f>
        <v>1.32569858304859</v>
      </c>
      <c r="CV81" s="74" t="n">
        <f aca="false">SQRT(($B81-CV$5)^2+($C81-CV$6)^2+($D81-CV$7)^2)</f>
        <v>0.670503520772987</v>
      </c>
      <c r="CW81" s="74" t="n">
        <f aca="false">SQRT(($B81-CW$5)^2+($C81-CW$6)^2+($D81-CW$7)^2)</f>
        <v>1.49612491572667</v>
      </c>
      <c r="CX81" s="74" t="n">
        <f aca="false">SQRT(($B81-CX$5)^2+($C81-CX$6)^2+($D81-CX$7)^2)</f>
        <v>0.756754402685914</v>
      </c>
      <c r="CY81" s="74" t="n">
        <f aca="false">SQRT(($B81-CY$5)^2+($C81-CY$6)^2+($D81-CY$7)^2)</f>
        <v>1.52135306465119</v>
      </c>
      <c r="CZ81" s="74" t="n">
        <f aca="false">SQRT(($B81-CZ$5)^2+($C81-CZ$6)^2+($D81-CZ$7)^2)</f>
        <v>1.52135306465119</v>
      </c>
      <c r="DA81" s="74" t="n">
        <f aca="false">SQRT(($B81-DA$5)^2+($C81-DA$6)^2+($D81-DA$7)^2)</f>
        <v>1.00318147466334</v>
      </c>
      <c r="DB81" s="74" t="n">
        <f aca="false">SQRT(($B81-DB$5)^2+($C81-DB$6)^2+($D81-DB$7)^2)</f>
        <v>1.55136576412517</v>
      </c>
      <c r="DC81" s="74" t="n">
        <f aca="false">SQRT(($B81-DC$5)^2+($C81-DC$6)^2+($D81-DC$7)^2)</f>
        <v>1.55136576412517</v>
      </c>
      <c r="DD81" s="74" t="n">
        <f aca="false">SQRT(($B81-DD$5)^2+($C81-DD$6)^2+($D81-DD$7)^2)</f>
        <v>1.14113612855306</v>
      </c>
      <c r="DE81" s="74" t="n">
        <f aca="false">SQRT(($B81-DE$5)^2+($C81-DE$6)^2+($D81-DE$7)^2)</f>
        <v>1.38070300218173</v>
      </c>
      <c r="DF81" s="74" t="n">
        <f aca="false">SQRT(($B81-DF$5)^2+($C81-DF$6)^2+($D81-DF$7)^2)</f>
        <v>1.76116844835206</v>
      </c>
      <c r="DG81" s="74" t="n">
        <f aca="false">SQRT(($B81-DG$5)^2+($C81-DG$6)^2+($D81-DG$7)^2)</f>
        <v>1.8618787329935</v>
      </c>
      <c r="DH81" s="74" t="n">
        <f aca="false">SQRT(($B81-DH$5)^2+($C81-DH$6)^2+($D81-DH$7)^2)</f>
        <v>1.8618787329935</v>
      </c>
      <c r="DI81" s="74" t="n">
        <f aca="false">SQRT(($B81-DI$5)^2+($C81-DI$6)^2+($D81-DI$7)^2)</f>
        <v>1.8618787329935</v>
      </c>
      <c r="DJ81" s="74" t="n">
        <f aca="false">SQRT(($B81-DJ$5)^2+($C81-DJ$6)^2+($D81-DJ$7)^2)</f>
        <v>1.8618787329935</v>
      </c>
      <c r="DK81" s="74" t="n">
        <f aca="false">SQRT(($B81-DK$5)^2+($C81-DK$6)^2+($D81-DK$7)^2)</f>
        <v>2.01419755324146</v>
      </c>
      <c r="DL81" s="74" t="n">
        <f aca="false">SQRT(($B81-DL$5)^2+($C81-DL$6)^2+($D81-DL$7)^2)</f>
        <v>2.01419755324146</v>
      </c>
      <c r="DM81" s="74" t="n">
        <f aca="false">SQRT(($B81-DM$5)^2+($C81-DM$6)^2+($D81-DM$7)^2)</f>
        <v>2.01419755324146</v>
      </c>
      <c r="DN81" s="74" t="n">
        <f aca="false">SQRT(($B81-DN$5)^2+($C81-DN$6)^2+($D81-DN$7)^2)</f>
        <v>2.01419755324146</v>
      </c>
      <c r="DO81" s="74" t="n">
        <f aca="false">SQRT(($B81-DO$5)^2+($C81-DO$6)^2+($D81-DO$7)^2)</f>
        <v>2.01419755324146</v>
      </c>
      <c r="DP81" s="74" t="n">
        <f aca="false">SQRT(($B81-DP$5)^2+($C81-DP$6)^2+($D81-DP$7)^2)</f>
        <v>2.296207345633</v>
      </c>
      <c r="DQ81" s="74" t="n">
        <f aca="false">SQRT(($B81-DQ$5)^2+($C81-DQ$6)^2+($D81-DQ$7)^2)</f>
        <v>2.296207345633</v>
      </c>
    </row>
    <row r="82" customFormat="false" ht="15" hidden="false" customHeight="false" outlineLevel="0" collapsed="false">
      <c r="A82" s="48" t="str">
        <f aca="false">KMeans_Data!A73</f>
        <v>Sujawal</v>
      </c>
      <c r="B82" s="72" t="n">
        <f aca="false">KMeans_Data!H73</f>
        <v>-0.214623816906368</v>
      </c>
      <c r="C82" s="72" t="n">
        <f aca="false">KMeans_Data!I73</f>
        <v>-0.672650545388274</v>
      </c>
      <c r="D82" s="72" t="n">
        <f aca="false">KMeans_Data!J73</f>
        <v>0.109241721582438</v>
      </c>
      <c r="E82" s="74" t="n">
        <f aca="false">SQRT(($B82-E$5)^2+($C82-E$6)^2+($D82-E$7)^2)</f>
        <v>6.65224140953836</v>
      </c>
      <c r="F82" s="74" t="n">
        <f aca="false">SQRT(($B82-F$5)^2+($C82-F$6)^2+($D82-F$7)^2)</f>
        <v>6.47611702251586</v>
      </c>
      <c r="G82" s="74" t="n">
        <f aca="false">SQRT(($B82-G$5)^2+($C82-G$6)^2+($D82-G$7)^2)</f>
        <v>4.53603119642052</v>
      </c>
      <c r="H82" s="74" t="n">
        <f aca="false">SQRT(($B82-H$5)^2+($C82-H$6)^2+($D82-H$7)^2)</f>
        <v>5.17938156618326</v>
      </c>
      <c r="I82" s="74" t="n">
        <f aca="false">SQRT(($B82-I$5)^2+($C82-I$6)^2+($D82-I$7)^2)</f>
        <v>3.96362042710865</v>
      </c>
      <c r="J82" s="74" t="n">
        <f aca="false">SQRT(($B82-J$5)^2+($C82-J$6)^2+($D82-J$7)^2)</f>
        <v>3.62343271191421</v>
      </c>
      <c r="K82" s="74" t="n">
        <f aca="false">SQRT(($B82-K$5)^2+($C82-K$6)^2+($D82-K$7)^2)</f>
        <v>1.99528761686613</v>
      </c>
      <c r="L82" s="74" t="n">
        <f aca="false">SQRT(($B82-L$5)^2+($C82-L$6)^2+($D82-L$7)^2)</f>
        <v>2.60714645235171</v>
      </c>
      <c r="M82" s="74" t="n">
        <f aca="false">SQRT(($B82-M$5)^2+($C82-M$6)^2+($D82-M$7)^2)</f>
        <v>2.87045719651928</v>
      </c>
      <c r="N82" s="74" t="n">
        <f aca="false">SQRT(($B82-N$5)^2+($C82-N$6)^2+($D82-N$7)^2)</f>
        <v>1.77584205429266</v>
      </c>
      <c r="O82" s="74" t="n">
        <f aca="false">SQRT(($B82-O$5)^2+($C82-O$6)^2+($D82-O$7)^2)</f>
        <v>2.68838445934139</v>
      </c>
      <c r="P82" s="74" t="n">
        <f aca="false">SQRT(($B82-P$5)^2+($C82-P$6)^2+($D82-P$7)^2)</f>
        <v>2.97952917728556</v>
      </c>
      <c r="Q82" s="74" t="n">
        <f aca="false">SQRT(($B82-Q$5)^2+($C82-Q$6)^2+($D82-Q$7)^2)</f>
        <v>2.30226182905597</v>
      </c>
      <c r="R82" s="74" t="n">
        <f aca="false">SQRT(($B82-R$5)^2+($C82-R$6)^2+($D82-R$7)^2)</f>
        <v>2.12731637682969</v>
      </c>
      <c r="S82" s="74" t="n">
        <f aca="false">SQRT(($B82-S$5)^2+($C82-S$6)^2+($D82-S$7)^2)</f>
        <v>1.69978880476573</v>
      </c>
      <c r="T82" s="74" t="n">
        <f aca="false">SQRT(($B82-T$5)^2+($C82-T$6)^2+($D82-T$7)^2)</f>
        <v>2.22946374966575</v>
      </c>
      <c r="U82" s="74" t="n">
        <f aca="false">SQRT(($B82-U$5)^2+($C82-U$6)^2+($D82-U$7)^2)</f>
        <v>2.11575967510149</v>
      </c>
      <c r="V82" s="74" t="n">
        <f aca="false">SQRT(($B82-V$5)^2+($C82-V$6)^2+($D82-V$7)^2)</f>
        <v>2.36997448232651</v>
      </c>
      <c r="W82" s="74" t="n">
        <f aca="false">SQRT(($B82-W$5)^2+($C82-W$6)^2+($D82-W$7)^2)</f>
        <v>2.45650954216047</v>
      </c>
      <c r="X82" s="74" t="n">
        <f aca="false">SQRT(($B82-X$5)^2+($C82-X$6)^2+($D82-X$7)^2)</f>
        <v>2.03810373281093</v>
      </c>
      <c r="Y82" s="74" t="n">
        <f aca="false">SQRT(($B82-Y$5)^2+($C82-Y$6)^2+($D82-Y$7)^2)</f>
        <v>2.12846089683511</v>
      </c>
      <c r="Z82" s="74" t="n">
        <f aca="false">SQRT(($B82-Z$5)^2+($C82-Z$6)^2+($D82-Z$7)^2)</f>
        <v>1.85403749301878</v>
      </c>
      <c r="AA82" s="74" t="n">
        <f aca="false">SQRT(($B82-AA$5)^2+($C82-AA$6)^2+($D82-AA$7)^2)</f>
        <v>1.55359476793059</v>
      </c>
      <c r="AB82" s="74" t="n">
        <f aca="false">SQRT(($B82-AB$5)^2+($C82-AB$6)^2+($D82-AB$7)^2)</f>
        <v>1.67251013423787</v>
      </c>
      <c r="AC82" s="74" t="n">
        <f aca="false">SQRT(($B82-AC$5)^2+($C82-AC$6)^2+($D82-AC$7)^2)</f>
        <v>2.35667445821814</v>
      </c>
      <c r="AD82" s="74" t="n">
        <f aca="false">SQRT(($B82-AD$5)^2+($C82-AD$6)^2+($D82-AD$7)^2)</f>
        <v>2.09674665962858</v>
      </c>
      <c r="AE82" s="74" t="n">
        <f aca="false">SQRT(($B82-AE$5)^2+($C82-AE$6)^2+($D82-AE$7)^2)</f>
        <v>1.60971283394294</v>
      </c>
      <c r="AF82" s="74" t="n">
        <f aca="false">SQRT(($B82-AF$5)^2+($C82-AF$6)^2+($D82-AF$7)^2)</f>
        <v>1.75999910883592</v>
      </c>
      <c r="AG82" s="74" t="n">
        <f aca="false">SQRT(($B82-AG$5)^2+($C82-AG$6)^2+($D82-AG$7)^2)</f>
        <v>0.941823447719341</v>
      </c>
      <c r="AH82" s="74" t="n">
        <f aca="false">SQRT(($B82-AH$5)^2+($C82-AH$6)^2+($D82-AH$7)^2)</f>
        <v>1.33192105868943</v>
      </c>
      <c r="AI82" s="74" t="n">
        <f aca="false">SQRT(($B82-AI$5)^2+($C82-AI$6)^2+($D82-AI$7)^2)</f>
        <v>0.939163092766195</v>
      </c>
      <c r="AJ82" s="74" t="n">
        <f aca="false">SQRT(($B82-AJ$5)^2+($C82-AJ$6)^2+($D82-AJ$7)^2)</f>
        <v>1.76382547931485</v>
      </c>
      <c r="AK82" s="74" t="n">
        <f aca="false">SQRT(($B82-AK$5)^2+($C82-AK$6)^2+($D82-AK$7)^2)</f>
        <v>1.30140727167386</v>
      </c>
      <c r="AL82" s="74" t="n">
        <f aca="false">SQRT(($B82-AL$5)^2+($C82-AL$6)^2+($D82-AL$7)^2)</f>
        <v>0.980560913626592</v>
      </c>
      <c r="AM82" s="74" t="n">
        <f aca="false">SQRT(($B82-AM$5)^2+($C82-AM$6)^2+($D82-AM$7)^2)</f>
        <v>2.17856451012024</v>
      </c>
      <c r="AN82" s="74" t="n">
        <f aca="false">SQRT(($B82-AN$5)^2+($C82-AN$6)^2+($D82-AN$7)^2)</f>
        <v>2.03130826521127</v>
      </c>
      <c r="AO82" s="74" t="n">
        <f aca="false">SQRT(($B82-AO$5)^2+($C82-AO$6)^2+($D82-AO$7)^2)</f>
        <v>1.30789409273556</v>
      </c>
      <c r="AP82" s="74" t="n">
        <f aca="false">SQRT(($B82-AP$5)^2+($C82-AP$6)^2+($D82-AP$7)^2)</f>
        <v>1.2817668813848</v>
      </c>
      <c r="AQ82" s="74" t="n">
        <f aca="false">SQRT(($B82-AQ$5)^2+($C82-AQ$6)^2+($D82-AQ$7)^2)</f>
        <v>2.10729120990614</v>
      </c>
      <c r="AR82" s="74" t="n">
        <f aca="false">SQRT(($B82-AR$5)^2+($C82-AR$6)^2+($D82-AR$7)^2)</f>
        <v>1.04635557836232</v>
      </c>
      <c r="AS82" s="74" t="n">
        <f aca="false">SQRT(($B82-AS$5)^2+($C82-AS$6)^2+($D82-AS$7)^2)</f>
        <v>1.04682370435858</v>
      </c>
      <c r="AT82" s="74" t="n">
        <f aca="false">SQRT(($B82-AT$5)^2+($C82-AT$6)^2+($D82-AT$7)^2)</f>
        <v>0.978281748113211</v>
      </c>
      <c r="AU82" s="74" t="n">
        <f aca="false">SQRT(($B82-AU$5)^2+($C82-AU$6)^2+($D82-AU$7)^2)</f>
        <v>1.02955213302142</v>
      </c>
      <c r="AV82" s="74" t="n">
        <f aca="false">SQRT(($B82-AV$5)^2+($C82-AV$6)^2+($D82-AV$7)^2)</f>
        <v>0.621693002185833</v>
      </c>
      <c r="AW82" s="74" t="n">
        <f aca="false">SQRT(($B82-AW$5)^2+($C82-AW$6)^2+($D82-AW$7)^2)</f>
        <v>1.03788213910546</v>
      </c>
      <c r="AX82" s="74" t="n">
        <f aca="false">SQRT(($B82-AX$5)^2+($C82-AX$6)^2+($D82-AX$7)^2)</f>
        <v>0.984019515441584</v>
      </c>
      <c r="AY82" s="74" t="n">
        <f aca="false">SQRT(($B82-AY$5)^2+($C82-AY$6)^2+($D82-AY$7)^2)</f>
        <v>1.32191575244852</v>
      </c>
      <c r="AZ82" s="74" t="n">
        <f aca="false">SQRT(($B82-AZ$5)^2+($C82-AZ$6)^2+($D82-AZ$7)^2)</f>
        <v>1.01250071959291</v>
      </c>
      <c r="BA82" s="74" t="n">
        <f aca="false">SQRT(($B82-BA$5)^2+($C82-BA$6)^2+($D82-BA$7)^2)</f>
        <v>0.95656552344271</v>
      </c>
      <c r="BB82" s="74" t="n">
        <f aca="false">SQRT(($B82-BB$5)^2+($C82-BB$6)^2+($D82-BB$7)^2)</f>
        <v>1.31987210037476</v>
      </c>
      <c r="BC82" s="74" t="n">
        <f aca="false">SQRT(($B82-BC$5)^2+($C82-BC$6)^2+($D82-BC$7)^2)</f>
        <v>1.31783233258747</v>
      </c>
      <c r="BD82" s="74" t="n">
        <f aca="false">SQRT(($B82-BD$5)^2+($C82-BD$6)^2+($D82-BD$7)^2)</f>
        <v>0.721854828171629</v>
      </c>
      <c r="BE82" s="74" t="n">
        <f aca="false">SQRT(($B82-BE$5)^2+($C82-BE$6)^2+($D82-BE$7)^2)</f>
        <v>0.51000882985736</v>
      </c>
      <c r="BF82" s="74" t="n">
        <f aca="false">SQRT(($B82-BF$5)^2+($C82-BF$6)^2+($D82-BF$7)^2)</f>
        <v>2.18627624615653</v>
      </c>
      <c r="BG82" s="74" t="n">
        <f aca="false">SQRT(($B82-BG$5)^2+($C82-BG$6)^2+($D82-BG$7)^2)</f>
        <v>0.79688176250197</v>
      </c>
      <c r="BH82" s="74" t="n">
        <f aca="false">SQRT(($B82-BH$5)^2+($C82-BH$6)^2+($D82-BH$7)^2)</f>
        <v>1.29012194384887</v>
      </c>
      <c r="BI82" s="74" t="n">
        <f aca="false">SQRT(($B82-BI$5)^2+($C82-BI$6)^2+($D82-BI$7)^2)</f>
        <v>1.28638679509213</v>
      </c>
      <c r="BJ82" s="74" t="n">
        <f aca="false">SQRT(($B82-BJ$5)^2+($C82-BJ$6)^2+($D82-BJ$7)^2)</f>
        <v>1.24806537202459</v>
      </c>
      <c r="BK82" s="74" t="n">
        <f aca="false">SQRT(($B82-BK$5)^2+($C82-BK$6)^2+($D82-BK$7)^2)</f>
        <v>0.554820875789486</v>
      </c>
      <c r="BL82" s="74" t="n">
        <f aca="false">SQRT(($B82-BL$5)^2+($C82-BL$6)^2+($D82-BL$7)^2)</f>
        <v>0.330910562401317</v>
      </c>
      <c r="BM82" s="74" t="n">
        <f aca="false">SQRT(($B82-BM$5)^2+($C82-BM$6)^2+($D82-BM$7)^2)</f>
        <v>1.29491059053138</v>
      </c>
      <c r="BN82" s="74" t="n">
        <f aca="false">SQRT(($B82-BN$5)^2+($C82-BN$6)^2+($D82-BN$7)^2)</f>
        <v>0.853106682259573</v>
      </c>
      <c r="BO82" s="74" t="n">
        <f aca="false">SQRT(($B82-BO$5)^2+($C82-BO$6)^2+($D82-BO$7)^2)</f>
        <v>0.945617169933127</v>
      </c>
      <c r="BP82" s="74" t="n">
        <f aca="false">SQRT(($B82-BP$5)^2+($C82-BP$6)^2+($D82-BP$7)^2)</f>
        <v>0.855546419988815</v>
      </c>
      <c r="BQ82" s="74" t="n">
        <f aca="false">SQRT(($B82-BQ$5)^2+($C82-BQ$6)^2+($D82-BQ$7)^2)</f>
        <v>0.60118443319705</v>
      </c>
      <c r="BR82" s="74" t="n">
        <f aca="false">SQRT(($B82-BR$5)^2+($C82-BR$6)^2+($D82-BR$7)^2)</f>
        <v>0.621233796240105</v>
      </c>
      <c r="BS82" s="74" t="n">
        <f aca="false">SQRT(($B82-BS$5)^2+($C82-BS$6)^2+($D82-BS$7)^2)</f>
        <v>0.489795011505605</v>
      </c>
      <c r="BT82" s="74" t="n">
        <f aca="false">SQRT(($B82-BT$5)^2+($C82-BT$6)^2+($D82-BT$7)^2)</f>
        <v>0.0844861515028075</v>
      </c>
      <c r="BU82" s="74" t="n">
        <f aca="false">SQRT(($B82-BU$5)^2+($C82-BU$6)^2+($D82-BU$7)^2)</f>
        <v>0</v>
      </c>
      <c r="BV82" s="74" t="n">
        <f aca="false">SQRT(($B82-BV$5)^2+($C82-BV$6)^2+($D82-BV$7)^2)</f>
        <v>1.25570273617039</v>
      </c>
      <c r="BW82" s="74" t="n">
        <f aca="false">SQRT(($B82-BW$5)^2+($C82-BW$6)^2+($D82-BW$7)^2)</f>
        <v>0.187764272294974</v>
      </c>
      <c r="BX82" s="74" t="n">
        <f aca="false">SQRT(($B82-BX$5)^2+($C82-BX$6)^2+($D82-BX$7)^2)</f>
        <v>1.25638229351009</v>
      </c>
      <c r="BY82" s="74" t="n">
        <f aca="false">SQRT(($B82-BY$5)^2+($C82-BY$6)^2+($D82-BY$7)^2)</f>
        <v>0.306358323710005</v>
      </c>
      <c r="BZ82" s="74" t="n">
        <f aca="false">SQRT(($B82-BZ$5)^2+($C82-BZ$6)^2+($D82-BZ$7)^2)</f>
        <v>0.370665484570556</v>
      </c>
      <c r="CA82" s="74" t="n">
        <f aca="false">SQRT(($B82-CA$5)^2+($C82-CA$6)^2+($D82-CA$7)^2)</f>
        <v>1.25992189748382</v>
      </c>
      <c r="CB82" s="74" t="n">
        <f aca="false">SQRT(($B82-CB$5)^2+($C82-CB$6)^2+($D82-CB$7)^2)</f>
        <v>0.376612858214837</v>
      </c>
      <c r="CC82" s="74" t="n">
        <f aca="false">SQRT(($B82-CC$5)^2+($C82-CC$6)^2+($D82-CC$7)^2)</f>
        <v>1.26168440240816</v>
      </c>
      <c r="CD82" s="74" t="n">
        <f aca="false">SQRT(($B82-CD$5)^2+($C82-CD$6)^2+($D82-CD$7)^2)</f>
        <v>1.26626440551385</v>
      </c>
      <c r="CE82" s="74" t="n">
        <f aca="false">SQRT(($B82-CE$5)^2+($C82-CE$6)^2+($D82-CE$7)^2)</f>
        <v>0.201037024076659</v>
      </c>
      <c r="CF82" s="74" t="n">
        <f aca="false">SQRT(($B82-CF$5)^2+($C82-CF$6)^2+($D82-CF$7)^2)</f>
        <v>0.55967783844709</v>
      </c>
      <c r="CG82" s="74" t="n">
        <f aca="false">SQRT(($B82-CG$5)^2+($C82-CG$6)^2+($D82-CG$7)^2)</f>
        <v>0.775367848060407</v>
      </c>
      <c r="CH82" s="74" t="n">
        <f aca="false">SQRT(($B82-CH$5)^2+($C82-CH$6)^2+($D82-CH$7)^2)</f>
        <v>0.569972869824598</v>
      </c>
      <c r="CI82" s="74" t="n">
        <f aca="false">SQRT(($B82-CI$5)^2+($C82-CI$6)^2+($D82-CI$7)^2)</f>
        <v>0.684641414598001</v>
      </c>
      <c r="CJ82" s="74" t="n">
        <f aca="false">SQRT(($B82-CJ$5)^2+($C82-CJ$6)^2+($D82-CJ$7)^2)</f>
        <v>0.99116605966479</v>
      </c>
      <c r="CK82" s="74" t="n">
        <f aca="false">SQRT(($B82-CK$5)^2+($C82-CK$6)^2+($D82-CK$7)^2)</f>
        <v>0.416119665718955</v>
      </c>
      <c r="CL82" s="74" t="n">
        <f aca="false">SQRT(($B82-CL$5)^2+($C82-CL$6)^2+($D82-CL$7)^2)</f>
        <v>1.32396269416208</v>
      </c>
      <c r="CM82" s="74" t="n">
        <f aca="false">SQRT(($B82-CM$5)^2+($C82-CM$6)^2+($D82-CM$7)^2)</f>
        <v>0.598685712822554</v>
      </c>
      <c r="CN82" s="74" t="n">
        <f aca="false">SQRT(($B82-CN$5)^2+($C82-CN$6)^2+($D82-CN$7)^2)</f>
        <v>0.88747085342916</v>
      </c>
      <c r="CO82" s="74" t="n">
        <f aca="false">SQRT(($B82-CO$5)^2+($C82-CO$6)^2+($D82-CO$7)^2)</f>
        <v>0.801386316558517</v>
      </c>
      <c r="CP82" s="74" t="n">
        <f aca="false">SQRT(($B82-CP$5)^2+($C82-CP$6)^2+($D82-CP$7)^2)</f>
        <v>1.36227071751471</v>
      </c>
      <c r="CQ82" s="74" t="n">
        <f aca="false">SQRT(($B82-CQ$5)^2+($C82-CQ$6)^2+($D82-CQ$7)^2)</f>
        <v>0.765583934921567</v>
      </c>
      <c r="CR82" s="74" t="n">
        <f aca="false">SQRT(($B82-CR$5)^2+($C82-CR$6)^2+($D82-CR$7)^2)</f>
        <v>0.749049729707163</v>
      </c>
      <c r="CS82" s="74" t="n">
        <f aca="false">SQRT(($B82-CS$5)^2+($C82-CS$6)^2+($D82-CS$7)^2)</f>
        <v>1.39840199169246</v>
      </c>
      <c r="CT82" s="74" t="n">
        <f aca="false">SQRT(($B82-CT$5)^2+($C82-CT$6)^2+($D82-CT$7)^2)</f>
        <v>1.4209894101015</v>
      </c>
      <c r="CU82" s="74" t="n">
        <f aca="false">SQRT(($B82-CU$5)^2+($C82-CU$6)^2+($D82-CU$7)^2)</f>
        <v>1.26197125799718</v>
      </c>
      <c r="CV82" s="74" t="n">
        <f aca="false">SQRT(($B82-CV$5)^2+($C82-CV$6)^2+($D82-CV$7)^2)</f>
        <v>0.684677233919338</v>
      </c>
      <c r="CW82" s="74" t="n">
        <f aca="false">SQRT(($B82-CW$5)^2+($C82-CW$6)^2+($D82-CW$7)^2)</f>
        <v>1.4209894101015</v>
      </c>
      <c r="CX82" s="74" t="n">
        <f aca="false">SQRT(($B82-CX$5)^2+($C82-CX$6)^2+($D82-CX$7)^2)</f>
        <v>0.735699744715337</v>
      </c>
      <c r="CY82" s="74" t="n">
        <f aca="false">SQRT(($B82-CY$5)^2+($C82-CY$6)^2+($D82-CY$7)^2)</f>
        <v>1.44752764653599</v>
      </c>
      <c r="CZ82" s="74" t="n">
        <f aca="false">SQRT(($B82-CZ$5)^2+($C82-CZ$6)^2+($D82-CZ$7)^2)</f>
        <v>1.44752764653599</v>
      </c>
      <c r="DA82" s="74" t="n">
        <f aca="false">SQRT(($B82-DA$5)^2+($C82-DA$6)^2+($D82-DA$7)^2)</f>
        <v>0.946436145111309</v>
      </c>
      <c r="DB82" s="74" t="n">
        <f aca="false">SQRT(($B82-DB$5)^2+($C82-DB$6)^2+($D82-DB$7)^2)</f>
        <v>1.47903917265977</v>
      </c>
      <c r="DC82" s="74" t="n">
        <f aca="false">SQRT(($B82-DC$5)^2+($C82-DC$6)^2+($D82-DC$7)^2)</f>
        <v>1.47903917265977</v>
      </c>
      <c r="DD82" s="74" t="n">
        <f aca="false">SQRT(($B82-DD$5)^2+($C82-DD$6)^2+($D82-DD$7)^2)</f>
        <v>1.08121894059086</v>
      </c>
      <c r="DE82" s="74" t="n">
        <f aca="false">SQRT(($B82-DE$5)^2+($C82-DE$6)^2+($D82-DE$7)^2)</f>
        <v>1.31963460971118</v>
      </c>
      <c r="DF82" s="74" t="n">
        <f aca="false">SQRT(($B82-DF$5)^2+($C82-DF$6)^2+($D82-DF$7)^2)</f>
        <v>1.69780312275401</v>
      </c>
      <c r="DG82" s="74" t="n">
        <f aca="false">SQRT(($B82-DG$5)^2+($C82-DG$6)^2+($D82-DG$7)^2)</f>
        <v>1.80205814460464</v>
      </c>
      <c r="DH82" s="74" t="n">
        <f aca="false">SQRT(($B82-DH$5)^2+($C82-DH$6)^2+($D82-DH$7)^2)</f>
        <v>1.80205814460464</v>
      </c>
      <c r="DI82" s="74" t="n">
        <f aca="false">SQRT(($B82-DI$5)^2+($C82-DI$6)^2+($D82-DI$7)^2)</f>
        <v>1.80205814460464</v>
      </c>
      <c r="DJ82" s="74" t="n">
        <f aca="false">SQRT(($B82-DJ$5)^2+($C82-DJ$6)^2+($D82-DJ$7)^2)</f>
        <v>1.80205814460464</v>
      </c>
      <c r="DK82" s="74" t="n">
        <f aca="false">SQRT(($B82-DK$5)^2+($C82-DK$6)^2+($D82-DK$7)^2)</f>
        <v>1.95903367088122</v>
      </c>
      <c r="DL82" s="74" t="n">
        <f aca="false">SQRT(($B82-DL$5)^2+($C82-DL$6)^2+($D82-DL$7)^2)</f>
        <v>1.95903367088122</v>
      </c>
      <c r="DM82" s="74" t="n">
        <f aca="false">SQRT(($B82-DM$5)^2+($C82-DM$6)^2+($D82-DM$7)^2)</f>
        <v>1.95903367088122</v>
      </c>
      <c r="DN82" s="74" t="n">
        <f aca="false">SQRT(($B82-DN$5)^2+($C82-DN$6)^2+($D82-DN$7)^2)</f>
        <v>1.95903367088122</v>
      </c>
      <c r="DO82" s="74" t="n">
        <f aca="false">SQRT(($B82-DO$5)^2+($C82-DO$6)^2+($D82-DO$7)^2)</f>
        <v>1.95903367088122</v>
      </c>
      <c r="DP82" s="74" t="n">
        <f aca="false">SQRT(($B82-DP$5)^2+($C82-DP$6)^2+($D82-DP$7)^2)</f>
        <v>2.24797449147035</v>
      </c>
      <c r="DQ82" s="74" t="n">
        <f aca="false">SQRT(($B82-DQ$5)^2+($C82-DQ$6)^2+($D82-DQ$7)^2)</f>
        <v>2.24797449147035</v>
      </c>
    </row>
    <row r="83" customFormat="false" ht="15" hidden="false" customHeight="false" outlineLevel="0" collapsed="false">
      <c r="A83" s="48" t="str">
        <f aca="false">KMeans_Data!A74</f>
        <v>Laiya</v>
      </c>
      <c r="B83" s="72" t="n">
        <f aca="false">KMeans_Data!H74</f>
        <v>-0.259910629817831</v>
      </c>
      <c r="C83" s="72" t="n">
        <f aca="false">KMeans_Data!I74</f>
        <v>-0.672650545388274</v>
      </c>
      <c r="D83" s="72" t="n">
        <f aca="false">KMeans_Data!J74</f>
        <v>-1.14564411633355</v>
      </c>
      <c r="E83" s="74" t="n">
        <f aca="false">SQRT(($B83-E$5)^2+($C83-E$6)^2+($D83-E$7)^2)</f>
        <v>7.35081663720413</v>
      </c>
      <c r="F83" s="74" t="n">
        <f aca="false">SQRT(($B83-F$5)^2+($C83-F$6)^2+($D83-F$7)^2)</f>
        <v>7.09112134123866</v>
      </c>
      <c r="G83" s="74" t="n">
        <f aca="false">SQRT(($B83-G$5)^2+($C83-G$6)^2+($D83-G$7)^2)</f>
        <v>5.29772317986054</v>
      </c>
      <c r="H83" s="74" t="n">
        <f aca="false">SQRT(($B83-H$5)^2+($C83-H$6)^2+($D83-H$7)^2)</f>
        <v>5.69879789461633</v>
      </c>
      <c r="I83" s="74" t="n">
        <f aca="false">SQRT(($B83-I$5)^2+($C83-I$6)^2+($D83-I$7)^2)</f>
        <v>4.63539210968754</v>
      </c>
      <c r="J83" s="74" t="n">
        <f aca="false">SQRT(($B83-J$5)^2+($C83-J$6)^2+($D83-J$7)^2)</f>
        <v>4.26723693828814</v>
      </c>
      <c r="K83" s="74" t="n">
        <f aca="false">SQRT(($B83-K$5)^2+($C83-K$6)^2+($D83-K$7)^2)</f>
        <v>1.83176958902883</v>
      </c>
      <c r="L83" s="74" t="n">
        <f aca="false">SQRT(($B83-L$5)^2+($C83-L$6)^2+($D83-L$7)^2)</f>
        <v>3.54470608526977</v>
      </c>
      <c r="M83" s="74" t="n">
        <f aca="false">SQRT(($B83-M$5)^2+($C83-M$6)^2+($D83-M$7)^2)</f>
        <v>3.73242137304573</v>
      </c>
      <c r="N83" s="74" t="n">
        <f aca="false">SQRT(($B83-N$5)^2+($C83-N$6)^2+($D83-N$7)^2)</f>
        <v>1.58597865383502</v>
      </c>
      <c r="O83" s="74" t="n">
        <f aca="false">SQRT(($B83-O$5)^2+($C83-O$6)^2+($D83-O$7)^2)</f>
        <v>3.33666765149162</v>
      </c>
      <c r="P83" s="74" t="n">
        <f aca="false">SQRT(($B83-P$5)^2+($C83-P$6)^2+($D83-P$7)^2)</f>
        <v>3.63735080720256</v>
      </c>
      <c r="Q83" s="74" t="n">
        <f aca="false">SQRT(($B83-Q$5)^2+($C83-Q$6)^2+($D83-Q$7)^2)</f>
        <v>3.07061705499198</v>
      </c>
      <c r="R83" s="74" t="n">
        <f aca="false">SQRT(($B83-R$5)^2+($C83-R$6)^2+($D83-R$7)^2)</f>
        <v>3.10352494535984</v>
      </c>
      <c r="S83" s="74" t="n">
        <f aca="false">SQRT(($B83-S$5)^2+($C83-S$6)^2+($D83-S$7)^2)</f>
        <v>2.68909190732209</v>
      </c>
      <c r="T83" s="74" t="n">
        <f aca="false">SQRT(($B83-T$5)^2+($C83-T$6)^2+($D83-T$7)^2)</f>
        <v>2.98061094401367</v>
      </c>
      <c r="U83" s="74" t="n">
        <f aca="false">SQRT(($B83-U$5)^2+($C83-U$6)^2+($D83-U$7)^2)</f>
        <v>3.13874288082317</v>
      </c>
      <c r="V83" s="74" t="n">
        <f aca="false">SQRT(($B83-V$5)^2+($C83-V$6)^2+($D83-V$7)^2)</f>
        <v>2.92710762675879</v>
      </c>
      <c r="W83" s="74" t="n">
        <f aca="false">SQRT(($B83-W$5)^2+($C83-W$6)^2+($D83-W$7)^2)</f>
        <v>3.12707367471459</v>
      </c>
      <c r="X83" s="74" t="n">
        <f aca="false">SQRT(($B83-X$5)^2+($C83-X$6)^2+($D83-X$7)^2)</f>
        <v>2.85553247135372</v>
      </c>
      <c r="Y83" s="74" t="n">
        <f aca="false">SQRT(($B83-Y$5)^2+($C83-Y$6)^2+($D83-Y$7)^2)</f>
        <v>3.01782971735012</v>
      </c>
      <c r="Z83" s="74" t="n">
        <f aca="false">SQRT(($B83-Z$5)^2+($C83-Z$6)^2+($D83-Z$7)^2)</f>
        <v>2.52636740659065</v>
      </c>
      <c r="AA83" s="74" t="n">
        <f aca="false">SQRT(($B83-AA$5)^2+($C83-AA$6)^2+($D83-AA$7)^2)</f>
        <v>2.49304016094039</v>
      </c>
      <c r="AB83" s="74" t="n">
        <f aca="false">SQRT(($B83-AB$5)^2+($C83-AB$6)^2+($D83-AB$7)^2)</f>
        <v>2.42171637942707</v>
      </c>
      <c r="AC83" s="74" t="n">
        <f aca="false">SQRT(($B83-AC$5)^2+($C83-AC$6)^2+($D83-AC$7)^2)</f>
        <v>2.961715155408</v>
      </c>
      <c r="AD83" s="74" t="n">
        <f aca="false">SQRT(($B83-AD$5)^2+($C83-AD$6)^2+($D83-AD$7)^2)</f>
        <v>2.99850801592691</v>
      </c>
      <c r="AE83" s="74" t="n">
        <f aca="false">SQRT(($B83-AE$5)^2+($C83-AE$6)^2+($D83-AE$7)^2)</f>
        <v>1.04709505026299</v>
      </c>
      <c r="AF83" s="74" t="n">
        <f aca="false">SQRT(($B83-AF$5)^2+($C83-AF$6)^2+($D83-AF$7)^2)</f>
        <v>2.58181825292299</v>
      </c>
      <c r="AG83" s="74" t="n">
        <f aca="false">SQRT(($B83-AG$5)^2+($C83-AG$6)^2+($D83-AG$7)^2)</f>
        <v>1.12156019254713</v>
      </c>
      <c r="AH83" s="74" t="n">
        <f aca="false">SQRT(($B83-AH$5)^2+($C83-AH$6)^2+($D83-AH$7)^2)</f>
        <v>2.26050834894367</v>
      </c>
      <c r="AI83" s="74" t="n">
        <f aca="false">SQRT(($B83-AI$5)^2+($C83-AI$6)^2+($D83-AI$7)^2)</f>
        <v>1.11919908962038</v>
      </c>
      <c r="AJ83" s="74" t="n">
        <f aca="false">SQRT(($B83-AJ$5)^2+($C83-AJ$6)^2+($D83-AJ$7)^2)</f>
        <v>2.69799498250764</v>
      </c>
      <c r="AK83" s="74" t="n">
        <f aca="false">SQRT(($B83-AK$5)^2+($C83-AK$6)^2+($D83-AK$7)^2)</f>
        <v>1.94511208218621</v>
      </c>
      <c r="AL83" s="74" t="n">
        <f aca="false">SQRT(($B83-AL$5)^2+($C83-AL$6)^2+($D83-AL$7)^2)</f>
        <v>1.92688837711922</v>
      </c>
      <c r="AM83" s="74" t="n">
        <f aca="false">SQRT(($B83-AM$5)^2+($C83-AM$6)^2+($D83-AM$7)^2)</f>
        <v>2.62362291098168</v>
      </c>
      <c r="AN83" s="74" t="n">
        <f aca="false">SQRT(($B83-AN$5)^2+($C83-AN$6)^2+($D83-AN$7)^2)</f>
        <v>2.7010296056336</v>
      </c>
      <c r="AO83" s="74" t="n">
        <f aca="false">SQRT(($B83-AO$5)^2+($C83-AO$6)^2+($D83-AO$7)^2)</f>
        <v>2.10407041855199</v>
      </c>
      <c r="AP83" s="74" t="n">
        <f aca="false">SQRT(($B83-AP$5)^2+($C83-AP$6)^2+($D83-AP$7)^2)</f>
        <v>2.0394142029349</v>
      </c>
      <c r="AQ83" s="74" t="n">
        <f aca="false">SQRT(($B83-AQ$5)^2+($C83-AQ$6)^2+($D83-AQ$7)^2)</f>
        <v>2.71607824045581</v>
      </c>
      <c r="AR83" s="74" t="n">
        <f aca="false">SQRT(($B83-AR$5)^2+($C83-AR$6)^2+($D83-AR$7)^2)</f>
        <v>1.50161289007626</v>
      </c>
      <c r="AS83" s="74" t="n">
        <f aca="false">SQRT(($B83-AS$5)^2+($C83-AS$6)^2+($D83-AS$7)^2)</f>
        <v>2.23246381874901</v>
      </c>
      <c r="AT83" s="74" t="n">
        <f aca="false">SQRT(($B83-AT$5)^2+($C83-AT$6)^2+($D83-AT$7)^2)</f>
        <v>2.06084118443787</v>
      </c>
      <c r="AU83" s="74" t="n">
        <f aca="false">SQRT(($B83-AU$5)^2+($C83-AU$6)^2+($D83-AU$7)^2)</f>
        <v>0.898986511394858</v>
      </c>
      <c r="AV83" s="74" t="n">
        <f aca="false">SQRT(($B83-AV$5)^2+($C83-AV$6)^2+($D83-AV$7)^2)</f>
        <v>1.73900385465147</v>
      </c>
      <c r="AW83" s="74" t="n">
        <f aca="false">SQRT(($B83-AW$5)^2+($C83-AW$6)^2+($D83-AW$7)^2)</f>
        <v>0.593040684487416</v>
      </c>
      <c r="AX83" s="74" t="n">
        <f aca="false">SQRT(($B83-AX$5)^2+($C83-AX$6)^2+($D83-AX$7)^2)</f>
        <v>1.8080882309453</v>
      </c>
      <c r="AY83" s="74" t="n">
        <f aca="false">SQRT(($B83-AY$5)^2+($C83-AY$6)^2+($D83-AY$7)^2)</f>
        <v>0.460886127599791</v>
      </c>
      <c r="AZ83" s="74" t="n">
        <f aca="false">SQRT(($B83-AZ$5)^2+($C83-AZ$6)^2+($D83-AZ$7)^2)</f>
        <v>2.22638639753691</v>
      </c>
      <c r="BA83" s="74" t="n">
        <f aca="false">SQRT(($B83-BA$5)^2+($C83-BA$6)^2+($D83-BA$7)^2)</f>
        <v>2.06203064120576</v>
      </c>
      <c r="BB83" s="74" t="n">
        <f aca="false">SQRT(($B83-BB$5)^2+($C83-BB$6)^2+($D83-BB$7)^2)</f>
        <v>0.45433924860345</v>
      </c>
      <c r="BC83" s="74" t="n">
        <f aca="false">SQRT(($B83-BC$5)^2+($C83-BC$6)^2+($D83-BC$7)^2)</f>
        <v>0.447708967633117</v>
      </c>
      <c r="BD83" s="74" t="n">
        <f aca="false">SQRT(($B83-BD$5)^2+($C83-BD$6)^2+($D83-BD$7)^2)</f>
        <v>0.771527411975707</v>
      </c>
      <c r="BE83" s="74" t="n">
        <f aca="false">SQRT(($B83-BE$5)^2+($C83-BE$6)^2+($D83-BE$7)^2)</f>
        <v>0.991892723052249</v>
      </c>
      <c r="BF83" s="74" t="n">
        <f aca="false">SQRT(($B83-BF$5)^2+($C83-BF$6)^2+($D83-BF$7)^2)</f>
        <v>2.83847701265494</v>
      </c>
      <c r="BG83" s="74" t="n">
        <f aca="false">SQRT(($B83-BG$5)^2+($C83-BG$6)^2+($D83-BG$7)^2)</f>
        <v>1.87565339545102</v>
      </c>
      <c r="BH83" s="74" t="n">
        <f aca="false">SQRT(($B83-BH$5)^2+($C83-BH$6)^2+($D83-BH$7)^2)</f>
        <v>0.344746599524393</v>
      </c>
      <c r="BI83" s="74" t="n">
        <f aca="false">SQRT(($B83-BI$5)^2+($C83-BI$6)^2+($D83-BI$7)^2)</f>
        <v>0.328222353954457</v>
      </c>
      <c r="BJ83" s="74" t="n">
        <f aca="false">SQRT(($B83-BJ$5)^2+($C83-BJ$6)^2+($D83-BJ$7)^2)</f>
        <v>1.70194069613143</v>
      </c>
      <c r="BK83" s="74" t="n">
        <f aca="false">SQRT(($B83-BK$5)^2+($C83-BK$6)^2+($D83-BK$7)^2)</f>
        <v>0.791771771824664</v>
      </c>
      <c r="BL83" s="74" t="n">
        <f aca="false">SQRT(($B83-BL$5)^2+($C83-BL$6)^2+($D83-BL$7)^2)</f>
        <v>1.53137584522095</v>
      </c>
      <c r="BM83" s="74" t="n">
        <f aca="false">SQRT(($B83-BM$5)^2+($C83-BM$6)^2+($D83-BM$7)^2)</f>
        <v>2.06286554060624</v>
      </c>
      <c r="BN83" s="74" t="n">
        <f aca="false">SQRT(($B83-BN$5)^2+($C83-BN$6)^2+($D83-BN$7)^2)</f>
        <v>1.46752829142242</v>
      </c>
      <c r="BO83" s="74" t="n">
        <f aca="false">SQRT(($B83-BO$5)^2+($C83-BO$6)^2+($D83-BO$7)^2)</f>
        <v>0.375765532515963</v>
      </c>
      <c r="BP83" s="74" t="n">
        <f aca="false">SQRT(($B83-BP$5)^2+($C83-BP$6)^2+($D83-BP$7)^2)</f>
        <v>1.64638611369535</v>
      </c>
      <c r="BQ83" s="74" t="n">
        <f aca="false">SQRT(($B83-BQ$5)^2+($C83-BQ$6)^2+($D83-BQ$7)^2)</f>
        <v>1.62211926870041</v>
      </c>
      <c r="BR83" s="74" t="n">
        <f aca="false">SQRT(($B83-BR$5)^2+($C83-BR$6)^2+($D83-BR$7)^2)</f>
        <v>1.66616970357621</v>
      </c>
      <c r="BS83" s="74" t="n">
        <f aca="false">SQRT(($B83-BS$5)^2+($C83-BS$6)^2+($D83-BS$7)^2)</f>
        <v>1.74507329509676</v>
      </c>
      <c r="BT83" s="74" t="n">
        <f aca="false">SQRT(($B83-BT$5)^2+($C83-BT$6)^2+($D83-BT$7)^2)</f>
        <v>1.34013738902523</v>
      </c>
      <c r="BU83" s="74" t="n">
        <f aca="false">SQRT(($B83-BU$5)^2+($C83-BU$6)^2+($D83-BU$7)^2)</f>
        <v>1.25570273617039</v>
      </c>
      <c r="BV83" s="74" t="n">
        <f aca="false">SQRT(($B83-BV$5)^2+($C83-BV$6)^2+($D83-BV$7)^2)</f>
        <v>0</v>
      </c>
      <c r="BW83" s="74" t="n">
        <f aca="false">SQRT(($B83-BW$5)^2+($C83-BW$6)^2+($D83-BW$7)^2)</f>
        <v>1.43245050082431</v>
      </c>
      <c r="BX83" s="74" t="n">
        <f aca="false">SQRT(($B83-BX$5)^2+($C83-BX$6)^2+($D83-BX$7)^2)</f>
        <v>0.0160157257272548</v>
      </c>
      <c r="BY83" s="74" t="n">
        <f aca="false">SQRT(($B83-BY$5)^2+($C83-BY$6)^2+($D83-BY$7)^2)</f>
        <v>0.964870323808546</v>
      </c>
      <c r="BZ83" s="74" t="n">
        <f aca="false">SQRT(($B83-BZ$5)^2+($C83-BZ$6)^2+($D83-BZ$7)^2)</f>
        <v>0.904221402936721</v>
      </c>
      <c r="CA83" s="74" t="n">
        <f aca="false">SQRT(($B83-CA$5)^2+($C83-CA$6)^2+($D83-CA$7)^2)</f>
        <v>0.0672508321549569</v>
      </c>
      <c r="CB83" s="74" t="n">
        <f aca="false">SQRT(($B83-CB$5)^2+($C83-CB$6)^2+($D83-CB$7)^2)</f>
        <v>0.905762912783303</v>
      </c>
      <c r="CC83" s="74" t="n">
        <f aca="false">SQRT(($B83-CC$5)^2+($C83-CC$6)^2+($D83-CC$7)^2)</f>
        <v>0.0855148119940385</v>
      </c>
      <c r="CD83" s="74" t="n">
        <f aca="false">SQRT(($B83-CD$5)^2+($C83-CD$6)^2+($D83-CD$7)^2)</f>
        <v>0.124085789563713</v>
      </c>
      <c r="CE83" s="74" t="n">
        <f aca="false">SQRT(($B83-CE$5)^2+($C83-CE$6)^2+($D83-CE$7)^2)</f>
        <v>1.19732560650833</v>
      </c>
      <c r="CF83" s="74" t="n">
        <f aca="false">SQRT(($B83-CF$5)^2+($C83-CF$6)^2+($D83-CF$7)^2)</f>
        <v>1.39567105814469</v>
      </c>
      <c r="CG83" s="74" t="n">
        <f aca="false">SQRT(($B83-CG$5)^2+($C83-CG$6)^2+($D83-CG$7)^2)</f>
        <v>0.936523840718899</v>
      </c>
      <c r="CH83" s="74" t="n">
        <f aca="false">SQRT(($B83-CH$5)^2+($C83-CH$6)^2+($D83-CH$7)^2)</f>
        <v>0.77508107754295</v>
      </c>
      <c r="CI83" s="74" t="n">
        <f aca="false">SQRT(($B83-CI$5)^2+($C83-CI$6)^2+($D83-CI$7)^2)</f>
        <v>0.693257036396302</v>
      </c>
      <c r="CJ83" s="74" t="n">
        <f aca="false">SQRT(($B83-CJ$5)^2+($C83-CJ$6)^2+($D83-CJ$7)^2)</f>
        <v>0.430963693508951</v>
      </c>
      <c r="CK83" s="74" t="n">
        <f aca="false">SQRT(($B83-CK$5)^2+($C83-CK$6)^2+($D83-CK$7)^2)</f>
        <v>1.16355620470339</v>
      </c>
      <c r="CL83" s="74" t="n">
        <f aca="false">SQRT(($B83-CL$5)^2+($C83-CL$6)^2+($D83-CL$7)^2)</f>
        <v>0.376778050978903</v>
      </c>
      <c r="CM83" s="74" t="n">
        <f aca="false">SQRT(($B83-CM$5)^2+($C83-CM$6)^2+($D83-CM$7)^2)</f>
        <v>0.911775715583908</v>
      </c>
      <c r="CN83" s="74" t="n">
        <f aca="false">SQRT(($B83-CN$5)^2+($C83-CN$6)^2+($D83-CN$7)^2)</f>
        <v>1.90345074231936</v>
      </c>
      <c r="CO83" s="74" t="n">
        <f aca="false">SQRT(($B83-CO$5)^2+($C83-CO$6)^2+($D83-CO$7)^2)</f>
        <v>1.19996579093572</v>
      </c>
      <c r="CP83" s="74" t="n">
        <f aca="false">SQRT(($B83-CP$5)^2+($C83-CP$6)^2+($D83-CP$7)^2)</f>
        <v>0.484848114815361</v>
      </c>
      <c r="CQ83" s="74" t="n">
        <f aca="false">SQRT(($B83-CQ$5)^2+($C83-CQ$6)^2+($D83-CQ$7)^2)</f>
        <v>0.912922014647497</v>
      </c>
      <c r="CR83" s="74" t="n">
        <f aca="false">SQRT(($B83-CR$5)^2+($C83-CR$6)^2+($D83-CR$7)^2)</f>
        <v>1.00812821614459</v>
      </c>
      <c r="CS83" s="74" t="n">
        <f aca="false">SQRT(($B83-CS$5)^2+($C83-CS$6)^2+($D83-CS$7)^2)</f>
        <v>0.571794757196831</v>
      </c>
      <c r="CT83" s="74" t="n">
        <f aca="false">SQRT(($B83-CT$5)^2+($C83-CT$6)^2+($D83-CT$7)^2)</f>
        <v>0.621400848155152</v>
      </c>
      <c r="CU83" s="74" t="n">
        <f aca="false">SQRT(($B83-CU$5)^2+($C83-CU$6)^2+($D83-CU$7)^2)</f>
        <v>0.875004835004125</v>
      </c>
      <c r="CV83" s="74" t="n">
        <f aca="false">SQRT(($B83-CV$5)^2+($C83-CV$6)^2+($D83-CV$7)^2)</f>
        <v>1.54159235089802</v>
      </c>
      <c r="CW83" s="74" t="n">
        <f aca="false">SQRT(($B83-CW$5)^2+($C83-CW$6)^2+($D83-CW$7)^2)</f>
        <v>0.621400848155152</v>
      </c>
      <c r="CX83" s="74" t="n">
        <f aca="false">SQRT(($B83-CX$5)^2+($C83-CX$6)^2+($D83-CX$7)^2)</f>
        <v>1.30076151711728</v>
      </c>
      <c r="CY83" s="74" t="n">
        <f aca="false">SQRT(($B83-CY$5)^2+($C83-CY$6)^2+($D83-CY$7)^2)</f>
        <v>0.676237837591832</v>
      </c>
      <c r="CZ83" s="74" t="n">
        <f aca="false">SQRT(($B83-CZ$5)^2+($C83-CZ$6)^2+($D83-CZ$7)^2)</f>
        <v>0.676237837591832</v>
      </c>
      <c r="DA83" s="74" t="n">
        <f aca="false">SQRT(($B83-DA$5)^2+($C83-DA$6)^2+($D83-DA$7)^2)</f>
        <v>0.932722087163449</v>
      </c>
      <c r="DB83" s="74" t="n">
        <f aca="false">SQRT(($B83-DB$5)^2+($C83-DB$6)^2+($D83-DB$7)^2)</f>
        <v>0.73754037623055</v>
      </c>
      <c r="DC83" s="74" t="n">
        <f aca="false">SQRT(($B83-DC$5)^2+($C83-DC$6)^2+($D83-DC$7)^2)</f>
        <v>0.73754037623055</v>
      </c>
      <c r="DD83" s="74" t="n">
        <f aca="false">SQRT(($B83-DD$5)^2+($C83-DD$6)^2+($D83-DD$7)^2)</f>
        <v>0.896178176269936</v>
      </c>
      <c r="DE83" s="74" t="n">
        <f aca="false">SQRT(($B83-DE$5)^2+($C83-DE$6)^2+($D83-DE$7)^2)</f>
        <v>0.943618964904375</v>
      </c>
      <c r="DF83" s="74" t="n">
        <f aca="false">SQRT(($B83-DF$5)^2+($C83-DF$6)^2+($D83-DF$7)^2)</f>
        <v>1.0983027014822</v>
      </c>
      <c r="DG83" s="74" t="n">
        <f aca="false">SQRT(($B83-DG$5)^2+($C83-DG$6)^2+($D83-DG$7)^2)</f>
        <v>1.24803259478866</v>
      </c>
      <c r="DH83" s="74" t="n">
        <f aca="false">SQRT(($B83-DH$5)^2+($C83-DH$6)^2+($D83-DH$7)^2)</f>
        <v>1.24803259478866</v>
      </c>
      <c r="DI83" s="74" t="n">
        <f aca="false">SQRT(($B83-DI$5)^2+($C83-DI$6)^2+($D83-DI$7)^2)</f>
        <v>1.24803259478866</v>
      </c>
      <c r="DJ83" s="74" t="n">
        <f aca="false">SQRT(($B83-DJ$5)^2+($C83-DJ$6)^2+($D83-DJ$7)^2)</f>
        <v>1.24803259478866</v>
      </c>
      <c r="DK83" s="74" t="n">
        <f aca="false">SQRT(($B83-DK$5)^2+($C83-DK$6)^2+($D83-DK$7)^2)</f>
        <v>1.45906502673385</v>
      </c>
      <c r="DL83" s="74" t="n">
        <f aca="false">SQRT(($B83-DL$5)^2+($C83-DL$6)^2+($D83-DL$7)^2)</f>
        <v>1.45906502673385</v>
      </c>
      <c r="DM83" s="74" t="n">
        <f aca="false">SQRT(($B83-DM$5)^2+($C83-DM$6)^2+($D83-DM$7)^2)</f>
        <v>1.45906502673385</v>
      </c>
      <c r="DN83" s="74" t="n">
        <f aca="false">SQRT(($B83-DN$5)^2+($C83-DN$6)^2+($D83-DN$7)^2)</f>
        <v>1.45906502673385</v>
      </c>
      <c r="DO83" s="74" t="n">
        <f aca="false">SQRT(($B83-DO$5)^2+($C83-DO$6)^2+($D83-DO$7)^2)</f>
        <v>1.45906502673385</v>
      </c>
      <c r="DP83" s="74" t="n">
        <f aca="false">SQRT(($B83-DP$5)^2+($C83-DP$6)^2+($D83-DP$7)^2)</f>
        <v>1.81982735198549</v>
      </c>
      <c r="DQ83" s="74" t="n">
        <f aca="false">SQRT(($B83-DQ$5)^2+($C83-DQ$6)^2+($D83-DQ$7)^2)</f>
        <v>1.81982735198549</v>
      </c>
    </row>
    <row r="84" customFormat="false" ht="15" hidden="false" customHeight="false" outlineLevel="0" collapsed="false">
      <c r="A84" s="48" t="str">
        <f aca="false">KMeans_Data!A75</f>
        <v>Shigar</v>
      </c>
      <c r="B84" s="72" t="n">
        <f aca="false">KMeans_Data!H75</f>
        <v>-0.275926355545086</v>
      </c>
      <c r="C84" s="72" t="n">
        <f aca="false">KMeans_Data!I75</f>
        <v>-0.672650545388274</v>
      </c>
      <c r="D84" s="72" t="n">
        <f aca="false">KMeans_Data!J75</f>
        <v>0.286716848591577</v>
      </c>
      <c r="E84" s="74" t="n">
        <f aca="false">SQRT(($B84-E$5)^2+($C84-E$6)^2+($D84-E$7)^2)</f>
        <v>6.602995999108</v>
      </c>
      <c r="F84" s="74" t="n">
        <f aca="false">SQRT(($B84-F$5)^2+($C84-F$6)^2+($D84-F$7)^2)</f>
        <v>6.44107698964301</v>
      </c>
      <c r="G84" s="74" t="n">
        <f aca="false">SQRT(($B84-G$5)^2+($C84-G$6)^2+($D84-G$7)^2)</f>
        <v>4.48595131383517</v>
      </c>
      <c r="H84" s="74" t="n">
        <f aca="false">SQRT(($B84-H$5)^2+($C84-H$6)^2+($D84-H$7)^2)</f>
        <v>5.16059927408375</v>
      </c>
      <c r="I84" s="74" t="n">
        <f aca="false">SQRT(($B84-I$5)^2+($C84-I$6)^2+($D84-I$7)^2)</f>
        <v>3.93378232874018</v>
      </c>
      <c r="J84" s="74" t="n">
        <f aca="false">SQRT(($B84-J$5)^2+($C84-J$6)^2+($D84-J$7)^2)</f>
        <v>3.59171310249613</v>
      </c>
      <c r="K84" s="74" t="n">
        <f aca="false">SQRT(($B84-K$5)^2+($C84-K$6)^2+($D84-K$7)^2)</f>
        <v>2.1303478189946</v>
      </c>
      <c r="L84" s="74" t="n">
        <f aca="false">SQRT(($B84-L$5)^2+($C84-L$6)^2+($D84-L$7)^2)</f>
        <v>2.53910817386567</v>
      </c>
      <c r="M84" s="74" t="n">
        <f aca="false">SQRT(($B84-M$5)^2+($C84-M$6)^2+($D84-M$7)^2)</f>
        <v>2.80934562669655</v>
      </c>
      <c r="N84" s="74" t="n">
        <f aca="false">SQRT(($B84-N$5)^2+($C84-N$6)^2+($D84-N$7)^2)</f>
        <v>1.92195520904096</v>
      </c>
      <c r="O84" s="74" t="n">
        <f aca="false">SQRT(($B84-O$5)^2+($C84-O$6)^2+($D84-O$7)^2)</f>
        <v>2.66774089007382</v>
      </c>
      <c r="P84" s="74" t="n">
        <f aca="false">SQRT(($B84-P$5)^2+($C84-P$6)^2+($D84-P$7)^2)</f>
        <v>2.94990335108343</v>
      </c>
      <c r="Q84" s="74" t="n">
        <f aca="false">SQRT(($B84-Q$5)^2+($C84-Q$6)^2+($D84-Q$7)^2)</f>
        <v>2.26827058165875</v>
      </c>
      <c r="R84" s="74" t="n">
        <f aca="false">SQRT(($B84-R$5)^2+($C84-R$6)^2+($D84-R$7)^2)</f>
        <v>2.05695940710304</v>
      </c>
      <c r="S84" s="74" t="n">
        <f aca="false">SQRT(($B84-S$5)^2+($C84-S$6)^2+($D84-S$7)^2)</f>
        <v>1.64286549980924</v>
      </c>
      <c r="T84" s="74" t="n">
        <f aca="false">SQRT(($B84-T$5)^2+($C84-T$6)^2+($D84-T$7)^2)</f>
        <v>2.19904179336</v>
      </c>
      <c r="U84" s="74" t="n">
        <f aca="false">SQRT(($B84-U$5)^2+($C84-U$6)^2+($D84-U$7)^2)</f>
        <v>2.03045214347598</v>
      </c>
      <c r="V84" s="74" t="n">
        <f aca="false">SQRT(($B84-V$5)^2+($C84-V$6)^2+($D84-V$7)^2)</f>
        <v>2.36690307350097</v>
      </c>
      <c r="W84" s="74" t="n">
        <f aca="false">SQRT(($B84-W$5)^2+($C84-W$6)^2+($D84-W$7)^2)</f>
        <v>2.43053294145393</v>
      </c>
      <c r="X84" s="74" t="n">
        <f aca="false">SQRT(($B84-X$5)^2+($C84-X$6)^2+($D84-X$7)^2)</f>
        <v>1.99735608685039</v>
      </c>
      <c r="Y84" s="74" t="n">
        <f aca="false">SQRT(($B84-Y$5)^2+($C84-Y$6)^2+($D84-Y$7)^2)</f>
        <v>2.06816709776627</v>
      </c>
      <c r="Z84" s="74" t="n">
        <f aca="false">SQRT(($B84-Z$5)^2+($C84-Z$6)^2+($D84-Z$7)^2)</f>
        <v>1.84787584141158</v>
      </c>
      <c r="AA84" s="74" t="n">
        <f aca="false">SQRT(($B84-AA$5)^2+($C84-AA$6)^2+($D84-AA$7)^2)</f>
        <v>1.50646110627085</v>
      </c>
      <c r="AB84" s="74" t="n">
        <f aca="false">SQRT(($B84-AB$5)^2+($C84-AB$6)^2+($D84-AB$7)^2)</f>
        <v>1.66038867355755</v>
      </c>
      <c r="AC84" s="74" t="n">
        <f aca="false">SQRT(($B84-AC$5)^2+($C84-AC$6)^2+($D84-AC$7)^2)</f>
        <v>2.34292638552855</v>
      </c>
      <c r="AD84" s="74" t="n">
        <f aca="false">SQRT(($B84-AD$5)^2+($C84-AD$6)^2+($D84-AD$7)^2)</f>
        <v>2.03217886946894</v>
      </c>
      <c r="AE84" s="74" t="n">
        <f aca="false">SQRT(($B84-AE$5)^2+($C84-AE$6)^2+($D84-AE$7)^2)</f>
        <v>1.78250656143313</v>
      </c>
      <c r="AF84" s="74" t="n">
        <f aca="false">SQRT(($B84-AF$5)^2+($C84-AF$6)^2+($D84-AF$7)^2)</f>
        <v>1.7210027538251</v>
      </c>
      <c r="AG84" s="74" t="n">
        <f aca="false">SQRT(($B84-AG$5)^2+($C84-AG$6)^2+($D84-AG$7)^2)</f>
        <v>1.09550757963592</v>
      </c>
      <c r="AH84" s="74" t="n">
        <f aca="false">SQRT(($B84-AH$5)^2+($C84-AH$6)^2+($D84-AH$7)^2)</f>
        <v>1.29142734196566</v>
      </c>
      <c r="AI84" s="74" t="n">
        <f aca="false">SQRT(($B84-AI$5)^2+($C84-AI$6)^2+($D84-AI$7)^2)</f>
        <v>1.09304384517288</v>
      </c>
      <c r="AJ84" s="74" t="n">
        <f aca="false">SQRT(($B84-AJ$5)^2+($C84-AJ$6)^2+($D84-AJ$7)^2)</f>
        <v>1.69878203793617</v>
      </c>
      <c r="AK84" s="74" t="n">
        <f aca="false">SQRT(($B84-AK$5)^2+($C84-AK$6)^2+($D84-AK$7)^2)</f>
        <v>1.32567454534272</v>
      </c>
      <c r="AL84" s="74" t="n">
        <f aca="false">SQRT(($B84-AL$5)^2+($C84-AL$6)^2+($D84-AL$7)^2)</f>
        <v>0.96194525669659</v>
      </c>
      <c r="AM84" s="74" t="n">
        <f aca="false">SQRT(($B84-AM$5)^2+($C84-AM$6)^2+($D84-AM$7)^2)</f>
        <v>2.19016876232031</v>
      </c>
      <c r="AN84" s="74" t="n">
        <f aca="false">SQRT(($B84-AN$5)^2+($C84-AN$6)^2+($D84-AN$7)^2)</f>
        <v>2.00667235320009</v>
      </c>
      <c r="AO84" s="74" t="n">
        <f aca="false">SQRT(($B84-AO$5)^2+($C84-AO$6)^2+($D84-AO$7)^2)</f>
        <v>1.29320718128441</v>
      </c>
      <c r="AP84" s="74" t="n">
        <f aca="false">SQRT(($B84-AP$5)^2+($C84-AP$6)^2+($D84-AP$7)^2)</f>
        <v>1.27768450606571</v>
      </c>
      <c r="AQ84" s="74" t="n">
        <f aca="false">SQRT(($B84-AQ$5)^2+($C84-AQ$6)^2+($D84-AQ$7)^2)</f>
        <v>2.08995460605522</v>
      </c>
      <c r="AR84" s="74" t="n">
        <f aca="false">SQRT(($B84-AR$5)^2+($C84-AR$6)^2+($D84-AR$7)^2)</f>
        <v>1.12735044218697</v>
      </c>
      <c r="AS84" s="74" t="n">
        <f aca="false">SQRT(($B84-AS$5)^2+($C84-AS$6)^2+($D84-AS$7)^2)</f>
        <v>0.93606862432825</v>
      </c>
      <c r="AT84" s="74" t="n">
        <f aca="false">SQRT(($B84-AT$5)^2+($C84-AT$6)^2+($D84-AT$7)^2)</f>
        <v>0.903393589234008</v>
      </c>
      <c r="AU84" s="74" t="n">
        <f aca="false">SQRT(($B84-AU$5)^2+($C84-AU$6)^2+($D84-AU$7)^2)</f>
        <v>1.19097653705173</v>
      </c>
      <c r="AV84" s="74" t="n">
        <f aca="false">SQRT(($B84-AV$5)^2+($C84-AV$6)^2+($D84-AV$7)^2)</f>
        <v>0.57923870518446</v>
      </c>
      <c r="AW84" s="74" t="n">
        <f aca="false">SQRT(($B84-AW$5)^2+($C84-AW$6)^2+($D84-AW$7)^2)</f>
        <v>1.2245150009933</v>
      </c>
      <c r="AX84" s="74" t="n">
        <f aca="false">SQRT(($B84-AX$5)^2+($C84-AX$6)^2+($D84-AX$7)^2)</f>
        <v>0.980659694027148</v>
      </c>
      <c r="AY84" s="74" t="n">
        <f aca="false">SQRT(($B84-AY$5)^2+($C84-AY$6)^2+($D84-AY$7)^2)</f>
        <v>1.50966662265151</v>
      </c>
      <c r="AZ84" s="74" t="n">
        <f aca="false">SQRT(($B84-AZ$5)^2+($C84-AZ$6)^2+($D84-AZ$7)^2)</f>
        <v>0.885240852615384</v>
      </c>
      <c r="BA84" s="74" t="n">
        <f aca="false">SQRT(($B84-BA$5)^2+($C84-BA$6)^2+($D84-BA$7)^2)</f>
        <v>0.869902032644816</v>
      </c>
      <c r="BB84" s="74" t="n">
        <f aca="false">SQRT(($B84-BB$5)^2+($C84-BB$6)^2+($D84-BB$7)^2)</f>
        <v>1.50761126810557</v>
      </c>
      <c r="BC84" s="74" t="n">
        <f aca="false">SQRT(($B84-BC$5)^2+($C84-BC$6)^2+($D84-BC$7)^2)</f>
        <v>1.5055558857357</v>
      </c>
      <c r="BD84" s="74" t="n">
        <f aca="false">SQRT(($B84-BD$5)^2+($C84-BD$6)^2+($D84-BD$7)^2)</f>
        <v>0.905852859976288</v>
      </c>
      <c r="BE84" s="74" t="n">
        <f aca="false">SQRT(($B84-BE$5)^2+($C84-BE$6)^2+($D84-BE$7)^2)</f>
        <v>0.68251977914065</v>
      </c>
      <c r="BF84" s="74" t="n">
        <f aca="false">SQRT(($B84-BF$5)^2+($C84-BF$6)^2+($D84-BF$7)^2)</f>
        <v>2.14975560371371</v>
      </c>
      <c r="BG84" s="74" t="n">
        <f aca="false">SQRT(($B84-BG$5)^2+($C84-BG$6)^2+($D84-BG$7)^2)</f>
        <v>0.726811065314425</v>
      </c>
      <c r="BH84" s="74" t="n">
        <f aca="false">SQRT(($B84-BH$5)^2+($C84-BH$6)^2+($D84-BH$7)^2)</f>
        <v>1.47709423841616</v>
      </c>
      <c r="BI84" s="74" t="n">
        <f aca="false">SQRT(($B84-BI$5)^2+($C84-BI$6)^2+($D84-BI$7)^2)</f>
        <v>1.47314554248526</v>
      </c>
      <c r="BJ84" s="74" t="n">
        <f aca="false">SQRT(($B84-BJ$5)^2+($C84-BJ$6)^2+($D84-BJ$7)^2)</f>
        <v>1.28800202109982</v>
      </c>
      <c r="BK84" s="74" t="n">
        <f aca="false">SQRT(($B84-BK$5)^2+($C84-BK$6)^2+($D84-BK$7)^2)</f>
        <v>0.742177010008173</v>
      </c>
      <c r="BL84" s="74" t="n">
        <f aca="false">SQRT(($B84-BL$5)^2+($C84-BL$6)^2+($D84-BL$7)^2)</f>
        <v>0.283123387137336</v>
      </c>
      <c r="BM84" s="74" t="n">
        <f aca="false">SQRT(($B84-BM$5)^2+($C84-BM$6)^2+($D84-BM$7)^2)</f>
        <v>1.26289783313954</v>
      </c>
      <c r="BN84" s="74" t="n">
        <f aca="false">SQRT(($B84-BN$5)^2+($C84-BN$6)^2+($D84-BN$7)^2)</f>
        <v>0.898635828467975</v>
      </c>
      <c r="BO84" s="74" t="n">
        <f aca="false">SQRT(($B84-BO$5)^2+($C84-BO$6)^2+($D84-BO$7)^2)</f>
        <v>1.1310250212772</v>
      </c>
      <c r="BP84" s="74" t="n">
        <f aca="false">SQRT(($B84-BP$5)^2+($C84-BP$6)^2+($D84-BP$7)^2)</f>
        <v>0.852121586848976</v>
      </c>
      <c r="BQ84" s="74" t="n">
        <f aca="false">SQRT(($B84-BQ$5)^2+($C84-BQ$6)^2+($D84-BQ$7)^2)</f>
        <v>0.559288675685092</v>
      </c>
      <c r="BR84" s="74" t="n">
        <f aca="false">SQRT(($B84-BR$5)^2+($C84-BR$6)^2+($D84-BR$7)^2)</f>
        <v>0.563040148212336</v>
      </c>
      <c r="BS84" s="74" t="n">
        <f aca="false">SQRT(($B84-BS$5)^2+($C84-BS$6)^2+($D84-BS$7)^2)</f>
        <v>0.32716880293663</v>
      </c>
      <c r="BT84" s="74" t="n">
        <f aca="false">SQRT(($B84-BT$5)^2+($C84-BT$6)^2+($D84-BT$7)^2)</f>
        <v>0.111377514828032</v>
      </c>
      <c r="BU84" s="74" t="n">
        <f aca="false">SQRT(($B84-BU$5)^2+($C84-BU$6)^2+($D84-BU$7)^2)</f>
        <v>0.187764272294974</v>
      </c>
      <c r="BV84" s="74" t="n">
        <f aca="false">SQRT(($B84-BV$5)^2+($C84-BV$6)^2+($D84-BV$7)^2)</f>
        <v>1.43245050082431</v>
      </c>
      <c r="BW84" s="74" t="n">
        <f aca="false">SQRT(($B84-BW$5)^2+($C84-BW$6)^2+($D84-BW$7)^2)</f>
        <v>0</v>
      </c>
      <c r="BX84" s="74" t="n">
        <f aca="false">SQRT(($B84-BX$5)^2+($C84-BX$6)^2+($D84-BX$7)^2)</f>
        <v>1.43236096492513</v>
      </c>
      <c r="BY84" s="74" t="n">
        <f aca="false">SQRT(($B84-BY$5)^2+($C84-BY$6)^2+($D84-BY$7)^2)</f>
        <v>0.469968613375938</v>
      </c>
      <c r="BZ84" s="74" t="n">
        <f aca="false">SQRT(($B84-BZ$5)^2+($C84-BZ$6)^2+($D84-BZ$7)^2)</f>
        <v>0.533111602997394</v>
      </c>
      <c r="CA84" s="74" t="n">
        <f aca="false">SQRT(($B84-CA$5)^2+($C84-CA$6)^2+($D84-CA$7)^2)</f>
        <v>1.4332770039221</v>
      </c>
      <c r="CB84" s="74" t="n">
        <f aca="false">SQRT(($B84-CB$5)^2+($C84-CB$6)^2+($D84-CB$7)^2)</f>
        <v>0.535175735727725</v>
      </c>
      <c r="CC84" s="74" t="n">
        <f aca="false">SQRT(($B84-CC$5)^2+($C84-CC$6)^2+($D84-CC$7)^2)</f>
        <v>1.4340460441817</v>
      </c>
      <c r="CD84" s="74" t="n">
        <f aca="false">SQRT(($B84-CD$5)^2+($C84-CD$6)^2+($D84-CD$7)^2)</f>
        <v>1.43643206332178</v>
      </c>
      <c r="CE84" s="74" t="n">
        <f aca="false">SQRT(($B84-CE$5)^2+($C84-CE$6)^2+($D84-CE$7)^2)</f>
        <v>0.275572010867797</v>
      </c>
      <c r="CF84" s="74" t="n">
        <f aca="false">SQRT(($B84-CF$5)^2+($C84-CF$6)^2+($D84-CF$7)^2)</f>
        <v>0.560901648018041</v>
      </c>
      <c r="CG84" s="74" t="n">
        <f aca="false">SQRT(($B84-CG$5)^2+($C84-CG$6)^2+($D84-CG$7)^2)</f>
        <v>0.886411428851055</v>
      </c>
      <c r="CH84" s="74" t="n">
        <f aca="false">SQRT(($B84-CH$5)^2+($C84-CH$6)^2+($D84-CH$7)^2)</f>
        <v>0.713721930255777</v>
      </c>
      <c r="CI84" s="74" t="n">
        <f aca="false">SQRT(($B84-CI$5)^2+($C84-CI$6)^2+($D84-CI$7)^2)</f>
        <v>0.826973180549213</v>
      </c>
      <c r="CJ84" s="74" t="n">
        <f aca="false">SQRT(($B84-CJ$5)^2+($C84-CJ$6)^2+($D84-CJ$7)^2)</f>
        <v>1.14380817384435</v>
      </c>
      <c r="CK84" s="74" t="n">
        <f aca="false">SQRT(($B84-CK$5)^2+($C84-CK$6)^2+($D84-CK$7)^2)</f>
        <v>0.459942173928806</v>
      </c>
      <c r="CL84" s="74" t="n">
        <f aca="false">SQRT(($B84-CL$5)^2+($C84-CL$6)^2+($D84-CL$7)^2)</f>
        <v>1.47709423841616</v>
      </c>
      <c r="CM84" s="74" t="n">
        <f aca="false">SQRT(($B84-CM$5)^2+($C84-CM$6)^2+($D84-CM$7)^2)</f>
        <v>0.701886649511742</v>
      </c>
      <c r="CN84" s="74" t="n">
        <f aca="false">SQRT(($B84-CN$5)^2+($C84-CN$6)^2+($D84-CN$7)^2)</f>
        <v>0.760444642872645</v>
      </c>
      <c r="CO84" s="74" t="n">
        <f aca="false">SQRT(($B84-CO$5)^2+($C84-CO$6)^2+($D84-CO$7)^2)</f>
        <v>0.846092324424436</v>
      </c>
      <c r="CP84" s="74" t="n">
        <f aca="false">SQRT(($B84-CP$5)^2+($C84-CP$6)^2+($D84-CP$7)^2)</f>
        <v>1.50713693568279</v>
      </c>
      <c r="CQ84" s="74" t="n">
        <f aca="false">SQRT(($B84-CQ$5)^2+($C84-CQ$6)^2+($D84-CQ$7)^2)</f>
        <v>0.855552326413952</v>
      </c>
      <c r="CR84" s="74" t="n">
        <f aca="false">SQRT(($B84-CR$5)^2+($C84-CR$6)^2+($D84-CR$7)^2)</f>
        <v>0.81938131859538</v>
      </c>
      <c r="CS84" s="74" t="n">
        <f aca="false">SQRT(($B84-CS$5)^2+($C84-CS$6)^2+($D84-CS$7)^2)</f>
        <v>1.53640758448483</v>
      </c>
      <c r="CT84" s="74" t="n">
        <f aca="false">SQRT(($B84-CT$5)^2+($C84-CT$6)^2+($D84-CT$7)^2)</f>
        <v>1.55503989669021</v>
      </c>
      <c r="CU84" s="74" t="n">
        <f aca="false">SQRT(($B84-CU$5)^2+($C84-CU$6)^2+($D84-CU$7)^2)</f>
        <v>1.37021906472986</v>
      </c>
      <c r="CV84" s="74" t="n">
        <f aca="false">SQRT(($B84-CV$5)^2+($C84-CV$6)^2+($D84-CV$7)^2)</f>
        <v>0.60576880791779</v>
      </c>
      <c r="CW84" s="74" t="n">
        <f aca="false">SQRT(($B84-CW$5)^2+($C84-CW$6)^2+($D84-CW$7)^2)</f>
        <v>1.55503989669021</v>
      </c>
      <c r="CX84" s="74" t="n">
        <f aca="false">SQRT(($B84-CX$5)^2+($C84-CX$6)^2+($D84-CX$7)^2)</f>
        <v>0.734208047298474</v>
      </c>
      <c r="CY84" s="74" t="n">
        <f aca="false">SQRT(($B84-CY$5)^2+($C84-CY$6)^2+($D84-CY$7)^2)</f>
        <v>1.57719725172097</v>
      </c>
      <c r="CZ84" s="74" t="n">
        <f aca="false">SQRT(($B84-CZ$5)^2+($C84-CZ$6)^2+($D84-CZ$7)^2)</f>
        <v>1.57719725172097</v>
      </c>
      <c r="DA84" s="74" t="n">
        <f aca="false">SQRT(($B84-DA$5)^2+($C84-DA$6)^2+($D84-DA$7)^2)</f>
        <v>1.02953269275156</v>
      </c>
      <c r="DB84" s="74" t="n">
        <f aca="false">SQRT(($B84-DB$5)^2+($C84-DB$6)^2+($D84-DB$7)^2)</f>
        <v>1.60382535056818</v>
      </c>
      <c r="DC84" s="74" t="n">
        <f aca="false">SQRT(($B84-DC$5)^2+($C84-DC$6)^2+($D84-DC$7)^2)</f>
        <v>1.60382535056818</v>
      </c>
      <c r="DD84" s="74" t="n">
        <f aca="false">SQRT(($B84-DD$5)^2+($C84-DD$6)^2+($D84-DD$7)^2)</f>
        <v>1.17176479640355</v>
      </c>
      <c r="DE84" s="74" t="n">
        <f aca="false">SQRT(($B84-DE$5)^2+($C84-DE$6)^2+($D84-DE$7)^2)</f>
        <v>1.41200828309594</v>
      </c>
      <c r="DF84" s="74" t="n">
        <f aca="false">SQRT(($B84-DF$5)^2+($C84-DF$6)^2+($D84-DF$7)^2)</f>
        <v>1.79527241156601</v>
      </c>
      <c r="DG84" s="74" t="n">
        <f aca="false">SQRT(($B84-DG$5)^2+($C84-DG$6)^2+($D84-DG$7)^2)</f>
        <v>1.88931826315556</v>
      </c>
      <c r="DH84" s="74" t="n">
        <f aca="false">SQRT(($B84-DH$5)^2+($C84-DH$6)^2+($D84-DH$7)^2)</f>
        <v>1.88931826315556</v>
      </c>
      <c r="DI84" s="74" t="n">
        <f aca="false">SQRT(($B84-DI$5)^2+($C84-DI$6)^2+($D84-DI$7)^2)</f>
        <v>1.88931826315556</v>
      </c>
      <c r="DJ84" s="74" t="n">
        <f aca="false">SQRT(($B84-DJ$5)^2+($C84-DJ$6)^2+($D84-DJ$7)^2)</f>
        <v>1.88931826315556</v>
      </c>
      <c r="DK84" s="74" t="n">
        <f aca="false">SQRT(($B84-DK$5)^2+($C84-DK$6)^2+($D84-DK$7)^2)</f>
        <v>2.03323614442023</v>
      </c>
      <c r="DL84" s="74" t="n">
        <f aca="false">SQRT(($B84-DL$5)^2+($C84-DL$6)^2+($D84-DL$7)^2)</f>
        <v>2.03323614442023</v>
      </c>
      <c r="DM84" s="74" t="n">
        <f aca="false">SQRT(($B84-DM$5)^2+($C84-DM$6)^2+($D84-DM$7)^2)</f>
        <v>2.03323614442023</v>
      </c>
      <c r="DN84" s="74" t="n">
        <f aca="false">SQRT(($B84-DN$5)^2+($C84-DN$6)^2+($D84-DN$7)^2)</f>
        <v>2.03323614442023</v>
      </c>
      <c r="DO84" s="74" t="n">
        <f aca="false">SQRT(($B84-DO$5)^2+($C84-DO$6)^2+($D84-DO$7)^2)</f>
        <v>2.03323614442023</v>
      </c>
      <c r="DP84" s="74" t="n">
        <f aca="false">SQRT(($B84-DP$5)^2+($C84-DP$6)^2+($D84-DP$7)^2)</f>
        <v>2.30334415944853</v>
      </c>
      <c r="DQ84" s="74" t="n">
        <f aca="false">SQRT(($B84-DQ$5)^2+($C84-DQ$6)^2+($D84-DQ$7)^2)</f>
        <v>2.30334415944853</v>
      </c>
    </row>
    <row r="85" customFormat="false" ht="15" hidden="false" customHeight="false" outlineLevel="0" collapsed="false">
      <c r="A85" s="48" t="str">
        <f aca="false">KMeans_Data!A76</f>
        <v>Narowal</v>
      </c>
      <c r="B85" s="72" t="n">
        <f aca="false">KMeans_Data!H76</f>
        <v>-0.275926355545086</v>
      </c>
      <c r="C85" s="72" t="n">
        <f aca="false">KMeans_Data!I76</f>
        <v>-0.672650545388274</v>
      </c>
      <c r="D85" s="72" t="n">
        <f aca="false">KMeans_Data!J76</f>
        <v>-1.14564411633355</v>
      </c>
      <c r="E85" s="74" t="n">
        <f aca="false">SQRT(($B85-E$5)^2+($C85-E$6)^2+($D85-E$7)^2)</f>
        <v>7.35853028224167</v>
      </c>
      <c r="F85" s="74" t="n">
        <f aca="false">SQRT(($B85-F$5)^2+($C85-F$6)^2+($D85-F$7)^2)</f>
        <v>7.09906266777727</v>
      </c>
      <c r="G85" s="74" t="n">
        <f aca="false">SQRT(($B85-G$5)^2+($C85-G$6)^2+($D85-G$7)^2)</f>
        <v>5.30567546103081</v>
      </c>
      <c r="H85" s="74" t="n">
        <f aca="false">SQRT(($B85-H$5)^2+($C85-H$6)^2+($D85-H$7)^2)</f>
        <v>5.70613709134531</v>
      </c>
      <c r="I85" s="74" t="n">
        <f aca="false">SQRT(($B85-I$5)^2+($C85-I$6)^2+($D85-I$7)^2)</f>
        <v>4.64381158930507</v>
      </c>
      <c r="J85" s="74" t="n">
        <f aca="false">SQRT(($B85-J$5)^2+($C85-J$6)^2+($D85-J$7)^2)</f>
        <v>4.27384369921306</v>
      </c>
      <c r="K85" s="74" t="n">
        <f aca="false">SQRT(($B85-K$5)^2+($C85-K$6)^2+($D85-K$7)^2)</f>
        <v>1.84577006644803</v>
      </c>
      <c r="L85" s="74" t="n">
        <f aca="false">SQRT(($B85-L$5)^2+($C85-L$6)^2+($D85-L$7)^2)</f>
        <v>3.551856904253</v>
      </c>
      <c r="M85" s="74" t="n">
        <f aca="false">SQRT(($B85-M$5)^2+($C85-M$6)^2+($D85-M$7)^2)</f>
        <v>3.73896814779247</v>
      </c>
      <c r="N85" s="74" t="n">
        <f aca="false">SQRT(($B85-N$5)^2+($C85-N$6)^2+($D85-N$7)^2)</f>
        <v>1.60074892905171</v>
      </c>
      <c r="O85" s="74" t="n">
        <f aca="false">SQRT(($B85-O$5)^2+($C85-O$6)^2+($D85-O$7)^2)</f>
        <v>3.34342382857957</v>
      </c>
      <c r="P85" s="74" t="n">
        <f aca="false">SQRT(($B85-P$5)^2+($C85-P$6)^2+($D85-P$7)^2)</f>
        <v>3.64348757382652</v>
      </c>
      <c r="Q85" s="74" t="n">
        <f aca="false">SQRT(($B85-Q$5)^2+($C85-Q$6)^2+($D85-Q$7)^2)</f>
        <v>3.07744449535576</v>
      </c>
      <c r="R85" s="74" t="n">
        <f aca="false">SQRT(($B85-R$5)^2+($C85-R$6)^2+($D85-R$7)^2)</f>
        <v>3.11025341577251</v>
      </c>
      <c r="S85" s="74" t="n">
        <f aca="false">SQRT(($B85-S$5)^2+($C85-S$6)^2+($D85-S$7)^2)</f>
        <v>2.69667924869801</v>
      </c>
      <c r="T85" s="74" t="n">
        <f aca="false">SQRT(($B85-T$5)^2+($C85-T$6)^2+($D85-T$7)^2)</f>
        <v>2.98725860317003</v>
      </c>
      <c r="U85" s="74" t="n">
        <f aca="false">SQRT(($B85-U$5)^2+($C85-U$6)^2+($D85-U$7)^2)</f>
        <v>3.14459561188899</v>
      </c>
      <c r="V85" s="74" t="n">
        <f aca="false">SQRT(($B85-V$5)^2+($C85-V$6)^2+($D85-V$7)^2)</f>
        <v>2.93323434776873</v>
      </c>
      <c r="W85" s="74" t="n">
        <f aca="false">SQRT(($B85-W$5)^2+($C85-W$6)^2+($D85-W$7)^2)</f>
        <v>3.13279983402496</v>
      </c>
      <c r="X85" s="74" t="n">
        <f aca="false">SQRT(($B85-X$5)^2+($C85-X$6)^2+($D85-X$7)^2)</f>
        <v>2.86174933346022</v>
      </c>
      <c r="Y85" s="74" t="n">
        <f aca="false">SQRT(($B85-Y$5)^2+($C85-Y$6)^2+($D85-Y$7)^2)</f>
        <v>3.02343804742298</v>
      </c>
      <c r="Z85" s="74" t="n">
        <f aca="false">SQRT(($B85-Z$5)^2+($C85-Z$6)^2+($D85-Z$7)^2)</f>
        <v>2.533037446398</v>
      </c>
      <c r="AA85" s="74" t="n">
        <f aca="false">SQRT(($B85-AA$5)^2+($C85-AA$6)^2+($D85-AA$7)^2)</f>
        <v>2.49978554435267</v>
      </c>
      <c r="AB85" s="74" t="n">
        <f aca="false">SQRT(($B85-AB$5)^2+($C85-AB$6)^2+($D85-AB$7)^2)</f>
        <v>2.4286598662798</v>
      </c>
      <c r="AC85" s="74" t="n">
        <f aca="false">SQRT(($B85-AC$5)^2+($C85-AC$6)^2+($D85-AC$7)^2)</f>
        <v>2.96727828874452</v>
      </c>
      <c r="AD85" s="74" t="n">
        <f aca="false">SQRT(($B85-AD$5)^2+($C85-AD$6)^2+($D85-AD$7)^2)</f>
        <v>3.00371719043216</v>
      </c>
      <c r="AE85" s="74" t="n">
        <f aca="false">SQRT(($B85-AE$5)^2+($C85-AE$6)^2+($D85-AE$7)^2)</f>
        <v>1.06097677058026</v>
      </c>
      <c r="AF85" s="74" t="n">
        <f aca="false">SQRT(($B85-AF$5)^2+($C85-AF$6)^2+($D85-AF$7)^2)</f>
        <v>2.58721141785155</v>
      </c>
      <c r="AG85" s="74" t="n">
        <f aca="false">SQRT(($B85-AG$5)^2+($C85-AG$6)^2+($D85-AG$7)^2)</f>
        <v>1.13357195115628</v>
      </c>
      <c r="AH85" s="74" t="n">
        <f aca="false">SQRT(($B85-AH$5)^2+($C85-AH$6)^2+($D85-AH$7)^2)</f>
        <v>2.26649202482293</v>
      </c>
      <c r="AI85" s="74" t="n">
        <f aca="false">SQRT(($B85-AI$5)^2+($C85-AI$6)^2+($D85-AI$7)^2)</f>
        <v>1.13119112393919</v>
      </c>
      <c r="AJ85" s="74" t="n">
        <f aca="false">SQRT(($B85-AJ$5)^2+($C85-AJ$6)^2+($D85-AJ$7)^2)</f>
        <v>2.70295377736331</v>
      </c>
      <c r="AK85" s="74" t="n">
        <f aca="false">SQRT(($B85-AK$5)^2+($C85-AK$6)^2+($D85-AK$7)^2)</f>
        <v>1.9516841276218</v>
      </c>
      <c r="AL85" s="74" t="n">
        <f aca="false">SQRT(($B85-AL$5)^2+($C85-AL$6)^2+($D85-AL$7)^2)</f>
        <v>1.93313421073838</v>
      </c>
      <c r="AM85" s="74" t="n">
        <f aca="false">SQRT(($B85-AM$5)^2+($C85-AM$6)^2+($D85-AM$7)^2)</f>
        <v>2.62821350690501</v>
      </c>
      <c r="AN85" s="74" t="n">
        <f aca="false">SQRT(($B85-AN$5)^2+($C85-AN$6)^2+($D85-AN$7)^2)</f>
        <v>2.70530485999387</v>
      </c>
      <c r="AO85" s="74" t="n">
        <f aca="false">SQRT(($B85-AO$5)^2+($C85-AO$6)^2+($D85-AO$7)^2)</f>
        <v>2.10940084304273</v>
      </c>
      <c r="AP85" s="74" t="n">
        <f aca="false">SQRT(($B85-AP$5)^2+($C85-AP$6)^2+($D85-AP$7)^2)</f>
        <v>2.04488043022277</v>
      </c>
      <c r="AQ85" s="74" t="n">
        <f aca="false">SQRT(($B85-AQ$5)^2+($C85-AQ$6)^2+($D85-AQ$7)^2)</f>
        <v>2.72005891994043</v>
      </c>
      <c r="AR85" s="74" t="n">
        <f aca="false">SQRT(($B85-AR$5)^2+($C85-AR$6)^2+($D85-AR$7)^2)</f>
        <v>1.50861220101438</v>
      </c>
      <c r="AS85" s="74" t="n">
        <f aca="false">SQRT(($B85-AS$5)^2+($C85-AS$6)^2+($D85-AS$7)^2)</f>
        <v>2.23665691932665</v>
      </c>
      <c r="AT85" s="74" t="n">
        <f aca="false">SQRT(($B85-AT$5)^2+($C85-AT$6)^2+($D85-AT$7)^2)</f>
        <v>2.06504619106354</v>
      </c>
      <c r="AU85" s="74" t="n">
        <f aca="false">SQRT(($B85-AU$5)^2+($C85-AU$6)^2+($D85-AU$7)^2)</f>
        <v>0.908383020566315</v>
      </c>
      <c r="AV85" s="74" t="n">
        <f aca="false">SQRT(($B85-AV$5)^2+($C85-AV$6)^2+($D85-AV$7)^2)</f>
        <v>1.74382656712172</v>
      </c>
      <c r="AW85" s="74" t="n">
        <f aca="false">SQRT(($B85-AW$5)^2+($C85-AW$6)^2+($D85-AW$7)^2)</f>
        <v>0.606565986483053</v>
      </c>
      <c r="AX85" s="74" t="n">
        <f aca="false">SQRT(($B85-AX$5)^2+($C85-AX$6)^2+($D85-AX$7)^2)</f>
        <v>1.81251568376892</v>
      </c>
      <c r="AY85" s="74" t="n">
        <f aca="false">SQRT(($B85-AY$5)^2+($C85-AY$6)^2+($D85-AY$7)^2)</f>
        <v>0.476901853327045</v>
      </c>
      <c r="AZ85" s="74" t="n">
        <f aca="false">SQRT(($B85-AZ$5)^2+($C85-AZ$6)^2+($D85-AZ$7)^2)</f>
        <v>2.22975688052088</v>
      </c>
      <c r="BA85" s="74" t="n">
        <f aca="false">SQRT(($B85-BA$5)^2+($C85-BA$6)^2+($D85-BA$7)^2)</f>
        <v>2.06561855489525</v>
      </c>
      <c r="BB85" s="74" t="n">
        <f aca="false">SQRT(($B85-BB$5)^2+($C85-BB$6)^2+($D85-BB$7)^2)</f>
        <v>0.470354974330705</v>
      </c>
      <c r="BC85" s="74" t="n">
        <f aca="false">SQRT(($B85-BC$5)^2+($C85-BC$6)^2+($D85-BC$7)^2)</f>
        <v>0.463724693360372</v>
      </c>
      <c r="BD85" s="74" t="n">
        <f aca="false">SQRT(($B85-BD$5)^2+($C85-BD$6)^2+($D85-BD$7)^2)</f>
        <v>0.780511341602116</v>
      </c>
      <c r="BE85" s="74" t="n">
        <f aca="false">SQRT(($B85-BE$5)^2+($C85-BE$6)^2+($D85-BE$7)^2)</f>
        <v>0.998671104469197</v>
      </c>
      <c r="BF85" s="74" t="n">
        <f aca="false">SQRT(($B85-BF$5)^2+($C85-BF$6)^2+($D85-BF$7)^2)</f>
        <v>2.84072965096213</v>
      </c>
      <c r="BG85" s="74" t="n">
        <f aca="false">SQRT(($B85-BG$5)^2+($C85-BG$6)^2+($D85-BG$7)^2)</f>
        <v>1.87879959129371</v>
      </c>
      <c r="BH85" s="74" t="n">
        <f aca="false">SQRT(($B85-BH$5)^2+($C85-BH$6)^2+($D85-BH$7)^2)</f>
        <v>0.360762325251647</v>
      </c>
      <c r="BI85" s="74" t="n">
        <f aca="false">SQRT(($B85-BI$5)^2+($C85-BI$6)^2+($D85-BI$7)^2)</f>
        <v>0.344238079681712</v>
      </c>
      <c r="BJ85" s="74" t="n">
        <f aca="false">SQRT(($B85-BJ$5)^2+($C85-BJ$6)^2+($D85-BJ$7)^2)</f>
        <v>1.70469067308009</v>
      </c>
      <c r="BK85" s="74" t="n">
        <f aca="false">SQRT(($B85-BK$5)^2+($C85-BK$6)^2+($D85-BK$7)^2)</f>
        <v>0.797292434175297</v>
      </c>
      <c r="BL85" s="74" t="n">
        <f aca="false">SQRT(($B85-BL$5)^2+($C85-BL$6)^2+($D85-BL$7)^2)</f>
        <v>1.53413779050163</v>
      </c>
      <c r="BM85" s="74" t="n">
        <f aca="false">SQRT(($B85-BM$5)^2+($C85-BM$6)^2+($D85-BM$7)^2)</f>
        <v>2.06468595873121</v>
      </c>
      <c r="BN85" s="74" t="n">
        <f aca="false">SQRT(($B85-BN$5)^2+($C85-BN$6)^2+($D85-BN$7)^2)</f>
        <v>1.46997381540136</v>
      </c>
      <c r="BO85" s="74" t="n">
        <f aca="false">SQRT(($B85-BO$5)^2+($C85-BO$6)^2+($D85-BO$7)^2)</f>
        <v>0.384321359093681</v>
      </c>
      <c r="BP85" s="74" t="n">
        <f aca="false">SQRT(($B85-BP$5)^2+($C85-BP$6)^2+($D85-BP$7)^2)</f>
        <v>1.64803351265812</v>
      </c>
      <c r="BQ85" s="74" t="n">
        <f aca="false">SQRT(($B85-BQ$5)^2+($C85-BQ$6)^2+($D85-BQ$7)^2)</f>
        <v>1.62367591937815</v>
      </c>
      <c r="BR85" s="74" t="n">
        <f aca="false">SQRT(($B85-BR$5)^2+($C85-BR$6)^2+($D85-BR$7)^2)</f>
        <v>1.6674526968211</v>
      </c>
      <c r="BS85" s="74" t="n">
        <f aca="false">SQRT(($B85-BS$5)^2+($C85-BS$6)^2+($D85-BS$7)^2)</f>
        <v>1.74594453975062</v>
      </c>
      <c r="BT85" s="74" t="n">
        <f aca="false">SQRT(($B85-BT$5)^2+($C85-BT$6)^2+($D85-BT$7)^2)</f>
        <v>1.34077415222819</v>
      </c>
      <c r="BU85" s="74" t="n">
        <f aca="false">SQRT(($B85-BU$5)^2+($C85-BU$6)^2+($D85-BU$7)^2)</f>
        <v>1.25638229351009</v>
      </c>
      <c r="BV85" s="74" t="n">
        <f aca="false">SQRT(($B85-BV$5)^2+($C85-BV$6)^2+($D85-BV$7)^2)</f>
        <v>0.0160157257272548</v>
      </c>
      <c r="BW85" s="74" t="n">
        <f aca="false">SQRT(($B85-BW$5)^2+($C85-BW$6)^2+($D85-BW$7)^2)</f>
        <v>1.43236096492513</v>
      </c>
      <c r="BX85" s="74" t="n">
        <f aca="false">SQRT(($B85-BX$5)^2+($C85-BX$6)^2+($D85-BX$7)^2)</f>
        <v>0</v>
      </c>
      <c r="BY85" s="74" t="n">
        <f aca="false">SQRT(($B85-BY$5)^2+($C85-BY$6)^2+($D85-BY$7)^2)</f>
        <v>0.964179594340494</v>
      </c>
      <c r="BZ85" s="74" t="n">
        <f aca="false">SQRT(($B85-BZ$5)^2+($C85-BZ$6)^2+($D85-BZ$7)^2)</f>
        <v>0.903171471667466</v>
      </c>
      <c r="CA85" s="74" t="n">
        <f aca="false">SQRT(($B85-CA$5)^2+($C85-CA$6)^2+($D85-CA$7)^2)</f>
        <v>0.0512351064277021</v>
      </c>
      <c r="CB85" s="74" t="n">
        <f aca="false">SQRT(($B85-CB$5)^2+($C85-CB$6)^2+($D85-CB$7)^2)</f>
        <v>0.904391394306268</v>
      </c>
      <c r="CC85" s="74" t="n">
        <f aca="false">SQRT(($B85-CC$5)^2+($C85-CC$6)^2+($D85-CC$7)^2)</f>
        <v>0.0694990862667838</v>
      </c>
      <c r="CD85" s="74" t="n">
        <f aca="false">SQRT(($B85-CD$5)^2+($C85-CD$6)^2+($D85-CD$7)^2)</f>
        <v>0.108070063836459</v>
      </c>
      <c r="CE85" s="74" t="n">
        <f aca="false">SQRT(($B85-CE$5)^2+($C85-CE$6)^2+($D85-CE$7)^2)</f>
        <v>1.19549847299486</v>
      </c>
      <c r="CF85" s="74" t="n">
        <f aca="false">SQRT(($B85-CF$5)^2+($C85-CF$6)^2+($D85-CF$7)^2)</f>
        <v>1.39410390340004</v>
      </c>
      <c r="CG85" s="74" t="n">
        <f aca="false">SQRT(($B85-CG$5)^2+($C85-CG$6)^2+($D85-CG$7)^2)</f>
        <v>0.933045407580076</v>
      </c>
      <c r="CH85" s="74" t="n">
        <f aca="false">SQRT(($B85-CH$5)^2+($C85-CH$6)^2+($D85-CH$7)^2)</f>
        <v>0.770874506736688</v>
      </c>
      <c r="CI85" s="74" t="n">
        <f aca="false">SQRT(($B85-CI$5)^2+($C85-CI$6)^2+($D85-CI$7)^2)</f>
        <v>0.687395949791673</v>
      </c>
      <c r="CJ85" s="74" t="n">
        <f aca="false">SQRT(($B85-CJ$5)^2+($C85-CJ$6)^2+($D85-CJ$7)^2)</f>
        <v>0.420455047363793</v>
      </c>
      <c r="CK85" s="74" t="n">
        <f aca="false">SQRT(($B85-CK$5)^2+($C85-CK$6)^2+($D85-CK$7)^2)</f>
        <v>1.15890530029758</v>
      </c>
      <c r="CL85" s="74" t="n">
        <f aca="false">SQRT(($B85-CL$5)^2+($C85-CL$6)^2+($D85-CL$7)^2)</f>
        <v>0.360762325251648</v>
      </c>
      <c r="CM85" s="74" t="n">
        <f aca="false">SQRT(($B85-CM$5)^2+($C85-CM$6)^2+($D85-CM$7)^2)</f>
        <v>0.905274936773389</v>
      </c>
      <c r="CN85" s="74" t="n">
        <f aca="false">SQRT(($B85-CN$5)^2+($C85-CN$6)^2+($D85-CN$7)^2)</f>
        <v>1.89975954463973</v>
      </c>
      <c r="CO85" s="74" t="n">
        <f aca="false">SQRT(($B85-CO$5)^2+($C85-CO$6)^2+($D85-CO$7)^2)</f>
        <v>1.19358452320481</v>
      </c>
      <c r="CP85" s="74" t="n">
        <f aca="false">SQRT(($B85-CP$5)^2+($C85-CP$6)^2+($D85-CP$7)^2)</f>
        <v>0.468832389088106</v>
      </c>
      <c r="CQ85" s="74" t="n">
        <f aca="false">SQRT(($B85-CQ$5)^2+($C85-CQ$6)^2+($D85-CQ$7)^2)</f>
        <v>0.903780003452624</v>
      </c>
      <c r="CR85" s="74" t="n">
        <f aca="false">SQRT(($B85-CR$5)^2+($C85-CR$6)^2+($D85-CR$7)^2)</f>
        <v>0.999131416606618</v>
      </c>
      <c r="CS85" s="74" t="n">
        <f aca="false">SQRT(($B85-CS$5)^2+($C85-CS$6)^2+($D85-CS$7)^2)</f>
        <v>0.555779031469576</v>
      </c>
      <c r="CT85" s="74" t="n">
        <f aca="false">SQRT(($B85-CT$5)^2+($C85-CT$6)^2+($D85-CT$7)^2)</f>
        <v>0.605385122427897</v>
      </c>
      <c r="CU85" s="74" t="n">
        <f aca="false">SQRT(($B85-CU$5)^2+($C85-CU$6)^2+($D85-CU$7)^2)</f>
        <v>0.863704575447933</v>
      </c>
      <c r="CV85" s="74" t="n">
        <f aca="false">SQRT(($B85-CV$5)^2+($C85-CV$6)^2+($D85-CV$7)^2)</f>
        <v>1.53520653617563</v>
      </c>
      <c r="CW85" s="74" t="n">
        <f aca="false">SQRT(($B85-CW$5)^2+($C85-CW$6)^2+($D85-CW$7)^2)</f>
        <v>0.605385122427897</v>
      </c>
      <c r="CX85" s="74" t="n">
        <f aca="false">SQRT(($B85-CX$5)^2+($C85-CX$6)^2+($D85-CX$7)^2)</f>
        <v>1.292507697624</v>
      </c>
      <c r="CY85" s="74" t="n">
        <f aca="false">SQRT(($B85-CY$5)^2+($C85-CY$6)^2+($D85-CY$7)^2)</f>
        <v>0.660222111864577</v>
      </c>
      <c r="CZ85" s="74" t="n">
        <f aca="false">SQRT(($B85-CZ$5)^2+($C85-CZ$6)^2+($D85-CZ$7)^2)</f>
        <v>0.660222111864577</v>
      </c>
      <c r="DA85" s="74" t="n">
        <f aca="false">SQRT(($B85-DA$5)^2+($C85-DA$6)^2+($D85-DA$7)^2)</f>
        <v>0.921176484657845</v>
      </c>
      <c r="DB85" s="74" t="n">
        <f aca="false">SQRT(($B85-DB$5)^2+($C85-DB$6)^2+($D85-DB$7)^2)</f>
        <v>0.721524650503295</v>
      </c>
      <c r="DC85" s="74" t="n">
        <f aca="false">SQRT(($B85-DC$5)^2+($C85-DC$6)^2+($D85-DC$7)^2)</f>
        <v>0.721524650503295</v>
      </c>
      <c r="DD85" s="74" t="n">
        <f aca="false">SQRT(($B85-DD$5)^2+($C85-DD$6)^2+($D85-DD$7)^2)</f>
        <v>0.883044358079541</v>
      </c>
      <c r="DE85" s="74" t="n">
        <f aca="false">SQRT(($B85-DE$5)^2+($C85-DE$6)^2+($D85-DE$7)^2)</f>
        <v>0.928575629570402</v>
      </c>
      <c r="DF85" s="74" t="n">
        <f aca="false">SQRT(($B85-DF$5)^2+($C85-DF$6)^2+($D85-DF$7)^2)</f>
        <v>1.08228697575494</v>
      </c>
      <c r="DG85" s="74" t="n">
        <f aca="false">SQRT(($B85-DG$5)^2+($C85-DG$6)^2+($D85-DG$7)^2)</f>
        <v>1.23201686906141</v>
      </c>
      <c r="DH85" s="74" t="n">
        <f aca="false">SQRT(($B85-DH$5)^2+($C85-DH$6)^2+($D85-DH$7)^2)</f>
        <v>1.23201686906141</v>
      </c>
      <c r="DI85" s="74" t="n">
        <f aca="false">SQRT(($B85-DI$5)^2+($C85-DI$6)^2+($D85-DI$7)^2)</f>
        <v>1.23201686906141</v>
      </c>
      <c r="DJ85" s="74" t="n">
        <f aca="false">SQRT(($B85-DJ$5)^2+($C85-DJ$6)^2+($D85-DJ$7)^2)</f>
        <v>1.23201686906141</v>
      </c>
      <c r="DK85" s="74" t="n">
        <f aca="false">SQRT(($B85-DK$5)^2+($C85-DK$6)^2+($D85-DK$7)^2)</f>
        <v>1.44304930100659</v>
      </c>
      <c r="DL85" s="74" t="n">
        <f aca="false">SQRT(($B85-DL$5)^2+($C85-DL$6)^2+($D85-DL$7)^2)</f>
        <v>1.44304930100659</v>
      </c>
      <c r="DM85" s="74" t="n">
        <f aca="false">SQRT(($B85-DM$5)^2+($C85-DM$6)^2+($D85-DM$7)^2)</f>
        <v>1.44304930100659</v>
      </c>
      <c r="DN85" s="74" t="n">
        <f aca="false">SQRT(($B85-DN$5)^2+($C85-DN$6)^2+($D85-DN$7)^2)</f>
        <v>1.44304930100659</v>
      </c>
      <c r="DO85" s="74" t="n">
        <f aca="false">SQRT(($B85-DO$5)^2+($C85-DO$6)^2+($D85-DO$7)^2)</f>
        <v>1.44304930100659</v>
      </c>
      <c r="DP85" s="74" t="n">
        <f aca="false">SQRT(($B85-DP$5)^2+($C85-DP$6)^2+($D85-DP$7)^2)</f>
        <v>1.80381162625824</v>
      </c>
      <c r="DQ85" s="74" t="n">
        <f aca="false">SQRT(($B85-DQ$5)^2+($C85-DQ$6)^2+($D85-DQ$7)^2)</f>
        <v>1.80381162625824</v>
      </c>
    </row>
    <row r="86" customFormat="false" ht="15" hidden="false" customHeight="false" outlineLevel="0" collapsed="false">
      <c r="A86" s="48" t="str">
        <f aca="false">KMeans_Data!A77</f>
        <v>Mandi Bahauddin</v>
      </c>
      <c r="B86" s="72" t="n">
        <f aca="false">KMeans_Data!H77</f>
        <v>-0.309516720776153</v>
      </c>
      <c r="C86" s="72" t="n">
        <f aca="false">KMeans_Data!I77</f>
        <v>-0.672650545388274</v>
      </c>
      <c r="D86" s="72" t="n">
        <f aca="false">KMeans_Data!J77</f>
        <v>-0.182049815029191</v>
      </c>
      <c r="E86" s="74" t="n">
        <f aca="false">SQRT(($B86-E$5)^2+($C86-E$6)^2+($D86-E$7)^2)</f>
        <v>6.84395018685736</v>
      </c>
      <c r="F86" s="74" t="n">
        <f aca="false">SQRT(($B86-F$5)^2+($C86-F$6)^2+($D86-F$7)^2)</f>
        <v>6.64751768247385</v>
      </c>
      <c r="G86" s="74" t="n">
        <f aca="false">SQRT(($B86-G$5)^2+($C86-G$6)^2+($D86-G$7)^2)</f>
        <v>4.74103083830576</v>
      </c>
      <c r="H86" s="74" t="n">
        <f aca="false">SQRT(($B86-H$5)^2+($C86-H$6)^2+($D86-H$7)^2)</f>
        <v>5.31953213652819</v>
      </c>
      <c r="I86" s="74" t="n">
        <f aca="false">SQRT(($B86-I$5)^2+($C86-I$6)^2+($D86-I$7)^2)</f>
        <v>4.14507453887677</v>
      </c>
      <c r="J86" s="74" t="n">
        <f aca="false">SQRT(($B86-J$5)^2+($C86-J$6)^2+($D86-J$7)^2)</f>
        <v>3.7847885908468</v>
      </c>
      <c r="K86" s="74" t="n">
        <f aca="false">SQRT(($B86-K$5)^2+($C86-K$6)^2+($D86-K$7)^2)</f>
        <v>1.95602257083014</v>
      </c>
      <c r="L86" s="74" t="n">
        <f aca="false">SQRT(($B86-L$5)^2+($C86-L$6)^2+($D86-L$7)^2)</f>
        <v>2.84995822826873</v>
      </c>
      <c r="M86" s="74" t="n">
        <f aca="false">SQRT(($B86-M$5)^2+($C86-M$6)^2+($D86-M$7)^2)</f>
        <v>3.08823742329337</v>
      </c>
      <c r="N86" s="74" t="n">
        <f aca="false">SQRT(($B86-N$5)^2+($C86-N$6)^2+($D86-N$7)^2)</f>
        <v>1.72403227360299</v>
      </c>
      <c r="O86" s="74" t="n">
        <f aca="false">SQRT(($B86-O$5)^2+($C86-O$6)^2+($D86-O$7)^2)</f>
        <v>2.84441751670586</v>
      </c>
      <c r="P86" s="74" t="n">
        <f aca="false">SQRT(($B86-P$5)^2+($C86-P$6)^2+($D86-P$7)^2)</f>
        <v>3.13723259849966</v>
      </c>
      <c r="Q86" s="74" t="n">
        <f aca="false">SQRT(($B86-Q$5)^2+($C86-Q$6)^2+($D86-Q$7)^2)</f>
        <v>2.4897169892689</v>
      </c>
      <c r="R86" s="74" t="n">
        <f aca="false">SQRT(($B86-R$5)^2+($C86-R$6)^2+($D86-R$7)^2)</f>
        <v>2.37695713810837</v>
      </c>
      <c r="S86" s="74" t="n">
        <f aca="false">SQRT(($B86-S$5)^2+($C86-S$6)^2+($D86-S$7)^2)</f>
        <v>1.9573706492385</v>
      </c>
      <c r="T86" s="74" t="n">
        <f aca="false">SQRT(($B86-T$5)^2+($C86-T$6)^2+($D86-T$7)^2)</f>
        <v>2.409731739383</v>
      </c>
      <c r="U86" s="74" t="n">
        <f aca="false">SQRT(($B86-U$5)^2+($C86-U$6)^2+($D86-U$7)^2)</f>
        <v>2.37418981886246</v>
      </c>
      <c r="V86" s="74" t="n">
        <f aca="false">SQRT(($B86-V$5)^2+($C86-V$6)^2+($D86-V$7)^2)</f>
        <v>2.49195504695707</v>
      </c>
      <c r="W86" s="74" t="n">
        <f aca="false">SQRT(($B86-W$5)^2+($C86-W$6)^2+($D86-W$7)^2)</f>
        <v>2.60983808337024</v>
      </c>
      <c r="X86" s="74" t="n">
        <f aca="false">SQRT(($B86-X$5)^2+($C86-X$6)^2+($D86-X$7)^2)</f>
        <v>2.23350163779757</v>
      </c>
      <c r="Y86" s="74" t="n">
        <f aca="false">SQRT(($B86-Y$5)^2+($C86-Y$6)^2+($D86-Y$7)^2)</f>
        <v>2.34310272965894</v>
      </c>
      <c r="Z86" s="74" t="n">
        <f aca="false">SQRT(($B86-Z$5)^2+($C86-Z$6)^2+($D86-Z$7)^2)</f>
        <v>2.00442718717443</v>
      </c>
      <c r="AA86" s="74" t="n">
        <f aca="false">SQRT(($B86-AA$5)^2+($C86-AA$6)^2+($D86-AA$7)^2)</f>
        <v>1.78672651796699</v>
      </c>
      <c r="AB86" s="74" t="n">
        <f aca="false">SQRT(($B86-AB$5)^2+($C86-AB$6)^2+($D86-AB$7)^2)</f>
        <v>1.84542803505375</v>
      </c>
      <c r="AC86" s="74" t="n">
        <f aca="false">SQRT(($B86-AC$5)^2+($C86-AC$6)^2+($D86-AC$7)^2)</f>
        <v>2.48867143704469</v>
      </c>
      <c r="AD86" s="74" t="n">
        <f aca="false">SQRT(($B86-AD$5)^2+($C86-AD$6)^2+($D86-AD$7)^2)</f>
        <v>2.3122447728471</v>
      </c>
      <c r="AE86" s="74" t="n">
        <f aca="false">SQRT(($B86-AE$5)^2+($C86-AE$6)^2+($D86-AE$7)^2)</f>
        <v>1.45506966145696</v>
      </c>
      <c r="AF86" s="74" t="n">
        <f aca="false">SQRT(($B86-AF$5)^2+($C86-AF$6)^2+($D86-AF$7)^2)</f>
        <v>1.94720029550395</v>
      </c>
      <c r="AG86" s="74" t="n">
        <f aca="false">SQRT(($B86-AG$5)^2+($C86-AG$6)^2+($D86-AG$7)^2)</f>
        <v>0.91361007596133</v>
      </c>
      <c r="AH86" s="74" t="n">
        <f aca="false">SQRT(($B86-AH$5)^2+($C86-AH$6)^2+($D86-AH$7)^2)</f>
        <v>1.55239277190267</v>
      </c>
      <c r="AI86" s="74" t="n">
        <f aca="false">SQRT(($B86-AI$5)^2+($C86-AI$6)^2+($D86-AI$7)^2)</f>
        <v>0.910537645626376</v>
      </c>
      <c r="AJ86" s="74" t="n">
        <f aca="false">SQRT(($B86-AJ$5)^2+($C86-AJ$6)^2+($D86-AJ$7)^2)</f>
        <v>1.98457962467151</v>
      </c>
      <c r="AK86" s="74" t="n">
        <f aca="false">SQRT(($B86-AK$5)^2+($C86-AK$6)^2+($D86-AK$7)^2)</f>
        <v>1.42566970017062</v>
      </c>
      <c r="AL86" s="74" t="n">
        <f aca="false">SQRT(($B86-AL$5)^2+($C86-AL$6)^2+($D86-AL$7)^2)</f>
        <v>1.20251391844114</v>
      </c>
      <c r="AM86" s="74" t="n">
        <f aca="false">SQRT(($B86-AM$5)^2+($C86-AM$6)^2+($D86-AM$7)^2)</f>
        <v>2.25568710307007</v>
      </c>
      <c r="AN86" s="74" t="n">
        <f aca="false">SQRT(($B86-AN$5)^2+($C86-AN$6)^2+($D86-AN$7)^2)</f>
        <v>2.16853050003258</v>
      </c>
      <c r="AO86" s="74" t="n">
        <f aca="false">SQRT(($B86-AO$5)^2+($C86-AO$6)^2+($D86-AO$7)^2)</f>
        <v>1.47592054851174</v>
      </c>
      <c r="AP86" s="74" t="n">
        <f aca="false">SQRT(($B86-AP$5)^2+($C86-AP$6)^2+($D86-AP$7)^2)</f>
        <v>1.43648672619788</v>
      </c>
      <c r="AQ86" s="74" t="n">
        <f aca="false">SQRT(($B86-AQ$5)^2+($C86-AQ$6)^2+($D86-AQ$7)^2)</f>
        <v>2.22601658218636</v>
      </c>
      <c r="AR86" s="74" t="n">
        <f aca="false">SQRT(($B86-AR$5)^2+($C86-AR$6)^2+($D86-AR$7)^2)</f>
        <v>1.09269228276967</v>
      </c>
      <c r="AS86" s="74" t="n">
        <f aca="false">SQRT(($B86-AS$5)^2+($C86-AS$6)^2+($D86-AS$7)^2)</f>
        <v>1.34756702136486</v>
      </c>
      <c r="AT86" s="74" t="n">
        <f aca="false">SQRT(($B86-AT$5)^2+($C86-AT$6)^2+($D86-AT$7)^2)</f>
        <v>1.23733243685506</v>
      </c>
      <c r="AU86" s="74" t="n">
        <f aca="false">SQRT(($B86-AU$5)^2+($C86-AU$6)^2+($D86-AU$7)^2)</f>
        <v>0.899918001389057</v>
      </c>
      <c r="AV86" s="74" t="n">
        <f aca="false">SQRT(($B86-AV$5)^2+($C86-AV$6)^2+($D86-AV$7)^2)</f>
        <v>0.89783512899983</v>
      </c>
      <c r="AW86" s="74" t="n">
        <f aca="false">SQRT(($B86-AW$5)^2+($C86-AW$6)^2+($D86-AW$7)^2)</f>
        <v>0.844465875431556</v>
      </c>
      <c r="AX86" s="74" t="n">
        <f aca="false">SQRT(($B86-AX$5)^2+($C86-AX$6)^2+($D86-AX$7)^2)</f>
        <v>1.14266972964082</v>
      </c>
      <c r="AY86" s="74" t="n">
        <f aca="false">SQRT(($B86-AY$5)^2+($C86-AY$6)^2+($D86-AY$7)^2)</f>
        <v>1.09046608508226</v>
      </c>
      <c r="AZ86" s="74" t="n">
        <f aca="false">SQRT(($B86-AZ$5)^2+($C86-AZ$6)^2+($D86-AZ$7)^2)</f>
        <v>1.3174869250083</v>
      </c>
      <c r="BA86" s="74" t="n">
        <f aca="false">SQRT(($B86-BA$5)^2+($C86-BA$6)^2+($D86-BA$7)^2)</f>
        <v>1.21921483407763</v>
      </c>
      <c r="BB86" s="74" t="n">
        <f aca="false">SQRT(($B86-BB$5)^2+($C86-BB$6)^2+($D86-BB$7)^2)</f>
        <v>1.08741660957164</v>
      </c>
      <c r="BC86" s="74" t="n">
        <f aca="false">SQRT(($B86-BC$5)^2+($C86-BC$6)^2+($D86-BC$7)^2)</f>
        <v>1.0843598318861</v>
      </c>
      <c r="BD86" s="74" t="n">
        <f aca="false">SQRT(($B86-BD$5)^2+($C86-BD$6)^2+($D86-BD$7)^2)</f>
        <v>0.574981388768095</v>
      </c>
      <c r="BE86" s="74" t="n">
        <f aca="false">SQRT(($B86-BE$5)^2+($C86-BE$6)^2+($D86-BE$7)^2)</f>
        <v>0.466952166121487</v>
      </c>
      <c r="BF86" s="74" t="n">
        <f aca="false">SQRT(($B86-BF$5)^2+($C86-BF$6)^2+($D86-BF$7)^2)</f>
        <v>2.30797852774314</v>
      </c>
      <c r="BG86" s="74" t="n">
        <f aca="false">SQRT(($B86-BG$5)^2+($C86-BG$6)^2+($D86-BG$7)^2)</f>
        <v>1.04179373078656</v>
      </c>
      <c r="BH86" s="74" t="n">
        <f aca="false">SQRT(($B86-BH$5)^2+($C86-BH$6)^2+($D86-BH$7)^2)</f>
        <v>1.04116666389066</v>
      </c>
      <c r="BI86" s="74" t="n">
        <f aca="false">SQRT(($B86-BI$5)^2+($C86-BI$6)^2+($D86-BI$7)^2)</f>
        <v>1.03502092311772</v>
      </c>
      <c r="BJ86" s="74" t="n">
        <f aca="false">SQRT(($B86-BJ$5)^2+($C86-BJ$6)^2+($D86-BJ$7)^2)</f>
        <v>1.27932542376729</v>
      </c>
      <c r="BK86" s="74" t="n">
        <f aca="false">SQRT(($B86-BK$5)^2+($C86-BK$6)^2+($D86-BK$7)^2)</f>
        <v>0.383353151258838</v>
      </c>
      <c r="BL86" s="74" t="n">
        <f aca="false">SQRT(($B86-BL$5)^2+($C86-BL$6)^2+($D86-BL$7)^2)</f>
        <v>0.626019749551899</v>
      </c>
      <c r="BM86" s="74" t="n">
        <f aca="false">SQRT(($B86-BM$5)^2+($C86-BM$6)^2+($D86-BM$7)^2)</f>
        <v>1.42611132138465</v>
      </c>
      <c r="BN86" s="74" t="n">
        <f aca="false">SQRT(($B86-BN$5)^2+($C86-BN$6)^2+($D86-BN$7)^2)</f>
        <v>0.903030075521295</v>
      </c>
      <c r="BO86" s="74" t="n">
        <f aca="false">SQRT(($B86-BO$5)^2+($C86-BO$6)^2+($D86-BO$7)^2)</f>
        <v>0.687395949791673</v>
      </c>
      <c r="BP86" s="74" t="n">
        <f aca="false">SQRT(($B86-BP$5)^2+($C86-BP$6)^2+($D86-BP$7)^2)</f>
        <v>0.968861198958465</v>
      </c>
      <c r="BQ86" s="74" t="n">
        <f aca="false">SQRT(($B86-BQ$5)^2+($C86-BQ$6)^2+($D86-BQ$7)^2)</f>
        <v>0.7961036500249</v>
      </c>
      <c r="BR86" s="74" t="n">
        <f aca="false">SQRT(($B86-BR$5)^2+($C86-BR$6)^2+($D86-BR$7)^2)</f>
        <v>0.825916519438673</v>
      </c>
      <c r="BS86" s="74" t="n">
        <f aca="false">SQRT(($B86-BS$5)^2+($C86-BS$6)^2+($D86-BS$7)^2)</f>
        <v>0.791184723184379</v>
      </c>
      <c r="BT86" s="74" t="n">
        <f aca="false">SQRT(($B86-BT$5)^2+($C86-BT$6)^2+($D86-BT$7)^2)</f>
        <v>0.387573907905926</v>
      </c>
      <c r="BU86" s="74" t="n">
        <f aca="false">SQRT(($B86-BU$5)^2+($C86-BU$6)^2+($D86-BU$7)^2)</f>
        <v>0.306358323710005</v>
      </c>
      <c r="BV86" s="74" t="n">
        <f aca="false">SQRT(($B86-BV$5)^2+($C86-BV$6)^2+($D86-BV$7)^2)</f>
        <v>0.964870323808546</v>
      </c>
      <c r="BW86" s="74" t="n">
        <f aca="false">SQRT(($B86-BW$5)^2+($C86-BW$6)^2+($D86-BW$7)^2)</f>
        <v>0.469968613375938</v>
      </c>
      <c r="BX86" s="74" t="n">
        <f aca="false">SQRT(($B86-BX$5)^2+($C86-BX$6)^2+($D86-BX$7)^2)</f>
        <v>0.964179594340494</v>
      </c>
      <c r="BY86" s="74" t="n">
        <f aca="false">SQRT(($B86-BY$5)^2+($C86-BY$6)^2+($D86-BY$7)^2)</f>
        <v>0</v>
      </c>
      <c r="BZ86" s="74" t="n">
        <f aca="false">SQRT(($B86-BZ$5)^2+($C86-BZ$6)^2+($D86-BZ$7)^2)</f>
        <v>0.0643438331712339</v>
      </c>
      <c r="CA86" s="74" t="n">
        <f aca="false">SQRT(($B86-CA$5)^2+($C86-CA$6)^2+($D86-CA$7)^2)</f>
        <v>0.963755837542964</v>
      </c>
      <c r="CB86" s="74" t="n">
        <f aca="false">SQRT(($B86-CB$5)^2+($C86-CB$6)^2+($D86-CB$7)^2)</f>
        <v>0.0715417935314196</v>
      </c>
      <c r="CC86" s="74" t="n">
        <f aca="false">SQRT(($B86-CC$5)^2+($C86-CC$6)^2+($D86-CC$7)^2)</f>
        <v>0.964263145491242</v>
      </c>
      <c r="CD86" s="74" t="n">
        <f aca="false">SQRT(($B86-CD$5)^2+($C86-CD$6)^2+($D86-CD$7)^2)</f>
        <v>0.966468418009918</v>
      </c>
      <c r="CE86" s="74" t="n">
        <f aca="false">SQRT(($B86-CE$5)^2+($C86-CE$6)^2+($D86-CE$7)^2)</f>
        <v>0.24417334361017</v>
      </c>
      <c r="CF86" s="74" t="n">
        <f aca="false">SQRT(($B86-CF$5)^2+($C86-CF$6)^2+($D86-CF$7)^2)</f>
        <v>0.623296968063775</v>
      </c>
      <c r="CG86" s="74" t="n">
        <f aca="false">SQRT(($B86-CG$5)^2+($C86-CG$6)^2+($D86-CG$7)^2)</f>
        <v>0.591455434270346</v>
      </c>
      <c r="CH86" s="74" t="n">
        <f aca="false">SQRT(($B86-CH$5)^2+($C86-CH$6)^2+($D86-CH$7)^2)</f>
        <v>0.271096483301031</v>
      </c>
      <c r="CI86" s="74" t="n">
        <f aca="false">SQRT(($B86-CI$5)^2+($C86-CI$6)^2+($D86-CI$7)^2)</f>
        <v>0.384321359093681</v>
      </c>
      <c r="CJ86" s="74" t="n">
        <f aca="false">SQRT(($B86-CJ$5)^2+($C86-CJ$6)^2+($D86-CJ$7)^2)</f>
        <v>0.684972978957041</v>
      </c>
      <c r="CK86" s="74" t="n">
        <f aca="false">SQRT(($B86-CK$5)^2+($C86-CK$6)^2+($D86-CK$7)^2)</f>
        <v>0.330404107398663</v>
      </c>
      <c r="CL86" s="74" t="n">
        <f aca="false">SQRT(($B86-CL$5)^2+($C86-CL$6)^2+($D86-CL$7)^2)</f>
        <v>1.01762245893551</v>
      </c>
      <c r="CM86" s="74" t="n">
        <f aca="false">SQRT(($B86-CM$5)^2+($C86-CM$6)^2+($D86-CM$7)^2)</f>
        <v>0.35328862033704</v>
      </c>
      <c r="CN86" s="74" t="n">
        <f aca="false">SQRT(($B86-CN$5)^2+($C86-CN$6)^2+($D86-CN$7)^2)</f>
        <v>1.04435962219109</v>
      </c>
      <c r="CO86" s="74" t="n">
        <f aca="false">SQRT(($B86-CO$5)^2+($C86-CO$6)^2+($D86-CO$7)^2)</f>
        <v>0.682467469408549</v>
      </c>
      <c r="CP86" s="74" t="n">
        <f aca="false">SQRT(($B86-CP$5)^2+($C86-CP$6)^2+($D86-CP$7)^2)</f>
        <v>1.05733135621593</v>
      </c>
      <c r="CQ86" s="74" t="n">
        <f aca="false">SQRT(($B86-CQ$5)^2+($C86-CQ$6)^2+($D86-CQ$7)^2)</f>
        <v>0.52428066662862</v>
      </c>
      <c r="CR86" s="74" t="n">
        <f aca="false">SQRT(($B86-CR$5)^2+($C86-CR$6)^2+($D86-CR$7)^2)</f>
        <v>0.538936323682022</v>
      </c>
      <c r="CS86" s="74" t="n">
        <f aca="false">SQRT(($B86-CS$5)^2+($C86-CS$6)^2+($D86-CS$7)^2)</f>
        <v>1.09599041084044</v>
      </c>
      <c r="CT86" s="74" t="n">
        <f aca="false">SQRT(($B86-CT$5)^2+($C86-CT$6)^2+($D86-CT$7)^2)</f>
        <v>1.1204745520823</v>
      </c>
      <c r="CU86" s="74" t="n">
        <f aca="false">SQRT(($B86-CU$5)^2+($C86-CU$6)^2+($D86-CU$7)^2)</f>
        <v>1.00794263265286</v>
      </c>
      <c r="CV86" s="74" t="n">
        <f aca="false">SQRT(($B86-CV$5)^2+($C86-CV$6)^2+($D86-CV$7)^2)</f>
        <v>0.725910304601869</v>
      </c>
      <c r="CW86" s="74" t="n">
        <f aca="false">SQRT(($B86-CW$5)^2+($C86-CW$6)^2+($D86-CW$7)^2)</f>
        <v>1.1204745520823</v>
      </c>
      <c r="CX86" s="74" t="n">
        <f aca="false">SQRT(($B86-CX$5)^2+($C86-CX$6)^2+($D86-CX$7)^2)</f>
        <v>0.64377311743326</v>
      </c>
      <c r="CY86" s="74" t="n">
        <f aca="false">SQRT(($B86-CY$5)^2+($C86-CY$6)^2+($D86-CY$7)^2)</f>
        <v>1.14942651935442</v>
      </c>
      <c r="CZ86" s="74" t="n">
        <f aca="false">SQRT(($B86-CZ$5)^2+($C86-CZ$6)^2+($D86-CZ$7)^2)</f>
        <v>1.14942651935442</v>
      </c>
      <c r="DA86" s="74" t="n">
        <f aca="false">SQRT(($B86-DA$5)^2+($C86-DA$6)^2+($D86-DA$7)^2)</f>
        <v>0.704155924218408</v>
      </c>
      <c r="DB86" s="74" t="n">
        <f aca="false">SQRT(($B86-DB$5)^2+($C86-DB$6)^2+($D86-DB$7)^2)</f>
        <v>1.18396265074505</v>
      </c>
      <c r="DC86" s="74" t="n">
        <f aca="false">SQRT(($B86-DC$5)^2+($C86-DC$6)^2+($D86-DC$7)^2)</f>
        <v>1.18396265074505</v>
      </c>
      <c r="DD86" s="74" t="n">
        <f aca="false">SQRT(($B86-DD$5)^2+($C86-DD$6)^2+($D86-DD$7)^2)</f>
        <v>0.824518355313917</v>
      </c>
      <c r="DE86" s="74" t="n">
        <f aca="false">SQRT(($B86-DE$5)^2+($C86-DE$6)^2+($D86-DE$7)^2)</f>
        <v>1.05562974331229</v>
      </c>
      <c r="DF86" s="74" t="n">
        <f aca="false">SQRT(($B86-DF$5)^2+($C86-DF$6)^2+($D86-DF$7)^2)</f>
        <v>1.42417644919108</v>
      </c>
      <c r="DG86" s="74" t="n">
        <f aca="false">SQRT(($B86-DG$5)^2+($C86-DG$6)^2+($D86-DG$7)^2)</f>
        <v>1.53777113465862</v>
      </c>
      <c r="DH86" s="74" t="n">
        <f aca="false">SQRT(($B86-DH$5)^2+($C86-DH$6)^2+($D86-DH$7)^2)</f>
        <v>1.53777113465862</v>
      </c>
      <c r="DI86" s="74" t="n">
        <f aca="false">SQRT(($B86-DI$5)^2+($C86-DI$6)^2+($D86-DI$7)^2)</f>
        <v>1.53777113465862</v>
      </c>
      <c r="DJ86" s="74" t="n">
        <f aca="false">SQRT(($B86-DJ$5)^2+($C86-DJ$6)^2+($D86-DJ$7)^2)</f>
        <v>1.53777113465862</v>
      </c>
      <c r="DK86" s="74" t="n">
        <f aca="false">SQRT(($B86-DK$5)^2+($C86-DK$6)^2+($D86-DK$7)^2)</f>
        <v>1.70736301621644</v>
      </c>
      <c r="DL86" s="74" t="n">
        <f aca="false">SQRT(($B86-DL$5)^2+($C86-DL$6)^2+($D86-DL$7)^2)</f>
        <v>1.70736301621644</v>
      </c>
      <c r="DM86" s="74" t="n">
        <f aca="false">SQRT(($B86-DM$5)^2+($C86-DM$6)^2+($D86-DM$7)^2)</f>
        <v>1.70736301621644</v>
      </c>
      <c r="DN86" s="74" t="n">
        <f aca="false">SQRT(($B86-DN$5)^2+($C86-DN$6)^2+($D86-DN$7)^2)</f>
        <v>1.70736301621644</v>
      </c>
      <c r="DO86" s="74" t="n">
        <f aca="false">SQRT(($B86-DO$5)^2+($C86-DO$6)^2+($D86-DO$7)^2)</f>
        <v>1.70736301621644</v>
      </c>
      <c r="DP86" s="74" t="n">
        <f aca="false">SQRT(($B86-DP$5)^2+($C86-DP$6)^2+($D86-DP$7)^2)</f>
        <v>2.01548934269047</v>
      </c>
      <c r="DQ86" s="74" t="n">
        <f aca="false">SQRT(($B86-DQ$5)^2+($C86-DQ$6)^2+($D86-DQ$7)^2)</f>
        <v>2.01548934269047</v>
      </c>
    </row>
    <row r="87" customFormat="false" ht="15" hidden="false" customHeight="false" outlineLevel="0" collapsed="false">
      <c r="A87" s="48" t="str">
        <f aca="false">KMeans_Data!A78</f>
        <v>Ghanche</v>
      </c>
      <c r="B87" s="72" t="n">
        <f aca="false">KMeans_Data!H78</f>
        <v>-0.327161461972788</v>
      </c>
      <c r="C87" s="72" t="n">
        <f aca="false">KMeans_Data!I78</f>
        <v>-0.672650545388274</v>
      </c>
      <c r="D87" s="72" t="n">
        <f aca="false">KMeans_Data!J78</f>
        <v>-0.2439270481224</v>
      </c>
      <c r="E87" s="74" t="n">
        <f aca="false">SQRT(($B87-E$5)^2+($C87-E$6)^2+($D87-E$7)^2)</f>
        <v>6.88442683577779</v>
      </c>
      <c r="F87" s="74" t="n">
        <f aca="false">SQRT(($B87-F$5)^2+($C87-F$6)^2+($D87-F$7)^2)</f>
        <v>6.68382414741638</v>
      </c>
      <c r="G87" s="74" t="n">
        <f aca="false">SQRT(($B87-G$5)^2+($C87-G$6)^2+($D87-G$7)^2)</f>
        <v>4.78455832917128</v>
      </c>
      <c r="H87" s="74" t="n">
        <f aca="false">SQRT(($B87-H$5)^2+($C87-H$6)^2+($D87-H$7)^2)</f>
        <v>5.34983404000031</v>
      </c>
      <c r="I87" s="74" t="n">
        <f aca="false">SQRT(($B87-I$5)^2+($C87-I$6)^2+($D87-I$7)^2)</f>
        <v>4.18399385606726</v>
      </c>
      <c r="J87" s="74" t="n">
        <f aca="false">SQRT(($B87-J$5)^2+($C87-J$6)^2+($D87-J$7)^2)</f>
        <v>3.82015214158429</v>
      </c>
      <c r="K87" s="74" t="n">
        <f aca="false">SQRT(($B87-K$5)^2+($C87-K$6)^2+($D87-K$7)^2)</f>
        <v>1.95162938920968</v>
      </c>
      <c r="L87" s="74" t="n">
        <f aca="false">SQRT(($B87-L$5)^2+($C87-L$6)^2+($D87-L$7)^2)</f>
        <v>2.90166163542506</v>
      </c>
      <c r="M87" s="74" t="n">
        <f aca="false">SQRT(($B87-M$5)^2+($C87-M$6)^2+($D87-M$7)^2)</f>
        <v>3.13513375024946</v>
      </c>
      <c r="N87" s="74" t="n">
        <f aca="false">SQRT(($B87-N$5)^2+($C87-N$6)^2+($D87-N$7)^2)</f>
        <v>1.71762987002816</v>
      </c>
      <c r="O87" s="74" t="n">
        <f aca="false">SQRT(($B87-O$5)^2+($C87-O$6)^2+($D87-O$7)^2)</f>
        <v>2.87938946810038</v>
      </c>
      <c r="P87" s="74" t="n">
        <f aca="false">SQRT(($B87-P$5)^2+($C87-P$6)^2+($D87-P$7)^2)</f>
        <v>3.17238043847529</v>
      </c>
      <c r="Q87" s="74" t="n">
        <f aca="false">SQRT(($B87-Q$5)^2+($C87-Q$6)^2+($D87-Q$7)^2)</f>
        <v>2.53116365021271</v>
      </c>
      <c r="R87" s="74" t="n">
        <f aca="false">SQRT(($B87-R$5)^2+($C87-R$6)^2+($D87-R$7)^2)</f>
        <v>2.43024561524111</v>
      </c>
      <c r="S87" s="74" t="n">
        <f aca="false">SQRT(($B87-S$5)^2+($C87-S$6)^2+($D87-S$7)^2)</f>
        <v>2.01217885721037</v>
      </c>
      <c r="T87" s="74" t="n">
        <f aca="false">SQRT(($B87-T$5)^2+($C87-T$6)^2+($D87-T$7)^2)</f>
        <v>2.4499184773375</v>
      </c>
      <c r="U87" s="74" t="n">
        <f aca="false">SQRT(($B87-U$5)^2+($C87-U$6)^2+($D87-U$7)^2)</f>
        <v>2.42927132349142</v>
      </c>
      <c r="V87" s="74" t="n">
        <f aca="false">SQRT(($B87-V$5)^2+($C87-V$6)^2+($D87-V$7)^2)</f>
        <v>2.5207251233377</v>
      </c>
      <c r="W87" s="74" t="n">
        <f aca="false">SQRT(($B87-W$5)^2+($C87-W$6)^2+($D87-W$7)^2)</f>
        <v>2.64471420877972</v>
      </c>
      <c r="X87" s="74" t="n">
        <f aca="false">SQRT(($B87-X$5)^2+($C87-X$6)^2+($D87-X$7)^2)</f>
        <v>2.27686700902659</v>
      </c>
      <c r="Y87" s="74" t="n">
        <f aca="false">SQRT(($B87-Y$5)^2+($C87-Y$6)^2+($D87-Y$7)^2)</f>
        <v>2.39009703646686</v>
      </c>
      <c r="Z87" s="74" t="n">
        <f aca="false">SQRT(($B87-Z$5)^2+($C87-Z$6)^2+($D87-Z$7)^2)</f>
        <v>2.03950135290957</v>
      </c>
      <c r="AA87" s="74" t="n">
        <f aca="false">SQRT(($B87-AA$5)^2+($C87-AA$6)^2+($D87-AA$7)^2)</f>
        <v>1.83749766842741</v>
      </c>
      <c r="AB87" s="74" t="n">
        <f aca="false">SQRT(($B87-AB$5)^2+($C87-AB$6)^2+($D87-AB$7)^2)</f>
        <v>1.88504888913618</v>
      </c>
      <c r="AC87" s="74" t="n">
        <f aca="false">SQRT(($B87-AC$5)^2+($C87-AC$6)^2+($D87-AC$7)^2)</f>
        <v>2.51953147109304</v>
      </c>
      <c r="AD87" s="74" t="n">
        <f aca="false">SQRT(($B87-AD$5)^2+($C87-AD$6)^2+($D87-AD$7)^2)</f>
        <v>2.35950600005137</v>
      </c>
      <c r="AE87" s="74" t="n">
        <f aca="false">SQRT(($B87-AE$5)^2+($C87-AE$6)^2+($D87-AE$7)^2)</f>
        <v>1.42682406171352</v>
      </c>
      <c r="AF87" s="74" t="n">
        <f aca="false">SQRT(($B87-AF$5)^2+($C87-AF$6)^2+($D87-AF$7)^2)</f>
        <v>1.98959890198928</v>
      </c>
      <c r="AG87" s="74" t="n">
        <f aca="false">SQRT(($B87-AG$5)^2+($C87-AG$6)^2+($D87-AG$7)^2)</f>
        <v>0.918249232986363</v>
      </c>
      <c r="AH87" s="74" t="n">
        <f aca="false">SQRT(($B87-AH$5)^2+($C87-AH$6)^2+($D87-AH$7)^2)</f>
        <v>1.60144430251443</v>
      </c>
      <c r="AI87" s="74" t="n">
        <f aca="false">SQRT(($B87-AI$5)^2+($C87-AI$6)^2+($D87-AI$7)^2)</f>
        <v>0.91513137446549</v>
      </c>
      <c r="AJ87" s="74" t="n">
        <f aca="false">SQRT(($B87-AJ$5)^2+($C87-AJ$6)^2+($D87-AJ$7)^2)</f>
        <v>2.03322356257269</v>
      </c>
      <c r="AK87" s="74" t="n">
        <f aca="false">SQRT(($B87-AK$5)^2+($C87-AK$6)^2+($D87-AK$7)^2)</f>
        <v>1.45752151526231</v>
      </c>
      <c r="AL87" s="74" t="n">
        <f aca="false">SQRT(($B87-AL$5)^2+($C87-AL$6)^2+($D87-AL$7)^2)</f>
        <v>1.25261852122917</v>
      </c>
      <c r="AM87" s="74" t="n">
        <f aca="false">SQRT(($B87-AM$5)^2+($C87-AM$6)^2+($D87-AM$7)^2)</f>
        <v>2.27614912102783</v>
      </c>
      <c r="AN87" s="74" t="n">
        <f aca="false">SQRT(($B87-AN$5)^2+($C87-AN$6)^2+($D87-AN$7)^2)</f>
        <v>2.20117890189217</v>
      </c>
      <c r="AO87" s="74" t="n">
        <f aca="false">SQRT(($B87-AO$5)^2+($C87-AO$6)^2+($D87-AO$7)^2)</f>
        <v>1.51593141377614</v>
      </c>
      <c r="AP87" s="74" t="n">
        <f aca="false">SQRT(($B87-AP$5)^2+($C87-AP$6)^2+($D87-AP$7)^2)</f>
        <v>1.47417710208381</v>
      </c>
      <c r="AQ87" s="74" t="n">
        <f aca="false">SQRT(($B87-AQ$5)^2+($C87-AQ$6)^2+($D87-AQ$7)^2)</f>
        <v>2.2549743486748</v>
      </c>
      <c r="AR87" s="74" t="n">
        <f aca="false">SQRT(($B87-AR$5)^2+($C87-AR$6)^2+($D87-AR$7)^2)</f>
        <v>1.1115725944451</v>
      </c>
      <c r="AS87" s="74" t="n">
        <f aca="false">SQRT(($B87-AS$5)^2+($C87-AS$6)^2+($D87-AS$7)^2)</f>
        <v>1.41061357535396</v>
      </c>
      <c r="AT87" s="74" t="n">
        <f aca="false">SQRT(($B87-AT$5)^2+($C87-AT$6)^2+($D87-AT$7)^2)</f>
        <v>1.29385459017072</v>
      </c>
      <c r="AU87" s="74" t="n">
        <f aca="false">SQRT(($B87-AU$5)^2+($C87-AU$6)^2+($D87-AU$7)^2)</f>
        <v>0.881999752714133</v>
      </c>
      <c r="AV87" s="74" t="n">
        <f aca="false">SQRT(($B87-AV$5)^2+($C87-AV$6)^2+($D87-AV$7)^2)</f>
        <v>0.957327025671765</v>
      </c>
      <c r="AW87" s="74" t="n">
        <f aca="false">SQRT(($B87-AW$5)^2+($C87-AW$6)^2+($D87-AW$7)^2)</f>
        <v>0.810621164888962</v>
      </c>
      <c r="AX87" s="74" t="n">
        <f aca="false">SQRT(($B87-AX$5)^2+($C87-AX$6)^2+($D87-AX$7)^2)</f>
        <v>1.18267450991935</v>
      </c>
      <c r="AY87" s="74" t="n">
        <f aca="false">SQRT(($B87-AY$5)^2+($C87-AY$6)^2+($D87-AY$7)^2)</f>
        <v>1.04499871739745</v>
      </c>
      <c r="AZ87" s="74" t="n">
        <f aca="false">SQRT(($B87-AZ$5)^2+($C87-AZ$6)^2+($D87-AZ$7)^2)</f>
        <v>1.38138873773973</v>
      </c>
      <c r="BA87" s="74" t="n">
        <f aca="false">SQRT(($B87-BA$5)^2+($C87-BA$6)^2+($D87-BA$7)^2)</f>
        <v>1.27648841043317</v>
      </c>
      <c r="BB87" s="74" t="n">
        <f aca="false">SQRT(($B87-BB$5)^2+($C87-BB$6)^2+($D87-BB$7)^2)</f>
        <v>1.04170527667324</v>
      </c>
      <c r="BC87" s="74" t="n">
        <f aca="false">SQRT(($B87-BC$5)^2+($C87-BC$6)^2+($D87-BC$7)^2)</f>
        <v>1.03840130320656</v>
      </c>
      <c r="BD87" s="74" t="n">
        <f aca="false">SQRT(($B87-BD$5)^2+($C87-BD$6)^2+($D87-BD$7)^2)</f>
        <v>0.558411717636511</v>
      </c>
      <c r="BE87" s="74" t="n">
        <f aca="false">SQRT(($B87-BE$5)^2+($C87-BE$6)^2+($D87-BE$7)^2)</f>
        <v>0.480478980930773</v>
      </c>
      <c r="BF87" s="74" t="n">
        <f aca="false">SQRT(($B87-BF$5)^2+($C87-BF$6)^2+($D87-BF$7)^2)</f>
        <v>2.3376940379215</v>
      </c>
      <c r="BG87" s="74" t="n">
        <f aca="false">SQRT(($B87-BG$5)^2+($C87-BG$6)^2+($D87-BG$7)^2)</f>
        <v>1.09681648740709</v>
      </c>
      <c r="BH87" s="74" t="n">
        <f aca="false">SQRT(($B87-BH$5)^2+($C87-BH$6)^2+($D87-BH$7)^2)</f>
        <v>0.991380630642791</v>
      </c>
      <c r="BI87" s="74" t="n">
        <f aca="false">SQRT(($B87-BI$5)^2+($C87-BI$6)^2+($D87-BI$7)^2)</f>
        <v>0.984628210054358</v>
      </c>
      <c r="BJ87" s="74" t="n">
        <f aca="false">SQRT(($B87-BJ$5)^2+($C87-BJ$6)^2+($D87-BJ$7)^2)</f>
        <v>1.29454809030883</v>
      </c>
      <c r="BK87" s="74" t="n">
        <f aca="false">SQRT(($B87-BK$5)^2+($C87-BK$6)^2+($D87-BK$7)^2)</f>
        <v>0.367803725573025</v>
      </c>
      <c r="BL87" s="74" t="n">
        <f aca="false">SQRT(($B87-BL$5)^2+($C87-BL$6)^2+($D87-BL$7)^2)</f>
        <v>0.688787899278885</v>
      </c>
      <c r="BM87" s="74" t="n">
        <f aca="false">SQRT(($B87-BM$5)^2+($C87-BM$6)^2+($D87-BM$7)^2)</f>
        <v>1.46024590438863</v>
      </c>
      <c r="BN87" s="74" t="n">
        <f aca="false">SQRT(($B87-BN$5)^2+($C87-BN$6)^2+($D87-BN$7)^2)</f>
        <v>0.925650100585239</v>
      </c>
      <c r="BO87" s="74" t="n">
        <f aca="false">SQRT(($B87-BO$5)^2+($C87-BO$6)^2+($D87-BO$7)^2)</f>
        <v>0.637013762514053</v>
      </c>
      <c r="BP87" s="74" t="n">
        <f aca="false">SQRT(($B87-BP$5)^2+($C87-BP$6)^2+($D87-BP$7)^2)</f>
        <v>1.002807846057</v>
      </c>
      <c r="BQ87" s="74" t="n">
        <f aca="false">SQRT(($B87-BQ$5)^2+($C87-BQ$6)^2+($D87-BQ$7)^2)</f>
        <v>0.845406331271091</v>
      </c>
      <c r="BR87" s="74" t="n">
        <f aca="false">SQRT(($B87-BR$5)^2+($C87-BR$6)^2+($D87-BR$7)^2)</f>
        <v>0.876502469556724</v>
      </c>
      <c r="BS87" s="74" t="n">
        <f aca="false">SQRT(($B87-BS$5)^2+($C87-BS$6)^2+($D87-BS$7)^2)</f>
        <v>0.855204984290198</v>
      </c>
      <c r="BT87" s="74" t="n">
        <f aca="false">SQRT(($B87-BT$5)^2+($C87-BT$6)^2+($D87-BT$7)^2)</f>
        <v>0.451892190256002</v>
      </c>
      <c r="BU87" s="74" t="n">
        <f aca="false">SQRT(($B87-BU$5)^2+($C87-BU$6)^2+($D87-BU$7)^2)</f>
        <v>0.370665484570556</v>
      </c>
      <c r="BV87" s="74" t="n">
        <f aca="false">SQRT(($B87-BV$5)^2+($C87-BV$6)^2+($D87-BV$7)^2)</f>
        <v>0.904221402936721</v>
      </c>
      <c r="BW87" s="74" t="n">
        <f aca="false">SQRT(($B87-BW$5)^2+($C87-BW$6)^2+($D87-BW$7)^2)</f>
        <v>0.533111602997394</v>
      </c>
      <c r="BX87" s="74" t="n">
        <f aca="false">SQRT(($B87-BX$5)^2+($C87-BX$6)^2+($D87-BX$7)^2)</f>
        <v>0.903171471667466</v>
      </c>
      <c r="BY87" s="74" t="n">
        <f aca="false">SQRT(($B87-BY$5)^2+($C87-BY$6)^2+($D87-BY$7)^2)</f>
        <v>0.0643438331712339</v>
      </c>
      <c r="BZ87" s="74" t="n">
        <f aca="false">SQRT(($B87-BZ$5)^2+($C87-BZ$6)^2+($D87-BZ$7)^2)</f>
        <v>0</v>
      </c>
      <c r="CA87" s="74" t="n">
        <f aca="false">SQRT(($B87-CA$5)^2+($C87-CA$6)^2+($D87-CA$7)^2)</f>
        <v>0.901717068211154</v>
      </c>
      <c r="CB87" s="74" t="n">
        <f aca="false">SQRT(($B87-CB$5)^2+($C87-CB$6)^2+($D87-CB$7)^2)</f>
        <v>0.0182639798390816</v>
      </c>
      <c r="CC87" s="74" t="n">
        <f aca="false">SQRT(($B87-CC$5)^2+($C87-CC$6)^2+($D87-CC$7)^2)</f>
        <v>0.901902014668379</v>
      </c>
      <c r="CD87" s="74" t="n">
        <f aca="false">SQRT(($B87-CD$5)^2+($C87-CD$6)^2+($D87-CD$7)^2)</f>
        <v>0.903506437988669</v>
      </c>
      <c r="CE87" s="74" t="n">
        <f aca="false">SQRT(($B87-CE$5)^2+($C87-CE$6)^2+($D87-CE$7)^2)</f>
        <v>0.297076248498787</v>
      </c>
      <c r="CF87" s="74" t="n">
        <f aca="false">SQRT(($B87-CF$5)^2+($C87-CF$6)^2+($D87-CF$7)^2)</f>
        <v>0.65501161612883</v>
      </c>
      <c r="CG87" s="74" t="n">
        <f aca="false">SQRT(($B87-CG$5)^2+($C87-CG$6)^2+($D87-CG$7)^2)</f>
        <v>0.566842000152544</v>
      </c>
      <c r="CH87" s="74" t="n">
        <f aca="false">SQRT(($B87-CH$5)^2+($C87-CH$6)^2+($D87-CH$7)^2)</f>
        <v>0.212093436171887</v>
      </c>
      <c r="CI87" s="74" t="n">
        <f aca="false">SQRT(($B87-CI$5)^2+($C87-CI$6)^2+($D87-CI$7)^2)</f>
        <v>0.323490511718419</v>
      </c>
      <c r="CJ87" s="74" t="n">
        <f aca="false">SQRT(($B87-CJ$5)^2+($C87-CJ$6)^2+($D87-CJ$7)^2)</f>
        <v>0.620837641088254</v>
      </c>
      <c r="CK87" s="74" t="n">
        <f aca="false">SQRT(($B87-CK$5)^2+($C87-CK$6)^2+($D87-CK$7)^2)</f>
        <v>0.348047471254915</v>
      </c>
      <c r="CL87" s="74" t="n">
        <f aca="false">SQRT(($B87-CL$5)^2+($C87-CL$6)^2+($D87-CL$7)^2)</f>
        <v>0.95336287440628</v>
      </c>
      <c r="CM87" s="74" t="n">
        <f aca="false">SQRT(($B87-CM$5)^2+($C87-CM$6)^2+($D87-CM$7)^2)</f>
        <v>0.317662766378724</v>
      </c>
      <c r="CN87" s="74" t="n">
        <f aca="false">SQRT(($B87-CN$5)^2+($C87-CN$6)^2+($D87-CN$7)^2)</f>
        <v>1.08680249481994</v>
      </c>
      <c r="CO87" s="74" t="n">
        <f aca="false">SQRT(($B87-CO$5)^2+($C87-CO$6)^2+($D87-CO$7)^2)</f>
        <v>0.674197678674706</v>
      </c>
      <c r="CP87" s="74" t="n">
        <f aca="false">SQRT(($B87-CP$5)^2+($C87-CP$6)^2+($D87-CP$7)^2)</f>
        <v>0.993720867038965</v>
      </c>
      <c r="CQ87" s="74" t="n">
        <f aca="false">SQRT(($B87-CQ$5)^2+($C87-CQ$6)^2+($D87-CQ$7)^2)</f>
        <v>0.48500265181886</v>
      </c>
      <c r="CR87" s="74" t="n">
        <f aca="false">SQRT(($B87-CR$5)^2+($C87-CR$6)^2+($D87-CR$7)^2)</f>
        <v>0.509575417624474</v>
      </c>
      <c r="CS87" s="74" t="n">
        <f aca="false">SQRT(($B87-CS$5)^2+($C87-CS$6)^2+($D87-CS$7)^2)</f>
        <v>1.03327549249945</v>
      </c>
      <c r="CT87" s="74" t="n">
        <f aca="false">SQRT(($B87-CT$5)^2+($C87-CT$6)^2+($D87-CT$7)^2)</f>
        <v>1.05838363145711</v>
      </c>
      <c r="CU87" s="74" t="n">
        <f aca="false">SQRT(($B87-CU$5)^2+($C87-CU$6)^2+($D87-CU$7)^2)</f>
        <v>0.959380393613968</v>
      </c>
      <c r="CV87" s="74" t="n">
        <f aca="false">SQRT(($B87-CV$5)^2+($C87-CV$6)^2+($D87-CV$7)^2)</f>
        <v>0.752497014801536</v>
      </c>
      <c r="CW87" s="74" t="n">
        <f aca="false">SQRT(($B87-CW$5)^2+($C87-CW$6)^2+($D87-CW$7)^2)</f>
        <v>1.05838363145711</v>
      </c>
      <c r="CX87" s="74" t="n">
        <f aca="false">SQRT(($B87-CX$5)^2+($C87-CX$6)^2+($D87-CX$7)^2)</f>
        <v>0.643997449039976</v>
      </c>
      <c r="CY87" s="74" t="n">
        <f aca="false">SQRT(($B87-CY$5)^2+($C87-CY$6)^2+($D87-CY$7)^2)</f>
        <v>1.0880987289278</v>
      </c>
      <c r="CZ87" s="74" t="n">
        <f aca="false">SQRT(($B87-CZ$5)^2+($C87-CZ$6)^2+($D87-CZ$7)^2)</f>
        <v>1.0880987289278</v>
      </c>
      <c r="DA87" s="74" t="n">
        <f aca="false">SQRT(($B87-DA$5)^2+($C87-DA$6)^2+($D87-DA$7)^2)</f>
        <v>0.66190066099813</v>
      </c>
      <c r="DB87" s="74" t="n">
        <f aca="false">SQRT(($B87-DB$5)^2+($C87-DB$6)^2+($D87-DB$7)^2)</f>
        <v>1.12355762825072</v>
      </c>
      <c r="DC87" s="74" t="n">
        <f aca="false">SQRT(($B87-DC$5)^2+($C87-DC$6)^2+($D87-DC$7)^2)</f>
        <v>1.12355762825072</v>
      </c>
      <c r="DD87" s="74" t="n">
        <f aca="false">SQRT(($B87-DD$5)^2+($C87-DD$6)^2+($D87-DD$7)^2)</f>
        <v>0.776818181396895</v>
      </c>
      <c r="DE87" s="74" t="n">
        <f aca="false">SQRT(($B87-DE$5)^2+($C87-DE$6)^2+($D87-DE$7)^2)</f>
        <v>1.00470600159078</v>
      </c>
      <c r="DF87" s="74" t="n">
        <f aca="false">SQRT(($B87-DF$5)^2+($C87-DF$6)^2+($D87-DF$7)^2)</f>
        <v>1.36973049478593</v>
      </c>
      <c r="DG87" s="74" t="n">
        <f aca="false">SQRT(($B87-DG$5)^2+($C87-DG$6)^2+($D87-DG$7)^2)</f>
        <v>1.48571169547516</v>
      </c>
      <c r="DH87" s="74" t="n">
        <f aca="false">SQRT(($B87-DH$5)^2+($C87-DH$6)^2+($D87-DH$7)^2)</f>
        <v>1.48571169547516</v>
      </c>
      <c r="DI87" s="74" t="n">
        <f aca="false">SQRT(($B87-DI$5)^2+($C87-DI$6)^2+($D87-DI$7)^2)</f>
        <v>1.48571169547516</v>
      </c>
      <c r="DJ87" s="74" t="n">
        <f aca="false">SQRT(($B87-DJ$5)^2+($C87-DJ$6)^2+($D87-DJ$7)^2)</f>
        <v>1.48571169547516</v>
      </c>
      <c r="DK87" s="74" t="n">
        <f aca="false">SQRT(($B87-DK$5)^2+($C87-DK$6)^2+($D87-DK$7)^2)</f>
        <v>1.65838488395625</v>
      </c>
      <c r="DL87" s="74" t="n">
        <f aca="false">SQRT(($B87-DL$5)^2+($C87-DL$6)^2+($D87-DL$7)^2)</f>
        <v>1.65838488395625</v>
      </c>
      <c r="DM87" s="74" t="n">
        <f aca="false">SQRT(($B87-DM$5)^2+($C87-DM$6)^2+($D87-DM$7)^2)</f>
        <v>1.65838488395625</v>
      </c>
      <c r="DN87" s="74" t="n">
        <f aca="false">SQRT(($B87-DN$5)^2+($C87-DN$6)^2+($D87-DN$7)^2)</f>
        <v>1.65838488395625</v>
      </c>
      <c r="DO87" s="74" t="n">
        <f aca="false">SQRT(($B87-DO$5)^2+($C87-DO$6)^2+($D87-DO$7)^2)</f>
        <v>1.65838488395625</v>
      </c>
      <c r="DP87" s="74" t="n">
        <f aca="false">SQRT(($B87-DP$5)^2+($C87-DP$6)^2+($D87-DP$7)^2)</f>
        <v>1.97094346163573</v>
      </c>
      <c r="DQ87" s="74" t="n">
        <f aca="false">SQRT(($B87-DQ$5)^2+($C87-DQ$6)^2+($D87-DQ$7)^2)</f>
        <v>1.97094346163573</v>
      </c>
    </row>
    <row r="88" customFormat="false" ht="15" hidden="false" customHeight="false" outlineLevel="0" collapsed="false">
      <c r="A88" s="48" t="str">
        <f aca="false">KMeans_Data!A79</f>
        <v>Hunza</v>
      </c>
      <c r="B88" s="72" t="n">
        <f aca="false">KMeans_Data!H79</f>
        <v>-0.327161461972788</v>
      </c>
      <c r="C88" s="72" t="n">
        <f aca="false">KMeans_Data!I79</f>
        <v>-0.672650545388274</v>
      </c>
      <c r="D88" s="72" t="n">
        <f aca="false">KMeans_Data!J79</f>
        <v>-1.14564411633355</v>
      </c>
      <c r="E88" s="74" t="n">
        <f aca="false">SQRT(($B88-E$5)^2+($C88-E$6)^2+($D88-E$7)^2)</f>
        <v>7.38338582905211</v>
      </c>
      <c r="F88" s="74" t="n">
        <f aca="false">SQRT(($B88-F$5)^2+($C88-F$6)^2+($D88-F$7)^2)</f>
        <v>7.12464972717418</v>
      </c>
      <c r="G88" s="74" t="n">
        <f aca="false">SQRT(($B88-G$5)^2+($C88-G$6)^2+($D88-G$7)^2)</f>
        <v>5.33135868748808</v>
      </c>
      <c r="H88" s="74" t="n">
        <f aca="false">SQRT(($B88-H$5)^2+($C88-H$6)^2+($D88-H$7)^2)</f>
        <v>5.72985308561937</v>
      </c>
      <c r="I88" s="74" t="n">
        <f aca="false">SQRT(($B88-I$5)^2+($C88-I$6)^2+($D88-I$7)^2)</f>
        <v>4.67101283112927</v>
      </c>
      <c r="J88" s="74" t="n">
        <f aca="false">SQRT(($B88-J$5)^2+($C88-J$6)^2+($D88-J$7)^2)</f>
        <v>4.29531190567452</v>
      </c>
      <c r="K88" s="74" t="n">
        <f aca="false">SQRT(($B88-K$5)^2+($C88-K$6)^2+($D88-K$7)^2)</f>
        <v>1.89077318063318</v>
      </c>
      <c r="L88" s="74" t="n">
        <f aca="false">SQRT(($B88-L$5)^2+($C88-L$6)^2+($D88-L$7)^2)</f>
        <v>3.5751185741674</v>
      </c>
      <c r="M88" s="74" t="n">
        <f aca="false">SQRT(($B88-M$5)^2+($C88-M$6)^2+($D88-M$7)^2)</f>
        <v>3.7602932274691</v>
      </c>
      <c r="N88" s="74" t="n">
        <f aca="false">SQRT(($B88-N$5)^2+($C88-N$6)^2+($D88-N$7)^2)</f>
        <v>1.6481560357526</v>
      </c>
      <c r="O88" s="74" t="n">
        <f aca="false">SQRT(($B88-O$5)^2+($C88-O$6)^2+($D88-O$7)^2)</f>
        <v>3.36545801374402</v>
      </c>
      <c r="P88" s="74" t="n">
        <f aca="false">SQRT(($B88-P$5)^2+($C88-P$6)^2+($D88-P$7)^2)</f>
        <v>3.66352063373942</v>
      </c>
      <c r="Q88" s="74" t="n">
        <f aca="false">SQRT(($B88-Q$5)^2+($C88-Q$6)^2+($D88-Q$7)^2)</f>
        <v>3.09974063782047</v>
      </c>
      <c r="R88" s="74" t="n">
        <f aca="false">SQRT(($B88-R$5)^2+($C88-R$6)^2+($D88-R$7)^2)</f>
        <v>3.13223110720305</v>
      </c>
      <c r="S88" s="74" t="n">
        <f aca="false">SQRT(($B88-S$5)^2+($C88-S$6)^2+($D88-S$7)^2)</f>
        <v>2.72144254777098</v>
      </c>
      <c r="T88" s="74" t="n">
        <f aca="false">SQRT(($B88-T$5)^2+($C88-T$6)^2+($D88-T$7)^2)</f>
        <v>3.00899874295078</v>
      </c>
      <c r="U88" s="74" t="n">
        <f aca="false">SQRT(($B88-U$5)^2+($C88-U$6)^2+($D88-U$7)^2)</f>
        <v>3.16379064366665</v>
      </c>
      <c r="V88" s="74" t="n">
        <f aca="false">SQRT(($B88-V$5)^2+($C88-V$6)^2+($D88-V$7)^2)</f>
        <v>2.95333205174037</v>
      </c>
      <c r="W88" s="74" t="n">
        <f aca="false">SQRT(($B88-W$5)^2+($C88-W$6)^2+($D88-W$7)^2)</f>
        <v>3.15159490642369</v>
      </c>
      <c r="X88" s="74" t="n">
        <f aca="false">SQRT(($B88-X$5)^2+($C88-X$6)^2+($D88-X$7)^2)</f>
        <v>2.88214511274704</v>
      </c>
      <c r="Y88" s="74" t="n">
        <f aca="false">SQRT(($B88-Y$5)^2+($C88-Y$6)^2+($D88-Y$7)^2)</f>
        <v>3.04187632828012</v>
      </c>
      <c r="Z88" s="74" t="n">
        <f aca="false">SQRT(($B88-Z$5)^2+($C88-Z$6)^2+($D88-Z$7)^2)</f>
        <v>2.55493264665256</v>
      </c>
      <c r="AA88" s="74" t="n">
        <f aca="false">SQRT(($B88-AA$5)^2+($C88-AA$6)^2+($D88-AA$7)^2)</f>
        <v>2.52192637689887</v>
      </c>
      <c r="AB88" s="74" t="n">
        <f aca="false">SQRT(($B88-AB$5)^2+($C88-AB$6)^2+($D88-AB$7)^2)</f>
        <v>2.45144317266828</v>
      </c>
      <c r="AC88" s="74" t="n">
        <f aca="false">SQRT(($B88-AC$5)^2+($C88-AC$6)^2+($D88-AC$7)^2)</f>
        <v>2.98558249078598</v>
      </c>
      <c r="AD88" s="74" t="n">
        <f aca="false">SQRT(($B88-AD$5)^2+($C88-AD$6)^2+($D88-AD$7)^2)</f>
        <v>3.02089160707941</v>
      </c>
      <c r="AE88" s="74" t="n">
        <f aca="false">SQRT(($B88-AE$5)^2+($C88-AE$6)^2+($D88-AE$7)^2)</f>
        <v>1.10577268549253</v>
      </c>
      <c r="AF88" s="74" t="n">
        <f aca="false">SQRT(($B88-AF$5)^2+($C88-AF$6)^2+($D88-AF$7)^2)</f>
        <v>2.60505082742877</v>
      </c>
      <c r="AG88" s="74" t="n">
        <f aca="false">SQRT(($B88-AG$5)^2+($C88-AG$6)^2+($D88-AG$7)^2)</f>
        <v>1.17264110710973</v>
      </c>
      <c r="AH88" s="74" t="n">
        <f aca="false">SQRT(($B88-AH$5)^2+($C88-AH$6)^2+($D88-AH$7)^2)</f>
        <v>2.28628254951596</v>
      </c>
      <c r="AI88" s="74" t="n">
        <f aca="false">SQRT(($B88-AI$5)^2+($C88-AI$6)^2+($D88-AI$7)^2)</f>
        <v>1.17020124112675</v>
      </c>
      <c r="AJ88" s="74" t="n">
        <f aca="false">SQRT(($B88-AJ$5)^2+($C88-AJ$6)^2+($D88-AJ$7)^2)</f>
        <v>2.71939006241776</v>
      </c>
      <c r="AK88" s="74" t="n">
        <f aca="false">SQRT(($B88-AK$5)^2+($C88-AK$6)^2+($D88-AK$7)^2)</f>
        <v>1.97343455837127</v>
      </c>
      <c r="AL88" s="74" t="n">
        <f aca="false">SQRT(($B88-AL$5)^2+($C88-AL$6)^2+($D88-AL$7)^2)</f>
        <v>1.95386272893943</v>
      </c>
      <c r="AM88" s="74" t="n">
        <f aca="false">SQRT(($B88-AM$5)^2+($C88-AM$6)^2+($D88-AM$7)^2)</f>
        <v>2.64349729046381</v>
      </c>
      <c r="AN88" s="74" t="n">
        <f aca="false">SQRT(($B88-AN$5)^2+($C88-AN$6)^2+($D88-AN$7)^2)</f>
        <v>2.71957001856411</v>
      </c>
      <c r="AO88" s="74" t="n">
        <f aca="false">SQRT(($B88-AO$5)^2+($C88-AO$6)^2+($D88-AO$7)^2)</f>
        <v>2.12717344650294</v>
      </c>
      <c r="AP88" s="74" t="n">
        <f aca="false">SQRT(($B88-AP$5)^2+($C88-AP$6)^2+($D88-AP$7)^2)</f>
        <v>2.06310507526771</v>
      </c>
      <c r="AQ88" s="74" t="n">
        <f aca="false">SQRT(($B88-AQ$5)^2+($C88-AQ$6)^2+($D88-AQ$7)^2)</f>
        <v>2.73338472147504</v>
      </c>
      <c r="AR88" s="74" t="n">
        <f aca="false">SQRT(($B88-AR$5)^2+($C88-AR$6)^2+($D88-AR$7)^2)</f>
        <v>1.53191343221573</v>
      </c>
      <c r="AS88" s="74" t="n">
        <f aca="false">SQRT(($B88-AS$5)^2+($C88-AS$6)^2+($D88-AS$7)^2)</f>
        <v>2.25078392732106</v>
      </c>
      <c r="AT88" s="74" t="n">
        <f aca="false">SQRT(($B88-AT$5)^2+($C88-AT$6)^2+($D88-AT$7)^2)</f>
        <v>2.07926980447867</v>
      </c>
      <c r="AU88" s="74" t="n">
        <f aca="false">SQRT(($B88-AU$5)^2+($C88-AU$6)^2+($D88-AU$7)^2)</f>
        <v>0.939646032710342</v>
      </c>
      <c r="AV88" s="74" t="n">
        <f aca="false">SQRT(($B88-AV$5)^2+($C88-AV$6)^2+($D88-AV$7)^2)</f>
        <v>1.76014492271007</v>
      </c>
      <c r="AW88" s="74" t="n">
        <f aca="false">SQRT(($B88-AW$5)^2+($C88-AW$6)^2+($D88-AW$7)^2)</f>
        <v>0.650594052186704</v>
      </c>
      <c r="AX88" s="74" t="n">
        <f aca="false">SQRT(($B88-AX$5)^2+($C88-AX$6)^2+($D88-AX$7)^2)</f>
        <v>1.82755017649888</v>
      </c>
      <c r="AY88" s="74" t="n">
        <f aca="false">SQRT(($B88-AY$5)^2+($C88-AY$6)^2+($D88-AY$7)^2)</f>
        <v>0.528136959754747</v>
      </c>
      <c r="AZ88" s="74" t="n">
        <f aca="false">SQRT(($B88-AZ$5)^2+($C88-AZ$6)^2+($D88-AZ$7)^2)</f>
        <v>2.2412739718255</v>
      </c>
      <c r="BA88" s="74" t="n">
        <f aca="false">SQRT(($B88-BA$5)^2+($C88-BA$6)^2+($D88-BA$7)^2)</f>
        <v>2.07788412208079</v>
      </c>
      <c r="BB88" s="74" t="n">
        <f aca="false">SQRT(($B88-BB$5)^2+($C88-BB$6)^2+($D88-BB$7)^2)</f>
        <v>0.521590080758407</v>
      </c>
      <c r="BC88" s="74" t="n">
        <f aca="false">SQRT(($B88-BC$5)^2+($C88-BC$6)^2+($D88-BC$7)^2)</f>
        <v>0.514959799788074</v>
      </c>
      <c r="BD88" s="74" t="n">
        <f aca="false">SQRT(($B88-BD$5)^2+($C88-BD$6)^2+($D88-BD$7)^2)</f>
        <v>0.810709080402232</v>
      </c>
      <c r="BE88" s="74" t="n">
        <f aca="false">SQRT(($B88-BE$5)^2+($C88-BE$6)^2+($D88-BE$7)^2)</f>
        <v>1.02174053566431</v>
      </c>
      <c r="BF88" s="74" t="n">
        <f aca="false">SQRT(($B88-BF$5)^2+($C88-BF$6)^2+($D88-BF$7)^2)</f>
        <v>2.84852885438162</v>
      </c>
      <c r="BG88" s="74" t="n">
        <f aca="false">SQRT(($B88-BG$5)^2+($C88-BG$6)^2+($D88-BG$7)^2)</f>
        <v>1.88974111122638</v>
      </c>
      <c r="BH88" s="74" t="n">
        <f aca="false">SQRT(($B88-BH$5)^2+($C88-BH$6)^2+($D88-BH$7)^2)</f>
        <v>0.41199743167935</v>
      </c>
      <c r="BI88" s="74" t="n">
        <f aca="false">SQRT(($B88-BI$5)^2+($C88-BI$6)^2+($D88-BI$7)^2)</f>
        <v>0.395473186109414</v>
      </c>
      <c r="BJ88" s="74" t="n">
        <f aca="false">SQRT(($B88-BJ$5)^2+($C88-BJ$6)^2+($D88-BJ$7)^2)</f>
        <v>1.71446350176343</v>
      </c>
      <c r="BK88" s="74" t="n">
        <f aca="false">SQRT(($B88-BK$5)^2+($C88-BK$6)^2+($D88-BK$7)^2)</f>
        <v>0.816813989075161</v>
      </c>
      <c r="BL88" s="74" t="n">
        <f aca="false">SQRT(($B88-BL$5)^2+($C88-BL$6)^2+($D88-BL$7)^2)</f>
        <v>1.54405635220337</v>
      </c>
      <c r="BM88" s="74" t="n">
        <f aca="false">SQRT(($B88-BM$5)^2+($C88-BM$6)^2+($D88-BM$7)^2)</f>
        <v>2.07133072098443</v>
      </c>
      <c r="BN88" s="74" t="n">
        <f aca="false">SQRT(($B88-BN$5)^2+($C88-BN$6)^2+($D88-BN$7)^2)</f>
        <v>1.47893533949998</v>
      </c>
      <c r="BO88" s="74" t="n">
        <f aca="false">SQRT(($B88-BO$5)^2+($C88-BO$6)^2+($D88-BO$7)^2)</f>
        <v>0.414671534358326</v>
      </c>
      <c r="BP88" s="74" t="n">
        <f aca="false">SQRT(($B88-BP$5)^2+($C88-BP$6)^2+($D88-BP$7)^2)</f>
        <v>1.65433431365024</v>
      </c>
      <c r="BQ88" s="74" t="n">
        <f aca="false">SQRT(($B88-BQ$5)^2+($C88-BQ$6)^2+($D88-BQ$7)^2)</f>
        <v>1.6297031987946</v>
      </c>
      <c r="BR88" s="74" t="n">
        <f aca="false">SQRT(($B88-BR$5)^2+($C88-BR$6)^2+($D88-BR$7)^2)</f>
        <v>1.67258078558987</v>
      </c>
      <c r="BS88" s="74" t="n">
        <f aca="false">SQRT(($B88-BS$5)^2+($C88-BS$6)^2+($D88-BS$7)^2)</f>
        <v>1.74971367594583</v>
      </c>
      <c r="BT88" s="74" t="n">
        <f aca="false">SQRT(($B88-BT$5)^2+($C88-BT$6)^2+($D88-BT$7)^2)</f>
        <v>1.34409153244739</v>
      </c>
      <c r="BU88" s="74" t="n">
        <f aca="false">SQRT(($B88-BU$5)^2+($C88-BU$6)^2+($D88-BU$7)^2)</f>
        <v>1.25992189748382</v>
      </c>
      <c r="BV88" s="74" t="n">
        <f aca="false">SQRT(($B88-BV$5)^2+($C88-BV$6)^2+($D88-BV$7)^2)</f>
        <v>0.0672508321549569</v>
      </c>
      <c r="BW88" s="74" t="n">
        <f aca="false">SQRT(($B88-BW$5)^2+($C88-BW$6)^2+($D88-BW$7)^2)</f>
        <v>1.4332770039221</v>
      </c>
      <c r="BX88" s="74" t="n">
        <f aca="false">SQRT(($B88-BX$5)^2+($C88-BX$6)^2+($D88-BX$7)^2)</f>
        <v>0.0512351064277021</v>
      </c>
      <c r="BY88" s="74" t="n">
        <f aca="false">SQRT(($B88-BY$5)^2+($C88-BY$6)^2+($D88-BY$7)^2)</f>
        <v>0.963755837542964</v>
      </c>
      <c r="BZ88" s="74" t="n">
        <f aca="false">SQRT(($B88-BZ$5)^2+($C88-BZ$6)^2+($D88-BZ$7)^2)</f>
        <v>0.901717068211154</v>
      </c>
      <c r="CA88" s="74" t="n">
        <f aca="false">SQRT(($B88-CA$5)^2+($C88-CA$6)^2+($D88-CA$7)^2)</f>
        <v>0</v>
      </c>
      <c r="CB88" s="74" t="n">
        <f aca="false">SQRT(($B88-CB$5)^2+($C88-CB$6)^2+($D88-CB$7)^2)</f>
        <v>0.901902014668379</v>
      </c>
      <c r="CC88" s="74" t="n">
        <f aca="false">SQRT(($B88-CC$5)^2+($C88-CC$6)^2+($D88-CC$7)^2)</f>
        <v>0.0182639798390816</v>
      </c>
      <c r="CD88" s="74" t="n">
        <f aca="false">SQRT(($B88-CD$5)^2+($C88-CD$6)^2+($D88-CD$7)^2)</f>
        <v>0.0568349574087564</v>
      </c>
      <c r="CE88" s="74" t="n">
        <f aca="false">SQRT(($B88-CE$5)^2+($C88-CE$6)^2+($D88-CE$7)^2)</f>
        <v>1.19108183057697</v>
      </c>
      <c r="CF88" s="74" t="n">
        <f aca="false">SQRT(($B88-CF$5)^2+($C88-CF$6)^2+($D88-CF$7)^2)</f>
        <v>1.39031831667168</v>
      </c>
      <c r="CG88" s="74" t="n">
        <f aca="false">SQRT(($B88-CG$5)^2+($C88-CG$6)^2+($D88-CG$7)^2)</f>
        <v>0.923696576447275</v>
      </c>
      <c r="CH88" s="74" t="n">
        <f aca="false">SQRT(($B88-CH$5)^2+($C88-CH$6)^2+($D88-CH$7)^2)</f>
        <v>0.759532183564777</v>
      </c>
      <c r="CI88" s="74" t="n">
        <f aca="false">SQRT(($B88-CI$5)^2+($C88-CI$6)^2+($D88-CI$7)^2)</f>
        <v>0.670873816618833</v>
      </c>
      <c r="CJ88" s="74" t="n">
        <f aca="false">SQRT(($B88-CJ$5)^2+($C88-CJ$6)^2+($D88-CJ$7)^2)</f>
        <v>0.389365283977406</v>
      </c>
      <c r="CK88" s="74" t="n">
        <f aca="false">SQRT(($B88-CK$5)^2+($C88-CK$6)^2+($D88-CK$7)^2)</f>
        <v>1.14540491185008</v>
      </c>
      <c r="CL88" s="74" t="n">
        <f aca="false">SQRT(($B88-CL$5)^2+($C88-CL$6)^2+($D88-CL$7)^2)</f>
        <v>0.309527218823946</v>
      </c>
      <c r="CM88" s="74" t="n">
        <f aca="false">SQRT(($B88-CM$5)^2+($C88-CM$6)^2+($D88-CM$7)^2)</f>
        <v>0.886104031715224</v>
      </c>
      <c r="CN88" s="74" t="n">
        <f aca="false">SQRT(($B88-CN$5)^2+($C88-CN$6)^2+($D88-CN$7)^2)</f>
        <v>1.8888150743677</v>
      </c>
      <c r="CO88" s="74" t="n">
        <f aca="false">SQRT(($B88-CO$5)^2+($C88-CO$6)^2+($D88-CO$7)^2)</f>
        <v>1.17440525180252</v>
      </c>
      <c r="CP88" s="74" t="n">
        <f aca="false">SQRT(($B88-CP$5)^2+($C88-CP$6)^2+($D88-CP$7)^2)</f>
        <v>0.417597282660404</v>
      </c>
      <c r="CQ88" s="74" t="n">
        <f aca="false">SQRT(($B88-CQ$5)^2+($C88-CQ$6)^2+($D88-CQ$7)^2)</f>
        <v>0.875861338611773</v>
      </c>
      <c r="CR88" s="74" t="n">
        <f aca="false">SQRT(($B88-CR$5)^2+($C88-CR$6)^2+($D88-CR$7)^2)</f>
        <v>0.97156462889802</v>
      </c>
      <c r="CS88" s="74" t="n">
        <f aca="false">SQRT(($B88-CS$5)^2+($C88-CS$6)^2+($D88-CS$7)^2)</f>
        <v>0.504543925041874</v>
      </c>
      <c r="CT88" s="74" t="n">
        <f aca="false">SQRT(($B88-CT$5)^2+($C88-CT$6)^2+($D88-CT$7)^2)</f>
        <v>0.554150016000195</v>
      </c>
      <c r="CU88" s="74" t="n">
        <f aca="false">SQRT(($B88-CU$5)^2+($C88-CU$6)^2+($D88-CU$7)^2)</f>
        <v>0.828599232093339</v>
      </c>
      <c r="CV88" s="74" t="n">
        <f aca="false">SQRT(($B88-CV$5)^2+($C88-CV$6)^2+($D88-CV$7)^2)</f>
        <v>1.51573421235135</v>
      </c>
      <c r="CW88" s="74" t="n">
        <f aca="false">SQRT(($B88-CW$5)^2+($C88-CW$6)^2+($D88-CW$7)^2)</f>
        <v>0.554150016000195</v>
      </c>
      <c r="CX88" s="74" t="n">
        <f aca="false">SQRT(($B88-CX$5)^2+($C88-CX$6)^2+($D88-CX$7)^2)</f>
        <v>1.26710223905309</v>
      </c>
      <c r="CY88" s="74" t="n">
        <f aca="false">SQRT(($B88-CY$5)^2+($C88-CY$6)^2+($D88-CY$7)^2)</f>
        <v>0.608987005436875</v>
      </c>
      <c r="CZ88" s="74" t="n">
        <f aca="false">SQRT(($B88-CZ$5)^2+($C88-CZ$6)^2+($D88-CZ$7)^2)</f>
        <v>0.608987005436875</v>
      </c>
      <c r="DA88" s="74" t="n">
        <f aca="false">SQRT(($B88-DA$5)^2+($C88-DA$6)^2+($D88-DA$7)^2)</f>
        <v>0.885176847687871</v>
      </c>
      <c r="DB88" s="74" t="n">
        <f aca="false">SQRT(($B88-DB$5)^2+($C88-DB$6)^2+($D88-DB$7)^2)</f>
        <v>0.670289544075593</v>
      </c>
      <c r="DC88" s="74" t="n">
        <f aca="false">SQRT(($B88-DC$5)^2+($C88-DC$6)^2+($D88-DC$7)^2)</f>
        <v>0.670289544075593</v>
      </c>
      <c r="DD88" s="74" t="n">
        <f aca="false">SQRT(($B88-DD$5)^2+($C88-DD$6)^2+($D88-DD$7)^2)</f>
        <v>0.841699227722869</v>
      </c>
      <c r="DE88" s="74" t="n">
        <f aca="false">SQRT(($B88-DE$5)^2+($C88-DE$6)^2+($D88-DE$7)^2)</f>
        <v>0.880681609554385</v>
      </c>
      <c r="DF88" s="74" t="n">
        <f aca="false">SQRT(($B88-DF$5)^2+($C88-DF$6)^2+($D88-DF$7)^2)</f>
        <v>1.03105186932724</v>
      </c>
      <c r="DG88" s="74" t="n">
        <f aca="false">SQRT(($B88-DG$5)^2+($C88-DG$6)^2+($D88-DG$7)^2)</f>
        <v>1.18078176263371</v>
      </c>
      <c r="DH88" s="74" t="n">
        <f aca="false">SQRT(($B88-DH$5)^2+($C88-DH$6)^2+($D88-DH$7)^2)</f>
        <v>1.18078176263371</v>
      </c>
      <c r="DI88" s="74" t="n">
        <f aca="false">SQRT(($B88-DI$5)^2+($C88-DI$6)^2+($D88-DI$7)^2)</f>
        <v>1.18078176263371</v>
      </c>
      <c r="DJ88" s="74" t="n">
        <f aca="false">SQRT(($B88-DJ$5)^2+($C88-DJ$6)^2+($D88-DJ$7)^2)</f>
        <v>1.18078176263371</v>
      </c>
      <c r="DK88" s="74" t="n">
        <f aca="false">SQRT(($B88-DK$5)^2+($C88-DK$6)^2+($D88-DK$7)^2)</f>
        <v>1.39181419457889</v>
      </c>
      <c r="DL88" s="74" t="n">
        <f aca="false">SQRT(($B88-DL$5)^2+($C88-DL$6)^2+($D88-DL$7)^2)</f>
        <v>1.39181419457889</v>
      </c>
      <c r="DM88" s="74" t="n">
        <f aca="false">SQRT(($B88-DM$5)^2+($C88-DM$6)^2+($D88-DM$7)^2)</f>
        <v>1.39181419457889</v>
      </c>
      <c r="DN88" s="74" t="n">
        <f aca="false">SQRT(($B88-DN$5)^2+($C88-DN$6)^2+($D88-DN$7)^2)</f>
        <v>1.39181419457889</v>
      </c>
      <c r="DO88" s="74" t="n">
        <f aca="false">SQRT(($B88-DO$5)^2+($C88-DO$6)^2+($D88-DO$7)^2)</f>
        <v>1.39181419457889</v>
      </c>
      <c r="DP88" s="74" t="n">
        <f aca="false">SQRT(($B88-DP$5)^2+($C88-DP$6)^2+($D88-DP$7)^2)</f>
        <v>1.75257651983054</v>
      </c>
      <c r="DQ88" s="74" t="n">
        <f aca="false">SQRT(($B88-DQ$5)^2+($C88-DQ$6)^2+($D88-DQ$7)^2)</f>
        <v>1.75257651983054</v>
      </c>
    </row>
    <row r="89" customFormat="false" ht="15" hidden="false" customHeight="false" outlineLevel="0" collapsed="false">
      <c r="A89" s="48" t="str">
        <f aca="false">KMeans_Data!A80</f>
        <v>Nankana Sahib</v>
      </c>
      <c r="B89" s="72" t="n">
        <f aca="false">KMeans_Data!H80</f>
        <v>-0.34542544181187</v>
      </c>
      <c r="C89" s="72" t="n">
        <f aca="false">KMeans_Data!I80</f>
        <v>-0.672650545388274</v>
      </c>
      <c r="D89" s="72" t="n">
        <f aca="false">KMeans_Data!J80</f>
        <v>-0.2439270481224</v>
      </c>
      <c r="E89" s="74" t="n">
        <f aca="false">SQRT(($B89-E$5)^2+($C89-E$6)^2+($D89-E$7)^2)</f>
        <v>6.89399889685623</v>
      </c>
      <c r="F89" s="74" t="n">
        <f aca="false">SQRT(($B89-F$5)^2+($C89-F$6)^2+($D89-F$7)^2)</f>
        <v>6.69361716461171</v>
      </c>
      <c r="G89" s="74" t="n">
        <f aca="false">SQRT(($B89-G$5)^2+($C89-G$6)^2+($D89-G$7)^2)</f>
        <v>4.79485704116842</v>
      </c>
      <c r="H89" s="74" t="n">
        <f aca="false">SQRT(($B89-H$5)^2+($C89-H$6)^2+($D89-H$7)^2)</f>
        <v>5.35898077769639</v>
      </c>
      <c r="I89" s="74" t="n">
        <f aca="false">SQRT(($B89-I$5)^2+($C89-I$6)^2+($D89-I$7)^2)</f>
        <v>4.1949249606788</v>
      </c>
      <c r="J89" s="74" t="n">
        <f aca="false">SQRT(($B89-J$5)^2+($C89-J$6)^2+($D89-J$7)^2)</f>
        <v>3.82889151431228</v>
      </c>
      <c r="K89" s="74" t="n">
        <f aca="false">SQRT(($B89-K$5)^2+($C89-K$6)^2+($D89-K$7)^2)</f>
        <v>1.96724931378915</v>
      </c>
      <c r="L89" s="74" t="n">
        <f aca="false">SQRT(($B89-L$5)^2+($C89-L$6)^2+($D89-L$7)^2)</f>
        <v>2.91204528336231</v>
      </c>
      <c r="M89" s="74" t="n">
        <f aca="false">SQRT(($B89-M$5)^2+($C89-M$6)^2+($D89-M$7)^2)</f>
        <v>3.14441427128515</v>
      </c>
      <c r="N89" s="74" t="n">
        <f aca="false">SQRT(($B89-N$5)^2+($C89-N$6)^2+($D89-N$7)^2)</f>
        <v>1.73390491016519</v>
      </c>
      <c r="O89" s="74" t="n">
        <f aca="false">SQRT(($B89-O$5)^2+($C89-O$6)^2+($D89-O$7)^2)</f>
        <v>2.88874517860491</v>
      </c>
      <c r="P89" s="74" t="n">
        <f aca="false">SQRT(($B89-P$5)^2+($C89-P$6)^2+($D89-P$7)^2)</f>
        <v>3.18079365069852</v>
      </c>
      <c r="Q89" s="74" t="n">
        <f aca="false">SQRT(($B89-Q$5)^2+($C89-Q$6)^2+($D89-Q$7)^2)</f>
        <v>2.54109326507116</v>
      </c>
      <c r="R89" s="74" t="n">
        <f aca="false">SQRT(($B89-R$5)^2+($C89-R$6)^2+($D89-R$7)^2)</f>
        <v>2.4405470008765</v>
      </c>
      <c r="S89" s="74" t="n">
        <f aca="false">SQRT(($B89-S$5)^2+($C89-S$6)^2+($D89-S$7)^2)</f>
        <v>2.02434221269787</v>
      </c>
      <c r="T89" s="74" t="n">
        <f aca="false">SQRT(($B89-T$5)^2+($C89-T$6)^2+($D89-T$7)^2)</f>
        <v>2.45964217506566</v>
      </c>
      <c r="U89" s="74" t="n">
        <f aca="false">SQRT(($B89-U$5)^2+($C89-U$6)^2+($D89-U$7)^2)</f>
        <v>2.43839984528354</v>
      </c>
      <c r="V89" s="74" t="n">
        <f aca="false">SQRT(($B89-V$5)^2+($C89-V$6)^2+($D89-V$7)^2)</f>
        <v>2.52932750933434</v>
      </c>
      <c r="W89" s="74" t="n">
        <f aca="false">SQRT(($B89-W$5)^2+($C89-W$6)^2+($D89-W$7)^2)</f>
        <v>2.65290175612985</v>
      </c>
      <c r="X89" s="74" t="n">
        <f aca="false">SQRT(($B89-X$5)^2+($C89-X$6)^2+($D89-X$7)^2)</f>
        <v>2.28629701849861</v>
      </c>
      <c r="Y89" s="74" t="n">
        <f aca="false">SQRT(($B89-Y$5)^2+($C89-Y$6)^2+($D89-Y$7)^2)</f>
        <v>2.39868694677393</v>
      </c>
      <c r="Z89" s="74" t="n">
        <f aca="false">SQRT(($B89-Z$5)^2+($C89-Z$6)^2+($D89-Z$7)^2)</f>
        <v>2.04952361577534</v>
      </c>
      <c r="AA89" s="74" t="n">
        <f aca="false">SQRT(($B89-AA$5)^2+($C89-AA$6)^2+($D89-AA$7)^2)</f>
        <v>1.84859447248577</v>
      </c>
      <c r="AB89" s="74" t="n">
        <f aca="false">SQRT(($B89-AB$5)^2+($C89-AB$6)^2+($D89-AB$7)^2)</f>
        <v>1.895867388997</v>
      </c>
      <c r="AC89" s="74" t="n">
        <f aca="false">SQRT(($B89-AC$5)^2+($C89-AC$6)^2+($D89-AC$7)^2)</f>
        <v>2.52747906162032</v>
      </c>
      <c r="AD89" s="74" t="n">
        <f aca="false">SQRT(($B89-AD$5)^2+($C89-AD$6)^2+($D89-AD$7)^2)</f>
        <v>2.36757723124996</v>
      </c>
      <c r="AE89" s="74" t="n">
        <f aca="false">SQRT(($B89-AE$5)^2+($C89-AE$6)^2+($D89-AE$7)^2)</f>
        <v>1.43933878436837</v>
      </c>
      <c r="AF89" s="74" t="n">
        <f aca="false">SQRT(($B89-AF$5)^2+($C89-AF$6)^2+($D89-AF$7)^2)</f>
        <v>1.99819723585831</v>
      </c>
      <c r="AG89" s="74" t="n">
        <f aca="false">SQRT(($B89-AG$5)^2+($C89-AG$6)^2+($D89-AG$7)^2)</f>
        <v>0.93625313129722</v>
      </c>
      <c r="AH89" s="74" t="n">
        <f aca="false">SQRT(($B89-AH$5)^2+($C89-AH$6)^2+($D89-AH$7)^2)</f>
        <v>1.61183501824465</v>
      </c>
      <c r="AI89" s="74" t="n">
        <f aca="false">SQRT(($B89-AI$5)^2+($C89-AI$6)^2+($D89-AI$7)^2)</f>
        <v>0.933133501417187</v>
      </c>
      <c r="AJ89" s="74" t="n">
        <f aca="false">SQRT(($B89-AJ$5)^2+($C89-AJ$6)^2+($D89-AJ$7)^2)</f>
        <v>2.04133228038004</v>
      </c>
      <c r="AK89" s="74" t="n">
        <f aca="false">SQRT(($B89-AK$5)^2+($C89-AK$6)^2+($D89-AK$7)^2)</f>
        <v>1.46835675305791</v>
      </c>
      <c r="AL89" s="74" t="n">
        <f aca="false">SQRT(($B89-AL$5)^2+($C89-AL$6)^2+($D89-AL$7)^2)</f>
        <v>1.26453319277648</v>
      </c>
      <c r="AM89" s="74" t="n">
        <f aca="false">SQRT(($B89-AM$5)^2+($C89-AM$6)^2+($D89-AM$7)^2)</f>
        <v>2.28272772293651</v>
      </c>
      <c r="AN89" s="74" t="n">
        <f aca="false">SQRT(($B89-AN$5)^2+($C89-AN$6)^2+($D89-AN$7)^2)</f>
        <v>2.2077237665526</v>
      </c>
      <c r="AO89" s="74" t="n">
        <f aca="false">SQRT(($B89-AO$5)^2+($C89-AO$6)^2+($D89-AO$7)^2)</f>
        <v>1.52517476696951</v>
      </c>
      <c r="AP89" s="74" t="n">
        <f aca="false">SQRT(($B89-AP$5)^2+($C89-AP$6)^2+($D89-AP$7)^2)</f>
        <v>1.48362914555288</v>
      </c>
      <c r="AQ89" s="74" t="n">
        <f aca="false">SQRT(($B89-AQ$5)^2+($C89-AQ$6)^2+($D89-AQ$7)^2)</f>
        <v>2.26099184898102</v>
      </c>
      <c r="AR89" s="74" t="n">
        <f aca="false">SQRT(($B89-AR$5)^2+($C89-AR$6)^2+($D89-AR$7)^2)</f>
        <v>1.12344044099464</v>
      </c>
      <c r="AS89" s="74" t="n">
        <f aca="false">SQRT(($B89-AS$5)^2+($C89-AS$6)^2+($D89-AS$7)^2)</f>
        <v>1.41904839152915</v>
      </c>
      <c r="AT89" s="74" t="n">
        <f aca="false">SQRT(($B89-AT$5)^2+($C89-AT$6)^2+($D89-AT$7)^2)</f>
        <v>1.30243700509778</v>
      </c>
      <c r="AU89" s="74" t="n">
        <f aca="false">SQRT(($B89-AU$5)^2+($C89-AU$6)^2+($D89-AU$7)^2)</f>
        <v>0.894308760427509</v>
      </c>
      <c r="AV89" s="74" t="n">
        <f aca="false">SQRT(($B89-AV$5)^2+($C89-AV$6)^2+($D89-AV$7)^2)</f>
        <v>0.9685696700521</v>
      </c>
      <c r="AW89" s="74" t="n">
        <f aca="false">SQRT(($B89-AW$5)^2+($C89-AW$6)^2+($D89-AW$7)^2)</f>
        <v>0.823472495462338</v>
      </c>
      <c r="AX89" s="74" t="n">
        <f aca="false">SQRT(($B89-AX$5)^2+($C89-AX$6)^2+($D89-AX$7)^2)</f>
        <v>1.19142641927205</v>
      </c>
      <c r="AY89" s="74" t="n">
        <f aca="false">SQRT(($B89-AY$5)^2+($C89-AY$6)^2+($D89-AY$7)^2)</f>
        <v>1.05434702915707</v>
      </c>
      <c r="AZ89" s="74" t="n">
        <f aca="false">SQRT(($B89-AZ$5)^2+($C89-AZ$6)^2+($D89-AZ$7)^2)</f>
        <v>1.38847404847343</v>
      </c>
      <c r="BA89" s="74" t="n">
        <f aca="false">SQRT(($B89-BA$5)^2+($C89-BA$6)^2+($D89-BA$7)^2)</f>
        <v>1.28405952212825</v>
      </c>
      <c r="BB89" s="74" t="n">
        <f aca="false">SQRT(($B89-BB$5)^2+($C89-BB$6)^2+($D89-BB$7)^2)</f>
        <v>1.05096911365031</v>
      </c>
      <c r="BC89" s="74" t="n">
        <f aca="false">SQRT(($B89-BC$5)^2+($C89-BC$6)^2+($D89-BC$7)^2)</f>
        <v>1.0475787656607</v>
      </c>
      <c r="BD89" s="74" t="n">
        <f aca="false">SQRT(($B89-BD$5)^2+($C89-BD$6)^2+($D89-BD$7)^2)</f>
        <v>0.574649456118297</v>
      </c>
      <c r="BE89" s="74" t="n">
        <f aca="false">SQRT(($B89-BE$5)^2+($C89-BE$6)^2+($D89-BE$7)^2)</f>
        <v>0.498742960769855</v>
      </c>
      <c r="BF89" s="74" t="n">
        <f aca="false">SQRT(($B89-BF$5)^2+($C89-BF$6)^2+($D89-BF$7)^2)</f>
        <v>2.34134578685911</v>
      </c>
      <c r="BG89" s="74" t="n">
        <f aca="false">SQRT(($B89-BG$5)^2+($C89-BG$6)^2+($D89-BG$7)^2)</f>
        <v>1.10407174919162</v>
      </c>
      <c r="BH89" s="74" t="n">
        <f aca="false">SQRT(($B89-BH$5)^2+($C89-BH$6)^2+($D89-BH$7)^2)</f>
        <v>0.999108879624814</v>
      </c>
      <c r="BI89" s="74" t="n">
        <f aca="false">SQRT(($B89-BI$5)^2+($C89-BI$6)^2+($D89-BI$7)^2)</f>
        <v>0.992104890417546</v>
      </c>
      <c r="BJ89" s="74" t="n">
        <f aca="false">SQRT(($B89-BJ$5)^2+($C89-BJ$6)^2+($D89-BJ$7)^2)</f>
        <v>1.29962902246031</v>
      </c>
      <c r="BK89" s="74" t="n">
        <f aca="false">SQRT(($B89-BK$5)^2+($C89-BK$6)^2+($D89-BK$7)^2)</f>
        <v>0.384423408098586</v>
      </c>
      <c r="BL89" s="74" t="n">
        <f aca="false">SQRT(($B89-BL$5)^2+($C89-BL$6)^2+($D89-BL$7)^2)</f>
        <v>0.697554082404169</v>
      </c>
      <c r="BM89" s="74" t="n">
        <f aca="false">SQRT(($B89-BM$5)^2+($C89-BM$6)^2+($D89-BM$7)^2)</f>
        <v>1.46403017383738</v>
      </c>
      <c r="BN89" s="74" t="n">
        <f aca="false">SQRT(($B89-BN$5)^2+($C89-BN$6)^2+($D89-BN$7)^2)</f>
        <v>0.931406396570198</v>
      </c>
      <c r="BO89" s="74" t="n">
        <f aca="false">SQRT(($B89-BO$5)^2+($C89-BO$6)^2+($D89-BO$7)^2)</f>
        <v>0.64474817150454</v>
      </c>
      <c r="BP89" s="74" t="n">
        <f aca="false">SQRT(($B89-BP$5)^2+($C89-BP$6)^2+($D89-BP$7)^2)</f>
        <v>1.00712971340979</v>
      </c>
      <c r="BQ89" s="74" t="n">
        <f aca="false">SQRT(($B89-BQ$5)^2+($C89-BQ$6)^2+($D89-BQ$7)^2)</f>
        <v>0.85027719074629</v>
      </c>
      <c r="BR89" s="74" t="n">
        <f aca="false">SQRT(($B89-BR$5)^2+($C89-BR$6)^2+($D89-BR$7)^2)</f>
        <v>0.880699489238157</v>
      </c>
      <c r="BS89" s="74" t="n">
        <f aca="false">SQRT(($B89-BS$5)^2+($C89-BS$6)^2+($D89-BS$7)^2)</f>
        <v>0.858686006201744</v>
      </c>
      <c r="BT89" s="74" t="n">
        <f aca="false">SQRT(($B89-BT$5)^2+($C89-BT$6)^2+($D89-BT$7)^2)</f>
        <v>0.456783203648285</v>
      </c>
      <c r="BU89" s="74" t="n">
        <f aca="false">SQRT(($B89-BU$5)^2+($C89-BU$6)^2+($D89-BU$7)^2)</f>
        <v>0.376612858214837</v>
      </c>
      <c r="BV89" s="74" t="n">
        <f aca="false">SQRT(($B89-BV$5)^2+($C89-BV$6)^2+($D89-BV$7)^2)</f>
        <v>0.905762912783303</v>
      </c>
      <c r="BW89" s="74" t="n">
        <f aca="false">SQRT(($B89-BW$5)^2+($C89-BW$6)^2+($D89-BW$7)^2)</f>
        <v>0.535175735727725</v>
      </c>
      <c r="BX89" s="74" t="n">
        <f aca="false">SQRT(($B89-BX$5)^2+($C89-BX$6)^2+($D89-BX$7)^2)</f>
        <v>0.904391394306268</v>
      </c>
      <c r="BY89" s="74" t="n">
        <f aca="false">SQRT(($B89-BY$5)^2+($C89-BY$6)^2+($D89-BY$7)^2)</f>
        <v>0.0715417935314196</v>
      </c>
      <c r="BZ89" s="74" t="n">
        <f aca="false">SQRT(($B89-BZ$5)^2+($C89-BZ$6)^2+($D89-BZ$7)^2)</f>
        <v>0.0182639798390816</v>
      </c>
      <c r="CA89" s="74" t="n">
        <f aca="false">SQRT(($B89-CA$5)^2+($C89-CA$6)^2+($D89-CA$7)^2)</f>
        <v>0.901902014668379</v>
      </c>
      <c r="CB89" s="74" t="n">
        <f aca="false">SQRT(($B89-CB$5)^2+($C89-CB$6)^2+($D89-CB$7)^2)</f>
        <v>0</v>
      </c>
      <c r="CC89" s="74" t="n">
        <f aca="false">SQRT(($B89-CC$5)^2+($C89-CC$6)^2+($D89-CC$7)^2)</f>
        <v>0.901717068211154</v>
      </c>
      <c r="CD89" s="74" t="n">
        <f aca="false">SQRT(($B89-CD$5)^2+($C89-CD$6)^2+($D89-CD$7)^2)</f>
        <v>0.902541628632164</v>
      </c>
      <c r="CE89" s="74" t="n">
        <f aca="false">SQRT(($B89-CE$5)^2+($C89-CE$6)^2+($D89-CE$7)^2)</f>
        <v>0.292858588076803</v>
      </c>
      <c r="CF89" s="74" t="n">
        <f aca="false">SQRT(($B89-CF$5)^2+($C89-CF$6)^2+($D89-CF$7)^2)</f>
        <v>0.653109540928569</v>
      </c>
      <c r="CG89" s="74" t="n">
        <f aca="false">SQRT(($B89-CG$5)^2+($C89-CG$6)^2+($D89-CG$7)^2)</f>
        <v>0.56248677994856</v>
      </c>
      <c r="CH89" s="74" t="n">
        <f aca="false">SQRT(($B89-CH$5)^2+($C89-CH$6)^2+($D89-CH$7)^2)</f>
        <v>0.200162809100896</v>
      </c>
      <c r="CI89" s="74" t="n">
        <f aca="false">SQRT(($B89-CI$5)^2+($C89-CI$6)^2+($D89-CI$7)^2)</f>
        <v>0.312914726980835</v>
      </c>
      <c r="CJ89" s="74" t="n">
        <f aca="false">SQRT(($B89-CJ$5)^2+($C89-CJ$6)^2+($D89-CJ$7)^2)</f>
        <v>0.614600454487193</v>
      </c>
      <c r="CK89" s="74" t="n">
        <f aca="false">SQRT(($B89-CK$5)^2+($C89-CK$6)^2+($D89-CK$7)^2)</f>
        <v>0.333641716567981</v>
      </c>
      <c r="CL89" s="74" t="n">
        <f aca="false">SQRT(($B89-CL$5)^2+($C89-CL$6)^2+($D89-CL$7)^2)</f>
        <v>0.947590600147169</v>
      </c>
      <c r="CM89" s="74" t="n">
        <f aca="false">SQRT(($B89-CM$5)^2+($C89-CM$6)^2+($D89-CM$7)^2)</f>
        <v>0.299894662063951</v>
      </c>
      <c r="CN89" s="74" t="n">
        <f aca="false">SQRT(($B89-CN$5)^2+($C89-CN$6)^2+($D89-CN$7)^2)</f>
        <v>1.08056845137968</v>
      </c>
      <c r="CO89" s="74" t="n">
        <f aca="false">SQRT(($B89-CO$5)^2+($C89-CO$6)^2+($D89-CO$7)^2)</f>
        <v>0.663040048705352</v>
      </c>
      <c r="CP89" s="74" t="n">
        <f aca="false">SQRT(($B89-CP$5)^2+($C89-CP$6)^2+($D89-CP$7)^2)</f>
        <v>0.986184951135184</v>
      </c>
      <c r="CQ89" s="74" t="n">
        <f aca="false">SQRT(($B89-CQ$5)^2+($C89-CQ$6)^2+($D89-CQ$7)^2)</f>
        <v>0.467745037340942</v>
      </c>
      <c r="CR89" s="74" t="n">
        <f aca="false">SQRT(($B89-CR$5)^2+($C89-CR$6)^2+($D89-CR$7)^2)</f>
        <v>0.491498442578334</v>
      </c>
      <c r="CS89" s="74" t="n">
        <f aca="false">SQRT(($B89-CS$5)^2+($C89-CS$6)^2+($D89-CS$7)^2)</f>
        <v>1.02448126201007</v>
      </c>
      <c r="CT89" s="74" t="n">
        <f aca="false">SQRT(($B89-CT$5)^2+($C89-CT$6)^2+($D89-CT$7)^2)</f>
        <v>1.04893637312079</v>
      </c>
      <c r="CU89" s="74" t="n">
        <f aca="false">SQRT(($B89-CU$5)^2+($C89-CU$6)^2+($D89-CU$7)^2)</f>
        <v>0.94894801921409</v>
      </c>
      <c r="CV89" s="74" t="n">
        <f aca="false">SQRT(($B89-CV$5)^2+($C89-CV$6)^2+($D89-CV$7)^2)</f>
        <v>0.739150431782785</v>
      </c>
      <c r="CW89" s="74" t="n">
        <f aca="false">SQRT(($B89-CW$5)^2+($C89-CW$6)^2+($D89-CW$7)^2)</f>
        <v>1.04893637312079</v>
      </c>
      <c r="CX89" s="74" t="n">
        <f aca="false">SQRT(($B89-CX$5)^2+($C89-CX$6)^2+($D89-CX$7)^2)</f>
        <v>0.626754524954096</v>
      </c>
      <c r="CY89" s="74" t="n">
        <f aca="false">SQRT(($B89-CY$5)^2+($C89-CY$6)^2+($D89-CY$7)^2)</f>
        <v>1.07798300732188</v>
      </c>
      <c r="CZ89" s="74" t="n">
        <f aca="false">SQRT(($B89-CZ$5)^2+($C89-CZ$6)^2+($D89-CZ$7)^2)</f>
        <v>1.07798300732188</v>
      </c>
      <c r="DA89" s="74" t="n">
        <f aca="false">SQRT(($B89-DA$5)^2+($C89-DA$6)^2+($D89-DA$7)^2)</f>
        <v>0.645136423719976</v>
      </c>
      <c r="DB89" s="74" t="n">
        <f aca="false">SQRT(($B89-DB$5)^2+($C89-DB$6)^2+($D89-DB$7)^2)</f>
        <v>1.11275828800385</v>
      </c>
      <c r="DC89" s="74" t="n">
        <f aca="false">SQRT(($B89-DC$5)^2+($C89-DC$6)^2+($D89-DC$7)^2)</f>
        <v>1.11275828800385</v>
      </c>
      <c r="DD89" s="74" t="n">
        <f aca="false">SQRT(($B89-DD$5)^2+($C89-DD$6)^2+($D89-DD$7)^2)</f>
        <v>0.761114807679929</v>
      </c>
      <c r="DE89" s="74" t="n">
        <f aca="false">SQRT(($B89-DE$5)^2+($C89-DE$6)^2+($D89-DE$7)^2)</f>
        <v>0.989855588279465</v>
      </c>
      <c r="DF89" s="74" t="n">
        <f aca="false">SQRT(($B89-DF$5)^2+($C89-DF$6)^2+($D89-DF$7)^2)</f>
        <v>1.35603575918823</v>
      </c>
      <c r="DG89" s="74" t="n">
        <f aca="false">SQRT(($B89-DG$5)^2+($C89-DG$6)^2+($D89-DG$7)^2)</f>
        <v>1.47123800468077</v>
      </c>
      <c r="DH89" s="74" t="n">
        <f aca="false">SQRT(($B89-DH$5)^2+($C89-DH$6)^2+($D89-DH$7)^2)</f>
        <v>1.47123800468077</v>
      </c>
      <c r="DI89" s="74" t="n">
        <f aca="false">SQRT(($B89-DI$5)^2+($C89-DI$6)^2+($D89-DI$7)^2)</f>
        <v>1.47123800468077</v>
      </c>
      <c r="DJ89" s="74" t="n">
        <f aca="false">SQRT(($B89-DJ$5)^2+($C89-DJ$6)^2+($D89-DJ$7)^2)</f>
        <v>1.47123800468077</v>
      </c>
      <c r="DK89" s="74" t="n">
        <f aca="false">SQRT(($B89-DK$5)^2+($C89-DK$6)^2+($D89-DK$7)^2)</f>
        <v>1.64308668776638</v>
      </c>
      <c r="DL89" s="74" t="n">
        <f aca="false">SQRT(($B89-DL$5)^2+($C89-DL$6)^2+($D89-DL$7)^2)</f>
        <v>1.64308668776638</v>
      </c>
      <c r="DM89" s="74" t="n">
        <f aca="false">SQRT(($B89-DM$5)^2+($C89-DM$6)^2+($D89-DM$7)^2)</f>
        <v>1.64308668776638</v>
      </c>
      <c r="DN89" s="74" t="n">
        <f aca="false">SQRT(($B89-DN$5)^2+($C89-DN$6)^2+($D89-DN$7)^2)</f>
        <v>1.64308668776638</v>
      </c>
      <c r="DO89" s="74" t="n">
        <f aca="false">SQRT(($B89-DO$5)^2+($C89-DO$6)^2+($D89-DO$7)^2)</f>
        <v>1.64308668776638</v>
      </c>
      <c r="DP89" s="74" t="n">
        <f aca="false">SQRT(($B89-DP$5)^2+($C89-DP$6)^2+($D89-DP$7)^2)</f>
        <v>1.95472086433714</v>
      </c>
      <c r="DQ89" s="74" t="n">
        <f aca="false">SQRT(($B89-DQ$5)^2+($C89-DQ$6)^2+($D89-DQ$7)^2)</f>
        <v>1.95472086433714</v>
      </c>
    </row>
    <row r="90" customFormat="false" ht="15" hidden="false" customHeight="false" outlineLevel="0" collapsed="false">
      <c r="A90" s="48" t="str">
        <f aca="false">KMeans_Data!A81</f>
        <v>Khushab</v>
      </c>
      <c r="B90" s="72" t="n">
        <f aca="false">KMeans_Data!H81</f>
        <v>-0.34542544181187</v>
      </c>
      <c r="C90" s="72" t="n">
        <f aca="false">KMeans_Data!I81</f>
        <v>-0.672650545388274</v>
      </c>
      <c r="D90" s="72" t="n">
        <f aca="false">KMeans_Data!J81</f>
        <v>-1.14564411633355</v>
      </c>
      <c r="E90" s="74" t="n">
        <f aca="false">SQRT(($B90-E$5)^2+($C90-E$6)^2+($D90-E$7)^2)</f>
        <v>7.39231183279798</v>
      </c>
      <c r="F90" s="74" t="n">
        <f aca="false">SQRT(($B90-F$5)^2+($C90-F$6)^2+($D90-F$7)^2)</f>
        <v>7.13383762414882</v>
      </c>
      <c r="G90" s="74" t="n">
        <f aca="false">SQRT(($B90-G$5)^2+($C90-G$6)^2+($D90-G$7)^2)</f>
        <v>5.34060306469735</v>
      </c>
      <c r="H90" s="74" t="n">
        <f aca="false">SQRT(($B90-H$5)^2+($C90-H$6)^2+($D90-H$7)^2)</f>
        <v>5.73839412230942</v>
      </c>
      <c r="I90" s="74" t="n">
        <f aca="false">SQRT(($B90-I$5)^2+($C90-I$6)^2+($D90-I$7)^2)</f>
        <v>4.68080673673799</v>
      </c>
      <c r="J90" s="74" t="n">
        <f aca="false">SQRT(($B90-J$5)^2+($C90-J$6)^2+($D90-J$7)^2)</f>
        <v>4.30308635871403</v>
      </c>
      <c r="K90" s="74" t="n">
        <f aca="false">SQRT(($B90-K$5)^2+($C90-K$6)^2+($D90-K$7)^2)</f>
        <v>1.90689166194062</v>
      </c>
      <c r="L90" s="74" t="n">
        <f aca="false">SQRT(($B90-L$5)^2+($C90-L$6)^2+($D90-L$7)^2)</f>
        <v>3.58355135378465</v>
      </c>
      <c r="M90" s="74" t="n">
        <f aca="false">SQRT(($B90-M$5)^2+($C90-M$6)^2+($D90-M$7)^2)</f>
        <v>3.76803431964976</v>
      </c>
      <c r="N90" s="74" t="n">
        <f aca="false">SQRT(($B90-N$5)^2+($C90-N$6)^2+($D90-N$7)^2)</f>
        <v>1.66511026219579</v>
      </c>
      <c r="O90" s="74" t="n">
        <f aca="false">SQRT(($B90-O$5)^2+($C90-O$6)^2+($D90-O$7)^2)</f>
        <v>3.37346596843359</v>
      </c>
      <c r="P90" s="74" t="n">
        <f aca="false">SQRT(($B90-P$5)^2+($C90-P$6)^2+($D90-P$7)^2)</f>
        <v>3.67080836270947</v>
      </c>
      <c r="Q90" s="74" t="n">
        <f aca="false">SQRT(($B90-Q$5)^2+($C90-Q$6)^2+($D90-Q$7)^2)</f>
        <v>3.1078541760172</v>
      </c>
      <c r="R90" s="74" t="n">
        <f aca="false">SQRT(($B90-R$5)^2+($C90-R$6)^2+($D90-R$7)^2)</f>
        <v>3.1402305045998</v>
      </c>
      <c r="S90" s="74" t="n">
        <f aca="false">SQRT(($B90-S$5)^2+($C90-S$6)^2+($D90-S$7)^2)</f>
        <v>2.73044816495833</v>
      </c>
      <c r="T90" s="74" t="n">
        <f aca="false">SQRT(($B90-T$5)^2+($C90-T$6)^2+($D90-T$7)^2)</f>
        <v>3.01692103291442</v>
      </c>
      <c r="U90" s="74" t="n">
        <f aca="false">SQRT(($B90-U$5)^2+($C90-U$6)^2+($D90-U$7)^2)</f>
        <v>3.1708052414637</v>
      </c>
      <c r="V90" s="74" t="n">
        <f aca="false">SQRT(($B90-V$5)^2+($C90-V$6)^2+($D90-V$7)^2)</f>
        <v>2.96067774502504</v>
      </c>
      <c r="W90" s="74" t="n">
        <f aca="false">SQRT(($B90-W$5)^2+($C90-W$6)^2+($D90-W$7)^2)</f>
        <v>3.15846876440963</v>
      </c>
      <c r="X90" s="74" t="n">
        <f aca="false">SQRT(($B90-X$5)^2+($C90-X$6)^2+($D90-X$7)^2)</f>
        <v>2.88960051407346</v>
      </c>
      <c r="Y90" s="74" t="n">
        <f aca="false">SQRT(($B90-Y$5)^2+($C90-Y$6)^2+($D90-Y$7)^2)</f>
        <v>3.04863031892141</v>
      </c>
      <c r="Z90" s="74" t="n">
        <f aca="false">SQRT(($B90-Z$5)^2+($C90-Z$6)^2+($D90-Z$7)^2)</f>
        <v>2.56294013040335</v>
      </c>
      <c r="AA90" s="74" t="n">
        <f aca="false">SQRT(($B90-AA$5)^2+($C90-AA$6)^2+($D90-AA$7)^2)</f>
        <v>2.53002302217332</v>
      </c>
      <c r="AB90" s="74" t="n">
        <f aca="false">SQRT(($B90-AB$5)^2+($C90-AB$6)^2+($D90-AB$7)^2)</f>
        <v>2.45977183312817</v>
      </c>
      <c r="AC90" s="74" t="n">
        <f aca="false">SQRT(($B90-AC$5)^2+($C90-AC$6)^2+($D90-AC$7)^2)</f>
        <v>2.9922924961288</v>
      </c>
      <c r="AD90" s="74" t="n">
        <f aca="false">SQRT(($B90-AD$5)^2+($C90-AD$6)^2+($D90-AD$7)^2)</f>
        <v>3.02719994109699</v>
      </c>
      <c r="AE90" s="74" t="n">
        <f aca="false">SQRT(($B90-AE$5)^2+($C90-AE$6)^2+($D90-AE$7)^2)</f>
        <v>1.12187453179208</v>
      </c>
      <c r="AF90" s="74" t="n">
        <f aca="false">SQRT(($B90-AF$5)^2+($C90-AF$6)^2+($D90-AF$7)^2)</f>
        <v>2.61162367428428</v>
      </c>
      <c r="AG90" s="74" t="n">
        <f aca="false">SQRT(($B90-AG$5)^2+($C90-AG$6)^2+($D90-AG$7)^2)</f>
        <v>1.18679207870095</v>
      </c>
      <c r="AH90" s="74" t="n">
        <f aca="false">SQRT(($B90-AH$5)^2+($C90-AH$6)^2+($D90-AH$7)^2)</f>
        <v>2.29357279548851</v>
      </c>
      <c r="AI90" s="74" t="n">
        <f aca="false">SQRT(($B90-AI$5)^2+($C90-AI$6)^2+($D90-AI$7)^2)</f>
        <v>1.18433257308519</v>
      </c>
      <c r="AJ90" s="74" t="n">
        <f aca="false">SQRT(($B90-AJ$5)^2+($C90-AJ$6)^2+($D90-AJ$7)^2)</f>
        <v>2.72545807802969</v>
      </c>
      <c r="AK90" s="74" t="n">
        <f aca="false">SQRT(($B90-AK$5)^2+($C90-AK$6)^2+($D90-AK$7)^2)</f>
        <v>1.98145061582978</v>
      </c>
      <c r="AL90" s="74" t="n">
        <f aca="false">SQRT(($B90-AL$5)^2+($C90-AL$6)^2+($D90-AL$7)^2)</f>
        <v>1.96152252075926</v>
      </c>
      <c r="AM90" s="74" t="n">
        <f aca="false">SQRT(($B90-AM$5)^2+($C90-AM$6)^2+($D90-AM$7)^2)</f>
        <v>2.6491638229065</v>
      </c>
      <c r="AN90" s="74" t="n">
        <f aca="false">SQRT(($B90-AN$5)^2+($C90-AN$6)^2+($D90-AN$7)^2)</f>
        <v>2.72487004408262</v>
      </c>
      <c r="AO90" s="74" t="n">
        <f aca="false">SQRT(($B90-AO$5)^2+($C90-AO$6)^2+($D90-AO$7)^2)</f>
        <v>2.13377058045948</v>
      </c>
      <c r="AP90" s="74" t="n">
        <f aca="false">SQRT(($B90-AP$5)^2+($C90-AP$6)^2+($D90-AP$7)^2)</f>
        <v>2.0698695284537</v>
      </c>
      <c r="AQ90" s="74" t="n">
        <f aca="false">SQRT(($B90-AQ$5)^2+($C90-AQ$6)^2+($D90-AQ$7)^2)</f>
        <v>2.7383511213083</v>
      </c>
      <c r="AR90" s="74" t="n">
        <f aca="false">SQRT(($B90-AR$5)^2+($C90-AR$6)^2+($D90-AR$7)^2)</f>
        <v>1.54054651197028</v>
      </c>
      <c r="AS90" s="74" t="n">
        <f aca="false">SQRT(($B90-AS$5)^2+($C90-AS$6)^2+($D90-AS$7)^2)</f>
        <v>2.25607977829141</v>
      </c>
      <c r="AT90" s="74" t="n">
        <f aca="false">SQRT(($B90-AT$5)^2+($C90-AT$6)^2+($D90-AT$7)^2)</f>
        <v>2.08462115780278</v>
      </c>
      <c r="AU90" s="74" t="n">
        <f aca="false">SQRT(($B90-AU$5)^2+($C90-AU$6)^2+($D90-AU$7)^2)</f>
        <v>0.951209368108768</v>
      </c>
      <c r="AV90" s="74" t="n">
        <f aca="false">SQRT(($B90-AV$5)^2+($C90-AV$6)^2+($D90-AV$7)^2)</f>
        <v>1.76628489225417</v>
      </c>
      <c r="AW90" s="74" t="n">
        <f aca="false">SQRT(($B90-AW$5)^2+($C90-AW$6)^2+($D90-AW$7)^2)</f>
        <v>0.666537994834314</v>
      </c>
      <c r="AX90" s="74" t="n">
        <f aca="false">SQRT(($B90-AX$5)^2+($C90-AX$6)^2+($D90-AX$7)^2)</f>
        <v>1.83322599909218</v>
      </c>
      <c r="AY90" s="74" t="n">
        <f aca="false">SQRT(($B90-AY$5)^2+($C90-AY$6)^2+($D90-AY$7)^2)</f>
        <v>0.546400939593829</v>
      </c>
      <c r="AZ90" s="74" t="n">
        <f aca="false">SQRT(($B90-AZ$5)^2+($C90-AZ$6)^2+($D90-AZ$7)^2)</f>
        <v>2.24564786983901</v>
      </c>
      <c r="BA90" s="74" t="n">
        <f aca="false">SQRT(($B90-BA$5)^2+($C90-BA$6)^2+($D90-BA$7)^2)</f>
        <v>2.08254378566058</v>
      </c>
      <c r="BB90" s="74" t="n">
        <f aca="false">SQRT(($B90-BB$5)^2+($C90-BB$6)^2+($D90-BB$7)^2)</f>
        <v>0.539854060597488</v>
      </c>
      <c r="BC90" s="74" t="n">
        <f aca="false">SQRT(($B90-BC$5)^2+($C90-BC$6)^2+($D90-BC$7)^2)</f>
        <v>0.533223779627156</v>
      </c>
      <c r="BD90" s="74" t="n">
        <f aca="false">SQRT(($B90-BD$5)^2+($C90-BD$6)^2+($D90-BD$7)^2)</f>
        <v>0.821977836726715</v>
      </c>
      <c r="BE90" s="74" t="n">
        <f aca="false">SQRT(($B90-BE$5)^2+($C90-BE$6)^2+($D90-BE$7)^2)</f>
        <v>1.0304553420798</v>
      </c>
      <c r="BF90" s="74" t="n">
        <f aca="false">SQRT(($B90-BF$5)^2+($C90-BF$6)^2+($D90-BF$7)^2)</f>
        <v>2.85152648820835</v>
      </c>
      <c r="BG90" s="74" t="n">
        <f aca="false">SQRT(($B90-BG$5)^2+($C90-BG$6)^2+($D90-BG$7)^2)</f>
        <v>1.89396132161514</v>
      </c>
      <c r="BH90" s="74" t="n">
        <f aca="false">SQRT(($B90-BH$5)^2+($C90-BH$6)^2+($D90-BH$7)^2)</f>
        <v>0.430261411518431</v>
      </c>
      <c r="BI90" s="74" t="n">
        <f aca="false">SQRT(($B90-BI$5)^2+($C90-BI$6)^2+($D90-BI$7)^2)</f>
        <v>0.413737165948496</v>
      </c>
      <c r="BJ90" s="74" t="n">
        <f aca="false">SQRT(($B90-BJ$5)^2+($C90-BJ$6)^2+($D90-BJ$7)^2)</f>
        <v>1.71830321444669</v>
      </c>
      <c r="BK90" s="74" t="n">
        <f aca="false">SQRT(($B90-BK$5)^2+($C90-BK$6)^2+($D90-BK$7)^2)</f>
        <v>0.82443123964198</v>
      </c>
      <c r="BL90" s="74" t="n">
        <f aca="false">SQRT(($B90-BL$5)^2+($C90-BL$6)^2+($D90-BL$7)^2)</f>
        <v>1.54798673975757</v>
      </c>
      <c r="BM90" s="74" t="n">
        <f aca="false">SQRT(($B90-BM$5)^2+($C90-BM$6)^2+($D90-BM$7)^2)</f>
        <v>2.07400029033663</v>
      </c>
      <c r="BN90" s="74" t="n">
        <f aca="false">SQRT(($B90-BN$5)^2+($C90-BN$6)^2+($D90-BN$7)^2)</f>
        <v>1.48254494207776</v>
      </c>
      <c r="BO90" s="74" t="n">
        <f aca="false">SQRT(($B90-BO$5)^2+($C90-BO$6)^2+($D90-BO$7)^2)</f>
        <v>0.426457679533652</v>
      </c>
      <c r="BP90" s="74" t="n">
        <f aca="false">SQRT(($B90-BP$5)^2+($C90-BP$6)^2+($D90-BP$7)^2)</f>
        <v>1.6569576653735</v>
      </c>
      <c r="BQ90" s="74" t="n">
        <f aca="false">SQRT(($B90-BQ$5)^2+($C90-BQ$6)^2+($D90-BQ$7)^2)</f>
        <v>1.63223526254995</v>
      </c>
      <c r="BR90" s="74" t="n">
        <f aca="false">SQRT(($B90-BR$5)^2+($C90-BR$6)^2+($D90-BR$7)^2)</f>
        <v>1.67478401459106</v>
      </c>
      <c r="BS90" s="74" t="n">
        <f aca="false">SQRT(($B90-BS$5)^2+($C90-BS$6)^2+($D90-BS$7)^2)</f>
        <v>1.75141772284163</v>
      </c>
      <c r="BT90" s="74" t="n">
        <f aca="false">SQRT(($B90-BT$5)^2+($C90-BT$6)^2+($D90-BT$7)^2)</f>
        <v>1.34574380589977</v>
      </c>
      <c r="BU90" s="74" t="n">
        <f aca="false">SQRT(($B90-BU$5)^2+($C90-BU$6)^2+($D90-BU$7)^2)</f>
        <v>1.26168440240816</v>
      </c>
      <c r="BV90" s="74" t="n">
        <f aca="false">SQRT(($B90-BV$5)^2+($C90-BV$6)^2+($D90-BV$7)^2)</f>
        <v>0.0855148119940385</v>
      </c>
      <c r="BW90" s="74" t="n">
        <f aca="false">SQRT(($B90-BW$5)^2+($C90-BW$6)^2+($D90-BW$7)^2)</f>
        <v>1.4340460441817</v>
      </c>
      <c r="BX90" s="74" t="n">
        <f aca="false">SQRT(($B90-BX$5)^2+($C90-BX$6)^2+($D90-BX$7)^2)</f>
        <v>0.0694990862667838</v>
      </c>
      <c r="BY90" s="74" t="n">
        <f aca="false">SQRT(($B90-BY$5)^2+($C90-BY$6)^2+($D90-BY$7)^2)</f>
        <v>0.964263145491242</v>
      </c>
      <c r="BZ90" s="74" t="n">
        <f aca="false">SQRT(($B90-BZ$5)^2+($C90-BZ$6)^2+($D90-BZ$7)^2)</f>
        <v>0.901902014668379</v>
      </c>
      <c r="CA90" s="74" t="n">
        <f aca="false">SQRT(($B90-CA$5)^2+($C90-CA$6)^2+($D90-CA$7)^2)</f>
        <v>0.0182639798390816</v>
      </c>
      <c r="CB90" s="74" t="n">
        <f aca="false">SQRT(($B90-CB$5)^2+($C90-CB$6)^2+($D90-CB$7)^2)</f>
        <v>0.901717068211154</v>
      </c>
      <c r="CC90" s="74" t="n">
        <f aca="false">SQRT(($B90-CC$5)^2+($C90-CC$6)^2+($D90-CC$7)^2)</f>
        <v>0</v>
      </c>
      <c r="CD90" s="74" t="n">
        <f aca="false">SQRT(($B90-CD$5)^2+($C90-CD$6)^2+($D90-CD$7)^2)</f>
        <v>0.0385709775696748</v>
      </c>
      <c r="CE90" s="74" t="n">
        <f aca="false">SQRT(($B90-CE$5)^2+($C90-CE$6)^2+($D90-CE$7)^2)</f>
        <v>1.19003688275566</v>
      </c>
      <c r="CF90" s="74" t="n">
        <f aca="false">SQRT(($B90-CF$5)^2+($C90-CF$6)^2+($D90-CF$7)^2)</f>
        <v>1.38942321733192</v>
      </c>
      <c r="CG90" s="74" t="n">
        <f aca="false">SQRT(($B90-CG$5)^2+($C90-CG$6)^2+($D90-CG$7)^2)</f>
        <v>0.921030341422246</v>
      </c>
      <c r="CH90" s="74" t="n">
        <f aca="false">SQRT(($B90-CH$5)^2+($C90-CH$6)^2+($D90-CH$7)^2)</f>
        <v>0.756287420463042</v>
      </c>
      <c r="CI90" s="74" t="n">
        <f aca="false">SQRT(($B90-CI$5)^2+($C90-CI$6)^2+($D90-CI$7)^2)</f>
        <v>0.66583871396485</v>
      </c>
      <c r="CJ90" s="74" t="n">
        <f aca="false">SQRT(($B90-CJ$5)^2+($C90-CJ$6)^2+($D90-CJ$7)^2)</f>
        <v>0.37934109509865</v>
      </c>
      <c r="CK90" s="74" t="n">
        <f aca="false">SQRT(($B90-CK$5)^2+($C90-CK$6)^2+($D90-CK$7)^2)</f>
        <v>1.14111005817922</v>
      </c>
      <c r="CL90" s="74" t="n">
        <f aca="false">SQRT(($B90-CL$5)^2+($C90-CL$6)^2+($D90-CL$7)^2)</f>
        <v>0.291263238984864</v>
      </c>
      <c r="CM90" s="74" t="n">
        <f aca="false">SQRT(($B90-CM$5)^2+($C90-CM$6)^2+($D90-CM$7)^2)</f>
        <v>0.879890635370693</v>
      </c>
      <c r="CN90" s="74" t="n">
        <f aca="false">SQRT(($B90-CN$5)^2+($C90-CN$6)^2+($D90-CN$7)^2)</f>
        <v>1.88523497223261</v>
      </c>
      <c r="CO90" s="74" t="n">
        <f aca="false">SQRT(($B90-CO$5)^2+($C90-CO$6)^2+($D90-CO$7)^2)</f>
        <v>1.16803565515705</v>
      </c>
      <c r="CP90" s="74" t="n">
        <f aca="false">SQRT(($B90-CP$5)^2+($C90-CP$6)^2+($D90-CP$7)^2)</f>
        <v>0.399333302821322</v>
      </c>
      <c r="CQ90" s="74" t="n">
        <f aca="false">SQRT(($B90-CQ$5)^2+($C90-CQ$6)^2+($D90-CQ$7)^2)</f>
        <v>0.866424221822404</v>
      </c>
      <c r="CR90" s="74" t="n">
        <f aca="false">SQRT(($B90-CR$5)^2+($C90-CR$6)^2+($D90-CR$7)^2)</f>
        <v>0.962206547959178</v>
      </c>
      <c r="CS90" s="74" t="n">
        <f aca="false">SQRT(($B90-CS$5)^2+($C90-CS$6)^2+($D90-CS$7)^2)</f>
        <v>0.486279945202792</v>
      </c>
      <c r="CT90" s="74" t="n">
        <f aca="false">SQRT(($B90-CT$5)^2+($C90-CT$6)^2+($D90-CT$7)^2)</f>
        <v>0.535886036161114</v>
      </c>
      <c r="CU90" s="74" t="n">
        <f aca="false">SQRT(($B90-CU$5)^2+($C90-CU$6)^2+($D90-CU$7)^2)</f>
        <v>0.816497575590475</v>
      </c>
      <c r="CV90" s="74" t="n">
        <f aca="false">SQRT(($B90-CV$5)^2+($C90-CV$6)^2+($D90-CV$7)^2)</f>
        <v>1.50915267816474</v>
      </c>
      <c r="CW90" s="74" t="n">
        <f aca="false">SQRT(($B90-CW$5)^2+($C90-CW$6)^2+($D90-CW$7)^2)</f>
        <v>0.535886036161114</v>
      </c>
      <c r="CX90" s="74" t="n">
        <f aca="false">SQRT(($B90-CX$5)^2+($C90-CX$6)^2+($D90-CX$7)^2)</f>
        <v>1.25842624114161</v>
      </c>
      <c r="CY90" s="74" t="n">
        <f aca="false">SQRT(($B90-CY$5)^2+($C90-CY$6)^2+($D90-CY$7)^2)</f>
        <v>0.590723025597793</v>
      </c>
      <c r="CZ90" s="74" t="n">
        <f aca="false">SQRT(($B90-CZ$5)^2+($C90-CZ$6)^2+($D90-CZ$7)^2)</f>
        <v>0.590723025597793</v>
      </c>
      <c r="DA90" s="74" t="n">
        <f aca="false">SQRT(($B90-DA$5)^2+($C90-DA$6)^2+($D90-DA$7)^2)</f>
        <v>0.87271219302991</v>
      </c>
      <c r="DB90" s="74" t="n">
        <f aca="false">SQRT(($B90-DB$5)^2+($C90-DB$6)^2+($D90-DB$7)^2)</f>
        <v>0.652025564236512</v>
      </c>
      <c r="DC90" s="74" t="n">
        <f aca="false">SQRT(($B90-DC$5)^2+($C90-DC$6)^2+($D90-DC$7)^2)</f>
        <v>0.652025564236512</v>
      </c>
      <c r="DD90" s="74" t="n">
        <f aca="false">SQRT(($B90-DD$5)^2+($C90-DD$6)^2+($D90-DD$7)^2)</f>
        <v>0.827228416744824</v>
      </c>
      <c r="DE90" s="74" t="n">
        <f aca="false">SQRT(($B90-DE$5)^2+($C90-DE$6)^2+($D90-DE$7)^2)</f>
        <v>0.863701356617473</v>
      </c>
      <c r="DF90" s="74" t="n">
        <f aca="false">SQRT(($B90-DF$5)^2+($C90-DF$6)^2+($D90-DF$7)^2)</f>
        <v>1.01278788948816</v>
      </c>
      <c r="DG90" s="74" t="n">
        <f aca="false">SQRT(($B90-DG$5)^2+($C90-DG$6)^2+($D90-DG$7)^2)</f>
        <v>1.16251778279462</v>
      </c>
      <c r="DH90" s="74" t="n">
        <f aca="false">SQRT(($B90-DH$5)^2+($C90-DH$6)^2+($D90-DH$7)^2)</f>
        <v>1.16251778279462</v>
      </c>
      <c r="DI90" s="74" t="n">
        <f aca="false">SQRT(($B90-DI$5)^2+($C90-DI$6)^2+($D90-DI$7)^2)</f>
        <v>1.16251778279462</v>
      </c>
      <c r="DJ90" s="74" t="n">
        <f aca="false">SQRT(($B90-DJ$5)^2+($C90-DJ$6)^2+($D90-DJ$7)^2)</f>
        <v>1.16251778279462</v>
      </c>
      <c r="DK90" s="74" t="n">
        <f aca="false">SQRT(($B90-DK$5)^2+($C90-DK$6)^2+($D90-DK$7)^2)</f>
        <v>1.37355021473981</v>
      </c>
      <c r="DL90" s="74" t="n">
        <f aca="false">SQRT(($B90-DL$5)^2+($C90-DL$6)^2+($D90-DL$7)^2)</f>
        <v>1.37355021473981</v>
      </c>
      <c r="DM90" s="74" t="n">
        <f aca="false">SQRT(($B90-DM$5)^2+($C90-DM$6)^2+($D90-DM$7)^2)</f>
        <v>1.37355021473981</v>
      </c>
      <c r="DN90" s="74" t="n">
        <f aca="false">SQRT(($B90-DN$5)^2+($C90-DN$6)^2+($D90-DN$7)^2)</f>
        <v>1.37355021473981</v>
      </c>
      <c r="DO90" s="74" t="n">
        <f aca="false">SQRT(($B90-DO$5)^2+($C90-DO$6)^2+($D90-DO$7)^2)</f>
        <v>1.37355021473981</v>
      </c>
      <c r="DP90" s="74" t="n">
        <f aca="false">SQRT(($B90-DP$5)^2+($C90-DP$6)^2+($D90-DP$7)^2)</f>
        <v>1.73431253999145</v>
      </c>
      <c r="DQ90" s="74" t="n">
        <f aca="false">SQRT(($B90-DQ$5)^2+($C90-DQ$6)^2+($D90-DQ$7)^2)</f>
        <v>1.73431253999145</v>
      </c>
    </row>
    <row r="91" customFormat="false" ht="15" hidden="false" customHeight="false" outlineLevel="0" collapsed="false">
      <c r="A91" s="48" t="str">
        <f aca="false">KMeans_Data!A82</f>
        <v>Sheikhupura</v>
      </c>
      <c r="B91" s="72" t="n">
        <f aca="false">KMeans_Data!H82</f>
        <v>-0.383996419381545</v>
      </c>
      <c r="C91" s="72" t="n">
        <f aca="false">KMeans_Data!I82</f>
        <v>-0.672650545388274</v>
      </c>
      <c r="D91" s="72" t="n">
        <f aca="false">KMeans_Data!J82</f>
        <v>-1.14564411633355</v>
      </c>
      <c r="E91" s="74" t="n">
        <f aca="false">SQRT(($B91-E$5)^2+($C91-E$6)^2+($D91-E$7)^2)</f>
        <v>7.41127487875453</v>
      </c>
      <c r="F91" s="74" t="n">
        <f aca="false">SQRT(($B91-F$5)^2+($C91-F$6)^2+($D91-F$7)^2)</f>
        <v>7.15335563181141</v>
      </c>
      <c r="G91" s="74" t="n">
        <f aca="false">SQRT(($B91-G$5)^2+($C91-G$6)^2+($D91-G$7)^2)</f>
        <v>5.36027799872395</v>
      </c>
      <c r="H91" s="74" t="n">
        <f aca="false">SQRT(($B91-H$5)^2+($C91-H$6)^2+($D91-H$7)^2)</f>
        <v>5.75658036854937</v>
      </c>
      <c r="I91" s="74" t="n">
        <f aca="false">SQRT(($B91-I$5)^2+($C91-I$6)^2+($D91-I$7)^2)</f>
        <v>4.70165619325942</v>
      </c>
      <c r="J91" s="74" t="n">
        <f aca="false">SQRT(($B91-J$5)^2+($C91-J$6)^2+($D91-J$7)^2)</f>
        <v>4.31971268842835</v>
      </c>
      <c r="K91" s="74" t="n">
        <f aca="false">SQRT(($B91-K$5)^2+($C91-K$6)^2+($D91-K$7)^2)</f>
        <v>1.94105652689815</v>
      </c>
      <c r="L91" s="74" t="n">
        <f aca="false">SQRT(($B91-L$5)^2+($C91-L$6)^2+($D91-L$7)^2)</f>
        <v>3.60159967151503</v>
      </c>
      <c r="M91" s="74" t="n">
        <f aca="false">SQRT(($B91-M$5)^2+($C91-M$6)^2+($D91-M$7)^2)</f>
        <v>3.78462002275459</v>
      </c>
      <c r="N91" s="74" t="n">
        <f aca="false">SQRT(($B91-N$5)^2+($C91-N$6)^2+($D91-N$7)^2)</f>
        <v>1.70100433158828</v>
      </c>
      <c r="O91" s="74" t="n">
        <f aca="false">SQRT(($B91-O$5)^2+($C91-O$6)^2+($D91-O$7)^2)</f>
        <v>3.39063878457024</v>
      </c>
      <c r="P91" s="74" t="n">
        <f aca="false">SQRT(($B91-P$5)^2+($C91-P$6)^2+($D91-P$7)^2)</f>
        <v>3.68644902723366</v>
      </c>
      <c r="Q91" s="74" t="n">
        <f aca="false">SQRT(($B91-Q$5)^2+($C91-Q$6)^2+($D91-Q$7)^2)</f>
        <v>3.12527035485069</v>
      </c>
      <c r="R91" s="74" t="n">
        <f aca="false">SQRT(($B91-R$5)^2+($C91-R$6)^2+($D91-R$7)^2)</f>
        <v>3.1574046827609</v>
      </c>
      <c r="S91" s="74" t="n">
        <f aca="false">SQRT(($B91-S$5)^2+($C91-S$6)^2+($D91-S$7)^2)</f>
        <v>2.74976848650466</v>
      </c>
      <c r="T91" s="74" t="n">
        <f aca="false">SQRT(($B91-T$5)^2+($C91-T$6)^2+($D91-T$7)^2)</f>
        <v>3.03394511880917</v>
      </c>
      <c r="U91" s="74" t="n">
        <f aca="false">SQRT(($B91-U$5)^2+($C91-U$6)^2+($D91-U$7)^2)</f>
        <v>3.18591240072467</v>
      </c>
      <c r="V91" s="74" t="n">
        <f aca="false">SQRT(($B91-V$5)^2+($C91-V$6)^2+($D91-V$7)^2)</f>
        <v>2.97649952020717</v>
      </c>
      <c r="W91" s="74" t="n">
        <f aca="false">SQRT(($B91-W$5)^2+($C91-W$6)^2+($D91-W$7)^2)</f>
        <v>3.1732818925938</v>
      </c>
      <c r="X91" s="74" t="n">
        <f aca="false">SQRT(($B91-X$5)^2+($C91-X$6)^2+($D91-X$7)^2)</f>
        <v>2.90565966763584</v>
      </c>
      <c r="Y91" s="74" t="n">
        <f aca="false">SQRT(($B91-Y$5)^2+($C91-Y$6)^2+($D91-Y$7)^2)</f>
        <v>3.06320271250104</v>
      </c>
      <c r="Z91" s="74" t="n">
        <f aca="false">SQRT(($B91-Z$5)^2+($C91-Z$6)^2+($D91-Z$7)^2)</f>
        <v>2.58019399364906</v>
      </c>
      <c r="AA91" s="74" t="n">
        <f aca="false">SQRT(($B91-AA$5)^2+($C91-AA$6)^2+($D91-AA$7)^2)</f>
        <v>2.54746773899867</v>
      </c>
      <c r="AB91" s="74" t="n">
        <f aca="false">SQRT(($B91-AB$5)^2+($C91-AB$6)^2+($D91-AB$7)^2)</f>
        <v>2.4777112139155</v>
      </c>
      <c r="AC91" s="74" t="n">
        <f aca="false">SQRT(($B91-AC$5)^2+($C91-AC$6)^2+($D91-AC$7)^2)</f>
        <v>3.00677844362123</v>
      </c>
      <c r="AD91" s="74" t="n">
        <f aca="false">SQRT(($B91-AD$5)^2+($C91-AD$6)^2+($D91-AD$7)^2)</f>
        <v>3.04083973317411</v>
      </c>
      <c r="AE91" s="74" t="n">
        <f aca="false">SQRT(($B91-AE$5)^2+($C91-AE$6)^2+($D91-AE$7)^2)</f>
        <v>1.15609059396551</v>
      </c>
      <c r="AF91" s="74" t="n">
        <f aca="false">SQRT(($B91-AF$5)^2+($C91-AF$6)^2+($D91-AF$7)^2)</f>
        <v>2.62586799343572</v>
      </c>
      <c r="AG91" s="74" t="n">
        <f aca="false">SQRT(($B91-AG$5)^2+($C91-AG$6)^2+($D91-AG$7)^2)</f>
        <v>1.2170369717697</v>
      </c>
      <c r="AH91" s="74" t="n">
        <f aca="false">SQRT(($B91-AH$5)^2+($C91-AH$6)^2+($D91-AH$7)^2)</f>
        <v>2.30936781842824</v>
      </c>
      <c r="AI91" s="74" t="n">
        <f aca="false">SQRT(($B91-AI$5)^2+($C91-AI$6)^2+($D91-AI$7)^2)</f>
        <v>1.21453823410515</v>
      </c>
      <c r="AJ91" s="74" t="n">
        <f aca="false">SQRT(($B91-AJ$5)^2+($C91-AJ$6)^2+($D91-AJ$7)^2)</f>
        <v>2.73862895778074</v>
      </c>
      <c r="AK91" s="74" t="n">
        <f aca="false">SQRT(($B91-AK$5)^2+($C91-AK$6)^2+($D91-AK$7)^2)</f>
        <v>1.998822194094</v>
      </c>
      <c r="AL91" s="74" t="n">
        <f aca="false">SQRT(($B91-AL$5)^2+($C91-AL$6)^2+($D91-AL$7)^2)</f>
        <v>1.97815562162282</v>
      </c>
      <c r="AM91" s="74" t="n">
        <f aca="false">SQRT(($B91-AM$5)^2+($C91-AM$6)^2+($D91-AM$7)^2)</f>
        <v>2.66150296346046</v>
      </c>
      <c r="AN91" s="74" t="n">
        <f aca="false">SQRT(($B91-AN$5)^2+($C91-AN$6)^2+($D91-AN$7)^2)</f>
        <v>2.73642980712349</v>
      </c>
      <c r="AO91" s="74" t="n">
        <f aca="false">SQRT(($B91-AO$5)^2+($C91-AO$6)^2+($D91-AO$7)^2)</f>
        <v>2.14814652843904</v>
      </c>
      <c r="AP91" s="74" t="n">
        <f aca="false">SQRT(($B91-AP$5)^2+($C91-AP$6)^2+($D91-AP$7)^2)</f>
        <v>2.08460883384328</v>
      </c>
      <c r="AQ91" s="74" t="n">
        <f aca="false">SQRT(($B91-AQ$5)^2+($C91-AQ$6)^2+($D91-AQ$7)^2)</f>
        <v>2.74920870237231</v>
      </c>
      <c r="AR91" s="74" t="n">
        <f aca="false">SQRT(($B91-AR$5)^2+($C91-AR$6)^2+($D91-AR$7)^2)</f>
        <v>1.55932433936069</v>
      </c>
      <c r="AS91" s="74" t="n">
        <f aca="false">SQRT(($B91-AS$5)^2+($C91-AS$6)^2+($D91-AS$7)^2)</f>
        <v>2.26770662859221</v>
      </c>
      <c r="AT91" s="74" t="n">
        <f aca="false">SQRT(($B91-AT$5)^2+($C91-AT$6)^2+($D91-AT$7)^2)</f>
        <v>2.09640048203419</v>
      </c>
      <c r="AU91" s="74" t="n">
        <f aca="false">SQRT(($B91-AU$5)^2+($C91-AU$6)^2+($D91-AU$7)^2)</f>
        <v>0.976302420740829</v>
      </c>
      <c r="AV91" s="74" t="n">
        <f aca="false">SQRT(($B91-AV$5)^2+($C91-AV$6)^2+($D91-AV$7)^2)</f>
        <v>1.7797979847493</v>
      </c>
      <c r="AW91" s="74" t="n">
        <f aca="false">SQRT(($B91-AW$5)^2+($C91-AW$6)^2+($D91-AW$7)^2)</f>
        <v>0.70058171229835</v>
      </c>
      <c r="AX91" s="74" t="n">
        <f aca="false">SQRT(($B91-AX$5)^2+($C91-AX$6)^2+($D91-AX$7)^2)</f>
        <v>1.84574911727622</v>
      </c>
      <c r="AY91" s="74" t="n">
        <f aca="false">SQRT(($B91-AY$5)^2+($C91-AY$6)^2+($D91-AY$7)^2)</f>
        <v>0.584971917163504</v>
      </c>
      <c r="AZ91" s="74" t="n">
        <f aca="false">SQRT(($B91-AZ$5)^2+($C91-AZ$6)^2+($D91-AZ$7)^2)</f>
        <v>2.25534310303186</v>
      </c>
      <c r="BA91" s="74" t="n">
        <f aca="false">SQRT(($B91-BA$5)^2+($C91-BA$6)^2+($D91-BA$7)^2)</f>
        <v>2.09287403759247</v>
      </c>
      <c r="BB91" s="74" t="n">
        <f aca="false">SQRT(($B91-BB$5)^2+($C91-BB$6)^2+($D91-BB$7)^2)</f>
        <v>0.578425038167163</v>
      </c>
      <c r="BC91" s="74" t="n">
        <f aca="false">SQRT(($B91-BC$5)^2+($C91-BC$6)^2+($D91-BC$7)^2)</f>
        <v>0.571794757196831</v>
      </c>
      <c r="BD91" s="74" t="n">
        <f aca="false">SQRT(($B91-BD$5)^2+($C91-BD$6)^2+($D91-BD$7)^2)</f>
        <v>0.846578109038431</v>
      </c>
      <c r="BE91" s="74" t="n">
        <f aca="false">SQRT(($B91-BE$5)^2+($C91-BE$6)^2+($D91-BE$7)^2)</f>
        <v>1.04966658489125</v>
      </c>
      <c r="BF91" s="74" t="n">
        <f aca="false">SQRT(($B91-BF$5)^2+($C91-BF$6)^2+($D91-BF$7)^2)</f>
        <v>2.85823025220848</v>
      </c>
      <c r="BG91" s="74" t="n">
        <f aca="false">SQRT(($B91-BG$5)^2+($C91-BG$6)^2+($D91-BG$7)^2)</f>
        <v>1.9034190024758</v>
      </c>
      <c r="BH91" s="74" t="n">
        <f aca="false">SQRT(($B91-BH$5)^2+($C91-BH$6)^2+($D91-BH$7)^2)</f>
        <v>0.468832389088106</v>
      </c>
      <c r="BI91" s="74" t="n">
        <f aca="false">SQRT(($B91-BI$5)^2+($C91-BI$6)^2+($D91-BI$7)^2)</f>
        <v>0.452308143518171</v>
      </c>
      <c r="BJ91" s="74" t="n">
        <f aca="false">SQRT(($B91-BJ$5)^2+($C91-BJ$6)^2+($D91-BJ$7)^2)</f>
        <v>1.72701887874527</v>
      </c>
      <c r="BK91" s="74" t="n">
        <f aca="false">SQRT(($B91-BK$5)^2+($C91-BK$6)^2+($D91-BK$7)^2)</f>
        <v>0.841594353578997</v>
      </c>
      <c r="BL91" s="74" t="n">
        <f aca="false">SQRT(($B91-BL$5)^2+($C91-BL$6)^2+($D91-BL$7)^2)</f>
        <v>1.55695870666329</v>
      </c>
      <c r="BM91" s="74" t="n">
        <f aca="false">SQRT(($B91-BM$5)^2+($C91-BM$6)^2+($D91-BM$7)^2)</f>
        <v>2.08015378217998</v>
      </c>
      <c r="BN91" s="74" t="n">
        <f aca="false">SQRT(($B91-BN$5)^2+($C91-BN$6)^2+($D91-BN$7)^2)</f>
        <v>1.49087456934359</v>
      </c>
      <c r="BO91" s="74" t="n">
        <f aca="false">SQRT(($B91-BO$5)^2+($C91-BO$6)^2+($D91-BO$7)^2)</f>
        <v>0.452763318453459</v>
      </c>
      <c r="BP91" s="74" t="n">
        <f aca="false">SQRT(($B91-BP$5)^2+($C91-BP$6)^2+($D91-BP$7)^2)</f>
        <v>1.66314339384673</v>
      </c>
      <c r="BQ91" s="74" t="n">
        <f aca="false">SQRT(($B91-BQ$5)^2+($C91-BQ$6)^2+($D91-BQ$7)^2)</f>
        <v>1.63823896581825</v>
      </c>
      <c r="BR91" s="74" t="n">
        <f aca="false">SQRT(($B91-BR$5)^2+($C91-BR$6)^2+($D91-BR$7)^2)</f>
        <v>1.68007995947767</v>
      </c>
      <c r="BS91" s="74" t="n">
        <f aca="false">SQRT(($B91-BS$5)^2+($C91-BS$6)^2+($D91-BS$7)^2)</f>
        <v>1.75563543310425</v>
      </c>
      <c r="BT91" s="74" t="n">
        <f aca="false">SQRT(($B91-BT$5)^2+($C91-BT$6)^2+($D91-BT$7)^2)</f>
        <v>1.35003866778285</v>
      </c>
      <c r="BU91" s="74" t="n">
        <f aca="false">SQRT(($B91-BU$5)^2+($C91-BU$6)^2+($D91-BU$7)^2)</f>
        <v>1.26626440551385</v>
      </c>
      <c r="BV91" s="74" t="n">
        <f aca="false">SQRT(($B91-BV$5)^2+($C91-BV$6)^2+($D91-BV$7)^2)</f>
        <v>0.124085789563713</v>
      </c>
      <c r="BW91" s="74" t="n">
        <f aca="false">SQRT(($B91-BW$5)^2+($C91-BW$6)^2+($D91-BW$7)^2)</f>
        <v>1.43643206332178</v>
      </c>
      <c r="BX91" s="74" t="n">
        <f aca="false">SQRT(($B91-BX$5)^2+($C91-BX$6)^2+($D91-BX$7)^2)</f>
        <v>0.108070063836459</v>
      </c>
      <c r="BY91" s="74" t="n">
        <f aca="false">SQRT(($B91-BY$5)^2+($C91-BY$6)^2+($D91-BY$7)^2)</f>
        <v>0.966468418009918</v>
      </c>
      <c r="BZ91" s="74" t="n">
        <f aca="false">SQRT(($B91-BZ$5)^2+($C91-BZ$6)^2+($D91-BZ$7)^2)</f>
        <v>0.903506437988669</v>
      </c>
      <c r="CA91" s="74" t="n">
        <f aca="false">SQRT(($B91-CA$5)^2+($C91-CA$6)^2+($D91-CA$7)^2)</f>
        <v>0.0568349574087564</v>
      </c>
      <c r="CB91" s="74" t="n">
        <f aca="false">SQRT(($B91-CB$5)^2+($C91-CB$6)^2+($D91-CB$7)^2)</f>
        <v>0.902541628632164</v>
      </c>
      <c r="CC91" s="74" t="n">
        <f aca="false">SQRT(($B91-CC$5)^2+($C91-CC$6)^2+($D91-CC$7)^2)</f>
        <v>0.0385709775696748</v>
      </c>
      <c r="CD91" s="74" t="n">
        <f aca="false">SQRT(($B91-CD$5)^2+($C91-CD$6)^2+($D91-CD$7)^2)</f>
        <v>0</v>
      </c>
      <c r="CE91" s="74" t="n">
        <f aca="false">SQRT(($B91-CE$5)^2+($C91-CE$6)^2+($D91-CE$7)^2)</f>
        <v>1.18874948893506</v>
      </c>
      <c r="CF91" s="74" t="n">
        <f aca="false">SQRT(($B91-CF$5)^2+($C91-CF$6)^2+($D91-CF$7)^2)</f>
        <v>1.38832072734853</v>
      </c>
      <c r="CG91" s="74" t="n">
        <f aca="false">SQRT(($B91-CG$5)^2+($C91-CG$6)^2+($D91-CG$7)^2)</f>
        <v>0.91657074769141</v>
      </c>
      <c r="CH91" s="74" t="n">
        <f aca="false">SQRT(($B91-CH$5)^2+($C91-CH$6)^2+($D91-CH$7)^2)</f>
        <v>0.750849990380138</v>
      </c>
      <c r="CI91" s="74" t="n">
        <f aca="false">SQRT(($B91-CI$5)^2+($C91-CI$6)^2+($D91-CI$7)^2)</f>
        <v>0.65674921231337</v>
      </c>
      <c r="CJ91" s="74" t="n">
        <f aca="false">SQRT(($B91-CJ$5)^2+($C91-CJ$6)^2+($D91-CJ$7)^2)</f>
        <v>0.360303443900833</v>
      </c>
      <c r="CK91" s="74" t="n">
        <f aca="false">SQRT(($B91-CK$5)^2+($C91-CK$6)^2+($D91-CK$7)^2)</f>
        <v>1.13295425881649</v>
      </c>
      <c r="CL91" s="74" t="n">
        <f aca="false">SQRT(($B91-CL$5)^2+($C91-CL$6)^2+($D91-CL$7)^2)</f>
        <v>0.252692261415189</v>
      </c>
      <c r="CM91" s="74" t="n">
        <f aca="false">SQRT(($B91-CM$5)^2+($C91-CM$6)^2+($D91-CM$7)^2)</f>
        <v>0.86788630292695</v>
      </c>
      <c r="CN91" s="74" t="n">
        <f aca="false">SQRT(($B91-CN$5)^2+($C91-CN$6)^2+($D91-CN$7)^2)</f>
        <v>1.8782355309516</v>
      </c>
      <c r="CO91" s="74" t="n">
        <f aca="false">SQRT(($B91-CO$5)^2+($C91-CO$6)^2+($D91-CO$7)^2)</f>
        <v>1.15541752639336</v>
      </c>
      <c r="CP91" s="74" t="n">
        <f aca="false">SQRT(($B91-CP$5)^2+($C91-CP$6)^2+($D91-CP$7)^2)</f>
        <v>0.360762325251648</v>
      </c>
      <c r="CQ91" s="74" t="n">
        <f aca="false">SQRT(($B91-CQ$5)^2+($C91-CQ$6)^2+($D91-CQ$7)^2)</f>
        <v>0.84744296565802</v>
      </c>
      <c r="CR91" s="74" t="n">
        <f aca="false">SQRT(($B91-CR$5)^2+($C91-CR$6)^2+($D91-CR$7)^2)</f>
        <v>0.943300893420652</v>
      </c>
      <c r="CS91" s="74" t="n">
        <f aca="false">SQRT(($B91-CS$5)^2+($C91-CS$6)^2+($D91-CS$7)^2)</f>
        <v>0.447708967633117</v>
      </c>
      <c r="CT91" s="74" t="n">
        <f aca="false">SQRT(($B91-CT$5)^2+($C91-CT$6)^2+($D91-CT$7)^2)</f>
        <v>0.497315058591439</v>
      </c>
      <c r="CU91" s="74" t="n">
        <f aca="false">SQRT(($B91-CU$5)^2+($C91-CU$6)^2+($D91-CU$7)^2)</f>
        <v>0.791717572556313</v>
      </c>
      <c r="CV91" s="74" t="n">
        <f aca="false">SQRT(($B91-CV$5)^2+($C91-CV$6)^2+($D91-CV$7)^2)</f>
        <v>1.49589111561007</v>
      </c>
      <c r="CW91" s="74" t="n">
        <f aca="false">SQRT(($B91-CW$5)^2+($C91-CW$6)^2+($D91-CW$7)^2)</f>
        <v>0.497315058591439</v>
      </c>
      <c r="CX91" s="74" t="n">
        <f aca="false">SQRT(($B91-CX$5)^2+($C91-CX$6)^2+($D91-CX$7)^2)</f>
        <v>1.24078797365385</v>
      </c>
      <c r="CY91" s="74" t="n">
        <f aca="false">SQRT(($B91-CY$5)^2+($C91-CY$6)^2+($D91-CY$7)^2)</f>
        <v>0.552152048028119</v>
      </c>
      <c r="CZ91" s="74" t="n">
        <f aca="false">SQRT(($B91-CZ$5)^2+($C91-CZ$6)^2+($D91-CZ$7)^2)</f>
        <v>0.552152048028119</v>
      </c>
      <c r="DA91" s="74" t="n">
        <f aca="false">SQRT(($B91-DA$5)^2+($C91-DA$6)^2+($D91-DA$7)^2)</f>
        <v>0.847080139675881</v>
      </c>
      <c r="DB91" s="74" t="n">
        <f aca="false">SQRT(($B91-DB$5)^2+($C91-DB$6)^2+($D91-DB$7)^2)</f>
        <v>0.613454586666837</v>
      </c>
      <c r="DC91" s="74" t="n">
        <f aca="false">SQRT(($B91-DC$5)^2+($C91-DC$6)^2+($D91-DC$7)^2)</f>
        <v>0.613454586666837</v>
      </c>
      <c r="DD91" s="74" t="n">
        <f aca="false">SQRT(($B91-DD$5)^2+($C91-DD$6)^2+($D91-DD$7)^2)</f>
        <v>0.797180059305792</v>
      </c>
      <c r="DE91" s="74" t="n">
        <f aca="false">SQRT(($B91-DE$5)^2+($C91-DE$6)^2+($D91-DE$7)^2)</f>
        <v>0.828020996228377</v>
      </c>
      <c r="DF91" s="74" t="n">
        <f aca="false">SQRT(($B91-DF$5)^2+($C91-DF$6)^2+($D91-DF$7)^2)</f>
        <v>0.974216911918485</v>
      </c>
      <c r="DG91" s="74" t="n">
        <f aca="false">SQRT(($B91-DG$5)^2+($C91-DG$6)^2+($D91-DG$7)^2)</f>
        <v>1.12394680522495</v>
      </c>
      <c r="DH91" s="74" t="n">
        <f aca="false">SQRT(($B91-DH$5)^2+($C91-DH$6)^2+($D91-DH$7)^2)</f>
        <v>1.12394680522495</v>
      </c>
      <c r="DI91" s="74" t="n">
        <f aca="false">SQRT(($B91-DI$5)^2+($C91-DI$6)^2+($D91-DI$7)^2)</f>
        <v>1.12394680522495</v>
      </c>
      <c r="DJ91" s="74" t="n">
        <f aca="false">SQRT(($B91-DJ$5)^2+($C91-DJ$6)^2+($D91-DJ$7)^2)</f>
        <v>1.12394680522495</v>
      </c>
      <c r="DK91" s="74" t="n">
        <f aca="false">SQRT(($B91-DK$5)^2+($C91-DK$6)^2+($D91-DK$7)^2)</f>
        <v>1.33497923717013</v>
      </c>
      <c r="DL91" s="74" t="n">
        <f aca="false">SQRT(($B91-DL$5)^2+($C91-DL$6)^2+($D91-DL$7)^2)</f>
        <v>1.33497923717013</v>
      </c>
      <c r="DM91" s="74" t="n">
        <f aca="false">SQRT(($B91-DM$5)^2+($C91-DM$6)^2+($D91-DM$7)^2)</f>
        <v>1.33497923717013</v>
      </c>
      <c r="DN91" s="74" t="n">
        <f aca="false">SQRT(($B91-DN$5)^2+($C91-DN$6)^2+($D91-DN$7)^2)</f>
        <v>1.33497923717013</v>
      </c>
      <c r="DO91" s="74" t="n">
        <f aca="false">SQRT(($B91-DO$5)^2+($C91-DO$6)^2+($D91-DO$7)^2)</f>
        <v>1.33497923717013</v>
      </c>
      <c r="DP91" s="74" t="n">
        <f aca="false">SQRT(($B91-DP$5)^2+($C91-DP$6)^2+($D91-DP$7)^2)</f>
        <v>1.69574156242178</v>
      </c>
      <c r="DQ91" s="74" t="n">
        <f aca="false">SQRT(($B91-DQ$5)^2+($C91-DQ$6)^2+($D91-DQ$7)^2)</f>
        <v>1.69574156242178</v>
      </c>
    </row>
    <row r="92" customFormat="false" ht="15" hidden="false" customHeight="false" outlineLevel="0" collapsed="false">
      <c r="A92" s="48" t="str">
        <f aca="false">KMeans_Data!A83</f>
        <v>Diamer</v>
      </c>
      <c r="B92" s="72" t="n">
        <f aca="false">KMeans_Data!H83</f>
        <v>-0.404409624645938</v>
      </c>
      <c r="C92" s="72" t="n">
        <f aca="false">KMeans_Data!I83</f>
        <v>-0.672650545388274</v>
      </c>
      <c r="D92" s="72" t="n">
        <f aca="false">KMeans_Data!J83</f>
        <v>0.042930091906806</v>
      </c>
      <c r="E92" s="74" t="n">
        <f aca="false">SQRT(($B92-E$5)^2+($C92-E$6)^2+($D92-E$7)^2)</f>
        <v>6.78483078825686</v>
      </c>
      <c r="F92" s="74" t="n">
        <f aca="false">SQRT(($B92-F$5)^2+($C92-F$6)^2+($D92-F$7)^2)</f>
        <v>6.60580413450718</v>
      </c>
      <c r="G92" s="74" t="n">
        <f aca="false">SQRT(($B92-G$5)^2+($C92-G$6)^2+($D92-G$7)^2)</f>
        <v>4.67922116821655</v>
      </c>
      <c r="H92" s="74" t="n">
        <f aca="false">SQRT(($B92-H$5)^2+($C92-H$6)^2+($D92-H$7)^2)</f>
        <v>5.2953812381622</v>
      </c>
      <c r="I92" s="74" t="n">
        <f aca="false">SQRT(($B92-I$5)^2+($C92-I$6)^2+($D92-I$7)^2)</f>
        <v>4.1069178785359</v>
      </c>
      <c r="J92" s="74" t="n">
        <f aca="false">SQRT(($B92-J$5)^2+($C92-J$6)^2+($D92-J$7)^2)</f>
        <v>3.74099944618606</v>
      </c>
      <c r="K92" s="74" t="n">
        <f aca="false">SQRT(($B92-K$5)^2+($C92-K$6)^2+($D92-K$7)^2)</f>
        <v>2.11840826879891</v>
      </c>
      <c r="L92" s="74" t="n">
        <f aca="false">SQRT(($B92-L$5)^2+($C92-L$6)^2+($D92-L$7)^2)</f>
        <v>2.76276562352336</v>
      </c>
      <c r="M92" s="74" t="n">
        <f aca="false">SQRT(($B92-M$5)^2+($C92-M$6)^2+($D92-M$7)^2)</f>
        <v>3.00827371744984</v>
      </c>
      <c r="N92" s="74" t="n">
        <f aca="false">SQRT(($B92-N$5)^2+($C92-N$6)^2+($D92-N$7)^2)</f>
        <v>1.89940444118573</v>
      </c>
      <c r="O92" s="74" t="n">
        <f aca="false">SQRT(($B92-O$5)^2+($C92-O$6)^2+($D92-O$7)^2)</f>
        <v>2.81051582283923</v>
      </c>
      <c r="P92" s="74" t="n">
        <f aca="false">SQRT(($B92-P$5)^2+($C92-P$6)^2+($D92-P$7)^2)</f>
        <v>3.09313981717922</v>
      </c>
      <c r="Q92" s="74" t="n">
        <f aca="false">SQRT(($B92-Q$5)^2+($C92-Q$6)^2+($D92-Q$7)^2)</f>
        <v>2.43860936818106</v>
      </c>
      <c r="R92" s="74" t="n">
        <f aca="false">SQRT(($B92-R$5)^2+($C92-R$6)^2+($D92-R$7)^2)</f>
        <v>2.28508675025144</v>
      </c>
      <c r="S92" s="74" t="n">
        <f aca="false">SQRT(($B92-S$5)^2+($C92-S$6)^2+($D92-S$7)^2)</f>
        <v>1.87988537654066</v>
      </c>
      <c r="T92" s="74" t="n">
        <f aca="false">SQRT(($B92-T$5)^2+($C92-T$6)^2+($D92-T$7)^2)</f>
        <v>2.36190996672136</v>
      </c>
      <c r="U92" s="74" t="n">
        <f aca="false">SQRT(($B92-U$5)^2+($C92-U$6)^2+($D92-U$7)^2)</f>
        <v>2.26448379115399</v>
      </c>
      <c r="V92" s="74" t="n">
        <f aca="false">SQRT(($B92-V$5)^2+($C92-V$6)^2+($D92-V$7)^2)</f>
        <v>2.47587394707795</v>
      </c>
      <c r="W92" s="74" t="n">
        <f aca="false">SQRT(($B92-W$5)^2+($C92-W$6)^2+($D92-W$7)^2)</f>
        <v>2.56686905292582</v>
      </c>
      <c r="X92" s="74" t="n">
        <f aca="false">SQRT(($B92-X$5)^2+($C92-X$6)^2+($D92-X$7)^2)</f>
        <v>2.1721526742101</v>
      </c>
      <c r="Y92" s="74" t="n">
        <f aca="false">SQRT(($B92-Y$5)^2+($C92-Y$6)^2+($D92-Y$7)^2)</f>
        <v>2.25959189488248</v>
      </c>
      <c r="Z92" s="74" t="n">
        <f aca="false">SQRT(($B92-Z$5)^2+($C92-Z$6)^2+($D92-Z$7)^2)</f>
        <v>1.98117455274317</v>
      </c>
      <c r="AA92" s="74" t="n">
        <f aca="false">SQRT(($B92-AA$5)^2+($C92-AA$6)^2+($D92-AA$7)^2)</f>
        <v>1.71631009884071</v>
      </c>
      <c r="AB92" s="74" t="n">
        <f aca="false">SQRT(($B92-AB$5)^2+($C92-AB$6)^2+($D92-AB$7)^2)</f>
        <v>1.81398955424789</v>
      </c>
      <c r="AC92" s="74" t="n">
        <f aca="false">SQRT(($B92-AC$5)^2+($C92-AC$6)^2+($D92-AC$7)^2)</f>
        <v>2.45906533185011</v>
      </c>
      <c r="AD92" s="74" t="n">
        <f aca="false">SQRT(($B92-AD$5)^2+($C92-AD$6)^2+($D92-AD$7)^2)</f>
        <v>2.2230834487514</v>
      </c>
      <c r="AE92" s="74" t="n">
        <f aca="false">SQRT(($B92-AE$5)^2+($C92-AE$6)^2+($D92-AE$7)^2)</f>
        <v>1.67084066197764</v>
      </c>
      <c r="AF92" s="74" t="n">
        <f aca="false">SQRT(($B92-AF$5)^2+($C92-AF$6)^2+($D92-AF$7)^2)</f>
        <v>1.88399863129129</v>
      </c>
      <c r="AG92" s="74" t="n">
        <f aca="false">SQRT(($B92-AG$5)^2+($C92-AG$6)^2+($D92-AG$7)^2)</f>
        <v>1.07735531678609</v>
      </c>
      <c r="AH92" s="74" t="n">
        <f aca="false">SQRT(($B92-AH$5)^2+($C92-AH$6)^2+($D92-AH$7)^2)</f>
        <v>1.48470755784087</v>
      </c>
      <c r="AI92" s="74" t="n">
        <f aca="false">SQRT(($B92-AI$5)^2+($C92-AI$6)^2+($D92-AI$7)^2)</f>
        <v>1.07447170129164</v>
      </c>
      <c r="AJ92" s="74" t="n">
        <f aca="false">SQRT(($B92-AJ$5)^2+($C92-AJ$6)^2+($D92-AJ$7)^2)</f>
        <v>1.89256975422417</v>
      </c>
      <c r="AK92" s="74" t="n">
        <f aca="false">SQRT(($B92-AK$5)^2+($C92-AK$6)^2+($D92-AK$7)^2)</f>
        <v>1.42858729562136</v>
      </c>
      <c r="AL92" s="74" t="n">
        <f aca="false">SQRT(($B92-AL$5)^2+($C92-AL$6)^2+($D92-AL$7)^2)</f>
        <v>1.15156427562638</v>
      </c>
      <c r="AM92" s="74" t="n">
        <f aca="false">SQRT(($B92-AM$5)^2+($C92-AM$6)^2+($D92-AM$7)^2)</f>
        <v>2.25350632804986</v>
      </c>
      <c r="AN92" s="74" t="n">
        <f aca="false">SQRT(($B92-AN$5)^2+($C92-AN$6)^2+($D92-AN$7)^2)</f>
        <v>2.12161501929777</v>
      </c>
      <c r="AO92" s="74" t="n">
        <f aca="false">SQRT(($B92-AO$5)^2+($C92-AO$6)^2+($D92-AO$7)^2)</f>
        <v>1.43319399521569</v>
      </c>
      <c r="AP92" s="74" t="n">
        <f aca="false">SQRT(($B92-AP$5)^2+($C92-AP$6)^2+($D92-AP$7)^2)</f>
        <v>1.40507519628017</v>
      </c>
      <c r="AQ92" s="74" t="n">
        <f aca="false">SQRT(($B92-AQ$5)^2+($C92-AQ$6)^2+($D92-AQ$7)^2)</f>
        <v>2.1877289760023</v>
      </c>
      <c r="AR92" s="74" t="n">
        <f aca="false">SQRT(($B92-AR$5)^2+($C92-AR$6)^2+($D92-AR$7)^2)</f>
        <v>1.15749781114758</v>
      </c>
      <c r="AS92" s="74" t="n">
        <f aca="false">SQRT(($B92-AS$5)^2+($C92-AS$6)^2+($D92-AS$7)^2)</f>
        <v>1.20734310832352</v>
      </c>
      <c r="AT92" s="74" t="n">
        <f aca="false">SQRT(($B92-AT$5)^2+($C92-AT$6)^2+($D92-AT$7)^2)</f>
        <v>1.12738931791066</v>
      </c>
      <c r="AU92" s="74" t="n">
        <f aca="false">SQRT(($B92-AU$5)^2+($C92-AU$6)^2+($D92-AU$7)^2)</f>
        <v>1.08742889720866</v>
      </c>
      <c r="AV92" s="74" t="n">
        <f aca="false">SQRT(($B92-AV$5)^2+($C92-AV$6)^2+($D92-AV$7)^2)</f>
        <v>0.812115940034129</v>
      </c>
      <c r="AW92" s="74" t="n">
        <f aca="false">SQRT(($B92-AW$5)^2+($C92-AW$6)^2+($D92-AW$7)^2)</f>
        <v>1.07973309989261</v>
      </c>
      <c r="AX92" s="74" t="n">
        <f aca="false">SQRT(($B92-AX$5)^2+($C92-AX$6)^2+($D92-AX$7)^2)</f>
        <v>1.10207077406747</v>
      </c>
      <c r="AY92" s="74" t="n">
        <f aca="false">SQRT(($B92-AY$5)^2+($C92-AY$6)^2+($D92-AY$7)^2)</f>
        <v>1.3338664831801</v>
      </c>
      <c r="AZ92" s="74" t="n">
        <f aca="false">SQRT(($B92-AZ$5)^2+($C92-AZ$6)^2+($D92-AZ$7)^2)</f>
        <v>1.16007366376373</v>
      </c>
      <c r="BA92" s="74" t="n">
        <f aca="false">SQRT(($B92-BA$5)^2+($C92-BA$6)^2+($D92-BA$7)^2)</f>
        <v>1.0962446256149</v>
      </c>
      <c r="BB92" s="74" t="n">
        <f aca="false">SQRT(($B92-BB$5)^2+($C92-BB$6)^2+($D92-BB$7)^2)</f>
        <v>1.33090791953853</v>
      </c>
      <c r="BC92" s="74" t="n">
        <f aca="false">SQRT(($B92-BC$5)^2+($C92-BC$6)^2+($D92-BC$7)^2)</f>
        <v>1.32793784466618</v>
      </c>
      <c r="BD92" s="74" t="n">
        <f aca="false">SQRT(($B92-BD$5)^2+($C92-BD$6)^2+($D92-BD$7)^2)</f>
        <v>0.790733621451183</v>
      </c>
      <c r="BE92" s="74" t="n">
        <f aca="false">SQRT(($B92-BE$5)^2+($C92-BE$6)^2+($D92-BE$7)^2)</f>
        <v>0.627173489154577</v>
      </c>
      <c r="BF92" s="74" t="n">
        <f aca="false">SQRT(($B92-BF$5)^2+($C92-BF$6)^2+($D92-BF$7)^2)</f>
        <v>2.24494647570529</v>
      </c>
      <c r="BG92" s="74" t="n">
        <f aca="false">SQRT(($B92-BG$5)^2+($C92-BG$6)^2+($D92-BG$7)^2)</f>
        <v>0.928815777316807</v>
      </c>
      <c r="BH92" s="74" t="n">
        <f aca="false">SQRT(($B92-BH$5)^2+($C92-BH$6)^2+($D92-BH$7)^2)</f>
        <v>1.28532871285424</v>
      </c>
      <c r="BI92" s="74" t="n">
        <f aca="false">SQRT(($B92-BI$5)^2+($C92-BI$6)^2+($D92-BI$7)^2)</f>
        <v>1.2791302209271</v>
      </c>
      <c r="BJ92" s="74" t="n">
        <f aca="false">SQRT(($B92-BJ$5)^2+($C92-BJ$6)^2+($D92-BJ$7)^2)</f>
        <v>1.29427688756625</v>
      </c>
      <c r="BK92" s="74" t="n">
        <f aca="false">SQRT(($B92-BK$5)^2+($C92-BK$6)^2+($D92-BK$7)^2)</f>
        <v>0.603698779552699</v>
      </c>
      <c r="BL92" s="74" t="n">
        <f aca="false">SQRT(($B92-BL$5)^2+($C92-BL$6)^2+($D92-BL$7)^2)</f>
        <v>0.513637499591784</v>
      </c>
      <c r="BM92" s="74" t="n">
        <f aca="false">SQRT(($B92-BM$5)^2+($C92-BM$6)^2+($D92-BM$7)^2)</f>
        <v>1.35576220740359</v>
      </c>
      <c r="BN92" s="74" t="n">
        <f aca="false">SQRT(($B92-BN$5)^2+($C92-BN$6)^2+($D92-BN$7)^2)</f>
        <v>0.907915340142524</v>
      </c>
      <c r="BO92" s="74" t="n">
        <f aca="false">SQRT(($B92-BO$5)^2+($C92-BO$6)^2+($D92-BO$7)^2)</f>
        <v>0.93145704337276</v>
      </c>
      <c r="BP92" s="74" t="n">
        <f aca="false">SQRT(($B92-BP$5)^2+($C92-BP$6)^2+($D92-BP$7)^2)</f>
        <v>0.914952024223246</v>
      </c>
      <c r="BQ92" s="74" t="n">
        <f aca="false">SQRT(($B92-BQ$5)^2+($C92-BQ$6)^2+($D92-BQ$7)^2)</f>
        <v>0.691090078207004</v>
      </c>
      <c r="BR92" s="74" t="n">
        <f aca="false">SQRT(($B92-BR$5)^2+($C92-BR$6)^2+($D92-BR$7)^2)</f>
        <v>0.706681675619819</v>
      </c>
      <c r="BS92" s="74" t="n">
        <f aca="false">SQRT(($B92-BS$5)^2+($C92-BS$6)^2+($D92-BS$7)^2)</f>
        <v>0.600708533799879</v>
      </c>
      <c r="BT92" s="74" t="n">
        <f aca="false">SQRT(($B92-BT$5)^2+($C92-BT$6)^2+($D92-BT$7)^2)</f>
        <v>0.24240178140373</v>
      </c>
      <c r="BU92" s="74" t="n">
        <f aca="false">SQRT(($B92-BU$5)^2+($C92-BU$6)^2+($D92-BU$7)^2)</f>
        <v>0.201037024076659</v>
      </c>
      <c r="BV92" s="74" t="n">
        <f aca="false">SQRT(($B92-BV$5)^2+($C92-BV$6)^2+($D92-BV$7)^2)</f>
        <v>1.19732560650833</v>
      </c>
      <c r="BW92" s="74" t="n">
        <f aca="false">SQRT(($B92-BW$5)^2+($C92-BW$6)^2+($D92-BW$7)^2)</f>
        <v>0.275572010867797</v>
      </c>
      <c r="BX92" s="74" t="n">
        <f aca="false">SQRT(($B92-BX$5)^2+($C92-BX$6)^2+($D92-BX$7)^2)</f>
        <v>1.19549847299486</v>
      </c>
      <c r="BY92" s="74" t="n">
        <f aca="false">SQRT(($B92-BY$5)^2+($C92-BY$6)^2+($D92-BY$7)^2)</f>
        <v>0.24417334361017</v>
      </c>
      <c r="BZ92" s="74" t="n">
        <f aca="false">SQRT(($B92-BZ$5)^2+($C92-BZ$6)^2+($D92-BZ$7)^2)</f>
        <v>0.297076248498787</v>
      </c>
      <c r="CA92" s="74" t="n">
        <f aca="false">SQRT(($B92-CA$5)^2+($C92-CA$6)^2+($D92-CA$7)^2)</f>
        <v>1.19108183057697</v>
      </c>
      <c r="CB92" s="74" t="n">
        <f aca="false">SQRT(($B92-CB$5)^2+($C92-CB$6)^2+($D92-CB$7)^2)</f>
        <v>0.292858588076803</v>
      </c>
      <c r="CC92" s="74" t="n">
        <f aca="false">SQRT(($B92-CC$5)^2+($C92-CC$6)^2+($D92-CC$7)^2)</f>
        <v>1.19003688275566</v>
      </c>
      <c r="CD92" s="74" t="n">
        <f aca="false">SQRT(($B92-CD$5)^2+($C92-CD$6)^2+($D92-CD$7)^2)</f>
        <v>1.18874948893506</v>
      </c>
      <c r="CE92" s="74" t="n">
        <f aca="false">SQRT(($B92-CE$5)^2+($C92-CE$6)^2+($D92-CE$7)^2)</f>
        <v>0</v>
      </c>
      <c r="CF92" s="74" t="n">
        <f aca="false">SQRT(($B92-CF$5)^2+($C92-CF$6)^2+($D92-CF$7)^2)</f>
        <v>0.534400756202598</v>
      </c>
      <c r="CG92" s="74" t="n">
        <f aca="false">SQRT(($B92-CG$5)^2+($C92-CG$6)^2+($D92-CG$7)^2)</f>
        <v>0.690509163686543</v>
      </c>
      <c r="CH92" s="74" t="n">
        <f aca="false">SQRT(($B92-CH$5)^2+($C92-CH$6)^2+($D92-CH$7)^2)</f>
        <v>0.447746220157525</v>
      </c>
      <c r="CI92" s="74" t="n">
        <f aca="false">SQRT(($B92-CI$5)^2+($C92-CI$6)^2+($D92-CI$7)^2)</f>
        <v>0.558389474934026</v>
      </c>
      <c r="CJ92" s="74" t="n">
        <f aca="false">SQRT(($B92-CJ$5)^2+($C92-CJ$6)^2+($D92-CJ$7)^2)</f>
        <v>0.879058290508773</v>
      </c>
      <c r="CK92" s="74" t="n">
        <f aca="false">SQRT(($B92-CK$5)^2+($C92-CK$6)^2+($D92-CK$7)^2)</f>
        <v>0.21513564589204</v>
      </c>
      <c r="CL92" s="74" t="n">
        <f aca="false">SQRT(($B92-CL$5)^2+($C92-CL$6)^2+($D92-CL$7)^2)</f>
        <v>1.21105830099979</v>
      </c>
      <c r="CM92" s="74" t="n">
        <f aca="false">SQRT(($B92-CM$5)^2+($C92-CM$6)^2+($D92-CM$7)^2)</f>
        <v>0.426994946661245</v>
      </c>
      <c r="CN92" s="74" t="n">
        <f aca="false">SQRT(($B92-CN$5)^2+($C92-CN$6)^2+($D92-CN$7)^2)</f>
        <v>0.842795463140597</v>
      </c>
      <c r="CO92" s="74" t="n">
        <f aca="false">SQRT(($B92-CO$5)^2+($C92-CO$6)^2+($D92-CO$7)^2)</f>
        <v>0.665416944081503</v>
      </c>
      <c r="CP92" s="74" t="n">
        <f aca="false">SQRT(($B92-CP$5)^2+($C92-CP$6)^2+($D92-CP$7)^2)</f>
        <v>1.23634387286479</v>
      </c>
      <c r="CQ92" s="74" t="n">
        <f aca="false">SQRT(($B92-CQ$5)^2+($C92-CQ$6)^2+($D92-CQ$7)^2)</f>
        <v>0.584791259233736</v>
      </c>
      <c r="CR92" s="74" t="n">
        <f aca="false">SQRT(($B92-CR$5)^2+($C92-CR$6)^2+($D92-CR$7)^2)</f>
        <v>0.557631413288567</v>
      </c>
      <c r="CS92" s="74" t="n">
        <f aca="false">SQRT(($B92-CS$5)^2+($C92-CS$6)^2+($D92-CS$7)^2)</f>
        <v>1.26304802641565</v>
      </c>
      <c r="CT92" s="74" t="n">
        <f aca="false">SQRT(($B92-CT$5)^2+($C92-CT$6)^2+($D92-CT$7)^2)</f>
        <v>1.28068107903606</v>
      </c>
      <c r="CU92" s="74" t="n">
        <f aca="false">SQRT(($B92-CU$5)^2+($C92-CU$6)^2+($D92-CU$7)^2)</f>
        <v>1.12075997321837</v>
      </c>
      <c r="CV92" s="74" t="n">
        <f aca="false">SQRT(($B92-CV$5)^2+($C92-CV$6)^2+($D92-CV$7)^2)</f>
        <v>0.526138255307809</v>
      </c>
      <c r="CW92" s="74" t="n">
        <f aca="false">SQRT(($B92-CW$5)^2+($C92-CW$6)^2+($D92-CW$7)^2)</f>
        <v>1.28068107903606</v>
      </c>
      <c r="CX92" s="74" t="n">
        <f aca="false">SQRT(($B92-CX$5)^2+($C92-CX$6)^2+($D92-CX$7)^2)</f>
        <v>0.537344129068969</v>
      </c>
      <c r="CY92" s="74" t="n">
        <f aca="false">SQRT(($B92-CY$5)^2+($C92-CY$6)^2+($D92-CY$7)^2)</f>
        <v>1.30209632723463</v>
      </c>
      <c r="CZ92" s="74" t="n">
        <f aca="false">SQRT(($B92-CZ$5)^2+($C92-CZ$6)^2+($D92-CZ$7)^2)</f>
        <v>1.30209632723463</v>
      </c>
      <c r="DA92" s="74" t="n">
        <f aca="false">SQRT(($B92-DA$5)^2+($C92-DA$6)^2+($D92-DA$7)^2)</f>
        <v>0.762270695120327</v>
      </c>
      <c r="DB92" s="74" t="n">
        <f aca="false">SQRT(($B92-DB$5)^2+($C92-DB$6)^2+($D92-DB$7)^2)</f>
        <v>1.32830972613691</v>
      </c>
      <c r="DC92" s="74" t="n">
        <f aca="false">SQRT(($B92-DC$5)^2+($C92-DC$6)^2+($D92-DC$7)^2)</f>
        <v>1.32830972613691</v>
      </c>
      <c r="DD92" s="74" t="n">
        <f aca="false">SQRT(($B92-DD$5)^2+($C92-DD$6)^2+($D92-DD$7)^2)</f>
        <v>0.901887477267504</v>
      </c>
      <c r="DE92" s="74" t="n">
        <f aca="false">SQRT(($B92-DE$5)^2+($C92-DE$6)^2+($D92-DE$7)^2)</f>
        <v>1.14195029617083</v>
      </c>
      <c r="DF92" s="74" t="n">
        <f aca="false">SQRT(($B92-DF$5)^2+($C92-DF$6)^2+($D92-DF$7)^2)</f>
        <v>1.52395871312883</v>
      </c>
      <c r="DG92" s="74" t="n">
        <f aca="false">SQRT(($B92-DG$5)^2+($C92-DG$6)^2+($D92-DG$7)^2)</f>
        <v>1.62188009875456</v>
      </c>
      <c r="DH92" s="74" t="n">
        <f aca="false">SQRT(($B92-DH$5)^2+($C92-DH$6)^2+($D92-DH$7)^2)</f>
        <v>1.62188009875456</v>
      </c>
      <c r="DI92" s="74" t="n">
        <f aca="false">SQRT(($B92-DI$5)^2+($C92-DI$6)^2+($D92-DI$7)^2)</f>
        <v>1.62188009875456</v>
      </c>
      <c r="DJ92" s="74" t="n">
        <f aca="false">SQRT(($B92-DJ$5)^2+($C92-DJ$6)^2+($D92-DJ$7)^2)</f>
        <v>1.62188009875456</v>
      </c>
      <c r="DK92" s="74" t="n">
        <f aca="false">SQRT(($B92-DK$5)^2+($C92-DK$6)^2+($D92-DK$7)^2)</f>
        <v>1.77222811757815</v>
      </c>
      <c r="DL92" s="74" t="n">
        <f aca="false">SQRT(($B92-DL$5)^2+($C92-DL$6)^2+($D92-DL$7)^2)</f>
        <v>1.77222811757815</v>
      </c>
      <c r="DM92" s="74" t="n">
        <f aca="false">SQRT(($B92-DM$5)^2+($C92-DM$6)^2+($D92-DM$7)^2)</f>
        <v>1.77222811757815</v>
      </c>
      <c r="DN92" s="74" t="n">
        <f aca="false">SQRT(($B92-DN$5)^2+($C92-DN$6)^2+($D92-DN$7)^2)</f>
        <v>1.77222811757815</v>
      </c>
      <c r="DO92" s="74" t="n">
        <f aca="false">SQRT(($B92-DO$5)^2+($C92-DO$6)^2+($D92-DO$7)^2)</f>
        <v>1.77222811757815</v>
      </c>
      <c r="DP92" s="74" t="n">
        <f aca="false">SQRT(($B92-DP$5)^2+($C92-DP$6)^2+($D92-DP$7)^2)</f>
        <v>2.05412603137925</v>
      </c>
      <c r="DQ92" s="74" t="n">
        <f aca="false">SQRT(($B92-DQ$5)^2+($C92-DQ$6)^2+($D92-DQ$7)^2)</f>
        <v>2.05412603137925</v>
      </c>
    </row>
    <row r="93" customFormat="false" ht="15" hidden="false" customHeight="false" outlineLevel="0" collapsed="false">
      <c r="A93" s="48" t="str">
        <f aca="false">KMeans_Data!A84</f>
        <v>Hangu</v>
      </c>
      <c r="B93" s="72" t="n">
        <f aca="false">KMeans_Data!H84</f>
        <v>-0.404409624645938</v>
      </c>
      <c r="C93" s="72" t="n">
        <f aca="false">KMeans_Data!I84</f>
        <v>-0.146983133929529</v>
      </c>
      <c r="D93" s="72" t="n">
        <f aca="false">KMeans_Data!J84</f>
        <v>0.139148285405597</v>
      </c>
      <c r="E93" s="74" t="n">
        <f aca="false">SQRT(($B93-E$5)^2+($C93-E$6)^2+($D93-E$7)^2)</f>
        <v>6.38345263270034</v>
      </c>
      <c r="F93" s="74" t="n">
        <f aca="false">SQRT(($B93-F$5)^2+($C93-F$6)^2+($D93-F$7)^2)</f>
        <v>6.19170839496541</v>
      </c>
      <c r="G93" s="74" t="n">
        <f aca="false">SQRT(($B93-G$5)^2+($C93-G$6)^2+($D93-G$7)^2)</f>
        <v>4.31431775702019</v>
      </c>
      <c r="H93" s="74" t="n">
        <f aca="false">SQRT(($B93-H$5)^2+($C93-H$6)^2+($D93-H$7)^2)</f>
        <v>4.85464268272728</v>
      </c>
      <c r="I93" s="74" t="n">
        <f aca="false">SQRT(($B93-I$5)^2+($C93-I$6)^2+($D93-I$7)^2)</f>
        <v>3.73565672849808</v>
      </c>
      <c r="J93" s="74" t="n">
        <f aca="false">SQRT(($B93-J$5)^2+($C93-J$6)^2+($D93-J$7)^2)</f>
        <v>3.31036895714367</v>
      </c>
      <c r="K93" s="74" t="n">
        <f aca="false">SQRT(($B93-K$5)^2+($C93-K$6)^2+($D93-K$7)^2)</f>
        <v>2.01599084047748</v>
      </c>
      <c r="L93" s="74" t="n">
        <f aca="false">SQRT(($B93-L$5)^2+($C93-L$6)^2+($D93-L$7)^2)</f>
        <v>2.48322449438231</v>
      </c>
      <c r="M93" s="74" t="n">
        <f aca="false">SQRT(($B93-M$5)^2+($C93-M$6)^2+($D93-M$7)^2)</f>
        <v>2.6525534867905</v>
      </c>
      <c r="N93" s="74" t="n">
        <f aca="false">SQRT(($B93-N$5)^2+($C93-N$6)^2+($D93-N$7)^2)</f>
        <v>1.8728544174176</v>
      </c>
      <c r="O93" s="74" t="n">
        <f aca="false">SQRT(($B93-O$5)^2+($C93-O$6)^2+($D93-O$7)^2)</f>
        <v>2.39660255745714</v>
      </c>
      <c r="P93" s="74" t="n">
        <f aca="false">SQRT(($B93-P$5)^2+($C93-P$6)^2+($D93-P$7)^2)</f>
        <v>2.65901697960542</v>
      </c>
      <c r="Q93" s="74" t="n">
        <f aca="false">SQRT(($B93-Q$5)^2+($C93-Q$6)^2+($D93-Q$7)^2)</f>
        <v>2.06902576990907</v>
      </c>
      <c r="R93" s="74" t="n">
        <f aca="false">SQRT(($B93-R$5)^2+($C93-R$6)^2+($D93-R$7)^2)</f>
        <v>2.03155178865032</v>
      </c>
      <c r="S93" s="74" t="n">
        <f aca="false">SQRT(($B93-S$5)^2+($C93-S$6)^2+($D93-S$7)^2)</f>
        <v>1.74660025960929</v>
      </c>
      <c r="T93" s="74" t="n">
        <f aca="false">SQRT(($B93-T$5)^2+($C93-T$6)^2+($D93-T$7)^2)</f>
        <v>1.98207895742849</v>
      </c>
      <c r="U93" s="74" t="n">
        <f aca="false">SQRT(($B93-U$5)^2+($C93-U$6)^2+($D93-U$7)^2)</f>
        <v>2.00293796959449</v>
      </c>
      <c r="V93" s="74" t="n">
        <f aca="false">SQRT(($B93-V$5)^2+($C93-V$6)^2+($D93-V$7)^2)</f>
        <v>2.03608832532134</v>
      </c>
      <c r="W93" s="74" t="n">
        <f aca="false">SQRT(($B93-W$5)^2+($C93-W$6)^2+($D93-W$7)^2)</f>
        <v>2.13159723197706</v>
      </c>
      <c r="X93" s="74" t="n">
        <f aca="false">SQRT(($B93-X$5)^2+($C93-X$6)^2+($D93-X$7)^2)</f>
        <v>1.80585174590051</v>
      </c>
      <c r="Y93" s="74" t="n">
        <f aca="false">SQRT(($B93-Y$5)^2+($C93-Y$6)^2+($D93-Y$7)^2)</f>
        <v>1.89842727317588</v>
      </c>
      <c r="Z93" s="74" t="n">
        <f aca="false">SQRT(($B93-Z$5)^2+($C93-Z$6)^2+($D93-Z$7)^2)</f>
        <v>1.59637638557111</v>
      </c>
      <c r="AA93" s="74" t="n">
        <f aca="false">SQRT(($B93-AA$5)^2+($C93-AA$6)^2+($D93-AA$7)^2)</f>
        <v>1.47612857578172</v>
      </c>
      <c r="AB93" s="74" t="n">
        <f aca="false">SQRT(($B93-AB$5)^2+($C93-AB$6)^2+($D93-AB$7)^2)</f>
        <v>1.47404207698336</v>
      </c>
      <c r="AC93" s="74" t="n">
        <f aca="false">SQRT(($B93-AC$5)^2+($C93-AC$6)^2+($D93-AC$7)^2)</f>
        <v>2.01037971841915</v>
      </c>
      <c r="AD93" s="74" t="n">
        <f aca="false">SQRT(($B93-AD$5)^2+($C93-AD$6)^2+($D93-AD$7)^2)</f>
        <v>1.85430376539835</v>
      </c>
      <c r="AE93" s="74" t="n">
        <f aca="false">SQRT(($B93-AE$5)^2+($C93-AE$6)^2+($D93-AE$7)^2)</f>
        <v>1.65932671807592</v>
      </c>
      <c r="AF93" s="74" t="n">
        <f aca="false">SQRT(($B93-AF$5)^2+($C93-AF$6)^2+($D93-AF$7)^2)</f>
        <v>1.49889028443162</v>
      </c>
      <c r="AG93" s="74" t="n">
        <f aca="false">SQRT(($B93-AG$5)^2+($C93-AG$6)^2+($D93-AG$7)^2)</f>
        <v>1.23753170814818</v>
      </c>
      <c r="AH93" s="74" t="n">
        <f aca="false">SQRT(($B93-AH$5)^2+($C93-AH$6)^2+($D93-AH$7)^2)</f>
        <v>1.21320690654665</v>
      </c>
      <c r="AI93" s="74" t="n">
        <f aca="false">SQRT(($B93-AI$5)^2+($C93-AI$6)^2+($D93-AI$7)^2)</f>
        <v>1.23502214026366</v>
      </c>
      <c r="AJ93" s="74" t="n">
        <f aca="false">SQRT(($B93-AJ$5)^2+($C93-AJ$6)^2+($D93-AJ$7)^2)</f>
        <v>1.54213255303548</v>
      </c>
      <c r="AK93" s="74" t="n">
        <f aca="false">SQRT(($B93-AK$5)^2+($C93-AK$6)^2+($D93-AK$7)^2)</f>
        <v>1.08361777251364</v>
      </c>
      <c r="AL93" s="74" t="n">
        <f aca="false">SQRT(($B93-AL$5)^2+($C93-AL$6)^2+($D93-AL$7)^2)</f>
        <v>0.980339299387549</v>
      </c>
      <c r="AM93" s="74" t="n">
        <f aca="false">SQRT(($B93-AM$5)^2+($C93-AM$6)^2+($D93-AM$7)^2)</f>
        <v>1.77590678476823</v>
      </c>
      <c r="AN93" s="74" t="n">
        <f aca="false">SQRT(($B93-AN$5)^2+($C93-AN$6)^2+($D93-AN$7)^2)</f>
        <v>1.65672635861866</v>
      </c>
      <c r="AO93" s="74" t="n">
        <f aca="false">SQRT(($B93-AO$5)^2+($C93-AO$6)^2+($D93-AO$7)^2)</f>
        <v>1.06708657245691</v>
      </c>
      <c r="AP93" s="74" t="n">
        <f aca="false">SQRT(($B93-AP$5)^2+($C93-AP$6)^2+($D93-AP$7)^2)</f>
        <v>1.03643112751124</v>
      </c>
      <c r="AQ93" s="74" t="n">
        <f aca="false">SQRT(($B93-AQ$5)^2+($C93-AQ$6)^2+($D93-AQ$7)^2)</f>
        <v>1.70704352386334</v>
      </c>
      <c r="AR93" s="74" t="n">
        <f aca="false">SQRT(($B93-AR$5)^2+($C93-AR$6)^2+($D93-AR$7)^2)</f>
        <v>0.879117633714406</v>
      </c>
      <c r="AS93" s="74" t="n">
        <f aca="false">SQRT(($B93-AS$5)^2+($C93-AS$6)^2+($D93-AS$7)^2)</f>
        <v>1.2477890864705</v>
      </c>
      <c r="AT93" s="74" t="n">
        <f aca="false">SQRT(($B93-AT$5)^2+($C93-AT$6)^2+($D93-AT$7)^2)</f>
        <v>0.92908903475922</v>
      </c>
      <c r="AU93" s="74" t="n">
        <f aca="false">SQRT(($B93-AU$5)^2+($C93-AU$6)^2+($D93-AU$7)^2)</f>
        <v>1.02283497878273</v>
      </c>
      <c r="AV93" s="74" t="n">
        <f aca="false">SQRT(($B93-AV$5)^2+($C93-AV$6)^2+($D93-AV$7)^2)</f>
        <v>0.924276628586939</v>
      </c>
      <c r="AW93" s="74" t="n">
        <f aca="false">SQRT(($B93-AW$5)^2+($C93-AW$6)^2+($D93-AW$7)^2)</f>
        <v>1.27213303533386</v>
      </c>
      <c r="AX93" s="74" t="n">
        <f aca="false">SQRT(($B93-AX$5)^2+($C93-AX$6)^2+($D93-AX$7)^2)</f>
        <v>0.74768650635695</v>
      </c>
      <c r="AY93" s="74" t="n">
        <f aca="false">SQRT(($B93-AY$5)^2+($C93-AY$6)^2+($D93-AY$7)^2)</f>
        <v>1.51443352098844</v>
      </c>
      <c r="AZ93" s="74" t="n">
        <f aca="false">SQRT(($B93-AZ$5)^2+($C93-AZ$6)^2+($D93-AZ$7)^2)</f>
        <v>1.20038443277832</v>
      </c>
      <c r="BA93" s="74" t="n">
        <f aca="false">SQRT(($B93-BA$5)^2+($C93-BA$6)^2+($D93-BA$7)^2)</f>
        <v>0.88870900612069</v>
      </c>
      <c r="BB93" s="74" t="n">
        <f aca="false">SQRT(($B93-BB$5)^2+($C93-BB$6)^2+($D93-BB$7)^2)</f>
        <v>1.51182835825784</v>
      </c>
      <c r="BC93" s="74" t="n">
        <f aca="false">SQRT(($B93-BC$5)^2+($C93-BC$6)^2+($D93-BC$7)^2)</f>
        <v>1.50921436974304</v>
      </c>
      <c r="BD93" s="74" t="n">
        <f aca="false">SQRT(($B93-BD$5)^2+($C93-BD$6)^2+($D93-BD$7)^2)</f>
        <v>1.00794263265286</v>
      </c>
      <c r="BE93" s="74" t="n">
        <f aca="false">SQRT(($B93-BE$5)^2+($C93-BE$6)^2+($D93-BE$7)^2)</f>
        <v>0.856815327442217</v>
      </c>
      <c r="BF93" s="74" t="n">
        <f aca="false">SQRT(($B93-BF$5)^2+($C93-BF$6)^2+($D93-BF$7)^2)</f>
        <v>1.73939190961924</v>
      </c>
      <c r="BG93" s="74" t="n">
        <f aca="false">SQRT(($B93-BG$5)^2+($C93-BG$6)^2+($D93-BG$7)^2)</f>
        <v>0.696349652679369</v>
      </c>
      <c r="BH93" s="74" t="n">
        <f aca="false">SQRT(($B93-BH$5)^2+($C93-BH$6)^2+($D93-BH$7)^2)</f>
        <v>1.471862423812</v>
      </c>
      <c r="BI93" s="74" t="n">
        <f aca="false">SQRT(($B93-BI$5)^2+($C93-BI$6)^2+($D93-BI$7)^2)</f>
        <v>1.46645259610776</v>
      </c>
      <c r="BJ93" s="74" t="n">
        <f aca="false">SQRT(($B93-BJ$5)^2+($C93-BJ$6)^2+($D93-BJ$7)^2)</f>
        <v>0.827438963438348</v>
      </c>
      <c r="BK93" s="74" t="n">
        <f aca="false">SQRT(($B93-BK$5)^2+($C93-BK$6)^2+($D93-BK$7)^2)</f>
        <v>0.857462807647251</v>
      </c>
      <c r="BL93" s="74" t="n">
        <f aca="false">SQRT(($B93-BL$5)^2+($C93-BL$6)^2+($D93-BL$7)^2)</f>
        <v>0.698281782132866</v>
      </c>
      <c r="BM93" s="74" t="n">
        <f aca="false">SQRT(($B93-BM$5)^2+($C93-BM$6)^2+($D93-BM$7)^2)</f>
        <v>0.867259463226377</v>
      </c>
      <c r="BN93" s="74" t="n">
        <f aca="false">SQRT(($B93-BN$5)^2+($C93-BN$6)^2+($D93-BN$7)^2)</f>
        <v>0.483695168557085</v>
      </c>
      <c r="BO93" s="74" t="n">
        <f aca="false">SQRT(($B93-BO$5)^2+($C93-BO$6)^2+($D93-BO$7)^2)</f>
        <v>1.14896088542333</v>
      </c>
      <c r="BP93" s="74" t="n">
        <f aca="false">SQRT(($B93-BP$5)^2+($C93-BP$6)^2+($D93-BP$7)^2)</f>
        <v>0.451688894257504</v>
      </c>
      <c r="BQ93" s="74" t="n">
        <f aca="false">SQRT(($B93-BQ$5)^2+($C93-BQ$6)^2+($D93-BQ$7)^2)</f>
        <v>0.381263136169552</v>
      </c>
      <c r="BR93" s="74" t="n">
        <f aca="false">SQRT(($B93-BR$5)^2+($C93-BR$6)^2+($D93-BR$7)^2)</f>
        <v>0.397189792867857</v>
      </c>
      <c r="BS93" s="74" t="n">
        <f aca="false">SQRT(($B93-BS$5)^2+($C93-BS$6)^2+($D93-BS$7)^2)</f>
        <v>0.734684501507708</v>
      </c>
      <c r="BT93" s="74" t="n">
        <f aca="false">SQRT(($B93-BT$5)^2+($C93-BT$6)^2+($D93-BT$7)^2)</f>
        <v>0.561537008290976</v>
      </c>
      <c r="BU93" s="74" t="n">
        <f aca="false">SQRT(($B93-BU$5)^2+($C93-BU$6)^2+($D93-BU$7)^2)</f>
        <v>0.55967783844709</v>
      </c>
      <c r="BV93" s="74" t="n">
        <f aca="false">SQRT(($B93-BV$5)^2+($C93-BV$6)^2+($D93-BV$7)^2)</f>
        <v>1.39567105814469</v>
      </c>
      <c r="BW93" s="74" t="n">
        <f aca="false">SQRT(($B93-BW$5)^2+($C93-BW$6)^2+($D93-BW$7)^2)</f>
        <v>0.560901648018041</v>
      </c>
      <c r="BX93" s="74" t="n">
        <f aca="false">SQRT(($B93-BX$5)^2+($C93-BX$6)^2+($D93-BX$7)^2)</f>
        <v>1.39410390340004</v>
      </c>
      <c r="BY93" s="74" t="n">
        <f aca="false">SQRT(($B93-BY$5)^2+($C93-BY$6)^2+($D93-BY$7)^2)</f>
        <v>0.623296968063775</v>
      </c>
      <c r="BZ93" s="74" t="n">
        <f aca="false">SQRT(($B93-BZ$5)^2+($C93-BZ$6)^2+($D93-BZ$7)^2)</f>
        <v>0.65501161612883</v>
      </c>
      <c r="CA93" s="74" t="n">
        <f aca="false">SQRT(($B93-CA$5)^2+($C93-CA$6)^2+($D93-CA$7)^2)</f>
        <v>1.39031831667168</v>
      </c>
      <c r="CB93" s="74" t="n">
        <f aca="false">SQRT(($B93-CB$5)^2+($C93-CB$6)^2+($D93-CB$7)^2)</f>
        <v>0.653109540928569</v>
      </c>
      <c r="CC93" s="74" t="n">
        <f aca="false">SQRT(($B93-CC$5)^2+($C93-CC$6)^2+($D93-CC$7)^2)</f>
        <v>1.38942321733192</v>
      </c>
      <c r="CD93" s="74" t="n">
        <f aca="false">SQRT(($B93-CD$5)^2+($C93-CD$6)^2+($D93-CD$7)^2)</f>
        <v>1.38832072734853</v>
      </c>
      <c r="CE93" s="74" t="n">
        <f aca="false">SQRT(($B93-CE$5)^2+($C93-CE$6)^2+($D93-CE$7)^2)</f>
        <v>0.534400756202598</v>
      </c>
      <c r="CF93" s="74" t="n">
        <f aca="false">SQRT(($B93-CF$5)^2+($C93-CF$6)^2+($D93-CF$7)^2)</f>
        <v>0</v>
      </c>
      <c r="CG93" s="74" t="n">
        <f aca="false">SQRT(($B93-CG$5)^2+($C93-CG$6)^2+($D93-CG$7)^2)</f>
        <v>0.543084431981346</v>
      </c>
      <c r="CH93" s="74" t="n">
        <f aca="false">SQRT(($B93-CH$5)^2+($C93-CH$6)^2+($D93-CH$7)^2)</f>
        <v>0.755822021199593</v>
      </c>
      <c r="CI93" s="74" t="n">
        <f aca="false">SQRT(($B93-CI$5)^2+($C93-CI$6)^2+($D93-CI$7)^2)</f>
        <v>0.838145271622395</v>
      </c>
      <c r="CJ93" s="74" t="n">
        <f aca="false">SQRT(($B93-CJ$5)^2+($C93-CJ$6)^2+($D93-CJ$7)^2)</f>
        <v>1.10690666756337</v>
      </c>
      <c r="CK93" s="74" t="n">
        <f aca="false">SQRT(($B93-CK$5)^2+($C93-CK$6)^2+($D93-CK$7)^2)</f>
        <v>0.588866940545294</v>
      </c>
      <c r="CL93" s="74" t="n">
        <f aca="false">SQRT(($B93-CL$5)^2+($C93-CL$6)^2+($D93-CL$7)^2)</f>
        <v>1.40746982310908</v>
      </c>
      <c r="CM93" s="74" t="n">
        <f aca="false">SQRT(($B93-CM$5)^2+($C93-CM$6)^2+($D93-CM$7)^2)</f>
        <v>0.732705073540915</v>
      </c>
      <c r="CN93" s="74" t="n">
        <f aca="false">SQRT(($B93-CN$5)^2+($C93-CN$6)^2+($D93-CN$7)^2)</f>
        <v>0.57493334592874</v>
      </c>
      <c r="CO93" s="74" t="n">
        <f aca="false">SQRT(($B93-CO$5)^2+($C93-CO$6)^2+($D93-CO$7)^2)</f>
        <v>0.467980494464261</v>
      </c>
      <c r="CP93" s="74" t="n">
        <f aca="false">SQRT(($B93-CP$5)^2+($C93-CP$6)^2+($D93-CP$7)^2)</f>
        <v>1.42928487941085</v>
      </c>
      <c r="CQ93" s="74" t="n">
        <f aca="false">SQRT(($B93-CQ$5)^2+($C93-CQ$6)^2+($D93-CQ$7)^2)</f>
        <v>0.844257701736304</v>
      </c>
      <c r="CR93" s="74" t="n">
        <f aca="false">SQRT(($B93-CR$5)^2+($C93-CR$6)^2+($D93-CR$7)^2)</f>
        <v>0.815772537785234</v>
      </c>
      <c r="CS93" s="74" t="n">
        <f aca="false">SQRT(($B93-CS$5)^2+($C93-CS$6)^2+($D93-CS$7)^2)</f>
        <v>1.45244600986565</v>
      </c>
      <c r="CT93" s="74" t="n">
        <f aca="false">SQRT(($B93-CT$5)^2+($C93-CT$6)^2+($D93-CT$7)^2)</f>
        <v>1.46780554595735</v>
      </c>
      <c r="CU93" s="74" t="n">
        <f aca="false">SQRT(($B93-CU$5)^2+($C93-CU$6)^2+($D93-CU$7)^2)</f>
        <v>1.07515085230539</v>
      </c>
      <c r="CV93" s="74" t="n">
        <f aca="false">SQRT(($B93-CV$5)^2+($C93-CV$6)^2+($D93-CV$7)^2)</f>
        <v>0.720860965286825</v>
      </c>
      <c r="CW93" s="74" t="n">
        <f aca="false">SQRT(($B93-CW$5)^2+($C93-CW$6)^2+($D93-CW$7)^2)</f>
        <v>1.46780554595735</v>
      </c>
      <c r="CX93" s="74" t="n">
        <f aca="false">SQRT(($B93-CX$5)^2+($C93-CX$6)^2+($D93-CX$7)^2)</f>
        <v>0.767606435993523</v>
      </c>
      <c r="CY93" s="74" t="n">
        <f aca="false">SQRT(($B93-CY$5)^2+($C93-CY$6)^2+($D93-CY$7)^2)</f>
        <v>1.48652747702156</v>
      </c>
      <c r="CZ93" s="74" t="n">
        <f aca="false">SQRT(($B93-CZ$5)^2+($C93-CZ$6)^2+($D93-CZ$7)^2)</f>
        <v>1.48652747702156</v>
      </c>
      <c r="DA93" s="74" t="n">
        <f aca="false">SQRT(($B93-DA$5)^2+($C93-DA$6)^2+($D93-DA$7)^2)</f>
        <v>0.985771425465918</v>
      </c>
      <c r="DB93" s="74" t="n">
        <f aca="false">SQRT(($B93-DB$5)^2+($C93-DB$6)^2+($D93-DB$7)^2)</f>
        <v>1.50954159369396</v>
      </c>
      <c r="DC93" s="74" t="n">
        <f aca="false">SQRT(($B93-DC$5)^2+($C93-DC$6)^2+($D93-DC$7)^2)</f>
        <v>1.50954159369396</v>
      </c>
      <c r="DD93" s="74" t="n">
        <f aca="false">SQRT(($B93-DD$5)^2+($C93-DD$6)^2+($D93-DD$7)^2)</f>
        <v>1.10893789904054</v>
      </c>
      <c r="DE93" s="74" t="n">
        <f aca="false">SQRT(($B93-DE$5)^2+($C93-DE$6)^2+($D93-DE$7)^2)</f>
        <v>1.32534877353423</v>
      </c>
      <c r="DF93" s="74" t="n">
        <f aca="false">SQRT(($B93-DF$5)^2+($C93-DF$6)^2+($D93-DF$7)^2)</f>
        <v>1.68426816566231</v>
      </c>
      <c r="DG93" s="74" t="n">
        <f aca="false">SQRT(($B93-DG$5)^2+($C93-DG$6)^2+($D93-DG$7)^2)</f>
        <v>1.77335956570525</v>
      </c>
      <c r="DH93" s="74" t="n">
        <f aca="false">SQRT(($B93-DH$5)^2+($C93-DH$6)^2+($D93-DH$7)^2)</f>
        <v>1.77335956570525</v>
      </c>
      <c r="DI93" s="74" t="n">
        <f aca="false">SQRT(($B93-DI$5)^2+($C93-DI$6)^2+($D93-DI$7)^2)</f>
        <v>1.77335956570525</v>
      </c>
      <c r="DJ93" s="74" t="n">
        <f aca="false">SQRT(($B93-DJ$5)^2+($C93-DJ$6)^2+($D93-DJ$7)^2)</f>
        <v>1.77335956570525</v>
      </c>
      <c r="DK93" s="74" t="n">
        <f aca="false">SQRT(($B93-DK$5)^2+($C93-DK$6)^2+($D93-DK$7)^2)</f>
        <v>1.91183199975228</v>
      </c>
      <c r="DL93" s="74" t="n">
        <f aca="false">SQRT(($B93-DL$5)^2+($C93-DL$6)^2+($D93-DL$7)^2)</f>
        <v>1.91183199975228</v>
      </c>
      <c r="DM93" s="74" t="n">
        <f aca="false">SQRT(($B93-DM$5)^2+($C93-DM$6)^2+($D93-DM$7)^2)</f>
        <v>1.91183199975228</v>
      </c>
      <c r="DN93" s="74" t="n">
        <f aca="false">SQRT(($B93-DN$5)^2+($C93-DN$6)^2+($D93-DN$7)^2)</f>
        <v>1.91183199975228</v>
      </c>
      <c r="DO93" s="74" t="n">
        <f aca="false">SQRT(($B93-DO$5)^2+($C93-DO$6)^2+($D93-DO$7)^2)</f>
        <v>1.91183199975228</v>
      </c>
      <c r="DP93" s="74" t="n">
        <f aca="false">SQRT(($B93-DP$5)^2+($C93-DP$6)^2+($D93-DP$7)^2)</f>
        <v>2.17571662845419</v>
      </c>
      <c r="DQ93" s="74" t="n">
        <f aca="false">SQRT(($B93-DQ$5)^2+($C93-DQ$6)^2+($D93-DQ$7)^2)</f>
        <v>2.17571662845419</v>
      </c>
    </row>
    <row r="94" customFormat="false" ht="15" hidden="false" customHeight="false" outlineLevel="0" collapsed="false">
      <c r="A94" s="48" t="str">
        <f aca="false">KMeans_Data!A85</f>
        <v>Mohmand</v>
      </c>
      <c r="B94" s="72" t="n">
        <f aca="false">KMeans_Data!H85</f>
        <v>-0.470943061763014</v>
      </c>
      <c r="C94" s="72" t="n">
        <f aca="false">KMeans_Data!I85</f>
        <v>-0.146983133929529</v>
      </c>
      <c r="D94" s="72" t="n">
        <f aca="false">KMeans_Data!J85</f>
        <v>-0.399845222909568</v>
      </c>
      <c r="E94" s="74" t="n">
        <f aca="false">SQRT(($B94-E$5)^2+($C94-E$6)^2+($D94-E$7)^2)</f>
        <v>6.6999482057459</v>
      </c>
      <c r="F94" s="74" t="n">
        <f aca="false">SQRT(($B94-F$5)^2+($C94-F$6)^2+($D94-F$7)^2)</f>
        <v>6.46977995128653</v>
      </c>
      <c r="G94" s="74" t="n">
        <f aca="false">SQRT(($B94-G$5)^2+($C94-G$6)^2+($D94-G$7)^2)</f>
        <v>4.65661908028355</v>
      </c>
      <c r="H94" s="74" t="n">
        <f aca="false">SQRT(($B94-H$5)^2+($C94-H$6)^2+($D94-H$7)^2)</f>
        <v>5.08391559513605</v>
      </c>
      <c r="I94" s="74" t="n">
        <f aca="false">SQRT(($B94-I$5)^2+($C94-I$6)^2+($D94-I$7)^2)</f>
        <v>4.03380875625666</v>
      </c>
      <c r="J94" s="74" t="n">
        <f aca="false">SQRT(($B94-J$5)^2+($C94-J$6)^2+($D94-J$7)^2)</f>
        <v>3.59333705134181</v>
      </c>
      <c r="K94" s="74" t="n">
        <f aca="false">SQRT(($B94-K$5)^2+($C94-K$6)^2+($D94-K$7)^2)</f>
        <v>1.88480014365295</v>
      </c>
      <c r="L94" s="74" t="n">
        <f aca="false">SQRT(($B94-L$5)^2+($C94-L$6)^2+($D94-L$7)^2)</f>
        <v>2.89803336961564</v>
      </c>
      <c r="M94" s="74" t="n">
        <f aca="false">SQRT(($B94-M$5)^2+($C94-M$6)^2+($D94-M$7)^2)</f>
        <v>3.03810477930682</v>
      </c>
      <c r="N94" s="74" t="n">
        <f aca="false">SQRT(($B94-N$5)^2+($C94-N$6)^2+($D94-N$7)^2)</f>
        <v>1.72553780980379</v>
      </c>
      <c r="O94" s="74" t="n">
        <f aca="false">SQRT(($B94-O$5)^2+($C94-O$6)^2+($D94-O$7)^2)</f>
        <v>2.67576618440338</v>
      </c>
      <c r="P94" s="74" t="n">
        <f aca="false">SQRT(($B94-P$5)^2+($C94-P$6)^2+($D94-P$7)^2)</f>
        <v>2.94566939083318</v>
      </c>
      <c r="Q94" s="74" t="n">
        <f aca="false">SQRT(($B94-Q$5)^2+($C94-Q$6)^2+($D94-Q$7)^2)</f>
        <v>2.40480935188905</v>
      </c>
      <c r="R94" s="74" t="n">
        <f aca="false">SQRT(($B94-R$5)^2+($C94-R$6)^2+($D94-R$7)^2)</f>
        <v>2.45948554295477</v>
      </c>
      <c r="S94" s="74" t="n">
        <f aca="false">SQRT(($B94-S$5)^2+($C94-S$6)^2+($D94-S$7)^2)</f>
        <v>2.15437973108321</v>
      </c>
      <c r="T94" s="74" t="n">
        <f aca="false">SQRT(($B94-T$5)^2+($C94-T$6)^2+($D94-T$7)^2)</f>
        <v>2.30908414781032</v>
      </c>
      <c r="U94" s="74" t="n">
        <f aca="false">SQRT(($B94-U$5)^2+($C94-U$6)^2+($D94-U$7)^2)</f>
        <v>2.4564839096557</v>
      </c>
      <c r="V94" s="74" t="n">
        <f aca="false">SQRT(($B94-V$5)^2+($C94-V$6)^2+($D94-V$7)^2)</f>
        <v>2.26372840850187</v>
      </c>
      <c r="W94" s="74" t="n">
        <f aca="false">SQRT(($B94-W$5)^2+($C94-W$6)^2+($D94-W$7)^2)</f>
        <v>2.42134995366476</v>
      </c>
      <c r="X94" s="74" t="n">
        <f aca="false">SQRT(($B94-X$5)^2+($C94-X$6)^2+($D94-X$7)^2)</f>
        <v>2.16550684575167</v>
      </c>
      <c r="Y94" s="74" t="n">
        <f aca="false">SQRT(($B94-Y$5)^2+($C94-Y$6)^2+($D94-Y$7)^2)</f>
        <v>2.2967767107442</v>
      </c>
      <c r="Z94" s="74" t="n">
        <f aca="false">SQRT(($B94-Z$5)^2+($C94-Z$6)^2+($D94-Z$7)^2)</f>
        <v>1.87570314409801</v>
      </c>
      <c r="AA94" s="74" t="n">
        <f aca="false">SQRT(($B94-AA$5)^2+($C94-AA$6)^2+($D94-AA$7)^2)</f>
        <v>1.87523002805003</v>
      </c>
      <c r="AB94" s="74" t="n">
        <f aca="false">SQRT(($B94-AB$5)^2+($C94-AB$6)^2+($D94-AB$7)^2)</f>
        <v>1.78745442757596</v>
      </c>
      <c r="AC94" s="74" t="n">
        <f aca="false">SQRT(($B94-AC$5)^2+($C94-AC$6)^2+($D94-AC$7)^2)</f>
        <v>2.26415242989151</v>
      </c>
      <c r="AD94" s="74" t="n">
        <f aca="false">SQRT(($B94-AD$5)^2+($C94-AD$6)^2+($D94-AD$7)^2)</f>
        <v>2.26042875776495</v>
      </c>
      <c r="AE94" s="74" t="n">
        <f aca="false">SQRT(($B94-AE$5)^2+($C94-AE$6)^2+($D94-AE$7)^2)</f>
        <v>1.34277606092541</v>
      </c>
      <c r="AF94" s="74" t="n">
        <f aca="false">SQRT(($B94-AF$5)^2+($C94-AF$6)^2+($D94-AF$7)^2)</f>
        <v>1.8619612694745</v>
      </c>
      <c r="AG94" s="74" t="n">
        <f aca="false">SQRT(($B94-AG$5)^2+($C94-AG$6)^2+($D94-AG$7)^2)</f>
        <v>1.17306897000731</v>
      </c>
      <c r="AH94" s="74" t="n">
        <f aca="false">SQRT(($B94-AH$5)^2+($C94-AH$6)^2+($D94-AH$7)^2)</f>
        <v>1.60934764606538</v>
      </c>
      <c r="AI94" s="74" t="n">
        <f aca="false">SQRT(($B94-AI$5)^2+($C94-AI$6)^2+($D94-AI$7)^2)</f>
        <v>1.17024132051205</v>
      </c>
      <c r="AJ94" s="74" t="n">
        <f aca="false">SQRT(($B94-AJ$5)^2+($C94-AJ$6)^2+($D94-AJ$7)^2)</f>
        <v>1.96286801787943</v>
      </c>
      <c r="AK94" s="74" t="n">
        <f aca="false">SQRT(($B94-AK$5)^2+($C94-AK$6)^2+($D94-AK$7)^2)</f>
        <v>1.3239327065837</v>
      </c>
      <c r="AL94" s="74" t="n">
        <f aca="false">SQRT(($B94-AL$5)^2+($C94-AL$6)^2+($D94-AL$7)^2)</f>
        <v>1.34884790272918</v>
      </c>
      <c r="AM94" s="74" t="n">
        <f aca="false">SQRT(($B94-AM$5)^2+($C94-AM$6)^2+($D94-AM$7)^2)</f>
        <v>1.93607469753465</v>
      </c>
      <c r="AN94" s="74" t="n">
        <f aca="false">SQRT(($B94-AN$5)^2+($C94-AN$6)^2+($D94-AN$7)^2)</f>
        <v>1.94413387221455</v>
      </c>
      <c r="AO94" s="74" t="n">
        <f aca="false">SQRT(($B94-AO$5)^2+($C94-AO$6)^2+($D94-AO$7)^2)</f>
        <v>1.4061192843351</v>
      </c>
      <c r="AP94" s="74" t="n">
        <f aca="false">SQRT(($B94-AP$5)^2+($C94-AP$6)^2+($D94-AP$7)^2)</f>
        <v>1.35140172842818</v>
      </c>
      <c r="AQ94" s="74" t="n">
        <f aca="false">SQRT(($B94-AQ$5)^2+($C94-AQ$6)^2+($D94-AQ$7)^2)</f>
        <v>1.96074633769283</v>
      </c>
      <c r="AR94" s="74" t="n">
        <f aca="false">SQRT(($B94-AR$5)^2+($C94-AR$6)^2+($D94-AR$7)^2)</f>
        <v>0.968864520692181</v>
      </c>
      <c r="AS94" s="74" t="n">
        <f aca="false">SQRT(($B94-AS$5)^2+($C94-AS$6)^2+($D94-AS$7)^2)</f>
        <v>1.69933214504786</v>
      </c>
      <c r="AT94" s="74" t="n">
        <f aca="false">SQRT(($B94-AT$5)^2+($C94-AT$6)^2+($D94-AT$7)^2)</f>
        <v>1.39032779412672</v>
      </c>
      <c r="AU94" s="74" t="n">
        <f aca="false">SQRT(($B94-AU$5)^2+($C94-AU$6)^2+($D94-AU$7)^2)</f>
        <v>0.770484085227511</v>
      </c>
      <c r="AV94" s="74" t="n">
        <f aca="false">SQRT(($B94-AV$5)^2+($C94-AV$6)^2+($D94-AV$7)^2)</f>
        <v>1.28150367367834</v>
      </c>
      <c r="AW94" s="74" t="n">
        <f aca="false">SQRT(($B94-AW$5)^2+($C94-AW$6)^2+($D94-AW$7)^2)</f>
        <v>0.979840014888349</v>
      </c>
      <c r="AX94" s="74" t="n">
        <f aca="false">SQRT(($B94-AX$5)^2+($C94-AX$6)^2+($D94-AX$7)^2)</f>
        <v>1.09549488272994</v>
      </c>
      <c r="AY94" s="74" t="n">
        <f aca="false">SQRT(($B94-AY$5)^2+($C94-AY$6)^2+($D94-AY$7)^2)</f>
        <v>1.13314463664758</v>
      </c>
      <c r="AZ94" s="74" t="n">
        <f aca="false">SQRT(($B94-AZ$5)^2+($C94-AZ$6)^2+($D94-AZ$7)^2)</f>
        <v>1.66717087065843</v>
      </c>
      <c r="BA94" s="74" t="n">
        <f aca="false">SQRT(($B94-BA$5)^2+($C94-BA$6)^2+($D94-BA$7)^2)</f>
        <v>1.36831869194333</v>
      </c>
      <c r="BB94" s="74" t="n">
        <f aca="false">SQRT(($B94-BB$5)^2+($C94-BB$6)^2+($D94-BB$7)^2)</f>
        <v>1.12927485147695</v>
      </c>
      <c r="BC94" s="74" t="n">
        <f aca="false">SQRT(($B94-BC$5)^2+($C94-BC$6)^2+($D94-BC$7)^2)</f>
        <v>1.1253810236629</v>
      </c>
      <c r="BD94" s="74" t="n">
        <f aca="false">SQRT(($B94-BD$5)^2+($C94-BD$6)^2+($D94-BD$7)^2)</f>
        <v>0.833355403146396</v>
      </c>
      <c r="BE94" s="74" t="n">
        <f aca="false">SQRT(($B94-BE$5)^2+($C94-BE$6)^2+($D94-BE$7)^2)</f>
        <v>0.830865799838228</v>
      </c>
      <c r="BF94" s="74" t="n">
        <f aca="false">SQRT(($B94-BF$5)^2+($C94-BF$6)^2+($D94-BF$7)^2)</f>
        <v>2.01900014669373</v>
      </c>
      <c r="BG94" s="74" t="n">
        <f aca="false">SQRT(($B94-BG$5)^2+($C94-BG$6)^2+($D94-BG$7)^2)</f>
        <v>1.16774454079932</v>
      </c>
      <c r="BH94" s="74" t="n">
        <f aca="false">SQRT(($B94-BH$5)^2+($C94-BH$6)^2+($D94-BH$7)^2)</f>
        <v>1.06837846698791</v>
      </c>
      <c r="BI94" s="74" t="n">
        <f aca="false">SQRT(($B94-BI$5)^2+($C94-BI$6)^2+($D94-BI$7)^2)</f>
        <v>1.05987638006413</v>
      </c>
      <c r="BJ94" s="74" t="n">
        <f aca="false">SQRT(($B94-BJ$5)^2+($C94-BJ$6)^2+($D94-BJ$7)^2)</f>
        <v>0.944971148740878</v>
      </c>
      <c r="BK94" s="74" t="n">
        <f aca="false">SQRT(($B94-BK$5)^2+($C94-BK$6)^2+($D94-BK$7)^2)</f>
        <v>0.709761653779992</v>
      </c>
      <c r="BL94" s="74" t="n">
        <f aca="false">SQRT(($B94-BL$5)^2+($C94-BL$6)^2+($D94-BL$7)^2)</f>
        <v>1.03846001198397</v>
      </c>
      <c r="BM94" s="74" t="n">
        <f aca="false">SQRT(($B94-BM$5)^2+($C94-BM$6)^2+($D94-BM$7)^2)</f>
        <v>1.21961795527778</v>
      </c>
      <c r="BN94" s="74" t="n">
        <f aca="false">SQRT(($B94-BN$5)^2+($C94-BN$6)^2+($D94-BN$7)^2)</f>
        <v>0.687884632735263</v>
      </c>
      <c r="BO94" s="74" t="n">
        <f aca="false">SQRT(($B94-BO$5)^2+($C94-BO$6)^2+($D94-BO$7)^2)</f>
        <v>0.788345078934218</v>
      </c>
      <c r="BP94" s="74" t="n">
        <f aca="false">SQRT(($B94-BP$5)^2+($C94-BP$6)^2+($D94-BP$7)^2)</f>
        <v>0.821894741561152</v>
      </c>
      <c r="BQ94" s="74" t="n">
        <f aca="false">SQRT(($B94-BQ$5)^2+($C94-BQ$6)^2+($D94-BQ$7)^2)</f>
        <v>0.860716108290568</v>
      </c>
      <c r="BR94" s="74" t="n">
        <f aca="false">SQRT(($B94-BR$5)^2+($C94-BR$6)^2+($D94-BR$7)^2)</f>
        <v>0.895901330091941</v>
      </c>
      <c r="BS94" s="74" t="n">
        <f aca="false">SQRT(($B94-BS$5)^2+($C94-BS$6)^2+($D94-BS$7)^2)</f>
        <v>1.16590745855714</v>
      </c>
      <c r="BT94" s="74" t="n">
        <f aca="false">SQRT(($B94-BT$5)^2+($C94-BT$6)^2+($D94-BT$7)^2)</f>
        <v>0.833279546756362</v>
      </c>
      <c r="BU94" s="74" t="n">
        <f aca="false">SQRT(($B94-BU$5)^2+($C94-BU$6)^2+($D94-BU$7)^2)</f>
        <v>0.775367848060407</v>
      </c>
      <c r="BV94" s="74" t="n">
        <f aca="false">SQRT(($B94-BV$5)^2+($C94-BV$6)^2+($D94-BV$7)^2)</f>
        <v>0.936523840718899</v>
      </c>
      <c r="BW94" s="74" t="n">
        <f aca="false">SQRT(($B94-BW$5)^2+($C94-BW$6)^2+($D94-BW$7)^2)</f>
        <v>0.886411428851055</v>
      </c>
      <c r="BX94" s="74" t="n">
        <f aca="false">SQRT(($B94-BX$5)^2+($C94-BX$6)^2+($D94-BX$7)^2)</f>
        <v>0.933045407580076</v>
      </c>
      <c r="BY94" s="74" t="n">
        <f aca="false">SQRT(($B94-BY$5)^2+($C94-BY$6)^2+($D94-BY$7)^2)</f>
        <v>0.591455434270346</v>
      </c>
      <c r="BZ94" s="74" t="n">
        <f aca="false">SQRT(($B94-BZ$5)^2+($C94-BZ$6)^2+($D94-BZ$7)^2)</f>
        <v>0.566842000152544</v>
      </c>
      <c r="CA94" s="74" t="n">
        <f aca="false">SQRT(($B94-CA$5)^2+($C94-CA$6)^2+($D94-CA$7)^2)</f>
        <v>0.923696576447275</v>
      </c>
      <c r="CB94" s="74" t="n">
        <f aca="false">SQRT(($B94-CB$5)^2+($C94-CB$6)^2+($D94-CB$7)^2)</f>
        <v>0.56248677994856</v>
      </c>
      <c r="CC94" s="74" t="n">
        <f aca="false">SQRT(($B94-CC$5)^2+($C94-CC$6)^2+($D94-CC$7)^2)</f>
        <v>0.921030341422246</v>
      </c>
      <c r="CD94" s="74" t="n">
        <f aca="false">SQRT(($B94-CD$5)^2+($C94-CD$6)^2+($D94-CD$7)^2)</f>
        <v>0.91657074769141</v>
      </c>
      <c r="CE94" s="74" t="n">
        <f aca="false">SQRT(($B94-CE$5)^2+($C94-CE$6)^2+($D94-CE$7)^2)</f>
        <v>0.690509163686543</v>
      </c>
      <c r="CF94" s="74" t="n">
        <f aca="false">SQRT(($B94-CF$5)^2+($C94-CF$6)^2+($D94-CF$7)^2)</f>
        <v>0.543084431981346</v>
      </c>
      <c r="CG94" s="74" t="n">
        <f aca="false">SQRT(($B94-CG$5)^2+($C94-CG$6)^2+($D94-CG$7)^2)</f>
        <v>0</v>
      </c>
      <c r="CH94" s="74" t="n">
        <f aca="false">SQRT(($B94-CH$5)^2+($C94-CH$6)^2+($D94-CH$7)^2)</f>
        <v>0.525667411458745</v>
      </c>
      <c r="CI94" s="74" t="n">
        <f aca="false">SQRT(($B94-CI$5)^2+($C94-CI$6)^2+($D94-CI$7)^2)</f>
        <v>0.538032627781443</v>
      </c>
      <c r="CJ94" s="74" t="n">
        <f aca="false">SQRT(($B94-CJ$5)^2+($C94-CJ$6)^2+($D94-CJ$7)^2)</f>
        <v>0.680025120753564</v>
      </c>
      <c r="CK94" s="74" t="n">
        <f aca="false">SQRT(($B94-CK$5)^2+($C94-CK$6)^2+($D94-CK$7)^2)</f>
        <v>0.654083051188612</v>
      </c>
      <c r="CL94" s="74" t="n">
        <f aca="false">SQRT(($B94-CL$5)^2+($C94-CL$6)^2+($D94-CL$7)^2)</f>
        <v>0.927369304609038</v>
      </c>
      <c r="CM94" s="74" t="n">
        <f aca="false">SQRT(($B94-CM$5)^2+($C94-CM$6)^2+($D94-CM$7)^2)</f>
        <v>0.557616129155501</v>
      </c>
      <c r="CN94" s="74" t="n">
        <f aca="false">SQRT(($B94-CN$5)^2+($C94-CN$6)^2+($D94-CN$7)^2)</f>
        <v>1.05492261187754</v>
      </c>
      <c r="CO94" s="74" t="n">
        <f aca="false">SQRT(($B94-CO$5)^2+($C94-CO$6)^2+($D94-CO$7)^2)</f>
        <v>0.349871216134511</v>
      </c>
      <c r="CP94" s="74" t="n">
        <f aca="false">SQRT(($B94-CP$5)^2+($C94-CP$6)^2+($D94-CP$7)^2)</f>
        <v>0.952636995443617</v>
      </c>
      <c r="CQ94" s="74" t="n">
        <f aca="false">SQRT(($B94-CQ$5)^2+($C94-CQ$6)^2+($D94-CQ$7)^2)</f>
        <v>0.613066902022968</v>
      </c>
      <c r="CR94" s="74" t="n">
        <f aca="false">SQRT(($B94-CR$5)^2+($C94-CR$6)^2+($D94-CR$7)^2)</f>
        <v>0.643127975279002</v>
      </c>
      <c r="CS94" s="74" t="n">
        <f aca="false">SQRT(($B94-CS$5)^2+($C94-CS$6)^2+($D94-CS$7)^2)</f>
        <v>0.981168523864864</v>
      </c>
      <c r="CT94" s="74" t="n">
        <f aca="false">SQRT(($B94-CT$5)^2+($C94-CT$6)^2+($D94-CT$7)^2)</f>
        <v>1.0004721155159</v>
      </c>
      <c r="CU94" s="74" t="n">
        <f aca="false">SQRT(($B94-CU$5)^2+($C94-CU$6)^2+($D94-CU$7)^2)</f>
        <v>0.590498154467679</v>
      </c>
      <c r="CV94" s="74" t="n">
        <f aca="false">SQRT(($B94-CV$5)^2+($C94-CV$6)^2+($D94-CV$7)^2)</f>
        <v>0.941785683242172</v>
      </c>
      <c r="CW94" s="74" t="n">
        <f aca="false">SQRT(($B94-CW$5)^2+($C94-CW$6)^2+($D94-CW$7)^2)</f>
        <v>1.0004721155159</v>
      </c>
      <c r="CX94" s="74" t="n">
        <f aca="false">SQRT(($B94-CX$5)^2+($C94-CX$6)^2+($D94-CX$7)^2)</f>
        <v>0.791348929528548</v>
      </c>
      <c r="CY94" s="74" t="n">
        <f aca="false">SQRT(($B94-CY$5)^2+($C94-CY$6)^2+($D94-CY$7)^2)</f>
        <v>1.02418664624425</v>
      </c>
      <c r="CZ94" s="74" t="n">
        <f aca="false">SQRT(($B94-CZ$5)^2+($C94-CZ$6)^2+($D94-CZ$7)^2)</f>
        <v>1.02418664624425</v>
      </c>
      <c r="DA94" s="74" t="n">
        <f aca="false">SQRT(($B94-DA$5)^2+($C94-DA$6)^2+($D94-DA$7)^2)</f>
        <v>0.709531122460532</v>
      </c>
      <c r="DB94" s="74" t="n">
        <f aca="false">SQRT(($B94-DB$5)^2+($C94-DB$6)^2+($D94-DB$7)^2)</f>
        <v>1.05344806815418</v>
      </c>
      <c r="DC94" s="74" t="n">
        <f aca="false">SQRT(($B94-DC$5)^2+($C94-DC$6)^2+($D94-DC$7)^2)</f>
        <v>1.05344806815418</v>
      </c>
      <c r="DD94" s="74" t="n">
        <f aca="false">SQRT(($B94-DD$5)^2+($C94-DD$6)^2+($D94-DD$7)^2)</f>
        <v>0.780749248883736</v>
      </c>
      <c r="DE94" s="74" t="n">
        <f aca="false">SQRT(($B94-DE$5)^2+($C94-DE$6)^2+($D94-DE$7)^2)</f>
        <v>0.955986231003183</v>
      </c>
      <c r="DF94" s="74" t="n">
        <f aca="false">SQRT(($B94-DF$5)^2+($C94-DF$6)^2+($D94-DF$7)^2)</f>
        <v>1.27271000157399</v>
      </c>
      <c r="DG94" s="74" t="n">
        <f aca="false">SQRT(($B94-DG$5)^2+($C94-DG$6)^2+($D94-DG$7)^2)</f>
        <v>1.3812717164409</v>
      </c>
      <c r="DH94" s="74" t="n">
        <f aca="false">SQRT(($B94-DH$5)^2+($C94-DH$6)^2+($D94-DH$7)^2)</f>
        <v>1.3812717164409</v>
      </c>
      <c r="DI94" s="74" t="n">
        <f aca="false">SQRT(($B94-DI$5)^2+($C94-DI$6)^2+($D94-DI$7)^2)</f>
        <v>1.3812717164409</v>
      </c>
      <c r="DJ94" s="74" t="n">
        <f aca="false">SQRT(($B94-DJ$5)^2+($C94-DJ$6)^2+($D94-DJ$7)^2)</f>
        <v>1.3812717164409</v>
      </c>
      <c r="DK94" s="74" t="n">
        <f aca="false">SQRT(($B94-DK$5)^2+($C94-DK$6)^2+($D94-DK$7)^2)</f>
        <v>1.54600374338392</v>
      </c>
      <c r="DL94" s="74" t="n">
        <f aca="false">SQRT(($B94-DL$5)^2+($C94-DL$6)^2+($D94-DL$7)^2)</f>
        <v>1.54600374338392</v>
      </c>
      <c r="DM94" s="74" t="n">
        <f aca="false">SQRT(($B94-DM$5)^2+($C94-DM$6)^2+($D94-DM$7)^2)</f>
        <v>1.54600374338392</v>
      </c>
      <c r="DN94" s="74" t="n">
        <f aca="false">SQRT(($B94-DN$5)^2+($C94-DN$6)^2+($D94-DN$7)^2)</f>
        <v>1.54600374338392</v>
      </c>
      <c r="DO94" s="74" t="n">
        <f aca="false">SQRT(($B94-DO$5)^2+($C94-DO$6)^2+($D94-DO$7)^2)</f>
        <v>1.54600374338392</v>
      </c>
      <c r="DP94" s="74" t="n">
        <f aca="false">SQRT(($B94-DP$5)^2+($C94-DP$6)^2+($D94-DP$7)^2)</f>
        <v>1.84953056521099</v>
      </c>
      <c r="DQ94" s="74" t="n">
        <f aca="false">SQRT(($B94-DQ$5)^2+($C94-DQ$6)^2+($D94-DQ$7)^2)</f>
        <v>1.84953056521099</v>
      </c>
    </row>
    <row r="95" customFormat="false" ht="15" hidden="false" customHeight="false" outlineLevel="0" collapsed="false">
      <c r="A95" s="48" t="str">
        <f aca="false">KMeans_Data!A86</f>
        <v>Bahawal Nagar</v>
      </c>
      <c r="B95" s="72" t="n">
        <f aca="false">KMeans_Data!H86</f>
        <v>-0.470943061763014</v>
      </c>
      <c r="C95" s="72" t="n">
        <f aca="false">KMeans_Data!I86</f>
        <v>-0.672650545388274</v>
      </c>
      <c r="D95" s="72" t="n">
        <f aca="false">KMeans_Data!J86</f>
        <v>-0.399845222909568</v>
      </c>
      <c r="E95" s="74" t="n">
        <f aca="false">SQRT(($B95-E$5)^2+($C95-E$6)^2+($D95-E$7)^2)</f>
        <v>7.04033708091628</v>
      </c>
      <c r="F95" s="74" t="n">
        <f aca="false">SQRT(($B95-F$5)^2+($C95-F$6)^2+($D95-F$7)^2)</f>
        <v>6.83074952463102</v>
      </c>
      <c r="G95" s="74" t="n">
        <f aca="false">SQRT(($B95-G$5)^2+($C95-G$6)^2+($D95-G$7)^2)</f>
        <v>4.95246060155913</v>
      </c>
      <c r="H95" s="74" t="n">
        <f aca="false">SQRT(($B95-H$5)^2+($C95-H$6)^2+($D95-H$7)^2)</f>
        <v>5.47920096037811</v>
      </c>
      <c r="I95" s="74" t="n">
        <f aca="false">SQRT(($B95-I$5)^2+($C95-I$6)^2+($D95-I$7)^2)</f>
        <v>4.3444567032013</v>
      </c>
      <c r="J95" s="74" t="n">
        <f aca="false">SQRT(($B95-J$5)^2+($C95-J$6)^2+($D95-J$7)^2)</f>
        <v>3.96085281373864</v>
      </c>
      <c r="K95" s="74" t="n">
        <f aca="false">SQRT(($B95-K$5)^2+($C95-K$6)^2+($D95-K$7)^2)</f>
        <v>2.03766502915837</v>
      </c>
      <c r="L95" s="74" t="n">
        <f aca="false">SQRT(($B95-L$5)^2+($C95-L$6)^2+($D95-L$7)^2)</f>
        <v>3.09044609334738</v>
      </c>
      <c r="M95" s="74" t="n">
        <f aca="false">SQRT(($B95-M$5)^2+($C95-M$6)^2+($D95-M$7)^2)</f>
        <v>3.30681005645421</v>
      </c>
      <c r="N95" s="74" t="n">
        <f aca="false">SQRT(($B95-N$5)^2+($C95-N$6)^2+($D95-N$7)^2)</f>
        <v>1.80383118958849</v>
      </c>
      <c r="O95" s="74" t="n">
        <f aca="false">SQRT(($B95-O$5)^2+($C95-O$6)^2+($D95-O$7)^2)</f>
        <v>3.02363106542743</v>
      </c>
      <c r="P95" s="74" t="n">
        <f aca="false">SQRT(($B95-P$5)^2+($C95-P$6)^2+($D95-P$7)^2)</f>
        <v>3.31165826381387</v>
      </c>
      <c r="Q95" s="74" t="n">
        <f aca="false">SQRT(($B95-Q$5)^2+($C95-Q$6)^2+($D95-Q$7)^2)</f>
        <v>2.69418793432909</v>
      </c>
      <c r="R95" s="74" t="n">
        <f aca="false">SQRT(($B95-R$5)^2+($C95-R$6)^2+($D95-R$7)^2)</f>
        <v>2.62260325219289</v>
      </c>
      <c r="S95" s="74" t="n">
        <f aca="false">SQRT(($B95-S$5)^2+($C95-S$6)^2+($D95-S$7)^2)</f>
        <v>2.21758387737012</v>
      </c>
      <c r="T95" s="74" t="n">
        <f aca="false">SQRT(($B95-T$5)^2+($C95-T$6)^2+($D95-T$7)^2)</f>
        <v>2.60910141777208</v>
      </c>
      <c r="U95" s="74" t="n">
        <f aca="false">SQRT(($B95-U$5)^2+($C95-U$6)^2+($D95-U$7)^2)</f>
        <v>2.61978851833627</v>
      </c>
      <c r="V95" s="74" t="n">
        <f aca="false">SQRT(($B95-V$5)^2+($C95-V$6)^2+($D95-V$7)^2)</f>
        <v>2.64712915416526</v>
      </c>
      <c r="W95" s="74" t="n">
        <f aca="false">SQRT(($B95-W$5)^2+($C95-W$6)^2+($D95-W$7)^2)</f>
        <v>2.78312091894794</v>
      </c>
      <c r="X95" s="74" t="n">
        <f aca="false">SQRT(($B95-X$5)^2+($C95-X$6)^2+($D95-X$7)^2)</f>
        <v>2.44225004065701</v>
      </c>
      <c r="Y95" s="74" t="n">
        <f aca="false">SQRT(($B95-Y$5)^2+($C95-Y$6)^2+($D95-Y$7)^2)</f>
        <v>2.55936488627721</v>
      </c>
      <c r="Z95" s="74" t="n">
        <f aca="false">SQRT(($B95-Z$5)^2+($C95-Z$6)^2+($D95-Z$7)^2)</f>
        <v>2.18938978870164</v>
      </c>
      <c r="AA95" s="74" t="n">
        <f aca="false">SQRT(($B95-AA$5)^2+($C95-AA$6)^2+($D95-AA$7)^2)</f>
        <v>2.02881611972138</v>
      </c>
      <c r="AB95" s="74" t="n">
        <f aca="false">SQRT(($B95-AB$5)^2+($C95-AB$6)^2+($D95-AB$7)^2)</f>
        <v>2.04985032746872</v>
      </c>
      <c r="AC95" s="74" t="n">
        <f aca="false">SQRT(($B95-AC$5)^2+($C95-AC$6)^2+($D95-AC$7)^2)</f>
        <v>2.6474917709328</v>
      </c>
      <c r="AD95" s="74" t="n">
        <f aca="false">SQRT(($B95-AD$5)^2+($C95-AD$6)^2+($D95-AD$7)^2)</f>
        <v>2.52679708940442</v>
      </c>
      <c r="AE95" s="74" t="n">
        <f aca="false">SQRT(($B95-AE$5)^2+($C95-AE$6)^2+($D95-AE$7)^2)</f>
        <v>1.4420033901708</v>
      </c>
      <c r="AF95" s="74" t="n">
        <f aca="false">SQRT(($B95-AF$5)^2+($C95-AF$6)^2+($D95-AF$7)^2)</f>
        <v>2.14922297900972</v>
      </c>
      <c r="AG95" s="74" t="n">
        <f aca="false">SQRT(($B95-AG$5)^2+($C95-AG$6)^2+($D95-AG$7)^2)</f>
        <v>1.04869661052388</v>
      </c>
      <c r="AH95" s="74" t="n">
        <f aca="false">SQRT(($B95-AH$5)^2+($C95-AH$6)^2+($D95-AH$7)^2)</f>
        <v>1.78594709760312</v>
      </c>
      <c r="AI95" s="74" t="n">
        <f aca="false">SQRT(($B95-AI$5)^2+($C95-AI$6)^2+($D95-AI$7)^2)</f>
        <v>1.04553264930563</v>
      </c>
      <c r="AJ95" s="74" t="n">
        <f aca="false">SQRT(($B95-AJ$5)^2+($C95-AJ$6)^2+($D95-AJ$7)^2)</f>
        <v>2.20448268080669</v>
      </c>
      <c r="AK95" s="74" t="n">
        <f aca="false">SQRT(($B95-AK$5)^2+($C95-AK$6)^2+($D95-AK$7)^2)</f>
        <v>1.60679074367861</v>
      </c>
      <c r="AL95" s="74" t="n">
        <f aca="false">SQRT(($B95-AL$5)^2+($C95-AL$6)^2+($D95-AL$7)^2)</f>
        <v>1.44765910772069</v>
      </c>
      <c r="AM95" s="74" t="n">
        <f aca="false">SQRT(($B95-AM$5)^2+($C95-AM$6)^2+($D95-AM$7)^2)</f>
        <v>2.37301742214573</v>
      </c>
      <c r="AN95" s="74" t="n">
        <f aca="false">SQRT(($B95-AN$5)^2+($C95-AN$6)^2+($D95-AN$7)^2)</f>
        <v>2.32705686702266</v>
      </c>
      <c r="AO95" s="74" t="n">
        <f aca="false">SQRT(($B95-AO$5)^2+($C95-AO$6)^2+($D95-AO$7)^2)</f>
        <v>1.6751567461549</v>
      </c>
      <c r="AP95" s="74" t="n">
        <f aca="false">SQRT(($B95-AP$5)^2+($C95-AP$6)^2+($D95-AP$7)^2)</f>
        <v>1.62949848542669</v>
      </c>
      <c r="AQ95" s="74" t="n">
        <f aca="false">SQRT(($B95-AQ$5)^2+($C95-AQ$6)^2+($D95-AQ$7)^2)</f>
        <v>2.36923132426792</v>
      </c>
      <c r="AR95" s="74" t="n">
        <f aca="false">SQRT(($B95-AR$5)^2+($C95-AR$6)^2+($D95-AR$7)^2)</f>
        <v>1.24028450324791</v>
      </c>
      <c r="AS95" s="74" t="n">
        <f aca="false">SQRT(($B95-AS$5)^2+($C95-AS$6)^2+($D95-AS$7)^2)</f>
        <v>1.61598375973375</v>
      </c>
      <c r="AT95" s="74" t="n">
        <f aca="false">SQRT(($B95-AT$5)^2+($C95-AT$6)^2+($D95-AT$7)^2)</f>
        <v>1.48638406967749</v>
      </c>
      <c r="AU95" s="74" t="n">
        <f aca="false">SQRT(($B95-AU$5)^2+($C95-AU$6)^2+($D95-AU$7)^2)</f>
        <v>0.932722870448995</v>
      </c>
      <c r="AV95" s="74" t="n">
        <f aca="false">SQRT(($B95-AV$5)^2+($C95-AV$6)^2+($D95-AV$7)^2)</f>
        <v>1.16872812842908</v>
      </c>
      <c r="AW95" s="74" t="n">
        <f aca="false">SQRT(($B95-AW$5)^2+($C95-AW$6)^2+($D95-AW$7)^2)</f>
        <v>0.826897954590929</v>
      </c>
      <c r="AX95" s="74" t="n">
        <f aca="false">SQRT(($B95-AX$5)^2+($C95-AX$6)^2+($D95-AX$7)^2)</f>
        <v>1.34153502661254</v>
      </c>
      <c r="AY95" s="74" t="n">
        <f aca="false">SQRT(($B95-AY$5)^2+($C95-AY$6)^2+($D95-AY$7)^2)</f>
        <v>1.00383790528822</v>
      </c>
      <c r="AZ95" s="74" t="n">
        <f aca="false">SQRT(($B95-AZ$5)^2+($C95-AZ$6)^2+($D95-AZ$7)^2)</f>
        <v>1.58212909855746</v>
      </c>
      <c r="BA95" s="74" t="n">
        <f aca="false">SQRT(($B95-BA$5)^2+($C95-BA$6)^2+($D95-BA$7)^2)</f>
        <v>1.46581795260914</v>
      </c>
      <c r="BB95" s="74" t="n">
        <f aca="false">SQRT(($B95-BB$5)^2+($C95-BB$6)^2+($D95-BB$7)^2)</f>
        <v>0.999467589623872</v>
      </c>
      <c r="BC95" s="74" t="n">
        <f aca="false">SQRT(($B95-BC$5)^2+($C95-BC$6)^2+($D95-BC$7)^2)</f>
        <v>0.995065937991458</v>
      </c>
      <c r="BD95" s="74" t="n">
        <f aca="false">SQRT(($B95-BD$5)^2+($C95-BD$6)^2+($D95-BD$7)^2)</f>
        <v>0.646649055116881</v>
      </c>
      <c r="BE95" s="74" t="n">
        <f aca="false">SQRT(($B95-BE$5)^2+($C95-BE$6)^2+($D95-BE$7)^2)</f>
        <v>0.643437448297098</v>
      </c>
      <c r="BF95" s="74" t="n">
        <f aca="false">SQRT(($B95-BF$5)^2+($C95-BF$6)^2+($D95-BF$7)^2)</f>
        <v>2.44114482235745</v>
      </c>
      <c r="BG95" s="74" t="n">
        <f aca="false">SQRT(($B95-BG$5)^2+($C95-BG$6)^2+($D95-BG$7)^2)</f>
        <v>1.28060670778985</v>
      </c>
      <c r="BH95" s="74" t="n">
        <f aca="false">SQRT(($B95-BH$5)^2+($C95-BH$6)^2+($D95-BH$7)^2)</f>
        <v>0.930110918790711</v>
      </c>
      <c r="BI95" s="74" t="n">
        <f aca="false">SQRT(($B95-BI$5)^2+($C95-BI$6)^2+($D95-BI$7)^2)</f>
        <v>0.920332392969034</v>
      </c>
      <c r="BJ95" s="74" t="n">
        <f aca="false">SQRT(($B95-BJ$5)^2+($C95-BJ$6)^2+($D95-BJ$7)^2)</f>
        <v>1.37835536285653</v>
      </c>
      <c r="BK95" s="74" t="n">
        <f aca="false">SQRT(($B95-BK$5)^2+($C95-BK$6)^2+($D95-BK$7)^2)</f>
        <v>0.476901853327046</v>
      </c>
      <c r="BL95" s="74" t="n">
        <f aca="false">SQRT(($B95-BL$5)^2+($C95-BL$6)^2+($D95-BL$7)^2)</f>
        <v>0.895585266191893</v>
      </c>
      <c r="BM95" s="74" t="n">
        <f aca="false">SQRT(($B95-BM$5)^2+($C95-BM$6)^2+($D95-BM$7)^2)</f>
        <v>1.57935461223838</v>
      </c>
      <c r="BN95" s="74" t="n">
        <f aca="false">SQRT(($B95-BN$5)^2+($C95-BN$6)^2+($D95-BN$7)^2)</f>
        <v>1.03575694904459</v>
      </c>
      <c r="BO95" s="74" t="n">
        <f aca="false">SQRT(($B95-BO$5)^2+($C95-BO$6)^2+($D95-BO$7)^2)</f>
        <v>0.587504668926181</v>
      </c>
      <c r="BP95" s="74" t="n">
        <f aca="false">SQRT(($B95-BP$5)^2+($C95-BP$6)^2+($D95-BP$7)^2)</f>
        <v>1.12921129809557</v>
      </c>
      <c r="BQ95" s="74" t="n">
        <f aca="false">SQRT(($B95-BQ$5)^2+($C95-BQ$6)^2+($D95-BQ$7)^2)</f>
        <v>1.0085427341172</v>
      </c>
      <c r="BR95" s="74" t="n">
        <f aca="false">SQRT(($B95-BR$5)^2+($C95-BR$6)^2+($D95-BR$7)^2)</f>
        <v>1.03873260309391</v>
      </c>
      <c r="BS95" s="74" t="n">
        <f aca="false">SQRT(($B95-BS$5)^2+($C95-BS$6)^2+($D95-BS$7)^2)</f>
        <v>1.04067957337954</v>
      </c>
      <c r="BT95" s="74" t="n">
        <f aca="false">SQRT(($B95-BT$5)^2+($C95-BT$6)^2+($D95-BT$7)^2)</f>
        <v>0.646551293845082</v>
      </c>
      <c r="BU95" s="74" t="n">
        <f aca="false">SQRT(($B95-BU$5)^2+($C95-BU$6)^2+($D95-BU$7)^2)</f>
        <v>0.569972869824598</v>
      </c>
      <c r="BV95" s="74" t="n">
        <f aca="false">SQRT(($B95-BV$5)^2+($C95-BV$6)^2+($D95-BV$7)^2)</f>
        <v>0.77508107754295</v>
      </c>
      <c r="BW95" s="74" t="n">
        <f aca="false">SQRT(($B95-BW$5)^2+($C95-BW$6)^2+($D95-BW$7)^2)</f>
        <v>0.713721930255777</v>
      </c>
      <c r="BX95" s="74" t="n">
        <f aca="false">SQRT(($B95-BX$5)^2+($C95-BX$6)^2+($D95-BX$7)^2)</f>
        <v>0.770874506736688</v>
      </c>
      <c r="BY95" s="74" t="n">
        <f aca="false">SQRT(($B95-BY$5)^2+($C95-BY$6)^2+($D95-BY$7)^2)</f>
        <v>0.271096483301031</v>
      </c>
      <c r="BZ95" s="74" t="n">
        <f aca="false">SQRT(($B95-BZ$5)^2+($C95-BZ$6)^2+($D95-BZ$7)^2)</f>
        <v>0.212093436171887</v>
      </c>
      <c r="CA95" s="74" t="n">
        <f aca="false">SQRT(($B95-CA$5)^2+($C95-CA$6)^2+($D95-CA$7)^2)</f>
        <v>0.759532183564777</v>
      </c>
      <c r="CB95" s="74" t="n">
        <f aca="false">SQRT(($B95-CB$5)^2+($C95-CB$6)^2+($D95-CB$7)^2)</f>
        <v>0.200162809100896</v>
      </c>
      <c r="CC95" s="74" t="n">
        <f aca="false">SQRT(($B95-CC$5)^2+($C95-CC$6)^2+($D95-CC$7)^2)</f>
        <v>0.756287420463042</v>
      </c>
      <c r="CD95" s="74" t="n">
        <f aca="false">SQRT(($B95-CD$5)^2+($C95-CD$6)^2+($D95-CD$7)^2)</f>
        <v>0.750849990380138</v>
      </c>
      <c r="CE95" s="74" t="n">
        <f aca="false">SQRT(($B95-CE$5)^2+($C95-CE$6)^2+($D95-CE$7)^2)</f>
        <v>0.447746220157525</v>
      </c>
      <c r="CF95" s="74" t="n">
        <f aca="false">SQRT(($B95-CF$5)^2+($C95-CF$6)^2+($D95-CF$7)^2)</f>
        <v>0.755822021199593</v>
      </c>
      <c r="CG95" s="74" t="n">
        <f aca="false">SQRT(($B95-CG$5)^2+($C95-CG$6)^2+($D95-CG$7)^2)</f>
        <v>0.525667411458745</v>
      </c>
      <c r="CH95" s="74" t="n">
        <f aca="false">SQRT(($B95-CH$5)^2+($C95-CH$6)^2+($D95-CH$7)^2)</f>
        <v>0</v>
      </c>
      <c r="CI95" s="74" t="n">
        <f aca="false">SQRT(($B95-CI$5)^2+($C95-CI$6)^2+($D95-CI$7)^2)</f>
        <v>0.114686010862996</v>
      </c>
      <c r="CJ95" s="74" t="n">
        <f aca="false">SQRT(($B95-CJ$5)^2+($C95-CJ$6)^2+($D95-CJ$7)^2)</f>
        <v>0.431402291818393</v>
      </c>
      <c r="CK95" s="74" t="n">
        <f aca="false">SQRT(($B95-CK$5)^2+($C95-CK$6)^2+($D95-CK$7)^2)</f>
        <v>0.38922796711242</v>
      </c>
      <c r="CL95" s="74" t="n">
        <f aca="false">SQRT(($B95-CL$5)^2+($C95-CL$6)^2+($D95-CL$7)^2)</f>
        <v>0.763994502376367</v>
      </c>
      <c r="CM95" s="74" t="n">
        <f aca="false">SQRT(($B95-CM$5)^2+($C95-CM$6)^2+($D95-CM$7)^2)</f>
        <v>0.186036340602116</v>
      </c>
      <c r="CN95" s="74" t="n">
        <f aca="false">SQRT(($B95-CN$5)^2+($C95-CN$6)^2+($D95-CN$7)^2)</f>
        <v>1.17863817370738</v>
      </c>
      <c r="CO95" s="74" t="n">
        <f aca="false">SQRT(($B95-CO$5)^2+($C95-CO$6)^2+($D95-CO$7)^2)</f>
        <v>0.631455537111822</v>
      </c>
      <c r="CP95" s="74" t="n">
        <f aca="false">SQRT(($B95-CP$5)^2+($C95-CP$6)^2+($D95-CP$7)^2)</f>
        <v>0.79447530963404</v>
      </c>
      <c r="CQ95" s="74" t="n">
        <f aca="false">SQRT(($B95-CQ$5)^2+($C95-CQ$6)^2+($D95-CQ$7)^2)</f>
        <v>0.315475512340184</v>
      </c>
      <c r="CR95" s="74" t="n">
        <f aca="false">SQRT(($B95-CR$5)^2+($C95-CR$6)^2+($D95-CR$7)^2)</f>
        <v>0.370523096603614</v>
      </c>
      <c r="CS95" s="74" t="n">
        <f aca="false">SQRT(($B95-CS$5)^2+($C95-CS$6)^2+($D95-CS$7)^2)</f>
        <v>0.82847175253802</v>
      </c>
      <c r="CT95" s="74" t="n">
        <f aca="false">SQRT(($B95-CT$5)^2+($C95-CT$6)^2+($D95-CT$7)^2)</f>
        <v>0.851245103630629</v>
      </c>
      <c r="CU95" s="74" t="n">
        <f aca="false">SQRT(($B95-CU$5)^2+($C95-CU$6)^2+($D95-CU$7)^2)</f>
        <v>0.790578457775996</v>
      </c>
      <c r="CV95" s="74" t="n">
        <f aca="false">SQRT(($B95-CV$5)^2+($C95-CV$6)^2+($D95-CV$7)^2)</f>
        <v>0.781430768328319</v>
      </c>
      <c r="CW95" s="74" t="n">
        <f aca="false">SQRT(($B95-CW$5)^2+($C95-CW$6)^2+($D95-CW$7)^2)</f>
        <v>0.851245103630629</v>
      </c>
      <c r="CX95" s="74" t="n">
        <f aca="false">SQRT(($B95-CX$5)^2+($C95-CX$6)^2+($D95-CX$7)^2)</f>
        <v>0.591529289888709</v>
      </c>
      <c r="CY95" s="74" t="n">
        <f aca="false">SQRT(($B95-CY$5)^2+($C95-CY$6)^2+($D95-CY$7)^2)</f>
        <v>0.878994914021296</v>
      </c>
      <c r="CZ95" s="74" t="n">
        <f aca="false">SQRT(($B95-CZ$5)^2+($C95-CZ$6)^2+($D95-CZ$7)^2)</f>
        <v>0.878994914021296</v>
      </c>
      <c r="DA95" s="74" t="n">
        <f aca="false">SQRT(($B95-DA$5)^2+($C95-DA$6)^2+($D95-DA$7)^2)</f>
        <v>0.476558691317623</v>
      </c>
      <c r="DB95" s="74" t="n">
        <f aca="false">SQRT(($B95-DB$5)^2+($C95-DB$6)^2+($D95-DB$7)^2)</f>
        <v>0.912922014647497</v>
      </c>
      <c r="DC95" s="74" t="n">
        <f aca="false">SQRT(($B95-DC$5)^2+($C95-DC$6)^2+($D95-DC$7)^2)</f>
        <v>0.912922014647497</v>
      </c>
      <c r="DD95" s="74" t="n">
        <f aca="false">SQRT(($B95-DD$5)^2+($C95-DD$6)^2+($D95-DD$7)^2)</f>
        <v>0.577272173383388</v>
      </c>
      <c r="DE95" s="74" t="n">
        <f aca="false">SQRT(($B95-DE$5)^2+($C95-DE$6)^2+($D95-DE$7)^2)</f>
        <v>0.798488225585032</v>
      </c>
      <c r="DF95" s="74" t="n">
        <f aca="false">SQRT(($B95-DF$5)^2+($C95-DF$6)^2+($D95-DF$7)^2)</f>
        <v>1.15907916927047</v>
      </c>
      <c r="DG95" s="74" t="n">
        <f aca="false">SQRT(($B95-DG$5)^2+($C95-DG$6)^2+($D95-DG$7)^2)</f>
        <v>1.27733524462838</v>
      </c>
      <c r="DH95" s="74" t="n">
        <f aca="false">SQRT(($B95-DH$5)^2+($C95-DH$6)^2+($D95-DH$7)^2)</f>
        <v>1.27733524462838</v>
      </c>
      <c r="DI95" s="74" t="n">
        <f aca="false">SQRT(($B95-DI$5)^2+($C95-DI$6)^2+($D95-DI$7)^2)</f>
        <v>1.27733524462838</v>
      </c>
      <c r="DJ95" s="74" t="n">
        <f aca="false">SQRT(($B95-DJ$5)^2+($C95-DJ$6)^2+($D95-DJ$7)^2)</f>
        <v>1.27733524462838</v>
      </c>
      <c r="DK95" s="74" t="n">
        <f aca="false">SQRT(($B95-DK$5)^2+($C95-DK$6)^2+($D95-DK$7)^2)</f>
        <v>1.45389179345898</v>
      </c>
      <c r="DL95" s="74" t="n">
        <f aca="false">SQRT(($B95-DL$5)^2+($C95-DL$6)^2+($D95-DL$7)^2)</f>
        <v>1.45389179345898</v>
      </c>
      <c r="DM95" s="74" t="n">
        <f aca="false">SQRT(($B95-DM$5)^2+($C95-DM$6)^2+($D95-DM$7)^2)</f>
        <v>1.45389179345898</v>
      </c>
      <c r="DN95" s="74" t="n">
        <f aca="false">SQRT(($B95-DN$5)^2+($C95-DN$6)^2+($D95-DN$7)^2)</f>
        <v>1.45389179345898</v>
      </c>
      <c r="DO95" s="74" t="n">
        <f aca="false">SQRT(($B95-DO$5)^2+($C95-DO$6)^2+($D95-DO$7)^2)</f>
        <v>1.45389179345898</v>
      </c>
      <c r="DP95" s="74" t="n">
        <f aca="false">SQRT(($B95-DP$5)^2+($C95-DP$6)^2+($D95-DP$7)^2)</f>
        <v>1.77325606841763</v>
      </c>
      <c r="DQ95" s="74" t="n">
        <f aca="false">SQRT(($B95-DQ$5)^2+($C95-DQ$6)^2+($D95-DQ$7)^2)</f>
        <v>1.77325606841763</v>
      </c>
    </row>
    <row r="96" customFormat="false" ht="15" hidden="false" customHeight="false" outlineLevel="0" collapsed="false">
      <c r="A96" s="48" t="str">
        <f aca="false">KMeans_Data!A87</f>
        <v>Ghizer</v>
      </c>
      <c r="B96" s="72" t="n">
        <f aca="false">KMeans_Data!H87</f>
        <v>-0.520549152721336</v>
      </c>
      <c r="C96" s="72" t="n">
        <f aca="false">KMeans_Data!I87</f>
        <v>-0.672650545388274</v>
      </c>
      <c r="D96" s="72" t="n">
        <f aca="false">KMeans_Data!J87</f>
        <v>-0.503247915463979</v>
      </c>
      <c r="E96" s="74" t="n">
        <f aca="false">SQRT(($B96-E$5)^2+($C96-E$6)^2+($D96-E$7)^2)</f>
        <v>7.12084562266141</v>
      </c>
      <c r="F96" s="74" t="n">
        <f aca="false">SQRT(($B96-F$5)^2+($C96-F$6)^2+($D96-F$7)^2)</f>
        <v>6.90496230961922</v>
      </c>
      <c r="G96" s="74" t="n">
        <f aca="false">SQRT(($B96-G$5)^2+($C96-G$6)^2+($D96-G$7)^2)</f>
        <v>5.03930933779083</v>
      </c>
      <c r="H96" s="74" t="n">
        <f aca="false">SQRT(($B96-H$5)^2+($C96-H$6)^2+($D96-H$7)^2)</f>
        <v>5.54400848065925</v>
      </c>
      <c r="I96" s="74" t="n">
        <f aca="false">SQRT(($B96-I$5)^2+($C96-I$6)^2+($D96-I$7)^2)</f>
        <v>4.42528203600164</v>
      </c>
      <c r="J96" s="74" t="n">
        <f aca="false">SQRT(($B96-J$5)^2+($C96-J$6)^2+($D96-J$7)^2)</f>
        <v>4.03455451422688</v>
      </c>
      <c r="K96" s="74" t="n">
        <f aca="false">SQRT(($B96-K$5)^2+($C96-K$6)^2+($D96-K$7)^2)</f>
        <v>2.06325906190586</v>
      </c>
      <c r="L96" s="74" t="n">
        <f aca="false">SQRT(($B96-L$5)^2+($C96-L$6)^2+($D96-L$7)^2)</f>
        <v>3.19069275093581</v>
      </c>
      <c r="M96" s="74" t="n">
        <f aca="false">SQRT(($B96-M$5)^2+($C96-M$6)^2+($D96-M$7)^2)</f>
        <v>3.39898816774636</v>
      </c>
      <c r="N96" s="74" t="n">
        <f aca="false">SQRT(($B96-N$5)^2+($C96-N$6)^2+($D96-N$7)^2)</f>
        <v>1.82895616834087</v>
      </c>
      <c r="O96" s="74" t="n">
        <f aca="false">SQRT(($B96-O$5)^2+($C96-O$6)^2+($D96-O$7)^2)</f>
        <v>3.09879251519788</v>
      </c>
      <c r="P96" s="74" t="n">
        <f aca="false">SQRT(($B96-P$5)^2+($C96-P$6)^2+($D96-P$7)^2)</f>
        <v>3.38567185678724</v>
      </c>
      <c r="Q96" s="74" t="n">
        <f aca="false">SQRT(($B96-Q$5)^2+($C96-Q$6)^2+($D96-Q$7)^2)</f>
        <v>2.77994582318503</v>
      </c>
      <c r="R96" s="74" t="n">
        <f aca="false">SQRT(($B96-R$5)^2+($C96-R$6)^2+($D96-R$7)^2)</f>
        <v>2.72536569763079</v>
      </c>
      <c r="S96" s="74" t="n">
        <f aca="false">SQRT(($B96-S$5)^2+($C96-S$6)^2+($D96-S$7)^2)</f>
        <v>2.32412323441976</v>
      </c>
      <c r="T96" s="74" t="n">
        <f aca="false">SQRT(($B96-T$5)^2+($C96-T$6)^2+($D96-T$7)^2)</f>
        <v>2.69305926328932</v>
      </c>
      <c r="U96" s="74" t="n">
        <f aca="false">SQRT(($B96-U$5)^2+($C96-U$6)^2+($D96-U$7)^2)</f>
        <v>2.72407727958121</v>
      </c>
      <c r="V96" s="74" t="n">
        <f aca="false">SQRT(($B96-V$5)^2+($C96-V$6)^2+($D96-V$7)^2)</f>
        <v>2.71336707218071</v>
      </c>
      <c r="W96" s="74" t="n">
        <f aca="false">SQRT(($B96-W$5)^2+($C96-W$6)^2+($D96-W$7)^2)</f>
        <v>2.85762141496816</v>
      </c>
      <c r="X96" s="74" t="n">
        <f aca="false">SQRT(($B96-X$5)^2+($C96-X$6)^2+($D96-X$7)^2)</f>
        <v>2.53082164837101</v>
      </c>
      <c r="Y96" s="74" t="n">
        <f aca="false">SQRT(($B96-Y$5)^2+($C96-Y$6)^2+($D96-Y$7)^2)</f>
        <v>2.65209069407754</v>
      </c>
      <c r="Z96" s="74" t="n">
        <f aca="false">SQRT(($B96-Z$5)^2+($C96-Z$6)^2+($D96-Z$7)^2)</f>
        <v>2.26755615908601</v>
      </c>
      <c r="AA96" s="74" t="n">
        <f aca="false">SQRT(($B96-AA$5)^2+($C96-AA$6)^2+($D96-AA$7)^2)</f>
        <v>2.12952120247504</v>
      </c>
      <c r="AB96" s="74" t="n">
        <f aca="false">SQRT(($B96-AB$5)^2+($C96-AB$6)^2+($D96-AB$7)^2)</f>
        <v>2.13545222367594</v>
      </c>
      <c r="AC96" s="74" t="n">
        <f aca="false">SQRT(($B96-AC$5)^2+($C96-AC$6)^2+($D96-AC$7)^2)</f>
        <v>2.71622667055489</v>
      </c>
      <c r="AD96" s="74" t="n">
        <f aca="false">SQRT(($B96-AD$5)^2+($C96-AD$6)^2+($D96-AD$7)^2)</f>
        <v>2.61952537845839</v>
      </c>
      <c r="AE96" s="74" t="n">
        <f aca="false">SQRT(($B96-AE$5)^2+($C96-AE$6)^2+($D96-AE$7)^2)</f>
        <v>1.43145847046038</v>
      </c>
      <c r="AF96" s="74" t="n">
        <f aca="false">SQRT(($B96-AF$5)^2+($C96-AF$6)^2+($D96-AF$7)^2)</f>
        <v>2.23653220890642</v>
      </c>
      <c r="AG96" s="74" t="n">
        <f aca="false">SQRT(($B96-AG$5)^2+($C96-AG$6)^2+($D96-AG$7)^2)</f>
        <v>1.10315952650131</v>
      </c>
      <c r="AH96" s="74" t="n">
        <f aca="false">SQRT(($B96-AH$5)^2+($C96-AH$6)^2+($D96-AH$7)^2)</f>
        <v>1.8844418667592</v>
      </c>
      <c r="AI96" s="74" t="n">
        <f aca="false">SQRT(($B96-AI$5)^2+($C96-AI$6)^2+($D96-AI$7)^2)</f>
        <v>1.10000953507432</v>
      </c>
      <c r="AJ96" s="74" t="n">
        <f aca="false">SQRT(($B96-AJ$5)^2+($C96-AJ$6)^2+($D96-AJ$7)^2)</f>
        <v>2.29977306407044</v>
      </c>
      <c r="AK96" s="74" t="n">
        <f aca="false">SQRT(($B96-AK$5)^2+($C96-AK$6)^2+($D96-AK$7)^2)</f>
        <v>1.68415532628735</v>
      </c>
      <c r="AL96" s="74" t="n">
        <f aca="false">SQRT(($B96-AL$5)^2+($C96-AL$6)^2+($D96-AL$7)^2)</f>
        <v>1.54936644840016</v>
      </c>
      <c r="AM96" s="74" t="n">
        <f aca="false">SQRT(($B96-AM$5)^2+($C96-AM$6)^2+($D96-AM$7)^2)</f>
        <v>2.42598960572514</v>
      </c>
      <c r="AN96" s="74" t="n">
        <f aca="false">SQRT(($B96-AN$5)^2+($C96-AN$6)^2+($D96-AN$7)^2)</f>
        <v>2.39824944681917</v>
      </c>
      <c r="AO96" s="74" t="n">
        <f aca="false">SQRT(($B96-AO$5)^2+($C96-AO$6)^2+($D96-AO$7)^2)</f>
        <v>1.76163883608212</v>
      </c>
      <c r="AP96" s="74" t="n">
        <f aca="false">SQRT(($B96-AP$5)^2+($C96-AP$6)^2+($D96-AP$7)^2)</f>
        <v>1.71336018203123</v>
      </c>
      <c r="AQ96" s="74" t="n">
        <f aca="false">SQRT(($B96-AQ$5)^2+($C96-AQ$6)^2+($D96-AQ$7)^2)</f>
        <v>2.43438851712872</v>
      </c>
      <c r="AR96" s="74" t="n">
        <f aca="false">SQRT(($B96-AR$5)^2+($C96-AR$6)^2+($D96-AR$7)^2)</f>
        <v>1.3050999471178</v>
      </c>
      <c r="AS96" s="74" t="n">
        <f aca="false">SQRT(($B96-AS$5)^2+($C96-AS$6)^2+($D96-AS$7)^2)</f>
        <v>1.73046329701641</v>
      </c>
      <c r="AT96" s="74" t="n">
        <f aca="false">SQRT(($B96-AT$5)^2+($C96-AT$6)^2+($D96-AT$7)^2)</f>
        <v>1.59347997606454</v>
      </c>
      <c r="AU96" s="74" t="n">
        <f aca="false">SQRT(($B96-AU$5)^2+($C96-AU$6)^2+($D96-AU$7)^2)</f>
        <v>0.952321370843721</v>
      </c>
      <c r="AV96" s="74" t="n">
        <f aca="false">SQRT(($B96-AV$5)^2+($C96-AV$6)^2+($D96-AV$7)^2)</f>
        <v>1.28079094253019</v>
      </c>
      <c r="AW96" s="74" t="n">
        <f aca="false">SQRT(($B96-AW$5)^2+($C96-AW$6)^2+($D96-AW$7)^2)</f>
        <v>0.824318084111536</v>
      </c>
      <c r="AX96" s="74" t="n">
        <f aca="false">SQRT(($B96-AX$5)^2+($C96-AX$6)^2+($D96-AX$7)^2)</f>
        <v>1.42978062096204</v>
      </c>
      <c r="AY96" s="74" t="n">
        <f aca="false">SQRT(($B96-AY$5)^2+($C96-AY$6)^2+($D96-AY$7)^2)</f>
        <v>0.966059366796661</v>
      </c>
      <c r="AZ96" s="74" t="n">
        <f aca="false">SQRT(($B96-AZ$5)^2+($C96-AZ$6)^2+($D96-AZ$7)^2)</f>
        <v>1.69681107755661</v>
      </c>
      <c r="BA96" s="74" t="n">
        <f aca="false">SQRT(($B96-BA$5)^2+($C96-BA$6)^2+($D96-BA$7)^2)</f>
        <v>1.5732306832436</v>
      </c>
      <c r="BB96" s="74" t="n">
        <f aca="false">SQRT(($B96-BB$5)^2+($C96-BB$6)^2+($D96-BB$7)^2)</f>
        <v>0.961179531950569</v>
      </c>
      <c r="BC96" s="74" t="n">
        <f aca="false">SQRT(($B96-BC$5)^2+($C96-BC$6)^2+($D96-BC$7)^2)</f>
        <v>0.956257834603823</v>
      </c>
      <c r="BD96" s="74" t="n">
        <f aca="false">SQRT(($B96-BD$5)^2+($C96-BD$6)^2+($D96-BD$7)^2)</f>
        <v>0.687934285272228</v>
      </c>
      <c r="BE96" s="74" t="n">
        <f aca="false">SQRT(($B96-BE$5)^2+($C96-BE$6)^2+($D96-BE$7)^2)</f>
        <v>0.722041275439953</v>
      </c>
      <c r="BF96" s="74" t="n">
        <f aca="false">SQRT(($B96-BF$5)^2+($C96-BF$6)^2+($D96-BF$7)^2)</f>
        <v>2.5049784104029</v>
      </c>
      <c r="BG96" s="74" t="n">
        <f aca="false">SQRT(($B96-BG$5)^2+($C96-BG$6)^2+($D96-BG$7)^2)</f>
        <v>1.38578471264951</v>
      </c>
      <c r="BH96" s="74" t="n">
        <f aca="false">SQRT(($B96-BH$5)^2+($C96-BH$6)^2+($D96-BH$7)^2)</f>
        <v>0.882702682305148</v>
      </c>
      <c r="BI96" s="74" t="n">
        <f aca="false">SQRT(($B96-BI$5)^2+($C96-BI$6)^2+($D96-BI$7)^2)</f>
        <v>0.871452816385139</v>
      </c>
      <c r="BJ96" s="74" t="n">
        <f aca="false">SQRT(($B96-BJ$5)^2+($C96-BJ$6)^2+($D96-BJ$7)^2)</f>
        <v>1.4304100538676</v>
      </c>
      <c r="BK96" s="74" t="n">
        <f aca="false">SQRT(($B96-BK$5)^2+($C96-BK$6)^2+($D96-BK$7)^2)</f>
        <v>0.536565683046452</v>
      </c>
      <c r="BL96" s="74" t="n">
        <f aca="false">SQRT(($B96-BL$5)^2+($C96-BL$6)^2+($D96-BL$7)^2)</f>
        <v>1.00974583239521</v>
      </c>
      <c r="BM96" s="74" t="n">
        <f aca="false">SQRT(($B96-BM$5)^2+($C96-BM$6)^2+($D96-BM$7)^2)</f>
        <v>1.65451180423078</v>
      </c>
      <c r="BN96" s="74" t="n">
        <f aca="false">SQRT(($B96-BN$5)^2+($C96-BN$6)^2+($D96-BN$7)^2)</f>
        <v>1.10449382206848</v>
      </c>
      <c r="BO96" s="74" t="n">
        <f aca="false">SQRT(($B96-BO$5)^2+($C96-BO$6)^2+($D96-BO$7)^2)</f>
        <v>0.557485342900261</v>
      </c>
      <c r="BP96" s="74" t="n">
        <f aca="false">SQRT(($B96-BP$5)^2+($C96-BP$6)^2+($D96-BP$7)^2)</f>
        <v>1.20944207143741</v>
      </c>
      <c r="BQ96" s="74" t="n">
        <f aca="false">SQRT(($B96-BQ$5)^2+($C96-BQ$6)^2+($D96-BQ$7)^2)</f>
        <v>1.10802250993838</v>
      </c>
      <c r="BR96" s="74" t="n">
        <f aca="false">SQRT(($B96-BR$5)^2+($C96-BR$6)^2+($D96-BR$7)^2)</f>
        <v>1.13895372393126</v>
      </c>
      <c r="BS96" s="74" t="n">
        <f aca="false">SQRT(($B96-BS$5)^2+($C96-BS$6)^2+($D96-BS$7)^2)</f>
        <v>1.15409579962195</v>
      </c>
      <c r="BT96" s="74" t="n">
        <f aca="false">SQRT(($B96-BT$5)^2+($C96-BT$6)^2+($D96-BT$7)^2)</f>
        <v>0.761160666953643</v>
      </c>
      <c r="BU96" s="74" t="n">
        <f aca="false">SQRT(($B96-BU$5)^2+($C96-BU$6)^2+($D96-BU$7)^2)</f>
        <v>0.684641414598001</v>
      </c>
      <c r="BV96" s="74" t="n">
        <f aca="false">SQRT(($B96-BV$5)^2+($C96-BV$6)^2+($D96-BV$7)^2)</f>
        <v>0.693257036396302</v>
      </c>
      <c r="BW96" s="74" t="n">
        <f aca="false">SQRT(($B96-BW$5)^2+($C96-BW$6)^2+($D96-BW$7)^2)</f>
        <v>0.826973180549213</v>
      </c>
      <c r="BX96" s="74" t="n">
        <f aca="false">SQRT(($B96-BX$5)^2+($C96-BX$6)^2+($D96-BX$7)^2)</f>
        <v>0.687395949791673</v>
      </c>
      <c r="BY96" s="74" t="n">
        <f aca="false">SQRT(($B96-BY$5)^2+($C96-BY$6)^2+($D96-BY$7)^2)</f>
        <v>0.384321359093681</v>
      </c>
      <c r="BZ96" s="74" t="n">
        <f aca="false">SQRT(($B96-BZ$5)^2+($C96-BZ$6)^2+($D96-BZ$7)^2)</f>
        <v>0.323490511718419</v>
      </c>
      <c r="CA96" s="74" t="n">
        <f aca="false">SQRT(($B96-CA$5)^2+($C96-CA$6)^2+($D96-CA$7)^2)</f>
        <v>0.670873816618833</v>
      </c>
      <c r="CB96" s="74" t="n">
        <f aca="false">SQRT(($B96-CB$5)^2+($C96-CB$6)^2+($D96-CB$7)^2)</f>
        <v>0.312914726980835</v>
      </c>
      <c r="CC96" s="74" t="n">
        <f aca="false">SQRT(($B96-CC$5)^2+($C96-CC$6)^2+($D96-CC$7)^2)</f>
        <v>0.66583871396485</v>
      </c>
      <c r="CD96" s="74" t="n">
        <f aca="false">SQRT(($B96-CD$5)^2+($C96-CD$6)^2+($D96-CD$7)^2)</f>
        <v>0.65674921231337</v>
      </c>
      <c r="CE96" s="74" t="n">
        <f aca="false">SQRT(($B96-CE$5)^2+($C96-CE$6)^2+($D96-CE$7)^2)</f>
        <v>0.558389474934026</v>
      </c>
      <c r="CF96" s="74" t="n">
        <f aca="false">SQRT(($B96-CF$5)^2+($C96-CF$6)^2+($D96-CF$7)^2)</f>
        <v>0.838145271622395</v>
      </c>
      <c r="CG96" s="74" t="n">
        <f aca="false">SQRT(($B96-CG$5)^2+($C96-CG$6)^2+($D96-CG$7)^2)</f>
        <v>0.538032627781443</v>
      </c>
      <c r="CH96" s="74" t="n">
        <f aca="false">SQRT(($B96-CH$5)^2+($C96-CH$6)^2+($D96-CH$7)^2)</f>
        <v>0.114686010862996</v>
      </c>
      <c r="CI96" s="74" t="n">
        <f aca="false">SQRT(($B96-CI$5)^2+($C96-CI$6)^2+($D96-CI$7)^2)</f>
        <v>0</v>
      </c>
      <c r="CJ96" s="74" t="n">
        <f aca="false">SQRT(($B96-CJ$5)^2+($C96-CJ$6)^2+($D96-CJ$7)^2)</f>
        <v>0.322305645839686</v>
      </c>
      <c r="CK96" s="74" t="n">
        <f aca="false">SQRT(($B96-CK$5)^2+($C96-CK$6)^2+($D96-CK$7)^2)</f>
        <v>0.476337081533088</v>
      </c>
      <c r="CL96" s="74" t="n">
        <f aca="false">SQRT(($B96-CL$5)^2+($C96-CL$6)^2+($D96-CL$7)^2)</f>
        <v>0.652810285514283</v>
      </c>
      <c r="CM96" s="74" t="n">
        <f aca="false">SQRT(($B96-CM$5)^2+($C96-CM$6)^2+($D96-CM$7)^2)</f>
        <v>0.220885960854768</v>
      </c>
      <c r="CN96" s="74" t="n">
        <f aca="false">SQRT(($B96-CN$5)^2+($C96-CN$6)^2+($D96-CN$7)^2)</f>
        <v>1.26161476096785</v>
      </c>
      <c r="CO96" s="74" t="n">
        <f aca="false">SQRT(($B96-CO$5)^2+($C96-CO$6)^2+($D96-CO$7)^2)</f>
        <v>0.655564175575462</v>
      </c>
      <c r="CP96" s="74" t="n">
        <f aca="false">SQRT(($B96-CP$5)^2+($C96-CP$6)^2+($D96-CP$7)^2)</f>
        <v>0.680399015282169</v>
      </c>
      <c r="CQ96" s="74" t="n">
        <f aca="false">SQRT(($B96-CQ$5)^2+($C96-CQ$6)^2+($D96-CQ$7)^2)</f>
        <v>0.285269462181686</v>
      </c>
      <c r="CR96" s="74" t="n">
        <f aca="false">SQRT(($B96-CR$5)^2+($C96-CR$6)^2+($D96-CR$7)^2)</f>
        <v>0.363483727092095</v>
      </c>
      <c r="CS96" s="74" t="n">
        <f aca="false">SQRT(($B96-CS$5)^2+($C96-CS$6)^2+($D96-CS$7)^2)</f>
        <v>0.713786439371936</v>
      </c>
      <c r="CT96" s="74" t="n">
        <f aca="false">SQRT(($B96-CT$5)^2+($C96-CT$6)^2+($D96-CT$7)^2)</f>
        <v>0.736764775360928</v>
      </c>
      <c r="CU96" s="74" t="n">
        <f aca="false">SQRT(($B96-CU$5)^2+($C96-CU$6)^2+($D96-CU$7)^2)</f>
        <v>0.713893481209647</v>
      </c>
      <c r="CV96" s="74" t="n">
        <f aca="false">SQRT(($B96-CV$5)^2+($C96-CV$6)^2+($D96-CV$7)^2)</f>
        <v>0.848881629326406</v>
      </c>
      <c r="CW96" s="74" t="n">
        <f aca="false">SQRT(($B96-CW$5)^2+($C96-CW$6)^2+($D96-CW$7)^2)</f>
        <v>0.736764775360928</v>
      </c>
      <c r="CX96" s="74" t="n">
        <f aca="false">SQRT(($B96-CX$5)^2+($C96-CX$6)^2+($D96-CX$7)^2)</f>
        <v>0.626470250923021</v>
      </c>
      <c r="CY96" s="74" t="n">
        <f aca="false">SQRT(($B96-CY$5)^2+($C96-CY$6)^2+($D96-CY$7)^2)</f>
        <v>0.765111540405104</v>
      </c>
      <c r="CZ96" s="74" t="n">
        <f aca="false">SQRT(($B96-CZ$5)^2+($C96-CZ$6)^2+($D96-CZ$7)^2)</f>
        <v>0.765111540405104</v>
      </c>
      <c r="DA96" s="74" t="n">
        <f aca="false">SQRT(($B96-DA$5)^2+($C96-DA$6)^2+($D96-DA$7)^2)</f>
        <v>0.415599314688327</v>
      </c>
      <c r="DB96" s="74" t="n">
        <f aca="false">SQRT(($B96-DB$5)^2+($C96-DB$6)^2+($D96-DB$7)^2)</f>
        <v>0.80006765751306</v>
      </c>
      <c r="DC96" s="74" t="n">
        <f aca="false">SQRT(($B96-DC$5)^2+($C96-DC$6)^2+($D96-DC$7)^2)</f>
        <v>0.80006765751306</v>
      </c>
      <c r="DD96" s="74" t="n">
        <f aca="false">SQRT(($B96-DD$5)^2+($C96-DD$6)^2+($D96-DD$7)^2)</f>
        <v>0.495183537229088</v>
      </c>
      <c r="DE96" s="74" t="n">
        <f aca="false">SQRT(($B96-DE$5)^2+($C96-DE$6)^2+($D96-DE$7)^2)</f>
        <v>0.704155924218408</v>
      </c>
      <c r="DF96" s="74" t="n">
        <f aca="false">SQRT(($B96-DF$5)^2+($C96-DF$6)^2+($D96-DF$7)^2)</f>
        <v>1.05562974331229</v>
      </c>
      <c r="DG96" s="74" t="n">
        <f aca="false">SQRT(($B96-DG$5)^2+($C96-DG$6)^2+($D96-DG$7)^2)</f>
        <v>1.17797280617407</v>
      </c>
      <c r="DH96" s="74" t="n">
        <f aca="false">SQRT(($B96-DH$5)^2+($C96-DH$6)^2+($D96-DH$7)^2)</f>
        <v>1.17797280617407</v>
      </c>
      <c r="DI96" s="74" t="n">
        <f aca="false">SQRT(($B96-DI$5)^2+($C96-DI$6)^2+($D96-DI$7)^2)</f>
        <v>1.17797280617407</v>
      </c>
      <c r="DJ96" s="74" t="n">
        <f aca="false">SQRT(($B96-DJ$5)^2+($C96-DJ$6)^2+($D96-DJ$7)^2)</f>
        <v>1.17797280617407</v>
      </c>
      <c r="DK96" s="74" t="n">
        <f aca="false">SQRT(($B96-DK$5)^2+($C96-DK$6)^2+($D96-DK$7)^2)</f>
        <v>1.35974224174094</v>
      </c>
      <c r="DL96" s="74" t="n">
        <f aca="false">SQRT(($B96-DL$5)^2+($C96-DL$6)^2+($D96-DL$7)^2)</f>
        <v>1.35974224174094</v>
      </c>
      <c r="DM96" s="74" t="n">
        <f aca="false">SQRT(($B96-DM$5)^2+($C96-DM$6)^2+($D96-DM$7)^2)</f>
        <v>1.35974224174094</v>
      </c>
      <c r="DN96" s="74" t="n">
        <f aca="false">SQRT(($B96-DN$5)^2+($C96-DN$6)^2+($D96-DN$7)^2)</f>
        <v>1.35974224174094</v>
      </c>
      <c r="DO96" s="74" t="n">
        <f aca="false">SQRT(($B96-DO$5)^2+($C96-DO$6)^2+($D96-DO$7)^2)</f>
        <v>1.35974224174094</v>
      </c>
      <c r="DP96" s="74" t="n">
        <f aca="false">SQRT(($B96-DP$5)^2+($C96-DP$6)^2+($D96-DP$7)^2)</f>
        <v>1.68634002609964</v>
      </c>
      <c r="DQ96" s="74" t="n">
        <f aca="false">SQRT(($B96-DQ$5)^2+($C96-DQ$6)^2+($D96-DQ$7)^2)</f>
        <v>1.68634002609964</v>
      </c>
    </row>
    <row r="97" customFormat="false" ht="15" hidden="false" customHeight="false" outlineLevel="0" collapsed="false">
      <c r="A97" s="48" t="str">
        <f aca="false">KMeans_Data!A88</f>
        <v>Mianwali</v>
      </c>
      <c r="B97" s="72" t="n">
        <f aca="false">KMeans_Data!H88</f>
        <v>-0.547245774552967</v>
      </c>
      <c r="C97" s="72" t="n">
        <f aca="false">KMeans_Data!I88</f>
        <v>-0.672650545388274</v>
      </c>
      <c r="D97" s="72" t="n">
        <f aca="false">KMeans_Data!J88</f>
        <v>-0.824446015898766</v>
      </c>
      <c r="E97" s="74" t="n">
        <f aca="false">SQRT(($B97-E$5)^2+($C97-E$6)^2+($D97-E$7)^2)</f>
        <v>7.30929257984732</v>
      </c>
      <c r="F97" s="74" t="n">
        <f aca="false">SQRT(($B97-F$5)^2+($C97-F$6)^2+($D97-F$7)^2)</f>
        <v>7.07311467540038</v>
      </c>
      <c r="G97" s="74" t="n">
        <f aca="false">SQRT(($B97-G$5)^2+($C97-G$6)^2+($D97-G$7)^2)</f>
        <v>5.24402899684985</v>
      </c>
      <c r="H97" s="74" t="n">
        <f aca="false">SQRT(($B97-H$5)^2+($C97-H$6)^2+($D97-H$7)^2)</f>
        <v>5.68943660648411</v>
      </c>
      <c r="I97" s="74" t="n">
        <f aca="false">SQRT(($B97-I$5)^2+($C97-I$6)^2+($D97-I$7)^2)</f>
        <v>4.60910399672823</v>
      </c>
      <c r="J97" s="74" t="n">
        <f aca="false">SQRT(($B97-J$5)^2+($C97-J$6)^2+($D97-J$7)^2)</f>
        <v>4.21184087708581</v>
      </c>
      <c r="K97" s="74" t="n">
        <f aca="false">SQRT(($B97-K$5)^2+($C97-K$6)^2+($D97-K$7)^2)</f>
        <v>2.062497380136</v>
      </c>
      <c r="L97" s="74" t="n">
        <f aca="false">SQRT(($B97-L$5)^2+($C97-L$6)^2+($D97-L$7)^2)</f>
        <v>3.43702660782416</v>
      </c>
      <c r="M97" s="74" t="n">
        <f aca="false">SQRT(($B97-M$5)^2+($C97-M$6)^2+($D97-M$7)^2)</f>
        <v>3.62829136841476</v>
      </c>
      <c r="N97" s="74" t="n">
        <f aca="false">SQRT(($B97-N$5)^2+($C97-N$6)^2+($D97-N$7)^2)</f>
        <v>1.82608132525605</v>
      </c>
      <c r="O97" s="74" t="n">
        <f aca="false">SQRT(($B97-O$5)^2+($C97-O$6)^2+($D97-O$7)^2)</f>
        <v>3.27922427720301</v>
      </c>
      <c r="P97" s="74" t="n">
        <f aca="false">SQRT(($B97-P$5)^2+($C97-P$6)^2+($D97-P$7)^2)</f>
        <v>3.56756274773139</v>
      </c>
      <c r="Q97" s="74" t="n">
        <f aca="false">SQRT(($B97-Q$5)^2+($C97-Q$6)^2+($D97-Q$7)^2)</f>
        <v>2.98878374736282</v>
      </c>
      <c r="R97" s="74" t="n">
        <f aca="false">SQRT(($B97-R$5)^2+($C97-R$6)^2+($D97-R$7)^2)</f>
        <v>2.98036014715079</v>
      </c>
      <c r="S97" s="74" t="n">
        <f aca="false">SQRT(($B97-S$5)^2+($C97-S$6)^2+($D97-S$7)^2)</f>
        <v>2.58068132163149</v>
      </c>
      <c r="T97" s="74" t="n">
        <f aca="false">SQRT(($B97-T$5)^2+($C97-T$6)^2+($D97-T$7)^2)</f>
        <v>2.89830284590551</v>
      </c>
      <c r="U97" s="74" t="n">
        <f aca="false">SQRT(($B97-U$5)^2+($C97-U$6)^2+($D97-U$7)^2)</f>
        <v>2.98991606461881</v>
      </c>
      <c r="V97" s="74" t="n">
        <f aca="false">SQRT(($B97-V$5)^2+($C97-V$6)^2+($D97-V$7)^2)</f>
        <v>2.87403490479822</v>
      </c>
      <c r="W97" s="74" t="n">
        <f aca="false">SQRT(($B97-W$5)^2+($C97-W$6)^2+($D97-W$7)^2)</f>
        <v>3.04411347617282</v>
      </c>
      <c r="X97" s="74" t="n">
        <f aca="false">SQRT(($B97-X$5)^2+($C97-X$6)^2+($D97-X$7)^2)</f>
        <v>2.75153378711527</v>
      </c>
      <c r="Y97" s="74" t="n">
        <f aca="false">SQRT(($B97-Y$5)^2+($C97-Y$6)^2+($D97-Y$7)^2)</f>
        <v>2.88886164057601</v>
      </c>
      <c r="Z97" s="74" t="n">
        <f aca="false">SQRT(($B97-Z$5)^2+($C97-Z$6)^2+($D97-Z$7)^2)</f>
        <v>2.45681279599755</v>
      </c>
      <c r="AA97" s="74" t="n">
        <f aca="false">SQRT(($B97-AA$5)^2+($C97-AA$6)^2+($D97-AA$7)^2)</f>
        <v>2.37658297721279</v>
      </c>
      <c r="AB97" s="74" t="n">
        <f aca="false">SQRT(($B97-AB$5)^2+($C97-AB$6)^2+($D97-AB$7)^2)</f>
        <v>2.342119757964</v>
      </c>
      <c r="AC97" s="74" t="n">
        <f aca="false">SQRT(($B97-AC$5)^2+($C97-AC$6)^2+($D97-AC$7)^2)</f>
        <v>2.88809670653576</v>
      </c>
      <c r="AD97" s="74" t="n">
        <f aca="false">SQRT(($B97-AD$5)^2+($C97-AD$6)^2+($D97-AD$7)^2)</f>
        <v>2.85935792399656</v>
      </c>
      <c r="AE97" s="74" t="n">
        <f aca="false">SQRT(($B97-AE$5)^2+($C97-AE$6)^2+($D97-AE$7)^2)</f>
        <v>1.3425907007716</v>
      </c>
      <c r="AF97" s="74" t="n">
        <f aca="false">SQRT(($B97-AF$5)^2+($C97-AF$6)^2+($D97-AF$7)^2)</f>
        <v>2.45970517723739</v>
      </c>
      <c r="AG97" s="74" t="n">
        <f aca="false">SQRT(($B97-AG$5)^2+($C97-AG$6)^2+($D97-AG$7)^2)</f>
        <v>1.20245969199122</v>
      </c>
      <c r="AH97" s="74" t="n">
        <f aca="false">SQRT(($B97-AH$5)^2+($C97-AH$6)^2+($D97-AH$7)^2)</f>
        <v>2.13049050222586</v>
      </c>
      <c r="AI97" s="74" t="n">
        <f aca="false">SQRT(($B97-AI$5)^2+($C97-AI$6)^2+($D97-AI$7)^2)</f>
        <v>1.19950006796798</v>
      </c>
      <c r="AJ97" s="74" t="n">
        <f aca="false">SQRT(($B97-AJ$5)^2+($C97-AJ$6)^2+($D97-AJ$7)^2)</f>
        <v>2.54745906439733</v>
      </c>
      <c r="AK97" s="74" t="n">
        <f aca="false">SQRT(($B97-AK$5)^2+($C97-AK$6)^2+($D97-AK$7)^2)</f>
        <v>1.87187297068329</v>
      </c>
      <c r="AL97" s="74" t="n">
        <f aca="false">SQRT(($B97-AL$5)^2+($C97-AL$6)^2+($D97-AL$7)^2)</f>
        <v>1.79888623606729</v>
      </c>
      <c r="AM97" s="74" t="n">
        <f aca="false">SQRT(($B97-AM$5)^2+($C97-AM$6)^2+($D97-AM$7)^2)</f>
        <v>2.5619690588914</v>
      </c>
      <c r="AN97" s="74" t="n">
        <f aca="false">SQRT(($B97-AN$5)^2+($C97-AN$6)^2+($D97-AN$7)^2)</f>
        <v>2.58710146646618</v>
      </c>
      <c r="AO97" s="74" t="n">
        <f aca="false">SQRT(($B97-AO$5)^2+($C97-AO$6)^2+($D97-AO$7)^2)</f>
        <v>1.98200524483446</v>
      </c>
      <c r="AP97" s="74" t="n">
        <f aca="false">SQRT(($B97-AP$5)^2+($C97-AP$6)^2+($D97-AP$7)^2)</f>
        <v>1.92592752305643</v>
      </c>
      <c r="AQ97" s="74" t="n">
        <f aca="false">SQRT(($B97-AQ$5)^2+($C97-AQ$6)^2+($D97-AQ$7)^2)</f>
        <v>2.60897054548659</v>
      </c>
      <c r="AR97" s="74" t="n">
        <f aca="false">SQRT(($B97-AR$5)^2+($C97-AR$6)^2+($D97-AR$7)^2)</f>
        <v>1.45895108596137</v>
      </c>
      <c r="AS97" s="74" t="n">
        <f aca="false">SQRT(($B97-AS$5)^2+($C97-AS$6)^2+($D97-AS$7)^2)</f>
        <v>2.02875094431144</v>
      </c>
      <c r="AT97" s="74" t="n">
        <f aca="false">SQRT(($B97-AT$5)^2+($C97-AT$6)^2+($D97-AT$7)^2)</f>
        <v>1.87246511557627</v>
      </c>
      <c r="AU97" s="74" t="n">
        <f aca="false">SQRT(($B97-AU$5)^2+($C97-AU$6)^2+($D97-AU$7)^2)</f>
        <v>0.983339842437084</v>
      </c>
      <c r="AV97" s="74" t="n">
        <f aca="false">SQRT(($B97-AV$5)^2+($C97-AV$6)^2+($D97-AV$7)^2)</f>
        <v>1.56200659006712</v>
      </c>
      <c r="AW97" s="74" t="n">
        <f aca="false">SQRT(($B97-AW$5)^2+($C97-AW$6)^2+($D97-AW$7)^2)</f>
        <v>0.78586200833868</v>
      </c>
      <c r="AX97" s="74" t="n">
        <f aca="false">SQRT(($B97-AX$5)^2+($C97-AX$6)^2+($D97-AX$7)^2)</f>
        <v>1.66036035428755</v>
      </c>
      <c r="AY97" s="74" t="n">
        <f aca="false">SQRT(($B97-AY$5)^2+($C97-AY$6)^2+($D97-AY$7)^2)</f>
        <v>0.814250140987038</v>
      </c>
      <c r="AZ97" s="74" t="n">
        <f aca="false">SQRT(($B97-AZ$5)^2+($C97-AZ$6)^2+($D97-AZ$7)^2)</f>
        <v>2.00203447590964</v>
      </c>
      <c r="BA97" s="74" t="n">
        <f aca="false">SQRT(($B97-BA$5)^2+($C97-BA$6)^2+($D97-BA$7)^2)</f>
        <v>1.85785267895795</v>
      </c>
      <c r="BB97" s="74" t="n">
        <f aca="false">SQRT(($B97-BB$5)^2+($C97-BB$6)^2+($D97-BB$7)^2)</f>
        <v>0.808238285072586</v>
      </c>
      <c r="BC97" s="74" t="n">
        <f aca="false">SQRT(($B97-BC$5)^2+($C97-BC$6)^2+($D97-BC$7)^2)</f>
        <v>0.802158380153289</v>
      </c>
      <c r="BD97" s="74" t="n">
        <f aca="false">SQRT(($B97-BD$5)^2+($C97-BD$6)^2+($D97-BD$7)^2)</f>
        <v>0.783495726287643</v>
      </c>
      <c r="BE97" s="74" t="n">
        <f aca="false">SQRT(($B97-BE$5)^2+($C97-BE$6)^2+($D97-BE$7)^2)</f>
        <v>0.90983031393939</v>
      </c>
      <c r="BF97" s="74" t="n">
        <f aca="false">SQRT(($B97-BF$5)^2+($C97-BF$6)^2+($D97-BF$7)^2)</f>
        <v>2.68965970037942</v>
      </c>
      <c r="BG97" s="74" t="n">
        <f aca="false">SQRT(($B97-BG$5)^2+($C97-BG$6)^2+($D97-BG$7)^2)</f>
        <v>1.66671993478686</v>
      </c>
      <c r="BH97" s="74" t="n">
        <f aca="false">SQRT(($B97-BH$5)^2+($C97-BH$6)^2+($D97-BH$7)^2)</f>
        <v>0.709010261666983</v>
      </c>
      <c r="BI97" s="74" t="n">
        <f aca="false">SQRT(($B97-BI$5)^2+($C97-BI$6)^2+($D97-BI$7)^2)</f>
        <v>0.694319273760929</v>
      </c>
      <c r="BJ97" s="74" t="n">
        <f aca="false">SQRT(($B97-BJ$5)^2+($C97-BJ$6)^2+($D97-BJ$7)^2)</f>
        <v>1.5830647264599</v>
      </c>
      <c r="BK97" s="74" t="n">
        <f aca="false">SQRT(($B97-BK$5)^2+($C97-BK$6)^2+($D97-BK$7)^2)</f>
        <v>0.697367281552377</v>
      </c>
      <c r="BL97" s="74" t="n">
        <f aca="false">SQRT(($B97-BL$5)^2+($C97-BL$6)^2+($D97-BL$7)^2)</f>
        <v>1.30700755308323</v>
      </c>
      <c r="BM97" s="74" t="n">
        <f aca="false">SQRT(($B97-BM$5)^2+($C97-BM$6)^2+($D97-BM$7)^2)</f>
        <v>1.87429693459076</v>
      </c>
      <c r="BN97" s="74" t="n">
        <f aca="false">SQRT(($B97-BN$5)^2+($C97-BN$6)^2+($D97-BN$7)^2)</f>
        <v>1.30388402326251</v>
      </c>
      <c r="BO97" s="74" t="n">
        <f aca="false">SQRT(($B97-BO$5)^2+($C97-BO$6)^2+($D97-BO$7)^2)</f>
        <v>0.482351850953064</v>
      </c>
      <c r="BP97" s="74" t="n">
        <f aca="false">SQRT(($B97-BP$5)^2+($C97-BP$6)^2+($D97-BP$7)^2)</f>
        <v>1.44318700266554</v>
      </c>
      <c r="BQ97" s="74" t="n">
        <f aca="false">SQRT(($B97-BQ$5)^2+($C97-BQ$6)^2+($D97-BQ$7)^2)</f>
        <v>1.38634028686283</v>
      </c>
      <c r="BR97" s="74" t="n">
        <f aca="false">SQRT(($B97-BR$5)^2+($C97-BR$6)^2+($D97-BR$7)^2)</f>
        <v>1.42179889540714</v>
      </c>
      <c r="BS97" s="74" t="n">
        <f aca="false">SQRT(($B97-BS$5)^2+($C97-BS$6)^2+($D97-BS$7)^2)</f>
        <v>1.4701496568557</v>
      </c>
      <c r="BT97" s="74" t="n">
        <f aca="false">SQRT(($B97-BT$5)^2+($C97-BT$6)^2+($D97-BT$7)^2)</f>
        <v>1.07112811321405</v>
      </c>
      <c r="BU97" s="74" t="n">
        <f aca="false">SQRT(($B97-BU$5)^2+($C97-BU$6)^2+($D97-BU$7)^2)</f>
        <v>0.99116605966479</v>
      </c>
      <c r="BV97" s="74" t="n">
        <f aca="false">SQRT(($B97-BV$5)^2+($C97-BV$6)^2+($D97-BV$7)^2)</f>
        <v>0.430963693508951</v>
      </c>
      <c r="BW97" s="74" t="n">
        <f aca="false">SQRT(($B97-BW$5)^2+($C97-BW$6)^2+($D97-BW$7)^2)</f>
        <v>1.14380817384435</v>
      </c>
      <c r="BX97" s="74" t="n">
        <f aca="false">SQRT(($B97-BX$5)^2+($C97-BX$6)^2+($D97-BX$7)^2)</f>
        <v>0.420455047363793</v>
      </c>
      <c r="BY97" s="74" t="n">
        <f aca="false">SQRT(($B97-BY$5)^2+($C97-BY$6)^2+($D97-BY$7)^2)</f>
        <v>0.684972978957041</v>
      </c>
      <c r="BZ97" s="74" t="n">
        <f aca="false">SQRT(($B97-BZ$5)^2+($C97-BZ$6)^2+($D97-BZ$7)^2)</f>
        <v>0.620837641088254</v>
      </c>
      <c r="CA97" s="74" t="n">
        <f aca="false">SQRT(($B97-CA$5)^2+($C97-CA$6)^2+($D97-CA$7)^2)</f>
        <v>0.389365283977406</v>
      </c>
      <c r="CB97" s="74" t="n">
        <f aca="false">SQRT(($B97-CB$5)^2+($C97-CB$6)^2+($D97-CB$7)^2)</f>
        <v>0.614600454487193</v>
      </c>
      <c r="CC97" s="74" t="n">
        <f aca="false">SQRT(($B97-CC$5)^2+($C97-CC$6)^2+($D97-CC$7)^2)</f>
        <v>0.37934109509865</v>
      </c>
      <c r="CD97" s="74" t="n">
        <f aca="false">SQRT(($B97-CD$5)^2+($C97-CD$6)^2+($D97-CD$7)^2)</f>
        <v>0.360303443900833</v>
      </c>
      <c r="CE97" s="74" t="n">
        <f aca="false">SQRT(($B97-CE$5)^2+($C97-CE$6)^2+($D97-CE$7)^2)</f>
        <v>0.879058290508773</v>
      </c>
      <c r="CF97" s="74" t="n">
        <f aca="false">SQRT(($B97-CF$5)^2+($C97-CF$6)^2+($D97-CF$7)^2)</f>
        <v>1.10690666756337</v>
      </c>
      <c r="CG97" s="74" t="n">
        <f aca="false">SQRT(($B97-CG$5)^2+($C97-CG$6)^2+($D97-CG$7)^2)</f>
        <v>0.680025120753564</v>
      </c>
      <c r="CH97" s="74" t="n">
        <f aca="false">SQRT(($B97-CH$5)^2+($C97-CH$6)^2+($D97-CH$7)^2)</f>
        <v>0.431402291818393</v>
      </c>
      <c r="CI97" s="74" t="n">
        <f aca="false">SQRT(($B97-CI$5)^2+($C97-CI$6)^2+($D97-CI$7)^2)</f>
        <v>0.322305645839686</v>
      </c>
      <c r="CJ97" s="74" t="n">
        <f aca="false">SQRT(($B97-CJ$5)^2+($C97-CJ$6)^2+($D97-CJ$7)^2)</f>
        <v>0</v>
      </c>
      <c r="CK97" s="74" t="n">
        <f aca="false">SQRT(($B97-CK$5)^2+($C97-CK$6)^2+($D97-CK$7)^2)</f>
        <v>0.792083035542348</v>
      </c>
      <c r="CL97" s="74" t="n">
        <f aca="false">SQRT(($B97-CL$5)^2+($C97-CL$6)^2+($D97-CL$7)^2)</f>
        <v>0.333419035449758</v>
      </c>
      <c r="CM97" s="74" t="n">
        <f aca="false">SQRT(($B97-CM$5)^2+($C97-CM$6)^2+($D97-CM$7)^2)</f>
        <v>0.516884465359076</v>
      </c>
      <c r="CN97" s="74" t="n">
        <f aca="false">SQRT(($B97-CN$5)^2+($C97-CN$6)^2+($D97-CN$7)^2)</f>
        <v>1.55328043663815</v>
      </c>
      <c r="CO97" s="74" t="n">
        <f aca="false">SQRT(($B97-CO$5)^2+($C97-CO$6)^2+($D97-CO$7)^2)</f>
        <v>0.853235301491513</v>
      </c>
      <c r="CP97" s="74" t="n">
        <f aca="false">SQRT(($B97-CP$5)^2+($C97-CP$6)^2+($D97-CP$7)^2)</f>
        <v>0.377067093595859</v>
      </c>
      <c r="CQ97" s="74" t="n">
        <f aca="false">SQRT(($B97-CQ$5)^2+($C97-CQ$6)^2+($D97-CQ$7)^2)</f>
        <v>0.487328904798137</v>
      </c>
      <c r="CR97" s="74" t="n">
        <f aca="false">SQRT(($B97-CR$5)^2+($C97-CR$6)^2+($D97-CR$7)^2)</f>
        <v>0.583169604981316</v>
      </c>
      <c r="CS97" s="74" t="n">
        <f aca="false">SQRT(($B97-CS$5)^2+($C97-CS$6)^2+($D97-CS$7)^2)</f>
        <v>0.429051850997958</v>
      </c>
      <c r="CT97" s="74" t="n">
        <f aca="false">SQRT(($B97-CT$5)^2+($C97-CT$6)^2+($D97-CT$7)^2)</f>
        <v>0.463430808130433</v>
      </c>
      <c r="CU97" s="74" t="n">
        <f aca="false">SQRT(($B97-CU$5)^2+($C97-CU$6)^2+($D97-CU$7)^2)</f>
        <v>0.622837155018267</v>
      </c>
      <c r="CV97" s="74" t="n">
        <f aca="false">SQRT(($B97-CV$5)^2+($C97-CV$6)^2+($D97-CV$7)^2)</f>
        <v>1.13966702955368</v>
      </c>
      <c r="CW97" s="74" t="n">
        <f aca="false">SQRT(($B97-CW$5)^2+($C97-CW$6)^2+($D97-CW$7)^2)</f>
        <v>0.463430808130433</v>
      </c>
      <c r="CX97" s="74" t="n">
        <f aca="false">SQRT(($B97-CX$5)^2+($C97-CX$6)^2+($D97-CX$7)^2)</f>
        <v>0.880505328184071</v>
      </c>
      <c r="CY97" s="74" t="n">
        <f aca="false">SQRT(($B97-CY$5)^2+($C97-CY$6)^2+($D97-CY$7)^2)</f>
        <v>0.504394215107693</v>
      </c>
      <c r="CZ97" s="74" t="n">
        <f aca="false">SQRT(($B97-CZ$5)^2+($C97-CZ$6)^2+($D97-CZ$7)^2)</f>
        <v>0.504394215107693</v>
      </c>
      <c r="DA97" s="74" t="n">
        <f aca="false">SQRT(($B97-DA$5)^2+($C97-DA$6)^2+($D97-DA$7)^2)</f>
        <v>0.504394215107693</v>
      </c>
      <c r="DB97" s="74" t="n">
        <f aca="false">SQRT(($B97-DB$5)^2+($C97-DB$6)^2+($D97-DB$7)^2)</f>
        <v>0.55303975461874</v>
      </c>
      <c r="DC97" s="74" t="n">
        <f aca="false">SQRT(($B97-DC$5)^2+($C97-DC$6)^2+($D97-DC$7)^2)</f>
        <v>0.55303975461874</v>
      </c>
      <c r="DD97" s="74" t="n">
        <f aca="false">SQRT(($B97-DD$5)^2+($C97-DD$6)^2+($D97-DD$7)^2)</f>
        <v>0.48783908021703</v>
      </c>
      <c r="DE97" s="74" t="n">
        <f aca="false">SQRT(($B97-DE$5)^2+($C97-DE$6)^2+($D97-DE$7)^2)</f>
        <v>0.599935124801879</v>
      </c>
      <c r="DF97" s="74" t="n">
        <f aca="false">SQRT(($B97-DF$5)^2+($C97-DF$6)^2+($D97-DF$7)^2)</f>
        <v>0.872259478492046</v>
      </c>
      <c r="DG97" s="74" t="n">
        <f aca="false">SQRT(($B97-DG$5)^2+($C97-DG$6)^2+($D97-DG$7)^2)</f>
        <v>1.01296979731</v>
      </c>
      <c r="DH97" s="74" t="n">
        <f aca="false">SQRT(($B97-DH$5)^2+($C97-DH$6)^2+($D97-DH$7)^2)</f>
        <v>1.01296979731</v>
      </c>
      <c r="DI97" s="74" t="n">
        <f aca="false">SQRT(($B97-DI$5)^2+($C97-DI$6)^2+($D97-DI$7)^2)</f>
        <v>1.01296979731</v>
      </c>
      <c r="DJ97" s="74" t="n">
        <f aca="false">SQRT(($B97-DJ$5)^2+($C97-DJ$6)^2+($D97-DJ$7)^2)</f>
        <v>1.01296979731</v>
      </c>
      <c r="DK97" s="74" t="n">
        <f aca="false">SQRT(($B97-DK$5)^2+($C97-DK$6)^2+($D97-DK$7)^2)</f>
        <v>1.21495643382453</v>
      </c>
      <c r="DL97" s="74" t="n">
        <f aca="false">SQRT(($B97-DL$5)^2+($C97-DL$6)^2+($D97-DL$7)^2)</f>
        <v>1.21495643382453</v>
      </c>
      <c r="DM97" s="74" t="n">
        <f aca="false">SQRT(($B97-DM$5)^2+($C97-DM$6)^2+($D97-DM$7)^2)</f>
        <v>1.21495643382453</v>
      </c>
      <c r="DN97" s="74" t="n">
        <f aca="false">SQRT(($B97-DN$5)^2+($C97-DN$6)^2+($D97-DN$7)^2)</f>
        <v>1.21495643382453</v>
      </c>
      <c r="DO97" s="74" t="n">
        <f aca="false">SQRT(($B97-DO$5)^2+($C97-DO$6)^2+($D97-DO$7)^2)</f>
        <v>1.21495643382453</v>
      </c>
      <c r="DP97" s="74" t="n">
        <f aca="false">SQRT(($B97-DP$5)^2+($C97-DP$6)^2+($D97-DP$7)^2)</f>
        <v>1.56579072196957</v>
      </c>
      <c r="DQ97" s="74" t="n">
        <f aca="false">SQRT(($B97-DQ$5)^2+($C97-DQ$6)^2+($D97-DQ$7)^2)</f>
        <v>1.56579072196957</v>
      </c>
    </row>
    <row r="98" customFormat="false" ht="15" hidden="false" customHeight="false" outlineLevel="0" collapsed="false">
      <c r="A98" s="48" t="str">
        <f aca="false">KMeans_Data!A89</f>
        <v>Kharmang</v>
      </c>
      <c r="B98" s="72" t="n">
        <f aca="false">KMeans_Data!H89</f>
        <v>-0.605135382814146</v>
      </c>
      <c r="C98" s="72" t="n">
        <f aca="false">KMeans_Data!I89</f>
        <v>-0.672650545388274</v>
      </c>
      <c r="D98" s="72" t="n">
        <f aca="false">KMeans_Data!J89</f>
        <v>-0.0344812518432112</v>
      </c>
      <c r="E98" s="74" t="n">
        <f aca="false">SQRT(($B98-E$5)^2+($C98-E$6)^2+($D98-E$7)^2)</f>
        <v>6.93209827157873</v>
      </c>
      <c r="F98" s="74" t="n">
        <f aca="false">SQRT(($B98-F$5)^2+($C98-F$6)^2+($D98-F$7)^2)</f>
        <v>6.74969764742306</v>
      </c>
      <c r="G98" s="74" t="n">
        <f aca="false">SQRT(($B98-G$5)^2+($C98-G$6)^2+($D98-G$7)^2)</f>
        <v>4.83876407548665</v>
      </c>
      <c r="H98" s="74" t="n">
        <f aca="false">SQRT(($B98-H$5)^2+($C98-H$6)^2+($D98-H$7)^2)</f>
        <v>5.42572068767903</v>
      </c>
      <c r="I98" s="74" t="n">
        <f aca="false">SQRT(($B98-I$5)^2+($C98-I$6)^2+($D98-I$7)^2)</f>
        <v>4.26650001273433</v>
      </c>
      <c r="J98" s="74" t="n">
        <f aca="false">SQRT(($B98-J$5)^2+($C98-J$6)^2+($D98-J$7)^2)</f>
        <v>3.87559161382133</v>
      </c>
      <c r="K98" s="74" t="n">
        <f aca="false">SQRT(($B98-K$5)^2+($C98-K$6)^2+($D98-K$7)^2)</f>
        <v>2.25825920237649</v>
      </c>
      <c r="L98" s="74" t="n">
        <f aca="false">SQRT(($B98-L$5)^2+($C98-L$6)^2+($D98-L$7)^2)</f>
        <v>2.93772012969994</v>
      </c>
      <c r="M98" s="74" t="n">
        <f aca="false">SQRT(($B98-M$5)^2+($C98-M$6)^2+($D98-M$7)^2)</f>
        <v>3.16538790712579</v>
      </c>
      <c r="N98" s="74" t="n">
        <f aca="false">SQRT(($B98-N$5)^2+($C98-N$6)^2+($D98-N$7)^2)</f>
        <v>2.04069630912442</v>
      </c>
      <c r="O98" s="74" t="n">
        <f aca="false">SQRT(($B98-O$5)^2+($C98-O$6)^2+($D98-O$7)^2)</f>
        <v>2.95162485514362</v>
      </c>
      <c r="P98" s="74" t="n">
        <f aca="false">SQRT(($B98-P$5)^2+($C98-P$6)^2+($D98-P$7)^2)</f>
        <v>3.22530474930239</v>
      </c>
      <c r="Q98" s="74" t="n">
        <f aca="false">SQRT(($B98-Q$5)^2+($C98-Q$6)^2+($D98-Q$7)^2)</f>
        <v>2.59511333632417</v>
      </c>
      <c r="R98" s="74" t="n">
        <f aca="false">SQRT(($B98-R$5)^2+($C98-R$6)^2+($D98-R$7)^2)</f>
        <v>2.4632705018895</v>
      </c>
      <c r="S98" s="74" t="n">
        <f aca="false">SQRT(($B98-S$5)^2+($C98-S$6)^2+($D98-S$7)^2)</f>
        <v>2.07875099075824</v>
      </c>
      <c r="T98" s="74" t="n">
        <f aca="false">SQRT(($B98-T$5)^2+($C98-T$6)^2+($D98-T$7)^2)</f>
        <v>2.51489664261757</v>
      </c>
      <c r="U98" s="74" t="n">
        <f aca="false">SQRT(($B98-U$5)^2+($C98-U$6)^2+($D98-U$7)^2)</f>
        <v>2.43481693565441</v>
      </c>
      <c r="V98" s="74" t="n">
        <f aca="false">SQRT(($B98-V$5)^2+($C98-V$6)^2+($D98-V$7)^2)</f>
        <v>2.601943375327</v>
      </c>
      <c r="W98" s="74" t="n">
        <f aca="false">SQRT(($B98-W$5)^2+($C98-W$6)^2+($D98-W$7)^2)</f>
        <v>2.69762003278661</v>
      </c>
      <c r="X98" s="74" t="n">
        <f aca="false">SQRT(($B98-X$5)^2+($C98-X$6)^2+($D98-X$7)^2)</f>
        <v>2.32780015478594</v>
      </c>
      <c r="Y98" s="74" t="n">
        <f aca="false">SQRT(($B98-Y$5)^2+($C98-Y$6)^2+($D98-Y$7)^2)</f>
        <v>2.41271607809173</v>
      </c>
      <c r="Z98" s="74" t="n">
        <f aca="false">SQRT(($B98-Z$5)^2+($C98-Z$6)^2+($D98-Z$7)^2)</f>
        <v>2.13029592222128</v>
      </c>
      <c r="AA98" s="74" t="n">
        <f aca="false">SQRT(($B98-AA$5)^2+($C98-AA$6)^2+($D98-AA$7)^2)</f>
        <v>1.90021732768251</v>
      </c>
      <c r="AB98" s="74" t="n">
        <f aca="false">SQRT(($B98-AB$5)^2+($C98-AB$6)^2+($D98-AB$7)^2)</f>
        <v>1.97746657120979</v>
      </c>
      <c r="AC98" s="74" t="n">
        <f aca="false">SQRT(($B98-AC$5)^2+($C98-AC$6)^2+($D98-AC$7)^2)</f>
        <v>2.5821524784395</v>
      </c>
      <c r="AD98" s="74" t="n">
        <f aca="false">SQRT(($B98-AD$5)^2+($C98-AD$6)^2+($D98-AD$7)^2)</f>
        <v>2.37198723022655</v>
      </c>
      <c r="AE98" s="74" t="n">
        <f aca="false">SQRT(($B98-AE$5)^2+($C98-AE$6)^2+($D98-AE$7)^2)</f>
        <v>1.75371916113307</v>
      </c>
      <c r="AF98" s="74" t="n">
        <f aca="false">SQRT(($B98-AF$5)^2+($C98-AF$6)^2+($D98-AF$7)^2)</f>
        <v>2.03186237458094</v>
      </c>
      <c r="AG98" s="74" t="n">
        <f aca="false">SQRT(($B98-AG$5)^2+($C98-AG$6)^2+($D98-AG$7)^2)</f>
        <v>1.23802950522031</v>
      </c>
      <c r="AH98" s="74" t="n">
        <f aca="false">SQRT(($B98-AH$5)^2+($C98-AH$6)^2+($D98-AH$7)^2)</f>
        <v>1.66110958075</v>
      </c>
      <c r="AI98" s="74" t="n">
        <f aca="false">SQRT(($B98-AI$5)^2+($C98-AI$6)^2+($D98-AI$7)^2)</f>
        <v>1.23500681659521</v>
      </c>
      <c r="AJ98" s="74" t="n">
        <f aca="false">SQRT(($B98-AJ$5)^2+($C98-AJ$6)^2+($D98-AJ$7)^2)</f>
        <v>2.04555754894062</v>
      </c>
      <c r="AK98" s="74" t="n">
        <f aca="false">SQRT(($B98-AK$5)^2+($C98-AK$6)^2+($D98-AK$7)^2)</f>
        <v>1.58134547676148</v>
      </c>
      <c r="AL98" s="74" t="n">
        <f aca="false">SQRT(($B98-AL$5)^2+($C98-AL$6)^2+($D98-AL$7)^2)</f>
        <v>1.34467700486606</v>
      </c>
      <c r="AM98" s="74" t="n">
        <f aca="false">SQRT(($B98-AM$5)^2+($C98-AM$6)^2+($D98-AM$7)^2)</f>
        <v>2.34999178099083</v>
      </c>
      <c r="AN98" s="74" t="n">
        <f aca="false">SQRT(($B98-AN$5)^2+($C98-AN$6)^2+($D98-AN$7)^2)</f>
        <v>2.23534882494004</v>
      </c>
      <c r="AO98" s="74" t="n">
        <f aca="false">SQRT(($B98-AO$5)^2+($C98-AO$6)^2+($D98-AO$7)^2)</f>
        <v>1.58542252010935</v>
      </c>
      <c r="AP98" s="74" t="n">
        <f aca="false">SQRT(($B98-AP$5)^2+($C98-AP$6)^2+($D98-AP$7)^2)</f>
        <v>1.55555406545415</v>
      </c>
      <c r="AQ98" s="74" t="n">
        <f aca="false">SQRT(($B98-AQ$5)^2+($C98-AQ$6)^2+($D98-AQ$7)^2)</f>
        <v>2.29109288075471</v>
      </c>
      <c r="AR98" s="74" t="n">
        <f aca="false">SQRT(($B98-AR$5)^2+($C98-AR$6)^2+($D98-AR$7)^2)</f>
        <v>1.29850726959584</v>
      </c>
      <c r="AS98" s="74" t="n">
        <f aca="false">SQRT(($B98-AS$5)^2+($C98-AS$6)^2+($D98-AS$7)^2)</f>
        <v>1.39409135172424</v>
      </c>
      <c r="AT98" s="74" t="n">
        <f aca="false">SQRT(($B98-AT$5)^2+($C98-AT$6)^2+($D98-AT$7)^2)</f>
        <v>1.30489446562727</v>
      </c>
      <c r="AU98" s="74" t="n">
        <f aca="false">SQRT(($B98-AU$5)^2+($C98-AU$6)^2+($D98-AU$7)^2)</f>
        <v>1.17950314996622</v>
      </c>
      <c r="AV98" s="74" t="n">
        <f aca="false">SQRT(($B98-AV$5)^2+($C98-AV$6)^2+($D98-AV$7)^2)</f>
        <v>1.02186080326241</v>
      </c>
      <c r="AW98" s="74" t="n">
        <f aca="false">SQRT(($B98-AW$5)^2+($C98-AW$6)^2+($D98-AW$7)^2)</f>
        <v>1.15583784285004</v>
      </c>
      <c r="AX98" s="74" t="n">
        <f aca="false">SQRT(($B98-AX$5)^2+($C98-AX$6)^2+($D98-AX$7)^2)</f>
        <v>1.25258916066405</v>
      </c>
      <c r="AY98" s="74" t="n">
        <f aca="false">SQRT(($B98-AY$5)^2+($C98-AY$6)^2+($D98-AY$7)^2)</f>
        <v>1.37277006932618</v>
      </c>
      <c r="AZ98" s="74" t="n">
        <f aca="false">SQRT(($B98-AZ$5)^2+($C98-AZ$6)^2+($D98-AZ$7)^2)</f>
        <v>1.33727234949321</v>
      </c>
      <c r="BA98" s="74" t="n">
        <f aca="false">SQRT(($B98-BA$5)^2+($C98-BA$6)^2+($D98-BA$7)^2)</f>
        <v>1.26688676524504</v>
      </c>
      <c r="BB98" s="74" t="n">
        <f aca="false">SQRT(($B98-BB$5)^2+($C98-BB$6)^2+($D98-BB$7)^2)</f>
        <v>1.36893590210667</v>
      </c>
      <c r="BC98" s="74" t="n">
        <f aca="false">SQRT(($B98-BC$5)^2+($C98-BC$6)^2+($D98-BC$7)^2)</f>
        <v>1.36507391621612</v>
      </c>
      <c r="BD98" s="74" t="n">
        <f aca="false">SQRT(($B98-BD$5)^2+($C98-BD$6)^2+($D98-BD$7)^2)</f>
        <v>0.903620568370381</v>
      </c>
      <c r="BE98" s="74" t="n">
        <f aca="false">SQRT(($B98-BE$5)^2+($C98-BE$6)^2+($D98-BE$7)^2)</f>
        <v>0.786840737243305</v>
      </c>
      <c r="BF98" s="74" t="n">
        <f aca="false">SQRT(($B98-BF$5)^2+($C98-BF$6)^2+($D98-BF$7)^2)</f>
        <v>2.32689164148277</v>
      </c>
      <c r="BG98" s="74" t="n">
        <f aca="false">SQRT(($B98-BG$5)^2+($C98-BG$6)^2+($D98-BG$7)^2)</f>
        <v>1.09585800679399</v>
      </c>
      <c r="BH98" s="74" t="n">
        <f aca="false">SQRT(($B98-BH$5)^2+($C98-BH$6)^2+($D98-BH$7)^2)</f>
        <v>1.3079538901359</v>
      </c>
      <c r="BI98" s="74" t="n">
        <f aca="false">SQRT(($B98-BI$5)^2+($C98-BI$6)^2+($D98-BI$7)^2)</f>
        <v>1.29931286351007</v>
      </c>
      <c r="BJ98" s="74" t="n">
        <f aca="false">SQRT(($B98-BJ$5)^2+($C98-BJ$6)^2+($D98-BJ$7)^2)</f>
        <v>1.37400857097999</v>
      </c>
      <c r="BK98" s="74" t="n">
        <f aca="false">SQRT(($B98-BK$5)^2+($C98-BK$6)^2+($D98-BK$7)^2)</f>
        <v>0.711988006438538</v>
      </c>
      <c r="BL98" s="74" t="n">
        <f aca="false">SQRT(($B98-BL$5)^2+($C98-BL$6)^2+($D98-BL$7)^2)</f>
        <v>0.721626406353206</v>
      </c>
      <c r="BM98" s="74" t="n">
        <f aca="false">SQRT(($B98-BM$5)^2+($C98-BM$6)^2+($D98-BM$7)^2)</f>
        <v>1.45065341041521</v>
      </c>
      <c r="BN98" s="74" t="n">
        <f aca="false">SQRT(($B98-BN$5)^2+($C98-BN$6)^2+($D98-BN$7)^2)</f>
        <v>1.00768159331647</v>
      </c>
      <c r="BO98" s="74" t="n">
        <f aca="false">SQRT(($B98-BO$5)^2+($C98-BO$6)^2+($D98-BO$7)^2)</f>
        <v>0.957029342655325</v>
      </c>
      <c r="BP98" s="74" t="n">
        <f aca="false">SQRT(($B98-BP$5)^2+($C98-BP$6)^2+($D98-BP$7)^2)</f>
        <v>1.02011810996658</v>
      </c>
      <c r="BQ98" s="74" t="n">
        <f aca="false">SQRT(($B98-BQ$5)^2+($C98-BQ$6)^2+($D98-BQ$7)^2)</f>
        <v>0.833332976162861</v>
      </c>
      <c r="BR98" s="74" t="n">
        <f aca="false">SQRT(($B98-BR$5)^2+($C98-BR$6)^2+($D98-BR$7)^2)</f>
        <v>0.845030303644481</v>
      </c>
      <c r="BS98" s="74" t="n">
        <f aca="false">SQRT(($B98-BS$5)^2+($C98-BS$6)^2+($D98-BS$7)^2)</f>
        <v>0.765422378760894</v>
      </c>
      <c r="BT98" s="74" t="n">
        <f aca="false">SQRT(($B98-BT$5)^2+($C98-BT$6)^2+($D98-BT$7)^2)</f>
        <v>0.45230375612895</v>
      </c>
      <c r="BU98" s="74" t="n">
        <f aca="false">SQRT(($B98-BU$5)^2+($C98-BU$6)^2+($D98-BU$7)^2)</f>
        <v>0.416119665718955</v>
      </c>
      <c r="BV98" s="74" t="n">
        <f aca="false">SQRT(($B98-BV$5)^2+($C98-BV$6)^2+($D98-BV$7)^2)</f>
        <v>1.16355620470339</v>
      </c>
      <c r="BW98" s="74" t="n">
        <f aca="false">SQRT(($B98-BW$5)^2+($C98-BW$6)^2+($D98-BW$7)^2)</f>
        <v>0.459942173928806</v>
      </c>
      <c r="BX98" s="74" t="n">
        <f aca="false">SQRT(($B98-BX$5)^2+($C98-BX$6)^2+($D98-BX$7)^2)</f>
        <v>1.15890530029758</v>
      </c>
      <c r="BY98" s="74" t="n">
        <f aca="false">SQRT(($B98-BY$5)^2+($C98-BY$6)^2+($D98-BY$7)^2)</f>
        <v>0.330404107398663</v>
      </c>
      <c r="BZ98" s="74" t="n">
        <f aca="false">SQRT(($B98-BZ$5)^2+($C98-BZ$6)^2+($D98-BZ$7)^2)</f>
        <v>0.348047471254915</v>
      </c>
      <c r="CA98" s="74" t="n">
        <f aca="false">SQRT(($B98-CA$5)^2+($C98-CA$6)^2+($D98-CA$7)^2)</f>
        <v>1.14540491185008</v>
      </c>
      <c r="CB98" s="74" t="n">
        <f aca="false">SQRT(($B98-CB$5)^2+($C98-CB$6)^2+($D98-CB$7)^2)</f>
        <v>0.333641716567981</v>
      </c>
      <c r="CC98" s="74" t="n">
        <f aca="false">SQRT(($B98-CC$5)^2+($C98-CC$6)^2+($D98-CC$7)^2)</f>
        <v>1.14111005817922</v>
      </c>
      <c r="CD98" s="74" t="n">
        <f aca="false">SQRT(($B98-CD$5)^2+($C98-CD$6)^2+($D98-CD$7)^2)</f>
        <v>1.13295425881649</v>
      </c>
      <c r="CE98" s="74" t="n">
        <f aca="false">SQRT(($B98-CE$5)^2+($C98-CE$6)^2+($D98-CE$7)^2)</f>
        <v>0.21513564589204</v>
      </c>
      <c r="CF98" s="74" t="n">
        <f aca="false">SQRT(($B98-CF$5)^2+($C98-CF$6)^2+($D98-CF$7)^2)</f>
        <v>0.588866940545294</v>
      </c>
      <c r="CG98" s="74" t="n">
        <f aca="false">SQRT(($B98-CG$5)^2+($C98-CG$6)^2+($D98-CG$7)^2)</f>
        <v>0.654083051188612</v>
      </c>
      <c r="CH98" s="74" t="n">
        <f aca="false">SQRT(($B98-CH$5)^2+($C98-CH$6)^2+($D98-CH$7)^2)</f>
        <v>0.38922796711242</v>
      </c>
      <c r="CI98" s="74" t="n">
        <f aca="false">SQRT(($B98-CI$5)^2+($C98-CI$6)^2+($D98-CI$7)^2)</f>
        <v>0.476337081533088</v>
      </c>
      <c r="CJ98" s="74" t="n">
        <f aca="false">SQRT(($B98-CJ$5)^2+($C98-CJ$6)^2+($D98-CJ$7)^2)</f>
        <v>0.792083035542348</v>
      </c>
      <c r="CK98" s="74" t="n">
        <f aca="false">SQRT(($B98-CK$5)^2+($C98-CK$6)^2+($D98-CK$7)^2)</f>
        <v>0</v>
      </c>
      <c r="CL98" s="74" t="n">
        <f aca="false">SQRT(($B98-CL$5)^2+($C98-CL$6)^2+($D98-CL$7)^2)</f>
        <v>1.11161077812153</v>
      </c>
      <c r="CM98" s="74" t="n">
        <f aca="false">SQRT(($B98-CM$5)^2+($C98-CM$6)^2+($D98-CM$7)^2)</f>
        <v>0.282644582711842</v>
      </c>
      <c r="CN98" s="74" t="n">
        <f aca="false">SQRT(($B98-CN$5)^2+($C98-CN$6)^2+($D98-CN$7)^2)</f>
        <v>0.852114922793132</v>
      </c>
      <c r="CO98" s="74" t="n">
        <f aca="false">SQRT(($B98-CO$5)^2+($C98-CO$6)^2+($D98-CO$7)^2)</f>
        <v>0.56355779781329</v>
      </c>
      <c r="CP98" s="74" t="n">
        <f aca="false">SQRT(($B98-CP$5)^2+($C98-CP$6)^2+($D98-CP$7)^2)</f>
        <v>1.11990070746832</v>
      </c>
      <c r="CQ98" s="74" t="n">
        <f aca="false">SQRT(($B98-CQ$5)^2+($C98-CQ$6)^2+($D98-CQ$7)^2)</f>
        <v>0.407865697009838</v>
      </c>
      <c r="CR98" s="74" t="n">
        <f aca="false">SQRT(($B98-CR$5)^2+($C98-CR$6)^2+($D98-CR$7)^2)</f>
        <v>0.360868835349072</v>
      </c>
      <c r="CS98" s="74" t="n">
        <f aca="false">SQRT(($B98-CS$5)^2+($C98-CS$6)^2+($D98-CS$7)^2)</f>
        <v>1.13402684193356</v>
      </c>
      <c r="CT98" s="74" t="n">
        <f aca="false">SQRT(($B98-CT$5)^2+($C98-CT$6)^2+($D98-CT$7)^2)</f>
        <v>1.14496993277534</v>
      </c>
      <c r="CU98" s="74" t="n">
        <f aca="false">SQRT(($B98-CU$5)^2+($C98-CU$6)^2+($D98-CU$7)^2)</f>
        <v>0.988252898531681</v>
      </c>
      <c r="CV98" s="74" t="n">
        <f aca="false">SQRT(($B98-CV$5)^2+($C98-CV$6)^2+($D98-CV$7)^2)</f>
        <v>0.407502212557771</v>
      </c>
      <c r="CW98" s="74" t="n">
        <f aca="false">SQRT(($B98-CW$5)^2+($C98-CW$6)^2+($D98-CW$7)^2)</f>
        <v>1.14496993277534</v>
      </c>
      <c r="CX98" s="74" t="n">
        <f aca="false">SQRT(($B98-CX$5)^2+($C98-CX$6)^2+($D98-CX$7)^2)</f>
        <v>0.331013084595518</v>
      </c>
      <c r="CY98" s="74" t="n">
        <f aca="false">SQRT(($B98-CY$5)^2+($C98-CY$6)^2+($D98-CY$7)^2)</f>
        <v>1.15941906729009</v>
      </c>
      <c r="CZ98" s="74" t="n">
        <f aca="false">SQRT(($B98-CZ$5)^2+($C98-CZ$6)^2+($D98-CZ$7)^2)</f>
        <v>1.15941906729009</v>
      </c>
      <c r="DA98" s="74" t="n">
        <f aca="false">SQRT(($B98-DA$5)^2+($C98-DA$6)^2+($D98-DA$7)^2)</f>
        <v>0.573856991850396</v>
      </c>
      <c r="DB98" s="74" t="n">
        <f aca="false">SQRT(($B98-DB$5)^2+($C98-DB$6)^2+($D98-DB$7)^2)</f>
        <v>1.17838637961241</v>
      </c>
      <c r="DC98" s="74" t="n">
        <f aca="false">SQRT(($B98-DC$5)^2+($C98-DC$6)^2+($D98-DC$7)^2)</f>
        <v>1.17838637961241</v>
      </c>
      <c r="DD98" s="74" t="n">
        <f aca="false">SQRT(($B98-DD$5)^2+($C98-DD$6)^2+($D98-DD$7)^2)</f>
        <v>0.7186146127623</v>
      </c>
      <c r="DE98" s="74" t="n">
        <f aca="false">SQRT(($B98-DE$5)^2+($C98-DE$6)^2+($D98-DE$7)^2)</f>
        <v>0.958048887297106</v>
      </c>
      <c r="DF98" s="74" t="n">
        <f aca="false">SQRT(($B98-DF$5)^2+($C98-DF$6)^2+($D98-DF$7)^2)</f>
        <v>1.34231490639048</v>
      </c>
      <c r="DG98" s="74" t="n">
        <f aca="false">SQRT(($B98-DG$5)^2+($C98-DG$6)^2+($D98-DG$7)^2)</f>
        <v>1.43169302248217</v>
      </c>
      <c r="DH98" s="74" t="n">
        <f aca="false">SQRT(($B98-DH$5)^2+($C98-DH$6)^2+($D98-DH$7)^2)</f>
        <v>1.43169302248217</v>
      </c>
      <c r="DI98" s="74" t="n">
        <f aca="false">SQRT(($B98-DI$5)^2+($C98-DI$6)^2+($D98-DI$7)^2)</f>
        <v>1.43169302248217</v>
      </c>
      <c r="DJ98" s="74" t="n">
        <f aca="false">SQRT(($B98-DJ$5)^2+($C98-DJ$6)^2+($D98-DJ$7)^2)</f>
        <v>1.43169302248217</v>
      </c>
      <c r="DK98" s="74" t="n">
        <f aca="false">SQRT(($B98-DK$5)^2+($C98-DK$6)^2+($D98-DK$7)^2)</f>
        <v>1.573315946281</v>
      </c>
      <c r="DL98" s="74" t="n">
        <f aca="false">SQRT(($B98-DL$5)^2+($C98-DL$6)^2+($D98-DL$7)^2)</f>
        <v>1.573315946281</v>
      </c>
      <c r="DM98" s="74" t="n">
        <f aca="false">SQRT(($B98-DM$5)^2+($C98-DM$6)^2+($D98-DM$7)^2)</f>
        <v>1.573315946281</v>
      </c>
      <c r="DN98" s="74" t="n">
        <f aca="false">SQRT(($B98-DN$5)^2+($C98-DN$6)^2+($D98-DN$7)^2)</f>
        <v>1.573315946281</v>
      </c>
      <c r="DO98" s="74" t="n">
        <f aca="false">SQRT(($B98-DO$5)^2+($C98-DO$6)^2+($D98-DO$7)^2)</f>
        <v>1.573315946281</v>
      </c>
      <c r="DP98" s="74" t="n">
        <f aca="false">SQRT(($B98-DP$5)^2+($C98-DP$6)^2+($D98-DP$7)^2)</f>
        <v>1.84638450393411</v>
      </c>
      <c r="DQ98" s="74" t="n">
        <f aca="false">SQRT(($B98-DQ$5)^2+($C98-DQ$6)^2+($D98-DQ$7)^2)</f>
        <v>1.84638450393411</v>
      </c>
    </row>
    <row r="99" customFormat="false" ht="15" hidden="false" customHeight="false" outlineLevel="0" collapsed="false">
      <c r="A99" s="48" t="str">
        <f aca="false">KMeans_Data!A90</f>
        <v>Attock</v>
      </c>
      <c r="B99" s="72" t="n">
        <f aca="false">KMeans_Data!H90</f>
        <v>-0.636688680796734</v>
      </c>
      <c r="C99" s="72" t="n">
        <f aca="false">KMeans_Data!I90</f>
        <v>-0.672650545388274</v>
      </c>
      <c r="D99" s="72" t="n">
        <f aca="false">KMeans_Data!J90</f>
        <v>-1.14564411633355</v>
      </c>
      <c r="E99" s="74" t="n">
        <f aca="false">SQRT(($B99-E$5)^2+($C99-E$6)^2+($D99-E$7)^2)</f>
        <v>7.53921080313601</v>
      </c>
      <c r="F99" s="74" t="n">
        <f aca="false">SQRT(($B99-F$5)^2+($C99-F$6)^2+($D99-F$7)^2)</f>
        <v>7.28498402426577</v>
      </c>
      <c r="G99" s="74" t="n">
        <f aca="false">SQRT(($B99-G$5)^2+($C99-G$6)^2+($D99-G$7)^2)</f>
        <v>5.49413298728416</v>
      </c>
      <c r="H99" s="74" t="n">
        <f aca="false">SQRT(($B99-H$5)^2+($C99-H$6)^2+($D99-H$7)^2)</f>
        <v>5.88059364709817</v>
      </c>
      <c r="I99" s="74" t="n">
        <f aca="false">SQRT(($B99-I$5)^2+($C99-I$6)^2+($D99-I$7)^2)</f>
        <v>4.84362907095015</v>
      </c>
      <c r="J99" s="74" t="n">
        <f aca="false">SQRT(($B99-J$5)^2+($C99-J$6)^2+($D99-J$7)^2)</f>
        <v>4.43539810099472</v>
      </c>
      <c r="K99" s="74" t="n">
        <f aca="false">SQRT(($B99-K$5)^2+($C99-K$6)^2+($D99-K$7)^2)</f>
        <v>2.16854148966301</v>
      </c>
      <c r="L99" s="74" t="n">
        <f aca="false">SQRT(($B99-L$5)^2+($C99-L$6)^2+($D99-L$7)^2)</f>
        <v>3.72755945164052</v>
      </c>
      <c r="M99" s="74" t="n">
        <f aca="false">SQRT(($B99-M$5)^2+($C99-M$6)^2+($D99-M$7)^2)</f>
        <v>3.90097571986827</v>
      </c>
      <c r="N99" s="74" t="n">
        <f aca="false">SQRT(($B99-N$5)^2+($C99-N$6)^2+($D99-N$7)^2)</f>
        <v>1.938704199423</v>
      </c>
      <c r="O99" s="74" t="n">
        <f aca="false">SQRT(($B99-O$5)^2+($C99-O$6)^2+($D99-O$7)^2)</f>
        <v>3.5115564465929</v>
      </c>
      <c r="P99" s="74" t="n">
        <f aca="false">SQRT(($B99-P$5)^2+($C99-P$6)^2+($D99-P$7)^2)</f>
        <v>3.79702341149007</v>
      </c>
      <c r="Q99" s="74" t="n">
        <f aca="false">SQRT(($B99-Q$5)^2+($C99-Q$6)^2+($D99-Q$7)^2)</f>
        <v>3.24840143060169</v>
      </c>
      <c r="R99" s="74" t="n">
        <f aca="false">SQRT(($B99-R$5)^2+($C99-R$6)^2+($D99-R$7)^2)</f>
        <v>3.27892933089661</v>
      </c>
      <c r="S99" s="74" t="n">
        <f aca="false">SQRT(($B99-S$5)^2+($C99-S$6)^2+($D99-S$7)^2)</f>
        <v>2.88591085464348</v>
      </c>
      <c r="T99" s="74" t="n">
        <f aca="false">SQRT(($B99-T$5)^2+($C99-T$6)^2+($D99-T$7)^2)</f>
        <v>3.15488214183844</v>
      </c>
      <c r="U99" s="74" t="n">
        <f aca="false">SQRT(($B99-U$5)^2+($C99-U$6)^2+($D99-U$7)^2)</f>
        <v>3.29435538391886</v>
      </c>
      <c r="V99" s="74" t="n">
        <f aca="false">SQRT(($B99-V$5)^2+($C99-V$6)^2+($D99-V$7)^2)</f>
        <v>3.09007478140131</v>
      </c>
      <c r="W99" s="74" t="n">
        <f aca="false">SQRT(($B99-W$5)^2+($C99-W$6)^2+($D99-W$7)^2)</f>
        <v>3.27990695440743</v>
      </c>
      <c r="X99" s="74" t="n">
        <f aca="false">SQRT(($B99-X$5)^2+($C99-X$6)^2+($D99-X$7)^2)</f>
        <v>3.0209556566109</v>
      </c>
      <c r="Y99" s="74" t="n">
        <f aca="false">SQRT(($B99-Y$5)^2+($C99-Y$6)^2+($D99-Y$7)^2)</f>
        <v>3.16864342634857</v>
      </c>
      <c r="Z99" s="74" t="n">
        <f aca="false">SQRT(($B99-Z$5)^2+($C99-Z$6)^2+($D99-Z$7)^2)</f>
        <v>2.70413784420532</v>
      </c>
      <c r="AA99" s="74" t="n">
        <f aca="false">SQRT(($B99-AA$5)^2+($C99-AA$6)^2+($D99-AA$7)^2)</f>
        <v>2.6727291070267</v>
      </c>
      <c r="AB99" s="74" t="n">
        <f aca="false">SQRT(($B99-AB$5)^2+($C99-AB$6)^2+($D99-AB$7)^2)</f>
        <v>2.60632727374584</v>
      </c>
      <c r="AC99" s="74" t="n">
        <f aca="false">SQRT(($B99-AC$5)^2+($C99-AC$6)^2+($D99-AC$7)^2)</f>
        <v>3.11185541531247</v>
      </c>
      <c r="AD99" s="74" t="n">
        <f aca="false">SQRT(($B99-AD$5)^2+($C99-AD$6)^2+($D99-AD$7)^2)</f>
        <v>3.14046829916485</v>
      </c>
      <c r="AE99" s="74" t="n">
        <f aca="false">SQRT(($B99-AE$5)^2+($C99-AE$6)^2+($D99-AE$7)^2)</f>
        <v>1.38592130305499</v>
      </c>
      <c r="AF99" s="74" t="n">
        <f aca="false">SQRT(($B99-AF$5)^2+($C99-AF$6)^2+($D99-AF$7)^2)</f>
        <v>2.73085031655973</v>
      </c>
      <c r="AG99" s="74" t="n">
        <f aca="false">SQRT(($B99-AG$5)^2+($C99-AG$6)^2+($D99-AG$7)^2)</f>
        <v>1.42516171656597</v>
      </c>
      <c r="AH99" s="74" t="n">
        <f aca="false">SQRT(($B99-AH$5)^2+($C99-AH$6)^2+($D99-AH$7)^2)</f>
        <v>2.42550750328729</v>
      </c>
      <c r="AI99" s="74" t="n">
        <f aca="false">SQRT(($B99-AI$5)^2+($C99-AI$6)^2+($D99-AI$7)^2)</f>
        <v>1.42246653134041</v>
      </c>
      <c r="AJ99" s="74" t="n">
        <f aca="false">SQRT(($B99-AJ$5)^2+($C99-AJ$6)^2+($D99-AJ$7)^2)</f>
        <v>2.83640070947318</v>
      </c>
      <c r="AK99" s="74" t="n">
        <f aca="false">SQRT(($B99-AK$5)^2+($C99-AK$6)^2+($D99-AK$7)^2)</f>
        <v>2.12647001026442</v>
      </c>
      <c r="AL99" s="74" t="n">
        <f aca="false">SQRT(($B99-AL$5)^2+($C99-AL$6)^2+($D99-AL$7)^2)</f>
        <v>2.10142902597479</v>
      </c>
      <c r="AM99" s="74" t="n">
        <f aca="false">SQRT(($B99-AM$5)^2+($C99-AM$6)^2+($D99-AM$7)^2)</f>
        <v>2.75436059955123</v>
      </c>
      <c r="AN99" s="74" t="n">
        <f aca="false">SQRT(($B99-AN$5)^2+($C99-AN$6)^2+($D99-AN$7)^2)</f>
        <v>2.82404744639252</v>
      </c>
      <c r="AO99" s="74" t="n">
        <f aca="false">SQRT(($B99-AO$5)^2+($C99-AO$6)^2+($D99-AO$7)^2)</f>
        <v>2.25641593679112</v>
      </c>
      <c r="AP99" s="74" t="n">
        <f aca="false">SQRT(($B99-AP$5)^2+($C99-AP$6)^2+($D99-AP$7)^2)</f>
        <v>2.19553196287443</v>
      </c>
      <c r="AQ99" s="74" t="n">
        <f aca="false">SQRT(($B99-AQ$5)^2+($C99-AQ$6)^2+($D99-AQ$7)^2)</f>
        <v>2.83232925044433</v>
      </c>
      <c r="AR99" s="74" t="n">
        <f aca="false">SQRT(($B99-AR$5)^2+($C99-AR$6)^2+($D99-AR$7)^2)</f>
        <v>1.69895240611143</v>
      </c>
      <c r="AS99" s="74" t="n">
        <f aca="false">SQRT(($B99-AS$5)^2+($C99-AS$6)^2+($D99-AS$7)^2)</f>
        <v>2.35810890451292</v>
      </c>
      <c r="AT99" s="74" t="n">
        <f aca="false">SQRT(($B99-AT$5)^2+($C99-AT$6)^2+($D99-AT$7)^2)</f>
        <v>2.18886882750068</v>
      </c>
      <c r="AU99" s="74" t="n">
        <f aca="false">SQRT(($B99-AU$5)^2+($C99-AU$6)^2+($D99-AU$7)^2)</f>
        <v>1.15915352873836</v>
      </c>
      <c r="AV99" s="74" t="n">
        <f aca="false">SQRT(($B99-AV$5)^2+($C99-AV$6)^2+($D99-AV$7)^2)</f>
        <v>1.8855270764428</v>
      </c>
      <c r="AW99" s="74" t="n">
        <f aca="false">SQRT(($B99-AW$5)^2+($C99-AW$6)^2+($D99-AW$7)^2)</f>
        <v>0.932377023105514</v>
      </c>
      <c r="AX99" s="74" t="n">
        <f aca="false">SQRT(($B99-AX$5)^2+($C99-AX$6)^2+($D99-AX$7)^2)</f>
        <v>1.94479445818178</v>
      </c>
      <c r="AY99" s="74" t="n">
        <f aca="false">SQRT(($B99-AY$5)^2+($C99-AY$6)^2+($D99-AY$7)^2)</f>
        <v>0.837664178578693</v>
      </c>
      <c r="AZ99" s="74" t="n">
        <f aca="false">SQRT(($B99-AZ$5)^2+($C99-AZ$6)^2+($D99-AZ$7)^2)</f>
        <v>2.33367985049307</v>
      </c>
      <c r="BA99" s="74" t="n">
        <f aca="false">SQRT(($B99-BA$5)^2+($C99-BA$6)^2+($D99-BA$7)^2)</f>
        <v>2.17630470709296</v>
      </c>
      <c r="BB99" s="74" t="n">
        <f aca="false">SQRT(($B99-BB$5)^2+($C99-BB$6)^2+($D99-BB$7)^2)</f>
        <v>0.831117299582352</v>
      </c>
      <c r="BC99" s="74" t="n">
        <f aca="false">SQRT(($B99-BC$5)^2+($C99-BC$6)^2+($D99-BC$7)^2)</f>
        <v>0.82448701861202</v>
      </c>
      <c r="BD99" s="74" t="n">
        <f aca="false">SQRT(($B99-BD$5)^2+($C99-BD$6)^2+($D99-BD$7)^2)</f>
        <v>1.02917810713358</v>
      </c>
      <c r="BE99" s="74" t="n">
        <f aca="false">SQRT(($B99-BE$5)^2+($C99-BE$6)^2+($D99-BE$7)^2)</f>
        <v>1.19883421153811</v>
      </c>
      <c r="BF99" s="74" t="n">
        <f aca="false">SQRT(($B99-BF$5)^2+($C99-BF$6)^2+($D99-BF$7)^2)</f>
        <v>2.91442027585138</v>
      </c>
      <c r="BG99" s="74" t="n">
        <f aca="false">SQRT(($B99-BG$5)^2+($C99-BG$6)^2+($D99-BG$7)^2)</f>
        <v>1.98289989941909</v>
      </c>
      <c r="BH99" s="74" t="n">
        <f aca="false">SQRT(($B99-BH$5)^2+($C99-BH$6)^2+($D99-BH$7)^2)</f>
        <v>0.721524650503295</v>
      </c>
      <c r="BI99" s="74" t="n">
        <f aca="false">SQRT(($B99-BI$5)^2+($C99-BI$6)^2+($D99-BI$7)^2)</f>
        <v>0.70500040493336</v>
      </c>
      <c r="BJ99" s="74" t="n">
        <f aca="false">SQRT(($B99-BJ$5)^2+($C99-BJ$6)^2+($D99-BJ$7)^2)</f>
        <v>1.80358534857069</v>
      </c>
      <c r="BK99" s="74" t="n">
        <f aca="false">SQRT(($B99-BK$5)^2+($C99-BK$6)^2+($D99-BK$7)^2)</f>
        <v>0.98448553222692</v>
      </c>
      <c r="BL99" s="74" t="n">
        <f aca="false">SQRT(($B99-BL$5)^2+($C99-BL$6)^2+($D99-BL$7)^2)</f>
        <v>1.6371391541456</v>
      </c>
      <c r="BM99" s="74" t="n">
        <f aca="false">SQRT(($B99-BM$5)^2+($C99-BM$6)^2+($D99-BM$7)^2)</f>
        <v>2.13731353514313</v>
      </c>
      <c r="BN99" s="74" t="n">
        <f aca="false">SQRT(($B99-BN$5)^2+($C99-BN$6)^2+($D99-BN$7)^2)</f>
        <v>1.56798199546266</v>
      </c>
      <c r="BO99" s="74" t="n">
        <f aca="false">SQRT(($B99-BO$5)^2+($C99-BO$6)^2+($D99-BO$7)^2)</f>
        <v>0.655833411836191</v>
      </c>
      <c r="BP99" s="74" t="n">
        <f aca="false">SQRT(($B99-BP$5)^2+($C99-BP$6)^2+($D99-BP$7)^2)</f>
        <v>1.72458480201343</v>
      </c>
      <c r="BQ99" s="74" t="n">
        <f aca="false">SQRT(($B99-BQ$5)^2+($C99-BQ$6)^2+($D99-BQ$7)^2)</f>
        <v>1.69884151595586</v>
      </c>
      <c r="BR99" s="74" t="n">
        <f aca="false">SQRT(($B99-BR$5)^2+($C99-BR$6)^2+($D99-BR$7)^2)</f>
        <v>1.73570381955912</v>
      </c>
      <c r="BS99" s="74" t="n">
        <f aca="false">SQRT(($B99-BS$5)^2+($C99-BS$6)^2+($D99-BS$7)^2)</f>
        <v>1.80354142671318</v>
      </c>
      <c r="BT99" s="74" t="n">
        <f aca="false">SQRT(($B99-BT$5)^2+($C99-BT$6)^2+($D99-BT$7)^2)</f>
        <v>1.40429914027264</v>
      </c>
      <c r="BU99" s="74" t="n">
        <f aca="false">SQRT(($B99-BU$5)^2+($C99-BU$6)^2+($D99-BU$7)^2)</f>
        <v>1.32396269416208</v>
      </c>
      <c r="BV99" s="74" t="n">
        <f aca="false">SQRT(($B99-BV$5)^2+($C99-BV$6)^2+($D99-BV$7)^2)</f>
        <v>0.376778050978903</v>
      </c>
      <c r="BW99" s="74" t="n">
        <f aca="false">SQRT(($B99-BW$5)^2+($C99-BW$6)^2+($D99-BW$7)^2)</f>
        <v>1.47709423841616</v>
      </c>
      <c r="BX99" s="74" t="n">
        <f aca="false">SQRT(($B99-BX$5)^2+($C99-BX$6)^2+($D99-BX$7)^2)</f>
        <v>0.360762325251648</v>
      </c>
      <c r="BY99" s="74" t="n">
        <f aca="false">SQRT(($B99-BY$5)^2+($C99-BY$6)^2+($D99-BY$7)^2)</f>
        <v>1.01762245893551</v>
      </c>
      <c r="BZ99" s="74" t="n">
        <f aca="false">SQRT(($B99-BZ$5)^2+($C99-BZ$6)^2+($D99-BZ$7)^2)</f>
        <v>0.95336287440628</v>
      </c>
      <c r="CA99" s="74" t="n">
        <f aca="false">SQRT(($B99-CA$5)^2+($C99-CA$6)^2+($D99-CA$7)^2)</f>
        <v>0.309527218823946</v>
      </c>
      <c r="CB99" s="74" t="n">
        <f aca="false">SQRT(($B99-CB$5)^2+($C99-CB$6)^2+($D99-CB$7)^2)</f>
        <v>0.947590600147169</v>
      </c>
      <c r="CC99" s="74" t="n">
        <f aca="false">SQRT(($B99-CC$5)^2+($C99-CC$6)^2+($D99-CC$7)^2)</f>
        <v>0.291263238984864</v>
      </c>
      <c r="CD99" s="74" t="n">
        <f aca="false">SQRT(($B99-CD$5)^2+($C99-CD$6)^2+($D99-CD$7)^2)</f>
        <v>0.252692261415189</v>
      </c>
      <c r="CE99" s="74" t="n">
        <f aca="false">SQRT(($B99-CE$5)^2+($C99-CE$6)^2+($D99-CE$7)^2)</f>
        <v>1.21105830099979</v>
      </c>
      <c r="CF99" s="74" t="n">
        <f aca="false">SQRT(($B99-CF$5)^2+($C99-CF$6)^2+($D99-CF$7)^2)</f>
        <v>1.40746982310908</v>
      </c>
      <c r="CG99" s="74" t="n">
        <f aca="false">SQRT(($B99-CG$5)^2+($C99-CG$6)^2+($D99-CG$7)^2)</f>
        <v>0.927369304609038</v>
      </c>
      <c r="CH99" s="74" t="n">
        <f aca="false">SQRT(($B99-CH$5)^2+($C99-CH$6)^2+($D99-CH$7)^2)</f>
        <v>0.763994502376367</v>
      </c>
      <c r="CI99" s="74" t="n">
        <f aca="false">SQRT(($B99-CI$5)^2+($C99-CI$6)^2+($D99-CI$7)^2)</f>
        <v>0.652810285514283</v>
      </c>
      <c r="CJ99" s="74" t="n">
        <f aca="false">SQRT(($B99-CJ$5)^2+($C99-CJ$6)^2+($D99-CJ$7)^2)</f>
        <v>0.333419035449758</v>
      </c>
      <c r="CK99" s="74" t="n">
        <f aca="false">SQRT(($B99-CK$5)^2+($C99-CK$6)^2+($D99-CK$7)^2)</f>
        <v>1.11161077812153</v>
      </c>
      <c r="CL99" s="74" t="n">
        <f aca="false">SQRT(($B99-CL$5)^2+($C99-CL$6)^2+($D99-CL$7)^2)</f>
        <v>0</v>
      </c>
      <c r="CM99" s="74" t="n">
        <f aca="false">SQRT(($B99-CM$5)^2+($C99-CM$6)^2+($D99-CM$7)^2)</f>
        <v>0.830285044926794</v>
      </c>
      <c r="CN99" s="74" t="n">
        <f aca="false">SQRT(($B99-CN$5)^2+($C99-CN$6)^2+($D99-CN$7)^2)</f>
        <v>1.85169964308466</v>
      </c>
      <c r="CO99" s="74" t="n">
        <f aca="false">SQRT(($B99-CO$5)^2+($C99-CO$6)^2+($D99-CO$7)^2)</f>
        <v>1.10295935721748</v>
      </c>
      <c r="CP99" s="74" t="n">
        <f aca="false">SQRT(($B99-CP$5)^2+($C99-CP$6)^2+($D99-CP$7)^2)</f>
        <v>0.108070063836458</v>
      </c>
      <c r="CQ99" s="74" t="n">
        <f aca="false">SQRT(($B99-CQ$5)^2+($C99-CQ$6)^2+($D99-CQ$7)^2)</f>
        <v>0.760680636260716</v>
      </c>
      <c r="CR99" s="74" t="n">
        <f aca="false">SQRT(($B99-CR$5)^2+($C99-CR$6)^2+($D99-CR$7)^2)</f>
        <v>0.852880279718776</v>
      </c>
      <c r="CS99" s="74" t="n">
        <f aca="false">SQRT(($B99-CS$5)^2+($C99-CS$6)^2+($D99-CS$7)^2)</f>
        <v>0.195016706217928</v>
      </c>
      <c r="CT99" s="74" t="n">
        <f aca="false">SQRT(($B99-CT$5)^2+($C99-CT$6)^2+($D99-CT$7)^2)</f>
        <v>0.24462279717625</v>
      </c>
      <c r="CU99" s="74" t="n">
        <f aca="false">SQRT(($B99-CU$5)^2+($C99-CU$6)^2+($D99-CU$7)^2)</f>
        <v>0.66282332494488</v>
      </c>
      <c r="CV99" s="74" t="n">
        <f aca="false">SQRT(($B99-CV$5)^2+($C99-CV$6)^2+($D99-CV$7)^2)</f>
        <v>1.43185483732034</v>
      </c>
      <c r="CW99" s="74" t="n">
        <f aca="false">SQRT(($B99-CW$5)^2+($C99-CW$6)^2+($D99-CW$7)^2)</f>
        <v>0.24462279717625</v>
      </c>
      <c r="CX99" s="74" t="n">
        <f aca="false">SQRT(($B99-CX$5)^2+($C99-CX$6)^2+($D99-CX$7)^2)</f>
        <v>1.15080800971346</v>
      </c>
      <c r="CY99" s="74" t="n">
        <f aca="false">SQRT(($B99-CY$5)^2+($C99-CY$6)^2+($D99-CY$7)^2)</f>
        <v>0.299459786612929</v>
      </c>
      <c r="CZ99" s="74" t="n">
        <f aca="false">SQRT(($B99-CZ$5)^2+($C99-CZ$6)^2+($D99-CZ$7)^2)</f>
        <v>0.299459786612929</v>
      </c>
      <c r="DA99" s="74" t="n">
        <f aca="false">SQRT(($B99-DA$5)^2+($C99-DA$6)^2+($D99-DA$7)^2)</f>
        <v>0.708765858863084</v>
      </c>
      <c r="DB99" s="74" t="n">
        <f aca="false">SQRT(($B99-DB$5)^2+($C99-DB$6)^2+($D99-DB$7)^2)</f>
        <v>0.360762325251648</v>
      </c>
      <c r="DC99" s="74" t="n">
        <f aca="false">SQRT(($B99-DC$5)^2+($C99-DC$6)^2+($D99-DC$7)^2)</f>
        <v>0.360762325251648</v>
      </c>
      <c r="DD99" s="74" t="n">
        <f aca="false">SQRT(($B99-DD$5)^2+($C99-DD$6)^2+($D99-DD$7)^2)</f>
        <v>0.623954303112962</v>
      </c>
      <c r="DE99" s="74" t="n">
        <f aca="false">SQRT(($B99-DE$5)^2+($C99-DE$6)^2+($D99-DE$7)^2)</f>
        <v>0.60313391956621</v>
      </c>
      <c r="DF99" s="74" t="n">
        <f aca="false">SQRT(($B99-DF$5)^2+($C99-DF$6)^2+($D99-DF$7)^2)</f>
        <v>0.721524650503295</v>
      </c>
      <c r="DG99" s="74" t="n">
        <f aca="false">SQRT(($B99-DG$5)^2+($C99-DG$6)^2+($D99-DG$7)^2)</f>
        <v>0.87125454380976</v>
      </c>
      <c r="DH99" s="74" t="n">
        <f aca="false">SQRT(($B99-DH$5)^2+($C99-DH$6)^2+($D99-DH$7)^2)</f>
        <v>0.87125454380976</v>
      </c>
      <c r="DI99" s="74" t="n">
        <f aca="false">SQRT(($B99-DI$5)^2+($C99-DI$6)^2+($D99-DI$7)^2)</f>
        <v>0.87125454380976</v>
      </c>
      <c r="DJ99" s="74" t="n">
        <f aca="false">SQRT(($B99-DJ$5)^2+($C99-DJ$6)^2+($D99-DJ$7)^2)</f>
        <v>0.87125454380976</v>
      </c>
      <c r="DK99" s="74" t="n">
        <f aca="false">SQRT(($B99-DK$5)^2+($C99-DK$6)^2+($D99-DK$7)^2)</f>
        <v>1.08228697575494</v>
      </c>
      <c r="DL99" s="74" t="n">
        <f aca="false">SQRT(($B99-DL$5)^2+($C99-DL$6)^2+($D99-DL$7)^2)</f>
        <v>1.08228697575494</v>
      </c>
      <c r="DM99" s="74" t="n">
        <f aca="false">SQRT(($B99-DM$5)^2+($C99-DM$6)^2+($D99-DM$7)^2)</f>
        <v>1.08228697575494</v>
      </c>
      <c r="DN99" s="74" t="n">
        <f aca="false">SQRT(($B99-DN$5)^2+($C99-DN$6)^2+($D99-DN$7)^2)</f>
        <v>1.08228697575494</v>
      </c>
      <c r="DO99" s="74" t="n">
        <f aca="false">SQRT(($B99-DO$5)^2+($C99-DO$6)^2+($D99-DO$7)^2)</f>
        <v>1.08228697575494</v>
      </c>
      <c r="DP99" s="74" t="n">
        <f aca="false">SQRT(($B99-DP$5)^2+($C99-DP$6)^2+($D99-DP$7)^2)</f>
        <v>1.44304930100659</v>
      </c>
      <c r="DQ99" s="74" t="n">
        <f aca="false">SQRT(($B99-DQ$5)^2+($C99-DQ$6)^2+($D99-DQ$7)^2)</f>
        <v>1.44304930100659</v>
      </c>
    </row>
    <row r="100" customFormat="false" ht="15" hidden="false" customHeight="false" outlineLevel="0" collapsed="false">
      <c r="A100" s="48" t="str">
        <f aca="false">KMeans_Data!A91</f>
        <v>Chitral Upper</v>
      </c>
      <c r="B100" s="72" t="n">
        <f aca="false">KMeans_Data!H91</f>
        <v>-0.636688680796734</v>
      </c>
      <c r="C100" s="72" t="n">
        <f aca="false">KMeans_Data!I91</f>
        <v>-0.672650545388274</v>
      </c>
      <c r="D100" s="72" t="n">
        <f aca="false">KMeans_Data!J91</f>
        <v>-0.31535907140676</v>
      </c>
      <c r="E100" s="74" t="n">
        <f aca="false">SQRT(($B100-E$5)^2+($C100-E$6)^2+($D100-E$7)^2)</f>
        <v>7.08698051014777</v>
      </c>
      <c r="F100" s="74" t="n">
        <f aca="false">SQRT(($B100-F$5)^2+($C100-F$6)^2+($D100-F$7)^2)</f>
        <v>6.88525697350423</v>
      </c>
      <c r="G100" s="74" t="n">
        <f aca="false">SQRT(($B100-G$5)^2+($C100-G$6)^2+($D100-G$7)^2)</f>
        <v>5.00329746145876</v>
      </c>
      <c r="H100" s="74" t="n">
        <f aca="false">SQRT(($B100-H$5)^2+($C100-H$6)^2+($D100-H$7)^2)</f>
        <v>5.53580404354506</v>
      </c>
      <c r="I100" s="74" t="n">
        <f aca="false">SQRT(($B100-I$5)^2+($C100-I$6)^2+($D100-I$7)^2)</f>
        <v>4.40800504593852</v>
      </c>
      <c r="J100" s="74" t="n">
        <f aca="false">SQRT(($B100-J$5)^2+($C100-J$6)^2+($D100-J$7)^2)</f>
        <v>4.00783986633462</v>
      </c>
      <c r="K100" s="74" t="n">
        <f aca="false">SQRT(($B100-K$5)^2+($C100-K$6)^2+($D100-K$7)^2)</f>
        <v>2.20421720565809</v>
      </c>
      <c r="L100" s="74" t="n">
        <f aca="false">SQRT(($B100-L$5)^2+($C100-L$6)^2+($D100-L$7)^2)</f>
        <v>3.13354314476129</v>
      </c>
      <c r="M100" s="74" t="n">
        <f aca="false">SQRT(($B100-M$5)^2+($C100-M$6)^2+($D100-M$7)^2)</f>
        <v>3.34500350828937</v>
      </c>
      <c r="N100" s="74" t="n">
        <f aca="false">SQRT(($B100-N$5)^2+($C100-N$6)^2+($D100-N$7)^2)</f>
        <v>1.97852856188372</v>
      </c>
      <c r="O100" s="74" t="n">
        <f aca="false">SQRT(($B100-O$5)^2+($C100-O$6)^2+($D100-O$7)^2)</f>
        <v>3.0784339111805</v>
      </c>
      <c r="P100" s="74" t="n">
        <f aca="false">SQRT(($B100-P$5)^2+($C100-P$6)^2+($D100-P$7)^2)</f>
        <v>3.35658408268146</v>
      </c>
      <c r="Q100" s="74" t="n">
        <f aca="false">SQRT(($B100-Q$5)^2+($C100-Q$6)^2+($D100-Q$7)^2)</f>
        <v>2.74678433128278</v>
      </c>
      <c r="R100" s="74" t="n">
        <f aca="false">SQRT(($B100-R$5)^2+($C100-R$6)^2+($D100-R$7)^2)</f>
        <v>2.66394791513506</v>
      </c>
      <c r="S100" s="74" t="n">
        <f aca="false">SQRT(($B100-S$5)^2+($C100-S$6)^2+($D100-S$7)^2)</f>
        <v>2.27546728775782</v>
      </c>
      <c r="T100" s="74" t="n">
        <f aca="false">SQRT(($B100-T$5)^2+($C100-T$6)^2+($D100-T$7)^2)</f>
        <v>2.66153527350835</v>
      </c>
      <c r="U100" s="74" t="n">
        <f aca="false">SQRT(($B100-U$5)^2+($C100-U$6)^2+($D100-U$7)^2)</f>
        <v>2.6477726142105</v>
      </c>
      <c r="V100" s="74" t="n">
        <f aca="false">SQRT(($B100-V$5)^2+($C100-V$6)^2+($D100-V$7)^2)</f>
        <v>2.70346721243275</v>
      </c>
      <c r="W100" s="74" t="n">
        <f aca="false">SQRT(($B100-W$5)^2+($C100-W$6)^2+($D100-W$7)^2)</f>
        <v>2.82722271188567</v>
      </c>
      <c r="X100" s="74" t="n">
        <f aca="false">SQRT(($B100-X$5)^2+($C100-X$6)^2+($D100-X$7)^2)</f>
        <v>2.48829167051237</v>
      </c>
      <c r="Y100" s="74" t="n">
        <f aca="false">SQRT(($B100-Y$5)^2+($C100-Y$6)^2+($D100-Y$7)^2)</f>
        <v>2.59249124915185</v>
      </c>
      <c r="Z100" s="74" t="n">
        <f aca="false">SQRT(($B100-Z$5)^2+($C100-Z$6)^2+($D100-Z$7)^2)</f>
        <v>2.2522287393846</v>
      </c>
      <c r="AA100" s="74" t="n">
        <f aca="false">SQRT(($B100-AA$5)^2+($C100-AA$6)^2+($D100-AA$7)^2)</f>
        <v>2.08250335951628</v>
      </c>
      <c r="AB100" s="74" t="n">
        <f aca="false">SQRT(($B100-AB$5)^2+($C100-AB$6)^2+($D100-AB$7)^2)</f>
        <v>2.1147199541001</v>
      </c>
      <c r="AC100" s="74" t="n">
        <f aca="false">SQRT(($B100-AC$5)^2+($C100-AC$6)^2+($D100-AC$7)^2)</f>
        <v>2.69479450256781</v>
      </c>
      <c r="AD100" s="74" t="n">
        <f aca="false">SQRT(($B100-AD$5)^2+($C100-AD$6)^2+($D100-AD$7)^2)</f>
        <v>2.55472356923932</v>
      </c>
      <c r="AE100" s="74" t="n">
        <f aca="false">SQRT(($B100-AE$5)^2+($C100-AE$6)^2+($D100-AE$7)^2)</f>
        <v>1.61559621010039</v>
      </c>
      <c r="AF100" s="74" t="n">
        <f aca="false">SQRT(($B100-AF$5)^2+($C100-AF$6)^2+($D100-AF$7)^2)</f>
        <v>2.18962540537187</v>
      </c>
      <c r="AG100" s="74" t="n">
        <f aca="false">SQRT(($B100-AG$5)^2+($C100-AG$6)^2+($D100-AG$7)^2)</f>
        <v>1.21737744300138</v>
      </c>
      <c r="AH100" s="74" t="n">
        <f aca="false">SQRT(($B100-AH$5)^2+($C100-AH$6)^2+($D100-AH$7)^2)</f>
        <v>1.83636275101986</v>
      </c>
      <c r="AI100" s="74" t="n">
        <f aca="false">SQRT(($B100-AI$5)^2+($C100-AI$6)^2+($D100-AI$7)^2)</f>
        <v>1.21422113025055</v>
      </c>
      <c r="AJ100" s="74" t="n">
        <f aca="false">SQRT(($B100-AJ$5)^2+($C100-AJ$6)^2+($D100-AJ$7)^2)</f>
        <v>2.23228843101458</v>
      </c>
      <c r="AK100" s="74" t="n">
        <f aca="false">SQRT(($B100-AK$5)^2+($C100-AK$6)^2+($D100-AK$7)^2)</f>
        <v>1.68306630414685</v>
      </c>
      <c r="AL100" s="74" t="n">
        <f aca="false">SQRT(($B100-AL$5)^2+($C100-AL$6)^2+($D100-AL$7)^2)</f>
        <v>1.51204889937618</v>
      </c>
      <c r="AM100" s="74" t="n">
        <f aca="false">SQRT(($B100-AM$5)^2+($C100-AM$6)^2+($D100-AM$7)^2)</f>
        <v>2.4213910192887</v>
      </c>
      <c r="AN100" s="74" t="n">
        <f aca="false">SQRT(($B100-AN$5)^2+($C100-AN$6)^2+($D100-AN$7)^2)</f>
        <v>2.35947811323265</v>
      </c>
      <c r="AO100" s="74" t="n">
        <f aca="false">SQRT(($B100-AO$5)^2+($C100-AO$6)^2+($D100-AO$7)^2)</f>
        <v>1.72675671700552</v>
      </c>
      <c r="AP100" s="74" t="n">
        <f aca="false">SQRT(($B100-AP$5)^2+($C100-AP$6)^2+($D100-AP$7)^2)</f>
        <v>1.68608246041923</v>
      </c>
      <c r="AQ100" s="74" t="n">
        <f aca="false">SQRT(($B100-AQ$5)^2+($C100-AQ$6)^2+($D100-AQ$7)^2)</f>
        <v>2.40111415396156</v>
      </c>
      <c r="AR100" s="74" t="n">
        <f aca="false">SQRT(($B100-AR$5)^2+($C100-AR$6)^2+($D100-AR$7)^2)</f>
        <v>1.3431266656929</v>
      </c>
      <c r="AS100" s="74" t="n">
        <f aca="false">SQRT(($B100-AS$5)^2+($C100-AS$6)^2+($D100-AS$7)^2)</f>
        <v>1.63366476970221</v>
      </c>
      <c r="AT100" s="74" t="n">
        <f aca="false">SQRT(($B100-AT$5)^2+($C100-AT$6)^2+($D100-AT$7)^2)</f>
        <v>1.51406951641416</v>
      </c>
      <c r="AU100" s="74" t="n">
        <f aca="false">SQRT(($B100-AU$5)^2+($C100-AU$6)^2+($D100-AU$7)^2)</f>
        <v>1.08978695434351</v>
      </c>
      <c r="AV100" s="74" t="n">
        <f aca="false">SQRT(($B100-AV$5)^2+($C100-AV$6)^2+($D100-AV$7)^2)</f>
        <v>1.21946405790072</v>
      </c>
      <c r="AW100" s="74" t="n">
        <f aca="false">SQRT(($B100-AW$5)^2+($C100-AW$6)^2+($D100-AW$7)^2)</f>
        <v>1.01258491522657</v>
      </c>
      <c r="AX100" s="74" t="n">
        <f aca="false">SQRT(($B100-AX$5)^2+($C100-AX$6)^2+($D100-AX$7)^2)</f>
        <v>1.39121352815753</v>
      </c>
      <c r="AY100" s="74" t="n">
        <f aca="false">SQRT(($B100-AY$5)^2+($C100-AY$6)^2+($D100-AY$7)^2)</f>
        <v>1.17942974860863</v>
      </c>
      <c r="AZ100" s="74" t="n">
        <f aca="false">SQRT(($B100-AZ$5)^2+($C100-AZ$6)^2+($D100-AZ$7)^2)</f>
        <v>1.58696181073527</v>
      </c>
      <c r="BA100" s="74" t="n">
        <f aca="false">SQRT(($B100-BA$5)^2+($C100-BA$6)^2+($D100-BA$7)^2)</f>
        <v>1.48383459474336</v>
      </c>
      <c r="BB100" s="74" t="n">
        <f aca="false">SQRT(($B100-BB$5)^2+($C100-BB$6)^2+($D100-BB$7)^2)</f>
        <v>1.17478901148</v>
      </c>
      <c r="BC100" s="74" t="n">
        <f aca="false">SQRT(($B100-BC$5)^2+($C100-BC$6)^2+($D100-BC$7)^2)</f>
        <v>1.17010772995004</v>
      </c>
      <c r="BD100" s="74" t="n">
        <f aca="false">SQRT(($B100-BD$5)^2+($C100-BD$6)^2+($D100-BD$7)^2)</f>
        <v>0.825734167291478</v>
      </c>
      <c r="BE100" s="74" t="n">
        <f aca="false">SQRT(($B100-BE$5)^2+($C100-BE$6)^2+($D100-BE$7)^2)</f>
        <v>0.793229052418902</v>
      </c>
      <c r="BF100" s="74" t="n">
        <f aca="false">SQRT(($B100-BF$5)^2+($C100-BF$6)^2+($D100-BF$7)^2)</f>
        <v>2.44849041264696</v>
      </c>
      <c r="BG100" s="74" t="n">
        <f aca="false">SQRT(($B100-BG$5)^2+($C100-BG$6)^2+($D100-BG$7)^2)</f>
        <v>1.30079392109696</v>
      </c>
      <c r="BH100" s="74" t="n">
        <f aca="false">SQRT(($B100-BH$5)^2+($C100-BH$6)^2+($D100-BH$7)^2)</f>
        <v>1.09998685315461</v>
      </c>
      <c r="BI100" s="74" t="n">
        <f aca="false">SQRT(($B100-BI$5)^2+($C100-BI$6)^2+($D100-BI$7)^2)</f>
        <v>1.08921936577775</v>
      </c>
      <c r="BJ100" s="74" t="n">
        <f aca="false">SQRT(($B100-BJ$5)^2+($C100-BJ$6)^2+($D100-BJ$7)^2)</f>
        <v>1.42484205975609</v>
      </c>
      <c r="BK100" s="74" t="n">
        <f aca="false">SQRT(($B100-BK$5)^2+($C100-BK$6)^2+($D100-BK$7)^2)</f>
        <v>0.648177200715542</v>
      </c>
      <c r="BL100" s="74" t="n">
        <f aca="false">SQRT(($B100-BL$5)^2+($C100-BL$6)^2+($D100-BL$7)^2)</f>
        <v>0.928716925435576</v>
      </c>
      <c r="BM100" s="74" t="n">
        <f aca="false">SQRT(($B100-BM$5)^2+($C100-BM$6)^2+($D100-BM$7)^2)</f>
        <v>1.58797565311545</v>
      </c>
      <c r="BN100" s="74" t="n">
        <f aca="false">SQRT(($B100-BN$5)^2+($C100-BN$6)^2+($D100-BN$7)^2)</f>
        <v>1.0836189432401</v>
      </c>
      <c r="BO100" s="74" t="n">
        <f aca="false">SQRT(($B100-BO$5)^2+($C100-BO$6)^2+($D100-BO$7)^2)</f>
        <v>0.765583934921567</v>
      </c>
      <c r="BP100" s="74" t="n">
        <f aca="false">SQRT(($B100-BP$5)^2+($C100-BP$6)^2+($D100-BP$7)^2)</f>
        <v>1.14927239983588</v>
      </c>
      <c r="BQ100" s="74" t="n">
        <f aca="false">SQRT(($B100-BQ$5)^2+($C100-BQ$6)^2+($D100-BQ$7)^2)</f>
        <v>1.0194665726198</v>
      </c>
      <c r="BR100" s="74" t="n">
        <f aca="false">SQRT(($B100-BR$5)^2+($C100-BR$6)^2+($D100-BR$7)^2)</f>
        <v>1.04155804347969</v>
      </c>
      <c r="BS100" s="74" t="n">
        <f aca="false">SQRT(($B100-BS$5)^2+($C100-BS$6)^2+($D100-BS$7)^2)</f>
        <v>1.02367840367267</v>
      </c>
      <c r="BT100" s="74" t="n">
        <f aca="false">SQRT(($B100-BT$5)^2+($C100-BT$6)^2+($D100-BT$7)^2)</f>
        <v>0.661292874892056</v>
      </c>
      <c r="BU100" s="74" t="n">
        <f aca="false">SQRT(($B100-BU$5)^2+($C100-BU$6)^2+($D100-BU$7)^2)</f>
        <v>0.598685712822554</v>
      </c>
      <c r="BV100" s="74" t="n">
        <f aca="false">SQRT(($B100-BV$5)^2+($C100-BV$6)^2+($D100-BV$7)^2)</f>
        <v>0.911775715583908</v>
      </c>
      <c r="BW100" s="74" t="n">
        <f aca="false">SQRT(($B100-BW$5)^2+($C100-BW$6)^2+($D100-BW$7)^2)</f>
        <v>0.701886649511742</v>
      </c>
      <c r="BX100" s="74" t="n">
        <f aca="false">SQRT(($B100-BX$5)^2+($C100-BX$6)^2+($D100-BX$7)^2)</f>
        <v>0.905274936773389</v>
      </c>
      <c r="BY100" s="74" t="n">
        <f aca="false">SQRT(($B100-BY$5)^2+($C100-BY$6)^2+($D100-BY$7)^2)</f>
        <v>0.35328862033704</v>
      </c>
      <c r="BZ100" s="74" t="n">
        <f aca="false">SQRT(($B100-BZ$5)^2+($C100-BZ$6)^2+($D100-BZ$7)^2)</f>
        <v>0.317662766378724</v>
      </c>
      <c r="CA100" s="74" t="n">
        <f aca="false">SQRT(($B100-CA$5)^2+($C100-CA$6)^2+($D100-CA$7)^2)</f>
        <v>0.886104031715224</v>
      </c>
      <c r="CB100" s="74" t="n">
        <f aca="false">SQRT(($B100-CB$5)^2+($C100-CB$6)^2+($D100-CB$7)^2)</f>
        <v>0.299894662063951</v>
      </c>
      <c r="CC100" s="74" t="n">
        <f aca="false">SQRT(($B100-CC$5)^2+($C100-CC$6)^2+($D100-CC$7)^2)</f>
        <v>0.879890635370693</v>
      </c>
      <c r="CD100" s="74" t="n">
        <f aca="false">SQRT(($B100-CD$5)^2+($C100-CD$6)^2+($D100-CD$7)^2)</f>
        <v>0.86788630292695</v>
      </c>
      <c r="CE100" s="74" t="n">
        <f aca="false">SQRT(($B100-CE$5)^2+($C100-CE$6)^2+($D100-CE$7)^2)</f>
        <v>0.426994946661245</v>
      </c>
      <c r="CF100" s="74" t="n">
        <f aca="false">SQRT(($B100-CF$5)^2+($C100-CF$6)^2+($D100-CF$7)^2)</f>
        <v>0.732705073540915</v>
      </c>
      <c r="CG100" s="74" t="n">
        <f aca="false">SQRT(($B100-CG$5)^2+($C100-CG$6)^2+($D100-CG$7)^2)</f>
        <v>0.557616129155501</v>
      </c>
      <c r="CH100" s="74" t="n">
        <f aca="false">SQRT(($B100-CH$5)^2+($C100-CH$6)^2+($D100-CH$7)^2)</f>
        <v>0.186036340602116</v>
      </c>
      <c r="CI100" s="74" t="n">
        <f aca="false">SQRT(($B100-CI$5)^2+($C100-CI$6)^2+($D100-CI$7)^2)</f>
        <v>0.220885960854768</v>
      </c>
      <c r="CJ100" s="74" t="n">
        <f aca="false">SQRT(($B100-CJ$5)^2+($C100-CJ$6)^2+($D100-CJ$7)^2)</f>
        <v>0.516884465359076</v>
      </c>
      <c r="CK100" s="74" t="n">
        <f aca="false">SQRT(($B100-CK$5)^2+($C100-CK$6)^2+($D100-CK$7)^2)</f>
        <v>0.282644582711842</v>
      </c>
      <c r="CL100" s="74" t="n">
        <f aca="false">SQRT(($B100-CL$5)^2+($C100-CL$6)^2+($D100-CL$7)^2)</f>
        <v>0.830285044926794</v>
      </c>
      <c r="CM100" s="74" t="n">
        <f aca="false">SQRT(($B100-CM$5)^2+($C100-CM$6)^2+($D100-CM$7)^2)</f>
        <v>0</v>
      </c>
      <c r="CN100" s="74" t="n">
        <f aca="false">SQRT(($B100-CN$5)^2+($C100-CN$6)^2+($D100-CN$7)^2)</f>
        <v>1.08261339620006</v>
      </c>
      <c r="CO100" s="74" t="n">
        <f aca="false">SQRT(($B100-CO$5)^2+($C100-CO$6)^2+($D100-CO$7)^2)</f>
        <v>0.552970816592788</v>
      </c>
      <c r="CP100" s="74" t="n">
        <f aca="false">SQRT(($B100-CP$5)^2+($C100-CP$6)^2+($D100-CP$7)^2)</f>
        <v>0.837288716349805</v>
      </c>
      <c r="CQ100" s="74" t="n">
        <f aca="false">SQRT(($B100-CQ$5)^2+($C100-CQ$6)^2+($D100-CQ$7)^2)</f>
        <v>0.17192135046387</v>
      </c>
      <c r="CR100" s="74" t="n">
        <f aca="false">SQRT(($B100-CR$5)^2+($C100-CR$6)^2+($D100-CR$7)^2)</f>
        <v>0.195016706217928</v>
      </c>
      <c r="CS100" s="74" t="n">
        <f aca="false">SQRT(($B100-CS$5)^2+($C100-CS$6)^2+($D100-CS$7)^2)</f>
        <v>0.852880279718776</v>
      </c>
      <c r="CT100" s="74" t="n">
        <f aca="false">SQRT(($B100-CT$5)^2+($C100-CT$6)^2+($D100-CT$7)^2)</f>
        <v>0.865571238389666</v>
      </c>
      <c r="CU100" s="74" t="n">
        <f aca="false">SQRT(($B100-CU$5)^2+($C100-CU$6)^2+($D100-CU$7)^2)</f>
        <v>0.771580233948665</v>
      </c>
      <c r="CV100" s="74" t="n">
        <f aca="false">SQRT(($B100-CV$5)^2+($C100-CV$6)^2+($D100-CV$7)^2)</f>
        <v>0.629954430769774</v>
      </c>
      <c r="CW100" s="74" t="n">
        <f aca="false">SQRT(($B100-CW$5)^2+($C100-CW$6)^2+($D100-CW$7)^2)</f>
        <v>0.865571238389666</v>
      </c>
      <c r="CX100" s="74" t="n">
        <f aca="false">SQRT(($B100-CX$5)^2+($C100-CX$6)^2+($D100-CX$7)^2)</f>
        <v>0.410570960153095</v>
      </c>
      <c r="CY100" s="74" t="n">
        <f aca="false">SQRT(($B100-CY$5)^2+($C100-CY$6)^2+($D100-CY$7)^2)</f>
        <v>0.882637762407291</v>
      </c>
      <c r="CZ100" s="74" t="n">
        <f aca="false">SQRT(($B100-CZ$5)^2+($C100-CZ$6)^2+($D100-CZ$7)^2)</f>
        <v>0.882637762407291</v>
      </c>
      <c r="DA100" s="74" t="n">
        <f aca="false">SQRT(($B100-DA$5)^2+($C100-DA$6)^2+($D100-DA$7)^2)</f>
        <v>0.353522816122834</v>
      </c>
      <c r="DB100" s="74" t="n">
        <f aca="false">SQRT(($B100-DB$5)^2+($C100-DB$6)^2+($D100-DB$7)^2)</f>
        <v>0.905274936773389</v>
      </c>
      <c r="DC100" s="74" t="n">
        <f aca="false">SQRT(($B100-DC$5)^2+($C100-DC$6)^2+($D100-DC$7)^2)</f>
        <v>0.905274936773389</v>
      </c>
      <c r="DD100" s="74" t="n">
        <f aca="false">SQRT(($B100-DD$5)^2+($C100-DD$6)^2+($D100-DD$7)^2)</f>
        <v>0.483029683398331</v>
      </c>
      <c r="DE100" s="74" t="n">
        <f aca="false">SQRT(($B100-DE$5)^2+($C100-DE$6)^2+($D100-DE$7)^2)</f>
        <v>0.720952024936882</v>
      </c>
      <c r="DF100" s="74" t="n">
        <f aca="false">SQRT(($B100-DF$5)^2+($C100-DF$6)^2+($D100-DF$7)^2)</f>
        <v>1.09998685315461</v>
      </c>
      <c r="DG100" s="74" t="n">
        <f aca="false">SQRT(($B100-DG$5)^2+($C100-DG$6)^2+($D100-DG$7)^2)</f>
        <v>1.20351889720861</v>
      </c>
      <c r="DH100" s="74" t="n">
        <f aca="false">SQRT(($B100-DH$5)^2+($C100-DH$6)^2+($D100-DH$7)^2)</f>
        <v>1.20351889720861</v>
      </c>
      <c r="DI100" s="74" t="n">
        <f aca="false">SQRT(($B100-DI$5)^2+($C100-DI$6)^2+($D100-DI$7)^2)</f>
        <v>1.20351889720861</v>
      </c>
      <c r="DJ100" s="74" t="n">
        <f aca="false">SQRT(($B100-DJ$5)^2+($C100-DJ$6)^2+($D100-DJ$7)^2)</f>
        <v>1.20351889720861</v>
      </c>
      <c r="DK100" s="74" t="n">
        <f aca="false">SQRT(($B100-DK$5)^2+($C100-DK$6)^2+($D100-DK$7)^2)</f>
        <v>1.36408150552592</v>
      </c>
      <c r="DL100" s="74" t="n">
        <f aca="false">SQRT(($B100-DL$5)^2+($C100-DL$6)^2+($D100-DL$7)^2)</f>
        <v>1.36408150552592</v>
      </c>
      <c r="DM100" s="74" t="n">
        <f aca="false">SQRT(($B100-DM$5)^2+($C100-DM$6)^2+($D100-DM$7)^2)</f>
        <v>1.36408150552592</v>
      </c>
      <c r="DN100" s="74" t="n">
        <f aca="false">SQRT(($B100-DN$5)^2+($C100-DN$6)^2+($D100-DN$7)^2)</f>
        <v>1.36408150552592</v>
      </c>
      <c r="DO100" s="74" t="n">
        <f aca="false">SQRT(($B100-DO$5)^2+($C100-DO$6)^2+($D100-DO$7)^2)</f>
        <v>1.36408150552592</v>
      </c>
      <c r="DP100" s="74" t="n">
        <f aca="false">SQRT(($B100-DP$5)^2+($C100-DP$6)^2+($D100-DP$7)^2)</f>
        <v>1.66486171827113</v>
      </c>
      <c r="DQ100" s="74" t="n">
        <f aca="false">SQRT(($B100-DQ$5)^2+($C100-DQ$6)^2+($D100-DQ$7)^2)</f>
        <v>1.66486171827113</v>
      </c>
    </row>
    <row r="101" customFormat="false" ht="15" hidden="false" customHeight="false" outlineLevel="0" collapsed="false">
      <c r="A101" s="48" t="str">
        <f aca="false">KMeans_Data!A92</f>
        <v>Matiari</v>
      </c>
      <c r="B101" s="72" t="n">
        <f aca="false">KMeans_Data!H92</f>
        <v>-0.706187767063518</v>
      </c>
      <c r="C101" s="72" t="n">
        <f aca="false">KMeans_Data!I92</f>
        <v>-0.146983133929529</v>
      </c>
      <c r="D101" s="72" t="n">
        <f aca="false">KMeans_Data!J92</f>
        <v>0.628513491585819</v>
      </c>
      <c r="E101" s="74" t="n">
        <f aca="false">SQRT(($B101-E$5)^2+($C101-E$6)^2+($D101-E$7)^2)</f>
        <v>6.34444553438655</v>
      </c>
      <c r="F101" s="74" t="n">
        <f aca="false">SQRT(($B101-F$5)^2+($C101-F$6)^2+($D101-F$7)^2)</f>
        <v>6.19566167870154</v>
      </c>
      <c r="G101" s="74" t="n">
        <f aca="false">SQRT(($B101-G$5)^2+($C101-G$6)^2+($D101-G$7)^2)</f>
        <v>4.29294656900473</v>
      </c>
      <c r="H101" s="74" t="n">
        <f aca="false">SQRT(($B101-H$5)^2+($C101-H$6)^2+($D101-H$7)^2)</f>
        <v>4.90803577982371</v>
      </c>
      <c r="I101" s="74" t="n">
        <f aca="false">SQRT(($B101-I$5)^2+($C101-I$6)^2+($D101-I$7)^2)</f>
        <v>3.78363780881503</v>
      </c>
      <c r="J101" s="74" t="n">
        <f aca="false">SQRT(($B101-J$5)^2+($C101-J$6)^2+($D101-J$7)^2)</f>
        <v>3.3403880745959</v>
      </c>
      <c r="K101" s="74" t="n">
        <f aca="false">SQRT(($B101-K$5)^2+($C101-K$6)^2+($D101-K$7)^2)</f>
        <v>2.52792446280106</v>
      </c>
      <c r="L101" s="74" t="n">
        <f aca="false">SQRT(($B101-L$5)^2+($C101-L$6)^2+($D101-L$7)^2)</f>
        <v>2.44633149416531</v>
      </c>
      <c r="M101" s="74" t="n">
        <f aca="false">SQRT(($B101-M$5)^2+($C101-M$6)^2+($D101-M$7)^2)</f>
        <v>2.61674754400597</v>
      </c>
      <c r="N101" s="74" t="n">
        <f aca="false">SQRT(($B101-N$5)^2+($C101-N$6)^2+($D101-N$7)^2)</f>
        <v>2.39802235423193</v>
      </c>
      <c r="O101" s="74" t="n">
        <f aca="false">SQRT(($B101-O$5)^2+($C101-O$6)^2+($D101-O$7)^2)</f>
        <v>2.48513489746401</v>
      </c>
      <c r="P101" s="74" t="n">
        <f aca="false">SQRT(($B101-P$5)^2+($C101-P$6)^2+($D101-P$7)^2)</f>
        <v>2.70542669640651</v>
      </c>
      <c r="Q101" s="74" t="n">
        <f aca="false">SQRT(($B101-Q$5)^2+($C101-Q$6)^2+($D101-Q$7)^2)</f>
        <v>2.13621147649097</v>
      </c>
      <c r="R101" s="74" t="n">
        <f aca="false">SQRT(($B101-R$5)^2+($C101-R$6)^2+($D101-R$7)^2)</f>
        <v>2.00623655151962</v>
      </c>
      <c r="S101" s="74" t="n">
        <f aca="false">SQRT(($B101-S$5)^2+($C101-S$6)^2+($D101-S$7)^2)</f>
        <v>1.79656623255479</v>
      </c>
      <c r="T101" s="74" t="n">
        <f aca="false">SQRT(($B101-T$5)^2+($C101-T$6)^2+($D101-T$7)^2)</f>
        <v>2.06130440616152</v>
      </c>
      <c r="U101" s="74" t="n">
        <f aca="false">SQRT(($B101-U$5)^2+($C101-U$6)^2+($D101-U$7)^2)</f>
        <v>1.92464924537687</v>
      </c>
      <c r="V101" s="74" t="n">
        <f aca="false">SQRT(($B101-V$5)^2+($C101-V$6)^2+($D101-V$7)^2)</f>
        <v>2.18314766604525</v>
      </c>
      <c r="W101" s="74" t="n">
        <f aca="false">SQRT(($B101-W$5)^2+($C101-W$6)^2+($D101-W$7)^2)</f>
        <v>2.20312551664903</v>
      </c>
      <c r="X101" s="74" t="n">
        <f aca="false">SQRT(($B101-X$5)^2+($C101-X$6)^2+($D101-X$7)^2)</f>
        <v>1.86152950521931</v>
      </c>
      <c r="Y101" s="74" t="n">
        <f aca="false">SQRT(($B101-Y$5)^2+($C101-Y$6)^2+($D101-Y$7)^2)</f>
        <v>1.88418455013131</v>
      </c>
      <c r="Z101" s="74" t="n">
        <f aca="false">SQRT(($B101-Z$5)^2+($C101-Z$6)^2+($D101-Z$7)^2)</f>
        <v>1.76867989841929</v>
      </c>
      <c r="AA101" s="74" t="n">
        <f aca="false">SQRT(($B101-AA$5)^2+($C101-AA$6)^2+($D101-AA$7)^2)</f>
        <v>1.55672690781499</v>
      </c>
      <c r="AB101" s="74" t="n">
        <f aca="false">SQRT(($B101-AB$5)^2+($C101-AB$6)^2+($D101-AB$7)^2)</f>
        <v>1.64424658737459</v>
      </c>
      <c r="AC101" s="74" t="n">
        <f aca="false">SQRT(($B101-AC$5)^2+($C101-AC$6)^2+($D101-AC$7)^2)</f>
        <v>2.12128658301489</v>
      </c>
      <c r="AD101" s="74" t="n">
        <f aca="false">SQRT(($B101-AD$5)^2+($C101-AD$6)^2+($D101-AD$7)^2)</f>
        <v>1.82359311091912</v>
      </c>
      <c r="AE101" s="74" t="n">
        <f aca="false">SQRT(($B101-AE$5)^2+($C101-AE$6)^2+($D101-AE$7)^2)</f>
        <v>2.23050732117871</v>
      </c>
      <c r="AF101" s="74" t="n">
        <f aca="false">SQRT(($B101-AF$5)^2+($C101-AF$6)^2+($D101-AF$7)^2)</f>
        <v>1.57048738212444</v>
      </c>
      <c r="AG101" s="74" t="n">
        <f aca="false">SQRT(($B101-AG$5)^2+($C101-AG$6)^2+($D101-AG$7)^2)</f>
        <v>1.7269490946838</v>
      </c>
      <c r="AH101" s="74" t="n">
        <f aca="false">SQRT(($B101-AH$5)^2+($C101-AH$6)^2+($D101-AH$7)^2)</f>
        <v>1.32908893901829</v>
      </c>
      <c r="AI101" s="74" t="n">
        <f aca="false">SQRT(($B101-AI$5)^2+($C101-AI$6)^2+($D101-AI$7)^2)</f>
        <v>1.72459807062986</v>
      </c>
      <c r="AJ101" s="74" t="n">
        <f aca="false">SQRT(($B101-AJ$5)^2+($C101-AJ$6)^2+($D101-AJ$7)^2)</f>
        <v>1.53040574212638</v>
      </c>
      <c r="AK101" s="74" t="n">
        <f aca="false">SQRT(($B101-AK$5)^2+($C101-AK$6)^2+($D101-AK$7)^2)</f>
        <v>1.38754601594178</v>
      </c>
      <c r="AL101" s="74" t="n">
        <f aca="false">SQRT(($B101-AL$5)^2+($C101-AL$6)^2+($D101-AL$7)^2)</f>
        <v>1.19339183361828</v>
      </c>
      <c r="AM101" s="74" t="n">
        <f aca="false">SQRT(($B101-AM$5)^2+($C101-AM$6)^2+($D101-AM$7)^2)</f>
        <v>1.96378735533346</v>
      </c>
      <c r="AN101" s="74" t="n">
        <f aca="false">SQRT(($B101-AN$5)^2+($C101-AN$6)^2+($D101-AN$7)^2)</f>
        <v>1.73925760276655</v>
      </c>
      <c r="AO101" s="74" t="n">
        <f aca="false">SQRT(($B101-AO$5)^2+($C101-AO$6)^2+($D101-AO$7)^2)</f>
        <v>1.2579718472064</v>
      </c>
      <c r="AP101" s="74" t="n">
        <f aca="false">SQRT(($B101-AP$5)^2+($C101-AP$6)^2+($D101-AP$7)^2)</f>
        <v>1.26230970637873</v>
      </c>
      <c r="AQ101" s="74" t="n">
        <f aca="false">SQRT(($B101-AQ$5)^2+($C101-AQ$6)^2+($D101-AQ$7)^2)</f>
        <v>1.80435986921117</v>
      </c>
      <c r="AR101" s="74" t="n">
        <f aca="false">SQRT(($B101-AR$5)^2+($C101-AR$6)^2+($D101-AR$7)^2)</f>
        <v>1.34012824919452</v>
      </c>
      <c r="AS101" s="74" t="n">
        <f aca="false">SQRT(($B101-AS$5)^2+($C101-AS$6)^2+($D101-AS$7)^2)</f>
        <v>1.21232802474851</v>
      </c>
      <c r="AT101" s="74" t="n">
        <f aca="false">SQRT(($B101-AT$5)^2+($C101-AT$6)^2+($D101-AT$7)^2)</f>
        <v>0.990682765756894</v>
      </c>
      <c r="AU101" s="74" t="n">
        <f aca="false">SQRT(($B101-AU$5)^2+($C101-AU$6)^2+($D101-AU$7)^2)</f>
        <v>1.59321366928069</v>
      </c>
      <c r="AV101" s="74" t="n">
        <f aca="false">SQRT(($B101-AV$5)^2+($C101-AV$6)^2+($D101-AV$7)^2)</f>
        <v>1.1026895359744</v>
      </c>
      <c r="AW101" s="74" t="n">
        <f aca="false">SQRT(($B101-AW$5)^2+($C101-AW$6)^2+($D101-AW$7)^2)</f>
        <v>1.81109694878002</v>
      </c>
      <c r="AX101" s="74" t="n">
        <f aca="false">SQRT(($B101-AX$5)^2+($C101-AX$6)^2+($D101-AX$7)^2)</f>
        <v>1.01818486659476</v>
      </c>
      <c r="AY101" s="74" t="n">
        <f aca="false">SQRT(($B101-AY$5)^2+($C101-AY$6)^2+($D101-AY$7)^2)</f>
        <v>2.06080242485616</v>
      </c>
      <c r="AZ101" s="74" t="n">
        <f aca="false">SQRT(($B101-AZ$5)^2+($C101-AZ$6)^2+($D101-AZ$7)^2)</f>
        <v>1.12360546229855</v>
      </c>
      <c r="BA101" s="74" t="n">
        <f aca="false">SQRT(($B101-BA$5)^2+($C101-BA$6)^2+($D101-BA$7)^2)</f>
        <v>0.916021789825533</v>
      </c>
      <c r="BB101" s="74" t="n">
        <f aca="false">SQRT(($B101-BB$5)^2+($C101-BB$6)^2+($D101-BB$7)^2)</f>
        <v>2.05792889081909</v>
      </c>
      <c r="BC101" s="74" t="n">
        <f aca="false">SQRT(($B101-BC$5)^2+($C101-BC$6)^2+($D101-BC$7)^2)</f>
        <v>2.05503591231986</v>
      </c>
      <c r="BD101" s="74" t="n">
        <f aca="false">SQRT(($B101-BD$5)^2+($C101-BD$6)^2+($D101-BD$7)^2)</f>
        <v>1.52326613593876</v>
      </c>
      <c r="BE101" s="74" t="n">
        <f aca="false">SQRT(($B101-BE$5)^2+($C101-BE$6)^2+($D101-BE$7)^2)</f>
        <v>1.33275206227378</v>
      </c>
      <c r="BF101" s="74" t="n">
        <f aca="false">SQRT(($B101-BF$5)^2+($C101-BF$6)^2+($D101-BF$7)^2)</f>
        <v>1.74867941073232</v>
      </c>
      <c r="BG101" s="74" t="n">
        <f aca="false">SQRT(($B101-BG$5)^2+($C101-BG$6)^2+($D101-BG$7)^2)</f>
        <v>0.807103726108784</v>
      </c>
      <c r="BH101" s="74" t="n">
        <f aca="false">SQRT(($B101-BH$5)^2+($C101-BH$6)^2+($D101-BH$7)^2)</f>
        <v>2.01238167287958</v>
      </c>
      <c r="BI101" s="74" t="n">
        <f aca="false">SQRT(($B101-BI$5)^2+($C101-BI$6)^2+($D101-BI$7)^2)</f>
        <v>2.00594389429944</v>
      </c>
      <c r="BJ101" s="74" t="n">
        <f aca="false">SQRT(($B101-BJ$5)^2+($C101-BJ$6)^2+($D101-BJ$7)^2)</f>
        <v>1.18514896840293</v>
      </c>
      <c r="BK101" s="74" t="n">
        <f aca="false">SQRT(($B101-BK$5)^2+($C101-BK$6)^2+($D101-BK$7)^2)</f>
        <v>1.35683477038046</v>
      </c>
      <c r="BL101" s="74" t="n">
        <f aca="false">SQRT(($B101-BL$5)^2+($C101-BL$6)^2+($D101-BL$7)^2)</f>
        <v>0.916442846046322</v>
      </c>
      <c r="BM101" s="74" t="n">
        <f aca="false">SQRT(($B101-BM$5)^2+($C101-BM$6)^2+($D101-BM$7)^2)</f>
        <v>0.975520259111971</v>
      </c>
      <c r="BN101" s="74" t="n">
        <f aca="false">SQRT(($B101-BN$5)^2+($C101-BN$6)^2+($D101-BN$7)^2)</f>
        <v>0.936173813606912</v>
      </c>
      <c r="BO101" s="74" t="n">
        <f aca="false">SQRT(($B101-BO$5)^2+($C101-BO$6)^2+($D101-BO$7)^2)</f>
        <v>1.67292419180425</v>
      </c>
      <c r="BP101" s="74" t="n">
        <f aca="false">SQRT(($B101-BP$5)^2+($C101-BP$6)^2+($D101-BP$7)^2)</f>
        <v>0.771934564983849</v>
      </c>
      <c r="BQ101" s="74" t="n">
        <f aca="false">SQRT(($B101-BQ$5)^2+($C101-BQ$6)^2+($D101-BQ$7)^2)</f>
        <v>0.64512200218108</v>
      </c>
      <c r="BR101" s="74" t="n">
        <f aca="false">SQRT(($B101-BR$5)^2+($C101-BR$6)^2+($D101-BR$7)^2)</f>
        <v>0.605130087612697</v>
      </c>
      <c r="BS101" s="74" t="n">
        <f aca="false">SQRT(($B101-BS$5)^2+($C101-BS$6)^2+($D101-BS$7)^2)</f>
        <v>0.749420105080067</v>
      </c>
      <c r="BT101" s="74" t="n">
        <f aca="false">SQRT(($B101-BT$5)^2+($C101-BT$6)^2+($D101-BT$7)^2)</f>
        <v>0.840832848203948</v>
      </c>
      <c r="BU101" s="74" t="n">
        <f aca="false">SQRT(($B101-BU$5)^2+($C101-BU$6)^2+($D101-BU$7)^2)</f>
        <v>0.88747085342916</v>
      </c>
      <c r="BV101" s="74" t="n">
        <f aca="false">SQRT(($B101-BV$5)^2+($C101-BV$6)^2+($D101-BV$7)^2)</f>
        <v>1.90345074231936</v>
      </c>
      <c r="BW101" s="74" t="n">
        <f aca="false">SQRT(($B101-BW$5)^2+($C101-BW$6)^2+($D101-BW$7)^2)</f>
        <v>0.760444642872645</v>
      </c>
      <c r="BX101" s="74" t="n">
        <f aca="false">SQRT(($B101-BX$5)^2+($C101-BX$6)^2+($D101-BX$7)^2)</f>
        <v>1.89975954463973</v>
      </c>
      <c r="BY101" s="74" t="n">
        <f aca="false">SQRT(($B101-BY$5)^2+($C101-BY$6)^2+($D101-BY$7)^2)</f>
        <v>1.04435962219109</v>
      </c>
      <c r="BZ101" s="74" t="n">
        <f aca="false">SQRT(($B101-BZ$5)^2+($C101-BZ$6)^2+($D101-BZ$7)^2)</f>
        <v>1.08680249481994</v>
      </c>
      <c r="CA101" s="74" t="n">
        <f aca="false">SQRT(($B101-CA$5)^2+($C101-CA$6)^2+($D101-CA$7)^2)</f>
        <v>1.8888150743677</v>
      </c>
      <c r="CB101" s="74" t="n">
        <f aca="false">SQRT(($B101-CB$5)^2+($C101-CB$6)^2+($D101-CB$7)^2)</f>
        <v>1.08056845137968</v>
      </c>
      <c r="CC101" s="74" t="n">
        <f aca="false">SQRT(($B101-CC$5)^2+($C101-CC$6)^2+($D101-CC$7)^2)</f>
        <v>1.88523497223261</v>
      </c>
      <c r="CD101" s="74" t="n">
        <f aca="false">SQRT(($B101-CD$5)^2+($C101-CD$6)^2+($D101-CD$7)^2)</f>
        <v>1.8782355309516</v>
      </c>
      <c r="CE101" s="74" t="n">
        <f aca="false">SQRT(($B101-CE$5)^2+($C101-CE$6)^2+($D101-CE$7)^2)</f>
        <v>0.842795463140597</v>
      </c>
      <c r="CF101" s="74" t="n">
        <f aca="false">SQRT(($B101-CF$5)^2+($C101-CF$6)^2+($D101-CF$7)^2)</f>
        <v>0.57493334592874</v>
      </c>
      <c r="CG101" s="74" t="n">
        <f aca="false">SQRT(($B101-CG$5)^2+($C101-CG$6)^2+($D101-CG$7)^2)</f>
        <v>1.05492261187754</v>
      </c>
      <c r="CH101" s="74" t="n">
        <f aca="false">SQRT(($B101-CH$5)^2+($C101-CH$6)^2+($D101-CH$7)^2)</f>
        <v>1.17863817370738</v>
      </c>
      <c r="CI101" s="74" t="n">
        <f aca="false">SQRT(($B101-CI$5)^2+($C101-CI$6)^2+($D101-CI$7)^2)</f>
        <v>1.26161476096785</v>
      </c>
      <c r="CJ101" s="74" t="n">
        <f aca="false">SQRT(($B101-CJ$5)^2+($C101-CJ$6)^2+($D101-CJ$7)^2)</f>
        <v>1.55328043663815</v>
      </c>
      <c r="CK101" s="74" t="n">
        <f aca="false">SQRT(($B101-CK$5)^2+($C101-CK$6)^2+($D101-CK$7)^2)</f>
        <v>0.852114922793132</v>
      </c>
      <c r="CL101" s="74" t="n">
        <f aca="false">SQRT(($B101-CL$5)^2+($C101-CL$6)^2+($D101-CL$7)^2)</f>
        <v>1.85169964308466</v>
      </c>
      <c r="CM101" s="74" t="n">
        <f aca="false">SQRT(($B101-CM$5)^2+($C101-CM$6)^2+($D101-CM$7)^2)</f>
        <v>1.08261339620006</v>
      </c>
      <c r="CN101" s="74" t="n">
        <f aca="false">SQRT(($B101-CN$5)^2+($C101-CN$6)^2+($D101-CN$7)^2)</f>
        <v>0</v>
      </c>
      <c r="CO101" s="74" t="n">
        <f aca="false">SQRT(($B101-CO$5)^2+($C101-CO$6)^2+($D101-CO$7)^2)</f>
        <v>0.811480495354841</v>
      </c>
      <c r="CP101" s="74" t="n">
        <f aca="false">SQRT(($B101-CP$5)^2+($C101-CP$6)^2+($D101-CP$7)^2)</f>
        <v>1.8507969001267</v>
      </c>
      <c r="CQ101" s="74" t="n">
        <f aca="false">SQRT(($B101-CQ$5)^2+($C101-CQ$6)^2+($D101-CQ$7)^2)</f>
        <v>1.15770672259713</v>
      </c>
      <c r="CR101" s="74" t="n">
        <f aca="false">SQRT(($B101-CR$5)^2+($C101-CR$6)^2+($D101-CR$7)^2)</f>
        <v>1.08764714662344</v>
      </c>
      <c r="CS101" s="74" t="n">
        <f aca="false">SQRT(($B101-CS$5)^2+($C101-CS$6)^2+($D101-CS$7)^2)</f>
        <v>1.8546471680959</v>
      </c>
      <c r="CT101" s="74" t="n">
        <f aca="false">SQRT(($B101-CT$5)^2+($C101-CT$6)^2+($D101-CT$7)^2)</f>
        <v>1.85866343358087</v>
      </c>
      <c r="CU101" s="74" t="n">
        <f aca="false">SQRT(($B101-CU$5)^2+($C101-CU$6)^2+($D101-CU$7)^2)</f>
        <v>1.46347519436188</v>
      </c>
      <c r="CV101" s="74" t="n">
        <f aca="false">SQRT(($B101-CV$5)^2+($C101-CV$6)^2+($D101-CV$7)^2)</f>
        <v>0.662586127796973</v>
      </c>
      <c r="CW101" s="74" t="n">
        <f aca="false">SQRT(($B101-CW$5)^2+($C101-CW$6)^2+($D101-CW$7)^2)</f>
        <v>1.85866343358087</v>
      </c>
      <c r="CX101" s="74" t="n">
        <f aca="false">SQRT(($B101-CX$5)^2+($C101-CX$6)^2+($D101-CX$7)^2)</f>
        <v>0.876795404292217</v>
      </c>
      <c r="CY101" s="74" t="n">
        <f aca="false">SQRT(($B101-CY$5)^2+($C101-CY$6)^2+($D101-CY$7)^2)</f>
        <v>1.86462955272934</v>
      </c>
      <c r="CZ101" s="74" t="n">
        <f aca="false">SQRT(($B101-CZ$5)^2+($C101-CZ$6)^2+($D101-CZ$7)^2)</f>
        <v>1.86462955272934</v>
      </c>
      <c r="DA101" s="74" t="n">
        <f aca="false">SQRT(($B101-DA$5)^2+($C101-DA$6)^2+($D101-DA$7)^2)</f>
        <v>1.26889401986957</v>
      </c>
      <c r="DB101" s="74" t="n">
        <f aca="false">SQRT(($B101-DB$5)^2+($C101-DB$6)^2+($D101-DB$7)^2)</f>
        <v>1.87317797328281</v>
      </c>
      <c r="DC101" s="74" t="n">
        <f aca="false">SQRT(($B101-DC$5)^2+($C101-DC$6)^2+($D101-DC$7)^2)</f>
        <v>1.87317797328281</v>
      </c>
      <c r="DD101" s="74" t="n">
        <f aca="false">SQRT(($B101-DD$5)^2+($C101-DD$6)^2+($D101-DD$7)^2)</f>
        <v>1.40055856190245</v>
      </c>
      <c r="DE101" s="74" t="n">
        <f aca="false">SQRT(($B101-DE$5)^2+($C101-DE$6)^2+($D101-DE$7)^2)</f>
        <v>1.60682684212945</v>
      </c>
      <c r="DF101" s="74" t="n">
        <f aca="false">SQRT(($B101-DF$5)^2+($C101-DF$6)^2+($D101-DF$7)^2)</f>
        <v>1.96191202188729</v>
      </c>
      <c r="DG101" s="74" t="n">
        <f aca="false">SQRT(($B101-DG$5)^2+($C101-DG$6)^2+($D101-DG$7)^2)</f>
        <v>2.01662422352502</v>
      </c>
      <c r="DH101" s="74" t="n">
        <f aca="false">SQRT(($B101-DH$5)^2+($C101-DH$6)^2+($D101-DH$7)^2)</f>
        <v>2.01662422352502</v>
      </c>
      <c r="DI101" s="74" t="n">
        <f aca="false">SQRT(($B101-DI$5)^2+($C101-DI$6)^2+($D101-DI$7)^2)</f>
        <v>2.01662422352502</v>
      </c>
      <c r="DJ101" s="74" t="n">
        <f aca="false">SQRT(($B101-DJ$5)^2+($C101-DJ$6)^2+($D101-DJ$7)^2)</f>
        <v>2.01662422352502</v>
      </c>
      <c r="DK101" s="74" t="n">
        <f aca="false">SQRT(($B101-DK$5)^2+($C101-DK$6)^2+($D101-DK$7)^2)</f>
        <v>2.10943138174765</v>
      </c>
      <c r="DL101" s="74" t="n">
        <f aca="false">SQRT(($B101-DL$5)^2+($C101-DL$6)^2+($D101-DL$7)^2)</f>
        <v>2.10943138174765</v>
      </c>
      <c r="DM101" s="74" t="n">
        <f aca="false">SQRT(($B101-DM$5)^2+($C101-DM$6)^2+($D101-DM$7)^2)</f>
        <v>2.10943138174765</v>
      </c>
      <c r="DN101" s="74" t="n">
        <f aca="false">SQRT(($B101-DN$5)^2+($C101-DN$6)^2+($D101-DN$7)^2)</f>
        <v>2.10943138174765</v>
      </c>
      <c r="DO101" s="74" t="n">
        <f aca="false">SQRT(($B101-DO$5)^2+($C101-DO$6)^2+($D101-DO$7)^2)</f>
        <v>2.10943138174765</v>
      </c>
      <c r="DP101" s="74" t="n">
        <f aca="false">SQRT(($B101-DP$5)^2+($C101-DP$6)^2+($D101-DP$7)^2)</f>
        <v>2.30447426490723</v>
      </c>
      <c r="DQ101" s="74" t="n">
        <f aca="false">SQRT(($B101-DQ$5)^2+($C101-DQ$6)^2+($D101-DQ$7)^2)</f>
        <v>2.30447426490723</v>
      </c>
    </row>
    <row r="102" customFormat="false" ht="15" hidden="false" customHeight="false" outlineLevel="0" collapsed="false">
      <c r="A102" s="48" t="str">
        <f aca="false">KMeans_Data!A93</f>
        <v>Lakki Marwat</v>
      </c>
      <c r="B102" s="72" t="n">
        <f aca="false">KMeans_Data!H93</f>
        <v>-0.744758744633192</v>
      </c>
      <c r="C102" s="72" t="n">
        <f aca="false">KMeans_Data!I93</f>
        <v>-0.146983133929529</v>
      </c>
      <c r="D102" s="72" t="n">
        <f aca="false">KMeans_Data!J93</f>
        <v>-0.182049815029191</v>
      </c>
      <c r="E102" s="74" t="n">
        <f aca="false">SQRT(($B102-E$5)^2+($C102-E$6)^2+($D102-E$7)^2)</f>
        <v>6.74327164312577</v>
      </c>
      <c r="F102" s="74" t="n">
        <f aca="false">SQRT(($B102-F$5)^2+($C102-F$6)^2+($D102-F$7)^2)</f>
        <v>6.53272338454022</v>
      </c>
      <c r="G102" s="74" t="n">
        <f aca="false">SQRT(($B102-G$5)^2+($C102-G$6)^2+($D102-G$7)^2)</f>
        <v>4.70656572841034</v>
      </c>
      <c r="H102" s="74" t="n">
        <f aca="false">SQRT(($B102-H$5)^2+($C102-H$6)^2+($D102-H$7)^2)</f>
        <v>5.1596831670337</v>
      </c>
      <c r="I102" s="74" t="n">
        <f aca="false">SQRT(($B102-I$5)^2+($C102-I$6)^2+($D102-I$7)^2)</f>
        <v>4.11433416650023</v>
      </c>
      <c r="J102" s="74" t="n">
        <f aca="false">SQRT(($B102-J$5)^2+($C102-J$6)^2+($D102-J$7)^2)</f>
        <v>3.64794373730788</v>
      </c>
      <c r="K102" s="74" t="n">
        <f aca="false">SQRT(($B102-K$5)^2+($C102-K$6)^2+($D102-K$7)^2)</f>
        <v>2.20256173113845</v>
      </c>
      <c r="L102" s="74" t="n">
        <f aca="false">SQRT(($B102-L$5)^2+($C102-L$6)^2+($D102-L$7)^2)</f>
        <v>2.92826296233576</v>
      </c>
      <c r="M102" s="74" t="n">
        <f aca="false">SQRT(($B102-M$5)^2+($C102-M$6)^2+($D102-M$7)^2)</f>
        <v>3.06385603443763</v>
      </c>
      <c r="N102" s="74" t="n">
        <f aca="false">SQRT(($B102-N$5)^2+($C102-N$6)^2+($D102-N$7)^2)</f>
        <v>2.04957220458825</v>
      </c>
      <c r="O102" s="74" t="n">
        <f aca="false">SQRT(($B102-O$5)^2+($C102-O$6)^2+($D102-O$7)^2)</f>
        <v>2.74958856971114</v>
      </c>
      <c r="P102" s="74" t="n">
        <f aca="false">SQRT(($B102-P$5)^2+($C102-P$6)^2+($D102-P$7)^2)</f>
        <v>2.99866706106021</v>
      </c>
      <c r="Q102" s="74" t="n">
        <f aca="false">SQRT(($B102-Q$5)^2+($C102-Q$6)^2+($D102-Q$7)^2)</f>
        <v>2.46769520288497</v>
      </c>
      <c r="R102" s="74" t="n">
        <f aca="false">SQRT(($B102-R$5)^2+($C102-R$6)^2+($D102-R$7)^2)</f>
        <v>2.48652302232641</v>
      </c>
      <c r="S102" s="74" t="n">
        <f aca="false">SQRT(($B102-S$5)^2+($C102-S$6)^2+($D102-S$7)^2)</f>
        <v>2.21158945435408</v>
      </c>
      <c r="T102" s="74" t="n">
        <f aca="false">SQRT(($B102-T$5)^2+($C102-T$6)^2+($D102-T$7)^2)</f>
        <v>2.37382507233082</v>
      </c>
      <c r="U102" s="74" t="n">
        <f aca="false">SQRT(($B102-U$5)^2+($C102-U$6)^2+($D102-U$7)^2)</f>
        <v>2.45618214706967</v>
      </c>
      <c r="V102" s="74" t="n">
        <f aca="false">SQRT(($B102-V$5)^2+($C102-V$6)^2+($D102-V$7)^2)</f>
        <v>2.35125547508547</v>
      </c>
      <c r="W102" s="74" t="n">
        <f aca="false">SQRT(($B102-W$5)^2+($C102-W$6)^2+($D102-W$7)^2)</f>
        <v>2.47551938059505</v>
      </c>
      <c r="X102" s="74" t="n">
        <f aca="false">SQRT(($B102-X$5)^2+($C102-X$6)^2+($D102-X$7)^2)</f>
        <v>2.21470969481287</v>
      </c>
      <c r="Y102" s="74" t="n">
        <f aca="false">SQRT(($B102-Y$5)^2+($C102-Y$6)^2+($D102-Y$7)^2)</f>
        <v>2.31546323471985</v>
      </c>
      <c r="Z102" s="74" t="n">
        <f aca="false">SQRT(($B102-Z$5)^2+($C102-Z$6)^2+($D102-Z$7)^2)</f>
        <v>1.97111628509249</v>
      </c>
      <c r="AA102" s="74" t="n">
        <f aca="false">SQRT(($B102-AA$5)^2+($C102-AA$6)^2+($D102-AA$7)^2)</f>
        <v>1.93227208720137</v>
      </c>
      <c r="AB102" s="74" t="n">
        <f aca="false">SQRT(($B102-AB$5)^2+($C102-AB$6)^2+($D102-AB$7)^2)</f>
        <v>1.88138314989571</v>
      </c>
      <c r="AC102" s="74" t="n">
        <f aca="false">SQRT(($B102-AC$5)^2+($C102-AC$6)^2+($D102-AC$7)^2)</f>
        <v>2.33080882132083</v>
      </c>
      <c r="AD102" s="74" t="n">
        <f aca="false">SQRT(($B102-AD$5)^2+($C102-AD$6)^2+($D102-AD$7)^2)</f>
        <v>2.26862431797024</v>
      </c>
      <c r="AE102" s="74" t="n">
        <f aca="false">SQRT(($B102-AE$5)^2+($C102-AE$6)^2+($D102-AE$7)^2)</f>
        <v>1.69168985842034</v>
      </c>
      <c r="AF102" s="74" t="n">
        <f aca="false">SQRT(($B102-AF$5)^2+($C102-AF$6)^2+($D102-AF$7)^2)</f>
        <v>1.90330508716644</v>
      </c>
      <c r="AG102" s="74" t="n">
        <f aca="false">SQRT(($B102-AG$5)^2+($C102-AG$6)^2+($D102-AG$7)^2)</f>
        <v>1.43972213754666</v>
      </c>
      <c r="AH102" s="74" t="n">
        <f aca="false">SQRT(($B102-AH$5)^2+($C102-AH$6)^2+($D102-AH$7)^2)</f>
        <v>1.66496437309901</v>
      </c>
      <c r="AI102" s="74" t="n">
        <f aca="false">SQRT(($B102-AI$5)^2+($C102-AI$6)^2+($D102-AI$7)^2)</f>
        <v>1.43681630307378</v>
      </c>
      <c r="AJ102" s="74" t="n">
        <f aca="false">SQRT(($B102-AJ$5)^2+($C102-AJ$6)^2+($D102-AJ$7)^2)</f>
        <v>1.97107590187559</v>
      </c>
      <c r="AK102" s="74" t="n">
        <f aca="false">SQRT(($B102-AK$5)^2+($C102-AK$6)^2+($D102-AK$7)^2)</f>
        <v>1.4577979002101</v>
      </c>
      <c r="AL102" s="74" t="n">
        <f aca="false">SQRT(($B102-AL$5)^2+($C102-AL$6)^2+($D102-AL$7)^2)</f>
        <v>1.43197258293544</v>
      </c>
      <c r="AM102" s="74" t="n">
        <f aca="false">SQRT(($B102-AM$5)^2+($C102-AM$6)^2+($D102-AM$7)^2)</f>
        <v>2.02141777900741</v>
      </c>
      <c r="AN102" s="74" t="n">
        <f aca="false">SQRT(($B102-AN$5)^2+($C102-AN$6)^2+($D102-AN$7)^2)</f>
        <v>1.98009164306025</v>
      </c>
      <c r="AO102" s="74" t="n">
        <f aca="false">SQRT(($B102-AO$5)^2+($C102-AO$6)^2+($D102-AO$7)^2)</f>
        <v>1.47829934322366</v>
      </c>
      <c r="AP102" s="74" t="n">
        <f aca="false">SQRT(($B102-AP$5)^2+($C102-AP$6)^2+($D102-AP$7)^2)</f>
        <v>1.43766565469223</v>
      </c>
      <c r="AQ102" s="74" t="n">
        <f aca="false">SQRT(($B102-AQ$5)^2+($C102-AQ$6)^2+($D102-AQ$7)^2)</f>
        <v>2.00003473679588</v>
      </c>
      <c r="AR102" s="74" t="n">
        <f aca="false">SQRT(($B102-AR$5)^2+($C102-AR$6)^2+($D102-AR$7)^2)</f>
        <v>1.18008408934597</v>
      </c>
      <c r="AS102" s="74" t="n">
        <f aca="false">SQRT(($B102-AS$5)^2+($C102-AS$6)^2+($D102-AS$7)^2)</f>
        <v>1.6814195381007</v>
      </c>
      <c r="AT102" s="74" t="n">
        <f aca="false">SQRT(($B102-AT$5)^2+($C102-AT$6)^2+($D102-AT$7)^2)</f>
        <v>1.39706726680185</v>
      </c>
      <c r="AU102" s="74" t="n">
        <f aca="false">SQRT(($B102-AU$5)^2+($C102-AU$6)^2+($D102-AU$7)^2)</f>
        <v>1.10485293853612</v>
      </c>
      <c r="AV102" s="74" t="n">
        <f aca="false">SQRT(($B102-AV$5)^2+($C102-AV$6)^2+($D102-AV$7)^2)</f>
        <v>1.32836207237853</v>
      </c>
      <c r="AW102" s="74" t="n">
        <f aca="false">SQRT(($B102-AW$5)^2+($C102-AW$6)^2+($D102-AW$7)^2)</f>
        <v>1.28686652553471</v>
      </c>
      <c r="AX102" s="74" t="n">
        <f aca="false">SQRT(($B102-AX$5)^2+($C102-AX$6)^2+($D102-AX$7)^2)</f>
        <v>1.1693436261901</v>
      </c>
      <c r="AY102" s="74" t="n">
        <f aca="false">SQRT(($B102-AY$5)^2+($C102-AY$6)^2+($D102-AY$7)^2)</f>
        <v>1.44888007172869</v>
      </c>
      <c r="AZ102" s="74" t="n">
        <f aca="false">SQRT(($B102-AZ$5)^2+($C102-AZ$6)^2+($D102-AZ$7)^2)</f>
        <v>1.62662502658287</v>
      </c>
      <c r="BA102" s="74" t="n">
        <f aca="false">SQRT(($B102-BA$5)^2+($C102-BA$6)^2+($D102-BA$7)^2)</f>
        <v>1.35582837501829</v>
      </c>
      <c r="BB102" s="74" t="n">
        <f aca="false">SQRT(($B102-BB$5)^2+($C102-BB$6)^2+($D102-BB$7)^2)</f>
        <v>1.44461521125231</v>
      </c>
      <c r="BC102" s="74" t="n">
        <f aca="false">SQRT(($B102-BC$5)^2+($C102-BC$6)^2+($D102-BC$7)^2)</f>
        <v>1.44031347872635</v>
      </c>
      <c r="BD102" s="74" t="n">
        <f aca="false">SQRT(($B102-BD$5)^2+($C102-BD$6)^2+($D102-BD$7)^2)</f>
        <v>1.10068201578706</v>
      </c>
      <c r="BE102" s="74" t="n">
        <f aca="false">SQRT(($B102-BE$5)^2+($C102-BE$6)^2+($D102-BE$7)^2)</f>
        <v>1.04244711840501</v>
      </c>
      <c r="BF102" s="74" t="n">
        <f aca="false">SQRT(($B102-BF$5)^2+($C102-BF$6)^2+($D102-BF$7)^2)</f>
        <v>2.00430824458025</v>
      </c>
      <c r="BG102" s="74" t="n">
        <f aca="false">SQRT(($B102-BG$5)^2+($C102-BG$6)^2+($D102-BG$7)^2)</f>
        <v>1.16432930452002</v>
      </c>
      <c r="BH102" s="74" t="n">
        <f aca="false">SQRT(($B102-BH$5)^2+($C102-BH$6)^2+($D102-BH$7)^2)</f>
        <v>1.37588792967903</v>
      </c>
      <c r="BI102" s="74" t="n">
        <f aca="false">SQRT(($B102-BI$5)^2+($C102-BI$6)^2+($D102-BI$7)^2)</f>
        <v>1.36598821084281</v>
      </c>
      <c r="BJ102" s="74" t="n">
        <f aca="false">SQRT(($B102-BJ$5)^2+($C102-BJ$6)^2+($D102-BJ$7)^2)</f>
        <v>1.05357248947632</v>
      </c>
      <c r="BK102" s="74" t="n">
        <f aca="false">SQRT(($B102-BK$5)^2+($C102-BK$6)^2+($D102-BK$7)^2)</f>
        <v>0.941986139132391</v>
      </c>
      <c r="BL102" s="74" t="n">
        <f aca="false">SQRT(($B102-BL$5)^2+($C102-BL$6)^2+($D102-BL$7)^2)</f>
        <v>1.06017248514024</v>
      </c>
      <c r="BM102" s="74" t="n">
        <f aca="false">SQRT(($B102-BM$5)^2+($C102-BM$6)^2+($D102-BM$7)^2)</f>
        <v>1.20695607672594</v>
      </c>
      <c r="BN102" s="74" t="n">
        <f aca="false">SQRT(($B102-BN$5)^2+($C102-BN$6)^2+($D102-BN$7)^2)</f>
        <v>0.797951650900123</v>
      </c>
      <c r="BO102" s="74" t="n">
        <f aca="false">SQRT(($B102-BO$5)^2+($C102-BO$6)^2+($D102-BO$7)^2)</f>
        <v>1.07294700765696</v>
      </c>
      <c r="BP102" s="74" t="n">
        <f aca="false">SQRT(($B102-BP$5)^2+($C102-BP$6)^2+($D102-BP$7)^2)</f>
        <v>0.843931761575647</v>
      </c>
      <c r="BQ102" s="74" t="n">
        <f aca="false">SQRT(($B102-BQ$5)^2+($C102-BQ$6)^2+($D102-BQ$7)^2)</f>
        <v>0.848769231229716</v>
      </c>
      <c r="BR102" s="74" t="n">
        <f aca="false">SQRT(($B102-BR$5)^2+($C102-BR$6)^2+($D102-BR$7)^2)</f>
        <v>0.864690630032677</v>
      </c>
      <c r="BS102" s="74" t="n">
        <f aca="false">SQRT(($B102-BS$5)^2+($C102-BS$6)^2+($D102-BS$7)^2)</f>
        <v>1.10027364280223</v>
      </c>
      <c r="BT102" s="74" t="n">
        <f aca="false">SQRT(($B102-BT$5)^2+($C102-BT$6)^2+($D102-BT$7)^2)</f>
        <v>0.835809870694463</v>
      </c>
      <c r="BU102" s="74" t="n">
        <f aca="false">SQRT(($B102-BU$5)^2+($C102-BU$6)^2+($D102-BU$7)^2)</f>
        <v>0.801386316558517</v>
      </c>
      <c r="BV102" s="74" t="n">
        <f aca="false">SQRT(($B102-BV$5)^2+($C102-BV$6)^2+($D102-BV$7)^2)</f>
        <v>1.19996579093572</v>
      </c>
      <c r="BW102" s="74" t="n">
        <f aca="false">SQRT(($B102-BW$5)^2+($C102-BW$6)^2+($D102-BW$7)^2)</f>
        <v>0.846092324424436</v>
      </c>
      <c r="BX102" s="74" t="n">
        <f aca="false">SQRT(($B102-BX$5)^2+($C102-BX$6)^2+($D102-BX$7)^2)</f>
        <v>1.19358452320481</v>
      </c>
      <c r="BY102" s="74" t="n">
        <f aca="false">SQRT(($B102-BY$5)^2+($C102-BY$6)^2+($D102-BY$7)^2)</f>
        <v>0.682467469408549</v>
      </c>
      <c r="BZ102" s="74" t="n">
        <f aca="false">SQRT(($B102-BZ$5)^2+($C102-BZ$6)^2+($D102-BZ$7)^2)</f>
        <v>0.674197678674706</v>
      </c>
      <c r="CA102" s="74" t="n">
        <f aca="false">SQRT(($B102-CA$5)^2+($C102-CA$6)^2+($D102-CA$7)^2)</f>
        <v>1.17440525180252</v>
      </c>
      <c r="CB102" s="74" t="n">
        <f aca="false">SQRT(($B102-CB$5)^2+($C102-CB$6)^2+($D102-CB$7)^2)</f>
        <v>0.663040048705352</v>
      </c>
      <c r="CC102" s="74" t="n">
        <f aca="false">SQRT(($B102-CC$5)^2+($C102-CC$6)^2+($D102-CC$7)^2)</f>
        <v>1.16803565515705</v>
      </c>
      <c r="CD102" s="74" t="n">
        <f aca="false">SQRT(($B102-CD$5)^2+($C102-CD$6)^2+($D102-CD$7)^2)</f>
        <v>1.15541752639336</v>
      </c>
      <c r="CE102" s="74" t="n">
        <f aca="false">SQRT(($B102-CE$5)^2+($C102-CE$6)^2+($D102-CE$7)^2)</f>
        <v>0.665416944081503</v>
      </c>
      <c r="CF102" s="74" t="n">
        <f aca="false">SQRT(($B102-CF$5)^2+($C102-CF$6)^2+($D102-CF$7)^2)</f>
        <v>0.467980494464261</v>
      </c>
      <c r="CG102" s="74" t="n">
        <f aca="false">SQRT(($B102-CG$5)^2+($C102-CG$6)^2+($D102-CG$7)^2)</f>
        <v>0.349871216134511</v>
      </c>
      <c r="CH102" s="74" t="n">
        <f aca="false">SQRT(($B102-CH$5)^2+($C102-CH$6)^2+($D102-CH$7)^2)</f>
        <v>0.631455537111822</v>
      </c>
      <c r="CI102" s="74" t="n">
        <f aca="false">SQRT(($B102-CI$5)^2+($C102-CI$6)^2+($D102-CI$7)^2)</f>
        <v>0.655564175575462</v>
      </c>
      <c r="CJ102" s="74" t="n">
        <f aca="false">SQRT(($B102-CJ$5)^2+($C102-CJ$6)^2+($D102-CJ$7)^2)</f>
        <v>0.853235301491513</v>
      </c>
      <c r="CK102" s="74" t="n">
        <f aca="false">SQRT(($B102-CK$5)^2+($C102-CK$6)^2+($D102-CK$7)^2)</f>
        <v>0.56355779781329</v>
      </c>
      <c r="CL102" s="74" t="n">
        <f aca="false">SQRT(($B102-CL$5)^2+($C102-CL$6)^2+($D102-CL$7)^2)</f>
        <v>1.10295935721748</v>
      </c>
      <c r="CM102" s="74" t="n">
        <f aca="false">SQRT(($B102-CM$5)^2+($C102-CM$6)^2+($D102-CM$7)^2)</f>
        <v>0.552970816592788</v>
      </c>
      <c r="CN102" s="74" t="n">
        <f aca="false">SQRT(($B102-CN$5)^2+($C102-CN$6)^2+($D102-CN$7)^2)</f>
        <v>0.811480495354841</v>
      </c>
      <c r="CO102" s="74" t="n">
        <f aca="false">SQRT(($B102-CO$5)^2+($C102-CO$6)^2+($D102-CO$7)^2)</f>
        <v>0</v>
      </c>
      <c r="CP102" s="74" t="n">
        <f aca="false">SQRT(($B102-CP$5)^2+($C102-CP$6)^2+($D102-CP$7)^2)</f>
        <v>1.09765213295287</v>
      </c>
      <c r="CQ102" s="74" t="n">
        <f aca="false">SQRT(($B102-CQ$5)^2+($C102-CQ$6)^2+($D102-CQ$7)^2)</f>
        <v>0.570523100807485</v>
      </c>
      <c r="CR102" s="74" t="n">
        <f aca="false">SQRT(($B102-CR$5)^2+($C102-CR$6)^2+($D102-CR$7)^2)</f>
        <v>0.549233378380347</v>
      </c>
      <c r="CS102" s="74" t="n">
        <f aca="false">SQRT(($B102-CS$5)^2+($C102-CS$6)^2+($D102-CS$7)^2)</f>
        <v>1.101090333986</v>
      </c>
      <c r="CT102" s="74" t="n">
        <f aca="false">SQRT(($B102-CT$5)^2+($C102-CT$6)^2+($D102-CT$7)^2)</f>
        <v>1.10611340013515</v>
      </c>
      <c r="CU102" s="74" t="n">
        <f aca="false">SQRT(($B102-CU$5)^2+($C102-CU$6)^2+($D102-CU$7)^2)</f>
        <v>0.65674921231337</v>
      </c>
      <c r="CV102" s="74" t="n">
        <f aca="false">SQRT(($B102-CV$5)^2+($C102-CV$6)^2+($D102-CV$7)^2)</f>
        <v>0.703540618885435</v>
      </c>
      <c r="CW102" s="74" t="n">
        <f aca="false">SQRT(($B102-CW$5)^2+($C102-CW$6)^2+($D102-CW$7)^2)</f>
        <v>1.10611340013515</v>
      </c>
      <c r="CX102" s="74" t="n">
        <f aca="false">SQRT(($B102-CX$5)^2+($C102-CX$6)^2+($D102-CX$7)^2)</f>
        <v>0.578560916667352</v>
      </c>
      <c r="CY102" s="74" t="n">
        <f aca="false">SQRT(($B102-CY$5)^2+($C102-CY$6)^2+($D102-CY$7)^2)</f>
        <v>1.11421283019019</v>
      </c>
      <c r="CZ102" s="74" t="n">
        <f aca="false">SQRT(($B102-CZ$5)^2+($C102-CZ$6)^2+($D102-CZ$7)^2)</f>
        <v>1.11421283019019</v>
      </c>
      <c r="DA102" s="74" t="n">
        <f aca="false">SQRT(($B102-DA$5)^2+($C102-DA$6)^2+($D102-DA$7)^2)</f>
        <v>0.645077106381174</v>
      </c>
      <c r="DB102" s="74" t="n">
        <f aca="false">SQRT(($B102-DB$5)^2+($C102-DB$6)^2+($D102-DB$7)^2)</f>
        <v>1.12636298942885</v>
      </c>
      <c r="DC102" s="74" t="n">
        <f aca="false">SQRT(($B102-DC$5)^2+($C102-DC$6)^2+($D102-DC$7)^2)</f>
        <v>1.12636298942885</v>
      </c>
      <c r="DD102" s="74" t="n">
        <f aca="false">SQRT(($B102-DD$5)^2+($C102-DD$6)^2+($D102-DD$7)^2)</f>
        <v>0.739429877571508</v>
      </c>
      <c r="DE102" s="74" t="n">
        <f aca="false">SQRT(($B102-DE$5)^2+($C102-DE$6)^2+($D102-DE$7)^2)</f>
        <v>0.922465553271351</v>
      </c>
      <c r="DF102" s="74" t="n">
        <f aca="false">SQRT(($B102-DF$5)^2+($C102-DF$6)^2+($D102-DF$7)^2)</f>
        <v>1.25744452556706</v>
      </c>
      <c r="DG102" s="74" t="n">
        <f aca="false">SQRT(($B102-DG$5)^2+($C102-DG$6)^2+($D102-DG$7)^2)</f>
        <v>1.3368959403963</v>
      </c>
      <c r="DH102" s="74" t="n">
        <f aca="false">SQRT(($B102-DH$5)^2+($C102-DH$6)^2+($D102-DH$7)^2)</f>
        <v>1.3368959403963</v>
      </c>
      <c r="DI102" s="74" t="n">
        <f aca="false">SQRT(($B102-DI$5)^2+($C102-DI$6)^2+($D102-DI$7)^2)</f>
        <v>1.3368959403963</v>
      </c>
      <c r="DJ102" s="74" t="n">
        <f aca="false">SQRT(($B102-DJ$5)^2+($C102-DJ$6)^2+($D102-DJ$7)^2)</f>
        <v>1.3368959403963</v>
      </c>
      <c r="DK102" s="74" t="n">
        <f aca="false">SQRT(($B102-DK$5)^2+($C102-DK$6)^2+($D102-DK$7)^2)</f>
        <v>1.46763033371622</v>
      </c>
      <c r="DL102" s="74" t="n">
        <f aca="false">SQRT(($B102-DL$5)^2+($C102-DL$6)^2+($D102-DL$7)^2)</f>
        <v>1.46763033371622</v>
      </c>
      <c r="DM102" s="74" t="n">
        <f aca="false">SQRT(($B102-DM$5)^2+($C102-DM$6)^2+($D102-DM$7)^2)</f>
        <v>1.46763033371622</v>
      </c>
      <c r="DN102" s="74" t="n">
        <f aca="false">SQRT(($B102-DN$5)^2+($C102-DN$6)^2+($D102-DN$7)^2)</f>
        <v>1.46763033371622</v>
      </c>
      <c r="DO102" s="74" t="n">
        <f aca="false">SQRT(($B102-DO$5)^2+($C102-DO$6)^2+($D102-DO$7)^2)</f>
        <v>1.46763033371622</v>
      </c>
      <c r="DP102" s="74" t="n">
        <f aca="false">SQRT(($B102-DP$5)^2+($C102-DP$6)^2+($D102-DP$7)^2)</f>
        <v>1.72829678257275</v>
      </c>
      <c r="DQ102" s="74" t="n">
        <f aca="false">SQRT(($B102-DQ$5)^2+($C102-DQ$6)^2+($D102-DQ$7)^2)</f>
        <v>1.72829678257275</v>
      </c>
    </row>
    <row r="103" customFormat="false" ht="15" hidden="false" customHeight="false" outlineLevel="0" collapsed="false">
      <c r="A103" s="48" t="str">
        <f aca="false">KMeans_Data!A94</f>
        <v>Taftan</v>
      </c>
      <c r="B103" s="72" t="n">
        <f aca="false">KMeans_Data!H94</f>
        <v>-0.744758744633192</v>
      </c>
      <c r="C103" s="72" t="n">
        <f aca="false">KMeans_Data!I94</f>
        <v>-0.672650545388274</v>
      </c>
      <c r="D103" s="72" t="n">
        <f aca="false">KMeans_Data!J94</f>
        <v>-1.14564411633355</v>
      </c>
      <c r="E103" s="74" t="n">
        <f aca="false">SQRT(($B103-E$5)^2+($C103-E$6)^2+($D103-E$7)^2)</f>
        <v>7.59583452709132</v>
      </c>
      <c r="F103" s="74" t="n">
        <f aca="false">SQRT(($B103-F$5)^2+($C103-F$6)^2+($D103-F$7)^2)</f>
        <v>7.34321274940241</v>
      </c>
      <c r="G103" s="74" t="n">
        <f aca="false">SQRT(($B103-G$5)^2+($C103-G$6)^2+($D103-G$7)^2)</f>
        <v>5.55390498863844</v>
      </c>
      <c r="H103" s="74" t="n">
        <f aca="false">SQRT(($B103-H$5)^2+($C103-H$6)^2+($D103-H$7)^2)</f>
        <v>5.93612448417923</v>
      </c>
      <c r="I103" s="74" t="n">
        <f aca="false">SQRT(($B103-I$5)^2+($C103-I$6)^2+($D103-I$7)^2)</f>
        <v>4.90706660589026</v>
      </c>
      <c r="J103" s="74" t="n">
        <f aca="false">SQRT(($B103-J$5)^2+($C103-J$6)^2+($D103-J$7)^2)</f>
        <v>4.48830806369313</v>
      </c>
      <c r="K103" s="74" t="n">
        <f aca="false">SQRT(($B103-K$5)^2+($C103-K$6)^2+($D103-K$7)^2)</f>
        <v>2.26746129180802</v>
      </c>
      <c r="L103" s="74" t="n">
        <f aca="false">SQRT(($B103-L$5)^2+($C103-L$6)^2+($D103-L$7)^2)</f>
        <v>3.78530149474537</v>
      </c>
      <c r="M103" s="74" t="n">
        <f aca="false">SQRT(($B103-M$5)^2+($C103-M$6)^2+($D103-M$7)^2)</f>
        <v>3.95462421583513</v>
      </c>
      <c r="N103" s="74" t="n">
        <f aca="false">SQRT(($B103-N$5)^2+($C103-N$6)^2+($D103-N$7)^2)</f>
        <v>2.04146216965236</v>
      </c>
      <c r="O103" s="74" t="n">
        <f aca="false">SQRT(($B103-O$5)^2+($C103-O$6)^2+($D103-O$7)^2)</f>
        <v>3.56748543971323</v>
      </c>
      <c r="P103" s="74" t="n">
        <f aca="false">SQRT(($B103-P$5)^2+($C103-P$6)^2+($D103-P$7)^2)</f>
        <v>3.84841093598473</v>
      </c>
      <c r="Q103" s="74" t="n">
        <f aca="false">SQRT(($B103-Q$5)^2+($C103-Q$6)^2+($D103-Q$7)^2)</f>
        <v>3.30556156171499</v>
      </c>
      <c r="R103" s="74" t="n">
        <f aca="false">SQRT(($B103-R$5)^2+($C103-R$6)^2+($D103-R$7)^2)</f>
        <v>3.33539814601637</v>
      </c>
      <c r="S103" s="74" t="n">
        <f aca="false">SQRT(($B103-S$5)^2+($C103-S$6)^2+($D103-S$7)^2)</f>
        <v>2.94883102856101</v>
      </c>
      <c r="T103" s="74" t="n">
        <f aca="false">SQRT(($B103-T$5)^2+($C103-T$6)^2+($D103-T$7)^2)</f>
        <v>3.21128721320021</v>
      </c>
      <c r="U103" s="74" t="n">
        <f aca="false">SQRT(($B103-U$5)^2+($C103-U$6)^2+($D103-U$7)^2)</f>
        <v>3.34549082697507</v>
      </c>
      <c r="V103" s="74" t="n">
        <f aca="false">SQRT(($B103-V$5)^2+($C103-V$6)^2+($D103-V$7)^2)</f>
        <v>3.14360032837431</v>
      </c>
      <c r="W103" s="74" t="n">
        <f aca="false">SQRT(($B103-W$5)^2+($C103-W$6)^2+($D103-W$7)^2)</f>
        <v>3.33032250906824</v>
      </c>
      <c r="X103" s="74" t="n">
        <f aca="false">SQRT(($B103-X$5)^2+($C103-X$6)^2+($D103-X$7)^2)</f>
        <v>3.07528814110394</v>
      </c>
      <c r="Y103" s="74" t="n">
        <f aca="false">SQRT(($B103-Y$5)^2+($C103-Y$6)^2+($D103-Y$7)^2)</f>
        <v>3.21874348304588</v>
      </c>
      <c r="Z103" s="74" t="n">
        <f aca="false">SQRT(($B103-Z$5)^2+($C103-Z$6)^2+($D103-Z$7)^2)</f>
        <v>2.76250955392213</v>
      </c>
      <c r="AA103" s="74" t="n">
        <f aca="false">SQRT(($B103-AA$5)^2+($C103-AA$6)^2+($D103-AA$7)^2)</f>
        <v>2.73168816083967</v>
      </c>
      <c r="AB103" s="74" t="n">
        <f aca="false">SQRT(($B103-AB$5)^2+($C103-AB$6)^2+($D103-AB$7)^2)</f>
        <v>2.6667548043259</v>
      </c>
      <c r="AC103" s="74" t="n">
        <f aca="false">SQRT(($B103-AC$5)^2+($C103-AC$6)^2+($D103-AC$7)^2)</f>
        <v>3.16189745359012</v>
      </c>
      <c r="AD103" s="74" t="n">
        <f aca="false">SQRT(($B103-AD$5)^2+($C103-AD$6)^2+($D103-AD$7)^2)</f>
        <v>3.18824492093245</v>
      </c>
      <c r="AE103" s="74" t="n">
        <f aca="false">SQRT(($B103-AE$5)^2+($C103-AE$6)^2+($D103-AE$7)^2)</f>
        <v>1.48648135778614</v>
      </c>
      <c r="AF103" s="74" t="n">
        <f aca="false">SQRT(($B103-AF$5)^2+($C103-AF$6)^2+($D103-AF$7)^2)</f>
        <v>2.78155324679981</v>
      </c>
      <c r="AG103" s="74" t="n">
        <f aca="false">SQRT(($B103-AG$5)^2+($C103-AG$6)^2+($D103-AG$7)^2)</f>
        <v>1.51830654204309</v>
      </c>
      <c r="AH103" s="74" t="n">
        <f aca="false">SQRT(($B103-AH$5)^2+($C103-AH$6)^2+($D103-AH$7)^2)</f>
        <v>2.48138176944792</v>
      </c>
      <c r="AI103" s="74" t="n">
        <f aca="false">SQRT(($B103-AI$5)^2+($C103-AI$6)^2+($D103-AI$7)^2)</f>
        <v>1.51555138845489</v>
      </c>
      <c r="AJ103" s="74" t="n">
        <f aca="false">SQRT(($B103-AJ$5)^2+($C103-AJ$6)^2+($D103-AJ$7)^2)</f>
        <v>2.88396838498138</v>
      </c>
      <c r="AK103" s="74" t="n">
        <f aca="false">SQRT(($B103-AK$5)^2+($C103-AK$6)^2+($D103-AK$7)^2)</f>
        <v>2.18770865271985</v>
      </c>
      <c r="AL103" s="74" t="n">
        <f aca="false">SQRT(($B103-AL$5)^2+($C103-AL$6)^2+($D103-AL$7)^2)</f>
        <v>2.16103469497361</v>
      </c>
      <c r="AM103" s="74" t="n">
        <f aca="false">SQRT(($B103-AM$5)^2+($C103-AM$6)^2+($D103-AM$7)^2)</f>
        <v>2.8001016613742</v>
      </c>
      <c r="AN103" s="74" t="n">
        <f aca="false">SQRT(($B103-AN$5)^2+($C103-AN$6)^2+($D103-AN$7)^2)</f>
        <v>2.86750639028459</v>
      </c>
      <c r="AO103" s="74" t="n">
        <f aca="false">SQRT(($B103-AO$5)^2+($C103-AO$6)^2+($D103-AO$7)^2)</f>
        <v>2.30962111305291</v>
      </c>
      <c r="AP103" s="74" t="n">
        <f aca="false">SQRT(($B103-AP$5)^2+($C103-AP$6)^2+($D103-AP$7)^2)</f>
        <v>2.24997640682566</v>
      </c>
      <c r="AQ103" s="74" t="n">
        <f aca="false">SQRT(($B103-AQ$5)^2+($C103-AQ$6)^2+($D103-AQ$7)^2)</f>
        <v>2.87393322107772</v>
      </c>
      <c r="AR103" s="74" t="n">
        <f aca="false">SQRT(($B103-AR$5)^2+($C103-AR$6)^2+($D103-AR$7)^2)</f>
        <v>1.76635107369528</v>
      </c>
      <c r="AS103" s="74" t="n">
        <f aca="false">SQRT(($B103-AS$5)^2+($C103-AS$6)^2+($D103-AS$7)^2)</f>
        <v>2.40385357273938</v>
      </c>
      <c r="AT103" s="74" t="n">
        <f aca="false">SQRT(($B103-AT$5)^2+($C103-AT$6)^2+($D103-AT$7)^2)</f>
        <v>2.23597879437413</v>
      </c>
      <c r="AU103" s="74" t="n">
        <f aca="false">SQRT(($B103-AU$5)^2+($C103-AU$6)^2+($D103-AU$7)^2)</f>
        <v>1.24483686598577</v>
      </c>
      <c r="AV103" s="74" t="n">
        <f aca="false">SQRT(($B103-AV$5)^2+($C103-AV$6)^2+($D103-AV$7)^2)</f>
        <v>1.9390557860352</v>
      </c>
      <c r="AW103" s="74" t="n">
        <f aca="false">SQRT(($B103-AW$5)^2+($C103-AW$6)^2+($D103-AW$7)^2)</f>
        <v>1.03450208694971</v>
      </c>
      <c r="AX103" s="74" t="n">
        <f aca="false">SQRT(($B103-AX$5)^2+($C103-AX$6)^2+($D103-AX$7)^2)</f>
        <v>1.99543914956875</v>
      </c>
      <c r="AY103" s="74" t="n">
        <f aca="false">SQRT(($B103-AY$5)^2+($C103-AY$6)^2+($D103-AY$7)^2)</f>
        <v>0.945734242415152</v>
      </c>
      <c r="AZ103" s="74" t="n">
        <f aca="false">SQRT(($B103-AZ$5)^2+($C103-AZ$6)^2+($D103-AZ$7)^2)</f>
        <v>2.37461441623688</v>
      </c>
      <c r="BA103" s="74" t="n">
        <f aca="false">SQRT(($B103-BA$5)^2+($C103-BA$6)^2+($D103-BA$7)^2)</f>
        <v>2.21982411827052</v>
      </c>
      <c r="BB103" s="74" t="n">
        <f aca="false">SQRT(($B103-BB$5)^2+($C103-BB$6)^2+($D103-BB$7)^2)</f>
        <v>0.939187363418811</v>
      </c>
      <c r="BC103" s="74" t="n">
        <f aca="false">SQRT(($B103-BC$5)^2+($C103-BC$6)^2+($D103-BC$7)^2)</f>
        <v>0.932557082448478</v>
      </c>
      <c r="BD103" s="74" t="n">
        <f aca="false">SQRT(($B103-BD$5)^2+($C103-BD$6)^2+($D103-BD$7)^2)</f>
        <v>1.11565197601048</v>
      </c>
      <c r="BE103" s="74" t="n">
        <f aca="false">SQRT(($B103-BE$5)^2+($C103-BE$6)^2+($D103-BE$7)^2)</f>
        <v>1.27264867356596</v>
      </c>
      <c r="BF103" s="74" t="n">
        <f aca="false">SQRT(($B103-BF$5)^2+($C103-BF$6)^2+($D103-BF$7)^2)</f>
        <v>2.94475058096903</v>
      </c>
      <c r="BG103" s="74" t="n">
        <f aca="false">SQRT(($B103-BG$5)^2+($C103-BG$6)^2+($D103-BG$7)^2)</f>
        <v>2.02558219307346</v>
      </c>
      <c r="BH103" s="74" t="n">
        <f aca="false">SQRT(($B103-BH$5)^2+($C103-BH$6)^2+($D103-BH$7)^2)</f>
        <v>0.829594714339754</v>
      </c>
      <c r="BI103" s="74" t="n">
        <f aca="false">SQRT(($B103-BI$5)^2+($C103-BI$6)^2+($D103-BI$7)^2)</f>
        <v>0.813070468769818</v>
      </c>
      <c r="BJ103" s="74" t="n">
        <f aca="false">SQRT(($B103-BJ$5)^2+($C103-BJ$6)^2+($D103-BJ$7)^2)</f>
        <v>1.84594670596815</v>
      </c>
      <c r="BK103" s="74" t="n">
        <f aca="false">SQRT(($B103-BK$5)^2+($C103-BK$6)^2+($D103-BK$7)^2)</f>
        <v>1.05820263115647</v>
      </c>
      <c r="BL103" s="74" t="n">
        <f aca="false">SQRT(($B103-BL$5)^2+($C103-BL$6)^2+($D103-BL$7)^2)</f>
        <v>1.68188628601504</v>
      </c>
      <c r="BM103" s="74" t="n">
        <f aca="false">SQRT(($B103-BM$5)^2+($C103-BM$6)^2+($D103-BM$7)^2)</f>
        <v>2.17029859970496</v>
      </c>
      <c r="BN103" s="74" t="n">
        <f aca="false">SQRT(($B103-BN$5)^2+($C103-BN$6)^2+($D103-BN$7)^2)</f>
        <v>1.61196362138986</v>
      </c>
      <c r="BO103" s="74" t="n">
        <f aca="false">SQRT(($B103-BO$5)^2+($C103-BO$6)^2+($D103-BO$7)^2)</f>
        <v>0.751920470928636</v>
      </c>
      <c r="BP103" s="74" t="n">
        <f aca="false">SQRT(($B103-BP$5)^2+($C103-BP$6)^2+($D103-BP$7)^2)</f>
        <v>1.76130617554897</v>
      </c>
      <c r="BQ103" s="74" t="n">
        <f aca="false">SQRT(($B103-BQ$5)^2+($C103-BQ$6)^2+($D103-BQ$7)^2)</f>
        <v>1.7353792465428</v>
      </c>
      <c r="BR103" s="74" t="n">
        <f aca="false">SQRT(($B103-BR$5)^2+($C103-BR$6)^2+($D103-BR$7)^2)</f>
        <v>1.77000371140122</v>
      </c>
      <c r="BS103" s="74" t="n">
        <f aca="false">SQRT(($B103-BS$5)^2+($C103-BS$6)^2+($D103-BS$7)^2)</f>
        <v>1.83430377282397</v>
      </c>
      <c r="BT103" s="74" t="n">
        <f aca="false">SQRT(($B103-BT$5)^2+($C103-BT$6)^2+($D103-BT$7)^2)</f>
        <v>1.44047227242859</v>
      </c>
      <c r="BU103" s="74" t="n">
        <f aca="false">SQRT(($B103-BU$5)^2+($C103-BU$6)^2+($D103-BU$7)^2)</f>
        <v>1.36227071751471</v>
      </c>
      <c r="BV103" s="74" t="n">
        <f aca="false">SQRT(($B103-BV$5)^2+($C103-BV$6)^2+($D103-BV$7)^2)</f>
        <v>0.484848114815361</v>
      </c>
      <c r="BW103" s="74" t="n">
        <f aca="false">SQRT(($B103-BW$5)^2+($C103-BW$6)^2+($D103-BW$7)^2)</f>
        <v>1.50713693568279</v>
      </c>
      <c r="BX103" s="74" t="n">
        <f aca="false">SQRT(($B103-BX$5)^2+($C103-BX$6)^2+($D103-BX$7)^2)</f>
        <v>0.468832389088106</v>
      </c>
      <c r="BY103" s="74" t="n">
        <f aca="false">SQRT(($B103-BY$5)^2+($C103-BY$6)^2+($D103-BY$7)^2)</f>
        <v>1.05733135621593</v>
      </c>
      <c r="BZ103" s="74" t="n">
        <f aca="false">SQRT(($B103-BZ$5)^2+($C103-BZ$6)^2+($D103-BZ$7)^2)</f>
        <v>0.993720867038965</v>
      </c>
      <c r="CA103" s="74" t="n">
        <f aca="false">SQRT(($B103-CA$5)^2+($C103-CA$6)^2+($D103-CA$7)^2)</f>
        <v>0.417597282660404</v>
      </c>
      <c r="CB103" s="74" t="n">
        <f aca="false">SQRT(($B103-CB$5)^2+($C103-CB$6)^2+($D103-CB$7)^2)</f>
        <v>0.986184951135184</v>
      </c>
      <c r="CC103" s="74" t="n">
        <f aca="false">SQRT(($B103-CC$5)^2+($C103-CC$6)^2+($D103-CC$7)^2)</f>
        <v>0.399333302821322</v>
      </c>
      <c r="CD103" s="74" t="n">
        <f aca="false">SQRT(($B103-CD$5)^2+($C103-CD$6)^2+($D103-CD$7)^2)</f>
        <v>0.360762325251648</v>
      </c>
      <c r="CE103" s="74" t="n">
        <f aca="false">SQRT(($B103-CE$5)^2+($C103-CE$6)^2+($D103-CE$7)^2)</f>
        <v>1.23634387286479</v>
      </c>
      <c r="CF103" s="74" t="n">
        <f aca="false">SQRT(($B103-CF$5)^2+($C103-CF$6)^2+($D103-CF$7)^2)</f>
        <v>1.42928487941085</v>
      </c>
      <c r="CG103" s="74" t="n">
        <f aca="false">SQRT(($B103-CG$5)^2+($C103-CG$6)^2+($D103-CG$7)^2)</f>
        <v>0.952636995443617</v>
      </c>
      <c r="CH103" s="74" t="n">
        <f aca="false">SQRT(($B103-CH$5)^2+($C103-CH$6)^2+($D103-CH$7)^2)</f>
        <v>0.79447530963404</v>
      </c>
      <c r="CI103" s="74" t="n">
        <f aca="false">SQRT(($B103-CI$5)^2+($C103-CI$6)^2+($D103-CI$7)^2)</f>
        <v>0.680399015282169</v>
      </c>
      <c r="CJ103" s="74" t="n">
        <f aca="false">SQRT(($B103-CJ$5)^2+($C103-CJ$6)^2+($D103-CJ$7)^2)</f>
        <v>0.377067093595859</v>
      </c>
      <c r="CK103" s="74" t="n">
        <f aca="false">SQRT(($B103-CK$5)^2+($C103-CK$6)^2+($D103-CK$7)^2)</f>
        <v>1.11990070746832</v>
      </c>
      <c r="CL103" s="74" t="n">
        <f aca="false">SQRT(($B103-CL$5)^2+($C103-CL$6)^2+($D103-CL$7)^2)</f>
        <v>0.108070063836458</v>
      </c>
      <c r="CM103" s="74" t="n">
        <f aca="false">SQRT(($B103-CM$5)^2+($C103-CM$6)^2+($D103-CM$7)^2)</f>
        <v>0.837288716349805</v>
      </c>
      <c r="CN103" s="74" t="n">
        <f aca="false">SQRT(($B103-CN$5)^2+($C103-CN$6)^2+($D103-CN$7)^2)</f>
        <v>1.8507969001267</v>
      </c>
      <c r="CO103" s="74" t="n">
        <f aca="false">SQRT(($B103-CO$5)^2+($C103-CO$6)^2+($D103-CO$7)^2)</f>
        <v>1.09765213295287</v>
      </c>
      <c r="CP103" s="74" t="n">
        <f aca="false">SQRT(($B103-CP$5)^2+($C103-CP$6)^2+($D103-CP$7)^2)</f>
        <v>0</v>
      </c>
      <c r="CQ103" s="74" t="n">
        <f aca="false">SQRT(($B103-CQ$5)^2+($C103-CQ$6)^2+($D103-CQ$7)^2)</f>
        <v>0.74696153235887</v>
      </c>
      <c r="CR103" s="74" t="n">
        <f aca="false">SQRT(($B103-CR$5)^2+($C103-CR$6)^2+($D103-CR$7)^2)</f>
        <v>0.834825116087495</v>
      </c>
      <c r="CS103" s="74" t="n">
        <f aca="false">SQRT(($B103-CS$5)^2+($C103-CS$6)^2+($D103-CS$7)^2)</f>
        <v>0.0869466423814695</v>
      </c>
      <c r="CT103" s="74" t="n">
        <f aca="false">SQRT(($B103-CT$5)^2+($C103-CT$6)^2+($D103-CT$7)^2)</f>
        <v>0.136552733339791</v>
      </c>
      <c r="CU103" s="74" t="n">
        <f aca="false">SQRT(($B103-CU$5)^2+($C103-CU$6)^2+($D103-CU$7)^2)</f>
        <v>0.630984228150928</v>
      </c>
      <c r="CV103" s="74" t="n">
        <f aca="false">SQRT(($B103-CV$5)^2+($C103-CV$6)^2+($D103-CV$7)^2)</f>
        <v>1.41739712545282</v>
      </c>
      <c r="CW103" s="74" t="n">
        <f aca="false">SQRT(($B103-CW$5)^2+($C103-CW$6)^2+($D103-CW$7)^2)</f>
        <v>0.136552733339791</v>
      </c>
      <c r="CX103" s="74" t="n">
        <f aca="false">SQRT(($B103-CX$5)^2+($C103-CX$6)^2+($D103-CX$7)^2)</f>
        <v>1.12752513825938</v>
      </c>
      <c r="CY103" s="74" t="n">
        <f aca="false">SQRT(($B103-CY$5)^2+($C103-CY$6)^2+($D103-CY$7)^2)</f>
        <v>0.191389722776471</v>
      </c>
      <c r="CZ103" s="74" t="n">
        <f aca="false">SQRT(($B103-CZ$5)^2+($C103-CZ$6)^2+($D103-CZ$7)^2)</f>
        <v>0.191389722776471</v>
      </c>
      <c r="DA103" s="74" t="n">
        <f aca="false">SQRT(($B103-DA$5)^2+($C103-DA$6)^2+($D103-DA$7)^2)</f>
        <v>0.670300607844061</v>
      </c>
      <c r="DB103" s="74" t="n">
        <f aca="false">SQRT(($B103-DB$5)^2+($C103-DB$6)^2+($D103-DB$7)^2)</f>
        <v>0.252692261415189</v>
      </c>
      <c r="DC103" s="74" t="n">
        <f aca="false">SQRT(($B103-DC$5)^2+($C103-DC$6)^2+($D103-DC$7)^2)</f>
        <v>0.252692261415189</v>
      </c>
      <c r="DD103" s="74" t="n">
        <f aca="false">SQRT(($B103-DD$5)^2+($C103-DD$6)^2+($D103-DD$7)^2)</f>
        <v>0.568351032401041</v>
      </c>
      <c r="DE103" s="74" t="n">
        <f aca="false">SQRT(($B103-DE$5)^2+($C103-DE$6)^2+($D103-DE$7)^2)</f>
        <v>0.514890095392924</v>
      </c>
      <c r="DF103" s="74" t="n">
        <f aca="false">SQRT(($B103-DF$5)^2+($C103-DF$6)^2+($D103-DF$7)^2)</f>
        <v>0.613454586666837</v>
      </c>
      <c r="DG103" s="74" t="n">
        <f aca="false">SQRT(($B103-DG$5)^2+($C103-DG$6)^2+($D103-DG$7)^2)</f>
        <v>0.763184479973301</v>
      </c>
      <c r="DH103" s="74" t="n">
        <f aca="false">SQRT(($B103-DH$5)^2+($C103-DH$6)^2+($D103-DH$7)^2)</f>
        <v>0.763184479973301</v>
      </c>
      <c r="DI103" s="74" t="n">
        <f aca="false">SQRT(($B103-DI$5)^2+($C103-DI$6)^2+($D103-DI$7)^2)</f>
        <v>0.763184479973301</v>
      </c>
      <c r="DJ103" s="74" t="n">
        <f aca="false">SQRT(($B103-DJ$5)^2+($C103-DJ$6)^2+($D103-DJ$7)^2)</f>
        <v>0.763184479973301</v>
      </c>
      <c r="DK103" s="74" t="n">
        <f aca="false">SQRT(($B103-DK$5)^2+($C103-DK$6)^2+($D103-DK$7)^2)</f>
        <v>0.974216911918484</v>
      </c>
      <c r="DL103" s="74" t="n">
        <f aca="false">SQRT(($B103-DL$5)^2+($C103-DL$6)^2+($D103-DL$7)^2)</f>
        <v>0.974216911918484</v>
      </c>
      <c r="DM103" s="74" t="n">
        <f aca="false">SQRT(($B103-DM$5)^2+($C103-DM$6)^2+($D103-DM$7)^2)</f>
        <v>0.974216911918484</v>
      </c>
      <c r="DN103" s="74" t="n">
        <f aca="false">SQRT(($B103-DN$5)^2+($C103-DN$6)^2+($D103-DN$7)^2)</f>
        <v>0.974216911918484</v>
      </c>
      <c r="DO103" s="74" t="n">
        <f aca="false">SQRT(($B103-DO$5)^2+($C103-DO$6)^2+($D103-DO$7)^2)</f>
        <v>0.974216911918484</v>
      </c>
      <c r="DP103" s="74" t="n">
        <f aca="false">SQRT(($B103-DP$5)^2+($C103-DP$6)^2+($D103-DP$7)^2)</f>
        <v>1.33497923717013</v>
      </c>
      <c r="DQ103" s="74" t="n">
        <f aca="false">SQRT(($B103-DQ$5)^2+($C103-DQ$6)^2+($D103-DQ$7)^2)</f>
        <v>1.33497923717013</v>
      </c>
    </row>
    <row r="104" customFormat="false" ht="15" hidden="false" customHeight="false" outlineLevel="0" collapsed="false">
      <c r="A104" s="48" t="str">
        <f aca="false">KMeans_Data!A95</f>
        <v>Orakzai</v>
      </c>
      <c r="B104" s="72" t="n">
        <f aca="false">KMeans_Data!H95</f>
        <v>-0.786418574103199</v>
      </c>
      <c r="C104" s="72" t="n">
        <f aca="false">KMeans_Data!I95</f>
        <v>-0.672650545388274</v>
      </c>
      <c r="D104" s="72" t="n">
        <f aca="false">KMeans_Data!J95</f>
        <v>-0.399845222909568</v>
      </c>
      <c r="E104" s="74" t="n">
        <f aca="false">SQRT(($B104-E$5)^2+($C104-E$6)^2+($D104-E$7)^2)</f>
        <v>7.21310900361067</v>
      </c>
      <c r="F104" s="74" t="n">
        <f aca="false">SQRT(($B104-F$5)^2+($C104-F$6)^2+($D104-F$7)^2)</f>
        <v>7.00760245935098</v>
      </c>
      <c r="G104" s="74" t="n">
        <f aca="false">SQRT(($B104-G$5)^2+($C104-G$6)^2+($D104-G$7)^2)</f>
        <v>5.1395949888301</v>
      </c>
      <c r="H104" s="74" t="n">
        <f aca="false">SQRT(($B104-H$5)^2+($C104-H$6)^2+($D104-H$7)^2)</f>
        <v>5.64783477575452</v>
      </c>
      <c r="I104" s="74" t="n">
        <f aca="false">SQRT(($B104-I$5)^2+($C104-I$6)^2+($D104-I$7)^2)</f>
        <v>4.54321952699103</v>
      </c>
      <c r="J104" s="74" t="n">
        <f aca="false">SQRT(($B104-J$5)^2+($C104-J$6)^2+($D104-J$7)^2)</f>
        <v>4.1264399265979</v>
      </c>
      <c r="K104" s="74" t="n">
        <f aca="false">SQRT(($B104-K$5)^2+($C104-K$6)^2+($D104-K$7)^2)</f>
        <v>2.32247538996397</v>
      </c>
      <c r="L104" s="74" t="n">
        <f aca="false">SQRT(($B104-L$5)^2+($C104-L$6)^2+($D104-L$7)^2)</f>
        <v>3.28299751127166</v>
      </c>
      <c r="M104" s="74" t="n">
        <f aca="false">SQRT(($B104-M$5)^2+($C104-M$6)^2+($D104-M$7)^2)</f>
        <v>3.48225608388488</v>
      </c>
      <c r="N104" s="74" t="n">
        <f aca="false">SQRT(($B104-N$5)^2+($C104-N$6)^2+($D104-N$7)^2)</f>
        <v>2.09966325298056</v>
      </c>
      <c r="O104" s="74" t="n">
        <f aca="false">SQRT(($B104-O$5)^2+($C104-O$6)^2+($D104-O$7)^2)</f>
        <v>3.20296263194054</v>
      </c>
      <c r="P104" s="74" t="n">
        <f aca="false">SQRT(($B104-P$5)^2+($C104-P$6)^2+($D104-P$7)^2)</f>
        <v>3.47488417728595</v>
      </c>
      <c r="Q104" s="74" t="n">
        <f aca="false">SQRT(($B104-Q$5)^2+($C104-Q$6)^2+($D104-Q$7)^2)</f>
        <v>2.88324469009028</v>
      </c>
      <c r="R104" s="74" t="n">
        <f aca="false">SQRT(($B104-R$5)^2+($C104-R$6)^2+($D104-R$7)^2)</f>
        <v>2.81588767302514</v>
      </c>
      <c r="S104" s="74" t="n">
        <f aca="false">SQRT(($B104-S$5)^2+($C104-S$6)^2+($D104-S$7)^2)</f>
        <v>2.43930906557483</v>
      </c>
      <c r="T104" s="74" t="n">
        <f aca="false">SQRT(($B104-T$5)^2+($C104-T$6)^2+($D104-T$7)^2)</f>
        <v>2.79579938216366</v>
      </c>
      <c r="U104" s="74" t="n">
        <f aca="false">SQRT(($B104-U$5)^2+($C104-U$6)^2+($D104-U$7)^2)</f>
        <v>2.79558543379126</v>
      </c>
      <c r="V104" s="74" t="n">
        <f aca="false">SQRT(($B104-V$5)^2+($C104-V$6)^2+($D104-V$7)^2)</f>
        <v>2.81818407121278</v>
      </c>
      <c r="W104" s="74" t="n">
        <f aca="false">SQRT(($B104-W$5)^2+($C104-W$6)^2+($D104-W$7)^2)</f>
        <v>2.94609161860861</v>
      </c>
      <c r="X104" s="74" t="n">
        <f aca="false">SQRT(($B104-X$5)^2+($C104-X$6)^2+($D104-X$7)^2)</f>
        <v>2.62532674517598</v>
      </c>
      <c r="Y104" s="74" t="n">
        <f aca="false">SQRT(($B104-Y$5)^2+($C104-Y$6)^2+($D104-Y$7)^2)</f>
        <v>2.72861933902284</v>
      </c>
      <c r="Z104" s="74" t="n">
        <f aca="false">SQRT(($B104-Z$5)^2+($C104-Z$6)^2+($D104-Z$7)^2)</f>
        <v>2.3844880941934</v>
      </c>
      <c r="AA104" s="74" t="n">
        <f aca="false">SQRT(($B104-AA$5)^2+($C104-AA$6)^2+($D104-AA$7)^2)</f>
        <v>2.23765793372283</v>
      </c>
      <c r="AB104" s="74" t="n">
        <f aca="false">SQRT(($B104-AB$5)^2+($C104-AB$6)^2+($D104-AB$7)^2)</f>
        <v>2.25674645136201</v>
      </c>
      <c r="AC104" s="74" t="n">
        <f aca="false">SQRT(($B104-AC$5)^2+($C104-AC$6)^2+($D104-AC$7)^2)</f>
        <v>2.80829947043335</v>
      </c>
      <c r="AD104" s="74" t="n">
        <f aca="false">SQRT(($B104-AD$5)^2+($C104-AD$6)^2+($D104-AD$7)^2)</f>
        <v>2.68853356625672</v>
      </c>
      <c r="AE104" s="74" t="n">
        <f aca="false">SQRT(($B104-AE$5)^2+($C104-AE$6)^2+($D104-AE$7)^2)</f>
        <v>1.69806615345174</v>
      </c>
      <c r="AF104" s="74" t="n">
        <f aca="false">SQRT(($B104-AF$5)^2+($C104-AF$6)^2+($D104-AF$7)^2)</f>
        <v>2.32290948114035</v>
      </c>
      <c r="AG104" s="74" t="n">
        <f aca="false">SQRT(($B104-AG$5)^2+($C104-AG$6)^2+($D104-AG$7)^2)</f>
        <v>1.36417212286406</v>
      </c>
      <c r="AH104" s="74" t="n">
        <f aca="false">SQRT(($B104-AH$5)^2+($C104-AH$6)^2+($D104-AH$7)^2)</f>
        <v>1.98766396438437</v>
      </c>
      <c r="AI104" s="74" t="n">
        <f aca="false">SQRT(($B104-AI$5)^2+($C104-AI$6)^2+($D104-AI$7)^2)</f>
        <v>1.36100816164582</v>
      </c>
      <c r="AJ104" s="74" t="n">
        <f aca="false">SQRT(($B104-AJ$5)^2+($C104-AJ$6)^2+($D104-AJ$7)^2)</f>
        <v>2.36958207205139</v>
      </c>
      <c r="AK104" s="74" t="n">
        <f aca="false">SQRT(($B104-AK$5)^2+($C104-AK$6)^2+($D104-AK$7)^2)</f>
        <v>1.82040118890256</v>
      </c>
      <c r="AL104" s="74" t="n">
        <f aca="false">SQRT(($B104-AL$5)^2+($C104-AL$6)^2+($D104-AL$7)^2)</f>
        <v>1.67279320317849</v>
      </c>
      <c r="AM104" s="74" t="n">
        <f aca="false">SQRT(($B104-AM$5)^2+($C104-AM$6)^2+($D104-AM$7)^2)</f>
        <v>2.51669066320052</v>
      </c>
      <c r="AN104" s="74" t="n">
        <f aca="false">SQRT(($B104-AN$5)^2+($C104-AN$6)^2+($D104-AN$7)^2)</f>
        <v>2.46943366101602</v>
      </c>
      <c r="AO104" s="74" t="n">
        <f aca="false">SQRT(($B104-AO$5)^2+($C104-AO$6)^2+($D104-AO$7)^2)</f>
        <v>1.8644514837376</v>
      </c>
      <c r="AP104" s="74" t="n">
        <f aca="false">SQRT(($B104-AP$5)^2+($C104-AP$6)^2+($D104-AP$7)^2)</f>
        <v>1.82281563286169</v>
      </c>
      <c r="AQ104" s="74" t="n">
        <f aca="false">SQRT(($B104-AQ$5)^2+($C104-AQ$6)^2+($D104-AQ$7)^2)</f>
        <v>2.50342418318662</v>
      </c>
      <c r="AR104" s="74" t="n">
        <f aca="false">SQRT(($B104-AR$5)^2+($C104-AR$6)^2+($D104-AR$7)^2)</f>
        <v>1.47680502521453</v>
      </c>
      <c r="AS104" s="74" t="n">
        <f aca="false">SQRT(($B104-AS$5)^2+($C104-AS$6)^2+($D104-AS$7)^2)</f>
        <v>1.79113214713523</v>
      </c>
      <c r="AT104" s="74" t="n">
        <f aca="false">SQRT(($B104-AT$5)^2+($C104-AT$6)^2+($D104-AT$7)^2)</f>
        <v>1.66694531459431</v>
      </c>
      <c r="AU104" s="74" t="n">
        <f aca="false">SQRT(($B104-AU$5)^2+($C104-AU$6)^2+($D104-AU$7)^2)</f>
        <v>1.19671356437586</v>
      </c>
      <c r="AV104" s="74" t="n">
        <f aca="false">SQRT(($B104-AV$5)^2+($C104-AV$6)^2+($D104-AV$7)^2)</f>
        <v>1.38723020004304</v>
      </c>
      <c r="AW104" s="74" t="n">
        <f aca="false">SQRT(($B104-AW$5)^2+($C104-AW$6)^2+($D104-AW$7)^2)</f>
        <v>1.1094963680837</v>
      </c>
      <c r="AX104" s="74" t="n">
        <f aca="false">SQRT(($B104-AX$5)^2+($C104-AX$6)^2+($D104-AX$7)^2)</f>
        <v>1.53071790864791</v>
      </c>
      <c r="AY104" s="74" t="n">
        <f aca="false">SQRT(($B104-AY$5)^2+($C104-AY$6)^2+($D104-AY$7)^2)</f>
        <v>1.23740173049273</v>
      </c>
      <c r="AZ104" s="74" t="n">
        <f aca="false">SQRT(($B104-AZ$5)^2+($C104-AZ$6)^2+($D104-AZ$7)^2)</f>
        <v>1.73971405323841</v>
      </c>
      <c r="BA104" s="74" t="n">
        <f aca="false">SQRT(($B104-BA$5)^2+($C104-BA$6)^2+($D104-BA$7)^2)</f>
        <v>1.63339034303286</v>
      </c>
      <c r="BB104" s="74" t="n">
        <f aca="false">SQRT(($B104-BB$5)^2+($C104-BB$6)^2+($D104-BB$7)^2)</f>
        <v>1.23218391696626</v>
      </c>
      <c r="BC104" s="74" t="n">
        <f aca="false">SQRT(($B104-BC$5)^2+($C104-BC$6)^2+($D104-BC$7)^2)</f>
        <v>1.22691262154256</v>
      </c>
      <c r="BD104" s="74" t="n">
        <f aca="false">SQRT(($B104-BD$5)^2+($C104-BD$6)^2+($D104-BD$7)^2)</f>
        <v>0.959392322074023</v>
      </c>
      <c r="BE104" s="74" t="n">
        <f aca="false">SQRT(($B104-BE$5)^2+($C104-BE$6)^2+($D104-BE$7)^2)</f>
        <v>0.952583015716142</v>
      </c>
      <c r="BF104" s="74" t="n">
        <f aca="false">SQRT(($B104-BF$5)^2+($C104-BF$6)^2+($D104-BF$7)^2)</f>
        <v>2.53748103964565</v>
      </c>
      <c r="BG104" s="74" t="n">
        <f aca="false">SQRT(($B104-BG$5)^2+($C104-BG$6)^2+($D104-BG$7)^2)</f>
        <v>1.44922490555567</v>
      </c>
      <c r="BH104" s="74" t="n">
        <f aca="false">SQRT(($B104-BH$5)^2+($C104-BH$6)^2+($D104-BH$7)^2)</f>
        <v>1.14686549758095</v>
      </c>
      <c r="BI104" s="74" t="n">
        <f aca="false">SQRT(($B104-BI$5)^2+($C104-BI$6)^2+($D104-BI$7)^2)</f>
        <v>1.13436320116688</v>
      </c>
      <c r="BJ104" s="74" t="n">
        <f aca="false">SQRT(($B104-BJ$5)^2+($C104-BJ$6)^2+($D104-BJ$7)^2)</f>
        <v>1.52053264297125</v>
      </c>
      <c r="BK104" s="74" t="n">
        <f aca="false">SQRT(($B104-BK$5)^2+($C104-BK$6)^2+($D104-BK$7)^2)</f>
        <v>0.79237736566723</v>
      </c>
      <c r="BL104" s="74" t="n">
        <f aca="false">SQRT(($B104-BL$5)^2+($C104-BL$6)^2+($D104-BL$7)^2)</f>
        <v>1.09383444234971</v>
      </c>
      <c r="BM104" s="74" t="n">
        <f aca="false">SQRT(($B104-BM$5)^2+($C104-BM$6)^2+($D104-BM$7)^2)</f>
        <v>1.69410492460582</v>
      </c>
      <c r="BN104" s="74" t="n">
        <f aca="false">SQRT(($B104-BN$5)^2+($C104-BN$6)^2+($D104-BN$7)^2)</f>
        <v>1.20079971497689</v>
      </c>
      <c r="BO104" s="74" t="n">
        <f aca="false">SQRT(($B104-BO$5)^2+($C104-BO$6)^2+($D104-BO$7)^2)</f>
        <v>0.837187944664135</v>
      </c>
      <c r="BP104" s="74" t="n">
        <f aca="false">SQRT(($B104-BP$5)^2+($C104-BP$6)^2+($D104-BP$7)^2)</f>
        <v>1.26871832928576</v>
      </c>
      <c r="BQ104" s="74" t="n">
        <f aca="false">SQRT(($B104-BQ$5)^2+($C104-BQ$6)^2+($D104-BQ$7)^2)</f>
        <v>1.15944236778311</v>
      </c>
      <c r="BR104" s="74" t="n">
        <f aca="false">SQRT(($B104-BR$5)^2+($C104-BR$6)^2+($D104-BR$7)^2)</f>
        <v>1.17933744946761</v>
      </c>
      <c r="BS104" s="74" t="n">
        <f aca="false">SQRT(($B104-BS$5)^2+($C104-BS$6)^2+($D104-BS$7)^2)</f>
        <v>1.17070447834432</v>
      </c>
      <c r="BT104" s="74" t="n">
        <f aca="false">SQRT(($B104-BT$5)^2+($C104-BT$6)^2+($D104-BT$7)^2)</f>
        <v>0.824183392605463</v>
      </c>
      <c r="BU104" s="74" t="n">
        <f aca="false">SQRT(($B104-BU$5)^2+($C104-BU$6)^2+($D104-BU$7)^2)</f>
        <v>0.765583934921567</v>
      </c>
      <c r="BV104" s="74" t="n">
        <f aca="false">SQRT(($B104-BV$5)^2+($C104-BV$6)^2+($D104-BV$7)^2)</f>
        <v>0.912922014647497</v>
      </c>
      <c r="BW104" s="74" t="n">
        <f aca="false">SQRT(($B104-BW$5)^2+($C104-BW$6)^2+($D104-BW$7)^2)</f>
        <v>0.855552326413952</v>
      </c>
      <c r="BX104" s="74" t="n">
        <f aca="false">SQRT(($B104-BX$5)^2+($C104-BX$6)^2+($D104-BX$7)^2)</f>
        <v>0.903780003452624</v>
      </c>
      <c r="BY104" s="74" t="n">
        <f aca="false">SQRT(($B104-BY$5)^2+($C104-BY$6)^2+($D104-BY$7)^2)</f>
        <v>0.52428066662862</v>
      </c>
      <c r="BZ104" s="74" t="n">
        <f aca="false">SQRT(($B104-BZ$5)^2+($C104-BZ$6)^2+($D104-BZ$7)^2)</f>
        <v>0.48500265181886</v>
      </c>
      <c r="CA104" s="74" t="n">
        <f aca="false">SQRT(($B104-CA$5)^2+($C104-CA$6)^2+($D104-CA$7)^2)</f>
        <v>0.875861338611773</v>
      </c>
      <c r="CB104" s="74" t="n">
        <f aca="false">SQRT(($B104-CB$5)^2+($C104-CB$6)^2+($D104-CB$7)^2)</f>
        <v>0.467745037340942</v>
      </c>
      <c r="CC104" s="74" t="n">
        <f aca="false">SQRT(($B104-CC$5)^2+($C104-CC$6)^2+($D104-CC$7)^2)</f>
        <v>0.866424221822404</v>
      </c>
      <c r="CD104" s="74" t="n">
        <f aca="false">SQRT(($B104-CD$5)^2+($C104-CD$6)^2+($D104-CD$7)^2)</f>
        <v>0.84744296565802</v>
      </c>
      <c r="CE104" s="74" t="n">
        <f aca="false">SQRT(($B104-CE$5)^2+($C104-CE$6)^2+($D104-CE$7)^2)</f>
        <v>0.584791259233736</v>
      </c>
      <c r="CF104" s="74" t="n">
        <f aca="false">SQRT(($B104-CF$5)^2+($C104-CF$6)^2+($D104-CF$7)^2)</f>
        <v>0.844257701736304</v>
      </c>
      <c r="CG104" s="74" t="n">
        <f aca="false">SQRT(($B104-CG$5)^2+($C104-CG$6)^2+($D104-CG$7)^2)</f>
        <v>0.613066902022968</v>
      </c>
      <c r="CH104" s="74" t="n">
        <f aca="false">SQRT(($B104-CH$5)^2+($C104-CH$6)^2+($D104-CH$7)^2)</f>
        <v>0.315475512340184</v>
      </c>
      <c r="CI104" s="74" t="n">
        <f aca="false">SQRT(($B104-CI$5)^2+($C104-CI$6)^2+($D104-CI$7)^2)</f>
        <v>0.285269462181686</v>
      </c>
      <c r="CJ104" s="74" t="n">
        <f aca="false">SQRT(($B104-CJ$5)^2+($C104-CJ$6)^2+($D104-CJ$7)^2)</f>
        <v>0.487328904798137</v>
      </c>
      <c r="CK104" s="74" t="n">
        <f aca="false">SQRT(($B104-CK$5)^2+($C104-CK$6)^2+($D104-CK$7)^2)</f>
        <v>0.407865697009838</v>
      </c>
      <c r="CL104" s="74" t="n">
        <f aca="false">SQRT(($B104-CL$5)^2+($C104-CL$6)^2+($D104-CL$7)^2)</f>
        <v>0.760680636260716</v>
      </c>
      <c r="CM104" s="74" t="n">
        <f aca="false">SQRT(($B104-CM$5)^2+($C104-CM$6)^2+($D104-CM$7)^2)</f>
        <v>0.17192135046387</v>
      </c>
      <c r="CN104" s="74" t="n">
        <f aca="false">SQRT(($B104-CN$5)^2+($C104-CN$6)^2+($D104-CN$7)^2)</f>
        <v>1.15770672259713</v>
      </c>
      <c r="CO104" s="74" t="n">
        <f aca="false">SQRT(($B104-CO$5)^2+($C104-CO$6)^2+($D104-CO$7)^2)</f>
        <v>0.570523100807485</v>
      </c>
      <c r="CP104" s="74" t="n">
        <f aca="false">SQRT(($B104-CP$5)^2+($C104-CP$6)^2+($D104-CP$7)^2)</f>
        <v>0.74696153235887</v>
      </c>
      <c r="CQ104" s="74" t="n">
        <f aca="false">SQRT(($B104-CQ$5)^2+($C104-CQ$6)^2+($D104-CQ$7)^2)</f>
        <v>0</v>
      </c>
      <c r="CR104" s="74" t="n">
        <f aca="false">SQRT(($B104-CR$5)^2+($C104-CR$6)^2+($D104-CR$7)^2)</f>
        <v>0.0958582558751892</v>
      </c>
      <c r="CS104" s="74" t="n">
        <f aca="false">SQRT(($B104-CS$5)^2+($C104-CS$6)^2+($D104-CS$7)^2)</f>
        <v>0.747172593753357</v>
      </c>
      <c r="CT104" s="74" t="n">
        <f aca="false">SQRT(($B104-CT$5)^2+($C104-CT$6)^2+($D104-CT$7)^2)</f>
        <v>0.751811580542148</v>
      </c>
      <c r="CU104" s="74" t="n">
        <f aca="false">SQRT(($B104-CU$5)^2+($C104-CU$6)^2+($D104-CU$7)^2)</f>
        <v>0.682361139047084</v>
      </c>
      <c r="CV104" s="74" t="n">
        <f aca="false">SQRT(($B104-CV$5)^2+($C104-CV$6)^2+($D104-CV$7)^2)</f>
        <v>0.671741372756173</v>
      </c>
      <c r="CW104" s="74" t="n">
        <f aca="false">SQRT(($B104-CW$5)^2+($C104-CW$6)^2+($D104-CW$7)^2)</f>
        <v>0.751811580542148</v>
      </c>
      <c r="CX104" s="74" t="n">
        <f aca="false">SQRT(($B104-CX$5)^2+($C104-CX$6)^2+($D104-CX$7)^2)</f>
        <v>0.39485424184494</v>
      </c>
      <c r="CY104" s="74" t="n">
        <f aca="false">SQRT(($B104-CY$5)^2+($C104-CY$6)^2+($D104-CY$7)^2)</f>
        <v>0.760680636260716</v>
      </c>
      <c r="CZ104" s="74" t="n">
        <f aca="false">SQRT(($B104-CZ$5)^2+($C104-CZ$6)^2+($D104-CZ$7)^2)</f>
        <v>0.760680636260716</v>
      </c>
      <c r="DA104" s="74" t="n">
        <f aca="false">SQRT(($B104-DA$5)^2+($C104-DA$6)^2+($D104-DA$7)^2)</f>
        <v>0.181964715747497</v>
      </c>
      <c r="DB104" s="74" t="n">
        <f aca="false">SQRT(($B104-DB$5)^2+($C104-DB$6)^2+($D104-DB$7)^2)</f>
        <v>0.77508107754295</v>
      </c>
      <c r="DC104" s="74" t="n">
        <f aca="false">SQRT(($B104-DC$5)^2+($C104-DC$6)^2+($D104-DC$7)^2)</f>
        <v>0.77508107754295</v>
      </c>
      <c r="DD104" s="74" t="n">
        <f aca="false">SQRT(($B104-DD$5)^2+($C104-DD$6)^2+($D104-DD$7)^2)</f>
        <v>0.317123373625904</v>
      </c>
      <c r="DE104" s="74" t="n">
        <f aca="false">SQRT(($B104-DE$5)^2+($C104-DE$6)^2+($D104-DE$7)^2)</f>
        <v>0.557167199975045</v>
      </c>
      <c r="DF104" s="74" t="n">
        <f aca="false">SQRT(($B104-DF$5)^2+($C104-DF$6)^2+($D104-DF$7)^2)</f>
        <v>0.939768712923677</v>
      </c>
      <c r="DG104" s="74" t="n">
        <f aca="false">SQRT(($B104-DG$5)^2+($C104-DG$6)^2+($D104-DG$7)^2)</f>
        <v>1.0376963962144</v>
      </c>
      <c r="DH104" s="74" t="n">
        <f aca="false">SQRT(($B104-DH$5)^2+($C104-DH$6)^2+($D104-DH$7)^2)</f>
        <v>1.0376963962144</v>
      </c>
      <c r="DI104" s="74" t="n">
        <f aca="false">SQRT(($B104-DI$5)^2+($C104-DI$6)^2+($D104-DI$7)^2)</f>
        <v>1.0376963962144</v>
      </c>
      <c r="DJ104" s="74" t="n">
        <f aca="false">SQRT(($B104-DJ$5)^2+($C104-DJ$6)^2+($D104-DJ$7)^2)</f>
        <v>1.0376963962144</v>
      </c>
      <c r="DK104" s="74" t="n">
        <f aca="false">SQRT(($B104-DK$5)^2+($C104-DK$6)^2+($D104-DK$7)^2)</f>
        <v>1.19410162945089</v>
      </c>
      <c r="DL104" s="74" t="n">
        <f aca="false">SQRT(($B104-DL$5)^2+($C104-DL$6)^2+($D104-DL$7)^2)</f>
        <v>1.19410162945089</v>
      </c>
      <c r="DM104" s="74" t="n">
        <f aca="false">SQRT(($B104-DM$5)^2+($C104-DM$6)^2+($D104-DM$7)^2)</f>
        <v>1.19410162945089</v>
      </c>
      <c r="DN104" s="74" t="n">
        <f aca="false">SQRT(($B104-DN$5)^2+($C104-DN$6)^2+($D104-DN$7)^2)</f>
        <v>1.19410162945089</v>
      </c>
      <c r="DO104" s="74" t="n">
        <f aca="false">SQRT(($B104-DO$5)^2+($C104-DO$6)^2+($D104-DO$7)^2)</f>
        <v>1.19410162945089</v>
      </c>
      <c r="DP104" s="74" t="n">
        <f aca="false">SQRT(($B104-DP$5)^2+($C104-DP$6)^2+($D104-DP$7)^2)</f>
        <v>1.49294711217988</v>
      </c>
      <c r="DQ104" s="74" t="n">
        <f aca="false">SQRT(($B104-DQ$5)^2+($C104-DQ$6)^2+($D104-DQ$7)^2)</f>
        <v>1.49294711217988</v>
      </c>
    </row>
    <row r="105" customFormat="false" ht="15" hidden="false" customHeight="false" outlineLevel="0" collapsed="false">
      <c r="A105" s="48" t="str">
        <f aca="false">KMeans_Data!A96</f>
        <v>North Waziristan</v>
      </c>
      <c r="B105" s="72" t="n">
        <f aca="false">KMeans_Data!H96</f>
        <v>-0.831705387014662</v>
      </c>
      <c r="C105" s="72" t="n">
        <f aca="false">KMeans_Data!I96</f>
        <v>-0.672650545388274</v>
      </c>
      <c r="D105" s="72" t="n">
        <f aca="false">KMeans_Data!J96</f>
        <v>-0.31535907140676</v>
      </c>
      <c r="E105" s="74" t="n">
        <f aca="false">SQRT(($B105-E$5)^2+($C105-E$6)^2+($D105-E$7)^2)</f>
        <v>7.19643967194252</v>
      </c>
      <c r="F105" s="74" t="n">
        <f aca="false">SQRT(($B105-F$5)^2+($C105-F$6)^2+($D105-F$7)^2)</f>
        <v>6.99719891140066</v>
      </c>
      <c r="G105" s="74" t="n">
        <f aca="false">SQRT(($B105-G$5)^2+($C105-G$6)^2+($D105-G$7)^2)</f>
        <v>5.12265490863213</v>
      </c>
      <c r="H105" s="74" t="n">
        <f aca="false">SQRT(($B105-H$5)^2+($C105-H$6)^2+($D105-H$7)^2)</f>
        <v>5.643244397863</v>
      </c>
      <c r="I105" s="74" t="n">
        <f aca="false">SQRT(($B105-I$5)^2+($C105-I$6)^2+($D105-I$7)^2)</f>
        <v>4.53471947354835</v>
      </c>
      <c r="J105" s="74" t="n">
        <f aca="false">SQRT(($B105-J$5)^2+($C105-J$6)^2+($D105-J$7)^2)</f>
        <v>4.11482139838602</v>
      </c>
      <c r="K105" s="74" t="n">
        <f aca="false">SQRT(($B105-K$5)^2+($C105-K$6)^2+($D105-K$7)^2)</f>
        <v>2.38062531064648</v>
      </c>
      <c r="L105" s="74" t="n">
        <f aca="false">SQRT(($B105-L$5)^2+($C105-L$6)^2+($D105-L$7)^2)</f>
        <v>3.25866111789274</v>
      </c>
      <c r="M105" s="74" t="n">
        <f aca="false">SQRT(($B105-M$5)^2+($C105-M$6)^2+($D105-M$7)^2)</f>
        <v>3.4592646179784</v>
      </c>
      <c r="N105" s="74" t="n">
        <f aca="false">SQRT(($B105-N$5)^2+($C105-N$6)^2+($D105-N$7)^2)</f>
        <v>2.16092036965126</v>
      </c>
      <c r="O105" s="74" t="n">
        <f aca="false">SQRT(($B105-O$5)^2+($C105-O$6)^2+($D105-O$7)^2)</f>
        <v>3.19502290264097</v>
      </c>
      <c r="P105" s="74" t="n">
        <f aca="false">SQRT(($B105-P$5)^2+($C105-P$6)^2+($D105-P$7)^2)</f>
        <v>3.46303048751579</v>
      </c>
      <c r="Q105" s="74" t="n">
        <f aca="false">SQRT(($B105-Q$5)^2+($C105-Q$6)^2+($D105-Q$7)^2)</f>
        <v>2.87015792920839</v>
      </c>
      <c r="R105" s="74" t="n">
        <f aca="false">SQRT(($B105-R$5)^2+($C105-R$6)^2+($D105-R$7)^2)</f>
        <v>2.79062285326594</v>
      </c>
      <c r="S105" s="74" t="n">
        <f aca="false">SQRT(($B105-S$5)^2+($C105-S$6)^2+($D105-S$7)^2)</f>
        <v>2.42016432462017</v>
      </c>
      <c r="T105" s="74" t="n">
        <f aca="false">SQRT(($B105-T$5)^2+($C105-T$6)^2+($D105-T$7)^2)</f>
        <v>2.78365008094412</v>
      </c>
      <c r="U105" s="74" t="n">
        <f aca="false">SQRT(($B105-U$5)^2+($C105-U$6)^2+($D105-U$7)^2)</f>
        <v>2.76411900076618</v>
      </c>
      <c r="V105" s="74" t="n">
        <f aca="false">SQRT(($B105-V$5)^2+($C105-V$6)^2+($D105-V$7)^2)</f>
        <v>2.81563407747952</v>
      </c>
      <c r="W105" s="74" t="n">
        <f aca="false">SQRT(($B105-W$5)^2+($C105-W$6)^2+($D105-W$7)^2)</f>
        <v>2.93453952979674</v>
      </c>
      <c r="X105" s="74" t="n">
        <f aca="false">SQRT(($B105-X$5)^2+($C105-X$6)^2+($D105-X$7)^2)</f>
        <v>2.60888068492237</v>
      </c>
      <c r="Y105" s="74" t="n">
        <f aca="false">SQRT(($B105-Y$5)^2+($C105-Y$6)^2+($D105-Y$7)^2)</f>
        <v>2.70470605203786</v>
      </c>
      <c r="Z105" s="74" t="n">
        <f aca="false">SQRT(($B105-Z$5)^2+($C105-Z$6)^2+($D105-Z$7)^2)</f>
        <v>2.38019211539532</v>
      </c>
      <c r="AA105" s="74" t="n">
        <f aca="false">SQRT(($B105-AA$5)^2+($C105-AA$6)^2+($D105-AA$7)^2)</f>
        <v>2.22008413493358</v>
      </c>
      <c r="AB105" s="74" t="n">
        <f aca="false">SQRT(($B105-AB$5)^2+($C105-AB$6)^2+($D105-AB$7)^2)</f>
        <v>2.25033193286154</v>
      </c>
      <c r="AC105" s="74" t="n">
        <f aca="false">SQRT(($B105-AC$5)^2+($C105-AC$6)^2+($D105-AC$7)^2)</f>
        <v>2.80096610983434</v>
      </c>
      <c r="AD105" s="74" t="n">
        <f aca="false">SQRT(($B105-AD$5)^2+($C105-AD$6)^2+($D105-AD$7)^2)</f>
        <v>2.66255466332461</v>
      </c>
      <c r="AE105" s="74" t="n">
        <f aca="false">SQRT(($B105-AE$5)^2+($C105-AE$6)^2+($D105-AE$7)^2)</f>
        <v>1.77435806843142</v>
      </c>
      <c r="AF105" s="74" t="n">
        <f aca="false">SQRT(($B105-AF$5)^2+($C105-AF$6)^2+($D105-AF$7)^2)</f>
        <v>2.30559651154259</v>
      </c>
      <c r="AG105" s="74" t="n">
        <f aca="false">SQRT(($B105-AG$5)^2+($C105-AG$6)^2+($D105-AG$7)^2)</f>
        <v>1.41198881066148</v>
      </c>
      <c r="AH105" s="74" t="n">
        <f aca="false">SQRT(($B105-AH$5)^2+($C105-AH$6)^2+($D105-AH$7)^2)</f>
        <v>1.97076957456672</v>
      </c>
      <c r="AI105" s="74" t="n">
        <f aca="false">SQRT(($B105-AI$5)^2+($C105-AI$6)^2+($D105-AI$7)^2)</f>
        <v>1.40883053106497</v>
      </c>
      <c r="AJ105" s="74" t="n">
        <f aca="false">SQRT(($B105-AJ$5)^2+($C105-AJ$6)^2+($D105-AJ$7)^2)</f>
        <v>2.34330777193408</v>
      </c>
      <c r="AK105" s="74" t="n">
        <f aca="false">SQRT(($B105-AK$5)^2+($C105-AK$6)^2+($D105-AK$7)^2)</f>
        <v>1.82384691263506</v>
      </c>
      <c r="AL105" s="74" t="n">
        <f aca="false">SQRT(($B105-AL$5)^2+($C105-AL$6)^2+($D105-AL$7)^2)</f>
        <v>1.66184291650607</v>
      </c>
      <c r="AM105" s="74" t="n">
        <f aca="false">SQRT(($B105-AM$5)^2+($C105-AM$6)^2+($D105-AM$7)^2)</f>
        <v>2.5176505860283</v>
      </c>
      <c r="AN105" s="74" t="n">
        <f aca="false">SQRT(($B105-AN$5)^2+($C105-AN$6)^2+($D105-AN$7)^2)</f>
        <v>2.45569622013599</v>
      </c>
      <c r="AO105" s="74" t="n">
        <f aca="false">SQRT(($B105-AO$5)^2+($C105-AO$6)^2+($D105-AO$7)^2)</f>
        <v>1.85392391601758</v>
      </c>
      <c r="AP105" s="74" t="n">
        <f aca="false">SQRT(($B105-AP$5)^2+($C105-AP$6)^2+($D105-AP$7)^2)</f>
        <v>1.81565102746603</v>
      </c>
      <c r="AQ105" s="74" t="n">
        <f aca="false">SQRT(($B105-AQ$5)^2+($C105-AQ$6)^2+($D105-AQ$7)^2)</f>
        <v>2.49212934117697</v>
      </c>
      <c r="AR105" s="74" t="n">
        <f aca="false">SQRT(($B105-AR$5)^2+($C105-AR$6)^2+($D105-AR$7)^2)</f>
        <v>1.49746714221706</v>
      </c>
      <c r="AS105" s="74" t="n">
        <f aca="false">SQRT(($B105-AS$5)^2+($C105-AS$6)^2+($D105-AS$7)^2)</f>
        <v>1.75468156939386</v>
      </c>
      <c r="AT105" s="74" t="n">
        <f aca="false">SQRT(($B105-AT$5)^2+($C105-AT$6)^2+($D105-AT$7)^2)</f>
        <v>1.63875770204295</v>
      </c>
      <c r="AU105" s="74" t="n">
        <f aca="false">SQRT(($B105-AU$5)^2+($C105-AU$6)^2+($D105-AU$7)^2)</f>
        <v>1.25550554675953</v>
      </c>
      <c r="AV105" s="74" t="n">
        <f aca="false">SQRT(($B105-AV$5)^2+($C105-AV$6)^2+($D105-AV$7)^2)</f>
        <v>1.36875234165601</v>
      </c>
      <c r="AW105" s="74" t="n">
        <f aca="false">SQRT(($B105-AW$5)^2+($C105-AW$6)^2+($D105-AW$7)^2)</f>
        <v>1.18522482635361</v>
      </c>
      <c r="AX105" s="74" t="n">
        <f aca="false">SQRT(($B105-AX$5)^2+($C105-AX$6)^2+($D105-AX$7)^2)</f>
        <v>1.52070064613805</v>
      </c>
      <c r="AY105" s="74" t="n">
        <f aca="false">SQRT(($B105-AY$5)^2+($C105-AY$6)^2+($D105-AY$7)^2)</f>
        <v>1.32506719288247</v>
      </c>
      <c r="AZ105" s="74" t="n">
        <f aca="false">SQRT(($B105-AZ$5)^2+($C105-AZ$6)^2+($D105-AZ$7)^2)</f>
        <v>1.69799773924543</v>
      </c>
      <c r="BA105" s="74" t="n">
        <f aca="false">SQRT(($B105-BA$5)^2+($C105-BA$6)^2+($D105-BA$7)^2)</f>
        <v>1.60123706450727</v>
      </c>
      <c r="BB105" s="74" t="n">
        <f aca="false">SQRT(($B105-BB$5)^2+($C105-BB$6)^2+($D105-BB$7)^2)</f>
        <v>1.31997130790363</v>
      </c>
      <c r="BC105" s="74" t="n">
        <f aca="false">SQRT(($B105-BC$5)^2+($C105-BC$6)^2+($D105-BC$7)^2)</f>
        <v>1.31482360062908</v>
      </c>
      <c r="BD105" s="74" t="n">
        <f aca="false">SQRT(($B105-BD$5)^2+($C105-BD$6)^2+($D105-BD$7)^2)</f>
        <v>1.01660419240082</v>
      </c>
      <c r="BE105" s="74" t="n">
        <f aca="false">SQRT(($B105-BE$5)^2+($C105-BE$6)^2+($D105-BE$7)^2)</f>
        <v>0.98760956822081</v>
      </c>
      <c r="BF105" s="74" t="n">
        <f aca="false">SQRT(($B105-BF$5)^2+($C105-BF$6)^2+($D105-BF$7)^2)</f>
        <v>2.5164949570378</v>
      </c>
      <c r="BG105" s="74" t="n">
        <f aca="false">SQRT(($B105-BG$5)^2+($C105-BG$6)^2+($D105-BG$7)^2)</f>
        <v>1.42047940168709</v>
      </c>
      <c r="BH105" s="74" t="n">
        <f aca="false">SQRT(($B105-BH$5)^2+($C105-BH$6)^2+($D105-BH$7)^2)</f>
        <v>1.23669774577682</v>
      </c>
      <c r="BI105" s="74" t="n">
        <f aca="false">SQRT(($B105-BI$5)^2+($C105-BI$6)^2+($D105-BI$7)^2)</f>
        <v>1.22450155418203</v>
      </c>
      <c r="BJ105" s="74" t="n">
        <f aca="false">SQRT(($B105-BJ$5)^2+($C105-BJ$6)^2+($D105-BJ$7)^2)</f>
        <v>1.52515939929468</v>
      </c>
      <c r="BK105" s="74" t="n">
        <f aca="false">SQRT(($B105-BK$5)^2+($C105-BK$6)^2+($D105-BK$7)^2)</f>
        <v>0.841914001469077</v>
      </c>
      <c r="BL105" s="74" t="n">
        <f aca="false">SQRT(($B105-BL$5)^2+($C105-BL$6)^2+($D105-BL$7)^2)</f>
        <v>1.07120294155368</v>
      </c>
      <c r="BM105" s="74" t="n">
        <f aca="false">SQRT(($B105-BM$5)^2+($C105-BM$6)^2+($D105-BM$7)^2)</f>
        <v>1.67183255484504</v>
      </c>
      <c r="BN105" s="74" t="n">
        <f aca="false">SQRT(($B105-BN$5)^2+($C105-BN$6)^2+($D105-BN$7)^2)</f>
        <v>1.20148553197987</v>
      </c>
      <c r="BO105" s="74" t="n">
        <f aca="false">SQRT(($B105-BO$5)^2+($C105-BO$6)^2+($D105-BO$7)^2)</f>
        <v>0.920418023224497</v>
      </c>
      <c r="BP105" s="74" t="n">
        <f aca="false">SQRT(($B105-BP$5)^2+($C105-BP$6)^2+($D105-BP$7)^2)</f>
        <v>1.25250798812422</v>
      </c>
      <c r="BQ105" s="74" t="n">
        <f aca="false">SQRT(($B105-BQ$5)^2+($C105-BQ$6)^2+($D105-BQ$7)^2)</f>
        <v>1.13256315434392</v>
      </c>
      <c r="BR105" s="74" t="n">
        <f aca="false">SQRT(($B105-BR$5)^2+($C105-BR$6)^2+($D105-BR$7)^2)</f>
        <v>1.14838441657223</v>
      </c>
      <c r="BS105" s="74" t="n">
        <f aca="false">SQRT(($B105-BS$5)^2+($C105-BS$6)^2+($D105-BS$7)^2)</f>
        <v>1.12552970393146</v>
      </c>
      <c r="BT105" s="74" t="n">
        <f aca="false">SQRT(($B105-BT$5)^2+($C105-BT$6)^2+($D105-BT$7)^2)</f>
        <v>0.799974487855409</v>
      </c>
      <c r="BU105" s="74" t="n">
        <f aca="false">SQRT(($B105-BU$5)^2+($C105-BU$6)^2+($D105-BU$7)^2)</f>
        <v>0.749049729707163</v>
      </c>
      <c r="BV105" s="74" t="n">
        <f aca="false">SQRT(($B105-BV$5)^2+($C105-BV$6)^2+($D105-BV$7)^2)</f>
        <v>1.00812821614459</v>
      </c>
      <c r="BW105" s="74" t="n">
        <f aca="false">SQRT(($B105-BW$5)^2+($C105-BW$6)^2+($D105-BW$7)^2)</f>
        <v>0.81938131859538</v>
      </c>
      <c r="BX105" s="74" t="n">
        <f aca="false">SQRT(($B105-BX$5)^2+($C105-BX$6)^2+($D105-BX$7)^2)</f>
        <v>0.999131416606618</v>
      </c>
      <c r="BY105" s="74" t="n">
        <f aca="false">SQRT(($B105-BY$5)^2+($C105-BY$6)^2+($D105-BY$7)^2)</f>
        <v>0.538936323682022</v>
      </c>
      <c r="BZ105" s="74" t="n">
        <f aca="false">SQRT(($B105-BZ$5)^2+($C105-BZ$6)^2+($D105-BZ$7)^2)</f>
        <v>0.509575417624474</v>
      </c>
      <c r="CA105" s="74" t="n">
        <f aca="false">SQRT(($B105-CA$5)^2+($C105-CA$6)^2+($D105-CA$7)^2)</f>
        <v>0.97156462889802</v>
      </c>
      <c r="CB105" s="74" t="n">
        <f aca="false">SQRT(($B105-CB$5)^2+($C105-CB$6)^2+($D105-CB$7)^2)</f>
        <v>0.491498442578334</v>
      </c>
      <c r="CC105" s="74" t="n">
        <f aca="false">SQRT(($B105-CC$5)^2+($C105-CC$6)^2+($D105-CC$7)^2)</f>
        <v>0.962206547959178</v>
      </c>
      <c r="CD105" s="74" t="n">
        <f aca="false">SQRT(($B105-CD$5)^2+($C105-CD$6)^2+($D105-CD$7)^2)</f>
        <v>0.943300893420652</v>
      </c>
      <c r="CE105" s="74" t="n">
        <f aca="false">SQRT(($B105-CE$5)^2+($C105-CE$6)^2+($D105-CE$7)^2)</f>
        <v>0.557631413288567</v>
      </c>
      <c r="CF105" s="74" t="n">
        <f aca="false">SQRT(($B105-CF$5)^2+($C105-CF$6)^2+($D105-CF$7)^2)</f>
        <v>0.815772537785234</v>
      </c>
      <c r="CG105" s="74" t="n">
        <f aca="false">SQRT(($B105-CG$5)^2+($C105-CG$6)^2+($D105-CG$7)^2)</f>
        <v>0.643127975279002</v>
      </c>
      <c r="CH105" s="74" t="n">
        <f aca="false">SQRT(($B105-CH$5)^2+($C105-CH$6)^2+($D105-CH$7)^2)</f>
        <v>0.370523096603614</v>
      </c>
      <c r="CI105" s="74" t="n">
        <f aca="false">SQRT(($B105-CI$5)^2+($C105-CI$6)^2+($D105-CI$7)^2)</f>
        <v>0.363483727092095</v>
      </c>
      <c r="CJ105" s="74" t="n">
        <f aca="false">SQRT(($B105-CJ$5)^2+($C105-CJ$6)^2+($D105-CJ$7)^2)</f>
        <v>0.583169604981316</v>
      </c>
      <c r="CK105" s="74" t="n">
        <f aca="false">SQRT(($B105-CK$5)^2+($C105-CK$6)^2+($D105-CK$7)^2)</f>
        <v>0.360868835349072</v>
      </c>
      <c r="CL105" s="74" t="n">
        <f aca="false">SQRT(($B105-CL$5)^2+($C105-CL$6)^2+($D105-CL$7)^2)</f>
        <v>0.852880279718776</v>
      </c>
      <c r="CM105" s="74" t="n">
        <f aca="false">SQRT(($B105-CM$5)^2+($C105-CM$6)^2+($D105-CM$7)^2)</f>
        <v>0.195016706217928</v>
      </c>
      <c r="CN105" s="74" t="n">
        <f aca="false">SQRT(($B105-CN$5)^2+($C105-CN$6)^2+($D105-CN$7)^2)</f>
        <v>1.08764714662344</v>
      </c>
      <c r="CO105" s="74" t="n">
        <f aca="false">SQRT(($B105-CO$5)^2+($C105-CO$6)^2+($D105-CO$7)^2)</f>
        <v>0.549233378380347</v>
      </c>
      <c r="CP105" s="74" t="n">
        <f aca="false">SQRT(($B105-CP$5)^2+($C105-CP$6)^2+($D105-CP$7)^2)</f>
        <v>0.834825116087495</v>
      </c>
      <c r="CQ105" s="74" t="n">
        <f aca="false">SQRT(($B105-CQ$5)^2+($C105-CQ$6)^2+($D105-CQ$7)^2)</f>
        <v>0.0958582558751892</v>
      </c>
      <c r="CR105" s="74" t="n">
        <f aca="false">SQRT(($B105-CR$5)^2+($C105-CR$6)^2+($D105-CR$7)^2)</f>
        <v>0</v>
      </c>
      <c r="CS105" s="74" t="n">
        <f aca="false">SQRT(($B105-CS$5)^2+($C105-CS$6)^2+($D105-CS$7)^2)</f>
        <v>0.830285044926794</v>
      </c>
      <c r="CT105" s="74" t="n">
        <f aca="false">SQRT(($B105-CT$5)^2+($C105-CT$6)^2+($D105-CT$7)^2)</f>
        <v>0.831765604055165</v>
      </c>
      <c r="CU105" s="74" t="n">
        <f aca="false">SQRT(($B105-CU$5)^2+($C105-CU$6)^2+($D105-CU$7)^2)</f>
        <v>0.733455185258179</v>
      </c>
      <c r="CV105" s="74" t="n">
        <f aca="false">SQRT(($B105-CV$5)^2+($C105-CV$6)^2+($D105-CV$7)^2)</f>
        <v>0.582634564893212</v>
      </c>
      <c r="CW105" s="74" t="n">
        <f aca="false">SQRT(($B105-CW$5)^2+($C105-CW$6)^2+($D105-CW$7)^2)</f>
        <v>0.831765604055165</v>
      </c>
      <c r="CX105" s="74" t="n">
        <f aca="false">SQRT(($B105-CX$5)^2+($C105-CX$6)^2+($D105-CX$7)^2)</f>
        <v>0.299667660192371</v>
      </c>
      <c r="CY105" s="74" t="n">
        <f aca="false">SQRT(($B105-CY$5)^2+($C105-CY$6)^2+($D105-CY$7)^2)</f>
        <v>0.836828305491326</v>
      </c>
      <c r="CZ105" s="74" t="n">
        <f aca="false">SQRT(($B105-CZ$5)^2+($C105-CZ$6)^2+($D105-CZ$7)^2)</f>
        <v>0.836828305491326</v>
      </c>
      <c r="DA105" s="74" t="n">
        <f aca="false">SQRT(($B105-DA$5)^2+($C105-DA$6)^2+($D105-DA$7)^2)</f>
        <v>0.214966450320869</v>
      </c>
      <c r="DB105" s="74" t="n">
        <f aca="false">SQRT(($B105-DB$5)^2+($C105-DB$6)^2+($D105-DB$7)^2)</f>
        <v>0.846666915650989</v>
      </c>
      <c r="DC105" s="74" t="n">
        <f aca="false">SQRT(($B105-DC$5)^2+($C105-DC$6)^2+($D105-DC$7)^2)</f>
        <v>0.846666915650989</v>
      </c>
      <c r="DD105" s="74" t="n">
        <f aca="false">SQRT(($B105-DD$5)^2+($C105-DD$6)^2+($D105-DD$7)^2)</f>
        <v>0.361441322972051</v>
      </c>
      <c r="DE105" s="74" t="n">
        <f aca="false">SQRT(($B105-DE$5)^2+($C105-DE$6)^2+($D105-DE$7)^2)</f>
        <v>0.598910941575213</v>
      </c>
      <c r="DF105" s="74" t="n">
        <f aca="false">SQRT(($B105-DF$5)^2+($C105-DF$6)^2+($D105-DF$7)^2)</f>
        <v>0.983149973922947</v>
      </c>
      <c r="DG105" s="74" t="n">
        <f aca="false">SQRT(($B105-DG$5)^2+($C105-DG$6)^2+($D105-DG$7)^2)</f>
        <v>1.07082718905525</v>
      </c>
      <c r="DH105" s="74" t="n">
        <f aca="false">SQRT(($B105-DH$5)^2+($C105-DH$6)^2+($D105-DH$7)^2)</f>
        <v>1.07082718905525</v>
      </c>
      <c r="DI105" s="74" t="n">
        <f aca="false">SQRT(($B105-DI$5)^2+($C105-DI$6)^2+($D105-DI$7)^2)</f>
        <v>1.07082718905525</v>
      </c>
      <c r="DJ105" s="74" t="n">
        <f aca="false">SQRT(($B105-DJ$5)^2+($C105-DJ$6)^2+($D105-DJ$7)^2)</f>
        <v>1.07082718905525</v>
      </c>
      <c r="DK105" s="74" t="n">
        <f aca="false">SQRT(($B105-DK$5)^2+($C105-DK$6)^2+($D105-DK$7)^2)</f>
        <v>1.21516327587422</v>
      </c>
      <c r="DL105" s="74" t="n">
        <f aca="false">SQRT(($B105-DL$5)^2+($C105-DL$6)^2+($D105-DL$7)^2)</f>
        <v>1.21516327587422</v>
      </c>
      <c r="DM105" s="74" t="n">
        <f aca="false">SQRT(($B105-DM$5)^2+($C105-DM$6)^2+($D105-DM$7)^2)</f>
        <v>1.21516327587422</v>
      </c>
      <c r="DN105" s="74" t="n">
        <f aca="false">SQRT(($B105-DN$5)^2+($C105-DN$6)^2+($D105-DN$7)^2)</f>
        <v>1.21516327587422</v>
      </c>
      <c r="DO105" s="74" t="n">
        <f aca="false">SQRT(($B105-DO$5)^2+($C105-DO$6)^2+($D105-DO$7)^2)</f>
        <v>1.21516327587422</v>
      </c>
      <c r="DP105" s="74" t="n">
        <f aca="false">SQRT(($B105-DP$5)^2+($C105-DP$6)^2+($D105-DP$7)^2)</f>
        <v>1.49898586166915</v>
      </c>
      <c r="DQ105" s="74" t="n">
        <f aca="false">SQRT(($B105-DQ$5)^2+($C105-DQ$6)^2+($D105-DQ$7)^2)</f>
        <v>1.49898586166915</v>
      </c>
    </row>
    <row r="106" customFormat="false" ht="15" hidden="false" customHeight="false" outlineLevel="0" collapsed="false">
      <c r="A106" s="48" t="str">
        <f aca="false">KMeans_Data!A97</f>
        <v>Kasur</v>
      </c>
      <c r="B106" s="72" t="n">
        <f aca="false">KMeans_Data!H97</f>
        <v>-0.831705387014662</v>
      </c>
      <c r="C106" s="72" t="n">
        <f aca="false">KMeans_Data!I97</f>
        <v>-0.672650545388274</v>
      </c>
      <c r="D106" s="72" t="n">
        <f aca="false">KMeans_Data!J97</f>
        <v>-1.14564411633355</v>
      </c>
      <c r="E106" s="74" t="n">
        <f aca="false">SQRT(($B106-E$5)^2+($C106-E$6)^2+($D106-E$7)^2)</f>
        <v>7.64219541328385</v>
      </c>
      <c r="F106" s="74" t="n">
        <f aca="false">SQRT(($B106-F$5)^2+($C106-F$6)^2+($D106-F$7)^2)</f>
        <v>7.39087418701776</v>
      </c>
      <c r="G106" s="74" t="n">
        <f aca="false">SQRT(($B106-G$5)^2+($C106-G$6)^2+($D106-G$7)^2)</f>
        <v>5.60304427138115</v>
      </c>
      <c r="H106" s="74" t="n">
        <f aca="false">SQRT(($B106-H$5)^2+($C106-H$6)^2+($D106-H$7)^2)</f>
        <v>5.9818444118661</v>
      </c>
      <c r="I106" s="74" t="n">
        <f aca="false">SQRT(($B106-I$5)^2+($C106-I$6)^2+($D106-I$7)^2)</f>
        <v>4.95922522131357</v>
      </c>
      <c r="J106" s="74" t="n">
        <f aca="false">SQRT(($B106-J$5)^2+($C106-J$6)^2+($D106-J$7)^2)</f>
        <v>4.53229865087705</v>
      </c>
      <c r="K106" s="74" t="n">
        <f aca="false">SQRT(($B106-K$5)^2+($C106-K$6)^2+($D106-K$7)^2)</f>
        <v>2.34763190734011</v>
      </c>
      <c r="L106" s="74" t="n">
        <f aca="false">SQRT(($B106-L$5)^2+($C106-L$6)^2+($D106-L$7)^2)</f>
        <v>3.83333785449444</v>
      </c>
      <c r="M106" s="74" t="n">
        <f aca="false">SQRT(($B106-M$5)^2+($C106-M$6)^2+($D106-M$7)^2)</f>
        <v>3.99938430183082</v>
      </c>
      <c r="N106" s="74" t="n">
        <f aca="false">SQRT(($B106-N$5)^2+($C106-N$6)^2+($D106-N$7)^2)</f>
        <v>2.12451772095326</v>
      </c>
      <c r="O106" s="74" t="n">
        <f aca="false">SQRT(($B106-O$5)^2+($C106-O$6)^2+($D106-O$7)^2)</f>
        <v>3.61420042063281</v>
      </c>
      <c r="P106" s="74" t="n">
        <f aca="false">SQRT(($B106-P$5)^2+($C106-P$6)^2+($D106-P$7)^2)</f>
        <v>3.89144063821574</v>
      </c>
      <c r="Q106" s="74" t="n">
        <f aca="false">SQRT(($B106-Q$5)^2+($C106-Q$6)^2+($D106-Q$7)^2)</f>
        <v>3.35337057754617</v>
      </c>
      <c r="R106" s="74" t="n">
        <f aca="false">SQRT(($B106-R$5)^2+($C106-R$6)^2+($D106-R$7)^2)</f>
        <v>3.38265206186386</v>
      </c>
      <c r="S106" s="74" t="n">
        <f aca="false">SQRT(($B106-S$5)^2+($C106-S$6)^2+($D106-S$7)^2)</f>
        <v>3.00132061623834</v>
      </c>
      <c r="T106" s="74" t="n">
        <f aca="false">SQRT(($B106-T$5)^2+($C106-T$6)^2+($D106-T$7)^2)</f>
        <v>3.25856089246498</v>
      </c>
      <c r="U106" s="74" t="n">
        <f aca="false">SQRT(($B106-U$5)^2+($C106-U$6)^2+($D106-U$7)^2)</f>
        <v>3.38857365706999</v>
      </c>
      <c r="V106" s="74" t="n">
        <f aca="false">SQRT(($B106-V$5)^2+($C106-V$6)^2+($D106-V$7)^2)</f>
        <v>3.18867095264114</v>
      </c>
      <c r="W106" s="74" t="n">
        <f aca="false">SQRT(($B106-W$5)^2+($C106-W$6)^2+($D106-W$7)^2)</f>
        <v>3.37285096304414</v>
      </c>
      <c r="X106" s="74" t="n">
        <f aca="false">SQRT(($B106-X$5)^2+($C106-X$6)^2+($D106-X$7)^2)</f>
        <v>3.12103125101771</v>
      </c>
      <c r="Y106" s="74" t="n">
        <f aca="false">SQRT(($B106-Y$5)^2+($C106-Y$6)^2+($D106-Y$7)^2)</f>
        <v>3.26109262584541</v>
      </c>
      <c r="Z106" s="74" t="n">
        <f aca="false">SQRT(($B106-Z$5)^2+($C106-Z$6)^2+($D106-Z$7)^2)</f>
        <v>2.81160838171739</v>
      </c>
      <c r="AA106" s="74" t="n">
        <f aca="false">SQRT(($B106-AA$5)^2+($C106-AA$6)^2+($D106-AA$7)^2)</f>
        <v>2.78126485673963</v>
      </c>
      <c r="AB106" s="74" t="n">
        <f aca="false">SQRT(($B106-AB$5)^2+($C106-AB$6)^2+($D106-AB$7)^2)</f>
        <v>2.71751636272141</v>
      </c>
      <c r="AC106" s="74" t="n">
        <f aca="false">SQRT(($B106-AC$5)^2+($C106-AC$6)^2+($D106-AC$7)^2)</f>
        <v>3.20423748545273</v>
      </c>
      <c r="AD106" s="74" t="n">
        <f aca="false">SQRT(($B106-AD$5)^2+($C106-AD$6)^2+($D106-AD$7)^2)</f>
        <v>3.2287963636662</v>
      </c>
      <c r="AE106" s="74" t="n">
        <f aca="false">SQRT(($B106-AE$5)^2+($C106-AE$6)^2+($D106-AE$7)^2)</f>
        <v>1.56811137971082</v>
      </c>
      <c r="AF106" s="74" t="n">
        <f aca="false">SQRT(($B106-AF$5)^2+($C106-AF$6)^2+($D106-AF$7)^2)</f>
        <v>2.82468747114469</v>
      </c>
      <c r="AG106" s="74" t="n">
        <f aca="false">SQRT(($B106-AG$5)^2+($C106-AG$6)^2+($D106-AG$7)^2)</f>
        <v>1.59461295651011</v>
      </c>
      <c r="AH106" s="74" t="n">
        <f aca="false">SQRT(($B106-AH$5)^2+($C106-AH$6)^2+($D106-AH$7)^2)</f>
        <v>2.52879244130624</v>
      </c>
      <c r="AI106" s="74" t="n">
        <f aca="false">SQRT(($B106-AI$5)^2+($C106-AI$6)^2+($D106-AI$7)^2)</f>
        <v>1.59181705760979</v>
      </c>
      <c r="AJ106" s="74" t="n">
        <f aca="false">SQRT(($B106-AJ$5)^2+($C106-AJ$6)^2+($D106-AJ$7)^2)</f>
        <v>2.9245766632908</v>
      </c>
      <c r="AK106" s="74" t="n">
        <f aca="false">SQRT(($B106-AK$5)^2+($C106-AK$6)^2+($D106-AK$7)^2)</f>
        <v>2.23954907986582</v>
      </c>
      <c r="AL106" s="74" t="n">
        <f aca="false">SQRT(($B106-AL$5)^2+($C106-AL$6)^2+($D106-AL$7)^2)</f>
        <v>2.21165864369844</v>
      </c>
      <c r="AM106" s="74" t="n">
        <f aca="false">SQRT(($B106-AM$5)^2+($C106-AM$6)^2+($D106-AM$7)^2)</f>
        <v>2.83935420780798</v>
      </c>
      <c r="AN106" s="74" t="n">
        <f aca="false">SQRT(($B106-AN$5)^2+($C106-AN$6)^2+($D106-AN$7)^2)</f>
        <v>2.90491840474779</v>
      </c>
      <c r="AO106" s="74" t="n">
        <f aca="false">SQRT(($B106-AO$5)^2+($C106-AO$6)^2+($D106-AO$7)^2)</f>
        <v>2.3551556225573</v>
      </c>
      <c r="AP106" s="74" t="n">
        <f aca="false">SQRT(($B106-AP$5)^2+($C106-AP$6)^2+($D106-AP$7)^2)</f>
        <v>2.29653547549528</v>
      </c>
      <c r="AQ106" s="74" t="n">
        <f aca="false">SQRT(($B106-AQ$5)^2+($C106-AQ$6)^2+($D106-AQ$7)^2)</f>
        <v>2.90988804865808</v>
      </c>
      <c r="AR106" s="74" t="n">
        <f aca="false">SQRT(($B106-AR$5)^2+($C106-AR$6)^2+($D106-AR$7)^2)</f>
        <v>1.82341928259964</v>
      </c>
      <c r="AS106" s="74" t="n">
        <f aca="false">SQRT(($B106-AS$5)^2+($C106-AS$6)^2+($D106-AS$7)^2)</f>
        <v>2.44350658598406</v>
      </c>
      <c r="AT106" s="74" t="n">
        <f aca="false">SQRT(($B106-AT$5)^2+($C106-AT$6)^2+($D106-AT$7)^2)</f>
        <v>2.27689855932904</v>
      </c>
      <c r="AU106" s="74" t="n">
        <f aca="false">SQRT(($B106-AU$5)^2+($C106-AU$6)^2+($D106-AU$7)^2)</f>
        <v>1.31616696329655</v>
      </c>
      <c r="AV106" s="74" t="n">
        <f aca="false">SQRT(($B106-AV$5)^2+($C106-AV$6)^2+($D106-AV$7)^2)</f>
        <v>1.98534700752188</v>
      </c>
      <c r="AW106" s="74" t="n">
        <f aca="false">SQRT(($B106-AW$5)^2+($C106-AW$6)^2+($D106-AW$7)^2)</f>
        <v>1.11747778128948</v>
      </c>
      <c r="AX106" s="74" t="n">
        <f aca="false">SQRT(($B106-AX$5)^2+($C106-AX$6)^2+($D106-AX$7)^2)</f>
        <v>2.03943150382913</v>
      </c>
      <c r="AY106" s="74" t="n">
        <f aca="false">SQRT(($B106-AY$5)^2+($C106-AY$6)^2+($D106-AY$7)^2)</f>
        <v>1.03268088479662</v>
      </c>
      <c r="AZ106" s="74" t="n">
        <f aca="false">SQRT(($B106-AZ$5)^2+($C106-AZ$6)^2+($D106-AZ$7)^2)</f>
        <v>2.41056221208825</v>
      </c>
      <c r="BA106" s="74" t="n">
        <f aca="false">SQRT(($B106-BA$5)^2+($C106-BA$6)^2+($D106-BA$7)^2)</f>
        <v>2.25798521038328</v>
      </c>
      <c r="BB106" s="74" t="n">
        <f aca="false">SQRT(($B106-BB$5)^2+($C106-BB$6)^2+($D106-BB$7)^2)</f>
        <v>1.02613400580028</v>
      </c>
      <c r="BC106" s="74" t="n">
        <f aca="false">SQRT(($B106-BC$5)^2+($C106-BC$6)^2+($D106-BC$7)^2)</f>
        <v>1.01950372482995</v>
      </c>
      <c r="BD106" s="74" t="n">
        <f aca="false">SQRT(($B106-BD$5)^2+($C106-BD$6)^2+($D106-BD$7)^2)</f>
        <v>1.18779406682195</v>
      </c>
      <c r="BE106" s="74" t="n">
        <f aca="false">SQRT(($B106-BE$5)^2+($C106-BE$6)^2+($D106-BE$7)^2)</f>
        <v>1.33542644739204</v>
      </c>
      <c r="BF106" s="74" t="n">
        <f aca="false">SQRT(($B106-BF$5)^2+($C106-BF$6)^2+($D106-BF$7)^2)</f>
        <v>2.97178180764777</v>
      </c>
      <c r="BG106" s="74" t="n">
        <f aca="false">SQRT(($B106-BG$5)^2+($C106-BG$6)^2+($D106-BG$7)^2)</f>
        <v>2.06339257451673</v>
      </c>
      <c r="BH106" s="74" t="n">
        <f aca="false">SQRT(($B106-BH$5)^2+($C106-BH$6)^2+($D106-BH$7)^2)</f>
        <v>0.916541356721223</v>
      </c>
      <c r="BI106" s="74" t="n">
        <f aca="false">SQRT(($B106-BI$5)^2+($C106-BI$6)^2+($D106-BI$7)^2)</f>
        <v>0.900017111151288</v>
      </c>
      <c r="BJ106" s="74" t="n">
        <f aca="false">SQRT(($B106-BJ$5)^2+($C106-BJ$6)^2+($D106-BJ$7)^2)</f>
        <v>1.88384086578081</v>
      </c>
      <c r="BK106" s="74" t="n">
        <f aca="false">SQRT(($B106-BK$5)^2+($C106-BK$6)^2+($D106-BK$7)^2)</f>
        <v>1.12156019254713</v>
      </c>
      <c r="BL106" s="74" t="n">
        <f aca="false">SQRT(($B106-BL$5)^2+($C106-BL$6)^2+($D106-BL$7)^2)</f>
        <v>1.72197131928476</v>
      </c>
      <c r="BM106" s="74" t="n">
        <f aca="false">SQRT(($B106-BM$5)^2+($C106-BM$6)^2+($D106-BM$7)^2)</f>
        <v>2.20033328476808</v>
      </c>
      <c r="BN106" s="74" t="n">
        <f aca="false">SQRT(($B106-BN$5)^2+($C106-BN$6)^2+($D106-BN$7)^2)</f>
        <v>1.65163706894197</v>
      </c>
      <c r="BO106" s="74" t="n">
        <f aca="false">SQRT(($B106-BO$5)^2+($C106-BO$6)^2+($D106-BO$7)^2)</f>
        <v>0.831365166546687</v>
      </c>
      <c r="BP106" s="74" t="n">
        <f aca="false">SQRT(($B106-BP$5)^2+($C106-BP$6)^2+($D106-BP$7)^2)</f>
        <v>1.79503257648049</v>
      </c>
      <c r="BQ106" s="74" t="n">
        <f aca="false">SQRT(($B106-BQ$5)^2+($C106-BQ$6)^2+($D106-BQ$7)^2)</f>
        <v>1.76902507111219</v>
      </c>
      <c r="BR106" s="74" t="n">
        <f aca="false">SQRT(($B106-BR$5)^2+($C106-BR$6)^2+($D106-BR$7)^2)</f>
        <v>1.80183555285181</v>
      </c>
      <c r="BS106" s="74" t="n">
        <f aca="false">SQRT(($B106-BS$5)^2+($C106-BS$6)^2+($D106-BS$7)^2)</f>
        <v>1.86323946881683</v>
      </c>
      <c r="BT106" s="74" t="n">
        <f aca="false">SQRT(($B106-BT$5)^2+($C106-BT$6)^2+($D106-BT$7)^2)</f>
        <v>1.47468877740593</v>
      </c>
      <c r="BU106" s="74" t="n">
        <f aca="false">SQRT(($B106-BU$5)^2+($C106-BU$6)^2+($D106-BU$7)^2)</f>
        <v>1.39840199169246</v>
      </c>
      <c r="BV106" s="74" t="n">
        <f aca="false">SQRT(($B106-BV$5)^2+($C106-BV$6)^2+($D106-BV$7)^2)</f>
        <v>0.571794757196831</v>
      </c>
      <c r="BW106" s="74" t="n">
        <f aca="false">SQRT(($B106-BW$5)^2+($C106-BW$6)^2+($D106-BW$7)^2)</f>
        <v>1.53640758448483</v>
      </c>
      <c r="BX106" s="74" t="n">
        <f aca="false">SQRT(($B106-BX$5)^2+($C106-BX$6)^2+($D106-BX$7)^2)</f>
        <v>0.555779031469576</v>
      </c>
      <c r="BY106" s="74" t="n">
        <f aca="false">SQRT(($B106-BY$5)^2+($C106-BY$6)^2+($D106-BY$7)^2)</f>
        <v>1.09599041084044</v>
      </c>
      <c r="BZ106" s="74" t="n">
        <f aca="false">SQRT(($B106-BZ$5)^2+($C106-BZ$6)^2+($D106-BZ$7)^2)</f>
        <v>1.03327549249945</v>
      </c>
      <c r="CA106" s="74" t="n">
        <f aca="false">SQRT(($B106-CA$5)^2+($C106-CA$6)^2+($D106-CA$7)^2)</f>
        <v>0.504543925041874</v>
      </c>
      <c r="CB106" s="74" t="n">
        <f aca="false">SQRT(($B106-CB$5)^2+($C106-CB$6)^2+($D106-CB$7)^2)</f>
        <v>1.02448126201007</v>
      </c>
      <c r="CC106" s="74" t="n">
        <f aca="false">SQRT(($B106-CC$5)^2+($C106-CC$6)^2+($D106-CC$7)^2)</f>
        <v>0.486279945202792</v>
      </c>
      <c r="CD106" s="74" t="n">
        <f aca="false">SQRT(($B106-CD$5)^2+($C106-CD$6)^2+($D106-CD$7)^2)</f>
        <v>0.447708967633117</v>
      </c>
      <c r="CE106" s="74" t="n">
        <f aca="false">SQRT(($B106-CE$5)^2+($C106-CE$6)^2+($D106-CE$7)^2)</f>
        <v>1.26304802641565</v>
      </c>
      <c r="CF106" s="74" t="n">
        <f aca="false">SQRT(($B106-CF$5)^2+($C106-CF$6)^2+($D106-CF$7)^2)</f>
        <v>1.45244600986565</v>
      </c>
      <c r="CG106" s="74" t="n">
        <f aca="false">SQRT(($B106-CG$5)^2+($C106-CG$6)^2+($D106-CG$7)^2)</f>
        <v>0.981168523864864</v>
      </c>
      <c r="CH106" s="74" t="n">
        <f aca="false">SQRT(($B106-CH$5)^2+($C106-CH$6)^2+($D106-CH$7)^2)</f>
        <v>0.82847175253802</v>
      </c>
      <c r="CI106" s="74" t="n">
        <f aca="false">SQRT(($B106-CI$5)^2+($C106-CI$6)^2+($D106-CI$7)^2)</f>
        <v>0.713786439371936</v>
      </c>
      <c r="CJ106" s="74" t="n">
        <f aca="false">SQRT(($B106-CJ$5)^2+($C106-CJ$6)^2+($D106-CJ$7)^2)</f>
        <v>0.429051850997958</v>
      </c>
      <c r="CK106" s="74" t="n">
        <f aca="false">SQRT(($B106-CK$5)^2+($C106-CK$6)^2+($D106-CK$7)^2)</f>
        <v>1.13402684193356</v>
      </c>
      <c r="CL106" s="74" t="n">
        <f aca="false">SQRT(($B106-CL$5)^2+($C106-CL$6)^2+($D106-CL$7)^2)</f>
        <v>0.195016706217928</v>
      </c>
      <c r="CM106" s="74" t="n">
        <f aca="false">SQRT(($B106-CM$5)^2+($C106-CM$6)^2+($D106-CM$7)^2)</f>
        <v>0.852880279718776</v>
      </c>
      <c r="CN106" s="74" t="n">
        <f aca="false">SQRT(($B106-CN$5)^2+($C106-CN$6)^2+($D106-CN$7)^2)</f>
        <v>1.8546471680959</v>
      </c>
      <c r="CO106" s="74" t="n">
        <f aca="false">SQRT(($B106-CO$5)^2+($C106-CO$6)^2+($D106-CO$7)^2)</f>
        <v>1.101090333986</v>
      </c>
      <c r="CP106" s="74" t="n">
        <f aca="false">SQRT(($B106-CP$5)^2+($C106-CP$6)^2+($D106-CP$7)^2)</f>
        <v>0.0869466423814695</v>
      </c>
      <c r="CQ106" s="74" t="n">
        <f aca="false">SQRT(($B106-CQ$5)^2+($C106-CQ$6)^2+($D106-CQ$7)^2)</f>
        <v>0.747172593753357</v>
      </c>
      <c r="CR106" s="74" t="n">
        <f aca="false">SQRT(($B106-CR$5)^2+($C106-CR$6)^2+($D106-CR$7)^2)</f>
        <v>0.830285044926794</v>
      </c>
      <c r="CS106" s="74" t="n">
        <f aca="false">SQRT(($B106-CS$5)^2+($C106-CS$6)^2+($D106-CS$7)^2)</f>
        <v>0</v>
      </c>
      <c r="CT106" s="74" t="n">
        <f aca="false">SQRT(($B106-CT$5)^2+($C106-CT$6)^2+($D106-CT$7)^2)</f>
        <v>0.0496060909583216</v>
      </c>
      <c r="CU106" s="74" t="n">
        <f aca="false">SQRT(($B106-CU$5)^2+($C106-CU$6)^2+($D106-CU$7)^2)</f>
        <v>0.618025251468594</v>
      </c>
      <c r="CV106" s="74" t="n">
        <f aca="false">SQRT(($B106-CV$5)^2+($C106-CV$6)^2+($D106-CV$7)^2)</f>
        <v>1.41167585745436</v>
      </c>
      <c r="CW106" s="74" t="n">
        <f aca="false">SQRT(($B106-CW$5)^2+($C106-CW$6)^2+($D106-CW$7)^2)</f>
        <v>0.0496060909583216</v>
      </c>
      <c r="CX106" s="74" t="n">
        <f aca="false">SQRT(($B106-CX$5)^2+($C106-CX$6)^2+($D106-CX$7)^2)</f>
        <v>1.11606060250543</v>
      </c>
      <c r="CY106" s="74" t="n">
        <f aca="false">SQRT(($B106-CY$5)^2+($C106-CY$6)^2+($D106-CY$7)^2)</f>
        <v>0.104443080395001</v>
      </c>
      <c r="CZ106" s="74" t="n">
        <f aca="false">SQRT(($B106-CZ$5)^2+($C106-CZ$6)^2+($D106-CZ$7)^2)</f>
        <v>0.104443080395001</v>
      </c>
      <c r="DA106" s="74" t="n">
        <f aca="false">SQRT(($B106-DA$5)^2+($C106-DA$6)^2+($D106-DA$7)^2)</f>
        <v>0.650831188507481</v>
      </c>
      <c r="DB106" s="74" t="n">
        <f aca="false">SQRT(($B106-DB$5)^2+($C106-DB$6)^2+($D106-DB$7)^2)</f>
        <v>0.16574561903372</v>
      </c>
      <c r="DC106" s="74" t="n">
        <f aca="false">SQRT(($B106-DC$5)^2+($C106-DC$6)^2+($D106-DC$7)^2)</f>
        <v>0.16574561903372</v>
      </c>
      <c r="DD106" s="74" t="n">
        <f aca="false">SQRT(($B106-DD$5)^2+($C106-DD$6)^2+($D106-DD$7)^2)</f>
        <v>0.535388762751963</v>
      </c>
      <c r="DE106" s="74" t="n">
        <f aca="false">SQRT(($B106-DE$5)^2+($C106-DE$6)^2+($D106-DE$7)^2)</f>
        <v>0.450214414039819</v>
      </c>
      <c r="DF106" s="74" t="n">
        <f aca="false">SQRT(($B106-DF$5)^2+($C106-DF$6)^2+($D106-DF$7)^2)</f>
        <v>0.526507944285367</v>
      </c>
      <c r="DG106" s="74" t="n">
        <f aca="false">SQRT(($B106-DG$5)^2+($C106-DG$6)^2+($D106-DG$7)^2)</f>
        <v>0.676237837591832</v>
      </c>
      <c r="DH106" s="74" t="n">
        <f aca="false">SQRT(($B106-DH$5)^2+($C106-DH$6)^2+($D106-DH$7)^2)</f>
        <v>0.676237837591832</v>
      </c>
      <c r="DI106" s="74" t="n">
        <f aca="false">SQRT(($B106-DI$5)^2+($C106-DI$6)^2+($D106-DI$7)^2)</f>
        <v>0.676237837591832</v>
      </c>
      <c r="DJ106" s="74" t="n">
        <f aca="false">SQRT(($B106-DJ$5)^2+($C106-DJ$6)^2+($D106-DJ$7)^2)</f>
        <v>0.676237837591832</v>
      </c>
      <c r="DK106" s="74" t="n">
        <f aca="false">SQRT(($B106-DK$5)^2+($C106-DK$6)^2+($D106-DK$7)^2)</f>
        <v>0.887270269537015</v>
      </c>
      <c r="DL106" s="74" t="n">
        <f aca="false">SQRT(($B106-DL$5)^2+($C106-DL$6)^2+($D106-DL$7)^2)</f>
        <v>0.887270269537015</v>
      </c>
      <c r="DM106" s="74" t="n">
        <f aca="false">SQRT(($B106-DM$5)^2+($C106-DM$6)^2+($D106-DM$7)^2)</f>
        <v>0.887270269537015</v>
      </c>
      <c r="DN106" s="74" t="n">
        <f aca="false">SQRT(($B106-DN$5)^2+($C106-DN$6)^2+($D106-DN$7)^2)</f>
        <v>0.887270269537015</v>
      </c>
      <c r="DO106" s="74" t="n">
        <f aca="false">SQRT(($B106-DO$5)^2+($C106-DO$6)^2+($D106-DO$7)^2)</f>
        <v>0.887270269537015</v>
      </c>
      <c r="DP106" s="74" t="n">
        <f aca="false">SQRT(($B106-DP$5)^2+($C106-DP$6)^2+($D106-DP$7)^2)</f>
        <v>1.24803259478866</v>
      </c>
      <c r="DQ106" s="74" t="n">
        <f aca="false">SQRT(($B106-DQ$5)^2+($C106-DQ$6)^2+($D106-DQ$7)^2)</f>
        <v>1.24803259478866</v>
      </c>
    </row>
    <row r="107" customFormat="false" ht="15" hidden="false" customHeight="false" outlineLevel="0" collapsed="false">
      <c r="A107" s="48" t="str">
        <f aca="false">KMeans_Data!A98</f>
        <v>Rajanpur</v>
      </c>
      <c r="B107" s="72" t="n">
        <f aca="false">KMeans_Data!H98</f>
        <v>-0.881311477972984</v>
      </c>
      <c r="C107" s="72" t="n">
        <f aca="false">KMeans_Data!I98</f>
        <v>-0.672650545388274</v>
      </c>
      <c r="D107" s="72" t="n">
        <f aca="false">KMeans_Data!J98</f>
        <v>-1.14564411633355</v>
      </c>
      <c r="E107" s="74" t="n">
        <f aca="false">SQRT(($B107-E$5)^2+($C107-E$6)^2+($D107-E$7)^2)</f>
        <v>7.66896199778013</v>
      </c>
      <c r="F107" s="74" t="n">
        <f aca="false">SQRT(($B107-F$5)^2+($C107-F$6)^2+($D107-F$7)^2)</f>
        <v>7.41838607315076</v>
      </c>
      <c r="G107" s="74" t="n">
        <f aca="false">SQRT(($B107-G$5)^2+($C107-G$6)^2+($D107-G$7)^2)</f>
        <v>5.63148928328052</v>
      </c>
      <c r="H107" s="74" t="n">
        <f aca="false">SQRT(($B107-H$5)^2+($C107-H$6)^2+($D107-H$7)^2)</f>
        <v>6.00833707467189</v>
      </c>
      <c r="I107" s="74" t="n">
        <f aca="false">SQRT(($B107-I$5)^2+($C107-I$6)^2+($D107-I$7)^2)</f>
        <v>4.98941808235669</v>
      </c>
      <c r="J107" s="74" t="n">
        <f aca="false">SQRT(($B107-J$5)^2+($C107-J$6)^2+($D107-J$7)^2)</f>
        <v>4.55794971150613</v>
      </c>
      <c r="K107" s="74" t="n">
        <f aca="false">SQRT(($B107-K$5)^2+($C107-K$6)^2+($D107-K$7)^2)</f>
        <v>2.39358400499517</v>
      </c>
      <c r="L107" s="74" t="n">
        <f aca="false">SQRT(($B107-L$5)^2+($C107-L$6)^2+($D107-L$7)^2)</f>
        <v>3.86135372235592</v>
      </c>
      <c r="M107" s="74" t="n">
        <f aca="false">SQRT(($B107-M$5)^2+($C107-M$6)^2+($D107-M$7)^2)</f>
        <v>4.02553992219079</v>
      </c>
      <c r="N107" s="74" t="n">
        <f aca="false">SQRT(($B107-N$5)^2+($C107-N$6)^2+($D107-N$7)^2)</f>
        <v>2.1720402581329</v>
      </c>
      <c r="O107" s="74" t="n">
        <f aca="false">SQRT(($B107-O$5)^2+($C107-O$6)^2+($D107-O$7)^2)</f>
        <v>3.64151460143489</v>
      </c>
      <c r="P107" s="74" t="n">
        <f aca="false">SQRT(($B107-P$5)^2+($C107-P$6)^2+($D107-P$7)^2)</f>
        <v>3.91664359133978</v>
      </c>
      <c r="Q107" s="74" t="n">
        <f aca="false">SQRT(($B107-Q$5)^2+($C107-Q$6)^2+($D107-Q$7)^2)</f>
        <v>3.38134615818369</v>
      </c>
      <c r="R107" s="74" t="n">
        <f aca="false">SQRT(($B107-R$5)^2+($C107-R$6)^2+($D107-R$7)^2)</f>
        <v>3.41031193536842</v>
      </c>
      <c r="S107" s="74" t="n">
        <f aca="false">SQRT(($B107-S$5)^2+($C107-S$6)^2+($D107-S$7)^2)</f>
        <v>3.03197778889073</v>
      </c>
      <c r="T107" s="74" t="n">
        <f aca="false">SQRT(($B107-T$5)^2+($C107-T$6)^2+($D107-T$7)^2)</f>
        <v>3.28625821211196</v>
      </c>
      <c r="U107" s="74" t="n">
        <f aca="false">SQRT(($B107-U$5)^2+($C107-U$6)^2+($D107-U$7)^2)</f>
        <v>3.41390250451182</v>
      </c>
      <c r="V107" s="74" t="n">
        <f aca="false">SQRT(($B107-V$5)^2+($C107-V$6)^2+($D107-V$7)^2)</f>
        <v>3.2151557677934</v>
      </c>
      <c r="W107" s="74" t="n">
        <f aca="false">SQRT(($B107-W$5)^2+($C107-W$6)^2+($D107-W$7)^2)</f>
        <v>3.39787331106179</v>
      </c>
      <c r="X107" s="74" t="n">
        <f aca="false">SQRT(($B107-X$5)^2+($C107-X$6)^2+($D107-X$7)^2)</f>
        <v>3.14790751179458</v>
      </c>
      <c r="Y107" s="74" t="n">
        <f aca="false">SQRT(($B107-Y$5)^2+($C107-Y$6)^2+($D107-Y$7)^2)</f>
        <v>3.28604056195997</v>
      </c>
      <c r="Z107" s="74" t="n">
        <f aca="false">SQRT(($B107-Z$5)^2+($C107-Z$6)^2+($D107-Z$7)^2)</f>
        <v>2.84043324816415</v>
      </c>
      <c r="AA107" s="74" t="n">
        <f aca="false">SQRT(($B107-AA$5)^2+($C107-AA$6)^2+($D107-AA$7)^2)</f>
        <v>2.81036353774792</v>
      </c>
      <c r="AB107" s="74" t="n">
        <f aca="false">SQRT(($B107-AB$5)^2+($C107-AB$6)^2+($D107-AB$7)^2)</f>
        <v>2.74729033642727</v>
      </c>
      <c r="AC107" s="74" t="n">
        <f aca="false">SQRT(($B107-AC$5)^2+($C107-AC$6)^2+($D107-AC$7)^2)</f>
        <v>3.22919417541568</v>
      </c>
      <c r="AD107" s="74" t="n">
        <f aca="false">SQRT(($B107-AD$5)^2+($C107-AD$6)^2+($D107-AD$7)^2)</f>
        <v>3.25274723105696</v>
      </c>
      <c r="AE107" s="74" t="n">
        <f aca="false">SQRT(($B107-AE$5)^2+($C107-AE$6)^2+($D107-AE$7)^2)</f>
        <v>1.6149328167294</v>
      </c>
      <c r="AF107" s="74" t="n">
        <f aca="false">SQRT(($B107-AF$5)^2+($C107-AF$6)^2+($D107-AF$7)^2)</f>
        <v>2.85019304263146</v>
      </c>
      <c r="AG107" s="74" t="n">
        <f aca="false">SQRT(($B107-AG$5)^2+($C107-AG$6)^2+($D107-AG$7)^2)</f>
        <v>1.63862342887873</v>
      </c>
      <c r="AH107" s="74" t="n">
        <f aca="false">SQRT(($B107-AH$5)^2+($C107-AH$6)^2+($D107-AH$7)^2)</f>
        <v>2.55677286277212</v>
      </c>
      <c r="AI107" s="74" t="n">
        <f aca="false">SQRT(($B107-AI$5)^2+($C107-AI$6)^2+($D107-AI$7)^2)</f>
        <v>1.63580680460802</v>
      </c>
      <c r="AJ107" s="74" t="n">
        <f aca="false">SQRT(($B107-AJ$5)^2+($C107-AJ$6)^2+($D107-AJ$7)^2)</f>
        <v>2.94864331959882</v>
      </c>
      <c r="AK107" s="74" t="n">
        <f aca="false">SQRT(($B107-AK$5)^2+($C107-AK$6)^2+($D107-AK$7)^2)</f>
        <v>2.27008764527601</v>
      </c>
      <c r="AL107" s="74" t="n">
        <f aca="false">SQRT(($B107-AL$5)^2+($C107-AL$6)^2+($D107-AL$7)^2)</f>
        <v>2.2415403442755</v>
      </c>
      <c r="AM107" s="74" t="n">
        <f aca="false">SQRT(($B107-AM$5)^2+($C107-AM$6)^2+($D107-AM$7)^2)</f>
        <v>2.86269129948822</v>
      </c>
      <c r="AN107" s="74" t="n">
        <f aca="false">SQRT(($B107-AN$5)^2+($C107-AN$6)^2+($D107-AN$7)^2)</f>
        <v>2.92720624092586</v>
      </c>
      <c r="AO107" s="74" t="n">
        <f aca="false">SQRT(($B107-AO$5)^2+($C107-AO$6)^2+($D107-AO$7)^2)</f>
        <v>2.38216670417961</v>
      </c>
      <c r="AP107" s="74" t="n">
        <f aca="false">SQRT(($B107-AP$5)^2+($C107-AP$6)^2+($D107-AP$7)^2)</f>
        <v>2.3241386863244</v>
      </c>
      <c r="AQ107" s="74" t="n">
        <f aca="false">SQRT(($B107-AQ$5)^2+($C107-AQ$6)^2+($D107-AQ$7)^2)</f>
        <v>2.93135951749214</v>
      </c>
      <c r="AR107" s="74" t="n">
        <f aca="false">SQRT(($B107-AR$5)^2+($C107-AR$6)^2+($D107-AR$7)^2)</f>
        <v>1.85701709924372</v>
      </c>
      <c r="AS107" s="74" t="n">
        <f aca="false">SQRT(($B107-AS$5)^2+($C107-AS$6)^2+($D107-AS$7)^2)</f>
        <v>2.46721749746533</v>
      </c>
      <c r="AT107" s="74" t="n">
        <f aca="false">SQRT(($B107-AT$5)^2+($C107-AT$6)^2+($D107-AT$7)^2)</f>
        <v>2.30139071437574</v>
      </c>
      <c r="AU107" s="74" t="n">
        <f aca="false">SQRT(($B107-AU$5)^2+($C107-AU$6)^2+($D107-AU$7)^2)</f>
        <v>1.35767916753299</v>
      </c>
      <c r="AV107" s="74" t="n">
        <f aca="false">SQRT(($B107-AV$5)^2+($C107-AV$6)^2+($D107-AV$7)^2)</f>
        <v>2.0129637432433</v>
      </c>
      <c r="AW107" s="74" t="n">
        <f aca="false">SQRT(($B107-AW$5)^2+($C107-AW$6)^2+($D107-AW$7)^2)</f>
        <v>1.16507780825488</v>
      </c>
      <c r="AX107" s="74" t="n">
        <f aca="false">SQRT(($B107-AX$5)^2+($C107-AX$6)^2+($D107-AX$7)^2)</f>
        <v>2.06575086068352</v>
      </c>
      <c r="AY107" s="74" t="n">
        <f aca="false">SQRT(($B107-AY$5)^2+($C107-AY$6)^2+($D107-AY$7)^2)</f>
        <v>1.08228697575494</v>
      </c>
      <c r="AZ107" s="74" t="n">
        <f aca="false">SQRT(($B107-AZ$5)^2+($C107-AZ$6)^2+($D107-AZ$7)^2)</f>
        <v>2.4322264422566</v>
      </c>
      <c r="BA107" s="74" t="n">
        <f aca="false">SQRT(($B107-BA$5)^2+($C107-BA$6)^2+($D107-BA$7)^2)</f>
        <v>2.28095659060494</v>
      </c>
      <c r="BB107" s="74" t="n">
        <f aca="false">SQRT(($B107-BB$5)^2+($C107-BB$6)^2+($D107-BB$7)^2)</f>
        <v>1.0757400967586</v>
      </c>
      <c r="BC107" s="74" t="n">
        <f aca="false">SQRT(($B107-BC$5)^2+($C107-BC$6)^2+($D107-BC$7)^2)</f>
        <v>1.06910981578827</v>
      </c>
      <c r="BD107" s="74" t="n">
        <f aca="false">SQRT(($B107-BD$5)^2+($C107-BD$6)^2+($D107-BD$7)^2)</f>
        <v>1.22981196116151</v>
      </c>
      <c r="BE107" s="74" t="n">
        <f aca="false">SQRT(($B107-BE$5)^2+($C107-BE$6)^2+($D107-BE$7)^2)</f>
        <v>1.37242516458775</v>
      </c>
      <c r="BF107" s="74" t="n">
        <f aca="false">SQRT(($B107-BF$5)^2+($C107-BF$6)^2+($D107-BF$7)^2)</f>
        <v>2.98822811116236</v>
      </c>
      <c r="BG107" s="74" t="n">
        <f aca="false">SQRT(($B107-BG$5)^2+($C107-BG$6)^2+($D107-BG$7)^2)</f>
        <v>2.08628154949002</v>
      </c>
      <c r="BH107" s="74" t="n">
        <f aca="false">SQRT(($B107-BH$5)^2+($C107-BH$6)^2+($D107-BH$7)^2)</f>
        <v>0.966147447679545</v>
      </c>
      <c r="BI107" s="74" t="n">
        <f aca="false">SQRT(($B107-BI$5)^2+($C107-BI$6)^2+($D107-BI$7)^2)</f>
        <v>0.949623202109609</v>
      </c>
      <c r="BJ107" s="74" t="n">
        <f aca="false">SQRT(($B107-BJ$5)^2+($C107-BJ$6)^2+($D107-BJ$7)^2)</f>
        <v>1.90690011173513</v>
      </c>
      <c r="BK107" s="74" t="n">
        <f aca="false">SQRT(($B107-BK$5)^2+($C107-BK$6)^2+($D107-BK$7)^2)</f>
        <v>1.15907916927047</v>
      </c>
      <c r="BL107" s="74" t="n">
        <f aca="false">SQRT(($B107-BL$5)^2+($C107-BL$6)^2+($D107-BL$7)^2)</f>
        <v>1.74636908633855</v>
      </c>
      <c r="BM107" s="74" t="n">
        <f aca="false">SQRT(($B107-BM$5)^2+($C107-BM$6)^2+($D107-BM$7)^2)</f>
        <v>2.21881383587313</v>
      </c>
      <c r="BN107" s="74" t="n">
        <f aca="false">SQRT(($B107-BN$5)^2+($C107-BN$6)^2+($D107-BN$7)^2)</f>
        <v>1.67587312589983</v>
      </c>
      <c r="BO107" s="74" t="n">
        <f aca="false">SQRT(($B107-BO$5)^2+($C107-BO$6)^2+($D107-BO$7)^2)</f>
        <v>0.877328811114418</v>
      </c>
      <c r="BP107" s="74" t="n">
        <f aca="false">SQRT(($B107-BP$5)^2+($C107-BP$6)^2+($D107-BP$7)^2)</f>
        <v>1.81585990094623</v>
      </c>
      <c r="BQ107" s="74" t="n">
        <f aca="false">SQRT(($B107-BQ$5)^2+($C107-BQ$6)^2+($D107-BQ$7)^2)</f>
        <v>1.78983085831224</v>
      </c>
      <c r="BR107" s="74" t="n">
        <f aca="false">SQRT(($B107-BR$5)^2+($C107-BR$6)^2+($D107-BR$7)^2)</f>
        <v>1.82160753352507</v>
      </c>
      <c r="BS107" s="74" t="n">
        <f aca="false">SQRT(($B107-BS$5)^2+($C107-BS$6)^2+($D107-BS$7)^2)</f>
        <v>1.88134984890849</v>
      </c>
      <c r="BT107" s="74" t="n">
        <f aca="false">SQRT(($B107-BT$5)^2+($C107-BT$6)^2+($D107-BT$7)^2)</f>
        <v>1.49612491572667</v>
      </c>
      <c r="BU107" s="74" t="n">
        <f aca="false">SQRT(($B107-BU$5)^2+($C107-BU$6)^2+($D107-BU$7)^2)</f>
        <v>1.4209894101015</v>
      </c>
      <c r="BV107" s="74" t="n">
        <f aca="false">SQRT(($B107-BV$5)^2+($C107-BV$6)^2+($D107-BV$7)^2)</f>
        <v>0.621400848155152</v>
      </c>
      <c r="BW107" s="74" t="n">
        <f aca="false">SQRT(($B107-BW$5)^2+($C107-BW$6)^2+($D107-BW$7)^2)</f>
        <v>1.55503989669021</v>
      </c>
      <c r="BX107" s="74" t="n">
        <f aca="false">SQRT(($B107-BX$5)^2+($C107-BX$6)^2+($D107-BX$7)^2)</f>
        <v>0.605385122427897</v>
      </c>
      <c r="BY107" s="74" t="n">
        <f aca="false">SQRT(($B107-BY$5)^2+($C107-BY$6)^2+($D107-BY$7)^2)</f>
        <v>1.1204745520823</v>
      </c>
      <c r="BZ107" s="74" t="n">
        <f aca="false">SQRT(($B107-BZ$5)^2+($C107-BZ$6)^2+($D107-BZ$7)^2)</f>
        <v>1.05838363145711</v>
      </c>
      <c r="CA107" s="74" t="n">
        <f aca="false">SQRT(($B107-CA$5)^2+($C107-CA$6)^2+($D107-CA$7)^2)</f>
        <v>0.554150016000195</v>
      </c>
      <c r="CB107" s="74" t="n">
        <f aca="false">SQRT(($B107-CB$5)^2+($C107-CB$6)^2+($D107-CB$7)^2)</f>
        <v>1.04893637312079</v>
      </c>
      <c r="CC107" s="74" t="n">
        <f aca="false">SQRT(($B107-CC$5)^2+($C107-CC$6)^2+($D107-CC$7)^2)</f>
        <v>0.535886036161114</v>
      </c>
      <c r="CD107" s="74" t="n">
        <f aca="false">SQRT(($B107-CD$5)^2+($C107-CD$6)^2+($D107-CD$7)^2)</f>
        <v>0.497315058591439</v>
      </c>
      <c r="CE107" s="74" t="n">
        <f aca="false">SQRT(($B107-CE$5)^2+($C107-CE$6)^2+($D107-CE$7)^2)</f>
        <v>1.28068107903606</v>
      </c>
      <c r="CF107" s="74" t="n">
        <f aca="false">SQRT(($B107-CF$5)^2+($C107-CF$6)^2+($D107-CF$7)^2)</f>
        <v>1.46780554595735</v>
      </c>
      <c r="CG107" s="74" t="n">
        <f aca="false">SQRT(($B107-CG$5)^2+($C107-CG$6)^2+($D107-CG$7)^2)</f>
        <v>1.0004721155159</v>
      </c>
      <c r="CH107" s="74" t="n">
        <f aca="false">SQRT(($B107-CH$5)^2+($C107-CH$6)^2+($D107-CH$7)^2)</f>
        <v>0.851245103630629</v>
      </c>
      <c r="CI107" s="74" t="n">
        <f aca="false">SQRT(($B107-CI$5)^2+($C107-CI$6)^2+($D107-CI$7)^2)</f>
        <v>0.736764775360928</v>
      </c>
      <c r="CJ107" s="74" t="n">
        <f aca="false">SQRT(($B107-CJ$5)^2+($C107-CJ$6)^2+($D107-CJ$7)^2)</f>
        <v>0.463430808130433</v>
      </c>
      <c r="CK107" s="74" t="n">
        <f aca="false">SQRT(($B107-CK$5)^2+($C107-CK$6)^2+($D107-CK$7)^2)</f>
        <v>1.14496993277534</v>
      </c>
      <c r="CL107" s="74" t="n">
        <f aca="false">SQRT(($B107-CL$5)^2+($C107-CL$6)^2+($D107-CL$7)^2)</f>
        <v>0.24462279717625</v>
      </c>
      <c r="CM107" s="74" t="n">
        <f aca="false">SQRT(($B107-CM$5)^2+($C107-CM$6)^2+($D107-CM$7)^2)</f>
        <v>0.865571238389666</v>
      </c>
      <c r="CN107" s="74" t="n">
        <f aca="false">SQRT(($B107-CN$5)^2+($C107-CN$6)^2+($D107-CN$7)^2)</f>
        <v>1.85866343358087</v>
      </c>
      <c r="CO107" s="74" t="n">
        <f aca="false">SQRT(($B107-CO$5)^2+($C107-CO$6)^2+($D107-CO$7)^2)</f>
        <v>1.10611340013515</v>
      </c>
      <c r="CP107" s="74" t="n">
        <f aca="false">SQRT(($B107-CP$5)^2+($C107-CP$6)^2+($D107-CP$7)^2)</f>
        <v>0.136552733339791</v>
      </c>
      <c r="CQ107" s="74" t="n">
        <f aca="false">SQRT(($B107-CQ$5)^2+($C107-CQ$6)^2+($D107-CQ$7)^2)</f>
        <v>0.751811580542148</v>
      </c>
      <c r="CR107" s="74" t="n">
        <f aca="false">SQRT(($B107-CR$5)^2+($C107-CR$6)^2+($D107-CR$7)^2)</f>
        <v>0.831765604055165</v>
      </c>
      <c r="CS107" s="74" t="n">
        <f aca="false">SQRT(($B107-CS$5)^2+($C107-CS$6)^2+($D107-CS$7)^2)</f>
        <v>0.0496060909583216</v>
      </c>
      <c r="CT107" s="74" t="n">
        <f aca="false">SQRT(($B107-CT$5)^2+($C107-CT$6)^2+($D107-CT$7)^2)</f>
        <v>0</v>
      </c>
      <c r="CU107" s="74" t="n">
        <f aca="false">SQRT(($B107-CU$5)^2+($C107-CU$6)^2+($D107-CU$7)^2)</f>
        <v>0.616031206346443</v>
      </c>
      <c r="CV107" s="74" t="n">
        <f aca="false">SQRT(($B107-CV$5)^2+($C107-CV$6)^2+($D107-CV$7)^2)</f>
        <v>1.41080401270316</v>
      </c>
      <c r="CW107" s="74" t="n">
        <f aca="false">SQRT(($B107-CW$5)^2+($C107-CW$6)^2+($D107-CW$7)^2)</f>
        <v>0</v>
      </c>
      <c r="CX107" s="74" t="n">
        <f aca="false">SQRT(($B107-CX$5)^2+($C107-CX$6)^2+($D107-CX$7)^2)</f>
        <v>1.11251517150683</v>
      </c>
      <c r="CY107" s="74" t="n">
        <f aca="false">SQRT(($B107-CY$5)^2+($C107-CY$6)^2+($D107-CY$7)^2)</f>
        <v>0.0548369894366797</v>
      </c>
      <c r="CZ107" s="74" t="n">
        <f aca="false">SQRT(($B107-CZ$5)^2+($C107-CZ$6)^2+($D107-CZ$7)^2)</f>
        <v>0.0548369894366797</v>
      </c>
      <c r="DA107" s="74" t="n">
        <f aca="false">SQRT(($B107-DA$5)^2+($C107-DA$6)^2+($D107-DA$7)^2)</f>
        <v>0.644732482741596</v>
      </c>
      <c r="DB107" s="74" t="n">
        <f aca="false">SQRT(($B107-DB$5)^2+($C107-DB$6)^2+($D107-DB$7)^2)</f>
        <v>0.116139528075398</v>
      </c>
      <c r="DC107" s="74" t="n">
        <f aca="false">SQRT(($B107-DC$5)^2+($C107-DC$6)^2+($D107-DC$7)^2)</f>
        <v>0.116139528075398</v>
      </c>
      <c r="DD107" s="74" t="n">
        <f aca="false">SQRT(($B107-DD$5)^2+($C107-DD$6)^2+($D107-DD$7)^2)</f>
        <v>0.522166551048402</v>
      </c>
      <c r="DE107" s="74" t="n">
        <f aca="false">SQRT(($B107-DE$5)^2+($C107-DE$6)^2+($D107-DE$7)^2)</f>
        <v>0.416958953553995</v>
      </c>
      <c r="DF107" s="74" t="n">
        <f aca="false">SQRT(($B107-DF$5)^2+($C107-DF$6)^2+($D107-DF$7)^2)</f>
        <v>0.476901853327046</v>
      </c>
      <c r="DG107" s="74" t="n">
        <f aca="false">SQRT(($B107-DG$5)^2+($C107-DG$6)^2+($D107-DG$7)^2)</f>
        <v>0.62663174663351</v>
      </c>
      <c r="DH107" s="74" t="n">
        <f aca="false">SQRT(($B107-DH$5)^2+($C107-DH$6)^2+($D107-DH$7)^2)</f>
        <v>0.62663174663351</v>
      </c>
      <c r="DI107" s="74" t="n">
        <f aca="false">SQRT(($B107-DI$5)^2+($C107-DI$6)^2+($D107-DI$7)^2)</f>
        <v>0.62663174663351</v>
      </c>
      <c r="DJ107" s="74" t="n">
        <f aca="false">SQRT(($B107-DJ$5)^2+($C107-DJ$6)^2+($D107-DJ$7)^2)</f>
        <v>0.62663174663351</v>
      </c>
      <c r="DK107" s="74" t="n">
        <f aca="false">SQRT(($B107-DK$5)^2+($C107-DK$6)^2+($D107-DK$7)^2)</f>
        <v>0.837664178578693</v>
      </c>
      <c r="DL107" s="74" t="n">
        <f aca="false">SQRT(($B107-DL$5)^2+($C107-DL$6)^2+($D107-DL$7)^2)</f>
        <v>0.837664178578693</v>
      </c>
      <c r="DM107" s="74" t="n">
        <f aca="false">SQRT(($B107-DM$5)^2+($C107-DM$6)^2+($D107-DM$7)^2)</f>
        <v>0.837664178578693</v>
      </c>
      <c r="DN107" s="74" t="n">
        <f aca="false">SQRT(($B107-DN$5)^2+($C107-DN$6)^2+($D107-DN$7)^2)</f>
        <v>0.837664178578693</v>
      </c>
      <c r="DO107" s="74" t="n">
        <f aca="false">SQRT(($B107-DO$5)^2+($C107-DO$6)^2+($D107-DO$7)^2)</f>
        <v>0.837664178578693</v>
      </c>
      <c r="DP107" s="74" t="n">
        <f aca="false">SQRT(($B107-DP$5)^2+($C107-DP$6)^2+($D107-DP$7)^2)</f>
        <v>1.19842650383034</v>
      </c>
      <c r="DQ107" s="74" t="n">
        <f aca="false">SQRT(($B107-DQ$5)^2+($C107-DQ$6)^2+($D107-DQ$7)^2)</f>
        <v>1.19842650383034</v>
      </c>
    </row>
    <row r="108" customFormat="false" ht="15" hidden="false" customHeight="false" outlineLevel="0" collapsed="false">
      <c r="A108" s="48" t="str">
        <f aca="false">KMeans_Data!A99</f>
        <v>Umerkot</v>
      </c>
      <c r="B108" s="72" t="n">
        <f aca="false">KMeans_Data!H99</f>
        <v>-0.881311477972984</v>
      </c>
      <c r="C108" s="72" t="n">
        <f aca="false">KMeans_Data!I99</f>
        <v>-0.146983133929529</v>
      </c>
      <c r="D108" s="72" t="n">
        <f aca="false">KMeans_Data!J99</f>
        <v>-0.824446015898766</v>
      </c>
      <c r="E108" s="74" t="n">
        <f aca="false">SQRT(($B108-E$5)^2+($C108-E$6)^2+($D108-E$7)^2)</f>
        <v>7.1703290216323</v>
      </c>
      <c r="F108" s="74" t="n">
        <f aca="false">SQRT(($B108-F$5)^2+($C108-F$6)^2+($D108-F$7)^2)</f>
        <v>6.91929367561437</v>
      </c>
      <c r="G108" s="74" t="n">
        <f aca="false">SQRT(($B108-G$5)^2+($C108-G$6)^2+($D108-G$7)^2)</f>
        <v>5.16857092291241</v>
      </c>
      <c r="H108" s="74" t="n">
        <f aca="false">SQRT(($B108-H$5)^2+($C108-H$6)^2+($D108-H$7)^2)</f>
        <v>5.4989453416484</v>
      </c>
      <c r="I108" s="74" t="n">
        <f aca="false">SQRT(($B108-I$5)^2+($C108-I$6)^2+($D108-I$7)^2)</f>
        <v>4.53530337516755</v>
      </c>
      <c r="J108" s="74" t="n">
        <f aca="false">SQRT(($B108-J$5)^2+($C108-J$6)^2+($D108-J$7)^2)</f>
        <v>4.0544512140099</v>
      </c>
      <c r="K108" s="74" t="n">
        <f aca="false">SQRT(($B108-K$5)^2+($C108-K$6)^2+($D108-K$7)^2)</f>
        <v>2.24197880893307</v>
      </c>
      <c r="L108" s="74" t="n">
        <f aca="false">SQRT(($B108-L$5)^2+($C108-L$6)^2+($D108-L$7)^2)</f>
        <v>3.4666432212648</v>
      </c>
      <c r="M108" s="74" t="n">
        <f aca="false">SQRT(($B108-M$5)^2+($C108-M$6)^2+($D108-M$7)^2)</f>
        <v>3.57464415896038</v>
      </c>
      <c r="N108" s="74" t="n">
        <f aca="false">SQRT(($B108-N$5)^2+($C108-N$6)^2+($D108-N$7)^2)</f>
        <v>2.08285007519922</v>
      </c>
      <c r="O108" s="74" t="n">
        <f aca="false">SQRT(($B108-O$5)^2+($C108-O$6)^2+($D108-O$7)^2)</f>
        <v>3.1639069258714</v>
      </c>
      <c r="P108" s="74" t="n">
        <f aca="false">SQRT(($B108-P$5)^2+($C108-P$6)^2+($D108-P$7)^2)</f>
        <v>3.41578661340262</v>
      </c>
      <c r="Q108" s="74" t="n">
        <f aca="false">SQRT(($B108-Q$5)^2+($C108-Q$6)^2+($D108-Q$7)^2)</f>
        <v>2.93786755822453</v>
      </c>
      <c r="R108" s="74" t="n">
        <f aca="false">SQRT(($B108-R$5)^2+($C108-R$6)^2+($D108-R$7)^2)</f>
        <v>3.03708367541972</v>
      </c>
      <c r="S108" s="74" t="n">
        <f aca="false">SQRT(($B108-S$5)^2+($C108-S$6)^2+($D108-S$7)^2)</f>
        <v>2.74484545061644</v>
      </c>
      <c r="T108" s="74" t="n">
        <f aca="false">SQRT(($B108-T$5)^2+($C108-T$6)^2+($D108-T$7)^2)</f>
        <v>2.83731495648867</v>
      </c>
      <c r="U108" s="74" t="n">
        <f aca="false">SQRT(($B108-U$5)^2+($C108-U$6)^2+($D108-U$7)^2)</f>
        <v>3.02917734233734</v>
      </c>
      <c r="V108" s="74" t="n">
        <f aca="false">SQRT(($B108-V$5)^2+($C108-V$6)^2+($D108-V$7)^2)</f>
        <v>2.72477503028572</v>
      </c>
      <c r="W108" s="74" t="n">
        <f aca="false">SQRT(($B108-W$5)^2+($C108-W$6)^2+($D108-W$7)^2)</f>
        <v>2.90339543077234</v>
      </c>
      <c r="X108" s="74" t="n">
        <f aca="false">SQRT(($B108-X$5)^2+($C108-X$6)^2+($D108-X$7)^2)</f>
        <v>2.70839232432579</v>
      </c>
      <c r="Y108" s="74" t="n">
        <f aca="false">SQRT(($B108-Y$5)^2+($C108-Y$6)^2+($D108-Y$7)^2)</f>
        <v>2.8417077062749</v>
      </c>
      <c r="Z108" s="74" t="n">
        <f aca="false">SQRT(($B108-Z$5)^2+($C108-Z$6)^2+($D108-Z$7)^2)</f>
        <v>2.40060294114858</v>
      </c>
      <c r="AA108" s="74" t="n">
        <f aca="false">SQRT(($B108-AA$5)^2+($C108-AA$6)^2+($D108-AA$7)^2)</f>
        <v>2.45952306734427</v>
      </c>
      <c r="AB108" s="74" t="n">
        <f aca="false">SQRT(($B108-AB$5)^2+($C108-AB$6)^2+($D108-AB$7)^2)</f>
        <v>2.34080033045205</v>
      </c>
      <c r="AC108" s="74" t="n">
        <f aca="false">SQRT(($B108-AC$5)^2+($C108-AC$6)^2+($D108-AC$7)^2)</f>
        <v>2.72846092764516</v>
      </c>
      <c r="AD108" s="74" t="n">
        <f aca="false">SQRT(($B108-AD$5)^2+($C108-AD$6)^2+($D108-AD$7)^2)</f>
        <v>2.80199358940257</v>
      </c>
      <c r="AE108" s="74" t="n">
        <f aca="false">SQRT(($B108-AE$5)^2+($C108-AE$6)^2+($D108-AE$7)^2)</f>
        <v>1.56040058792694</v>
      </c>
      <c r="AF108" s="74" t="n">
        <f aca="false">SQRT(($B108-AF$5)^2+($C108-AF$6)^2+($D108-AF$7)^2)</f>
        <v>2.40366416980044</v>
      </c>
      <c r="AG108" s="74" t="n">
        <f aca="false">SQRT(($B108-AG$5)^2+($C108-AG$6)^2+($D108-AG$7)^2)</f>
        <v>1.60794365980734</v>
      </c>
      <c r="AH108" s="74" t="n">
        <f aca="false">SQRT(($B108-AH$5)^2+($C108-AH$6)^2+($D108-AH$7)^2)</f>
        <v>2.19149032973341</v>
      </c>
      <c r="AI108" s="74" t="n">
        <f aca="false">SQRT(($B108-AI$5)^2+($C108-AI$6)^2+($D108-AI$7)^2)</f>
        <v>1.60507319878137</v>
      </c>
      <c r="AJ108" s="74" t="n">
        <f aca="false">SQRT(($B108-AJ$5)^2+($C108-AJ$6)^2+($D108-AJ$7)^2)</f>
        <v>2.51784057325346</v>
      </c>
      <c r="AK108" s="74" t="n">
        <f aca="false">SQRT(($B108-AK$5)^2+($C108-AK$6)^2+($D108-AK$7)^2)</f>
        <v>1.87279048812372</v>
      </c>
      <c r="AL108" s="74" t="n">
        <f aca="false">SQRT(($B108-AL$5)^2+($C108-AL$6)^2+($D108-AL$7)^2)</f>
        <v>1.93927152105856</v>
      </c>
      <c r="AM108" s="74" t="n">
        <f aca="false">SQRT(($B108-AM$5)^2+($C108-AM$6)^2+($D108-AM$7)^2)</f>
        <v>2.34136019802375</v>
      </c>
      <c r="AN108" s="74" t="n">
        <f aca="false">SQRT(($B108-AN$5)^2+($C108-AN$6)^2+($D108-AN$7)^2)</f>
        <v>2.41617435425452</v>
      </c>
      <c r="AO108" s="74" t="n">
        <f aca="false">SQRT(($B108-AO$5)^2+($C108-AO$6)^2+($D108-AO$7)^2)</f>
        <v>1.96623220048444</v>
      </c>
      <c r="AP108" s="74" t="n">
        <f aca="false">SQRT(($B108-AP$5)^2+($C108-AP$6)^2+($D108-AP$7)^2)</f>
        <v>1.90895991926343</v>
      </c>
      <c r="AQ108" s="74" t="n">
        <f aca="false">SQRT(($B108-AQ$5)^2+($C108-AQ$6)^2+($D108-AQ$7)^2)</f>
        <v>2.40574185363413</v>
      </c>
      <c r="AR108" s="74" t="n">
        <f aca="false">SQRT(($B108-AR$5)^2+($C108-AR$6)^2+($D108-AR$7)^2)</f>
        <v>1.5055360247671</v>
      </c>
      <c r="AS108" s="74" t="n">
        <f aca="false">SQRT(($B108-AS$5)^2+($C108-AS$6)^2+($D108-AS$7)^2)</f>
        <v>2.2541657244558</v>
      </c>
      <c r="AT108" s="74" t="n">
        <f aca="false">SQRT(($B108-AT$5)^2+($C108-AT$6)^2+($D108-AT$7)^2)</f>
        <v>1.97228561711585</v>
      </c>
      <c r="AU108" s="74" t="n">
        <f aca="false">SQRT(($B108-AU$5)^2+($C108-AU$6)^2+($D108-AU$7)^2)</f>
        <v>1.15892156557391</v>
      </c>
      <c r="AV108" s="74" t="n">
        <f aca="false">SQRT(($B108-AV$5)^2+($C108-AV$6)^2+($D108-AV$7)^2)</f>
        <v>1.8343319115703</v>
      </c>
      <c r="AW108" s="74" t="n">
        <f aca="false">SQRT(($B108-AW$5)^2+($C108-AW$6)^2+($D108-AW$7)^2)</f>
        <v>1.23715977425505</v>
      </c>
      <c r="AX108" s="74" t="n">
        <f aca="false">SQRT(($B108-AX$5)^2+($C108-AX$6)^2+($D108-AX$7)^2)</f>
        <v>1.67026377899866</v>
      </c>
      <c r="AY108" s="74" t="n">
        <f aca="false">SQRT(($B108-AY$5)^2+($C108-AY$6)^2+($D108-AY$7)^2)</f>
        <v>1.2453270835734</v>
      </c>
      <c r="AZ108" s="74" t="n">
        <f aca="false">SQRT(($B108-AZ$5)^2+($C108-AZ$6)^2+($D108-AZ$7)^2)</f>
        <v>2.21268576524431</v>
      </c>
      <c r="BA108" s="74" t="n">
        <f aca="false">SQRT(($B108-BA$5)^2+($C108-BA$6)^2+($D108-BA$7)^2)</f>
        <v>1.94484606056149</v>
      </c>
      <c r="BB108" s="74" t="n">
        <f aca="false">SQRT(($B108-BB$5)^2+($C108-BB$6)^2+($D108-BB$7)^2)</f>
        <v>1.23964156229406</v>
      </c>
      <c r="BC108" s="74" t="n">
        <f aca="false">SQRT(($B108-BC$5)^2+($C108-BC$6)^2+($D108-BC$7)^2)</f>
        <v>1.23389231515861</v>
      </c>
      <c r="BD108" s="74" t="n">
        <f aca="false">SQRT(($B108-BD$5)^2+($C108-BD$6)^2+($D108-BD$7)^2)</f>
        <v>1.21624793036491</v>
      </c>
      <c r="BE108" s="74" t="n">
        <f aca="false">SQRT(($B108-BE$5)^2+($C108-BE$6)^2+($D108-BE$7)^2)</f>
        <v>1.29760766825272</v>
      </c>
      <c r="BF108" s="74" t="n">
        <f aca="false">SQRT(($B108-BF$5)^2+($C108-BF$6)^2+($D108-BF$7)^2)</f>
        <v>2.43238943339766</v>
      </c>
      <c r="BG108" s="74" t="n">
        <f aca="false">SQRT(($B108-BG$5)^2+($C108-BG$6)^2+($D108-BG$7)^2)</f>
        <v>1.7453490430683</v>
      </c>
      <c r="BH108" s="74" t="n">
        <f aca="false">SQRT(($B108-BH$5)^2+($C108-BH$6)^2+($D108-BH$7)^2)</f>
        <v>1.14583390500122</v>
      </c>
      <c r="BI108" s="74" t="n">
        <f aca="false">SQRT(($B108-BI$5)^2+($C108-BI$6)^2+($D108-BI$7)^2)</f>
        <v>1.13193580788734</v>
      </c>
      <c r="BJ108" s="74" t="n">
        <f aca="false">SQRT(($B108-BJ$5)^2+($C108-BJ$6)^2+($D108-BJ$7)^2)</f>
        <v>1.4116780169536</v>
      </c>
      <c r="BK108" s="74" t="n">
        <f aca="false">SQRT(($B108-BK$5)^2+($C108-BK$6)^2+($D108-BK$7)^2)</f>
        <v>1.11528498245116</v>
      </c>
      <c r="BL108" s="74" t="n">
        <f aca="false">SQRT(($B108-BL$5)^2+($C108-BL$6)^2+($D108-BL$7)^2)</f>
        <v>1.56825617730031</v>
      </c>
      <c r="BM108" s="74" t="n">
        <f aca="false">SQRT(($B108-BM$5)^2+($C108-BM$6)^2+($D108-BM$7)^2)</f>
        <v>1.72077076596386</v>
      </c>
      <c r="BN108" s="74" t="n">
        <f aca="false">SQRT(($B108-BN$5)^2+($C108-BN$6)^2+($D108-BN$7)^2)</f>
        <v>1.24441801998773</v>
      </c>
      <c r="BO108" s="74" t="n">
        <f aca="false">SQRT(($B108-BO$5)^2+($C108-BO$6)^2+($D108-BO$7)^2)</f>
        <v>0.971011766436566</v>
      </c>
      <c r="BP108" s="74" t="n">
        <f aca="false">SQRT(($B108-BP$5)^2+($C108-BP$6)^2+($D108-BP$7)^2)</f>
        <v>1.37644944408231</v>
      </c>
      <c r="BQ108" s="74" t="n">
        <f aca="false">SQRT(($B108-BQ$5)^2+($C108-BQ$6)^2+($D108-BQ$7)^2)</f>
        <v>1.43151316321507</v>
      </c>
      <c r="BR108" s="74" t="n">
        <f aca="false">SQRT(($B108-BR$5)^2+($C108-BR$6)^2+($D108-BR$7)^2)</f>
        <v>1.46035121261989</v>
      </c>
      <c r="BS108" s="74" t="n">
        <f aca="false">SQRT(($B108-BS$5)^2+($C108-BS$6)^2+($D108-BS$7)^2)</f>
        <v>1.67312149953463</v>
      </c>
      <c r="BT108" s="74" t="n">
        <f aca="false">SQRT(($B108-BT$5)^2+($C108-BT$6)^2+($D108-BT$7)^2)</f>
        <v>1.32569858304859</v>
      </c>
      <c r="BU108" s="74" t="n">
        <f aca="false">SQRT(($B108-BU$5)^2+($C108-BU$6)^2+($D108-BU$7)^2)</f>
        <v>1.26197125799718</v>
      </c>
      <c r="BV108" s="74" t="n">
        <f aca="false">SQRT(($B108-BV$5)^2+($C108-BV$6)^2+($D108-BV$7)^2)</f>
        <v>0.875004835004125</v>
      </c>
      <c r="BW108" s="74" t="n">
        <f aca="false">SQRT(($B108-BW$5)^2+($C108-BW$6)^2+($D108-BW$7)^2)</f>
        <v>1.37021906472986</v>
      </c>
      <c r="BX108" s="74" t="n">
        <f aca="false">SQRT(($B108-BX$5)^2+($C108-BX$6)^2+($D108-BX$7)^2)</f>
        <v>0.863704575447933</v>
      </c>
      <c r="BY108" s="74" t="n">
        <f aca="false">SQRT(($B108-BY$5)^2+($C108-BY$6)^2+($D108-BY$7)^2)</f>
        <v>1.00794263265286</v>
      </c>
      <c r="BZ108" s="74" t="n">
        <f aca="false">SQRT(($B108-BZ$5)^2+($C108-BZ$6)^2+($D108-BZ$7)^2)</f>
        <v>0.959380393613968</v>
      </c>
      <c r="CA108" s="74" t="n">
        <f aca="false">SQRT(($B108-CA$5)^2+($C108-CA$6)^2+($D108-CA$7)^2)</f>
        <v>0.828599232093339</v>
      </c>
      <c r="CB108" s="74" t="n">
        <f aca="false">SQRT(($B108-CB$5)^2+($C108-CB$6)^2+($D108-CB$7)^2)</f>
        <v>0.94894801921409</v>
      </c>
      <c r="CC108" s="74" t="n">
        <f aca="false">SQRT(($B108-CC$5)^2+($C108-CC$6)^2+($D108-CC$7)^2)</f>
        <v>0.816497575590475</v>
      </c>
      <c r="CD108" s="74" t="n">
        <f aca="false">SQRT(($B108-CD$5)^2+($C108-CD$6)^2+($D108-CD$7)^2)</f>
        <v>0.791717572556313</v>
      </c>
      <c r="CE108" s="74" t="n">
        <f aca="false">SQRT(($B108-CE$5)^2+($C108-CE$6)^2+($D108-CE$7)^2)</f>
        <v>1.12075997321837</v>
      </c>
      <c r="CF108" s="74" t="n">
        <f aca="false">SQRT(($B108-CF$5)^2+($C108-CF$6)^2+($D108-CF$7)^2)</f>
        <v>1.07515085230539</v>
      </c>
      <c r="CG108" s="74" t="n">
        <f aca="false">SQRT(($B108-CG$5)^2+($C108-CG$6)^2+($D108-CG$7)^2)</f>
        <v>0.590498154467679</v>
      </c>
      <c r="CH108" s="74" t="n">
        <f aca="false">SQRT(($B108-CH$5)^2+($C108-CH$6)^2+($D108-CH$7)^2)</f>
        <v>0.790578457775996</v>
      </c>
      <c r="CI108" s="74" t="n">
        <f aca="false">SQRT(($B108-CI$5)^2+($C108-CI$6)^2+($D108-CI$7)^2)</f>
        <v>0.713893481209647</v>
      </c>
      <c r="CJ108" s="74" t="n">
        <f aca="false">SQRT(($B108-CJ$5)^2+($C108-CJ$6)^2+($D108-CJ$7)^2)</f>
        <v>0.622837155018267</v>
      </c>
      <c r="CK108" s="74" t="n">
        <f aca="false">SQRT(($B108-CK$5)^2+($C108-CK$6)^2+($D108-CK$7)^2)</f>
        <v>0.988252898531681</v>
      </c>
      <c r="CL108" s="74" t="n">
        <f aca="false">SQRT(($B108-CL$5)^2+($C108-CL$6)^2+($D108-CL$7)^2)</f>
        <v>0.66282332494488</v>
      </c>
      <c r="CM108" s="74" t="n">
        <f aca="false">SQRT(($B108-CM$5)^2+($C108-CM$6)^2+($D108-CM$7)^2)</f>
        <v>0.771580233948665</v>
      </c>
      <c r="CN108" s="74" t="n">
        <f aca="false">SQRT(($B108-CN$5)^2+($C108-CN$6)^2+($D108-CN$7)^2)</f>
        <v>1.46347519436188</v>
      </c>
      <c r="CO108" s="74" t="n">
        <f aca="false">SQRT(($B108-CO$5)^2+($C108-CO$6)^2+($D108-CO$7)^2)</f>
        <v>0.65674921231337</v>
      </c>
      <c r="CP108" s="74" t="n">
        <f aca="false">SQRT(($B108-CP$5)^2+($C108-CP$6)^2+($D108-CP$7)^2)</f>
        <v>0.630984228150928</v>
      </c>
      <c r="CQ108" s="74" t="n">
        <f aca="false">SQRT(($B108-CQ$5)^2+($C108-CQ$6)^2+($D108-CQ$7)^2)</f>
        <v>0.682361139047084</v>
      </c>
      <c r="CR108" s="74" t="n">
        <f aca="false">SQRT(($B108-CR$5)^2+($C108-CR$6)^2+($D108-CR$7)^2)</f>
        <v>0.733455185258179</v>
      </c>
      <c r="CS108" s="74" t="n">
        <f aca="false">SQRT(($B108-CS$5)^2+($C108-CS$6)^2+($D108-CS$7)^2)</f>
        <v>0.618025251468594</v>
      </c>
      <c r="CT108" s="74" t="n">
        <f aca="false">SQRT(($B108-CT$5)^2+($C108-CT$6)^2+($D108-CT$7)^2)</f>
        <v>0.616031206346443</v>
      </c>
      <c r="CU108" s="74" t="n">
        <f aca="false">SQRT(($B108-CU$5)^2+($C108-CU$6)^2+($D108-CU$7)^2)</f>
        <v>0</v>
      </c>
      <c r="CV108" s="74" t="n">
        <f aca="false">SQRT(($B108-CV$5)^2+($C108-CV$6)^2+($D108-CV$7)^2)</f>
        <v>1.2097798442361</v>
      </c>
      <c r="CW108" s="74" t="n">
        <f aca="false">SQRT(($B108-CW$5)^2+($C108-CW$6)^2+($D108-CW$7)^2)</f>
        <v>0.616031206346443</v>
      </c>
      <c r="CX108" s="74" t="n">
        <f aca="false">SQRT(($B108-CX$5)^2+($C108-CX$6)^2+($D108-CX$7)^2)</f>
        <v>0.950461809506076</v>
      </c>
      <c r="CY108" s="74" t="n">
        <f aca="false">SQRT(($B108-CY$5)^2+($C108-CY$6)^2+($D108-CY$7)^2)</f>
        <v>0.618467090962108</v>
      </c>
      <c r="CZ108" s="74" t="n">
        <f aca="false">SQRT(($B108-CZ$5)^2+($C108-CZ$6)^2+($D108-CZ$7)^2)</f>
        <v>0.618467090962108</v>
      </c>
      <c r="DA108" s="74" t="n">
        <f aca="false">SQRT(($B108-DA$5)^2+($C108-DA$6)^2+($D108-DA$7)^2)</f>
        <v>0.618467090962108</v>
      </c>
      <c r="DB108" s="74" t="n">
        <f aca="false">SQRT(($B108-DB$5)^2+($C108-DB$6)^2+($D108-DB$7)^2)</f>
        <v>0.626883431886846</v>
      </c>
      <c r="DC108" s="74" t="n">
        <f aca="false">SQRT(($B108-DC$5)^2+($C108-DC$6)^2+($D108-DC$7)^2)</f>
        <v>0.626883431886846</v>
      </c>
      <c r="DD108" s="74" t="n">
        <f aca="false">SQRT(($B108-DD$5)^2+($C108-DD$6)^2+($D108-DD$7)^2)</f>
        <v>0.57019017456676</v>
      </c>
      <c r="DE108" s="74" t="n">
        <f aca="false">SQRT(($B108-DE$5)^2+($C108-DE$6)^2+($D108-DE$7)^2)</f>
        <v>0.589077903757783</v>
      </c>
      <c r="DF108" s="74" t="n">
        <f aca="false">SQRT(($B108-DF$5)^2+($C108-DF$6)^2+($D108-DF$7)^2)</f>
        <v>0.779057010044467</v>
      </c>
      <c r="DG108" s="74" t="n">
        <f aca="false">SQRT(($B108-DG$5)^2+($C108-DG$6)^2+($D108-DG$7)^2)</f>
        <v>0.878727371305581</v>
      </c>
      <c r="DH108" s="74" t="n">
        <f aca="false">SQRT(($B108-DH$5)^2+($C108-DH$6)^2+($D108-DH$7)^2)</f>
        <v>0.878727371305581</v>
      </c>
      <c r="DI108" s="74" t="n">
        <f aca="false">SQRT(($B108-DI$5)^2+($C108-DI$6)^2+($D108-DI$7)^2)</f>
        <v>0.878727371305581</v>
      </c>
      <c r="DJ108" s="74" t="n">
        <f aca="false">SQRT(($B108-DJ$5)^2+($C108-DJ$6)^2+($D108-DJ$7)^2)</f>
        <v>0.878727371305581</v>
      </c>
      <c r="DK108" s="74" t="n">
        <f aca="false">SQRT(($B108-DK$5)^2+($C108-DK$6)^2+($D108-DK$7)^2)</f>
        <v>1.0397960007937</v>
      </c>
      <c r="DL108" s="74" t="n">
        <f aca="false">SQRT(($B108-DL$5)^2+($C108-DL$6)^2+($D108-DL$7)^2)</f>
        <v>1.0397960007937</v>
      </c>
      <c r="DM108" s="74" t="n">
        <f aca="false">SQRT(($B108-DM$5)^2+($C108-DM$6)^2+($D108-DM$7)^2)</f>
        <v>1.0397960007937</v>
      </c>
      <c r="DN108" s="74" t="n">
        <f aca="false">SQRT(($B108-DN$5)^2+($C108-DN$6)^2+($D108-DN$7)^2)</f>
        <v>1.0397960007937</v>
      </c>
      <c r="DO108" s="74" t="n">
        <f aca="false">SQRT(($B108-DO$5)^2+($C108-DO$6)^2+($D108-DO$7)^2)</f>
        <v>1.0397960007937</v>
      </c>
      <c r="DP108" s="74" t="n">
        <f aca="false">SQRT(($B108-DP$5)^2+($C108-DP$6)^2+($D108-DP$7)^2)</f>
        <v>1.34748674660483</v>
      </c>
      <c r="DQ108" s="74" t="n">
        <f aca="false">SQRT(($B108-DQ$5)^2+($C108-DQ$6)^2+($D108-DQ$7)^2)</f>
        <v>1.34748674660483</v>
      </c>
    </row>
    <row r="109" customFormat="false" ht="15" hidden="false" customHeight="false" outlineLevel="0" collapsed="false">
      <c r="A109" s="48" t="str">
        <f aca="false">KMeans_Data!A100</f>
        <v>Tando Allahyar</v>
      </c>
      <c r="B109" s="72" t="n">
        <f aca="false">KMeans_Data!H100</f>
        <v>-0.881311477972984</v>
      </c>
      <c r="C109" s="72" t="n">
        <f aca="false">KMeans_Data!I100</f>
        <v>-0.672650545388274</v>
      </c>
      <c r="D109" s="72" t="n">
        <f aca="false">KMeans_Data!J100</f>
        <v>0.265159896369606</v>
      </c>
      <c r="E109" s="74" t="n">
        <f aca="false">SQRT(($B109-E$5)^2+($C109-E$6)^2+($D109-E$7)^2)</f>
        <v>6.95650104174171</v>
      </c>
      <c r="F109" s="74" t="n">
        <f aca="false">SQRT(($B109-F$5)^2+($C109-F$6)^2+($D109-F$7)^2)</f>
        <v>6.7990370312386</v>
      </c>
      <c r="G109" s="74" t="n">
        <f aca="false">SQRT(($B109-G$5)^2+($C109-G$6)^2+($D109-G$7)^2)</f>
        <v>4.87623044683182</v>
      </c>
      <c r="H109" s="74" t="n">
        <f aca="false">SQRT(($B109-H$5)^2+($C109-H$6)^2+($D109-H$7)^2)</f>
        <v>5.49824566963213</v>
      </c>
      <c r="I109" s="74" t="n">
        <f aca="false">SQRT(($B109-I$5)^2+($C109-I$6)^2+($D109-I$7)^2)</f>
        <v>4.3434084328442</v>
      </c>
      <c r="J109" s="74" t="n">
        <f aca="false">SQRT(($B109-J$5)^2+($C109-J$6)^2+($D109-J$7)^2)</f>
        <v>3.93190844293721</v>
      </c>
      <c r="K109" s="74" t="n">
        <f aca="false">SQRT(($B109-K$5)^2+($C109-K$6)^2+($D109-K$7)^2)</f>
        <v>2.61023317220818</v>
      </c>
      <c r="L109" s="74" t="n">
        <f aca="false">SQRT(($B109-L$5)^2+($C109-L$6)^2+($D109-L$7)^2)</f>
        <v>2.96712994778439</v>
      </c>
      <c r="M109" s="74" t="n">
        <f aca="false">SQRT(($B109-M$5)^2+($C109-M$6)^2+($D109-M$7)^2)</f>
        <v>3.1904098485326</v>
      </c>
      <c r="N109" s="74" t="n">
        <f aca="false">SQRT(($B109-N$5)^2+($C109-N$6)^2+($D109-N$7)^2)</f>
        <v>2.40869917326289</v>
      </c>
      <c r="O109" s="74" t="n">
        <f aca="false">SQRT(($B109-O$5)^2+($C109-O$6)^2+($D109-O$7)^2)</f>
        <v>3.03804246066611</v>
      </c>
      <c r="P109" s="74" t="n">
        <f aca="false">SQRT(($B109-P$5)^2+($C109-P$6)^2+($D109-P$7)^2)</f>
        <v>3.28716244548595</v>
      </c>
      <c r="Q109" s="74" t="n">
        <f aca="false">SQRT(($B109-Q$5)^2+($C109-Q$6)^2+($D109-Q$7)^2)</f>
        <v>2.67255986881595</v>
      </c>
      <c r="R109" s="74" t="n">
        <f aca="false">SQRT(($B109-R$5)^2+($C109-R$6)^2+($D109-R$7)^2)</f>
        <v>2.49782531278287</v>
      </c>
      <c r="S109" s="74" t="n">
        <f aca="false">SQRT(($B109-S$5)^2+($C109-S$6)^2+($D109-S$7)^2)</f>
        <v>2.15829312971082</v>
      </c>
      <c r="T109" s="74" t="n">
        <f aca="false">SQRT(($B109-T$5)^2+($C109-T$6)^2+($D109-T$7)^2)</f>
        <v>2.5966660072657</v>
      </c>
      <c r="U109" s="74" t="n">
        <f aca="false">SQRT(($B109-U$5)^2+($C109-U$6)^2+($D109-U$7)^2)</f>
        <v>2.43830805460014</v>
      </c>
      <c r="V109" s="74" t="n">
        <f aca="false">SQRT(($B109-V$5)^2+($C109-V$6)^2+($D109-V$7)^2)</f>
        <v>2.71115377911209</v>
      </c>
      <c r="W109" s="74" t="n">
        <f aca="false">SQRT(($B109-W$5)^2+($C109-W$6)^2+($D109-W$7)^2)</f>
        <v>2.76893215468642</v>
      </c>
      <c r="X109" s="74" t="n">
        <f aca="false">SQRT(($B109-X$5)^2+($C109-X$6)^2+($D109-X$7)^2)</f>
        <v>2.39623529735928</v>
      </c>
      <c r="Y109" s="74" t="n">
        <f aca="false">SQRT(($B109-Y$5)^2+($C109-Y$6)^2+($D109-Y$7)^2)</f>
        <v>2.44478798989031</v>
      </c>
      <c r="Z109" s="74" t="n">
        <f aca="false">SQRT(($B109-Z$5)^2+($C109-Z$6)^2+($D109-Z$7)^2)</f>
        <v>2.2541493384634</v>
      </c>
      <c r="AA109" s="74" t="n">
        <f aca="false">SQRT(($B109-AA$5)^2+($C109-AA$6)^2+($D109-AA$7)^2)</f>
        <v>1.9869874607413</v>
      </c>
      <c r="AB109" s="74" t="n">
        <f aca="false">SQRT(($B109-AB$5)^2+($C109-AB$6)^2+($D109-AB$7)^2)</f>
        <v>2.103086477277</v>
      </c>
      <c r="AC109" s="74" t="n">
        <f aca="false">SQRT(($B109-AC$5)^2+($C109-AC$6)^2+($D109-AC$7)^2)</f>
        <v>2.67053236731328</v>
      </c>
      <c r="AD109" s="74" t="n">
        <f aca="false">SQRT(($B109-AD$5)^2+($C109-AD$6)^2+($D109-AD$7)^2)</f>
        <v>2.3939546269563</v>
      </c>
      <c r="AE109" s="74" t="n">
        <f aca="false">SQRT(($B109-AE$5)^2+($C109-AE$6)^2+($D109-AE$7)^2)</f>
        <v>2.14438242037396</v>
      </c>
      <c r="AF109" s="74" t="n">
        <f aca="false">SQRT(($B109-AF$5)^2+($C109-AF$6)^2+($D109-AF$7)^2)</f>
        <v>2.1017942029661</v>
      </c>
      <c r="AG109" s="74" t="n">
        <f aca="false">SQRT(($B109-AG$5)^2+($C109-AG$6)^2+($D109-AG$7)^2)</f>
        <v>1.60346579661225</v>
      </c>
      <c r="AH109" s="74" t="n">
        <f aca="false">SQRT(($B109-AH$5)^2+($C109-AH$6)^2+($D109-AH$7)^2)</f>
        <v>1.75774987028158</v>
      </c>
      <c r="AI109" s="74" t="n">
        <f aca="false">SQRT(($B109-AI$5)^2+($C109-AI$6)^2+($D109-AI$7)^2)</f>
        <v>1.60058730509678</v>
      </c>
      <c r="AJ109" s="74" t="n">
        <f aca="false">SQRT(($B109-AJ$5)^2+($C109-AJ$6)^2+($D109-AJ$7)^2)</f>
        <v>2.07617636995539</v>
      </c>
      <c r="AK109" s="74" t="n">
        <f aca="false">SQRT(($B109-AK$5)^2+($C109-AK$6)^2+($D109-AK$7)^2)</f>
        <v>1.7612792752947</v>
      </c>
      <c r="AL109" s="74" t="n">
        <f aca="false">SQRT(($B109-AL$5)^2+($C109-AL$6)^2+($D109-AL$7)^2)</f>
        <v>1.49155514289746</v>
      </c>
      <c r="AM109" s="74" t="n">
        <f aca="false">SQRT(($B109-AM$5)^2+($C109-AM$6)^2+($D109-AM$7)^2)</f>
        <v>2.46691857010238</v>
      </c>
      <c r="AN109" s="74" t="n">
        <f aca="false">SQRT(($B109-AN$5)^2+($C109-AN$6)^2+($D109-AN$7)^2)</f>
        <v>2.30124462173582</v>
      </c>
      <c r="AO109" s="74" t="n">
        <f aca="false">SQRT(($B109-AO$5)^2+($C109-AO$6)^2+($D109-AO$7)^2)</f>
        <v>1.70555415601718</v>
      </c>
      <c r="AP109" s="74" t="n">
        <f aca="false">SQRT(($B109-AP$5)^2+($C109-AP$6)^2+($D109-AP$7)^2)</f>
        <v>1.6913050895296</v>
      </c>
      <c r="AQ109" s="74" t="n">
        <f aca="false">SQRT(($B109-AQ$5)^2+($C109-AQ$6)^2+($D109-AQ$7)^2)</f>
        <v>2.36162216245744</v>
      </c>
      <c r="AR109" s="74" t="n">
        <f aca="false">SQRT(($B109-AR$5)^2+($C109-AR$6)^2+($D109-AR$7)^2)</f>
        <v>1.55827891861071</v>
      </c>
      <c r="AS109" s="74" t="n">
        <f aca="false">SQRT(($B109-AS$5)^2+($C109-AS$6)^2+($D109-AS$7)^2)</f>
        <v>1.41153890294085</v>
      </c>
      <c r="AT109" s="74" t="n">
        <f aca="false">SQRT(($B109-AT$5)^2+($C109-AT$6)^2+($D109-AT$7)^2)</f>
        <v>1.36732858148557</v>
      </c>
      <c r="AU109" s="74" t="n">
        <f aca="false">SQRT(($B109-AU$5)^2+($C109-AU$6)^2+($D109-AU$7)^2)</f>
        <v>1.54829482851432</v>
      </c>
      <c r="AV109" s="74" t="n">
        <f aca="false">SQRT(($B109-AV$5)^2+($C109-AV$6)^2+($D109-AV$7)^2)</f>
        <v>1.16486613033037</v>
      </c>
      <c r="AW109" s="74" t="n">
        <f aca="false">SQRT(($B109-AW$5)^2+($C109-AW$6)^2+($D109-AW$7)^2)</f>
        <v>1.56252331938287</v>
      </c>
      <c r="AX109" s="74" t="n">
        <f aca="false">SQRT(($B109-AX$5)^2+($C109-AX$6)^2+($D109-AX$7)^2)</f>
        <v>1.39583779718467</v>
      </c>
      <c r="AY109" s="74" t="n">
        <f aca="false">SQRT(($B109-AY$5)^2+($C109-AY$6)^2+($D109-AY$7)^2)</f>
        <v>1.77812065399064</v>
      </c>
      <c r="AZ109" s="74" t="n">
        <f aca="false">SQRT(($B109-AZ$5)^2+($C109-AZ$6)^2+($D109-AZ$7)^2)</f>
        <v>1.32671778903269</v>
      </c>
      <c r="BA109" s="74" t="n">
        <f aca="false">SQRT(($B109-BA$5)^2+($C109-BA$6)^2+($D109-BA$7)^2)</f>
        <v>1.30962816416101</v>
      </c>
      <c r="BB109" s="74" t="n">
        <f aca="false">SQRT(($B109-BB$5)^2+($C109-BB$6)^2+($D109-BB$7)^2)</f>
        <v>1.77414337583904</v>
      </c>
      <c r="BC109" s="74" t="n">
        <f aca="false">SQRT(($B109-BC$5)^2+($C109-BC$6)^2+($D109-BC$7)^2)</f>
        <v>1.77013100093585</v>
      </c>
      <c r="BD109" s="74" t="n">
        <f aca="false">SQRT(($B109-BD$5)^2+($C109-BD$6)^2+($D109-BD$7)^2)</f>
        <v>1.30008274590933</v>
      </c>
      <c r="BE109" s="74" t="n">
        <f aca="false">SQRT(($B109-BE$5)^2+($C109-BE$6)^2+($D109-BE$7)^2)</f>
        <v>1.15309439264207</v>
      </c>
      <c r="BF109" s="74" t="n">
        <f aca="false">SQRT(($B109-BF$5)^2+($C109-BF$6)^2+($D109-BF$7)^2)</f>
        <v>2.34578248647939</v>
      </c>
      <c r="BG109" s="74" t="n">
        <f aca="false">SQRT(($B109-BG$5)^2+($C109-BG$6)^2+($D109-BG$7)^2)</f>
        <v>1.16863121067387</v>
      </c>
      <c r="BH109" s="74" t="n">
        <f aca="false">SQRT(($B109-BH$5)^2+($C109-BH$6)^2+($D109-BH$7)^2)</f>
        <v>1.70991486715481</v>
      </c>
      <c r="BI109" s="74" t="n">
        <f aca="false">SQRT(($B109-BI$5)^2+($C109-BI$6)^2+($D109-BI$7)^2)</f>
        <v>1.70063287873787</v>
      </c>
      <c r="BJ109" s="74" t="n">
        <f aca="false">SQRT(($B109-BJ$5)^2+($C109-BJ$6)^2+($D109-BJ$7)^2)</f>
        <v>1.54194744214011</v>
      </c>
      <c r="BK109" s="74" t="n">
        <f aca="false">SQRT(($B109-BK$5)^2+($C109-BK$6)^2+($D109-BK$7)^2)</f>
        <v>1.10881934501153</v>
      </c>
      <c r="BL109" s="74" t="n">
        <f aca="false">SQRT(($B109-BL$5)^2+($C109-BL$6)^2+($D109-BL$7)^2)</f>
        <v>0.883282109681974</v>
      </c>
      <c r="BM109" s="74" t="n">
        <f aca="false">SQRT(($B109-BM$5)^2+($C109-BM$6)^2+($D109-BM$7)^2)</f>
        <v>1.50494469705257</v>
      </c>
      <c r="BN109" s="74" t="n">
        <f aca="false">SQRT(($B109-BN$5)^2+($C109-BN$6)^2+($D109-BN$7)^2)</f>
        <v>1.2021764311492</v>
      </c>
      <c r="BO109" s="74" t="n">
        <f aca="false">SQRT(($B109-BO$5)^2+($C109-BO$6)^2+($D109-BO$7)^2)</f>
        <v>1.36153540796364</v>
      </c>
      <c r="BP109" s="74" t="n">
        <f aca="false">SQRT(($B109-BP$5)^2+($C109-BP$6)^2+($D109-BP$7)^2)</f>
        <v>1.14323191768124</v>
      </c>
      <c r="BQ109" s="74" t="n">
        <f aca="false">SQRT(($B109-BQ$5)^2+($C109-BQ$6)^2+($D109-BQ$7)^2)</f>
        <v>0.940495103124627</v>
      </c>
      <c r="BR109" s="74" t="n">
        <f aca="false">SQRT(($B109-BR$5)^2+($C109-BR$6)^2+($D109-BR$7)^2)</f>
        <v>0.928186877352873</v>
      </c>
      <c r="BS109" s="74" t="n">
        <f aca="false">SQRT(($B109-BS$5)^2+($C109-BS$6)^2+($D109-BS$7)^2)</f>
        <v>0.782334871988139</v>
      </c>
      <c r="BT109" s="74" t="n">
        <f aca="false">SQRT(($B109-BT$5)^2+($C109-BT$6)^2+($D109-BT$7)^2)</f>
        <v>0.670503520772987</v>
      </c>
      <c r="BU109" s="74" t="n">
        <f aca="false">SQRT(($B109-BU$5)^2+($C109-BU$6)^2+($D109-BU$7)^2)</f>
        <v>0.684677233919338</v>
      </c>
      <c r="BV109" s="74" t="n">
        <f aca="false">SQRT(($B109-BV$5)^2+($C109-BV$6)^2+($D109-BV$7)^2)</f>
        <v>1.54159235089802</v>
      </c>
      <c r="BW109" s="74" t="n">
        <f aca="false">SQRT(($B109-BW$5)^2+($C109-BW$6)^2+($D109-BW$7)^2)</f>
        <v>0.60576880791779</v>
      </c>
      <c r="BX109" s="74" t="n">
        <f aca="false">SQRT(($B109-BX$5)^2+($C109-BX$6)^2+($D109-BX$7)^2)</f>
        <v>1.53520653617563</v>
      </c>
      <c r="BY109" s="74" t="n">
        <f aca="false">SQRT(($B109-BY$5)^2+($C109-BY$6)^2+($D109-BY$7)^2)</f>
        <v>0.725910304601869</v>
      </c>
      <c r="BZ109" s="74" t="n">
        <f aca="false">SQRT(($B109-BZ$5)^2+($C109-BZ$6)^2+($D109-BZ$7)^2)</f>
        <v>0.752497014801536</v>
      </c>
      <c r="CA109" s="74" t="n">
        <f aca="false">SQRT(($B109-CA$5)^2+($C109-CA$6)^2+($D109-CA$7)^2)</f>
        <v>1.51573421235135</v>
      </c>
      <c r="CB109" s="74" t="n">
        <f aca="false">SQRT(($B109-CB$5)^2+($C109-CB$6)^2+($D109-CB$7)^2)</f>
        <v>0.739150431782785</v>
      </c>
      <c r="CC109" s="74" t="n">
        <f aca="false">SQRT(($B109-CC$5)^2+($C109-CC$6)^2+($D109-CC$7)^2)</f>
        <v>1.50915267816474</v>
      </c>
      <c r="CD109" s="74" t="n">
        <f aca="false">SQRT(($B109-CD$5)^2+($C109-CD$6)^2+($D109-CD$7)^2)</f>
        <v>1.49589111561007</v>
      </c>
      <c r="CE109" s="74" t="n">
        <f aca="false">SQRT(($B109-CE$5)^2+($C109-CE$6)^2+($D109-CE$7)^2)</f>
        <v>0.526138255307809</v>
      </c>
      <c r="CF109" s="74" t="n">
        <f aca="false">SQRT(($B109-CF$5)^2+($C109-CF$6)^2+($D109-CF$7)^2)</f>
        <v>0.720860965286825</v>
      </c>
      <c r="CG109" s="74" t="n">
        <f aca="false">SQRT(($B109-CG$5)^2+($C109-CG$6)^2+($D109-CG$7)^2)</f>
        <v>0.941785683242172</v>
      </c>
      <c r="CH109" s="74" t="n">
        <f aca="false">SQRT(($B109-CH$5)^2+($C109-CH$6)^2+($D109-CH$7)^2)</f>
        <v>0.781430768328319</v>
      </c>
      <c r="CI109" s="74" t="n">
        <f aca="false">SQRT(($B109-CI$5)^2+($C109-CI$6)^2+($D109-CI$7)^2)</f>
        <v>0.848881629326406</v>
      </c>
      <c r="CJ109" s="74" t="n">
        <f aca="false">SQRT(($B109-CJ$5)^2+($C109-CJ$6)^2+($D109-CJ$7)^2)</f>
        <v>1.13966702955368</v>
      </c>
      <c r="CK109" s="74" t="n">
        <f aca="false">SQRT(($B109-CK$5)^2+($C109-CK$6)^2+($D109-CK$7)^2)</f>
        <v>0.407502212557771</v>
      </c>
      <c r="CL109" s="74" t="n">
        <f aca="false">SQRT(($B109-CL$5)^2+($C109-CL$6)^2+($D109-CL$7)^2)</f>
        <v>1.43185483732034</v>
      </c>
      <c r="CM109" s="74" t="n">
        <f aca="false">SQRT(($B109-CM$5)^2+($C109-CM$6)^2+($D109-CM$7)^2)</f>
        <v>0.629954430769774</v>
      </c>
      <c r="CN109" s="74" t="n">
        <f aca="false">SQRT(($B109-CN$5)^2+($C109-CN$6)^2+($D109-CN$7)^2)</f>
        <v>0.662586127796973</v>
      </c>
      <c r="CO109" s="74" t="n">
        <f aca="false">SQRT(($B109-CO$5)^2+($C109-CO$6)^2+($D109-CO$7)^2)</f>
        <v>0.703540618885435</v>
      </c>
      <c r="CP109" s="74" t="n">
        <f aca="false">SQRT(($B109-CP$5)^2+($C109-CP$6)^2+($D109-CP$7)^2)</f>
        <v>1.41739712545282</v>
      </c>
      <c r="CQ109" s="74" t="n">
        <f aca="false">SQRT(($B109-CQ$5)^2+($C109-CQ$6)^2+($D109-CQ$7)^2)</f>
        <v>0.671741372756173</v>
      </c>
      <c r="CR109" s="74" t="n">
        <f aca="false">SQRT(($B109-CR$5)^2+($C109-CR$6)^2+($D109-CR$7)^2)</f>
        <v>0.582634564893212</v>
      </c>
      <c r="CS109" s="74" t="n">
        <f aca="false">SQRT(($B109-CS$5)^2+($C109-CS$6)^2+($D109-CS$7)^2)</f>
        <v>1.41167585745436</v>
      </c>
      <c r="CT109" s="74" t="n">
        <f aca="false">SQRT(($B109-CT$5)^2+($C109-CT$6)^2+($D109-CT$7)^2)</f>
        <v>1.41080401270316</v>
      </c>
      <c r="CU109" s="74" t="n">
        <f aca="false">SQRT(($B109-CU$5)^2+($C109-CU$6)^2+($D109-CU$7)^2)</f>
        <v>1.2097798442361</v>
      </c>
      <c r="CV109" s="74" t="n">
        <f aca="false">SQRT(($B109-CV$5)^2+($C109-CV$6)^2+($D109-CV$7)^2)</f>
        <v>0</v>
      </c>
      <c r="CW109" s="74" t="n">
        <f aca="false">SQRT(($B109-CW$5)^2+($C109-CW$6)^2+($D109-CW$7)^2)</f>
        <v>1.41080401270316</v>
      </c>
      <c r="CX109" s="74" t="n">
        <f aca="false">SQRT(($B109-CX$5)^2+($C109-CX$6)^2+($D109-CX$7)^2)</f>
        <v>0.304617650691443</v>
      </c>
      <c r="CY109" s="74" t="n">
        <f aca="false">SQRT(($B109-CY$5)^2+($C109-CY$6)^2+($D109-CY$7)^2)</f>
        <v>1.41186934865441</v>
      </c>
      <c r="CZ109" s="74" t="n">
        <f aca="false">SQRT(($B109-CZ$5)^2+($C109-CZ$6)^2+($D109-CZ$7)^2)</f>
        <v>1.41186934865441</v>
      </c>
      <c r="DA109" s="74" t="n">
        <f aca="false">SQRT(($B109-DA$5)^2+($C109-DA$6)^2+($D109-DA$7)^2)</f>
        <v>0.770362032227287</v>
      </c>
      <c r="DB109" s="74" t="n">
        <f aca="false">SQRT(($B109-DB$5)^2+($C109-DB$6)^2+($D109-DB$7)^2)</f>
        <v>1.4155763321845</v>
      </c>
      <c r="DC109" s="74" t="n">
        <f aca="false">SQRT(($B109-DC$5)^2+($C109-DC$6)^2+($D109-DC$7)^2)</f>
        <v>1.4155763321845</v>
      </c>
      <c r="DD109" s="74" t="n">
        <f aca="false">SQRT(($B109-DD$5)^2+($C109-DD$6)^2+($D109-DD$7)^2)</f>
        <v>0.90916558507507</v>
      </c>
      <c r="DE109" s="74" t="n">
        <f aca="false">SQRT(($B109-DE$5)^2+($C109-DE$6)^2+($D109-DE$7)^2)</f>
        <v>1.12157371281433</v>
      </c>
      <c r="DF109" s="74" t="n">
        <f aca="false">SQRT(($B109-DF$5)^2+($C109-DF$6)^2+($D109-DF$7)^2)</f>
        <v>1.48922910929316</v>
      </c>
      <c r="DG109" s="74" t="n">
        <f aca="false">SQRT(($B109-DG$5)^2+($C109-DG$6)^2+($D109-DG$7)^2)</f>
        <v>1.54370829762242</v>
      </c>
      <c r="DH109" s="74" t="n">
        <f aca="false">SQRT(($B109-DH$5)^2+($C109-DH$6)^2+($D109-DH$7)^2)</f>
        <v>1.54370829762242</v>
      </c>
      <c r="DI109" s="74" t="n">
        <f aca="false">SQRT(($B109-DI$5)^2+($C109-DI$6)^2+($D109-DI$7)^2)</f>
        <v>1.54370829762242</v>
      </c>
      <c r="DJ109" s="74" t="n">
        <f aca="false">SQRT(($B109-DJ$5)^2+($C109-DJ$6)^2+($D109-DJ$7)^2)</f>
        <v>1.54370829762242</v>
      </c>
      <c r="DK109" s="74" t="n">
        <f aca="false">SQRT(($B109-DK$5)^2+($C109-DK$6)^2+($D109-DK$7)^2)</f>
        <v>1.64074654908467</v>
      </c>
      <c r="DL109" s="74" t="n">
        <f aca="false">SQRT(($B109-DL$5)^2+($C109-DL$6)^2+($D109-DL$7)^2)</f>
        <v>1.64074654908467</v>
      </c>
      <c r="DM109" s="74" t="n">
        <f aca="false">SQRT(($B109-DM$5)^2+($C109-DM$6)^2+($D109-DM$7)^2)</f>
        <v>1.64074654908467</v>
      </c>
      <c r="DN109" s="74" t="n">
        <f aca="false">SQRT(($B109-DN$5)^2+($C109-DN$6)^2+($D109-DN$7)^2)</f>
        <v>1.64074654908467</v>
      </c>
      <c r="DO109" s="74" t="n">
        <f aca="false">SQRT(($B109-DO$5)^2+($C109-DO$6)^2+($D109-DO$7)^2)</f>
        <v>1.64074654908467</v>
      </c>
      <c r="DP109" s="74" t="n">
        <f aca="false">SQRT(($B109-DP$5)^2+($C109-DP$6)^2+($D109-DP$7)^2)</f>
        <v>1.8511061685766</v>
      </c>
      <c r="DQ109" s="74" t="n">
        <f aca="false">SQRT(($B109-DQ$5)^2+($C109-DQ$6)^2+($D109-DQ$7)^2)</f>
        <v>1.8511061685766</v>
      </c>
    </row>
    <row r="110" customFormat="false" ht="15" hidden="false" customHeight="false" outlineLevel="0" collapsed="false">
      <c r="A110" s="48" t="str">
        <f aca="false">KMeans_Data!A101</f>
        <v>Mirpur</v>
      </c>
      <c r="B110" s="72" t="n">
        <f aca="false">KMeans_Data!H101</f>
        <v>-0.881311477972984</v>
      </c>
      <c r="C110" s="72" t="n">
        <f aca="false">KMeans_Data!I101</f>
        <v>-0.672650545388274</v>
      </c>
      <c r="D110" s="72" t="n">
        <f aca="false">KMeans_Data!J101</f>
        <v>-1.14564411633355</v>
      </c>
      <c r="E110" s="74" t="n">
        <f aca="false">SQRT(($B110-E$5)^2+($C110-E$6)^2+($D110-E$7)^2)</f>
        <v>7.66896199778013</v>
      </c>
      <c r="F110" s="74" t="n">
        <f aca="false">SQRT(($B110-F$5)^2+($C110-F$6)^2+($D110-F$7)^2)</f>
        <v>7.41838607315076</v>
      </c>
      <c r="G110" s="74" t="n">
        <f aca="false">SQRT(($B110-G$5)^2+($C110-G$6)^2+($D110-G$7)^2)</f>
        <v>5.63148928328052</v>
      </c>
      <c r="H110" s="74" t="n">
        <f aca="false">SQRT(($B110-H$5)^2+($C110-H$6)^2+($D110-H$7)^2)</f>
        <v>6.00833707467189</v>
      </c>
      <c r="I110" s="74" t="n">
        <f aca="false">SQRT(($B110-I$5)^2+($C110-I$6)^2+($D110-I$7)^2)</f>
        <v>4.98941808235669</v>
      </c>
      <c r="J110" s="74" t="n">
        <f aca="false">SQRT(($B110-J$5)^2+($C110-J$6)^2+($D110-J$7)^2)</f>
        <v>4.55794971150613</v>
      </c>
      <c r="K110" s="74" t="n">
        <f aca="false">SQRT(($B110-K$5)^2+($C110-K$6)^2+($D110-K$7)^2)</f>
        <v>2.39358400499517</v>
      </c>
      <c r="L110" s="74" t="n">
        <f aca="false">SQRT(($B110-L$5)^2+($C110-L$6)^2+($D110-L$7)^2)</f>
        <v>3.86135372235592</v>
      </c>
      <c r="M110" s="74" t="n">
        <f aca="false">SQRT(($B110-M$5)^2+($C110-M$6)^2+($D110-M$7)^2)</f>
        <v>4.02553992219079</v>
      </c>
      <c r="N110" s="74" t="n">
        <f aca="false">SQRT(($B110-N$5)^2+($C110-N$6)^2+($D110-N$7)^2)</f>
        <v>2.1720402581329</v>
      </c>
      <c r="O110" s="74" t="n">
        <f aca="false">SQRT(($B110-O$5)^2+($C110-O$6)^2+($D110-O$7)^2)</f>
        <v>3.64151460143489</v>
      </c>
      <c r="P110" s="74" t="n">
        <f aca="false">SQRT(($B110-P$5)^2+($C110-P$6)^2+($D110-P$7)^2)</f>
        <v>3.91664359133978</v>
      </c>
      <c r="Q110" s="74" t="n">
        <f aca="false">SQRT(($B110-Q$5)^2+($C110-Q$6)^2+($D110-Q$7)^2)</f>
        <v>3.38134615818369</v>
      </c>
      <c r="R110" s="74" t="n">
        <f aca="false">SQRT(($B110-R$5)^2+($C110-R$6)^2+($D110-R$7)^2)</f>
        <v>3.41031193536842</v>
      </c>
      <c r="S110" s="74" t="n">
        <f aca="false">SQRT(($B110-S$5)^2+($C110-S$6)^2+($D110-S$7)^2)</f>
        <v>3.03197778889073</v>
      </c>
      <c r="T110" s="74" t="n">
        <f aca="false">SQRT(($B110-T$5)^2+($C110-T$6)^2+($D110-T$7)^2)</f>
        <v>3.28625821211196</v>
      </c>
      <c r="U110" s="74" t="n">
        <f aca="false">SQRT(($B110-U$5)^2+($C110-U$6)^2+($D110-U$7)^2)</f>
        <v>3.41390250451182</v>
      </c>
      <c r="V110" s="74" t="n">
        <f aca="false">SQRT(($B110-V$5)^2+($C110-V$6)^2+($D110-V$7)^2)</f>
        <v>3.2151557677934</v>
      </c>
      <c r="W110" s="74" t="n">
        <f aca="false">SQRT(($B110-W$5)^2+($C110-W$6)^2+($D110-W$7)^2)</f>
        <v>3.39787331106179</v>
      </c>
      <c r="X110" s="74" t="n">
        <f aca="false">SQRT(($B110-X$5)^2+($C110-X$6)^2+($D110-X$7)^2)</f>
        <v>3.14790751179458</v>
      </c>
      <c r="Y110" s="74" t="n">
        <f aca="false">SQRT(($B110-Y$5)^2+($C110-Y$6)^2+($D110-Y$7)^2)</f>
        <v>3.28604056195997</v>
      </c>
      <c r="Z110" s="74" t="n">
        <f aca="false">SQRT(($B110-Z$5)^2+($C110-Z$6)^2+($D110-Z$7)^2)</f>
        <v>2.84043324816415</v>
      </c>
      <c r="AA110" s="74" t="n">
        <f aca="false">SQRT(($B110-AA$5)^2+($C110-AA$6)^2+($D110-AA$7)^2)</f>
        <v>2.81036353774792</v>
      </c>
      <c r="AB110" s="74" t="n">
        <f aca="false">SQRT(($B110-AB$5)^2+($C110-AB$6)^2+($D110-AB$7)^2)</f>
        <v>2.74729033642727</v>
      </c>
      <c r="AC110" s="74" t="n">
        <f aca="false">SQRT(($B110-AC$5)^2+($C110-AC$6)^2+($D110-AC$7)^2)</f>
        <v>3.22919417541568</v>
      </c>
      <c r="AD110" s="74" t="n">
        <f aca="false">SQRT(($B110-AD$5)^2+($C110-AD$6)^2+($D110-AD$7)^2)</f>
        <v>3.25274723105696</v>
      </c>
      <c r="AE110" s="74" t="n">
        <f aca="false">SQRT(($B110-AE$5)^2+($C110-AE$6)^2+($D110-AE$7)^2)</f>
        <v>1.6149328167294</v>
      </c>
      <c r="AF110" s="74" t="n">
        <f aca="false">SQRT(($B110-AF$5)^2+($C110-AF$6)^2+($D110-AF$7)^2)</f>
        <v>2.85019304263146</v>
      </c>
      <c r="AG110" s="74" t="n">
        <f aca="false">SQRT(($B110-AG$5)^2+($C110-AG$6)^2+($D110-AG$7)^2)</f>
        <v>1.63862342887873</v>
      </c>
      <c r="AH110" s="74" t="n">
        <f aca="false">SQRT(($B110-AH$5)^2+($C110-AH$6)^2+($D110-AH$7)^2)</f>
        <v>2.55677286277212</v>
      </c>
      <c r="AI110" s="74" t="n">
        <f aca="false">SQRT(($B110-AI$5)^2+($C110-AI$6)^2+($D110-AI$7)^2)</f>
        <v>1.63580680460802</v>
      </c>
      <c r="AJ110" s="74" t="n">
        <f aca="false">SQRT(($B110-AJ$5)^2+($C110-AJ$6)^2+($D110-AJ$7)^2)</f>
        <v>2.94864331959882</v>
      </c>
      <c r="AK110" s="74" t="n">
        <f aca="false">SQRT(($B110-AK$5)^2+($C110-AK$6)^2+($D110-AK$7)^2)</f>
        <v>2.27008764527601</v>
      </c>
      <c r="AL110" s="74" t="n">
        <f aca="false">SQRT(($B110-AL$5)^2+($C110-AL$6)^2+($D110-AL$7)^2)</f>
        <v>2.2415403442755</v>
      </c>
      <c r="AM110" s="74" t="n">
        <f aca="false">SQRT(($B110-AM$5)^2+($C110-AM$6)^2+($D110-AM$7)^2)</f>
        <v>2.86269129948822</v>
      </c>
      <c r="AN110" s="74" t="n">
        <f aca="false">SQRT(($B110-AN$5)^2+($C110-AN$6)^2+($D110-AN$7)^2)</f>
        <v>2.92720624092586</v>
      </c>
      <c r="AO110" s="74" t="n">
        <f aca="false">SQRT(($B110-AO$5)^2+($C110-AO$6)^2+($D110-AO$7)^2)</f>
        <v>2.38216670417961</v>
      </c>
      <c r="AP110" s="74" t="n">
        <f aca="false">SQRT(($B110-AP$5)^2+($C110-AP$6)^2+($D110-AP$7)^2)</f>
        <v>2.3241386863244</v>
      </c>
      <c r="AQ110" s="74" t="n">
        <f aca="false">SQRT(($B110-AQ$5)^2+($C110-AQ$6)^2+($D110-AQ$7)^2)</f>
        <v>2.93135951749214</v>
      </c>
      <c r="AR110" s="74" t="n">
        <f aca="false">SQRT(($B110-AR$5)^2+($C110-AR$6)^2+($D110-AR$7)^2)</f>
        <v>1.85701709924372</v>
      </c>
      <c r="AS110" s="74" t="n">
        <f aca="false">SQRT(($B110-AS$5)^2+($C110-AS$6)^2+($D110-AS$7)^2)</f>
        <v>2.46721749746533</v>
      </c>
      <c r="AT110" s="74" t="n">
        <f aca="false">SQRT(($B110-AT$5)^2+($C110-AT$6)^2+($D110-AT$7)^2)</f>
        <v>2.30139071437574</v>
      </c>
      <c r="AU110" s="74" t="n">
        <f aca="false">SQRT(($B110-AU$5)^2+($C110-AU$6)^2+($D110-AU$7)^2)</f>
        <v>1.35767916753299</v>
      </c>
      <c r="AV110" s="74" t="n">
        <f aca="false">SQRT(($B110-AV$5)^2+($C110-AV$6)^2+($D110-AV$7)^2)</f>
        <v>2.0129637432433</v>
      </c>
      <c r="AW110" s="74" t="n">
        <f aca="false">SQRT(($B110-AW$5)^2+($C110-AW$6)^2+($D110-AW$7)^2)</f>
        <v>1.16507780825488</v>
      </c>
      <c r="AX110" s="74" t="n">
        <f aca="false">SQRT(($B110-AX$5)^2+($C110-AX$6)^2+($D110-AX$7)^2)</f>
        <v>2.06575086068352</v>
      </c>
      <c r="AY110" s="74" t="n">
        <f aca="false">SQRT(($B110-AY$5)^2+($C110-AY$6)^2+($D110-AY$7)^2)</f>
        <v>1.08228697575494</v>
      </c>
      <c r="AZ110" s="74" t="n">
        <f aca="false">SQRT(($B110-AZ$5)^2+($C110-AZ$6)^2+($D110-AZ$7)^2)</f>
        <v>2.4322264422566</v>
      </c>
      <c r="BA110" s="74" t="n">
        <f aca="false">SQRT(($B110-BA$5)^2+($C110-BA$6)^2+($D110-BA$7)^2)</f>
        <v>2.28095659060494</v>
      </c>
      <c r="BB110" s="74" t="n">
        <f aca="false">SQRT(($B110-BB$5)^2+($C110-BB$6)^2+($D110-BB$7)^2)</f>
        <v>1.0757400967586</v>
      </c>
      <c r="BC110" s="74" t="n">
        <f aca="false">SQRT(($B110-BC$5)^2+($C110-BC$6)^2+($D110-BC$7)^2)</f>
        <v>1.06910981578827</v>
      </c>
      <c r="BD110" s="74" t="n">
        <f aca="false">SQRT(($B110-BD$5)^2+($C110-BD$6)^2+($D110-BD$7)^2)</f>
        <v>1.22981196116151</v>
      </c>
      <c r="BE110" s="74" t="n">
        <f aca="false">SQRT(($B110-BE$5)^2+($C110-BE$6)^2+($D110-BE$7)^2)</f>
        <v>1.37242516458775</v>
      </c>
      <c r="BF110" s="74" t="n">
        <f aca="false">SQRT(($B110-BF$5)^2+($C110-BF$6)^2+($D110-BF$7)^2)</f>
        <v>2.98822811116236</v>
      </c>
      <c r="BG110" s="74" t="n">
        <f aca="false">SQRT(($B110-BG$5)^2+($C110-BG$6)^2+($D110-BG$7)^2)</f>
        <v>2.08628154949002</v>
      </c>
      <c r="BH110" s="74" t="n">
        <f aca="false">SQRT(($B110-BH$5)^2+($C110-BH$6)^2+($D110-BH$7)^2)</f>
        <v>0.966147447679545</v>
      </c>
      <c r="BI110" s="74" t="n">
        <f aca="false">SQRT(($B110-BI$5)^2+($C110-BI$6)^2+($D110-BI$7)^2)</f>
        <v>0.949623202109609</v>
      </c>
      <c r="BJ110" s="74" t="n">
        <f aca="false">SQRT(($B110-BJ$5)^2+($C110-BJ$6)^2+($D110-BJ$7)^2)</f>
        <v>1.90690011173513</v>
      </c>
      <c r="BK110" s="74" t="n">
        <f aca="false">SQRT(($B110-BK$5)^2+($C110-BK$6)^2+($D110-BK$7)^2)</f>
        <v>1.15907916927047</v>
      </c>
      <c r="BL110" s="74" t="n">
        <f aca="false">SQRT(($B110-BL$5)^2+($C110-BL$6)^2+($D110-BL$7)^2)</f>
        <v>1.74636908633855</v>
      </c>
      <c r="BM110" s="74" t="n">
        <f aca="false">SQRT(($B110-BM$5)^2+($C110-BM$6)^2+($D110-BM$7)^2)</f>
        <v>2.21881383587313</v>
      </c>
      <c r="BN110" s="74" t="n">
        <f aca="false">SQRT(($B110-BN$5)^2+($C110-BN$6)^2+($D110-BN$7)^2)</f>
        <v>1.67587312589983</v>
      </c>
      <c r="BO110" s="74" t="n">
        <f aca="false">SQRT(($B110-BO$5)^2+($C110-BO$6)^2+($D110-BO$7)^2)</f>
        <v>0.877328811114418</v>
      </c>
      <c r="BP110" s="74" t="n">
        <f aca="false">SQRT(($B110-BP$5)^2+($C110-BP$6)^2+($D110-BP$7)^2)</f>
        <v>1.81585990094623</v>
      </c>
      <c r="BQ110" s="74" t="n">
        <f aca="false">SQRT(($B110-BQ$5)^2+($C110-BQ$6)^2+($D110-BQ$7)^2)</f>
        <v>1.78983085831224</v>
      </c>
      <c r="BR110" s="74" t="n">
        <f aca="false">SQRT(($B110-BR$5)^2+($C110-BR$6)^2+($D110-BR$7)^2)</f>
        <v>1.82160753352507</v>
      </c>
      <c r="BS110" s="74" t="n">
        <f aca="false">SQRT(($B110-BS$5)^2+($C110-BS$6)^2+($D110-BS$7)^2)</f>
        <v>1.88134984890849</v>
      </c>
      <c r="BT110" s="74" t="n">
        <f aca="false">SQRT(($B110-BT$5)^2+($C110-BT$6)^2+($D110-BT$7)^2)</f>
        <v>1.49612491572667</v>
      </c>
      <c r="BU110" s="74" t="n">
        <f aca="false">SQRT(($B110-BU$5)^2+($C110-BU$6)^2+($D110-BU$7)^2)</f>
        <v>1.4209894101015</v>
      </c>
      <c r="BV110" s="74" t="n">
        <f aca="false">SQRT(($B110-BV$5)^2+($C110-BV$6)^2+($D110-BV$7)^2)</f>
        <v>0.621400848155152</v>
      </c>
      <c r="BW110" s="74" t="n">
        <f aca="false">SQRT(($B110-BW$5)^2+($C110-BW$6)^2+($D110-BW$7)^2)</f>
        <v>1.55503989669021</v>
      </c>
      <c r="BX110" s="74" t="n">
        <f aca="false">SQRT(($B110-BX$5)^2+($C110-BX$6)^2+($D110-BX$7)^2)</f>
        <v>0.605385122427897</v>
      </c>
      <c r="BY110" s="74" t="n">
        <f aca="false">SQRT(($B110-BY$5)^2+($C110-BY$6)^2+($D110-BY$7)^2)</f>
        <v>1.1204745520823</v>
      </c>
      <c r="BZ110" s="74" t="n">
        <f aca="false">SQRT(($B110-BZ$5)^2+($C110-BZ$6)^2+($D110-BZ$7)^2)</f>
        <v>1.05838363145711</v>
      </c>
      <c r="CA110" s="74" t="n">
        <f aca="false">SQRT(($B110-CA$5)^2+($C110-CA$6)^2+($D110-CA$7)^2)</f>
        <v>0.554150016000195</v>
      </c>
      <c r="CB110" s="74" t="n">
        <f aca="false">SQRT(($B110-CB$5)^2+($C110-CB$6)^2+($D110-CB$7)^2)</f>
        <v>1.04893637312079</v>
      </c>
      <c r="CC110" s="74" t="n">
        <f aca="false">SQRT(($B110-CC$5)^2+($C110-CC$6)^2+($D110-CC$7)^2)</f>
        <v>0.535886036161114</v>
      </c>
      <c r="CD110" s="74" t="n">
        <f aca="false">SQRT(($B110-CD$5)^2+($C110-CD$6)^2+($D110-CD$7)^2)</f>
        <v>0.497315058591439</v>
      </c>
      <c r="CE110" s="74" t="n">
        <f aca="false">SQRT(($B110-CE$5)^2+($C110-CE$6)^2+($D110-CE$7)^2)</f>
        <v>1.28068107903606</v>
      </c>
      <c r="CF110" s="74" t="n">
        <f aca="false">SQRT(($B110-CF$5)^2+($C110-CF$6)^2+($D110-CF$7)^2)</f>
        <v>1.46780554595735</v>
      </c>
      <c r="CG110" s="74" t="n">
        <f aca="false">SQRT(($B110-CG$5)^2+($C110-CG$6)^2+($D110-CG$7)^2)</f>
        <v>1.0004721155159</v>
      </c>
      <c r="CH110" s="74" t="n">
        <f aca="false">SQRT(($B110-CH$5)^2+($C110-CH$6)^2+($D110-CH$7)^2)</f>
        <v>0.851245103630629</v>
      </c>
      <c r="CI110" s="74" t="n">
        <f aca="false">SQRT(($B110-CI$5)^2+($C110-CI$6)^2+($D110-CI$7)^2)</f>
        <v>0.736764775360928</v>
      </c>
      <c r="CJ110" s="74" t="n">
        <f aca="false">SQRT(($B110-CJ$5)^2+($C110-CJ$6)^2+($D110-CJ$7)^2)</f>
        <v>0.463430808130433</v>
      </c>
      <c r="CK110" s="74" t="n">
        <f aca="false">SQRT(($B110-CK$5)^2+($C110-CK$6)^2+($D110-CK$7)^2)</f>
        <v>1.14496993277534</v>
      </c>
      <c r="CL110" s="74" t="n">
        <f aca="false">SQRT(($B110-CL$5)^2+($C110-CL$6)^2+($D110-CL$7)^2)</f>
        <v>0.24462279717625</v>
      </c>
      <c r="CM110" s="74" t="n">
        <f aca="false">SQRT(($B110-CM$5)^2+($C110-CM$6)^2+($D110-CM$7)^2)</f>
        <v>0.865571238389666</v>
      </c>
      <c r="CN110" s="74" t="n">
        <f aca="false">SQRT(($B110-CN$5)^2+($C110-CN$6)^2+($D110-CN$7)^2)</f>
        <v>1.85866343358087</v>
      </c>
      <c r="CO110" s="74" t="n">
        <f aca="false">SQRT(($B110-CO$5)^2+($C110-CO$6)^2+($D110-CO$7)^2)</f>
        <v>1.10611340013515</v>
      </c>
      <c r="CP110" s="74" t="n">
        <f aca="false">SQRT(($B110-CP$5)^2+($C110-CP$6)^2+($D110-CP$7)^2)</f>
        <v>0.136552733339791</v>
      </c>
      <c r="CQ110" s="74" t="n">
        <f aca="false">SQRT(($B110-CQ$5)^2+($C110-CQ$6)^2+($D110-CQ$7)^2)</f>
        <v>0.751811580542148</v>
      </c>
      <c r="CR110" s="74" t="n">
        <f aca="false">SQRT(($B110-CR$5)^2+($C110-CR$6)^2+($D110-CR$7)^2)</f>
        <v>0.831765604055165</v>
      </c>
      <c r="CS110" s="74" t="n">
        <f aca="false">SQRT(($B110-CS$5)^2+($C110-CS$6)^2+($D110-CS$7)^2)</f>
        <v>0.0496060909583216</v>
      </c>
      <c r="CT110" s="74" t="n">
        <f aca="false">SQRT(($B110-CT$5)^2+($C110-CT$6)^2+($D110-CT$7)^2)</f>
        <v>0</v>
      </c>
      <c r="CU110" s="74" t="n">
        <f aca="false">SQRT(($B110-CU$5)^2+($C110-CU$6)^2+($D110-CU$7)^2)</f>
        <v>0.616031206346443</v>
      </c>
      <c r="CV110" s="74" t="n">
        <f aca="false">SQRT(($B110-CV$5)^2+($C110-CV$6)^2+($D110-CV$7)^2)</f>
        <v>1.41080401270316</v>
      </c>
      <c r="CW110" s="74" t="n">
        <f aca="false">SQRT(($B110-CW$5)^2+($C110-CW$6)^2+($D110-CW$7)^2)</f>
        <v>0</v>
      </c>
      <c r="CX110" s="74" t="n">
        <f aca="false">SQRT(($B110-CX$5)^2+($C110-CX$6)^2+($D110-CX$7)^2)</f>
        <v>1.11251517150683</v>
      </c>
      <c r="CY110" s="74" t="n">
        <f aca="false">SQRT(($B110-CY$5)^2+($C110-CY$6)^2+($D110-CY$7)^2)</f>
        <v>0.0548369894366797</v>
      </c>
      <c r="CZ110" s="74" t="n">
        <f aca="false">SQRT(($B110-CZ$5)^2+($C110-CZ$6)^2+($D110-CZ$7)^2)</f>
        <v>0.0548369894366797</v>
      </c>
      <c r="DA110" s="74" t="n">
        <f aca="false">SQRT(($B110-DA$5)^2+($C110-DA$6)^2+($D110-DA$7)^2)</f>
        <v>0.644732482741596</v>
      </c>
      <c r="DB110" s="74" t="n">
        <f aca="false">SQRT(($B110-DB$5)^2+($C110-DB$6)^2+($D110-DB$7)^2)</f>
        <v>0.116139528075398</v>
      </c>
      <c r="DC110" s="74" t="n">
        <f aca="false">SQRT(($B110-DC$5)^2+($C110-DC$6)^2+($D110-DC$7)^2)</f>
        <v>0.116139528075398</v>
      </c>
      <c r="DD110" s="74" t="n">
        <f aca="false">SQRT(($B110-DD$5)^2+($C110-DD$6)^2+($D110-DD$7)^2)</f>
        <v>0.522166551048402</v>
      </c>
      <c r="DE110" s="74" t="n">
        <f aca="false">SQRT(($B110-DE$5)^2+($C110-DE$6)^2+($D110-DE$7)^2)</f>
        <v>0.416958953553995</v>
      </c>
      <c r="DF110" s="74" t="n">
        <f aca="false">SQRT(($B110-DF$5)^2+($C110-DF$6)^2+($D110-DF$7)^2)</f>
        <v>0.476901853327046</v>
      </c>
      <c r="DG110" s="74" t="n">
        <f aca="false">SQRT(($B110-DG$5)^2+($C110-DG$6)^2+($D110-DG$7)^2)</f>
        <v>0.62663174663351</v>
      </c>
      <c r="DH110" s="74" t="n">
        <f aca="false">SQRT(($B110-DH$5)^2+($C110-DH$6)^2+($D110-DH$7)^2)</f>
        <v>0.62663174663351</v>
      </c>
      <c r="DI110" s="74" t="n">
        <f aca="false">SQRT(($B110-DI$5)^2+($C110-DI$6)^2+($D110-DI$7)^2)</f>
        <v>0.62663174663351</v>
      </c>
      <c r="DJ110" s="74" t="n">
        <f aca="false">SQRT(($B110-DJ$5)^2+($C110-DJ$6)^2+($D110-DJ$7)^2)</f>
        <v>0.62663174663351</v>
      </c>
      <c r="DK110" s="74" t="n">
        <f aca="false">SQRT(($B110-DK$5)^2+($C110-DK$6)^2+($D110-DK$7)^2)</f>
        <v>0.837664178578693</v>
      </c>
      <c r="DL110" s="74" t="n">
        <f aca="false">SQRT(($B110-DL$5)^2+($C110-DL$6)^2+($D110-DL$7)^2)</f>
        <v>0.837664178578693</v>
      </c>
      <c r="DM110" s="74" t="n">
        <f aca="false">SQRT(($B110-DM$5)^2+($C110-DM$6)^2+($D110-DM$7)^2)</f>
        <v>0.837664178578693</v>
      </c>
      <c r="DN110" s="74" t="n">
        <f aca="false">SQRT(($B110-DN$5)^2+($C110-DN$6)^2+($D110-DN$7)^2)</f>
        <v>0.837664178578693</v>
      </c>
      <c r="DO110" s="74" t="n">
        <f aca="false">SQRT(($B110-DO$5)^2+($C110-DO$6)^2+($D110-DO$7)^2)</f>
        <v>0.837664178578693</v>
      </c>
      <c r="DP110" s="74" t="n">
        <f aca="false">SQRT(($B110-DP$5)^2+($C110-DP$6)^2+($D110-DP$7)^2)</f>
        <v>1.19842650383034</v>
      </c>
      <c r="DQ110" s="74" t="n">
        <f aca="false">SQRT(($B110-DQ$5)^2+($C110-DQ$6)^2+($D110-DQ$7)^2)</f>
        <v>1.19842650383034</v>
      </c>
    </row>
    <row r="111" customFormat="false" ht="15" hidden="false" customHeight="false" outlineLevel="0" collapsed="false">
      <c r="A111" s="48" t="str">
        <f aca="false">KMeans_Data!A102</f>
        <v>Tank</v>
      </c>
      <c r="B111" s="72" t="n">
        <f aca="false">KMeans_Data!H102</f>
        <v>-0.936148467409663</v>
      </c>
      <c r="C111" s="72" t="n">
        <f aca="false">KMeans_Data!I102</f>
        <v>-0.672650545388274</v>
      </c>
      <c r="D111" s="72" t="n">
        <f aca="false">KMeans_Data!J102</f>
        <v>-0.0344812518432112</v>
      </c>
      <c r="E111" s="74" t="n">
        <f aca="false">SQRT(($B111-E$5)^2+($C111-E$6)^2+($D111-E$7)^2)</f>
        <v>7.12262940672578</v>
      </c>
      <c r="F111" s="74" t="n">
        <f aca="false">SQRT(($B111-F$5)^2+($C111-F$6)^2+($D111-F$7)^2)</f>
        <v>6.94408300146457</v>
      </c>
      <c r="G111" s="74" t="n">
        <f aca="false">SQRT(($B111-G$5)^2+($C111-G$6)^2+($D111-G$7)^2)</f>
        <v>5.04868348220944</v>
      </c>
      <c r="H111" s="74" t="n">
        <f aca="false">SQRT(($B111-H$5)^2+($C111-H$6)^2+($D111-H$7)^2)</f>
        <v>5.61259621440126</v>
      </c>
      <c r="I111" s="74" t="n">
        <f aca="false">SQRT(($B111-I$5)^2+($C111-I$6)^2+($D111-I$7)^2)</f>
        <v>4.48893620869536</v>
      </c>
      <c r="J111" s="74" t="n">
        <f aca="false">SQRT(($B111-J$5)^2+($C111-J$6)^2+($D111-J$7)^2)</f>
        <v>4.06439401409784</v>
      </c>
      <c r="K111" s="74" t="n">
        <f aca="false">SQRT(($B111-K$5)^2+($C111-K$6)^2+($D111-K$7)^2)</f>
        <v>2.54886065622347</v>
      </c>
      <c r="L111" s="74" t="n">
        <f aca="false">SQRT(($B111-L$5)^2+($C111-L$6)^2+($D111-L$7)^2)</f>
        <v>3.1641490275805</v>
      </c>
      <c r="M111" s="74" t="n">
        <f aca="false">SQRT(($B111-M$5)^2+($C111-M$6)^2+($D111-M$7)^2)</f>
        <v>3.3709703611317</v>
      </c>
      <c r="N111" s="74" t="n">
        <f aca="false">SQRT(($B111-N$5)^2+($C111-N$6)^2+($D111-N$7)^2)</f>
        <v>2.33881947619535</v>
      </c>
      <c r="O111" s="74" t="n">
        <f aca="false">SQRT(($B111-O$5)^2+($C111-O$6)^2+($D111-O$7)^2)</f>
        <v>3.15874836828156</v>
      </c>
      <c r="P111" s="74" t="n">
        <f aca="false">SQRT(($B111-P$5)^2+($C111-P$6)^2+($D111-P$7)^2)</f>
        <v>3.41450873097339</v>
      </c>
      <c r="Q111" s="74" t="n">
        <f aca="false">SQRT(($B111-Q$5)^2+($C111-Q$6)^2+($D111-Q$7)^2)</f>
        <v>2.81690958127287</v>
      </c>
      <c r="R111" s="74" t="n">
        <f aca="false">SQRT(($B111-R$5)^2+($C111-R$6)^2+($D111-R$7)^2)</f>
        <v>2.69529791351475</v>
      </c>
      <c r="S111" s="74" t="n">
        <f aca="false">SQRT(($B111-S$5)^2+($C111-S$6)^2+($D111-S$7)^2)</f>
        <v>2.34490779009212</v>
      </c>
      <c r="T111" s="74" t="n">
        <f aca="false">SQRT(($B111-T$5)^2+($C111-T$6)^2+($D111-T$7)^2)</f>
        <v>2.73449625047824</v>
      </c>
      <c r="U111" s="74" t="n">
        <f aca="false">SQRT(($B111-U$5)^2+($C111-U$6)^2+($D111-U$7)^2)</f>
        <v>2.64975640940671</v>
      </c>
      <c r="V111" s="74" t="n">
        <f aca="false">SQRT(($B111-V$5)^2+($C111-V$6)^2+($D111-V$7)^2)</f>
        <v>2.80089333522573</v>
      </c>
      <c r="W111" s="74" t="n">
        <f aca="false">SQRT(($B111-W$5)^2+($C111-W$6)^2+($D111-W$7)^2)</f>
        <v>2.88977770719458</v>
      </c>
      <c r="X111" s="74" t="n">
        <f aca="false">SQRT(($B111-X$5)^2+($C111-X$6)^2+($D111-X$7)^2)</f>
        <v>2.54677912643155</v>
      </c>
      <c r="Y111" s="74" t="n">
        <f aca="false">SQRT(($B111-Y$5)^2+($C111-Y$6)^2+($D111-Y$7)^2)</f>
        <v>2.61806729179614</v>
      </c>
      <c r="Z111" s="74" t="n">
        <f aca="false">SQRT(($B111-Z$5)^2+($C111-Z$6)^2+($D111-Z$7)^2)</f>
        <v>2.3597559563917</v>
      </c>
      <c r="AA111" s="74" t="n">
        <f aca="false">SQRT(($B111-AA$5)^2+($C111-AA$6)^2+($D111-AA$7)^2)</f>
        <v>2.15399856673239</v>
      </c>
      <c r="AB111" s="74" t="n">
        <f aca="false">SQRT(($B111-AB$5)^2+($C111-AB$6)^2+($D111-AB$7)^2)</f>
        <v>2.22244414402534</v>
      </c>
      <c r="AC111" s="74" t="n">
        <f aca="false">SQRT(($B111-AC$5)^2+($C111-AC$6)^2+($D111-AC$7)^2)</f>
        <v>2.77164868117176</v>
      </c>
      <c r="AD111" s="74" t="n">
        <f aca="false">SQRT(($B111-AD$5)^2+($C111-AD$6)^2+($D111-AD$7)^2)</f>
        <v>2.57008920094835</v>
      </c>
      <c r="AE111" s="74" t="n">
        <f aca="false">SQRT(($B111-AE$5)^2+($C111-AE$6)^2+($D111-AE$7)^2)</f>
        <v>2.00328941473561</v>
      </c>
      <c r="AF111" s="74" t="n">
        <f aca="false">SQRT(($B111-AF$5)^2+($C111-AF$6)^2+($D111-AF$7)^2)</f>
        <v>2.24442678753506</v>
      </c>
      <c r="AG111" s="74" t="n">
        <f aca="false">SQRT(($B111-AG$5)^2+($C111-AG$6)^2+($D111-AG$7)^2)</f>
        <v>1.55736641350665</v>
      </c>
      <c r="AH111" s="74" t="n">
        <f aca="false">SQRT(($B111-AH$5)^2+($C111-AH$6)^2+($D111-AH$7)^2)</f>
        <v>1.91100971462261</v>
      </c>
      <c r="AI111" s="74" t="n">
        <f aca="false">SQRT(($B111-AI$5)^2+($C111-AI$6)^2+($D111-AI$7)^2)</f>
        <v>1.55429093223707</v>
      </c>
      <c r="AJ111" s="74" t="n">
        <f aca="false">SQRT(($B111-AJ$5)^2+($C111-AJ$6)^2+($D111-AJ$7)^2)</f>
        <v>2.25181178373558</v>
      </c>
      <c r="AK111" s="74" t="n">
        <f aca="false">SQRT(($B111-AK$5)^2+($C111-AK$6)^2+($D111-AK$7)^2)</f>
        <v>1.83378721556706</v>
      </c>
      <c r="AL111" s="74" t="n">
        <f aca="false">SQRT(($B111-AL$5)^2+($C111-AL$6)^2+($D111-AL$7)^2)</f>
        <v>1.6245794662331</v>
      </c>
      <c r="AM111" s="74" t="n">
        <f aca="false">SQRT(($B111-AM$5)^2+($C111-AM$6)^2+($D111-AM$7)^2)</f>
        <v>2.52062761339614</v>
      </c>
      <c r="AN111" s="74" t="n">
        <f aca="false">SQRT(($B111-AN$5)^2+($C111-AN$6)^2+($D111-AN$7)^2)</f>
        <v>2.40983597353999</v>
      </c>
      <c r="AO111" s="74" t="n">
        <f aca="false">SQRT(($B111-AO$5)^2+($C111-AO$6)^2+($D111-AO$7)^2)</f>
        <v>1.8194987060711</v>
      </c>
      <c r="AP111" s="74" t="n">
        <f aca="false">SQRT(($B111-AP$5)^2+($C111-AP$6)^2+($D111-AP$7)^2)</f>
        <v>1.79276094928091</v>
      </c>
      <c r="AQ111" s="74" t="n">
        <f aca="false">SQRT(($B111-AQ$5)^2+($C111-AQ$6)^2+($D111-AQ$7)^2)</f>
        <v>2.45543648606501</v>
      </c>
      <c r="AR111" s="74" t="n">
        <f aca="false">SQRT(($B111-AR$5)^2+($C111-AR$6)^2+($D111-AR$7)^2)</f>
        <v>1.56665303697135</v>
      </c>
      <c r="AS111" s="74" t="n">
        <f aca="false">SQRT(($B111-AS$5)^2+($C111-AS$6)^2+($D111-AS$7)^2)</f>
        <v>1.63205829069106</v>
      </c>
      <c r="AT111" s="74" t="n">
        <f aca="false">SQRT(($B111-AT$5)^2+($C111-AT$6)^2+($D111-AT$7)^2)</f>
        <v>1.54730177037952</v>
      </c>
      <c r="AU111" s="74" t="n">
        <f aca="false">SQRT(($B111-AU$5)^2+($C111-AU$6)^2+($D111-AU$7)^2)</f>
        <v>1.4405025949281</v>
      </c>
      <c r="AV111" s="74" t="n">
        <f aca="false">SQRT(($B111-AV$5)^2+($C111-AV$6)^2+($D111-AV$7)^2)</f>
        <v>1.31307639560168</v>
      </c>
      <c r="AW111" s="74" t="n">
        <f aca="false">SQRT(($B111-AW$5)^2+($C111-AW$6)^2+($D111-AW$7)^2)</f>
        <v>1.4156681926299</v>
      </c>
      <c r="AX111" s="74" t="n">
        <f aca="false">SQRT(($B111-AX$5)^2+($C111-AX$6)^2+($D111-AX$7)^2)</f>
        <v>1.49435767967361</v>
      </c>
      <c r="AY111" s="74" t="n">
        <f aca="false">SQRT(($B111-AY$5)^2+($C111-AY$6)^2+($D111-AY$7)^2)</f>
        <v>1.58988484602989</v>
      </c>
      <c r="AZ111" s="74" t="n">
        <f aca="false">SQRT(($B111-AZ$5)^2+($C111-AZ$6)^2+($D111-AZ$7)^2)</f>
        <v>1.55933751866515</v>
      </c>
      <c r="BA111" s="74" t="n">
        <f aca="false">SQRT(($B111-BA$5)^2+($C111-BA$6)^2+($D111-BA$7)^2)</f>
        <v>1.49796663218132</v>
      </c>
      <c r="BB111" s="74" t="n">
        <f aca="false">SQRT(($B111-BB$5)^2+($C111-BB$6)^2+($D111-BB$7)^2)</f>
        <v>1.58520896390734</v>
      </c>
      <c r="BC111" s="74" t="n">
        <f aca="false">SQRT(($B111-BC$5)^2+($C111-BC$6)^2+($D111-BC$7)^2)</f>
        <v>1.58048705543505</v>
      </c>
      <c r="BD111" s="74" t="n">
        <f aca="false">SQRT(($B111-BD$5)^2+($C111-BD$6)^2+($D111-BD$7)^2)</f>
        <v>1.19896980410853</v>
      </c>
      <c r="BE111" s="74" t="n">
        <f aca="false">SQRT(($B111-BE$5)^2+($C111-BE$6)^2+($D111-BE$7)^2)</f>
        <v>1.10941591706224</v>
      </c>
      <c r="BF111" s="74" t="n">
        <f aca="false">SQRT(($B111-BF$5)^2+($C111-BF$6)^2+($D111-BF$7)^2)</f>
        <v>2.45186676998498</v>
      </c>
      <c r="BG111" s="74" t="n">
        <f aca="false">SQRT(($B111-BG$5)^2+($C111-BG$6)^2+($D111-BG$7)^2)</f>
        <v>1.33336279914313</v>
      </c>
      <c r="BH111" s="74" t="n">
        <f aca="false">SQRT(($B111-BH$5)^2+($C111-BH$6)^2+($D111-BH$7)^2)</f>
        <v>1.50900368861574</v>
      </c>
      <c r="BI111" s="74" t="n">
        <f aca="false">SQRT(($B111-BI$5)^2+($C111-BI$6)^2+($D111-BI$7)^2)</f>
        <v>1.49787288773901</v>
      </c>
      <c r="BJ111" s="74" t="n">
        <f aca="false">SQRT(($B111-BJ$5)^2+($C111-BJ$6)^2+($D111-BJ$7)^2)</f>
        <v>1.55381361287754</v>
      </c>
      <c r="BK111" s="74" t="n">
        <f aca="false">SQRT(($B111-BK$5)^2+($C111-BK$6)^2+($D111-BK$7)^2)</f>
        <v>1.01047361111724</v>
      </c>
      <c r="BL111" s="74" t="n">
        <f aca="false">SQRT(($B111-BL$5)^2+($C111-BL$6)^2+($D111-BL$7)^2)</f>
        <v>1.01417562631831</v>
      </c>
      <c r="BM111" s="74" t="n">
        <f aca="false">SQRT(($B111-BM$5)^2+($C111-BM$6)^2+($D111-BM$7)^2)</f>
        <v>1.61012672544532</v>
      </c>
      <c r="BN111" s="74" t="n">
        <f aca="false">SQRT(($B111-BN$5)^2+($C111-BN$6)^2+($D111-BN$7)^2)</f>
        <v>1.22340167590008</v>
      </c>
      <c r="BO111" s="74" t="n">
        <f aca="false">SQRT(($B111-BO$5)^2+($C111-BO$6)^2+($D111-BO$7)^2)</f>
        <v>1.17606496783065</v>
      </c>
      <c r="BP111" s="74" t="n">
        <f aca="false">SQRT(($B111-BP$5)^2+($C111-BP$6)^2+($D111-BP$7)^2)</f>
        <v>1.21886295510256</v>
      </c>
      <c r="BQ111" s="74" t="n">
        <f aca="false">SQRT(($B111-BQ$5)^2+($C111-BQ$6)^2+($D111-BQ$7)^2)</f>
        <v>1.06380752006602</v>
      </c>
      <c r="BR111" s="74" t="n">
        <f aca="false">SQRT(($B111-BR$5)^2+($C111-BR$6)^2+($D111-BR$7)^2)</f>
        <v>1.06549971660683</v>
      </c>
      <c r="BS111" s="74" t="n">
        <f aca="false">SQRT(($B111-BS$5)^2+($C111-BS$6)^2+($D111-BS$7)^2)</f>
        <v>0.990731978588217</v>
      </c>
      <c r="BT111" s="74" t="n">
        <f aca="false">SQRT(($B111-BT$5)^2+($C111-BT$6)^2+($D111-BT$7)^2)</f>
        <v>0.756754402685914</v>
      </c>
      <c r="BU111" s="74" t="n">
        <f aca="false">SQRT(($B111-BU$5)^2+($C111-BU$6)^2+($D111-BU$7)^2)</f>
        <v>0.735699744715337</v>
      </c>
      <c r="BV111" s="74" t="n">
        <f aca="false">SQRT(($B111-BV$5)^2+($C111-BV$6)^2+($D111-BV$7)^2)</f>
        <v>1.30076151711728</v>
      </c>
      <c r="BW111" s="74" t="n">
        <f aca="false">SQRT(($B111-BW$5)^2+($C111-BW$6)^2+($D111-BW$7)^2)</f>
        <v>0.734208047298474</v>
      </c>
      <c r="BX111" s="74" t="n">
        <f aca="false">SQRT(($B111-BX$5)^2+($C111-BX$6)^2+($D111-BX$7)^2)</f>
        <v>1.292507697624</v>
      </c>
      <c r="BY111" s="74" t="n">
        <f aca="false">SQRT(($B111-BY$5)^2+($C111-BY$6)^2+($D111-BY$7)^2)</f>
        <v>0.64377311743326</v>
      </c>
      <c r="BZ111" s="74" t="n">
        <f aca="false">SQRT(($B111-BZ$5)^2+($C111-BZ$6)^2+($D111-BZ$7)^2)</f>
        <v>0.643997449039976</v>
      </c>
      <c r="CA111" s="74" t="n">
        <f aca="false">SQRT(($B111-CA$5)^2+($C111-CA$6)^2+($D111-CA$7)^2)</f>
        <v>1.26710223905309</v>
      </c>
      <c r="CB111" s="74" t="n">
        <f aca="false">SQRT(($B111-CB$5)^2+($C111-CB$6)^2+($D111-CB$7)^2)</f>
        <v>0.626754524954096</v>
      </c>
      <c r="CC111" s="74" t="n">
        <f aca="false">SQRT(($B111-CC$5)^2+($C111-CC$6)^2+($D111-CC$7)^2)</f>
        <v>1.25842624114161</v>
      </c>
      <c r="CD111" s="74" t="n">
        <f aca="false">SQRT(($B111-CD$5)^2+($C111-CD$6)^2+($D111-CD$7)^2)</f>
        <v>1.24078797365385</v>
      </c>
      <c r="CE111" s="74" t="n">
        <f aca="false">SQRT(($B111-CE$5)^2+($C111-CE$6)^2+($D111-CE$7)^2)</f>
        <v>0.537344129068969</v>
      </c>
      <c r="CF111" s="74" t="n">
        <f aca="false">SQRT(($B111-CF$5)^2+($C111-CF$6)^2+($D111-CF$7)^2)</f>
        <v>0.767606435993523</v>
      </c>
      <c r="CG111" s="74" t="n">
        <f aca="false">SQRT(($B111-CG$5)^2+($C111-CG$6)^2+($D111-CG$7)^2)</f>
        <v>0.791348929528548</v>
      </c>
      <c r="CH111" s="74" t="n">
        <f aca="false">SQRT(($B111-CH$5)^2+($C111-CH$6)^2+($D111-CH$7)^2)</f>
        <v>0.591529289888709</v>
      </c>
      <c r="CI111" s="74" t="n">
        <f aca="false">SQRT(($B111-CI$5)^2+($C111-CI$6)^2+($D111-CI$7)^2)</f>
        <v>0.626470250923021</v>
      </c>
      <c r="CJ111" s="74" t="n">
        <f aca="false">SQRT(($B111-CJ$5)^2+($C111-CJ$6)^2+($D111-CJ$7)^2)</f>
        <v>0.880505328184071</v>
      </c>
      <c r="CK111" s="74" t="n">
        <f aca="false">SQRT(($B111-CK$5)^2+($C111-CK$6)^2+($D111-CK$7)^2)</f>
        <v>0.331013084595518</v>
      </c>
      <c r="CL111" s="74" t="n">
        <f aca="false">SQRT(($B111-CL$5)^2+($C111-CL$6)^2+($D111-CL$7)^2)</f>
        <v>1.15080800971346</v>
      </c>
      <c r="CM111" s="74" t="n">
        <f aca="false">SQRT(($B111-CM$5)^2+($C111-CM$6)^2+($D111-CM$7)^2)</f>
        <v>0.410570960153095</v>
      </c>
      <c r="CN111" s="74" t="n">
        <f aca="false">SQRT(($B111-CN$5)^2+($C111-CN$6)^2+($D111-CN$7)^2)</f>
        <v>0.876795404292217</v>
      </c>
      <c r="CO111" s="74" t="n">
        <f aca="false">SQRT(($B111-CO$5)^2+($C111-CO$6)^2+($D111-CO$7)^2)</f>
        <v>0.578560916667352</v>
      </c>
      <c r="CP111" s="74" t="n">
        <f aca="false">SQRT(($B111-CP$5)^2+($C111-CP$6)^2+($D111-CP$7)^2)</f>
        <v>1.12752513825938</v>
      </c>
      <c r="CQ111" s="74" t="n">
        <f aca="false">SQRT(($B111-CQ$5)^2+($C111-CQ$6)^2+($D111-CQ$7)^2)</f>
        <v>0.39485424184494</v>
      </c>
      <c r="CR111" s="74" t="n">
        <f aca="false">SQRT(($B111-CR$5)^2+($C111-CR$6)^2+($D111-CR$7)^2)</f>
        <v>0.299667660192371</v>
      </c>
      <c r="CS111" s="74" t="n">
        <f aca="false">SQRT(($B111-CS$5)^2+($C111-CS$6)^2+($D111-CS$7)^2)</f>
        <v>1.11606060250543</v>
      </c>
      <c r="CT111" s="74" t="n">
        <f aca="false">SQRT(($B111-CT$5)^2+($C111-CT$6)^2+($D111-CT$7)^2)</f>
        <v>1.11251517150683</v>
      </c>
      <c r="CU111" s="74" t="n">
        <f aca="false">SQRT(($B111-CU$5)^2+($C111-CU$6)^2+($D111-CU$7)^2)</f>
        <v>0.950461809506076</v>
      </c>
      <c r="CV111" s="74" t="n">
        <f aca="false">SQRT(($B111-CV$5)^2+($C111-CV$6)^2+($D111-CV$7)^2)</f>
        <v>0.304617650691443</v>
      </c>
      <c r="CW111" s="74" t="n">
        <f aca="false">SQRT(($B111-CW$5)^2+($C111-CW$6)^2+($D111-CW$7)^2)</f>
        <v>1.11251517150683</v>
      </c>
      <c r="CX111" s="74" t="n">
        <f aca="false">SQRT(($B111-CX$5)^2+($C111-CX$6)^2+($D111-CX$7)^2)</f>
        <v>0</v>
      </c>
      <c r="CY111" s="74" t="n">
        <f aca="false">SQRT(($B111-CY$5)^2+($C111-CY$6)^2+($D111-CY$7)^2)</f>
        <v>1.11116286449034</v>
      </c>
      <c r="CZ111" s="74" t="n">
        <f aca="false">SQRT(($B111-CZ$5)^2+($C111-CZ$6)^2+($D111-CZ$7)^2)</f>
        <v>1.11116286449034</v>
      </c>
      <c r="DA111" s="74" t="n">
        <f aca="false">SQRT(($B111-DA$5)^2+($C111-DA$6)^2+($D111-DA$7)^2)</f>
        <v>0.468766663620767</v>
      </c>
      <c r="DB111" s="74" t="n">
        <f aca="false">SQRT(($B111-DB$5)^2+($C111-DB$6)^2+($D111-DB$7)^2)</f>
        <v>1.11285260150028</v>
      </c>
      <c r="DC111" s="74" t="n">
        <f aca="false">SQRT(($B111-DC$5)^2+($C111-DC$6)^2+($D111-DC$7)^2)</f>
        <v>1.11285260150028</v>
      </c>
      <c r="DD111" s="74" t="n">
        <f aca="false">SQRT(($B111-DD$5)^2+($C111-DD$6)^2+($D111-DD$7)^2)</f>
        <v>0.605188743026004</v>
      </c>
      <c r="DE111" s="74" t="n">
        <f aca="false">SQRT(($B111-DE$5)^2+($C111-DE$6)^2+($D111-DE$7)^2)</f>
        <v>0.817666812205342</v>
      </c>
      <c r="DF111" s="74" t="n">
        <f aca="false">SQRT(($B111-DF$5)^2+($C111-DF$6)^2+($D111-DF$7)^2)</f>
        <v>1.18862174839314</v>
      </c>
      <c r="DG111" s="74" t="n">
        <f aca="false">SQRT(($B111-DG$5)^2+($C111-DG$6)^2+($D111-DG$7)^2)</f>
        <v>1.24965281409685</v>
      </c>
      <c r="DH111" s="74" t="n">
        <f aca="false">SQRT(($B111-DH$5)^2+($C111-DH$6)^2+($D111-DH$7)^2)</f>
        <v>1.24965281409685</v>
      </c>
      <c r="DI111" s="74" t="n">
        <f aca="false">SQRT(($B111-DI$5)^2+($C111-DI$6)^2+($D111-DI$7)^2)</f>
        <v>1.24965281409685</v>
      </c>
      <c r="DJ111" s="74" t="n">
        <f aca="false">SQRT(($B111-DJ$5)^2+($C111-DJ$6)^2+($D111-DJ$7)^2)</f>
        <v>1.24965281409685</v>
      </c>
      <c r="DK111" s="74" t="n">
        <f aca="false">SQRT(($B111-DK$5)^2+($C111-DK$6)^2+($D111-DK$7)^2)</f>
        <v>1.35922820728617</v>
      </c>
      <c r="DL111" s="74" t="n">
        <f aca="false">SQRT(($B111-DL$5)^2+($C111-DL$6)^2+($D111-DL$7)^2)</f>
        <v>1.35922820728617</v>
      </c>
      <c r="DM111" s="74" t="n">
        <f aca="false">SQRT(($B111-DM$5)^2+($C111-DM$6)^2+($D111-DM$7)^2)</f>
        <v>1.35922820728617</v>
      </c>
      <c r="DN111" s="74" t="n">
        <f aca="false">SQRT(($B111-DN$5)^2+($C111-DN$6)^2+($D111-DN$7)^2)</f>
        <v>1.35922820728617</v>
      </c>
      <c r="DO111" s="74" t="n">
        <f aca="false">SQRT(($B111-DO$5)^2+($C111-DO$6)^2+($D111-DO$7)^2)</f>
        <v>1.35922820728617</v>
      </c>
      <c r="DP111" s="74" t="n">
        <f aca="false">SQRT(($B111-DP$5)^2+($C111-DP$6)^2+($D111-DP$7)^2)</f>
        <v>1.59451556557266</v>
      </c>
      <c r="DQ111" s="74" t="n">
        <f aca="false">SQRT(($B111-DQ$5)^2+($C111-DQ$6)^2+($D111-DQ$7)^2)</f>
        <v>1.59451556557266</v>
      </c>
    </row>
    <row r="112" customFormat="false" ht="15" hidden="false" customHeight="false" outlineLevel="0" collapsed="false">
      <c r="A112" s="48" t="str">
        <f aca="false">KMeans_Data!A103</f>
        <v>Sahiwal</v>
      </c>
      <c r="B112" s="72" t="n">
        <f aca="false">KMeans_Data!H103</f>
        <v>-0.936148467409663</v>
      </c>
      <c r="C112" s="72" t="n">
        <f aca="false">KMeans_Data!I103</f>
        <v>-0.672650545388274</v>
      </c>
      <c r="D112" s="72" t="n">
        <f aca="false">KMeans_Data!J103</f>
        <v>-1.14564411633355</v>
      </c>
      <c r="E112" s="74" t="n">
        <f aca="false">SQRT(($B112-E$5)^2+($C112-E$6)^2+($D112-E$7)^2)</f>
        <v>7.69881475468762</v>
      </c>
      <c r="F112" s="74" t="n">
        <f aca="false">SQRT(($B112-F$5)^2+($C112-F$6)^2+($D112-F$7)^2)</f>
        <v>7.44906524321697</v>
      </c>
      <c r="G112" s="74" t="n">
        <f aca="false">SQRT(($B112-G$5)^2+($C112-G$6)^2+($D112-G$7)^2)</f>
        <v>5.6632731880532</v>
      </c>
      <c r="H112" s="74" t="n">
        <f aca="false">SQRT(($B112-H$5)^2+($C112-H$6)^2+($D112-H$7)^2)</f>
        <v>6.03796236817198</v>
      </c>
      <c r="I112" s="74" t="n">
        <f aca="false">SQRT(($B112-I$5)^2+($C112-I$6)^2+($D112-I$7)^2)</f>
        <v>5.02315365320272</v>
      </c>
      <c r="J112" s="74" t="n">
        <f aca="false">SQRT(($B112-J$5)^2+($C112-J$6)^2+($D112-J$7)^2)</f>
        <v>4.58676306134447</v>
      </c>
      <c r="K112" s="74" t="n">
        <f aca="false">SQRT(($B112-K$5)^2+($C112-K$6)^2+($D112-K$7)^2)</f>
        <v>2.44454792060158</v>
      </c>
      <c r="L112" s="74" t="n">
        <f aca="false">SQRT(($B112-L$5)^2+($C112-L$6)^2+($D112-L$7)^2)</f>
        <v>3.89282485092797</v>
      </c>
      <c r="M112" s="74" t="n">
        <f aca="false">SQRT(($B112-M$5)^2+($C112-M$6)^2+($D112-M$7)^2)</f>
        <v>4.05496353075456</v>
      </c>
      <c r="N112" s="74" t="n">
        <f aca="false">SQRT(($B112-N$5)^2+($C112-N$6)^2+($D112-N$7)^2)</f>
        <v>2.22467984966473</v>
      </c>
      <c r="O112" s="74" t="n">
        <f aca="false">SQRT(($B112-O$5)^2+($C112-O$6)^2+($D112-O$7)^2)</f>
        <v>3.67225245416132</v>
      </c>
      <c r="P112" s="74" t="n">
        <f aca="false">SQRT(($B112-P$5)^2+($C112-P$6)^2+($D112-P$7)^2)</f>
        <v>3.94504271959091</v>
      </c>
      <c r="Q112" s="74" t="n">
        <f aca="false">SQRT(($B112-Q$5)^2+($C112-Q$6)^2+($D112-Q$7)^2)</f>
        <v>3.41284399539383</v>
      </c>
      <c r="R112" s="74" t="n">
        <f aca="false">SQRT(($B112-R$5)^2+($C112-R$6)^2+($D112-R$7)^2)</f>
        <v>3.44146195541105</v>
      </c>
      <c r="S112" s="74" t="n">
        <f aca="false">SQRT(($B112-S$5)^2+($C112-S$6)^2+($D112-S$7)^2)</f>
        <v>3.06644496600517</v>
      </c>
      <c r="T112" s="74" t="n">
        <f aca="false">SQRT(($B112-T$5)^2+($C112-T$6)^2+($D112-T$7)^2)</f>
        <v>3.31747033627089</v>
      </c>
      <c r="U112" s="74" t="n">
        <f aca="false">SQRT(($B112-U$5)^2+($C112-U$6)^2+($D112-U$7)^2)</f>
        <v>3.44251728110117</v>
      </c>
      <c r="V112" s="74" t="n">
        <f aca="false">SQRT(($B112-V$5)^2+($C112-V$6)^2+($D112-V$7)^2)</f>
        <v>3.24506435428582</v>
      </c>
      <c r="W112" s="74" t="n">
        <f aca="false">SQRT(($B112-W$5)^2+($C112-W$6)^2+($D112-W$7)^2)</f>
        <v>3.42615744837358</v>
      </c>
      <c r="X112" s="74" t="n">
        <f aca="false">SQRT(($B112-X$5)^2+($C112-X$6)^2+($D112-X$7)^2)</f>
        <v>3.1782544380762</v>
      </c>
      <c r="Y112" s="74" t="n">
        <f aca="false">SQRT(($B112-Y$5)^2+($C112-Y$6)^2+($D112-Y$7)^2)</f>
        <v>3.31426479095114</v>
      </c>
      <c r="Z112" s="74" t="n">
        <f aca="false">SQRT(($B112-Z$5)^2+($C112-Z$6)^2+($D112-Z$7)^2)</f>
        <v>2.87295794641527</v>
      </c>
      <c r="AA112" s="74" t="n">
        <f aca="false">SQRT(($B112-AA$5)^2+($C112-AA$6)^2+($D112-AA$7)^2)</f>
        <v>2.84319134517277</v>
      </c>
      <c r="AB112" s="74" t="n">
        <f aca="false">SQRT(($B112-AB$5)^2+($C112-AB$6)^2+($D112-AB$7)^2)</f>
        <v>2.78086281639152</v>
      </c>
      <c r="AC112" s="74" t="n">
        <f aca="false">SQRT(($B112-AC$5)^2+($C112-AC$6)^2+($D112-AC$7)^2)</f>
        <v>3.25743918928763</v>
      </c>
      <c r="AD112" s="74" t="n">
        <f aca="false">SQRT(($B112-AD$5)^2+($C112-AD$6)^2+($D112-AD$7)^2)</f>
        <v>3.27989332053729</v>
      </c>
      <c r="AE112" s="74" t="n">
        <f aca="false">SQRT(($B112-AE$5)^2+($C112-AE$6)^2+($D112-AE$7)^2)</f>
        <v>1.66687899013977</v>
      </c>
      <c r="AF112" s="74" t="n">
        <f aca="false">SQRT(($B112-AF$5)^2+($C112-AF$6)^2+($D112-AF$7)^2)</f>
        <v>2.87911992711083</v>
      </c>
      <c r="AG112" s="74" t="n">
        <f aca="false">SQRT(($B112-AG$5)^2+($C112-AG$6)^2+($D112-AG$7)^2)</f>
        <v>1.68763601051815</v>
      </c>
      <c r="AH112" s="74" t="n">
        <f aca="false">SQRT(($B112-AH$5)^2+($C112-AH$6)^2+($D112-AH$7)^2)</f>
        <v>2.58845823496059</v>
      </c>
      <c r="AI112" s="74" t="n">
        <f aca="false">SQRT(($B112-AI$5)^2+($C112-AI$6)^2+($D112-AI$7)^2)</f>
        <v>1.68479834404995</v>
      </c>
      <c r="AJ112" s="74" t="n">
        <f aca="false">SQRT(($B112-AJ$5)^2+($C112-AJ$6)^2+($D112-AJ$7)^2)</f>
        <v>2.97598363279834</v>
      </c>
      <c r="AK112" s="74" t="n">
        <f aca="false">SQRT(($B112-AK$5)^2+($C112-AK$6)^2+($D112-AK$7)^2)</f>
        <v>2.30461824736669</v>
      </c>
      <c r="AL112" s="74" t="n">
        <f aca="false">SQRT(($B112-AL$5)^2+($C112-AL$6)^2+($D112-AL$7)^2)</f>
        <v>2.27537504369982</v>
      </c>
      <c r="AM112" s="74" t="n">
        <f aca="false">SQRT(($B112-AM$5)^2+($C112-AM$6)^2+($D112-AM$7)^2)</f>
        <v>2.88926114268732</v>
      </c>
      <c r="AN112" s="74" t="n">
        <f aca="false">SQRT(($B112-AN$5)^2+($C112-AN$6)^2+($D112-AN$7)^2)</f>
        <v>2.952618491607</v>
      </c>
      <c r="AO112" s="74" t="n">
        <f aca="false">SQRT(($B112-AO$5)^2+($C112-AO$6)^2+($D112-AO$7)^2)</f>
        <v>2.41286116242176</v>
      </c>
      <c r="AP112" s="74" t="n">
        <f aca="false">SQRT(($B112-AP$5)^2+($C112-AP$6)^2+($D112-AP$7)^2)</f>
        <v>2.3554920766846</v>
      </c>
      <c r="AQ112" s="74" t="n">
        <f aca="false">SQRT(($B112-AQ$5)^2+($C112-AQ$6)^2+($D112-AQ$7)^2)</f>
        <v>2.95588252896203</v>
      </c>
      <c r="AR112" s="74" t="n">
        <f aca="false">SQRT(($B112-AR$5)^2+($C112-AR$6)^2+($D112-AR$7)^2)</f>
        <v>1.89497590988027</v>
      </c>
      <c r="AS112" s="74" t="n">
        <f aca="false">SQRT(($B112-AS$5)^2+($C112-AS$6)^2+($D112-AS$7)^2)</f>
        <v>2.49431463097018</v>
      </c>
      <c r="AT112" s="74" t="n">
        <f aca="false">SQRT(($B112-AT$5)^2+($C112-AT$6)^2+($D112-AT$7)^2)</f>
        <v>2.32939539971414</v>
      </c>
      <c r="AU112" s="74" t="n">
        <f aca="false">SQRT(($B112-AU$5)^2+($C112-AU$6)^2+($D112-AU$7)^2)</f>
        <v>1.40418012719343</v>
      </c>
      <c r="AV112" s="74" t="n">
        <f aca="false">SQRT(($B112-AV$5)^2+($C112-AV$6)^2+($D112-AV$7)^2)</f>
        <v>2.04445942603939</v>
      </c>
      <c r="AW112" s="74" t="n">
        <f aca="false">SQRT(($B112-AW$5)^2+($C112-AW$6)^2+($D112-AW$7)^2)</f>
        <v>1.21788354242004</v>
      </c>
      <c r="AX112" s="74" t="n">
        <f aca="false">SQRT(($B112-AX$5)^2+($C112-AX$6)^2+($D112-AX$7)^2)</f>
        <v>2.09582752355135</v>
      </c>
      <c r="AY112" s="74" t="n">
        <f aca="false">SQRT(($B112-AY$5)^2+($C112-AY$6)^2+($D112-AY$7)^2)</f>
        <v>1.13712396519162</v>
      </c>
      <c r="AZ112" s="74" t="n">
        <f aca="false">SQRT(($B112-AZ$5)^2+($C112-AZ$6)^2+($D112-AZ$7)^2)</f>
        <v>2.4571184913912</v>
      </c>
      <c r="BA112" s="74" t="n">
        <f aca="false">SQRT(($B112-BA$5)^2+($C112-BA$6)^2+($D112-BA$7)^2)</f>
        <v>2.30732545608107</v>
      </c>
      <c r="BB112" s="74" t="n">
        <f aca="false">SQRT(($B112-BB$5)^2+($C112-BB$6)^2+($D112-BB$7)^2)</f>
        <v>1.13057708619528</v>
      </c>
      <c r="BC112" s="74" t="n">
        <f aca="false">SQRT(($B112-BC$5)^2+($C112-BC$6)^2+($D112-BC$7)^2)</f>
        <v>1.12394680522495</v>
      </c>
      <c r="BD112" s="74" t="n">
        <f aca="false">SQRT(($B112-BD$5)^2+($C112-BD$6)^2+($D112-BD$7)^2)</f>
        <v>1.27689439075186</v>
      </c>
      <c r="BE112" s="74" t="n">
        <f aca="false">SQRT(($B112-BE$5)^2+($C112-BE$6)^2+($D112-BE$7)^2)</f>
        <v>1.41422410054254</v>
      </c>
      <c r="BF112" s="74" t="n">
        <f aca="false">SQRT(($B112-BF$5)^2+($C112-BF$6)^2+($D112-BF$7)^2)</f>
        <v>3.00725636042995</v>
      </c>
      <c r="BG112" s="74" t="n">
        <f aca="false">SQRT(($B112-BG$5)^2+($C112-BG$6)^2+($D112-BG$7)^2)</f>
        <v>2.11265130636444</v>
      </c>
      <c r="BH112" s="74" t="n">
        <f aca="false">SQRT(($B112-BH$5)^2+($C112-BH$6)^2+($D112-BH$7)^2)</f>
        <v>1.02098443711622</v>
      </c>
      <c r="BI112" s="74" t="n">
        <f aca="false">SQRT(($B112-BI$5)^2+($C112-BI$6)^2+($D112-BI$7)^2)</f>
        <v>1.00446019154629</v>
      </c>
      <c r="BJ112" s="74" t="n">
        <f aca="false">SQRT(($B112-BJ$5)^2+($C112-BJ$6)^2+($D112-BJ$7)^2)</f>
        <v>1.9335522885523</v>
      </c>
      <c r="BK112" s="74" t="n">
        <f aca="false">SQRT(($B112-BK$5)^2+($C112-BK$6)^2+($D112-BK$7)^2)</f>
        <v>1.20157483197817</v>
      </c>
      <c r="BL112" s="74" t="n">
        <f aca="false">SQRT(($B112-BL$5)^2+($C112-BL$6)^2+($D112-BL$7)^2)</f>
        <v>1.77456336490617</v>
      </c>
      <c r="BM112" s="74" t="n">
        <f aca="false">SQRT(($B112-BM$5)^2+($C112-BM$6)^2+($D112-BM$7)^2)</f>
        <v>2.24034423047419</v>
      </c>
      <c r="BN112" s="74" t="n">
        <f aca="false">SQRT(($B112-BN$5)^2+($C112-BN$6)^2+($D112-BN$7)^2)</f>
        <v>1.70394477403117</v>
      </c>
      <c r="BO112" s="74" t="n">
        <f aca="false">SQRT(($B112-BO$5)^2+($C112-BO$6)^2+($D112-BO$7)^2)</f>
        <v>0.928575629570402</v>
      </c>
      <c r="BP112" s="74" t="n">
        <f aca="false">SQRT(($B112-BP$5)^2+($C112-BP$6)^2+($D112-BP$7)^2)</f>
        <v>1.84016576641301</v>
      </c>
      <c r="BQ112" s="74" t="n">
        <f aca="false">SQRT(($B112-BQ$5)^2+($C112-BQ$6)^2+($D112-BQ$7)^2)</f>
        <v>1.81413190629151</v>
      </c>
      <c r="BR112" s="74" t="n">
        <f aca="false">SQRT(($B112-BR$5)^2+($C112-BR$6)^2+($D112-BR$7)^2)</f>
        <v>1.8447706149809</v>
      </c>
      <c r="BS112" s="74" t="n">
        <f aca="false">SQRT(($B112-BS$5)^2+($C112-BS$6)^2+($D112-BS$7)^2)</f>
        <v>1.90267486374067</v>
      </c>
      <c r="BT112" s="74" t="n">
        <f aca="false">SQRT(($B112-BT$5)^2+($C112-BT$6)^2+($D112-BT$7)^2)</f>
        <v>1.52135306465119</v>
      </c>
      <c r="BU112" s="74" t="n">
        <f aca="false">SQRT(($B112-BU$5)^2+($C112-BU$6)^2+($D112-BU$7)^2)</f>
        <v>1.44752764653599</v>
      </c>
      <c r="BV112" s="74" t="n">
        <f aca="false">SQRT(($B112-BV$5)^2+($C112-BV$6)^2+($D112-BV$7)^2)</f>
        <v>0.676237837591832</v>
      </c>
      <c r="BW112" s="74" t="n">
        <f aca="false">SQRT(($B112-BW$5)^2+($C112-BW$6)^2+($D112-BW$7)^2)</f>
        <v>1.57719725172097</v>
      </c>
      <c r="BX112" s="74" t="n">
        <f aca="false">SQRT(($B112-BX$5)^2+($C112-BX$6)^2+($D112-BX$7)^2)</f>
        <v>0.660222111864577</v>
      </c>
      <c r="BY112" s="74" t="n">
        <f aca="false">SQRT(($B112-BY$5)^2+($C112-BY$6)^2+($D112-BY$7)^2)</f>
        <v>1.14942651935442</v>
      </c>
      <c r="BZ112" s="74" t="n">
        <f aca="false">SQRT(($B112-BZ$5)^2+($C112-BZ$6)^2+($D112-BZ$7)^2)</f>
        <v>1.0880987289278</v>
      </c>
      <c r="CA112" s="74" t="n">
        <f aca="false">SQRT(($B112-CA$5)^2+($C112-CA$6)^2+($D112-CA$7)^2)</f>
        <v>0.608987005436875</v>
      </c>
      <c r="CB112" s="74" t="n">
        <f aca="false">SQRT(($B112-CB$5)^2+($C112-CB$6)^2+($D112-CB$7)^2)</f>
        <v>1.07798300732188</v>
      </c>
      <c r="CC112" s="74" t="n">
        <f aca="false">SQRT(($B112-CC$5)^2+($C112-CC$6)^2+($D112-CC$7)^2)</f>
        <v>0.590723025597793</v>
      </c>
      <c r="CD112" s="74" t="n">
        <f aca="false">SQRT(($B112-CD$5)^2+($C112-CD$6)^2+($D112-CD$7)^2)</f>
        <v>0.552152048028119</v>
      </c>
      <c r="CE112" s="74" t="n">
        <f aca="false">SQRT(($B112-CE$5)^2+($C112-CE$6)^2+($D112-CE$7)^2)</f>
        <v>1.30209632723463</v>
      </c>
      <c r="CF112" s="74" t="n">
        <f aca="false">SQRT(($B112-CF$5)^2+($C112-CF$6)^2+($D112-CF$7)^2)</f>
        <v>1.48652747702156</v>
      </c>
      <c r="CG112" s="74" t="n">
        <f aca="false">SQRT(($B112-CG$5)^2+($C112-CG$6)^2+($D112-CG$7)^2)</f>
        <v>1.02418664624425</v>
      </c>
      <c r="CH112" s="74" t="n">
        <f aca="false">SQRT(($B112-CH$5)^2+($C112-CH$6)^2+($D112-CH$7)^2)</f>
        <v>0.878994914021296</v>
      </c>
      <c r="CI112" s="74" t="n">
        <f aca="false">SQRT(($B112-CI$5)^2+($C112-CI$6)^2+($D112-CI$7)^2)</f>
        <v>0.765111540405104</v>
      </c>
      <c r="CJ112" s="74" t="n">
        <f aca="false">SQRT(($B112-CJ$5)^2+($C112-CJ$6)^2+($D112-CJ$7)^2)</f>
        <v>0.504394215107693</v>
      </c>
      <c r="CK112" s="74" t="n">
        <f aca="false">SQRT(($B112-CK$5)^2+($C112-CK$6)^2+($D112-CK$7)^2)</f>
        <v>1.15941906729009</v>
      </c>
      <c r="CL112" s="74" t="n">
        <f aca="false">SQRT(($B112-CL$5)^2+($C112-CL$6)^2+($D112-CL$7)^2)</f>
        <v>0.299459786612929</v>
      </c>
      <c r="CM112" s="74" t="n">
        <f aca="false">SQRT(($B112-CM$5)^2+($C112-CM$6)^2+($D112-CM$7)^2)</f>
        <v>0.882637762407291</v>
      </c>
      <c r="CN112" s="74" t="n">
        <f aca="false">SQRT(($B112-CN$5)^2+($C112-CN$6)^2+($D112-CN$7)^2)</f>
        <v>1.86462955272934</v>
      </c>
      <c r="CO112" s="74" t="n">
        <f aca="false">SQRT(($B112-CO$5)^2+($C112-CO$6)^2+($D112-CO$7)^2)</f>
        <v>1.11421283019019</v>
      </c>
      <c r="CP112" s="74" t="n">
        <f aca="false">SQRT(($B112-CP$5)^2+($C112-CP$6)^2+($D112-CP$7)^2)</f>
        <v>0.191389722776471</v>
      </c>
      <c r="CQ112" s="74" t="n">
        <f aca="false">SQRT(($B112-CQ$5)^2+($C112-CQ$6)^2+($D112-CQ$7)^2)</f>
        <v>0.760680636260716</v>
      </c>
      <c r="CR112" s="74" t="n">
        <f aca="false">SQRT(($B112-CR$5)^2+($C112-CR$6)^2+($D112-CR$7)^2)</f>
        <v>0.836828305491326</v>
      </c>
      <c r="CS112" s="74" t="n">
        <f aca="false">SQRT(($B112-CS$5)^2+($C112-CS$6)^2+($D112-CS$7)^2)</f>
        <v>0.104443080395001</v>
      </c>
      <c r="CT112" s="74" t="n">
        <f aca="false">SQRT(($B112-CT$5)^2+($C112-CT$6)^2+($D112-CT$7)^2)</f>
        <v>0.0548369894366797</v>
      </c>
      <c r="CU112" s="74" t="n">
        <f aca="false">SQRT(($B112-CU$5)^2+($C112-CU$6)^2+($D112-CU$7)^2)</f>
        <v>0.618467090962108</v>
      </c>
      <c r="CV112" s="74" t="n">
        <f aca="false">SQRT(($B112-CV$5)^2+($C112-CV$6)^2+($D112-CV$7)^2)</f>
        <v>1.41186934865441</v>
      </c>
      <c r="CW112" s="74" t="n">
        <f aca="false">SQRT(($B112-CW$5)^2+($C112-CW$6)^2+($D112-CW$7)^2)</f>
        <v>0.0548369894366797</v>
      </c>
      <c r="CX112" s="74" t="n">
        <f aca="false">SQRT(($B112-CX$5)^2+($C112-CX$6)^2+($D112-CX$7)^2)</f>
        <v>1.11116286449034</v>
      </c>
      <c r="CY112" s="74" t="n">
        <f aca="false">SQRT(($B112-CY$5)^2+($C112-CY$6)^2+($D112-CY$7)^2)</f>
        <v>0</v>
      </c>
      <c r="CZ112" s="74" t="n">
        <f aca="false">SQRT(($B112-CZ$5)^2+($C112-CZ$6)^2+($D112-CZ$7)^2)</f>
        <v>0</v>
      </c>
      <c r="DA112" s="74" t="n">
        <f aca="false">SQRT(($B112-DA$5)^2+($C112-DA$6)^2+($D112-DA$7)^2)</f>
        <v>0.642396200869575</v>
      </c>
      <c r="DB112" s="74" t="n">
        <f aca="false">SQRT(($B112-DB$5)^2+($C112-DB$6)^2+($D112-DB$7)^2)</f>
        <v>0.0613025386387184</v>
      </c>
      <c r="DC112" s="74" t="n">
        <f aca="false">SQRT(($B112-DC$5)^2+($C112-DC$6)^2+($D112-DC$7)^2)</f>
        <v>0.0613025386387184</v>
      </c>
      <c r="DD112" s="74" t="n">
        <f aca="false">SQRT(($B112-DD$5)^2+($C112-DD$6)^2+($D112-DD$7)^2)</f>
        <v>0.512764583698756</v>
      </c>
      <c r="DE112" s="74" t="n">
        <f aca="false">SQRT(($B112-DE$5)^2+($C112-DE$6)^2+($D112-DE$7)^2)</f>
        <v>0.384321359093681</v>
      </c>
      <c r="DF112" s="74" t="n">
        <f aca="false">SQRT(($B112-DF$5)^2+($C112-DF$6)^2+($D112-DF$7)^2)</f>
        <v>0.422064863890366</v>
      </c>
      <c r="DG112" s="74" t="n">
        <f aca="false">SQRT(($B112-DG$5)^2+($C112-DG$6)^2+($D112-DG$7)^2)</f>
        <v>0.571794757196831</v>
      </c>
      <c r="DH112" s="74" t="n">
        <f aca="false">SQRT(($B112-DH$5)^2+($C112-DH$6)^2+($D112-DH$7)^2)</f>
        <v>0.571794757196831</v>
      </c>
      <c r="DI112" s="74" t="n">
        <f aca="false">SQRT(($B112-DI$5)^2+($C112-DI$6)^2+($D112-DI$7)^2)</f>
        <v>0.571794757196831</v>
      </c>
      <c r="DJ112" s="74" t="n">
        <f aca="false">SQRT(($B112-DJ$5)^2+($C112-DJ$6)^2+($D112-DJ$7)^2)</f>
        <v>0.571794757196831</v>
      </c>
      <c r="DK112" s="74" t="n">
        <f aca="false">SQRT(($B112-DK$5)^2+($C112-DK$6)^2+($D112-DK$7)^2)</f>
        <v>0.782827189142014</v>
      </c>
      <c r="DL112" s="74" t="n">
        <f aca="false">SQRT(($B112-DL$5)^2+($C112-DL$6)^2+($D112-DL$7)^2)</f>
        <v>0.782827189142014</v>
      </c>
      <c r="DM112" s="74" t="n">
        <f aca="false">SQRT(($B112-DM$5)^2+($C112-DM$6)^2+($D112-DM$7)^2)</f>
        <v>0.782827189142014</v>
      </c>
      <c r="DN112" s="74" t="n">
        <f aca="false">SQRT(($B112-DN$5)^2+($C112-DN$6)^2+($D112-DN$7)^2)</f>
        <v>0.782827189142014</v>
      </c>
      <c r="DO112" s="74" t="n">
        <f aca="false">SQRT(($B112-DO$5)^2+($C112-DO$6)^2+($D112-DO$7)^2)</f>
        <v>0.782827189142014</v>
      </c>
      <c r="DP112" s="74" t="n">
        <f aca="false">SQRT(($B112-DP$5)^2+($C112-DP$6)^2+($D112-DP$7)^2)</f>
        <v>1.14358951439366</v>
      </c>
      <c r="DQ112" s="74" t="n">
        <f aca="false">SQRT(($B112-DQ$5)^2+($C112-DQ$6)^2+($D112-DQ$7)^2)</f>
        <v>1.14358951439366</v>
      </c>
    </row>
    <row r="113" customFormat="false" ht="15" hidden="false" customHeight="false" outlineLevel="0" collapsed="false">
      <c r="A113" s="48" t="str">
        <f aca="false">KMeans_Data!A104</f>
        <v>Chiniot</v>
      </c>
      <c r="B113" s="72" t="n">
        <f aca="false">KMeans_Data!H104</f>
        <v>-0.936148467409663</v>
      </c>
      <c r="C113" s="72" t="n">
        <f aca="false">KMeans_Data!I104</f>
        <v>-0.672650545388274</v>
      </c>
      <c r="D113" s="72" t="n">
        <f aca="false">KMeans_Data!J104</f>
        <v>-1.14564411633355</v>
      </c>
      <c r="E113" s="74" t="n">
        <f aca="false">SQRT(($B113-E$5)^2+($C113-E$6)^2+($D113-E$7)^2)</f>
        <v>7.69881475468762</v>
      </c>
      <c r="F113" s="74" t="n">
        <f aca="false">SQRT(($B113-F$5)^2+($C113-F$6)^2+($D113-F$7)^2)</f>
        <v>7.44906524321697</v>
      </c>
      <c r="G113" s="74" t="n">
        <f aca="false">SQRT(($B113-G$5)^2+($C113-G$6)^2+($D113-G$7)^2)</f>
        <v>5.6632731880532</v>
      </c>
      <c r="H113" s="74" t="n">
        <f aca="false">SQRT(($B113-H$5)^2+($C113-H$6)^2+($D113-H$7)^2)</f>
        <v>6.03796236817198</v>
      </c>
      <c r="I113" s="74" t="n">
        <f aca="false">SQRT(($B113-I$5)^2+($C113-I$6)^2+($D113-I$7)^2)</f>
        <v>5.02315365320272</v>
      </c>
      <c r="J113" s="74" t="n">
        <f aca="false">SQRT(($B113-J$5)^2+($C113-J$6)^2+($D113-J$7)^2)</f>
        <v>4.58676306134447</v>
      </c>
      <c r="K113" s="74" t="n">
        <f aca="false">SQRT(($B113-K$5)^2+($C113-K$6)^2+($D113-K$7)^2)</f>
        <v>2.44454792060158</v>
      </c>
      <c r="L113" s="74" t="n">
        <f aca="false">SQRT(($B113-L$5)^2+($C113-L$6)^2+($D113-L$7)^2)</f>
        <v>3.89282485092797</v>
      </c>
      <c r="M113" s="74" t="n">
        <f aca="false">SQRT(($B113-M$5)^2+($C113-M$6)^2+($D113-M$7)^2)</f>
        <v>4.05496353075456</v>
      </c>
      <c r="N113" s="74" t="n">
        <f aca="false">SQRT(($B113-N$5)^2+($C113-N$6)^2+($D113-N$7)^2)</f>
        <v>2.22467984966473</v>
      </c>
      <c r="O113" s="74" t="n">
        <f aca="false">SQRT(($B113-O$5)^2+($C113-O$6)^2+($D113-O$7)^2)</f>
        <v>3.67225245416132</v>
      </c>
      <c r="P113" s="74" t="n">
        <f aca="false">SQRT(($B113-P$5)^2+($C113-P$6)^2+($D113-P$7)^2)</f>
        <v>3.94504271959091</v>
      </c>
      <c r="Q113" s="74" t="n">
        <f aca="false">SQRT(($B113-Q$5)^2+($C113-Q$6)^2+($D113-Q$7)^2)</f>
        <v>3.41284399539383</v>
      </c>
      <c r="R113" s="74" t="n">
        <f aca="false">SQRT(($B113-R$5)^2+($C113-R$6)^2+($D113-R$7)^2)</f>
        <v>3.44146195541105</v>
      </c>
      <c r="S113" s="74" t="n">
        <f aca="false">SQRT(($B113-S$5)^2+($C113-S$6)^2+($D113-S$7)^2)</f>
        <v>3.06644496600517</v>
      </c>
      <c r="T113" s="74" t="n">
        <f aca="false">SQRT(($B113-T$5)^2+($C113-T$6)^2+($D113-T$7)^2)</f>
        <v>3.31747033627089</v>
      </c>
      <c r="U113" s="74" t="n">
        <f aca="false">SQRT(($B113-U$5)^2+($C113-U$6)^2+($D113-U$7)^2)</f>
        <v>3.44251728110117</v>
      </c>
      <c r="V113" s="74" t="n">
        <f aca="false">SQRT(($B113-V$5)^2+($C113-V$6)^2+($D113-V$7)^2)</f>
        <v>3.24506435428582</v>
      </c>
      <c r="W113" s="74" t="n">
        <f aca="false">SQRT(($B113-W$5)^2+($C113-W$6)^2+($D113-W$7)^2)</f>
        <v>3.42615744837358</v>
      </c>
      <c r="X113" s="74" t="n">
        <f aca="false">SQRT(($B113-X$5)^2+($C113-X$6)^2+($D113-X$7)^2)</f>
        <v>3.1782544380762</v>
      </c>
      <c r="Y113" s="74" t="n">
        <f aca="false">SQRT(($B113-Y$5)^2+($C113-Y$6)^2+($D113-Y$7)^2)</f>
        <v>3.31426479095114</v>
      </c>
      <c r="Z113" s="74" t="n">
        <f aca="false">SQRT(($B113-Z$5)^2+($C113-Z$6)^2+($D113-Z$7)^2)</f>
        <v>2.87295794641527</v>
      </c>
      <c r="AA113" s="74" t="n">
        <f aca="false">SQRT(($B113-AA$5)^2+($C113-AA$6)^2+($D113-AA$7)^2)</f>
        <v>2.84319134517277</v>
      </c>
      <c r="AB113" s="74" t="n">
        <f aca="false">SQRT(($B113-AB$5)^2+($C113-AB$6)^2+($D113-AB$7)^2)</f>
        <v>2.78086281639152</v>
      </c>
      <c r="AC113" s="74" t="n">
        <f aca="false">SQRT(($B113-AC$5)^2+($C113-AC$6)^2+($D113-AC$7)^2)</f>
        <v>3.25743918928763</v>
      </c>
      <c r="AD113" s="74" t="n">
        <f aca="false">SQRT(($B113-AD$5)^2+($C113-AD$6)^2+($D113-AD$7)^2)</f>
        <v>3.27989332053729</v>
      </c>
      <c r="AE113" s="74" t="n">
        <f aca="false">SQRT(($B113-AE$5)^2+($C113-AE$6)^2+($D113-AE$7)^2)</f>
        <v>1.66687899013977</v>
      </c>
      <c r="AF113" s="74" t="n">
        <f aca="false">SQRT(($B113-AF$5)^2+($C113-AF$6)^2+($D113-AF$7)^2)</f>
        <v>2.87911992711083</v>
      </c>
      <c r="AG113" s="74" t="n">
        <f aca="false">SQRT(($B113-AG$5)^2+($C113-AG$6)^2+($D113-AG$7)^2)</f>
        <v>1.68763601051815</v>
      </c>
      <c r="AH113" s="74" t="n">
        <f aca="false">SQRT(($B113-AH$5)^2+($C113-AH$6)^2+($D113-AH$7)^2)</f>
        <v>2.58845823496059</v>
      </c>
      <c r="AI113" s="74" t="n">
        <f aca="false">SQRT(($B113-AI$5)^2+($C113-AI$6)^2+($D113-AI$7)^2)</f>
        <v>1.68479834404995</v>
      </c>
      <c r="AJ113" s="74" t="n">
        <f aca="false">SQRT(($B113-AJ$5)^2+($C113-AJ$6)^2+($D113-AJ$7)^2)</f>
        <v>2.97598363279834</v>
      </c>
      <c r="AK113" s="74" t="n">
        <f aca="false">SQRT(($B113-AK$5)^2+($C113-AK$6)^2+($D113-AK$7)^2)</f>
        <v>2.30461824736669</v>
      </c>
      <c r="AL113" s="74" t="n">
        <f aca="false">SQRT(($B113-AL$5)^2+($C113-AL$6)^2+($D113-AL$7)^2)</f>
        <v>2.27537504369982</v>
      </c>
      <c r="AM113" s="74" t="n">
        <f aca="false">SQRT(($B113-AM$5)^2+($C113-AM$6)^2+($D113-AM$7)^2)</f>
        <v>2.88926114268732</v>
      </c>
      <c r="AN113" s="74" t="n">
        <f aca="false">SQRT(($B113-AN$5)^2+($C113-AN$6)^2+($D113-AN$7)^2)</f>
        <v>2.952618491607</v>
      </c>
      <c r="AO113" s="74" t="n">
        <f aca="false">SQRT(($B113-AO$5)^2+($C113-AO$6)^2+($D113-AO$7)^2)</f>
        <v>2.41286116242176</v>
      </c>
      <c r="AP113" s="74" t="n">
        <f aca="false">SQRT(($B113-AP$5)^2+($C113-AP$6)^2+($D113-AP$7)^2)</f>
        <v>2.3554920766846</v>
      </c>
      <c r="AQ113" s="74" t="n">
        <f aca="false">SQRT(($B113-AQ$5)^2+($C113-AQ$6)^2+($D113-AQ$7)^2)</f>
        <v>2.95588252896203</v>
      </c>
      <c r="AR113" s="74" t="n">
        <f aca="false">SQRT(($B113-AR$5)^2+($C113-AR$6)^2+($D113-AR$7)^2)</f>
        <v>1.89497590988027</v>
      </c>
      <c r="AS113" s="74" t="n">
        <f aca="false">SQRT(($B113-AS$5)^2+($C113-AS$6)^2+($D113-AS$7)^2)</f>
        <v>2.49431463097018</v>
      </c>
      <c r="AT113" s="74" t="n">
        <f aca="false">SQRT(($B113-AT$5)^2+($C113-AT$6)^2+($D113-AT$7)^2)</f>
        <v>2.32939539971414</v>
      </c>
      <c r="AU113" s="74" t="n">
        <f aca="false">SQRT(($B113-AU$5)^2+($C113-AU$6)^2+($D113-AU$7)^2)</f>
        <v>1.40418012719343</v>
      </c>
      <c r="AV113" s="74" t="n">
        <f aca="false">SQRT(($B113-AV$5)^2+($C113-AV$6)^2+($D113-AV$7)^2)</f>
        <v>2.04445942603939</v>
      </c>
      <c r="AW113" s="74" t="n">
        <f aca="false">SQRT(($B113-AW$5)^2+($C113-AW$6)^2+($D113-AW$7)^2)</f>
        <v>1.21788354242004</v>
      </c>
      <c r="AX113" s="74" t="n">
        <f aca="false">SQRT(($B113-AX$5)^2+($C113-AX$6)^2+($D113-AX$7)^2)</f>
        <v>2.09582752355135</v>
      </c>
      <c r="AY113" s="74" t="n">
        <f aca="false">SQRT(($B113-AY$5)^2+($C113-AY$6)^2+($D113-AY$7)^2)</f>
        <v>1.13712396519162</v>
      </c>
      <c r="AZ113" s="74" t="n">
        <f aca="false">SQRT(($B113-AZ$5)^2+($C113-AZ$6)^2+($D113-AZ$7)^2)</f>
        <v>2.4571184913912</v>
      </c>
      <c r="BA113" s="74" t="n">
        <f aca="false">SQRT(($B113-BA$5)^2+($C113-BA$6)^2+($D113-BA$7)^2)</f>
        <v>2.30732545608107</v>
      </c>
      <c r="BB113" s="74" t="n">
        <f aca="false">SQRT(($B113-BB$5)^2+($C113-BB$6)^2+($D113-BB$7)^2)</f>
        <v>1.13057708619528</v>
      </c>
      <c r="BC113" s="74" t="n">
        <f aca="false">SQRT(($B113-BC$5)^2+($C113-BC$6)^2+($D113-BC$7)^2)</f>
        <v>1.12394680522495</v>
      </c>
      <c r="BD113" s="74" t="n">
        <f aca="false">SQRT(($B113-BD$5)^2+($C113-BD$6)^2+($D113-BD$7)^2)</f>
        <v>1.27689439075186</v>
      </c>
      <c r="BE113" s="74" t="n">
        <f aca="false">SQRT(($B113-BE$5)^2+($C113-BE$6)^2+($D113-BE$7)^2)</f>
        <v>1.41422410054254</v>
      </c>
      <c r="BF113" s="74" t="n">
        <f aca="false">SQRT(($B113-BF$5)^2+($C113-BF$6)^2+($D113-BF$7)^2)</f>
        <v>3.00725636042995</v>
      </c>
      <c r="BG113" s="74" t="n">
        <f aca="false">SQRT(($B113-BG$5)^2+($C113-BG$6)^2+($D113-BG$7)^2)</f>
        <v>2.11265130636444</v>
      </c>
      <c r="BH113" s="74" t="n">
        <f aca="false">SQRT(($B113-BH$5)^2+($C113-BH$6)^2+($D113-BH$7)^2)</f>
        <v>1.02098443711622</v>
      </c>
      <c r="BI113" s="74" t="n">
        <f aca="false">SQRT(($B113-BI$5)^2+($C113-BI$6)^2+($D113-BI$7)^2)</f>
        <v>1.00446019154629</v>
      </c>
      <c r="BJ113" s="74" t="n">
        <f aca="false">SQRT(($B113-BJ$5)^2+($C113-BJ$6)^2+($D113-BJ$7)^2)</f>
        <v>1.9335522885523</v>
      </c>
      <c r="BK113" s="74" t="n">
        <f aca="false">SQRT(($B113-BK$5)^2+($C113-BK$6)^2+($D113-BK$7)^2)</f>
        <v>1.20157483197817</v>
      </c>
      <c r="BL113" s="74" t="n">
        <f aca="false">SQRT(($B113-BL$5)^2+($C113-BL$6)^2+($D113-BL$7)^2)</f>
        <v>1.77456336490617</v>
      </c>
      <c r="BM113" s="74" t="n">
        <f aca="false">SQRT(($B113-BM$5)^2+($C113-BM$6)^2+($D113-BM$7)^2)</f>
        <v>2.24034423047419</v>
      </c>
      <c r="BN113" s="74" t="n">
        <f aca="false">SQRT(($B113-BN$5)^2+($C113-BN$6)^2+($D113-BN$7)^2)</f>
        <v>1.70394477403117</v>
      </c>
      <c r="BO113" s="74" t="n">
        <f aca="false">SQRT(($B113-BO$5)^2+($C113-BO$6)^2+($D113-BO$7)^2)</f>
        <v>0.928575629570402</v>
      </c>
      <c r="BP113" s="74" t="n">
        <f aca="false">SQRT(($B113-BP$5)^2+($C113-BP$6)^2+($D113-BP$7)^2)</f>
        <v>1.84016576641301</v>
      </c>
      <c r="BQ113" s="74" t="n">
        <f aca="false">SQRT(($B113-BQ$5)^2+($C113-BQ$6)^2+($D113-BQ$7)^2)</f>
        <v>1.81413190629151</v>
      </c>
      <c r="BR113" s="74" t="n">
        <f aca="false">SQRT(($B113-BR$5)^2+($C113-BR$6)^2+($D113-BR$7)^2)</f>
        <v>1.8447706149809</v>
      </c>
      <c r="BS113" s="74" t="n">
        <f aca="false">SQRT(($B113-BS$5)^2+($C113-BS$6)^2+($D113-BS$7)^2)</f>
        <v>1.90267486374067</v>
      </c>
      <c r="BT113" s="74" t="n">
        <f aca="false">SQRT(($B113-BT$5)^2+($C113-BT$6)^2+($D113-BT$7)^2)</f>
        <v>1.52135306465119</v>
      </c>
      <c r="BU113" s="74" t="n">
        <f aca="false">SQRT(($B113-BU$5)^2+($C113-BU$6)^2+($D113-BU$7)^2)</f>
        <v>1.44752764653599</v>
      </c>
      <c r="BV113" s="74" t="n">
        <f aca="false">SQRT(($B113-BV$5)^2+($C113-BV$6)^2+($D113-BV$7)^2)</f>
        <v>0.676237837591832</v>
      </c>
      <c r="BW113" s="74" t="n">
        <f aca="false">SQRT(($B113-BW$5)^2+($C113-BW$6)^2+($D113-BW$7)^2)</f>
        <v>1.57719725172097</v>
      </c>
      <c r="BX113" s="74" t="n">
        <f aca="false">SQRT(($B113-BX$5)^2+($C113-BX$6)^2+($D113-BX$7)^2)</f>
        <v>0.660222111864577</v>
      </c>
      <c r="BY113" s="74" t="n">
        <f aca="false">SQRT(($B113-BY$5)^2+($C113-BY$6)^2+($D113-BY$7)^2)</f>
        <v>1.14942651935442</v>
      </c>
      <c r="BZ113" s="74" t="n">
        <f aca="false">SQRT(($B113-BZ$5)^2+($C113-BZ$6)^2+($D113-BZ$7)^2)</f>
        <v>1.0880987289278</v>
      </c>
      <c r="CA113" s="74" t="n">
        <f aca="false">SQRT(($B113-CA$5)^2+($C113-CA$6)^2+($D113-CA$7)^2)</f>
        <v>0.608987005436875</v>
      </c>
      <c r="CB113" s="74" t="n">
        <f aca="false">SQRT(($B113-CB$5)^2+($C113-CB$6)^2+($D113-CB$7)^2)</f>
        <v>1.07798300732188</v>
      </c>
      <c r="CC113" s="74" t="n">
        <f aca="false">SQRT(($B113-CC$5)^2+($C113-CC$6)^2+($D113-CC$7)^2)</f>
        <v>0.590723025597793</v>
      </c>
      <c r="CD113" s="74" t="n">
        <f aca="false">SQRT(($B113-CD$5)^2+($C113-CD$6)^2+($D113-CD$7)^2)</f>
        <v>0.552152048028119</v>
      </c>
      <c r="CE113" s="74" t="n">
        <f aca="false">SQRT(($B113-CE$5)^2+($C113-CE$6)^2+($D113-CE$7)^2)</f>
        <v>1.30209632723463</v>
      </c>
      <c r="CF113" s="74" t="n">
        <f aca="false">SQRT(($B113-CF$5)^2+($C113-CF$6)^2+($D113-CF$7)^2)</f>
        <v>1.48652747702156</v>
      </c>
      <c r="CG113" s="74" t="n">
        <f aca="false">SQRT(($B113-CG$5)^2+($C113-CG$6)^2+($D113-CG$7)^2)</f>
        <v>1.02418664624425</v>
      </c>
      <c r="CH113" s="74" t="n">
        <f aca="false">SQRT(($B113-CH$5)^2+($C113-CH$6)^2+($D113-CH$7)^2)</f>
        <v>0.878994914021296</v>
      </c>
      <c r="CI113" s="74" t="n">
        <f aca="false">SQRT(($B113-CI$5)^2+($C113-CI$6)^2+($D113-CI$7)^2)</f>
        <v>0.765111540405104</v>
      </c>
      <c r="CJ113" s="74" t="n">
        <f aca="false">SQRT(($B113-CJ$5)^2+($C113-CJ$6)^2+($D113-CJ$7)^2)</f>
        <v>0.504394215107693</v>
      </c>
      <c r="CK113" s="74" t="n">
        <f aca="false">SQRT(($B113-CK$5)^2+($C113-CK$6)^2+($D113-CK$7)^2)</f>
        <v>1.15941906729009</v>
      </c>
      <c r="CL113" s="74" t="n">
        <f aca="false">SQRT(($B113-CL$5)^2+($C113-CL$6)^2+($D113-CL$7)^2)</f>
        <v>0.299459786612929</v>
      </c>
      <c r="CM113" s="74" t="n">
        <f aca="false">SQRT(($B113-CM$5)^2+($C113-CM$6)^2+($D113-CM$7)^2)</f>
        <v>0.882637762407291</v>
      </c>
      <c r="CN113" s="74" t="n">
        <f aca="false">SQRT(($B113-CN$5)^2+($C113-CN$6)^2+($D113-CN$7)^2)</f>
        <v>1.86462955272934</v>
      </c>
      <c r="CO113" s="74" t="n">
        <f aca="false">SQRT(($B113-CO$5)^2+($C113-CO$6)^2+($D113-CO$7)^2)</f>
        <v>1.11421283019019</v>
      </c>
      <c r="CP113" s="74" t="n">
        <f aca="false">SQRT(($B113-CP$5)^2+($C113-CP$6)^2+($D113-CP$7)^2)</f>
        <v>0.191389722776471</v>
      </c>
      <c r="CQ113" s="74" t="n">
        <f aca="false">SQRT(($B113-CQ$5)^2+($C113-CQ$6)^2+($D113-CQ$7)^2)</f>
        <v>0.760680636260716</v>
      </c>
      <c r="CR113" s="74" t="n">
        <f aca="false">SQRT(($B113-CR$5)^2+($C113-CR$6)^2+($D113-CR$7)^2)</f>
        <v>0.836828305491326</v>
      </c>
      <c r="CS113" s="74" t="n">
        <f aca="false">SQRT(($B113-CS$5)^2+($C113-CS$6)^2+($D113-CS$7)^2)</f>
        <v>0.104443080395001</v>
      </c>
      <c r="CT113" s="74" t="n">
        <f aca="false">SQRT(($B113-CT$5)^2+($C113-CT$6)^2+($D113-CT$7)^2)</f>
        <v>0.0548369894366797</v>
      </c>
      <c r="CU113" s="74" t="n">
        <f aca="false">SQRT(($B113-CU$5)^2+($C113-CU$6)^2+($D113-CU$7)^2)</f>
        <v>0.618467090962108</v>
      </c>
      <c r="CV113" s="74" t="n">
        <f aca="false">SQRT(($B113-CV$5)^2+($C113-CV$6)^2+($D113-CV$7)^2)</f>
        <v>1.41186934865441</v>
      </c>
      <c r="CW113" s="74" t="n">
        <f aca="false">SQRT(($B113-CW$5)^2+($C113-CW$6)^2+($D113-CW$7)^2)</f>
        <v>0.0548369894366797</v>
      </c>
      <c r="CX113" s="74" t="n">
        <f aca="false">SQRT(($B113-CX$5)^2+($C113-CX$6)^2+($D113-CX$7)^2)</f>
        <v>1.11116286449034</v>
      </c>
      <c r="CY113" s="74" t="n">
        <f aca="false">SQRT(($B113-CY$5)^2+($C113-CY$6)^2+($D113-CY$7)^2)</f>
        <v>0</v>
      </c>
      <c r="CZ113" s="74" t="n">
        <f aca="false">SQRT(($B113-CZ$5)^2+($C113-CZ$6)^2+($D113-CZ$7)^2)</f>
        <v>0</v>
      </c>
      <c r="DA113" s="74" t="n">
        <f aca="false">SQRT(($B113-DA$5)^2+($C113-DA$6)^2+($D113-DA$7)^2)</f>
        <v>0.642396200869575</v>
      </c>
      <c r="DB113" s="74" t="n">
        <f aca="false">SQRT(($B113-DB$5)^2+($C113-DB$6)^2+($D113-DB$7)^2)</f>
        <v>0.0613025386387184</v>
      </c>
      <c r="DC113" s="74" t="n">
        <f aca="false">SQRT(($B113-DC$5)^2+($C113-DC$6)^2+($D113-DC$7)^2)</f>
        <v>0.0613025386387184</v>
      </c>
      <c r="DD113" s="74" t="n">
        <f aca="false">SQRT(($B113-DD$5)^2+($C113-DD$6)^2+($D113-DD$7)^2)</f>
        <v>0.512764583698756</v>
      </c>
      <c r="DE113" s="74" t="n">
        <f aca="false">SQRT(($B113-DE$5)^2+($C113-DE$6)^2+($D113-DE$7)^2)</f>
        <v>0.384321359093681</v>
      </c>
      <c r="DF113" s="74" t="n">
        <f aca="false">SQRT(($B113-DF$5)^2+($C113-DF$6)^2+($D113-DF$7)^2)</f>
        <v>0.422064863890366</v>
      </c>
      <c r="DG113" s="74" t="n">
        <f aca="false">SQRT(($B113-DG$5)^2+($C113-DG$6)^2+($D113-DG$7)^2)</f>
        <v>0.571794757196831</v>
      </c>
      <c r="DH113" s="74" t="n">
        <f aca="false">SQRT(($B113-DH$5)^2+($C113-DH$6)^2+($D113-DH$7)^2)</f>
        <v>0.571794757196831</v>
      </c>
      <c r="DI113" s="74" t="n">
        <f aca="false">SQRT(($B113-DI$5)^2+($C113-DI$6)^2+($D113-DI$7)^2)</f>
        <v>0.571794757196831</v>
      </c>
      <c r="DJ113" s="74" t="n">
        <f aca="false">SQRT(($B113-DJ$5)^2+($C113-DJ$6)^2+($D113-DJ$7)^2)</f>
        <v>0.571794757196831</v>
      </c>
      <c r="DK113" s="74" t="n">
        <f aca="false">SQRT(($B113-DK$5)^2+($C113-DK$6)^2+($D113-DK$7)^2)</f>
        <v>0.782827189142014</v>
      </c>
      <c r="DL113" s="74" t="n">
        <f aca="false">SQRT(($B113-DL$5)^2+($C113-DL$6)^2+($D113-DL$7)^2)</f>
        <v>0.782827189142014</v>
      </c>
      <c r="DM113" s="74" t="n">
        <f aca="false">SQRT(($B113-DM$5)^2+($C113-DM$6)^2+($D113-DM$7)^2)</f>
        <v>0.782827189142014</v>
      </c>
      <c r="DN113" s="74" t="n">
        <f aca="false">SQRT(($B113-DN$5)^2+($C113-DN$6)^2+($D113-DN$7)^2)</f>
        <v>0.782827189142014</v>
      </c>
      <c r="DO113" s="74" t="n">
        <f aca="false">SQRT(($B113-DO$5)^2+($C113-DO$6)^2+($D113-DO$7)^2)</f>
        <v>0.782827189142014</v>
      </c>
      <c r="DP113" s="74" t="n">
        <f aca="false">SQRT(($B113-DP$5)^2+($C113-DP$6)^2+($D113-DP$7)^2)</f>
        <v>1.14358951439366</v>
      </c>
      <c r="DQ113" s="74" t="n">
        <f aca="false">SQRT(($B113-DQ$5)^2+($C113-DQ$6)^2+($D113-DQ$7)^2)</f>
        <v>1.14358951439366</v>
      </c>
    </row>
    <row r="114" customFormat="false" ht="15" hidden="false" customHeight="false" outlineLevel="0" collapsed="false">
      <c r="A114" s="48" t="str">
        <f aca="false">KMeans_Data!A105</f>
        <v>South Waziristan</v>
      </c>
      <c r="B114" s="72" t="n">
        <f aca="false">KMeans_Data!H105</f>
        <v>-0.936148467409663</v>
      </c>
      <c r="C114" s="72" t="n">
        <f aca="false">KMeans_Data!I105</f>
        <v>-0.672650545388274</v>
      </c>
      <c r="D114" s="72" t="n">
        <f aca="false">KMeans_Data!J105</f>
        <v>-0.503247915463979</v>
      </c>
      <c r="E114" s="74" t="n">
        <f aca="false">SQRT(($B114-E$5)^2+($C114-E$6)^2+($D114-E$7)^2)</f>
        <v>7.35074458018159</v>
      </c>
      <c r="F114" s="74" t="n">
        <f aca="false">SQRT(($B114-F$5)^2+($C114-F$6)^2+($D114-F$7)^2)</f>
        <v>7.14040814069225</v>
      </c>
      <c r="G114" s="74" t="n">
        <f aca="false">SQRT(($B114-G$5)^2+($C114-G$6)^2+($D114-G$7)^2)</f>
        <v>5.28823570004042</v>
      </c>
      <c r="H114" s="74" t="n">
        <f aca="false">SQRT(($B114-H$5)^2+($C114-H$6)^2+($D114-H$7)^2)</f>
        <v>5.76981695597947</v>
      </c>
      <c r="I114" s="74" t="n">
        <f aca="false">SQRT(($B114-I$5)^2+($C114-I$6)^2+($D114-I$7)^2)</f>
        <v>4.6896864286988</v>
      </c>
      <c r="J114" s="74" t="n">
        <f aca="false">SQRT(($B114-J$5)^2+($C114-J$6)^2+($D114-J$7)^2)</f>
        <v>4.25730403704104</v>
      </c>
      <c r="K114" s="74" t="n">
        <f aca="false">SQRT(($B114-K$5)^2+($C114-K$6)^2+($D114-K$7)^2)</f>
        <v>2.44454792060158</v>
      </c>
      <c r="L114" s="74" t="n">
        <f aca="false">SQRT(($B114-L$5)^2+($C114-L$6)^2+($D114-L$7)^2)</f>
        <v>3.44674721399573</v>
      </c>
      <c r="M114" s="74" t="n">
        <f aca="false">SQRT(($B114-M$5)^2+($C114-M$6)^2+($D114-M$7)^2)</f>
        <v>3.63388335945313</v>
      </c>
      <c r="N114" s="74" t="n">
        <f aca="false">SQRT(($B114-N$5)^2+($C114-N$6)^2+($D114-N$7)^2)</f>
        <v>2.22467984966473</v>
      </c>
      <c r="O114" s="74" t="n">
        <f aca="false">SQRT(($B114-O$5)^2+($C114-O$6)^2+($D114-O$7)^2)</f>
        <v>3.34011552273405</v>
      </c>
      <c r="P114" s="74" t="n">
        <f aca="false">SQRT(($B114-P$5)^2+($C114-P$6)^2+($D114-P$7)^2)</f>
        <v>3.60623424428705</v>
      </c>
      <c r="Q114" s="74" t="n">
        <f aca="false">SQRT(($B114-Q$5)^2+($C114-Q$6)^2+($D114-Q$7)^2)</f>
        <v>3.03315836807994</v>
      </c>
      <c r="R114" s="74" t="n">
        <f aca="false">SQRT(($B114-R$5)^2+($C114-R$6)^2+($D114-R$7)^2)</f>
        <v>2.98249119106413</v>
      </c>
      <c r="S114" s="74" t="n">
        <f aca="false">SQRT(($B114-S$5)^2+($C114-S$6)^2+($D114-S$7)^2)</f>
        <v>2.61622783694574</v>
      </c>
      <c r="T114" s="74" t="n">
        <f aca="false">SQRT(($B114-T$5)^2+($C114-T$6)^2+($D114-T$7)^2)</f>
        <v>2.9435953077602</v>
      </c>
      <c r="U114" s="74" t="n">
        <f aca="false">SQRT(($B114-U$5)^2+($C114-U$6)^2+($D114-U$7)^2)</f>
        <v>2.95932241517887</v>
      </c>
      <c r="V114" s="74" t="n">
        <f aca="false">SQRT(($B114-V$5)^2+($C114-V$6)^2+($D114-V$7)^2)</f>
        <v>2.94563689456723</v>
      </c>
      <c r="W114" s="74" t="n">
        <f aca="false">SQRT(($B114-W$5)^2+($C114-W$6)^2+($D114-W$7)^2)</f>
        <v>3.07877705949059</v>
      </c>
      <c r="X114" s="74" t="n">
        <f aca="false">SQRT(($B114-X$5)^2+($C114-X$6)^2+($D114-X$7)^2)</f>
        <v>2.7767072218887</v>
      </c>
      <c r="Y114" s="74" t="n">
        <f aca="false">SQRT(($B114-Y$5)^2+($C114-Y$6)^2+($D114-Y$7)^2)</f>
        <v>2.88019070449854</v>
      </c>
      <c r="Z114" s="74" t="n">
        <f aca="false">SQRT(($B114-Z$5)^2+($C114-Z$6)^2+($D114-Z$7)^2)</f>
        <v>2.52986588835255</v>
      </c>
      <c r="AA114" s="74" t="n">
        <f aca="false">SQRT(($B114-AA$5)^2+($C114-AA$6)^2+($D114-AA$7)^2)</f>
        <v>2.40655539158856</v>
      </c>
      <c r="AB114" s="74" t="n">
        <f aca="false">SQRT(($B114-AB$5)^2+($C114-AB$6)^2+($D114-AB$7)^2)</f>
        <v>2.41180523687046</v>
      </c>
      <c r="AC114" s="74" t="n">
        <f aca="false">SQRT(($B114-AC$5)^2+($C114-AC$6)^2+($D114-AC$7)^2)</f>
        <v>2.93538880497877</v>
      </c>
      <c r="AD114" s="74" t="n">
        <f aca="false">SQRT(($B114-AD$5)^2+($C114-AD$6)^2+($D114-AD$7)^2)</f>
        <v>2.8383048478878</v>
      </c>
      <c r="AE114" s="74" t="n">
        <f aca="false">SQRT(($B114-AE$5)^2+($C114-AE$6)^2+($D114-AE$7)^2)</f>
        <v>1.78638138331685</v>
      </c>
      <c r="AF114" s="74" t="n">
        <f aca="false">SQRT(($B114-AF$5)^2+($C114-AF$6)^2+($D114-AF$7)^2)</f>
        <v>2.47147514754416</v>
      </c>
      <c r="AG114" s="74" t="n">
        <f aca="false">SQRT(($B114-AG$5)^2+($C114-AG$6)^2+($D114-AG$7)^2)</f>
        <v>1.51742921791848</v>
      </c>
      <c r="AH114" s="74" t="n">
        <f aca="false">SQRT(($B114-AH$5)^2+($C114-AH$6)^2+($D114-AH$7)^2)</f>
        <v>2.15331178413089</v>
      </c>
      <c r="AI114" s="74" t="n">
        <f aca="false">SQRT(($B114-AI$5)^2+($C114-AI$6)^2+($D114-AI$7)^2)</f>
        <v>1.51427262654665</v>
      </c>
      <c r="AJ114" s="74" t="n">
        <f aca="false">SQRT(($B114-AJ$5)^2+($C114-AJ$6)^2+($D114-AJ$7)^2)</f>
        <v>2.52322185767879</v>
      </c>
      <c r="AK114" s="74" t="n">
        <f aca="false">SQRT(($B114-AK$5)^2+($C114-AK$6)^2+($D114-AK$7)^2)</f>
        <v>1.97069826729097</v>
      </c>
      <c r="AL114" s="74" t="n">
        <f aca="false">SQRT(($B114-AL$5)^2+($C114-AL$6)^2+($D114-AL$7)^2)</f>
        <v>1.84631046106156</v>
      </c>
      <c r="AM114" s="74" t="n">
        <f aca="false">SQRT(($B114-AM$5)^2+($C114-AM$6)^2+($D114-AM$7)^2)</f>
        <v>2.62559545518414</v>
      </c>
      <c r="AN114" s="74" t="n">
        <f aca="false">SQRT(($B114-AN$5)^2+($C114-AN$6)^2+($D114-AN$7)^2)</f>
        <v>2.59501270930222</v>
      </c>
      <c r="AO114" s="74" t="n">
        <f aca="false">SQRT(($B114-AO$5)^2+($C114-AO$6)^2+($D114-AO$7)^2)</f>
        <v>2.0171500967522</v>
      </c>
      <c r="AP114" s="74" t="n">
        <f aca="false">SQRT(($B114-AP$5)^2+($C114-AP$6)^2+($D114-AP$7)^2)</f>
        <v>1.97424704830912</v>
      </c>
      <c r="AQ114" s="74" t="n">
        <f aca="false">SQRT(($B114-AQ$5)^2+($C114-AQ$6)^2+($D114-AQ$7)^2)</f>
        <v>2.62116199227978</v>
      </c>
      <c r="AR114" s="74" t="n">
        <f aca="false">SQRT(($B114-AR$5)^2+($C114-AR$6)^2+($D114-AR$7)^2)</f>
        <v>1.62257109167209</v>
      </c>
      <c r="AS114" s="74" t="n">
        <f aca="false">SQRT(($B114-AS$5)^2+($C114-AS$6)^2+($D114-AS$7)^2)</f>
        <v>1.96557658965578</v>
      </c>
      <c r="AT114" s="74" t="n">
        <f aca="false">SQRT(($B114-AT$5)^2+($C114-AT$6)^2+($D114-AT$7)^2)</f>
        <v>1.83632635801183</v>
      </c>
      <c r="AU114" s="74" t="n">
        <f aca="false">SQRT(($B114-AU$5)^2+($C114-AU$6)^2+($D114-AU$7)^2)</f>
        <v>1.31541767906194</v>
      </c>
      <c r="AV114" s="74" t="n">
        <f aca="false">SQRT(($B114-AV$5)^2+($C114-AV$6)^2+($D114-AV$7)^2)</f>
        <v>1.56811969875191</v>
      </c>
      <c r="AW114" s="74" t="n">
        <f aca="false">SQRT(($B114-AW$5)^2+($C114-AW$6)^2+($D114-AW$7)^2)</f>
        <v>1.21788354242004</v>
      </c>
      <c r="AX114" s="74" t="n">
        <f aca="false">SQRT(($B114-AX$5)^2+($C114-AX$6)^2+($D114-AX$7)^2)</f>
        <v>1.68610580126018</v>
      </c>
      <c r="AY114" s="74" t="n">
        <f aca="false">SQRT(($B114-AY$5)^2+($C114-AY$6)^2+($D114-AY$7)^2)</f>
        <v>1.30603361025082</v>
      </c>
      <c r="AZ114" s="74" t="n">
        <f aca="false">SQRT(($B114-AZ$5)^2+($C114-AZ$6)^2+($D114-AZ$7)^2)</f>
        <v>1.91092148552683</v>
      </c>
      <c r="BA114" s="74" t="n">
        <f aca="false">SQRT(($B114-BA$5)^2+($C114-BA$6)^2+($D114-BA$7)^2)</f>
        <v>1.80057382986088</v>
      </c>
      <c r="BB114" s="74" t="n">
        <f aca="false">SQRT(($B114-BB$5)^2+($C114-BB$6)^2+($D114-BB$7)^2)</f>
        <v>1.30033742802454</v>
      </c>
      <c r="BC114" s="74" t="n">
        <f aca="false">SQRT(($B114-BC$5)^2+($C114-BC$6)^2+($D114-BC$7)^2)</f>
        <v>1.29457688063206</v>
      </c>
      <c r="BD114" s="74" t="n">
        <f aca="false">SQRT(($B114-BD$5)^2+($C114-BD$6)^2+($D114-BD$7)^2)</f>
        <v>1.10353359996056</v>
      </c>
      <c r="BE114" s="74" t="n">
        <f aca="false">SQRT(($B114-BE$5)^2+($C114-BE$6)^2+($D114-BE$7)^2)</f>
        <v>1.11990332068926</v>
      </c>
      <c r="BF114" s="74" t="n">
        <f aca="false">SQRT(($B114-BF$5)^2+($C114-BF$6)^2+($D114-BF$7)^2)</f>
        <v>2.64378561579149</v>
      </c>
      <c r="BG114" s="74" t="n">
        <f aca="false">SQRT(($B114-BG$5)^2+($C114-BG$6)^2+($D114-BG$7)^2)</f>
        <v>1.61543480012737</v>
      </c>
      <c r="BH114" s="74" t="n">
        <f aca="false">SQRT(($B114-BH$5)^2+($C114-BH$6)^2+($D114-BH$7)^2)</f>
        <v>1.20626783913242</v>
      </c>
      <c r="BI114" s="74" t="n">
        <f aca="false">SQRT(($B114-BI$5)^2+($C114-BI$6)^2+($D114-BI$7)^2)</f>
        <v>1.19231420158148</v>
      </c>
      <c r="BJ114" s="74" t="n">
        <f aca="false">SQRT(($B114-BJ$5)^2+($C114-BJ$6)^2+($D114-BJ$7)^2)</f>
        <v>1.6345887970882</v>
      </c>
      <c r="BK114" s="74" t="n">
        <f aca="false">SQRT(($B114-BK$5)^2+($C114-BK$6)^2+($D114-BK$7)^2)</f>
        <v>0.947764846488004</v>
      </c>
      <c r="BL114" s="74" t="n">
        <f aca="false">SQRT(($B114-BL$5)^2+($C114-BL$6)^2+($D114-BL$7)^2)</f>
        <v>1.27357921795888</v>
      </c>
      <c r="BM114" s="74" t="n">
        <f aca="false">SQRT(($B114-BM$5)^2+($C114-BM$6)^2+($D114-BM$7)^2)</f>
        <v>1.82074137665344</v>
      </c>
      <c r="BN114" s="74" t="n">
        <f aca="false">SQRT(($B114-BN$5)^2+($C114-BN$6)^2+($D114-BN$7)^2)</f>
        <v>1.33754609647274</v>
      </c>
      <c r="BO114" s="74" t="n">
        <f aca="false">SQRT(($B114-BO$5)^2+($C114-BO$6)^2+($D114-BO$7)^2)</f>
        <v>0.928575629570402</v>
      </c>
      <c r="BP114" s="74" t="n">
        <f aca="false">SQRT(($B114-BP$5)^2+($C114-BP$6)^2+($D114-BP$7)^2)</f>
        <v>1.40935895034088</v>
      </c>
      <c r="BQ114" s="74" t="n">
        <f aca="false">SQRT(($B114-BQ$5)^2+($C114-BQ$6)^2+($D114-BQ$7)^2)</f>
        <v>1.31967205698717</v>
      </c>
      <c r="BR114" s="74" t="n">
        <f aca="false">SQRT(($B114-BR$5)^2+($C114-BR$6)^2+($D114-BR$7)^2)</f>
        <v>1.33824916674454</v>
      </c>
      <c r="BS114" s="74" t="n">
        <f aca="false">SQRT(($B114-BS$5)^2+($C114-BS$6)^2+($D114-BS$7)^2)</f>
        <v>1.33924315120554</v>
      </c>
      <c r="BT114" s="74" t="n">
        <f aca="false">SQRT(($B114-BT$5)^2+($C114-BT$6)^2+($D114-BT$7)^2)</f>
        <v>1.00318147466334</v>
      </c>
      <c r="BU114" s="74" t="n">
        <f aca="false">SQRT(($B114-BU$5)^2+($C114-BU$6)^2+($D114-BU$7)^2)</f>
        <v>0.946436145111309</v>
      </c>
      <c r="BV114" s="74" t="n">
        <f aca="false">SQRT(($B114-BV$5)^2+($C114-BV$6)^2+($D114-BV$7)^2)</f>
        <v>0.932722087163449</v>
      </c>
      <c r="BW114" s="74" t="n">
        <f aca="false">SQRT(($B114-BW$5)^2+($C114-BW$6)^2+($D114-BW$7)^2)</f>
        <v>1.02953269275156</v>
      </c>
      <c r="BX114" s="74" t="n">
        <f aca="false">SQRT(($B114-BX$5)^2+($C114-BX$6)^2+($D114-BX$7)^2)</f>
        <v>0.921176484657845</v>
      </c>
      <c r="BY114" s="74" t="n">
        <f aca="false">SQRT(($B114-BY$5)^2+($C114-BY$6)^2+($D114-BY$7)^2)</f>
        <v>0.704155924218408</v>
      </c>
      <c r="BZ114" s="74" t="n">
        <f aca="false">SQRT(($B114-BZ$5)^2+($C114-BZ$6)^2+($D114-BZ$7)^2)</f>
        <v>0.66190066099813</v>
      </c>
      <c r="CA114" s="74" t="n">
        <f aca="false">SQRT(($B114-CA$5)^2+($C114-CA$6)^2+($D114-CA$7)^2)</f>
        <v>0.885176847687871</v>
      </c>
      <c r="CB114" s="74" t="n">
        <f aca="false">SQRT(($B114-CB$5)^2+($C114-CB$6)^2+($D114-CB$7)^2)</f>
        <v>0.645136423719976</v>
      </c>
      <c r="CC114" s="74" t="n">
        <f aca="false">SQRT(($B114-CC$5)^2+($C114-CC$6)^2+($D114-CC$7)^2)</f>
        <v>0.87271219302991</v>
      </c>
      <c r="CD114" s="74" t="n">
        <f aca="false">SQRT(($B114-CD$5)^2+($C114-CD$6)^2+($D114-CD$7)^2)</f>
        <v>0.847080139675881</v>
      </c>
      <c r="CE114" s="74" t="n">
        <f aca="false">SQRT(($B114-CE$5)^2+($C114-CE$6)^2+($D114-CE$7)^2)</f>
        <v>0.762270695120327</v>
      </c>
      <c r="CF114" s="74" t="n">
        <f aca="false">SQRT(($B114-CF$5)^2+($C114-CF$6)^2+($D114-CF$7)^2)</f>
        <v>0.985771425465918</v>
      </c>
      <c r="CG114" s="74" t="n">
        <f aca="false">SQRT(($B114-CG$5)^2+($C114-CG$6)^2+($D114-CG$7)^2)</f>
        <v>0.709531122460532</v>
      </c>
      <c r="CH114" s="74" t="n">
        <f aca="false">SQRT(($B114-CH$5)^2+($C114-CH$6)^2+($D114-CH$7)^2)</f>
        <v>0.476558691317623</v>
      </c>
      <c r="CI114" s="74" t="n">
        <f aca="false">SQRT(($B114-CI$5)^2+($C114-CI$6)^2+($D114-CI$7)^2)</f>
        <v>0.415599314688327</v>
      </c>
      <c r="CJ114" s="74" t="n">
        <f aca="false">SQRT(($B114-CJ$5)^2+($C114-CJ$6)^2+($D114-CJ$7)^2)</f>
        <v>0.504394215107693</v>
      </c>
      <c r="CK114" s="74" t="n">
        <f aca="false">SQRT(($B114-CK$5)^2+($C114-CK$6)^2+($D114-CK$7)^2)</f>
        <v>0.573856991850396</v>
      </c>
      <c r="CL114" s="74" t="n">
        <f aca="false">SQRT(($B114-CL$5)^2+($C114-CL$6)^2+($D114-CL$7)^2)</f>
        <v>0.708765858863084</v>
      </c>
      <c r="CM114" s="74" t="n">
        <f aca="false">SQRT(($B114-CM$5)^2+($C114-CM$6)^2+($D114-CM$7)^2)</f>
        <v>0.353522816122834</v>
      </c>
      <c r="CN114" s="74" t="n">
        <f aca="false">SQRT(($B114-CN$5)^2+($C114-CN$6)^2+($D114-CN$7)^2)</f>
        <v>1.26889401986957</v>
      </c>
      <c r="CO114" s="74" t="n">
        <f aca="false">SQRT(($B114-CO$5)^2+($C114-CO$6)^2+($D114-CO$7)^2)</f>
        <v>0.645077106381174</v>
      </c>
      <c r="CP114" s="74" t="n">
        <f aca="false">SQRT(($B114-CP$5)^2+($C114-CP$6)^2+($D114-CP$7)^2)</f>
        <v>0.670300607844061</v>
      </c>
      <c r="CQ114" s="74" t="n">
        <f aca="false">SQRT(($B114-CQ$5)^2+($C114-CQ$6)^2+($D114-CQ$7)^2)</f>
        <v>0.181964715747497</v>
      </c>
      <c r="CR114" s="74" t="n">
        <f aca="false">SQRT(($B114-CR$5)^2+($C114-CR$6)^2+($D114-CR$7)^2)</f>
        <v>0.214966450320869</v>
      </c>
      <c r="CS114" s="74" t="n">
        <f aca="false">SQRT(($B114-CS$5)^2+($C114-CS$6)^2+($D114-CS$7)^2)</f>
        <v>0.650831188507481</v>
      </c>
      <c r="CT114" s="74" t="n">
        <f aca="false">SQRT(($B114-CT$5)^2+($C114-CT$6)^2+($D114-CT$7)^2)</f>
        <v>0.644732482741596</v>
      </c>
      <c r="CU114" s="74" t="n">
        <f aca="false">SQRT(($B114-CU$5)^2+($C114-CU$6)^2+($D114-CU$7)^2)</f>
        <v>0.618467090962108</v>
      </c>
      <c r="CV114" s="74" t="n">
        <f aca="false">SQRT(($B114-CV$5)^2+($C114-CV$6)^2+($D114-CV$7)^2)</f>
        <v>0.770362032227287</v>
      </c>
      <c r="CW114" s="74" t="n">
        <f aca="false">SQRT(($B114-CW$5)^2+($C114-CW$6)^2+($D114-CW$7)^2)</f>
        <v>0.644732482741596</v>
      </c>
      <c r="CX114" s="74" t="n">
        <f aca="false">SQRT(($B114-CX$5)^2+($C114-CX$6)^2+($D114-CX$7)^2)</f>
        <v>0.468766663620767</v>
      </c>
      <c r="CY114" s="74" t="n">
        <f aca="false">SQRT(($B114-CY$5)^2+($C114-CY$6)^2+($D114-CY$7)^2)</f>
        <v>0.642396200869575</v>
      </c>
      <c r="CZ114" s="74" t="n">
        <f aca="false">SQRT(($B114-CZ$5)^2+($C114-CZ$6)^2+($D114-CZ$7)^2)</f>
        <v>0.642396200869575</v>
      </c>
      <c r="DA114" s="74" t="n">
        <f aca="false">SQRT(($B114-DA$5)^2+($C114-DA$6)^2+($D114-DA$7)^2)</f>
        <v>0</v>
      </c>
      <c r="DB114" s="74" t="n">
        <f aca="false">SQRT(($B114-DB$5)^2+($C114-DB$6)^2+($D114-DB$7)^2)</f>
        <v>0.64531455906032</v>
      </c>
      <c r="DC114" s="74" t="n">
        <f aca="false">SQRT(($B114-DC$5)^2+($C114-DC$6)^2+($D114-DC$7)^2)</f>
        <v>0.64531455906032</v>
      </c>
      <c r="DD114" s="74" t="n">
        <f aca="false">SQRT(($B114-DD$5)^2+($C114-DD$6)^2+($D114-DD$7)^2)</f>
        <v>0.146728862462339</v>
      </c>
      <c r="DE114" s="74" t="n">
        <f aca="false">SQRT(($B114-DE$5)^2+($C114-DE$6)^2+($D114-DE$7)^2)</f>
        <v>0.384321359093681</v>
      </c>
      <c r="DF114" s="74" t="n">
        <f aca="false">SQRT(($B114-DF$5)^2+($C114-DF$6)^2+($D114-DF$7)^2)</f>
        <v>0.768642718187362</v>
      </c>
      <c r="DG114" s="74" t="n">
        <f aca="false">SQRT(($B114-DG$5)^2+($C114-DG$6)^2+($D114-DG$7)^2)</f>
        <v>0.860012862258144</v>
      </c>
      <c r="DH114" s="74" t="n">
        <f aca="false">SQRT(($B114-DH$5)^2+($C114-DH$6)^2+($D114-DH$7)^2)</f>
        <v>0.860012862258144</v>
      </c>
      <c r="DI114" s="74" t="n">
        <f aca="false">SQRT(($B114-DI$5)^2+($C114-DI$6)^2+($D114-DI$7)^2)</f>
        <v>0.860012862258144</v>
      </c>
      <c r="DJ114" s="74" t="n">
        <f aca="false">SQRT(($B114-DJ$5)^2+($C114-DJ$6)^2+($D114-DJ$7)^2)</f>
        <v>0.860012862258144</v>
      </c>
      <c r="DK114" s="74" t="n">
        <f aca="false">SQRT(($B114-DK$5)^2+($C114-DK$6)^2+($D114-DK$7)^2)</f>
        <v>1.01266543683077</v>
      </c>
      <c r="DL114" s="74" t="n">
        <f aca="false">SQRT(($B114-DL$5)^2+($C114-DL$6)^2+($D114-DL$7)^2)</f>
        <v>1.01266543683077</v>
      </c>
      <c r="DM114" s="74" t="n">
        <f aca="false">SQRT(($B114-DM$5)^2+($C114-DM$6)^2+($D114-DM$7)^2)</f>
        <v>1.01266543683077</v>
      </c>
      <c r="DN114" s="74" t="n">
        <f aca="false">SQRT(($B114-DN$5)^2+($C114-DN$6)^2+($D114-DN$7)^2)</f>
        <v>1.01266543683077</v>
      </c>
      <c r="DO114" s="74" t="n">
        <f aca="false">SQRT(($B114-DO$5)^2+($C114-DO$6)^2+($D114-DO$7)^2)</f>
        <v>1.01266543683077</v>
      </c>
      <c r="DP114" s="74" t="n">
        <f aca="false">SQRT(($B114-DP$5)^2+($C114-DP$6)^2+($D114-DP$7)^2)</f>
        <v>1.31166682367238</v>
      </c>
      <c r="DQ114" s="74" t="n">
        <f aca="false">SQRT(($B114-DQ$5)^2+($C114-DQ$6)^2+($D114-DQ$7)^2)</f>
        <v>1.31166682367238</v>
      </c>
    </row>
    <row r="115" customFormat="false" ht="15" hidden="false" customHeight="false" outlineLevel="0" collapsed="false">
      <c r="A115" s="48" t="str">
        <f aca="false">KMeans_Data!A106</f>
        <v>Toba Tek Singh</v>
      </c>
      <c r="B115" s="72" t="n">
        <f aca="false">KMeans_Data!H106</f>
        <v>-0.997451006048382</v>
      </c>
      <c r="C115" s="72" t="n">
        <f aca="false">KMeans_Data!I106</f>
        <v>-0.672650545388274</v>
      </c>
      <c r="D115" s="72" t="n">
        <f aca="false">KMeans_Data!J106</f>
        <v>-1.14564411633355</v>
      </c>
      <c r="E115" s="74" t="n">
        <f aca="false">SQRT(($B115-E$5)^2+($C115-E$6)^2+($D115-E$7)^2)</f>
        <v>7.73251123919131</v>
      </c>
      <c r="F115" s="74" t="n">
        <f aca="false">SQRT(($B115-F$5)^2+($C115-F$6)^2+($D115-F$7)^2)</f>
        <v>7.48368843667533</v>
      </c>
      <c r="G115" s="74" t="n">
        <f aca="false">SQRT(($B115-G$5)^2+($C115-G$6)^2+($D115-G$7)^2)</f>
        <v>5.69921936556099</v>
      </c>
      <c r="H115" s="74" t="n">
        <f aca="false">SQRT(($B115-H$5)^2+($C115-H$6)^2+($D115-H$7)^2)</f>
        <v>6.07149583628268</v>
      </c>
      <c r="I115" s="74" t="n">
        <f aca="false">SQRT(($B115-I$5)^2+($C115-I$6)^2+($D115-I$7)^2)</f>
        <v>5.06130398095042</v>
      </c>
      <c r="J115" s="74" t="n">
        <f aca="false">SQRT(($B115-J$5)^2+($C115-J$6)^2+($D115-J$7)^2)</f>
        <v>4.61953153187137</v>
      </c>
      <c r="K115" s="74" t="n">
        <f aca="false">SQRT(($B115-K$5)^2+($C115-K$6)^2+($D115-K$7)^2)</f>
        <v>2.5017146434448</v>
      </c>
      <c r="L115" s="74" t="n">
        <f aca="false">SQRT(($B115-L$5)^2+($C115-L$6)^2+($D115-L$7)^2)</f>
        <v>3.92861430702753</v>
      </c>
      <c r="M115" s="74" t="n">
        <f aca="false">SQRT(($B115-M$5)^2+($C115-M$6)^2+($D115-M$7)^2)</f>
        <v>4.08847639524052</v>
      </c>
      <c r="N115" s="74" t="n">
        <f aca="false">SQRT(($B115-N$5)^2+($C115-N$6)^2+($D115-N$7)^2)</f>
        <v>2.28364833599714</v>
      </c>
      <c r="O115" s="74" t="n">
        <f aca="false">SQRT(($B115-O$5)^2+($C115-O$6)^2+($D115-O$7)^2)</f>
        <v>3.70727303665977</v>
      </c>
      <c r="P115" s="74" t="n">
        <f aca="false">SQRT(($B115-P$5)^2+($C115-P$6)^2+($D115-P$7)^2)</f>
        <v>3.97744525855744</v>
      </c>
      <c r="Q115" s="74" t="n">
        <f aca="false">SQRT(($B115-Q$5)^2+($C115-Q$6)^2+($D115-Q$7)^2)</f>
        <v>3.44874730841746</v>
      </c>
      <c r="R115" s="74" t="n">
        <f aca="false">SQRT(($B115-R$5)^2+($C115-R$6)^2+($D115-R$7)^2)</f>
        <v>3.47697824473286</v>
      </c>
      <c r="S115" s="74" t="n">
        <f aca="false">SQRT(($B115-S$5)^2+($C115-S$6)^2+($D115-S$7)^2)</f>
        <v>3.10566947085191</v>
      </c>
      <c r="T115" s="74" t="n">
        <f aca="false">SQRT(($B115-T$5)^2+($C115-T$6)^2+($D115-T$7)^2)</f>
        <v>3.35308031609903</v>
      </c>
      <c r="U115" s="74" t="n">
        <f aca="false">SQRT(($B115-U$5)^2+($C115-U$6)^2+($D115-U$7)^2)</f>
        <v>3.47525137787769</v>
      </c>
      <c r="V115" s="74" t="n">
        <f aca="false">SQRT(($B115-V$5)^2+($C115-V$6)^2+($D115-V$7)^2)</f>
        <v>3.27926203299102</v>
      </c>
      <c r="W115" s="74" t="n">
        <f aca="false">SQRT(($B115-W$5)^2+($C115-W$6)^2+($D115-W$7)^2)</f>
        <v>3.45853196742716</v>
      </c>
      <c r="X115" s="74" t="n">
        <f aca="false">SQRT(($B115-X$5)^2+($C115-X$6)^2+($D115-X$7)^2)</f>
        <v>3.2129481510757</v>
      </c>
      <c r="Y115" s="74" t="n">
        <f aca="false">SQRT(($B115-Y$5)^2+($C115-Y$6)^2+($D115-Y$7)^2)</f>
        <v>3.34659881233486</v>
      </c>
      <c r="Z115" s="74" t="n">
        <f aca="false">SQRT(($B115-Z$5)^2+($C115-Z$6)^2+($D115-Z$7)^2)</f>
        <v>2.91011050764645</v>
      </c>
      <c r="AA115" s="74" t="n">
        <f aca="false">SQRT(($B115-AA$5)^2+($C115-AA$6)^2+($D115-AA$7)^2)</f>
        <v>2.88068271456314</v>
      </c>
      <c r="AB115" s="74" t="n">
        <f aca="false">SQRT(($B115-AB$5)^2+($C115-AB$6)^2+($D115-AB$7)^2)</f>
        <v>2.81918319381812</v>
      </c>
      <c r="AC115" s="74" t="n">
        <f aca="false">SQRT(($B115-AC$5)^2+($C115-AC$6)^2+($D115-AC$7)^2)</f>
        <v>3.28980952631098</v>
      </c>
      <c r="AD115" s="74" t="n">
        <f aca="false">SQRT(($B115-AD$5)^2+($C115-AD$6)^2+($D115-AD$7)^2)</f>
        <v>3.31105183086326</v>
      </c>
      <c r="AE115" s="74" t="n">
        <f aca="false">SQRT(($B115-AE$5)^2+($C115-AE$6)^2+($D115-AE$7)^2)</f>
        <v>1.72516170820429</v>
      </c>
      <c r="AF115" s="74" t="n">
        <f aca="false">SQRT(($B115-AF$5)^2+($C115-AF$6)^2+($D115-AF$7)^2)</f>
        <v>2.91233976261172</v>
      </c>
      <c r="AG115" s="74" t="n">
        <f aca="false">SQRT(($B115-AG$5)^2+($C115-AG$6)^2+($D115-AG$7)^2)</f>
        <v>1.74283831118214</v>
      </c>
      <c r="AH115" s="74" t="n">
        <f aca="false">SQRT(($B115-AH$5)^2+($C115-AH$6)^2+($D115-AH$7)^2)</f>
        <v>2.62478305942832</v>
      </c>
      <c r="AI115" s="74" t="n">
        <f aca="false">SQRT(($B115-AI$5)^2+($C115-AI$6)^2+($D115-AI$7)^2)</f>
        <v>1.73997920025797</v>
      </c>
      <c r="AJ115" s="74" t="n">
        <f aca="false">SQRT(($B115-AJ$5)^2+($C115-AJ$6)^2+($D115-AJ$7)^2)</f>
        <v>3.00743707456687</v>
      </c>
      <c r="AK115" s="74" t="n">
        <f aca="false">SQRT(($B115-AK$5)^2+($C115-AK$6)^2+($D115-AK$7)^2)</f>
        <v>2.34413681037157</v>
      </c>
      <c r="AL115" s="74" t="n">
        <f aca="false">SQRT(($B115-AL$5)^2+($C115-AL$6)^2+($D115-AL$7)^2)</f>
        <v>2.314151882728</v>
      </c>
      <c r="AM115" s="74" t="n">
        <f aca="false">SQRT(($B115-AM$5)^2+($C115-AM$6)^2+($D115-AM$7)^2)</f>
        <v>2.91989679569063</v>
      </c>
      <c r="AN115" s="74" t="n">
        <f aca="false">SQRT(($B115-AN$5)^2+($C115-AN$6)^2+($D115-AN$7)^2)</f>
        <v>2.98196453434438</v>
      </c>
      <c r="AO115" s="74" t="n">
        <f aca="false">SQRT(($B115-AO$5)^2+($C115-AO$6)^2+($D115-AO$7)^2)</f>
        <v>2.4481733504028</v>
      </c>
      <c r="AP115" s="74" t="n">
        <f aca="false">SQRT(($B115-AP$5)^2+($C115-AP$6)^2+($D115-AP$7)^2)</f>
        <v>2.39154429955634</v>
      </c>
      <c r="AQ115" s="74" t="n">
        <f aca="false">SQRT(($B115-AQ$5)^2+($C115-AQ$6)^2+($D115-AQ$7)^2)</f>
        <v>2.98425138829482</v>
      </c>
      <c r="AR115" s="74" t="n">
        <f aca="false">SQRT(($B115-AR$5)^2+($C115-AR$6)^2+($D115-AR$7)^2)</f>
        <v>1.93836701737728</v>
      </c>
      <c r="AS115" s="74" t="n">
        <f aca="false">SQRT(($B115-AS$5)^2+($C115-AS$6)^2+($D115-AS$7)^2)</f>
        <v>2.52567217725429</v>
      </c>
      <c r="AT115" s="74" t="n">
        <f aca="false">SQRT(($B115-AT$5)^2+($C115-AT$6)^2+($D115-AT$7)^2)</f>
        <v>2.3618163830883</v>
      </c>
      <c r="AU115" s="74" t="n">
        <f aca="false">SQRT(($B115-AU$5)^2+($C115-AU$6)^2+($D115-AU$7)^2)</f>
        <v>1.45685037150764</v>
      </c>
      <c r="AV115" s="74" t="n">
        <f aca="false">SQRT(($B115-AV$5)^2+($C115-AV$6)^2+($D115-AV$7)^2)</f>
        <v>2.08081535135637</v>
      </c>
      <c r="AW115" s="74" t="n">
        <f aca="false">SQRT(($B115-AW$5)^2+($C115-AW$6)^2+($D115-AW$7)^2)</f>
        <v>1.27711802160724</v>
      </c>
      <c r="AX115" s="74" t="n">
        <f aca="false">SQRT(($B115-AX$5)^2+($C115-AX$6)^2+($D115-AX$7)^2)</f>
        <v>2.13061887156825</v>
      </c>
      <c r="AY115" s="74" t="n">
        <f aca="false">SQRT(($B115-AY$5)^2+($C115-AY$6)^2+($D115-AY$7)^2)</f>
        <v>1.19842650383034</v>
      </c>
      <c r="AZ115" s="74" t="n">
        <f aca="false">SQRT(($B115-AZ$5)^2+($C115-AZ$6)^2+($D115-AZ$7)^2)</f>
        <v>2.48608255164756</v>
      </c>
      <c r="BA115" s="74" t="n">
        <f aca="false">SQRT(($B115-BA$5)^2+($C115-BA$6)^2+($D115-BA$7)^2)</f>
        <v>2.33797417704823</v>
      </c>
      <c r="BB115" s="74" t="n">
        <f aca="false">SQRT(($B115-BB$5)^2+($C115-BB$6)^2+($D115-BB$7)^2)</f>
        <v>1.191879624834</v>
      </c>
      <c r="BC115" s="74" t="n">
        <f aca="false">SQRT(($B115-BC$5)^2+($C115-BC$6)^2+($D115-BC$7)^2)</f>
        <v>1.18524934386367</v>
      </c>
      <c r="BD115" s="74" t="n">
        <f aca="false">SQRT(($B115-BD$5)^2+($C115-BD$6)^2+($D115-BD$7)^2)</f>
        <v>1.33023159963915</v>
      </c>
      <c r="BE115" s="74" t="n">
        <f aca="false">SQRT(($B115-BE$5)^2+($C115-BE$6)^2+($D115-BE$7)^2)</f>
        <v>1.46197191123792</v>
      </c>
      <c r="BF115" s="74" t="n">
        <f aca="false">SQRT(($B115-BF$5)^2+($C115-BF$6)^2+($D115-BF$7)^2)</f>
        <v>3.02956185765761</v>
      </c>
      <c r="BG115" s="74" t="n">
        <f aca="false">SQRT(($B115-BG$5)^2+($C115-BG$6)^2+($D115-BG$7)^2)</f>
        <v>2.14340734080787</v>
      </c>
      <c r="BH115" s="74" t="n">
        <f aca="false">SQRT(($B115-BH$5)^2+($C115-BH$6)^2+($D115-BH$7)^2)</f>
        <v>1.08228697575494</v>
      </c>
      <c r="BI115" s="74" t="n">
        <f aca="false">SQRT(($B115-BI$5)^2+($C115-BI$6)^2+($D115-BI$7)^2)</f>
        <v>1.06576273018501</v>
      </c>
      <c r="BJ115" s="74" t="n">
        <f aca="false">SQRT(($B115-BJ$5)^2+($C115-BJ$6)^2+($D115-BJ$7)^2)</f>
        <v>1.96473123834112</v>
      </c>
      <c r="BK115" s="74" t="n">
        <f aca="false">SQRT(($B115-BK$5)^2+($C115-BK$6)^2+($D115-BK$7)^2)</f>
        <v>1.25021886538999</v>
      </c>
      <c r="BL115" s="74" t="n">
        <f aca="false">SQRT(($B115-BL$5)^2+($C115-BL$6)^2+($D115-BL$7)^2)</f>
        <v>1.80753129169867</v>
      </c>
      <c r="BM115" s="74" t="n">
        <f aca="false">SQRT(($B115-BM$5)^2+($C115-BM$6)^2+($D115-BM$7)^2)</f>
        <v>2.26574250467086</v>
      </c>
      <c r="BN115" s="74" t="n">
        <f aca="false">SQRT(($B115-BN$5)^2+($C115-BN$6)^2+($D115-BN$7)^2)</f>
        <v>1.73683936184853</v>
      </c>
      <c r="BO115" s="74" t="n">
        <f aca="false">SQRT(($B115-BO$5)^2+($C115-BO$6)^2+($D115-BO$7)^2)</f>
        <v>0.986321920950627</v>
      </c>
      <c r="BP115" s="74" t="n">
        <f aca="false">SQRT(($B115-BP$5)^2+($C115-BP$6)^2+($D115-BP$7)^2)</f>
        <v>1.86886862311644</v>
      </c>
      <c r="BQ115" s="74" t="n">
        <f aca="false">SQRT(($B115-BQ$5)^2+($C115-BQ$6)^2+($D115-BQ$7)^2)</f>
        <v>1.84285116386101</v>
      </c>
      <c r="BR115" s="74" t="n">
        <f aca="false">SQRT(($B115-BR$5)^2+($C115-BR$6)^2+($D115-BR$7)^2)</f>
        <v>1.87222752703036</v>
      </c>
      <c r="BS115" s="74" t="n">
        <f aca="false">SQRT(($B115-BS$5)^2+($C115-BS$6)^2+($D115-BS$7)^2)</f>
        <v>1.92808193044232</v>
      </c>
      <c r="BT115" s="74" t="n">
        <f aca="false">SQRT(($B115-BT$5)^2+($C115-BT$6)^2+($D115-BT$7)^2)</f>
        <v>1.55136576412517</v>
      </c>
      <c r="BU115" s="74" t="n">
        <f aca="false">SQRT(($B115-BU$5)^2+($C115-BU$6)^2+($D115-BU$7)^2)</f>
        <v>1.47903917265977</v>
      </c>
      <c r="BV115" s="74" t="n">
        <f aca="false">SQRT(($B115-BV$5)^2+($C115-BV$6)^2+($D115-BV$7)^2)</f>
        <v>0.73754037623055</v>
      </c>
      <c r="BW115" s="74" t="n">
        <f aca="false">SQRT(($B115-BW$5)^2+($C115-BW$6)^2+($D115-BW$7)^2)</f>
        <v>1.60382535056818</v>
      </c>
      <c r="BX115" s="74" t="n">
        <f aca="false">SQRT(($B115-BX$5)^2+($C115-BX$6)^2+($D115-BX$7)^2)</f>
        <v>0.721524650503295</v>
      </c>
      <c r="BY115" s="74" t="n">
        <f aca="false">SQRT(($B115-BY$5)^2+($C115-BY$6)^2+($D115-BY$7)^2)</f>
        <v>1.18396265074505</v>
      </c>
      <c r="BZ115" s="74" t="n">
        <f aca="false">SQRT(($B115-BZ$5)^2+($C115-BZ$6)^2+($D115-BZ$7)^2)</f>
        <v>1.12355762825072</v>
      </c>
      <c r="CA115" s="74" t="n">
        <f aca="false">SQRT(($B115-CA$5)^2+($C115-CA$6)^2+($D115-CA$7)^2)</f>
        <v>0.670289544075593</v>
      </c>
      <c r="CB115" s="74" t="n">
        <f aca="false">SQRT(($B115-CB$5)^2+($C115-CB$6)^2+($D115-CB$7)^2)</f>
        <v>1.11275828800385</v>
      </c>
      <c r="CC115" s="74" t="n">
        <f aca="false">SQRT(($B115-CC$5)^2+($C115-CC$6)^2+($D115-CC$7)^2)</f>
        <v>0.652025564236512</v>
      </c>
      <c r="CD115" s="74" t="n">
        <f aca="false">SQRT(($B115-CD$5)^2+($C115-CD$6)^2+($D115-CD$7)^2)</f>
        <v>0.613454586666837</v>
      </c>
      <c r="CE115" s="74" t="n">
        <f aca="false">SQRT(($B115-CE$5)^2+($C115-CE$6)^2+($D115-CE$7)^2)</f>
        <v>1.32830972613691</v>
      </c>
      <c r="CF115" s="74" t="n">
        <f aca="false">SQRT(($B115-CF$5)^2+($C115-CF$6)^2+($D115-CF$7)^2)</f>
        <v>1.50954159369396</v>
      </c>
      <c r="CG115" s="74" t="n">
        <f aca="false">SQRT(($B115-CG$5)^2+($C115-CG$6)^2+($D115-CG$7)^2)</f>
        <v>1.05344806815418</v>
      </c>
      <c r="CH115" s="74" t="n">
        <f aca="false">SQRT(($B115-CH$5)^2+($C115-CH$6)^2+($D115-CH$7)^2)</f>
        <v>0.912922014647497</v>
      </c>
      <c r="CI115" s="74" t="n">
        <f aca="false">SQRT(($B115-CI$5)^2+($C115-CI$6)^2+($D115-CI$7)^2)</f>
        <v>0.80006765751306</v>
      </c>
      <c r="CJ115" s="74" t="n">
        <f aca="false">SQRT(($B115-CJ$5)^2+($C115-CJ$6)^2+($D115-CJ$7)^2)</f>
        <v>0.55303975461874</v>
      </c>
      <c r="CK115" s="74" t="n">
        <f aca="false">SQRT(($B115-CK$5)^2+($C115-CK$6)^2+($D115-CK$7)^2)</f>
        <v>1.17838637961241</v>
      </c>
      <c r="CL115" s="74" t="n">
        <f aca="false">SQRT(($B115-CL$5)^2+($C115-CL$6)^2+($D115-CL$7)^2)</f>
        <v>0.360762325251648</v>
      </c>
      <c r="CM115" s="74" t="n">
        <f aca="false">SQRT(($B115-CM$5)^2+($C115-CM$6)^2+($D115-CM$7)^2)</f>
        <v>0.905274936773389</v>
      </c>
      <c r="CN115" s="74" t="n">
        <f aca="false">SQRT(($B115-CN$5)^2+($C115-CN$6)^2+($D115-CN$7)^2)</f>
        <v>1.87317797328281</v>
      </c>
      <c r="CO115" s="74" t="n">
        <f aca="false">SQRT(($B115-CO$5)^2+($C115-CO$6)^2+($D115-CO$7)^2)</f>
        <v>1.12636298942885</v>
      </c>
      <c r="CP115" s="74" t="n">
        <f aca="false">SQRT(($B115-CP$5)^2+($C115-CP$6)^2+($D115-CP$7)^2)</f>
        <v>0.252692261415189</v>
      </c>
      <c r="CQ115" s="74" t="n">
        <f aca="false">SQRT(($B115-CQ$5)^2+($C115-CQ$6)^2+($D115-CQ$7)^2)</f>
        <v>0.77508107754295</v>
      </c>
      <c r="CR115" s="74" t="n">
        <f aca="false">SQRT(($B115-CR$5)^2+($C115-CR$6)^2+($D115-CR$7)^2)</f>
        <v>0.846666915650989</v>
      </c>
      <c r="CS115" s="74" t="n">
        <f aca="false">SQRT(($B115-CS$5)^2+($C115-CS$6)^2+($D115-CS$7)^2)</f>
        <v>0.16574561903372</v>
      </c>
      <c r="CT115" s="74" t="n">
        <f aca="false">SQRT(($B115-CT$5)^2+($C115-CT$6)^2+($D115-CT$7)^2)</f>
        <v>0.116139528075398</v>
      </c>
      <c r="CU115" s="74" t="n">
        <f aca="false">SQRT(($B115-CU$5)^2+($C115-CU$6)^2+($D115-CU$7)^2)</f>
        <v>0.626883431886846</v>
      </c>
      <c r="CV115" s="74" t="n">
        <f aca="false">SQRT(($B115-CV$5)^2+($C115-CV$6)^2+($D115-CV$7)^2)</f>
        <v>1.4155763321845</v>
      </c>
      <c r="CW115" s="74" t="n">
        <f aca="false">SQRT(($B115-CW$5)^2+($C115-CW$6)^2+($D115-CW$7)^2)</f>
        <v>0.116139528075398</v>
      </c>
      <c r="CX115" s="74" t="n">
        <f aca="false">SQRT(($B115-CX$5)^2+($C115-CX$6)^2+($D115-CX$7)^2)</f>
        <v>1.11285260150028</v>
      </c>
      <c r="CY115" s="74" t="n">
        <f aca="false">SQRT(($B115-CY$5)^2+($C115-CY$6)^2+($D115-CY$7)^2)</f>
        <v>0.0613025386387184</v>
      </c>
      <c r="CZ115" s="74" t="n">
        <f aca="false">SQRT(($B115-CZ$5)^2+($C115-CZ$6)^2+($D115-CZ$7)^2)</f>
        <v>0.0613025386387184</v>
      </c>
      <c r="DA115" s="74" t="n">
        <f aca="false">SQRT(($B115-DA$5)^2+($C115-DA$6)^2+($D115-DA$7)^2)</f>
        <v>0.64531455906032</v>
      </c>
      <c r="DB115" s="74" t="n">
        <f aca="false">SQRT(($B115-DB$5)^2+($C115-DB$6)^2+($D115-DB$7)^2)</f>
        <v>0</v>
      </c>
      <c r="DC115" s="74" t="n">
        <f aca="false">SQRT(($B115-DC$5)^2+($C115-DC$6)^2+($D115-DC$7)^2)</f>
        <v>0</v>
      </c>
      <c r="DD115" s="74" t="n">
        <f aca="false">SQRT(($B115-DD$5)^2+($C115-DD$6)^2+($D115-DD$7)^2)</f>
        <v>0.509086944492006</v>
      </c>
      <c r="DE115" s="74" t="n">
        <f aca="false">SQRT(($B115-DE$5)^2+($C115-DE$6)^2+($D115-DE$7)^2)</f>
        <v>0.354382929431542</v>
      </c>
      <c r="DF115" s="74" t="n">
        <f aca="false">SQRT(($B115-DF$5)^2+($C115-DF$6)^2+($D115-DF$7)^2)</f>
        <v>0.360762325251648</v>
      </c>
      <c r="DG115" s="74" t="n">
        <f aca="false">SQRT(($B115-DG$5)^2+($C115-DG$6)^2+($D115-DG$7)^2)</f>
        <v>0.510492218558112</v>
      </c>
      <c r="DH115" s="74" t="n">
        <f aca="false">SQRT(($B115-DH$5)^2+($C115-DH$6)^2+($D115-DH$7)^2)</f>
        <v>0.510492218558112</v>
      </c>
      <c r="DI115" s="74" t="n">
        <f aca="false">SQRT(($B115-DI$5)^2+($C115-DI$6)^2+($D115-DI$7)^2)</f>
        <v>0.510492218558112</v>
      </c>
      <c r="DJ115" s="74" t="n">
        <f aca="false">SQRT(($B115-DJ$5)^2+($C115-DJ$6)^2+($D115-DJ$7)^2)</f>
        <v>0.510492218558112</v>
      </c>
      <c r="DK115" s="74" t="n">
        <f aca="false">SQRT(($B115-DK$5)^2+($C115-DK$6)^2+($D115-DK$7)^2)</f>
        <v>0.721524650503295</v>
      </c>
      <c r="DL115" s="74" t="n">
        <f aca="false">SQRT(($B115-DL$5)^2+($C115-DL$6)^2+($D115-DL$7)^2)</f>
        <v>0.721524650503295</v>
      </c>
      <c r="DM115" s="74" t="n">
        <f aca="false">SQRT(($B115-DM$5)^2+($C115-DM$6)^2+($D115-DM$7)^2)</f>
        <v>0.721524650503295</v>
      </c>
      <c r="DN115" s="74" t="n">
        <f aca="false">SQRT(($B115-DN$5)^2+($C115-DN$6)^2+($D115-DN$7)^2)</f>
        <v>0.721524650503295</v>
      </c>
      <c r="DO115" s="74" t="n">
        <f aca="false">SQRT(($B115-DO$5)^2+($C115-DO$6)^2+($D115-DO$7)^2)</f>
        <v>0.721524650503295</v>
      </c>
      <c r="DP115" s="74" t="n">
        <f aca="false">SQRT(($B115-DP$5)^2+($C115-DP$6)^2+($D115-DP$7)^2)</f>
        <v>1.08228697575494</v>
      </c>
      <c r="DQ115" s="74" t="n">
        <f aca="false">SQRT(($B115-DQ$5)^2+($C115-DQ$6)^2+($D115-DQ$7)^2)</f>
        <v>1.08228697575494</v>
      </c>
    </row>
    <row r="116" customFormat="false" ht="15" hidden="false" customHeight="false" outlineLevel="0" collapsed="false">
      <c r="A116" s="48" t="str">
        <f aca="false">KMeans_Data!A107</f>
        <v>Khanewal</v>
      </c>
      <c r="B116" s="72" t="n">
        <f aca="false">KMeans_Data!H107</f>
        <v>-0.997451006048382</v>
      </c>
      <c r="C116" s="72" t="n">
        <f aca="false">KMeans_Data!I107</f>
        <v>-0.672650545388274</v>
      </c>
      <c r="D116" s="72" t="n">
        <f aca="false">KMeans_Data!J107</f>
        <v>-1.14564411633355</v>
      </c>
      <c r="E116" s="74" t="n">
        <f aca="false">SQRT(($B116-E$5)^2+($C116-E$6)^2+($D116-E$7)^2)</f>
        <v>7.73251123919131</v>
      </c>
      <c r="F116" s="74" t="n">
        <f aca="false">SQRT(($B116-F$5)^2+($C116-F$6)^2+($D116-F$7)^2)</f>
        <v>7.48368843667533</v>
      </c>
      <c r="G116" s="74" t="n">
        <f aca="false">SQRT(($B116-G$5)^2+($C116-G$6)^2+($D116-G$7)^2)</f>
        <v>5.69921936556099</v>
      </c>
      <c r="H116" s="74" t="n">
        <f aca="false">SQRT(($B116-H$5)^2+($C116-H$6)^2+($D116-H$7)^2)</f>
        <v>6.07149583628268</v>
      </c>
      <c r="I116" s="74" t="n">
        <f aca="false">SQRT(($B116-I$5)^2+($C116-I$6)^2+($D116-I$7)^2)</f>
        <v>5.06130398095042</v>
      </c>
      <c r="J116" s="74" t="n">
        <f aca="false">SQRT(($B116-J$5)^2+($C116-J$6)^2+($D116-J$7)^2)</f>
        <v>4.61953153187137</v>
      </c>
      <c r="K116" s="74" t="n">
        <f aca="false">SQRT(($B116-K$5)^2+($C116-K$6)^2+($D116-K$7)^2)</f>
        <v>2.5017146434448</v>
      </c>
      <c r="L116" s="74" t="n">
        <f aca="false">SQRT(($B116-L$5)^2+($C116-L$6)^2+($D116-L$7)^2)</f>
        <v>3.92861430702753</v>
      </c>
      <c r="M116" s="74" t="n">
        <f aca="false">SQRT(($B116-M$5)^2+($C116-M$6)^2+($D116-M$7)^2)</f>
        <v>4.08847639524052</v>
      </c>
      <c r="N116" s="74" t="n">
        <f aca="false">SQRT(($B116-N$5)^2+($C116-N$6)^2+($D116-N$7)^2)</f>
        <v>2.28364833599714</v>
      </c>
      <c r="O116" s="74" t="n">
        <f aca="false">SQRT(($B116-O$5)^2+($C116-O$6)^2+($D116-O$7)^2)</f>
        <v>3.70727303665977</v>
      </c>
      <c r="P116" s="74" t="n">
        <f aca="false">SQRT(($B116-P$5)^2+($C116-P$6)^2+($D116-P$7)^2)</f>
        <v>3.97744525855744</v>
      </c>
      <c r="Q116" s="74" t="n">
        <f aca="false">SQRT(($B116-Q$5)^2+($C116-Q$6)^2+($D116-Q$7)^2)</f>
        <v>3.44874730841746</v>
      </c>
      <c r="R116" s="74" t="n">
        <f aca="false">SQRT(($B116-R$5)^2+($C116-R$6)^2+($D116-R$7)^2)</f>
        <v>3.47697824473286</v>
      </c>
      <c r="S116" s="74" t="n">
        <f aca="false">SQRT(($B116-S$5)^2+($C116-S$6)^2+($D116-S$7)^2)</f>
        <v>3.10566947085191</v>
      </c>
      <c r="T116" s="74" t="n">
        <f aca="false">SQRT(($B116-T$5)^2+($C116-T$6)^2+($D116-T$7)^2)</f>
        <v>3.35308031609903</v>
      </c>
      <c r="U116" s="74" t="n">
        <f aca="false">SQRT(($B116-U$5)^2+($C116-U$6)^2+($D116-U$7)^2)</f>
        <v>3.47525137787769</v>
      </c>
      <c r="V116" s="74" t="n">
        <f aca="false">SQRT(($B116-V$5)^2+($C116-V$6)^2+($D116-V$7)^2)</f>
        <v>3.27926203299102</v>
      </c>
      <c r="W116" s="74" t="n">
        <f aca="false">SQRT(($B116-W$5)^2+($C116-W$6)^2+($D116-W$7)^2)</f>
        <v>3.45853196742716</v>
      </c>
      <c r="X116" s="74" t="n">
        <f aca="false">SQRT(($B116-X$5)^2+($C116-X$6)^2+($D116-X$7)^2)</f>
        <v>3.2129481510757</v>
      </c>
      <c r="Y116" s="74" t="n">
        <f aca="false">SQRT(($B116-Y$5)^2+($C116-Y$6)^2+($D116-Y$7)^2)</f>
        <v>3.34659881233486</v>
      </c>
      <c r="Z116" s="74" t="n">
        <f aca="false">SQRT(($B116-Z$5)^2+($C116-Z$6)^2+($D116-Z$7)^2)</f>
        <v>2.91011050764645</v>
      </c>
      <c r="AA116" s="74" t="n">
        <f aca="false">SQRT(($B116-AA$5)^2+($C116-AA$6)^2+($D116-AA$7)^2)</f>
        <v>2.88068271456314</v>
      </c>
      <c r="AB116" s="74" t="n">
        <f aca="false">SQRT(($B116-AB$5)^2+($C116-AB$6)^2+($D116-AB$7)^2)</f>
        <v>2.81918319381812</v>
      </c>
      <c r="AC116" s="74" t="n">
        <f aca="false">SQRT(($B116-AC$5)^2+($C116-AC$6)^2+($D116-AC$7)^2)</f>
        <v>3.28980952631098</v>
      </c>
      <c r="AD116" s="74" t="n">
        <f aca="false">SQRT(($B116-AD$5)^2+($C116-AD$6)^2+($D116-AD$7)^2)</f>
        <v>3.31105183086326</v>
      </c>
      <c r="AE116" s="74" t="n">
        <f aca="false">SQRT(($B116-AE$5)^2+($C116-AE$6)^2+($D116-AE$7)^2)</f>
        <v>1.72516170820429</v>
      </c>
      <c r="AF116" s="74" t="n">
        <f aca="false">SQRT(($B116-AF$5)^2+($C116-AF$6)^2+($D116-AF$7)^2)</f>
        <v>2.91233976261172</v>
      </c>
      <c r="AG116" s="74" t="n">
        <f aca="false">SQRT(($B116-AG$5)^2+($C116-AG$6)^2+($D116-AG$7)^2)</f>
        <v>1.74283831118214</v>
      </c>
      <c r="AH116" s="74" t="n">
        <f aca="false">SQRT(($B116-AH$5)^2+($C116-AH$6)^2+($D116-AH$7)^2)</f>
        <v>2.62478305942832</v>
      </c>
      <c r="AI116" s="74" t="n">
        <f aca="false">SQRT(($B116-AI$5)^2+($C116-AI$6)^2+($D116-AI$7)^2)</f>
        <v>1.73997920025797</v>
      </c>
      <c r="AJ116" s="74" t="n">
        <f aca="false">SQRT(($B116-AJ$5)^2+($C116-AJ$6)^2+($D116-AJ$7)^2)</f>
        <v>3.00743707456687</v>
      </c>
      <c r="AK116" s="74" t="n">
        <f aca="false">SQRT(($B116-AK$5)^2+($C116-AK$6)^2+($D116-AK$7)^2)</f>
        <v>2.34413681037157</v>
      </c>
      <c r="AL116" s="74" t="n">
        <f aca="false">SQRT(($B116-AL$5)^2+($C116-AL$6)^2+($D116-AL$7)^2)</f>
        <v>2.314151882728</v>
      </c>
      <c r="AM116" s="74" t="n">
        <f aca="false">SQRT(($B116-AM$5)^2+($C116-AM$6)^2+($D116-AM$7)^2)</f>
        <v>2.91989679569063</v>
      </c>
      <c r="AN116" s="74" t="n">
        <f aca="false">SQRT(($B116-AN$5)^2+($C116-AN$6)^2+($D116-AN$7)^2)</f>
        <v>2.98196453434438</v>
      </c>
      <c r="AO116" s="74" t="n">
        <f aca="false">SQRT(($B116-AO$5)^2+($C116-AO$6)^2+($D116-AO$7)^2)</f>
        <v>2.4481733504028</v>
      </c>
      <c r="AP116" s="74" t="n">
        <f aca="false">SQRT(($B116-AP$5)^2+($C116-AP$6)^2+($D116-AP$7)^2)</f>
        <v>2.39154429955634</v>
      </c>
      <c r="AQ116" s="74" t="n">
        <f aca="false">SQRT(($B116-AQ$5)^2+($C116-AQ$6)^2+($D116-AQ$7)^2)</f>
        <v>2.98425138829482</v>
      </c>
      <c r="AR116" s="74" t="n">
        <f aca="false">SQRT(($B116-AR$5)^2+($C116-AR$6)^2+($D116-AR$7)^2)</f>
        <v>1.93836701737728</v>
      </c>
      <c r="AS116" s="74" t="n">
        <f aca="false">SQRT(($B116-AS$5)^2+($C116-AS$6)^2+($D116-AS$7)^2)</f>
        <v>2.52567217725429</v>
      </c>
      <c r="AT116" s="74" t="n">
        <f aca="false">SQRT(($B116-AT$5)^2+($C116-AT$6)^2+($D116-AT$7)^2)</f>
        <v>2.3618163830883</v>
      </c>
      <c r="AU116" s="74" t="n">
        <f aca="false">SQRT(($B116-AU$5)^2+($C116-AU$6)^2+($D116-AU$7)^2)</f>
        <v>1.45685037150764</v>
      </c>
      <c r="AV116" s="74" t="n">
        <f aca="false">SQRT(($B116-AV$5)^2+($C116-AV$6)^2+($D116-AV$7)^2)</f>
        <v>2.08081535135637</v>
      </c>
      <c r="AW116" s="74" t="n">
        <f aca="false">SQRT(($B116-AW$5)^2+($C116-AW$6)^2+($D116-AW$7)^2)</f>
        <v>1.27711802160724</v>
      </c>
      <c r="AX116" s="74" t="n">
        <f aca="false">SQRT(($B116-AX$5)^2+($C116-AX$6)^2+($D116-AX$7)^2)</f>
        <v>2.13061887156825</v>
      </c>
      <c r="AY116" s="74" t="n">
        <f aca="false">SQRT(($B116-AY$5)^2+($C116-AY$6)^2+($D116-AY$7)^2)</f>
        <v>1.19842650383034</v>
      </c>
      <c r="AZ116" s="74" t="n">
        <f aca="false">SQRT(($B116-AZ$5)^2+($C116-AZ$6)^2+($D116-AZ$7)^2)</f>
        <v>2.48608255164756</v>
      </c>
      <c r="BA116" s="74" t="n">
        <f aca="false">SQRT(($B116-BA$5)^2+($C116-BA$6)^2+($D116-BA$7)^2)</f>
        <v>2.33797417704823</v>
      </c>
      <c r="BB116" s="74" t="n">
        <f aca="false">SQRT(($B116-BB$5)^2+($C116-BB$6)^2+($D116-BB$7)^2)</f>
        <v>1.191879624834</v>
      </c>
      <c r="BC116" s="74" t="n">
        <f aca="false">SQRT(($B116-BC$5)^2+($C116-BC$6)^2+($D116-BC$7)^2)</f>
        <v>1.18524934386367</v>
      </c>
      <c r="BD116" s="74" t="n">
        <f aca="false">SQRT(($B116-BD$5)^2+($C116-BD$6)^2+($D116-BD$7)^2)</f>
        <v>1.33023159963915</v>
      </c>
      <c r="BE116" s="74" t="n">
        <f aca="false">SQRT(($B116-BE$5)^2+($C116-BE$6)^2+($D116-BE$7)^2)</f>
        <v>1.46197191123792</v>
      </c>
      <c r="BF116" s="74" t="n">
        <f aca="false">SQRT(($B116-BF$5)^2+($C116-BF$6)^2+($D116-BF$7)^2)</f>
        <v>3.02956185765761</v>
      </c>
      <c r="BG116" s="74" t="n">
        <f aca="false">SQRT(($B116-BG$5)^2+($C116-BG$6)^2+($D116-BG$7)^2)</f>
        <v>2.14340734080787</v>
      </c>
      <c r="BH116" s="74" t="n">
        <f aca="false">SQRT(($B116-BH$5)^2+($C116-BH$6)^2+($D116-BH$7)^2)</f>
        <v>1.08228697575494</v>
      </c>
      <c r="BI116" s="74" t="n">
        <f aca="false">SQRT(($B116-BI$5)^2+($C116-BI$6)^2+($D116-BI$7)^2)</f>
        <v>1.06576273018501</v>
      </c>
      <c r="BJ116" s="74" t="n">
        <f aca="false">SQRT(($B116-BJ$5)^2+($C116-BJ$6)^2+($D116-BJ$7)^2)</f>
        <v>1.96473123834112</v>
      </c>
      <c r="BK116" s="74" t="n">
        <f aca="false">SQRT(($B116-BK$5)^2+($C116-BK$6)^2+($D116-BK$7)^2)</f>
        <v>1.25021886538999</v>
      </c>
      <c r="BL116" s="74" t="n">
        <f aca="false">SQRT(($B116-BL$5)^2+($C116-BL$6)^2+($D116-BL$7)^2)</f>
        <v>1.80753129169867</v>
      </c>
      <c r="BM116" s="74" t="n">
        <f aca="false">SQRT(($B116-BM$5)^2+($C116-BM$6)^2+($D116-BM$7)^2)</f>
        <v>2.26574250467086</v>
      </c>
      <c r="BN116" s="74" t="n">
        <f aca="false">SQRT(($B116-BN$5)^2+($C116-BN$6)^2+($D116-BN$7)^2)</f>
        <v>1.73683936184853</v>
      </c>
      <c r="BO116" s="74" t="n">
        <f aca="false">SQRT(($B116-BO$5)^2+($C116-BO$6)^2+($D116-BO$7)^2)</f>
        <v>0.986321920950627</v>
      </c>
      <c r="BP116" s="74" t="n">
        <f aca="false">SQRT(($B116-BP$5)^2+($C116-BP$6)^2+($D116-BP$7)^2)</f>
        <v>1.86886862311644</v>
      </c>
      <c r="BQ116" s="74" t="n">
        <f aca="false">SQRT(($B116-BQ$5)^2+($C116-BQ$6)^2+($D116-BQ$7)^2)</f>
        <v>1.84285116386101</v>
      </c>
      <c r="BR116" s="74" t="n">
        <f aca="false">SQRT(($B116-BR$5)^2+($C116-BR$6)^2+($D116-BR$7)^2)</f>
        <v>1.87222752703036</v>
      </c>
      <c r="BS116" s="74" t="n">
        <f aca="false">SQRT(($B116-BS$5)^2+($C116-BS$6)^2+($D116-BS$7)^2)</f>
        <v>1.92808193044232</v>
      </c>
      <c r="BT116" s="74" t="n">
        <f aca="false">SQRT(($B116-BT$5)^2+($C116-BT$6)^2+($D116-BT$7)^2)</f>
        <v>1.55136576412517</v>
      </c>
      <c r="BU116" s="74" t="n">
        <f aca="false">SQRT(($B116-BU$5)^2+($C116-BU$6)^2+($D116-BU$7)^2)</f>
        <v>1.47903917265977</v>
      </c>
      <c r="BV116" s="74" t="n">
        <f aca="false">SQRT(($B116-BV$5)^2+($C116-BV$6)^2+($D116-BV$7)^2)</f>
        <v>0.73754037623055</v>
      </c>
      <c r="BW116" s="74" t="n">
        <f aca="false">SQRT(($B116-BW$5)^2+($C116-BW$6)^2+($D116-BW$7)^2)</f>
        <v>1.60382535056818</v>
      </c>
      <c r="BX116" s="74" t="n">
        <f aca="false">SQRT(($B116-BX$5)^2+($C116-BX$6)^2+($D116-BX$7)^2)</f>
        <v>0.721524650503295</v>
      </c>
      <c r="BY116" s="74" t="n">
        <f aca="false">SQRT(($B116-BY$5)^2+($C116-BY$6)^2+($D116-BY$7)^2)</f>
        <v>1.18396265074505</v>
      </c>
      <c r="BZ116" s="74" t="n">
        <f aca="false">SQRT(($B116-BZ$5)^2+($C116-BZ$6)^2+($D116-BZ$7)^2)</f>
        <v>1.12355762825072</v>
      </c>
      <c r="CA116" s="74" t="n">
        <f aca="false">SQRT(($B116-CA$5)^2+($C116-CA$6)^2+($D116-CA$7)^2)</f>
        <v>0.670289544075593</v>
      </c>
      <c r="CB116" s="74" t="n">
        <f aca="false">SQRT(($B116-CB$5)^2+($C116-CB$6)^2+($D116-CB$7)^2)</f>
        <v>1.11275828800385</v>
      </c>
      <c r="CC116" s="74" t="n">
        <f aca="false">SQRT(($B116-CC$5)^2+($C116-CC$6)^2+($D116-CC$7)^2)</f>
        <v>0.652025564236512</v>
      </c>
      <c r="CD116" s="74" t="n">
        <f aca="false">SQRT(($B116-CD$5)^2+($C116-CD$6)^2+($D116-CD$7)^2)</f>
        <v>0.613454586666837</v>
      </c>
      <c r="CE116" s="74" t="n">
        <f aca="false">SQRT(($B116-CE$5)^2+($C116-CE$6)^2+($D116-CE$7)^2)</f>
        <v>1.32830972613691</v>
      </c>
      <c r="CF116" s="74" t="n">
        <f aca="false">SQRT(($B116-CF$5)^2+($C116-CF$6)^2+($D116-CF$7)^2)</f>
        <v>1.50954159369396</v>
      </c>
      <c r="CG116" s="74" t="n">
        <f aca="false">SQRT(($B116-CG$5)^2+($C116-CG$6)^2+($D116-CG$7)^2)</f>
        <v>1.05344806815418</v>
      </c>
      <c r="CH116" s="74" t="n">
        <f aca="false">SQRT(($B116-CH$5)^2+($C116-CH$6)^2+($D116-CH$7)^2)</f>
        <v>0.912922014647497</v>
      </c>
      <c r="CI116" s="74" t="n">
        <f aca="false">SQRT(($B116-CI$5)^2+($C116-CI$6)^2+($D116-CI$7)^2)</f>
        <v>0.80006765751306</v>
      </c>
      <c r="CJ116" s="74" t="n">
        <f aca="false">SQRT(($B116-CJ$5)^2+($C116-CJ$6)^2+($D116-CJ$7)^2)</f>
        <v>0.55303975461874</v>
      </c>
      <c r="CK116" s="74" t="n">
        <f aca="false">SQRT(($B116-CK$5)^2+($C116-CK$6)^2+($D116-CK$7)^2)</f>
        <v>1.17838637961241</v>
      </c>
      <c r="CL116" s="74" t="n">
        <f aca="false">SQRT(($B116-CL$5)^2+($C116-CL$6)^2+($D116-CL$7)^2)</f>
        <v>0.360762325251648</v>
      </c>
      <c r="CM116" s="74" t="n">
        <f aca="false">SQRT(($B116-CM$5)^2+($C116-CM$6)^2+($D116-CM$7)^2)</f>
        <v>0.905274936773389</v>
      </c>
      <c r="CN116" s="74" t="n">
        <f aca="false">SQRT(($B116-CN$5)^2+($C116-CN$6)^2+($D116-CN$7)^2)</f>
        <v>1.87317797328281</v>
      </c>
      <c r="CO116" s="74" t="n">
        <f aca="false">SQRT(($B116-CO$5)^2+($C116-CO$6)^2+($D116-CO$7)^2)</f>
        <v>1.12636298942885</v>
      </c>
      <c r="CP116" s="74" t="n">
        <f aca="false">SQRT(($B116-CP$5)^2+($C116-CP$6)^2+($D116-CP$7)^2)</f>
        <v>0.252692261415189</v>
      </c>
      <c r="CQ116" s="74" t="n">
        <f aca="false">SQRT(($B116-CQ$5)^2+($C116-CQ$6)^2+($D116-CQ$7)^2)</f>
        <v>0.77508107754295</v>
      </c>
      <c r="CR116" s="74" t="n">
        <f aca="false">SQRT(($B116-CR$5)^2+($C116-CR$6)^2+($D116-CR$7)^2)</f>
        <v>0.846666915650989</v>
      </c>
      <c r="CS116" s="74" t="n">
        <f aca="false">SQRT(($B116-CS$5)^2+($C116-CS$6)^2+($D116-CS$7)^2)</f>
        <v>0.16574561903372</v>
      </c>
      <c r="CT116" s="74" t="n">
        <f aca="false">SQRT(($B116-CT$5)^2+($C116-CT$6)^2+($D116-CT$7)^2)</f>
        <v>0.116139528075398</v>
      </c>
      <c r="CU116" s="74" t="n">
        <f aca="false">SQRT(($B116-CU$5)^2+($C116-CU$6)^2+($D116-CU$7)^2)</f>
        <v>0.626883431886846</v>
      </c>
      <c r="CV116" s="74" t="n">
        <f aca="false">SQRT(($B116-CV$5)^2+($C116-CV$6)^2+($D116-CV$7)^2)</f>
        <v>1.4155763321845</v>
      </c>
      <c r="CW116" s="74" t="n">
        <f aca="false">SQRT(($B116-CW$5)^2+($C116-CW$6)^2+($D116-CW$7)^2)</f>
        <v>0.116139528075398</v>
      </c>
      <c r="CX116" s="74" t="n">
        <f aca="false">SQRT(($B116-CX$5)^2+($C116-CX$6)^2+($D116-CX$7)^2)</f>
        <v>1.11285260150028</v>
      </c>
      <c r="CY116" s="74" t="n">
        <f aca="false">SQRT(($B116-CY$5)^2+($C116-CY$6)^2+($D116-CY$7)^2)</f>
        <v>0.0613025386387184</v>
      </c>
      <c r="CZ116" s="74" t="n">
        <f aca="false">SQRT(($B116-CZ$5)^2+($C116-CZ$6)^2+($D116-CZ$7)^2)</f>
        <v>0.0613025386387184</v>
      </c>
      <c r="DA116" s="74" t="n">
        <f aca="false">SQRT(($B116-DA$5)^2+($C116-DA$6)^2+($D116-DA$7)^2)</f>
        <v>0.64531455906032</v>
      </c>
      <c r="DB116" s="74" t="n">
        <f aca="false">SQRT(($B116-DB$5)^2+($C116-DB$6)^2+($D116-DB$7)^2)</f>
        <v>0</v>
      </c>
      <c r="DC116" s="74" t="n">
        <f aca="false">SQRT(($B116-DC$5)^2+($C116-DC$6)^2+($D116-DC$7)^2)</f>
        <v>0</v>
      </c>
      <c r="DD116" s="74" t="n">
        <f aca="false">SQRT(($B116-DD$5)^2+($C116-DD$6)^2+($D116-DD$7)^2)</f>
        <v>0.509086944492006</v>
      </c>
      <c r="DE116" s="74" t="n">
        <f aca="false">SQRT(($B116-DE$5)^2+($C116-DE$6)^2+($D116-DE$7)^2)</f>
        <v>0.354382929431542</v>
      </c>
      <c r="DF116" s="74" t="n">
        <f aca="false">SQRT(($B116-DF$5)^2+($C116-DF$6)^2+($D116-DF$7)^2)</f>
        <v>0.360762325251648</v>
      </c>
      <c r="DG116" s="74" t="n">
        <f aca="false">SQRT(($B116-DG$5)^2+($C116-DG$6)^2+($D116-DG$7)^2)</f>
        <v>0.510492218558112</v>
      </c>
      <c r="DH116" s="74" t="n">
        <f aca="false">SQRT(($B116-DH$5)^2+($C116-DH$6)^2+($D116-DH$7)^2)</f>
        <v>0.510492218558112</v>
      </c>
      <c r="DI116" s="74" t="n">
        <f aca="false">SQRT(($B116-DI$5)^2+($C116-DI$6)^2+($D116-DI$7)^2)</f>
        <v>0.510492218558112</v>
      </c>
      <c r="DJ116" s="74" t="n">
        <f aca="false">SQRT(($B116-DJ$5)^2+($C116-DJ$6)^2+($D116-DJ$7)^2)</f>
        <v>0.510492218558112</v>
      </c>
      <c r="DK116" s="74" t="n">
        <f aca="false">SQRT(($B116-DK$5)^2+($C116-DK$6)^2+($D116-DK$7)^2)</f>
        <v>0.721524650503295</v>
      </c>
      <c r="DL116" s="74" t="n">
        <f aca="false">SQRT(($B116-DL$5)^2+($C116-DL$6)^2+($D116-DL$7)^2)</f>
        <v>0.721524650503295</v>
      </c>
      <c r="DM116" s="74" t="n">
        <f aca="false">SQRT(($B116-DM$5)^2+($C116-DM$6)^2+($D116-DM$7)^2)</f>
        <v>0.721524650503295</v>
      </c>
      <c r="DN116" s="74" t="n">
        <f aca="false">SQRT(($B116-DN$5)^2+($C116-DN$6)^2+($D116-DN$7)^2)</f>
        <v>0.721524650503295</v>
      </c>
      <c r="DO116" s="74" t="n">
        <f aca="false">SQRT(($B116-DO$5)^2+($C116-DO$6)^2+($D116-DO$7)^2)</f>
        <v>0.721524650503295</v>
      </c>
      <c r="DP116" s="74" t="n">
        <f aca="false">SQRT(($B116-DP$5)^2+($C116-DP$6)^2+($D116-DP$7)^2)</f>
        <v>1.08228697575494</v>
      </c>
      <c r="DQ116" s="74" t="n">
        <f aca="false">SQRT(($B116-DQ$5)^2+($C116-DQ$6)^2+($D116-DQ$7)^2)</f>
        <v>1.08228697575494</v>
      </c>
    </row>
    <row r="117" customFormat="false" ht="15" hidden="false" customHeight="false" outlineLevel="0" collapsed="false">
      <c r="A117" s="48" t="str">
        <f aca="false">KMeans_Data!A108</f>
        <v>Tharparkar</v>
      </c>
      <c r="B117" s="72" t="n">
        <f aca="false">KMeans_Data!H108</f>
        <v>-0.997451006048382</v>
      </c>
      <c r="C117" s="72" t="n">
        <f aca="false">KMeans_Data!I108</f>
        <v>-0.672650545388274</v>
      </c>
      <c r="D117" s="72" t="n">
        <f aca="false">KMeans_Data!J108</f>
        <v>-0.636557171841548</v>
      </c>
      <c r="E117" s="74" t="n">
        <f aca="false">SQRT(($B117-E$5)^2+($C117-E$6)^2+($D117-E$7)^2)</f>
        <v>7.45470370665017</v>
      </c>
      <c r="F117" s="74" t="n">
        <f aca="false">SQRT(($B117-F$5)^2+($C117-F$6)^2+($D117-F$7)^2)</f>
        <v>7.23664763314462</v>
      </c>
      <c r="G117" s="74" t="n">
        <f aca="false">SQRT(($B117-G$5)^2+($C117-G$6)^2+($D117-G$7)^2)</f>
        <v>5.39984587511534</v>
      </c>
      <c r="H117" s="74" t="n">
        <f aca="false">SQRT(($B117-H$5)^2+($C117-H$6)^2+($D117-H$7)^2)</f>
        <v>5.85542825793996</v>
      </c>
      <c r="I117" s="74" t="n">
        <f aca="false">SQRT(($B117-I$5)^2+($C117-I$6)^2+($D117-I$7)^2)</f>
        <v>4.7939705368724</v>
      </c>
      <c r="J117" s="74" t="n">
        <f aca="false">SQRT(($B117-J$5)^2+($C117-J$6)^2+($D117-J$7)^2)</f>
        <v>4.35466499435381</v>
      </c>
      <c r="K117" s="74" t="n">
        <f aca="false">SQRT(($B117-K$5)^2+($C117-K$6)^2+($D117-K$7)^2)</f>
        <v>2.4881137745739</v>
      </c>
      <c r="L117" s="74" t="n">
        <f aca="false">SQRT(($B117-L$5)^2+($C117-L$6)^2+($D117-L$7)^2)</f>
        <v>3.57372994643184</v>
      </c>
      <c r="M117" s="74" t="n">
        <f aca="false">SQRT(($B117-M$5)^2+($C117-M$6)^2+($D117-M$7)^2)</f>
        <v>3.75260167369171</v>
      </c>
      <c r="N117" s="74" t="n">
        <f aca="false">SQRT(($B117-N$5)^2+($C117-N$6)^2+($D117-N$7)^2)</f>
        <v>2.26874055821743</v>
      </c>
      <c r="O117" s="74" t="n">
        <f aca="false">SQRT(($B117-O$5)^2+($C117-O$6)^2+($D117-O$7)^2)</f>
        <v>3.43951536235178</v>
      </c>
      <c r="P117" s="74" t="n">
        <f aca="false">SQRT(($B117-P$5)^2+($C117-P$6)^2+($D117-P$7)^2)</f>
        <v>3.70468510396784</v>
      </c>
      <c r="Q117" s="74" t="n">
        <f aca="false">SQRT(($B117-Q$5)^2+($C117-Q$6)^2+($D117-Q$7)^2)</f>
        <v>3.14426942734752</v>
      </c>
      <c r="R117" s="74" t="n">
        <f aca="false">SQRT(($B117-R$5)^2+($C117-R$6)^2+($D117-R$7)^2)</f>
        <v>3.11206598507103</v>
      </c>
      <c r="S117" s="74" t="n">
        <f aca="false">SQRT(($B117-S$5)^2+($C117-S$6)^2+($D117-S$7)^2)</f>
        <v>2.74769062976925</v>
      </c>
      <c r="T117" s="74" t="n">
        <f aca="false">SQRT(($B117-T$5)^2+($C117-T$6)^2+($D117-T$7)^2)</f>
        <v>3.05289977532878</v>
      </c>
      <c r="U117" s="74" t="n">
        <f aca="false">SQRT(($B117-U$5)^2+($C117-U$6)^2+($D117-U$7)^2)</f>
        <v>3.09161693907374</v>
      </c>
      <c r="V117" s="74" t="n">
        <f aca="false">SQRT(($B117-V$5)^2+($C117-V$6)^2+($D117-V$7)^2)</f>
        <v>3.03590150863666</v>
      </c>
      <c r="W117" s="74" t="n">
        <f aca="false">SQRT(($B117-W$5)^2+($C117-W$6)^2+($D117-W$7)^2)</f>
        <v>3.17849304591289</v>
      </c>
      <c r="X117" s="74" t="n">
        <f aca="false">SQRT(($B117-X$5)^2+($C117-X$6)^2+($D117-X$7)^2)</f>
        <v>2.8913993185018</v>
      </c>
      <c r="Y117" s="74" t="n">
        <f aca="false">SQRT(($B117-Y$5)^2+($C117-Y$6)^2+($D117-Y$7)^2)</f>
        <v>3.00016538379242</v>
      </c>
      <c r="Z117" s="74" t="n">
        <f aca="false">SQRT(($B117-Z$5)^2+($C117-Z$6)^2+($D117-Z$7)^2)</f>
        <v>2.63284668293469</v>
      </c>
      <c r="AA117" s="74" t="n">
        <f aca="false">SQRT(($B117-AA$5)^2+($C117-AA$6)^2+($D117-AA$7)^2)</f>
        <v>2.53257162815612</v>
      </c>
      <c r="AB117" s="74" t="n">
        <f aca="false">SQRT(($B117-AB$5)^2+($C117-AB$6)^2+($D117-AB$7)^2)</f>
        <v>2.52214630005276</v>
      </c>
      <c r="AC117" s="74" t="n">
        <f aca="false">SQRT(($B117-AC$5)^2+($C117-AC$6)^2+($D117-AC$7)^2)</f>
        <v>3.02893612066871</v>
      </c>
      <c r="AD117" s="74" t="n">
        <f aca="false">SQRT(($B117-AD$5)^2+($C117-AD$6)^2+($D117-AD$7)^2)</f>
        <v>2.95873810885322</v>
      </c>
      <c r="AE117" s="74" t="n">
        <f aca="false">SQRT(($B117-AE$5)^2+($C117-AE$6)^2+($D117-AE$7)^2)</f>
        <v>1.7987085468487</v>
      </c>
      <c r="AF117" s="74" t="n">
        <f aca="false">SQRT(($B117-AF$5)^2+($C117-AF$6)^2+($D117-AF$7)^2)</f>
        <v>2.58560295343909</v>
      </c>
      <c r="AG117" s="74" t="n">
        <f aca="false">SQRT(($B117-AG$5)^2+($C117-AG$6)^2+($D117-AG$7)^2)</f>
        <v>1.59289106226978</v>
      </c>
      <c r="AH117" s="74" t="n">
        <f aca="false">SQRT(($B117-AH$5)^2+($C117-AH$6)^2+($D117-AH$7)^2)</f>
        <v>2.27737623413223</v>
      </c>
      <c r="AI117" s="74" t="n">
        <f aca="false">SQRT(($B117-AI$5)^2+($C117-AI$6)^2+($D117-AI$7)^2)</f>
        <v>1.58976230130957</v>
      </c>
      <c r="AJ117" s="74" t="n">
        <f aca="false">SQRT(($B117-AJ$5)^2+($C117-AJ$6)^2+($D117-AJ$7)^2)</f>
        <v>2.64644443215754</v>
      </c>
      <c r="AK117" s="74" t="n">
        <f aca="false">SQRT(($B117-AK$5)^2+($C117-AK$6)^2+($D117-AK$7)^2)</f>
        <v>2.0726201699068</v>
      </c>
      <c r="AL117" s="74" t="n">
        <f aca="false">SQRT(($B117-AL$5)^2+($C117-AL$6)^2+($D117-AL$7)^2)</f>
        <v>1.97128237331214</v>
      </c>
      <c r="AM117" s="74" t="n">
        <f aca="false">SQRT(($B117-AM$5)^2+($C117-AM$6)^2+($D117-AM$7)^2)</f>
        <v>2.70288760074568</v>
      </c>
      <c r="AN117" s="74" t="n">
        <f aca="false">SQRT(($B117-AN$5)^2+($C117-AN$6)^2+($D117-AN$7)^2)</f>
        <v>2.6929668898585</v>
      </c>
      <c r="AO117" s="74" t="n">
        <f aca="false">SQRT(($B117-AO$5)^2+($C117-AO$6)^2+($D117-AO$7)^2)</f>
        <v>2.12989754973287</v>
      </c>
      <c r="AP117" s="74" t="n">
        <f aca="false">SQRT(($B117-AP$5)^2+($C117-AP$6)^2+($D117-AP$7)^2)</f>
        <v>2.08410077935852</v>
      </c>
      <c r="AQ117" s="74" t="n">
        <f aca="false">SQRT(($B117-AQ$5)^2+($C117-AQ$6)^2+($D117-AQ$7)^2)</f>
        <v>2.71266011771949</v>
      </c>
      <c r="AR117" s="74" t="n">
        <f aca="false">SQRT(($B117-AR$5)^2+($C117-AR$6)^2+($D117-AR$7)^2)</f>
        <v>1.71173821957006</v>
      </c>
      <c r="AS117" s="74" t="n">
        <f aca="false">SQRT(($B117-AS$5)^2+($C117-AS$6)^2+($D117-AS$7)^2)</f>
        <v>2.10769843575474</v>
      </c>
      <c r="AT117" s="74" t="n">
        <f aca="false">SQRT(($B117-AT$5)^2+($C117-AT$6)^2+($D117-AT$7)^2)</f>
        <v>1.97042211268648</v>
      </c>
      <c r="AU117" s="74" t="n">
        <f aca="false">SQRT(($B117-AU$5)^2+($C117-AU$6)^2+($D117-AU$7)^2)</f>
        <v>1.36500677211131</v>
      </c>
      <c r="AV117" s="74" t="n">
        <f aca="false">SQRT(($B117-AV$5)^2+($C117-AV$6)^2+($D117-AV$7)^2)</f>
        <v>1.70241385602203</v>
      </c>
      <c r="AW117" s="74" t="n">
        <f aca="false">SQRT(($B117-AW$5)^2+($C117-AW$6)^2+($D117-AW$7)^2)</f>
        <v>1.25026574739622</v>
      </c>
      <c r="AX117" s="74" t="n">
        <f aca="false">SQRT(($B117-AX$5)^2+($C117-AX$6)^2+($D117-AX$7)^2)</f>
        <v>1.8010244836264</v>
      </c>
      <c r="AY117" s="74" t="n">
        <f aca="false">SQRT(($B117-AY$5)^2+($C117-AY$6)^2+($D117-AY$7)^2)</f>
        <v>1.30207357785005</v>
      </c>
      <c r="AZ117" s="74" t="n">
        <f aca="false">SQRT(($B117-AZ$5)^2+($C117-AZ$6)^2+($D117-AZ$7)^2)</f>
        <v>2.05475800931752</v>
      </c>
      <c r="BA117" s="74" t="n">
        <f aca="false">SQRT(($B117-BA$5)^2+($C117-BA$6)^2+($D117-BA$7)^2)</f>
        <v>1.9361201412633</v>
      </c>
      <c r="BB117" s="74" t="n">
        <f aca="false">SQRT(($B117-BB$5)^2+($C117-BB$6)^2+($D117-BB$7)^2)</f>
        <v>1.29605036829077</v>
      </c>
      <c r="BC117" s="74" t="n">
        <f aca="false">SQRT(($B117-BC$5)^2+($C117-BC$6)^2+($D117-BC$7)^2)</f>
        <v>1.28995562876459</v>
      </c>
      <c r="BD117" s="74" t="n">
        <f aca="false">SQRT(($B117-BD$5)^2+($C117-BD$6)^2+($D117-BD$7)^2)</f>
        <v>1.17243958804827</v>
      </c>
      <c r="BE117" s="74" t="n">
        <f aca="false">SQRT(($B117-BE$5)^2+($C117-BE$6)^2+($D117-BE$7)^2)</f>
        <v>1.215905675699</v>
      </c>
      <c r="BF117" s="74" t="n">
        <f aca="false">SQRT(($B117-BF$5)^2+($C117-BF$6)^2+($D117-BF$7)^2)</f>
        <v>2.73543995074163</v>
      </c>
      <c r="BG117" s="74" t="n">
        <f aca="false">SQRT(($B117-BG$5)^2+($C117-BG$6)^2+($D117-BG$7)^2)</f>
        <v>1.7485232391235</v>
      </c>
      <c r="BH117" s="74" t="n">
        <f aca="false">SQRT(($B117-BH$5)^2+($C117-BH$6)^2+($D117-BH$7)^2)</f>
        <v>1.19604122627148</v>
      </c>
      <c r="BI117" s="74" t="n">
        <f aca="false">SQRT(($B117-BI$5)^2+($C117-BI$6)^2+($D117-BI$7)^2)</f>
        <v>1.18110952671783</v>
      </c>
      <c r="BJ117" s="74" t="n">
        <f aca="false">SQRT(($B117-BJ$5)^2+($C117-BJ$6)^2+($D117-BJ$7)^2)</f>
        <v>1.71666195966279</v>
      </c>
      <c r="BK117" s="74" t="n">
        <f aca="false">SQRT(($B117-BK$5)^2+($C117-BK$6)^2+($D117-BK$7)^2)</f>
        <v>1.03095284504761</v>
      </c>
      <c r="BL117" s="74" t="n">
        <f aca="false">SQRT(($B117-BL$5)^2+($C117-BL$6)^2+($D117-BL$7)^2)</f>
        <v>1.41036454312987</v>
      </c>
      <c r="BM117" s="74" t="n">
        <f aca="false">SQRT(($B117-BM$5)^2+($C117-BM$6)^2+($D117-BM$7)^2)</f>
        <v>1.92751157732012</v>
      </c>
      <c r="BN117" s="74" t="n">
        <f aca="false">SQRT(($B117-BN$5)^2+($C117-BN$6)^2+($D117-BN$7)^2)</f>
        <v>1.43722136846362</v>
      </c>
      <c r="BO117" s="74" t="n">
        <f aca="false">SQRT(($B117-BO$5)^2+($C117-BO$6)^2+($D117-BO$7)^2)</f>
        <v>0.951296446827158</v>
      </c>
      <c r="BP117" s="74" t="n">
        <f aca="false">SQRT(($B117-BP$5)^2+($C117-BP$6)^2+($D117-BP$7)^2)</f>
        <v>1.52164241506114</v>
      </c>
      <c r="BQ117" s="74" t="n">
        <f aca="false">SQRT(($B117-BQ$5)^2+($C117-BQ$6)^2+($D117-BQ$7)^2)</f>
        <v>1.44922490555567</v>
      </c>
      <c r="BR117" s="74" t="n">
        <f aca="false">SQRT(($B117-BR$5)^2+($C117-BR$6)^2+($D117-BR$7)^2)</f>
        <v>1.46958426677294</v>
      </c>
      <c r="BS117" s="74" t="n">
        <f aca="false">SQRT(($B117-BS$5)^2+($C117-BS$6)^2+($D117-BS$7)^2)</f>
        <v>1.48394344129827</v>
      </c>
      <c r="BT117" s="74" t="n">
        <f aca="false">SQRT(($B117-BT$5)^2+($C117-BT$6)^2+($D117-BT$7)^2)</f>
        <v>1.14113612855306</v>
      </c>
      <c r="BU117" s="74" t="n">
        <f aca="false">SQRT(($B117-BU$5)^2+($C117-BU$6)^2+($D117-BU$7)^2)</f>
        <v>1.08121894059086</v>
      </c>
      <c r="BV117" s="74" t="n">
        <f aca="false">SQRT(($B117-BV$5)^2+($C117-BV$6)^2+($D117-BV$7)^2)</f>
        <v>0.896178176269936</v>
      </c>
      <c r="BW117" s="74" t="n">
        <f aca="false">SQRT(($B117-BW$5)^2+($C117-BW$6)^2+($D117-BW$7)^2)</f>
        <v>1.17176479640355</v>
      </c>
      <c r="BX117" s="74" t="n">
        <f aca="false">SQRT(($B117-BX$5)^2+($C117-BX$6)^2+($D117-BX$7)^2)</f>
        <v>0.883044358079541</v>
      </c>
      <c r="BY117" s="74" t="n">
        <f aca="false">SQRT(($B117-BY$5)^2+($C117-BY$6)^2+($D117-BY$7)^2)</f>
        <v>0.824518355313917</v>
      </c>
      <c r="BZ117" s="74" t="n">
        <f aca="false">SQRT(($B117-BZ$5)^2+($C117-BZ$6)^2+($D117-BZ$7)^2)</f>
        <v>0.776818181396895</v>
      </c>
      <c r="CA117" s="74" t="n">
        <f aca="false">SQRT(($B117-CA$5)^2+($C117-CA$6)^2+($D117-CA$7)^2)</f>
        <v>0.841699227722869</v>
      </c>
      <c r="CB117" s="74" t="n">
        <f aca="false">SQRT(($B117-CB$5)^2+($C117-CB$6)^2+($D117-CB$7)^2)</f>
        <v>0.761114807679929</v>
      </c>
      <c r="CC117" s="74" t="n">
        <f aca="false">SQRT(($B117-CC$5)^2+($C117-CC$6)^2+($D117-CC$7)^2)</f>
        <v>0.827228416744824</v>
      </c>
      <c r="CD117" s="74" t="n">
        <f aca="false">SQRT(($B117-CD$5)^2+($C117-CD$6)^2+($D117-CD$7)^2)</f>
        <v>0.797180059305792</v>
      </c>
      <c r="CE117" s="74" t="n">
        <f aca="false">SQRT(($B117-CE$5)^2+($C117-CE$6)^2+($D117-CE$7)^2)</f>
        <v>0.901887477267504</v>
      </c>
      <c r="CF117" s="74" t="n">
        <f aca="false">SQRT(($B117-CF$5)^2+($C117-CF$6)^2+($D117-CF$7)^2)</f>
        <v>1.10893789904054</v>
      </c>
      <c r="CG117" s="74" t="n">
        <f aca="false">SQRT(($B117-CG$5)^2+($C117-CG$6)^2+($D117-CG$7)^2)</f>
        <v>0.780749248883736</v>
      </c>
      <c r="CH117" s="74" t="n">
        <f aca="false">SQRT(($B117-CH$5)^2+($C117-CH$6)^2+($D117-CH$7)^2)</f>
        <v>0.577272173383388</v>
      </c>
      <c r="CI117" s="74" t="n">
        <f aca="false">SQRT(($B117-CI$5)^2+($C117-CI$6)^2+($D117-CI$7)^2)</f>
        <v>0.495183537229088</v>
      </c>
      <c r="CJ117" s="74" t="n">
        <f aca="false">SQRT(($B117-CJ$5)^2+($C117-CJ$6)^2+($D117-CJ$7)^2)</f>
        <v>0.48783908021703</v>
      </c>
      <c r="CK117" s="74" t="n">
        <f aca="false">SQRT(($B117-CK$5)^2+($C117-CK$6)^2+($D117-CK$7)^2)</f>
        <v>0.7186146127623</v>
      </c>
      <c r="CL117" s="74" t="n">
        <f aca="false">SQRT(($B117-CL$5)^2+($C117-CL$6)^2+($D117-CL$7)^2)</f>
        <v>0.623954303112962</v>
      </c>
      <c r="CM117" s="74" t="n">
        <f aca="false">SQRT(($B117-CM$5)^2+($C117-CM$6)^2+($D117-CM$7)^2)</f>
        <v>0.483029683398331</v>
      </c>
      <c r="CN117" s="74" t="n">
        <f aca="false">SQRT(($B117-CN$5)^2+($C117-CN$6)^2+($D117-CN$7)^2)</f>
        <v>1.40055856190245</v>
      </c>
      <c r="CO117" s="74" t="n">
        <f aca="false">SQRT(($B117-CO$5)^2+($C117-CO$6)^2+($D117-CO$7)^2)</f>
        <v>0.739429877571508</v>
      </c>
      <c r="CP117" s="74" t="n">
        <f aca="false">SQRT(($B117-CP$5)^2+($C117-CP$6)^2+($D117-CP$7)^2)</f>
        <v>0.568351032401041</v>
      </c>
      <c r="CQ117" s="74" t="n">
        <f aca="false">SQRT(($B117-CQ$5)^2+($C117-CQ$6)^2+($D117-CQ$7)^2)</f>
        <v>0.317123373625904</v>
      </c>
      <c r="CR117" s="74" t="n">
        <f aca="false">SQRT(($B117-CR$5)^2+($C117-CR$6)^2+($D117-CR$7)^2)</f>
        <v>0.361441322972051</v>
      </c>
      <c r="CS117" s="74" t="n">
        <f aca="false">SQRT(($B117-CS$5)^2+($C117-CS$6)^2+($D117-CS$7)^2)</f>
        <v>0.535388762751963</v>
      </c>
      <c r="CT117" s="74" t="n">
        <f aca="false">SQRT(($B117-CT$5)^2+($C117-CT$6)^2+($D117-CT$7)^2)</f>
        <v>0.522166551048402</v>
      </c>
      <c r="CU117" s="74" t="n">
        <f aca="false">SQRT(($B117-CU$5)^2+($C117-CU$6)^2+($D117-CU$7)^2)</f>
        <v>0.57019017456676</v>
      </c>
      <c r="CV117" s="74" t="n">
        <f aca="false">SQRT(($B117-CV$5)^2+($C117-CV$6)^2+($D117-CV$7)^2)</f>
        <v>0.90916558507507</v>
      </c>
      <c r="CW117" s="74" t="n">
        <f aca="false">SQRT(($B117-CW$5)^2+($C117-CW$6)^2+($D117-CW$7)^2)</f>
        <v>0.522166551048402</v>
      </c>
      <c r="CX117" s="74" t="n">
        <f aca="false">SQRT(($B117-CX$5)^2+($C117-CX$6)^2+($D117-CX$7)^2)</f>
        <v>0.605188743026004</v>
      </c>
      <c r="CY117" s="74" t="n">
        <f aca="false">SQRT(($B117-CY$5)^2+($C117-CY$6)^2+($D117-CY$7)^2)</f>
        <v>0.512764583698756</v>
      </c>
      <c r="CZ117" s="74" t="n">
        <f aca="false">SQRT(($B117-CZ$5)^2+($C117-CZ$6)^2+($D117-CZ$7)^2)</f>
        <v>0.512764583698756</v>
      </c>
      <c r="DA117" s="74" t="n">
        <f aca="false">SQRT(($B117-DA$5)^2+($C117-DA$6)^2+($D117-DA$7)^2)</f>
        <v>0.146728862462339</v>
      </c>
      <c r="DB117" s="74" t="n">
        <f aca="false">SQRT(($B117-DB$5)^2+($C117-DB$6)^2+($D117-DB$7)^2)</f>
        <v>0.509086944492006</v>
      </c>
      <c r="DC117" s="74" t="n">
        <f aca="false">SQRT(($B117-DC$5)^2+($C117-DC$6)^2+($D117-DC$7)^2)</f>
        <v>0.509086944492006</v>
      </c>
      <c r="DD117" s="74" t="n">
        <f aca="false">SQRT(($B117-DD$5)^2+($C117-DD$6)^2+($D117-DD$7)^2)</f>
        <v>0</v>
      </c>
      <c r="DE117" s="74" t="n">
        <f aca="false">SQRT(($B117-DE$5)^2+($C117-DE$6)^2+($D117-DE$7)^2)</f>
        <v>0.240252489416287</v>
      </c>
      <c r="DF117" s="74" t="n">
        <f aca="false">SQRT(($B117-DF$5)^2+($C117-DF$6)^2+($D117-DF$7)^2)</f>
        <v>0.623954303112962</v>
      </c>
      <c r="DG117" s="74" t="n">
        <f aca="false">SQRT(($B117-DG$5)^2+($C117-DG$6)^2+($D117-DG$7)^2)</f>
        <v>0.720952024936882</v>
      </c>
      <c r="DH117" s="74" t="n">
        <f aca="false">SQRT(($B117-DH$5)^2+($C117-DH$6)^2+($D117-DH$7)^2)</f>
        <v>0.720952024936882</v>
      </c>
      <c r="DI117" s="74" t="n">
        <f aca="false">SQRT(($B117-DI$5)^2+($C117-DI$6)^2+($D117-DI$7)^2)</f>
        <v>0.720952024936882</v>
      </c>
      <c r="DJ117" s="74" t="n">
        <f aca="false">SQRT(($B117-DJ$5)^2+($C117-DJ$6)^2+($D117-DJ$7)^2)</f>
        <v>0.720952024936882</v>
      </c>
      <c r="DK117" s="74" t="n">
        <f aca="false">SQRT(($B117-DK$5)^2+($C117-DK$6)^2+($D117-DK$7)^2)</f>
        <v>0.883044358079541</v>
      </c>
      <c r="DL117" s="74" t="n">
        <f aca="false">SQRT(($B117-DL$5)^2+($C117-DL$6)^2+($D117-DL$7)^2)</f>
        <v>0.883044358079541</v>
      </c>
      <c r="DM117" s="74" t="n">
        <f aca="false">SQRT(($B117-DM$5)^2+($C117-DM$6)^2+($D117-DM$7)^2)</f>
        <v>0.883044358079541</v>
      </c>
      <c r="DN117" s="74" t="n">
        <f aca="false">SQRT(($B117-DN$5)^2+($C117-DN$6)^2+($D117-DN$7)^2)</f>
        <v>0.883044358079541</v>
      </c>
      <c r="DO117" s="74" t="n">
        <f aca="false">SQRT(($B117-DO$5)^2+($C117-DO$6)^2+($D117-DO$7)^2)</f>
        <v>0.883044358079541</v>
      </c>
      <c r="DP117" s="74" t="n">
        <f aca="false">SQRT(($B117-DP$5)^2+($C117-DP$6)^2+($D117-DP$7)^2)</f>
        <v>1.19604122627148</v>
      </c>
      <c r="DQ117" s="74" t="n">
        <f aca="false">SQRT(($B117-DQ$5)^2+($C117-DQ$6)^2+($D117-DQ$7)^2)</f>
        <v>1.19604122627148</v>
      </c>
    </row>
    <row r="118" customFormat="false" ht="15" hidden="false" customHeight="false" outlineLevel="0" collapsed="false">
      <c r="A118" s="48" t="str">
        <f aca="false">KMeans_Data!A109</f>
        <v>Chakwal</v>
      </c>
      <c r="B118" s="72" t="n">
        <f aca="false">KMeans_Data!H109</f>
        <v>-1.14718089935485</v>
      </c>
      <c r="C118" s="72" t="n">
        <f aca="false">KMeans_Data!I109</f>
        <v>-0.672650545388274</v>
      </c>
      <c r="D118" s="72" t="n">
        <f aca="false">KMeans_Data!J109</f>
        <v>-0.824446015898766</v>
      </c>
      <c r="E118" s="74" t="n">
        <f aca="false">SQRT(($B118-E$5)^2+($C118-E$6)^2+($D118-E$7)^2)</f>
        <v>7.64009488075629</v>
      </c>
      <c r="F118" s="74" t="n">
        <f aca="false">SQRT(($B118-F$5)^2+($C118-F$6)^2+($D118-F$7)^2)</f>
        <v>7.41250681324622</v>
      </c>
      <c r="G118" s="74" t="n">
        <f aca="false">SQRT(($B118-G$5)^2+($C118-G$6)^2+($D118-G$7)^2)</f>
        <v>5.59942119273589</v>
      </c>
      <c r="H118" s="74" t="n">
        <f aca="false">SQRT(($B118-H$5)^2+($C118-H$6)^2+($D118-H$7)^2)</f>
        <v>6.01666113969133</v>
      </c>
      <c r="I118" s="74" t="n">
        <f aca="false">SQRT(($B118-I$5)^2+($C118-I$6)^2+($D118-I$7)^2)</f>
        <v>4.98652711284458</v>
      </c>
      <c r="J118" s="74" t="n">
        <f aca="false">SQRT(($B118-J$5)^2+($C118-J$6)^2+($D118-J$7)^2)</f>
        <v>4.53304078924605</v>
      </c>
      <c r="K118" s="74" t="n">
        <f aca="false">SQRT(($B118-K$5)^2+($C118-K$6)^2+($D118-K$7)^2)</f>
        <v>2.62252623959329</v>
      </c>
      <c r="L118" s="74" t="n">
        <f aca="false">SQRT(($B118-L$5)^2+($C118-L$6)^2+($D118-L$7)^2)</f>
        <v>3.79593735031061</v>
      </c>
      <c r="M118" s="74" t="n">
        <f aca="false">SQRT(($B118-M$5)^2+($C118-M$6)^2+($D118-M$7)^2)</f>
        <v>3.96129197791056</v>
      </c>
      <c r="N118" s="74" t="n">
        <f aca="false">SQRT(($B118-N$5)^2+($C118-N$6)^2+($D118-N$7)^2)</f>
        <v>2.40682560670478</v>
      </c>
      <c r="O118" s="74" t="n">
        <f aca="false">SQRT(($B118-O$5)^2+($C118-O$6)^2+($D118-O$7)^2)</f>
        <v>3.62477467305353</v>
      </c>
      <c r="P118" s="74" t="n">
        <f aca="false">SQRT(($B118-P$5)^2+($C118-P$6)^2+($D118-P$7)^2)</f>
        <v>3.88539401498984</v>
      </c>
      <c r="Q118" s="74" t="n">
        <f aca="false">SQRT(($B118-Q$5)^2+($C118-Q$6)^2+($D118-Q$7)^2)</f>
        <v>3.34668096198924</v>
      </c>
      <c r="R118" s="74" t="n">
        <f aca="false">SQRT(($B118-R$5)^2+($C118-R$6)^2+($D118-R$7)^2)</f>
        <v>3.33822742432139</v>
      </c>
      <c r="S118" s="74" t="n">
        <f aca="false">SQRT(($B118-S$5)^2+($C118-S$6)^2+($D118-S$7)^2)</f>
        <v>2.98089126393052</v>
      </c>
      <c r="T118" s="74" t="n">
        <f aca="false">SQRT(($B118-T$5)^2+($C118-T$6)^2+($D118-T$7)^2)</f>
        <v>3.25289565740503</v>
      </c>
      <c r="U118" s="74" t="n">
        <f aca="false">SQRT(($B118-U$5)^2+($C118-U$6)^2+($D118-U$7)^2)</f>
        <v>3.31846720164877</v>
      </c>
      <c r="V118" s="74" t="n">
        <f aca="false">SQRT(($B118-V$5)^2+($C118-V$6)^2+($D118-V$7)^2)</f>
        <v>3.20937896005963</v>
      </c>
      <c r="W118" s="74" t="n">
        <f aca="false">SQRT(($B118-W$5)^2+($C118-W$6)^2+($D118-W$7)^2)</f>
        <v>3.36220600115737</v>
      </c>
      <c r="X118" s="74" t="n">
        <f aca="false">SQRT(($B118-X$5)^2+($C118-X$6)^2+($D118-X$7)^2)</f>
        <v>3.09797471393907</v>
      </c>
      <c r="Y118" s="74" t="n">
        <f aca="false">SQRT(($B118-Y$5)^2+($C118-Y$6)^2+($D118-Y$7)^2)</f>
        <v>3.21088287305148</v>
      </c>
      <c r="Z118" s="74" t="n">
        <f aca="false">SQRT(($B118-Z$5)^2+($C118-Z$6)^2+($D118-Z$7)^2)</f>
        <v>2.82756426651506</v>
      </c>
      <c r="AA118" s="74" t="n">
        <f aca="false">SQRT(($B118-AA$5)^2+($C118-AA$6)^2+($D118-AA$7)^2)</f>
        <v>2.75767899452898</v>
      </c>
      <c r="AB118" s="74" t="n">
        <f aca="false">SQRT(($B118-AB$5)^2+($C118-AB$6)^2+($D118-AB$7)^2)</f>
        <v>2.72803441142777</v>
      </c>
      <c r="AC118" s="74" t="n">
        <f aca="false">SQRT(($B118-AC$5)^2+($C118-AC$6)^2+($D118-AC$7)^2)</f>
        <v>3.20495318576799</v>
      </c>
      <c r="AD118" s="74" t="n">
        <f aca="false">SQRT(($B118-AD$5)^2+($C118-AD$6)^2+($D118-AD$7)^2)</f>
        <v>3.16894736634586</v>
      </c>
      <c r="AE118" s="74" t="n">
        <f aca="false">SQRT(($B118-AE$5)^2+($C118-AE$6)^2+($D118-AE$7)^2)</f>
        <v>1.89573726078257</v>
      </c>
      <c r="AF118" s="74" t="n">
        <f aca="false">SQRT(($B118-AF$5)^2+($C118-AF$6)^2+($D118-AF$7)^2)</f>
        <v>2.79096621582771</v>
      </c>
      <c r="AG118" s="74" t="n">
        <f aca="false">SQRT(($B118-AG$5)^2+($C118-AG$6)^2+($D118-AG$7)^2)</f>
        <v>1.77642469125581</v>
      </c>
      <c r="AH118" s="74" t="n">
        <f aca="false">SQRT(($B118-AH$5)^2+($C118-AH$6)^2+($D118-AH$7)^2)</f>
        <v>2.49975301838287</v>
      </c>
      <c r="AI118" s="74" t="n">
        <f aca="false">SQRT(($B118-AI$5)^2+($C118-AI$6)^2+($D118-AI$7)^2)</f>
        <v>1.77335259972691</v>
      </c>
      <c r="AJ118" s="74" t="n">
        <f aca="false">SQRT(($B118-AJ$5)^2+($C118-AJ$6)^2+($D118-AJ$7)^2)</f>
        <v>2.86144440535348</v>
      </c>
      <c r="AK118" s="74" t="n">
        <f aca="false">SQRT(($B118-AK$5)^2+($C118-AK$6)^2+($D118-AK$7)^2)</f>
        <v>2.2711918483649</v>
      </c>
      <c r="AL118" s="74" t="n">
        <f aca="false">SQRT(($B118-AL$5)^2+($C118-AL$6)^2+($D118-AL$7)^2)</f>
        <v>2.19867566237199</v>
      </c>
      <c r="AM118" s="74" t="n">
        <f aca="false">SQRT(($B118-AM$5)^2+($C118-AM$6)^2+($D118-AM$7)^2)</f>
        <v>2.85689839453759</v>
      </c>
      <c r="AN118" s="74" t="n">
        <f aca="false">SQRT(($B118-AN$5)^2+($C118-AN$6)^2+($D118-AN$7)^2)</f>
        <v>2.87297450795078</v>
      </c>
      <c r="AO118" s="74" t="n">
        <f aca="false">SQRT(($B118-AO$5)^2+($C118-AO$6)^2+($D118-AO$7)^2)</f>
        <v>2.33767836076717</v>
      </c>
      <c r="AP118" s="74" t="n">
        <f aca="false">SQRT(($B118-AP$5)^2+($C118-AP$6)^2+($D118-AP$7)^2)</f>
        <v>2.28923045779205</v>
      </c>
      <c r="AQ118" s="74" t="n">
        <f aca="false">SQRT(($B118-AQ$5)^2+($C118-AQ$6)^2+($D118-AQ$7)^2)</f>
        <v>2.88312391343655</v>
      </c>
      <c r="AR118" s="74" t="n">
        <f aca="false">SQRT(($B118-AR$5)^2+($C118-AR$6)^2+($D118-AR$7)^2)</f>
        <v>1.90075302892579</v>
      </c>
      <c r="AS118" s="74" t="n">
        <f aca="false">SQRT(($B118-AS$5)^2+($C118-AS$6)^2+($D118-AS$7)^2)</f>
        <v>2.34795088478266</v>
      </c>
      <c r="AT118" s="74" t="n">
        <f aca="false">SQRT(($B118-AT$5)^2+($C118-AT$6)^2+($D118-AT$7)^2)</f>
        <v>2.2025206129006</v>
      </c>
      <c r="AU118" s="74" t="n">
        <f aca="false">SQRT(($B118-AU$5)^2+($C118-AU$6)^2+($D118-AU$7)^2)</f>
        <v>1.51598249885293</v>
      </c>
      <c r="AV118" s="74" t="n">
        <f aca="false">SQRT(($B118-AV$5)^2+($C118-AV$6)^2+($D118-AV$7)^2)</f>
        <v>1.94013726099808</v>
      </c>
      <c r="AW118" s="74" t="n">
        <f aca="false">SQRT(($B118-AW$5)^2+($C118-AW$6)^2+($D118-AW$7)^2)</f>
        <v>1.38579713314056</v>
      </c>
      <c r="AX118" s="74" t="n">
        <f aca="false">SQRT(($B118-AX$5)^2+($C118-AX$6)^2+($D118-AX$7)^2)</f>
        <v>2.0130442042793</v>
      </c>
      <c r="AY118" s="74" t="n">
        <f aca="false">SQRT(($B118-AY$5)^2+($C118-AY$6)^2+($D118-AY$7)^2)</f>
        <v>1.38589100973482</v>
      </c>
      <c r="AZ118" s="74" t="n">
        <f aca="false">SQRT(($B118-AZ$5)^2+($C118-AZ$6)^2+($D118-AZ$7)^2)</f>
        <v>2.29474021220206</v>
      </c>
      <c r="BA118" s="74" t="n">
        <f aca="false">SQRT(($B118-BA$5)^2+($C118-BA$6)^2+($D118-BA$7)^2)</f>
        <v>2.16828313883177</v>
      </c>
      <c r="BB118" s="74" t="n">
        <f aca="false">SQRT(($B118-BB$5)^2+($C118-BB$6)^2+($D118-BB$7)^2)</f>
        <v>1.37952322158346</v>
      </c>
      <c r="BC118" s="74" t="n">
        <f aca="false">SQRT(($B118-BC$5)^2+($C118-BC$6)^2+($D118-BC$7)^2)</f>
        <v>1.37307602972241</v>
      </c>
      <c r="BD118" s="74" t="n">
        <f aca="false">SQRT(($B118-BD$5)^2+($C118-BD$6)^2+($D118-BD$7)^2)</f>
        <v>1.35323762583048</v>
      </c>
      <c r="BE118" s="74" t="n">
        <f aca="false">SQRT(($B118-BE$5)^2+($C118-BE$6)^2+($D118-BE$7)^2)</f>
        <v>1.42418341795652</v>
      </c>
      <c r="BF118" s="74" t="n">
        <f aca="false">SQRT(($B118-BF$5)^2+($C118-BF$6)^2+($D118-BF$7)^2)</f>
        <v>2.89975344066101</v>
      </c>
      <c r="BG118" s="74" t="n">
        <f aca="false">SQRT(($B118-BG$5)^2+($C118-BG$6)^2+($D118-BG$7)^2)</f>
        <v>1.97876485921586</v>
      </c>
      <c r="BH118" s="74" t="n">
        <f aca="false">SQRT(($B118-BH$5)^2+($C118-BH$6)^2+($D118-BH$7)^2)</f>
        <v>1.27319825061724</v>
      </c>
      <c r="BI118" s="74" t="n">
        <f aca="false">SQRT(($B118-BI$5)^2+($C118-BI$6)^2+($D118-BI$7)^2)</f>
        <v>1.25721539025145</v>
      </c>
      <c r="BJ118" s="74" t="n">
        <f aca="false">SQRT(($B118-BJ$5)^2+($C118-BJ$6)^2+($D118-BJ$7)^2)</f>
        <v>1.88470040063997</v>
      </c>
      <c r="BK118" s="74" t="n">
        <f aca="false">SQRT(($B118-BK$5)^2+($C118-BK$6)^2+($D118-BK$7)^2)</f>
        <v>1.2288274818621</v>
      </c>
      <c r="BL118" s="74" t="n">
        <f aca="false">SQRT(($B118-BL$5)^2+($C118-BL$6)^2+($D118-BL$7)^2)</f>
        <v>1.64939553349866</v>
      </c>
      <c r="BM118" s="74" t="n">
        <f aca="false">SQRT(($B118-BM$5)^2+($C118-BM$6)^2+($D118-BM$7)^2)</f>
        <v>2.11885125771335</v>
      </c>
      <c r="BN118" s="74" t="n">
        <f aca="false">SQRT(($B118-BN$5)^2+($C118-BN$6)^2+($D118-BN$7)^2)</f>
        <v>1.63226484621185</v>
      </c>
      <c r="BO118" s="74" t="n">
        <f aca="false">SQRT(($B118-BO$5)^2+($C118-BO$6)^2+($D118-BO$7)^2)</f>
        <v>1.08228697575494</v>
      </c>
      <c r="BP118" s="74" t="n">
        <f aca="false">SQRT(($B118-BP$5)^2+($C118-BP$6)^2+($D118-BP$7)^2)</f>
        <v>1.72660546579686</v>
      </c>
      <c r="BQ118" s="74" t="n">
        <f aca="false">SQRT(($B118-BQ$5)^2+($C118-BQ$6)^2+($D118-BQ$7)^2)</f>
        <v>1.6751963709482</v>
      </c>
      <c r="BR118" s="74" t="n">
        <f aca="false">SQRT(($B118-BR$5)^2+($C118-BR$6)^2+($D118-BR$7)^2)</f>
        <v>1.69611438375062</v>
      </c>
      <c r="BS118" s="74" t="n">
        <f aca="false">SQRT(($B118-BS$5)^2+($C118-BS$6)^2+($D118-BS$7)^2)</f>
        <v>1.72347084363319</v>
      </c>
      <c r="BT118" s="74" t="n">
        <f aca="false">SQRT(($B118-BT$5)^2+($C118-BT$6)^2+($D118-BT$7)^2)</f>
        <v>1.38070300218173</v>
      </c>
      <c r="BU118" s="74" t="n">
        <f aca="false">SQRT(($B118-BU$5)^2+($C118-BU$6)^2+($D118-BU$7)^2)</f>
        <v>1.31963460971118</v>
      </c>
      <c r="BV118" s="74" t="n">
        <f aca="false">SQRT(($B118-BV$5)^2+($C118-BV$6)^2+($D118-BV$7)^2)</f>
        <v>0.943618964904375</v>
      </c>
      <c r="BW118" s="74" t="n">
        <f aca="false">SQRT(($B118-BW$5)^2+($C118-BW$6)^2+($D118-BW$7)^2)</f>
        <v>1.41200828309594</v>
      </c>
      <c r="BX118" s="74" t="n">
        <f aca="false">SQRT(($B118-BX$5)^2+($C118-BX$6)^2+($D118-BX$7)^2)</f>
        <v>0.928575629570402</v>
      </c>
      <c r="BY118" s="74" t="n">
        <f aca="false">SQRT(($B118-BY$5)^2+($C118-BY$6)^2+($D118-BY$7)^2)</f>
        <v>1.05562974331229</v>
      </c>
      <c r="BZ118" s="74" t="n">
        <f aca="false">SQRT(($B118-BZ$5)^2+($C118-BZ$6)^2+($D118-BZ$7)^2)</f>
        <v>1.00470600159078</v>
      </c>
      <c r="CA118" s="74" t="n">
        <f aca="false">SQRT(($B118-CA$5)^2+($C118-CA$6)^2+($D118-CA$7)^2)</f>
        <v>0.880681609554385</v>
      </c>
      <c r="CB118" s="74" t="n">
        <f aca="false">SQRT(($B118-CB$5)^2+($C118-CB$6)^2+($D118-CB$7)^2)</f>
        <v>0.989855588279465</v>
      </c>
      <c r="CC118" s="74" t="n">
        <f aca="false">SQRT(($B118-CC$5)^2+($C118-CC$6)^2+($D118-CC$7)^2)</f>
        <v>0.863701356617473</v>
      </c>
      <c r="CD118" s="74" t="n">
        <f aca="false">SQRT(($B118-CD$5)^2+($C118-CD$6)^2+($D118-CD$7)^2)</f>
        <v>0.828020996228377</v>
      </c>
      <c r="CE118" s="74" t="n">
        <f aca="false">SQRT(($B118-CE$5)^2+($C118-CE$6)^2+($D118-CE$7)^2)</f>
        <v>1.14195029617083</v>
      </c>
      <c r="CF118" s="74" t="n">
        <f aca="false">SQRT(($B118-CF$5)^2+($C118-CF$6)^2+($D118-CF$7)^2)</f>
        <v>1.32534877353423</v>
      </c>
      <c r="CG118" s="74" t="n">
        <f aca="false">SQRT(($B118-CG$5)^2+($C118-CG$6)^2+($D118-CG$7)^2)</f>
        <v>0.955986231003183</v>
      </c>
      <c r="CH118" s="74" t="n">
        <f aca="false">SQRT(($B118-CH$5)^2+($C118-CH$6)^2+($D118-CH$7)^2)</f>
        <v>0.798488225585032</v>
      </c>
      <c r="CI118" s="74" t="n">
        <f aca="false">SQRT(($B118-CI$5)^2+($C118-CI$6)^2+($D118-CI$7)^2)</f>
        <v>0.704155924218408</v>
      </c>
      <c r="CJ118" s="74" t="n">
        <f aca="false">SQRT(($B118-CJ$5)^2+($C118-CJ$6)^2+($D118-CJ$7)^2)</f>
        <v>0.599935124801879</v>
      </c>
      <c r="CK118" s="74" t="n">
        <f aca="false">SQRT(($B118-CK$5)^2+($C118-CK$6)^2+($D118-CK$7)^2)</f>
        <v>0.958048887297106</v>
      </c>
      <c r="CL118" s="74" t="n">
        <f aca="false">SQRT(($B118-CL$5)^2+($C118-CL$6)^2+($D118-CL$7)^2)</f>
        <v>0.60313391956621</v>
      </c>
      <c r="CM118" s="74" t="n">
        <f aca="false">SQRT(($B118-CM$5)^2+($C118-CM$6)^2+($D118-CM$7)^2)</f>
        <v>0.720952024936882</v>
      </c>
      <c r="CN118" s="74" t="n">
        <f aca="false">SQRT(($B118-CN$5)^2+($C118-CN$6)^2+($D118-CN$7)^2)</f>
        <v>1.60682684212945</v>
      </c>
      <c r="CO118" s="74" t="n">
        <f aca="false">SQRT(($B118-CO$5)^2+($C118-CO$6)^2+($D118-CO$7)^2)</f>
        <v>0.922465553271351</v>
      </c>
      <c r="CP118" s="74" t="n">
        <f aca="false">SQRT(($B118-CP$5)^2+($C118-CP$6)^2+($D118-CP$7)^2)</f>
        <v>0.514890095392924</v>
      </c>
      <c r="CQ118" s="74" t="n">
        <f aca="false">SQRT(($B118-CQ$5)^2+($C118-CQ$6)^2+($D118-CQ$7)^2)</f>
        <v>0.557167199975045</v>
      </c>
      <c r="CR118" s="74" t="n">
        <f aca="false">SQRT(($B118-CR$5)^2+($C118-CR$6)^2+($D118-CR$7)^2)</f>
        <v>0.598910941575213</v>
      </c>
      <c r="CS118" s="74" t="n">
        <f aca="false">SQRT(($B118-CS$5)^2+($C118-CS$6)^2+($D118-CS$7)^2)</f>
        <v>0.450214414039819</v>
      </c>
      <c r="CT118" s="74" t="n">
        <f aca="false">SQRT(($B118-CT$5)^2+($C118-CT$6)^2+($D118-CT$7)^2)</f>
        <v>0.416958953553995</v>
      </c>
      <c r="CU118" s="74" t="n">
        <f aca="false">SQRT(($B118-CU$5)^2+($C118-CU$6)^2+($D118-CU$7)^2)</f>
        <v>0.589077903757783</v>
      </c>
      <c r="CV118" s="74" t="n">
        <f aca="false">SQRT(($B118-CV$5)^2+($C118-CV$6)^2+($D118-CV$7)^2)</f>
        <v>1.12157371281433</v>
      </c>
      <c r="CW118" s="74" t="n">
        <f aca="false">SQRT(($B118-CW$5)^2+($C118-CW$6)^2+($D118-CW$7)^2)</f>
        <v>0.416958953553995</v>
      </c>
      <c r="CX118" s="74" t="n">
        <f aca="false">SQRT(($B118-CX$5)^2+($C118-CX$6)^2+($D118-CX$7)^2)</f>
        <v>0.817666812205342</v>
      </c>
      <c r="CY118" s="74" t="n">
        <f aca="false">SQRT(($B118-CY$5)^2+($C118-CY$6)^2+($D118-CY$7)^2)</f>
        <v>0.384321359093681</v>
      </c>
      <c r="CZ118" s="74" t="n">
        <f aca="false">SQRT(($B118-CZ$5)^2+($C118-CZ$6)^2+($D118-CZ$7)^2)</f>
        <v>0.384321359093681</v>
      </c>
      <c r="DA118" s="74" t="n">
        <f aca="false">SQRT(($B118-DA$5)^2+($C118-DA$6)^2+($D118-DA$7)^2)</f>
        <v>0.384321359093681</v>
      </c>
      <c r="DB118" s="74" t="n">
        <f aca="false">SQRT(($B118-DB$5)^2+($C118-DB$6)^2+($D118-DB$7)^2)</f>
        <v>0.354382929431542</v>
      </c>
      <c r="DC118" s="74" t="n">
        <f aca="false">SQRT(($B118-DC$5)^2+($C118-DC$6)^2+($D118-DC$7)^2)</f>
        <v>0.354382929431542</v>
      </c>
      <c r="DD118" s="74" t="n">
        <f aca="false">SQRT(($B118-DD$5)^2+($C118-DD$6)^2+($D118-DD$7)^2)</f>
        <v>0.240252489416287</v>
      </c>
      <c r="DE118" s="74" t="n">
        <f aca="false">SQRT(($B118-DE$5)^2+($C118-DE$6)^2+($D118-DE$7)^2)</f>
        <v>0</v>
      </c>
      <c r="DF118" s="74" t="n">
        <f aca="false">SQRT(($B118-DF$5)^2+($C118-DF$6)^2+($D118-DF$7)^2)</f>
        <v>0.384321359093681</v>
      </c>
      <c r="DG118" s="74" t="n">
        <f aca="false">SQRT(($B118-DG$5)^2+($C118-DG$6)^2+($D118-DG$7)^2)</f>
        <v>0.48302968339833</v>
      </c>
      <c r="DH118" s="74" t="n">
        <f aca="false">SQRT(($B118-DH$5)^2+($C118-DH$6)^2+($D118-DH$7)^2)</f>
        <v>0.48302968339833</v>
      </c>
      <c r="DI118" s="74" t="n">
        <f aca="false">SQRT(($B118-DI$5)^2+($C118-DI$6)^2+($D118-DI$7)^2)</f>
        <v>0.48302968339833</v>
      </c>
      <c r="DJ118" s="74" t="n">
        <f aca="false">SQRT(($B118-DJ$5)^2+($C118-DJ$6)^2+($D118-DJ$7)^2)</f>
        <v>0.48302968339833</v>
      </c>
      <c r="DK118" s="74" t="n">
        <f aca="false">SQRT(($B118-DK$5)^2+($C118-DK$6)^2+($D118-DK$7)^2)</f>
        <v>0.655833411836191</v>
      </c>
      <c r="DL118" s="74" t="n">
        <f aca="false">SQRT(($B118-DL$5)^2+($C118-DL$6)^2+($D118-DL$7)^2)</f>
        <v>0.655833411836191</v>
      </c>
      <c r="DM118" s="74" t="n">
        <f aca="false">SQRT(($B118-DM$5)^2+($C118-DM$6)^2+($D118-DM$7)^2)</f>
        <v>0.655833411836191</v>
      </c>
      <c r="DN118" s="74" t="n">
        <f aca="false">SQRT(($B118-DN$5)^2+($C118-DN$6)^2+($D118-DN$7)^2)</f>
        <v>0.655833411836191</v>
      </c>
      <c r="DO118" s="74" t="n">
        <f aca="false">SQRT(($B118-DO$5)^2+($C118-DO$6)^2+($D118-DO$7)^2)</f>
        <v>0.655833411836191</v>
      </c>
      <c r="DP118" s="74" t="n">
        <f aca="false">SQRT(($B118-DP$5)^2+($C118-DP$6)^2+($D118-DP$7)^2)</f>
        <v>0.986321920950627</v>
      </c>
      <c r="DQ118" s="74" t="n">
        <f aca="false">SQRT(($B118-DQ$5)^2+($C118-DQ$6)^2+($D118-DQ$7)^2)</f>
        <v>0.986321920950627</v>
      </c>
    </row>
    <row r="119" customFormat="false" ht="15" hidden="false" customHeight="false" outlineLevel="0" collapsed="false">
      <c r="A119" s="48" t="str">
        <f aca="false">KMeans_Data!A110</f>
        <v>Pishin</v>
      </c>
      <c r="B119" s="72" t="n">
        <f aca="false">KMeans_Data!H110</f>
        <v>-1.35821333130003</v>
      </c>
      <c r="C119" s="72" t="n">
        <f aca="false">KMeans_Data!I110</f>
        <v>-0.672650545388274</v>
      </c>
      <c r="D119" s="72" t="n">
        <f aca="false">KMeans_Data!J110</f>
        <v>-1.14564411633355</v>
      </c>
      <c r="E119" s="74" t="n">
        <f aca="false">SQRT(($B119-E$5)^2+($C119-E$6)^2+($D119-E$7)^2)</f>
        <v>7.93750965384981</v>
      </c>
      <c r="F119" s="74" t="n">
        <f aca="false">SQRT(($B119-F$5)^2+($C119-F$6)^2+($D119-F$7)^2)</f>
        <v>7.69418559116496</v>
      </c>
      <c r="G119" s="74" t="n">
        <f aca="false">SQRT(($B119-G$5)^2+($C119-G$6)^2+($D119-G$7)^2)</f>
        <v>5.91920639801052</v>
      </c>
      <c r="H119" s="74" t="n">
        <f aca="false">SQRT(($B119-H$5)^2+($C119-H$6)^2+($D119-H$7)^2)</f>
        <v>6.27734343877619</v>
      </c>
      <c r="I119" s="74" t="n">
        <f aca="false">SQRT(($B119-I$5)^2+($C119-I$6)^2+($D119-I$7)^2)</f>
        <v>5.29463429415647</v>
      </c>
      <c r="J119" s="74" t="n">
        <f aca="false">SQRT(($B119-J$5)^2+($C119-J$6)^2+($D119-J$7)^2)</f>
        <v>4.82365895811905</v>
      </c>
      <c r="K119" s="74" t="n">
        <f aca="false">SQRT(($B119-K$5)^2+($C119-K$6)^2+($D119-K$7)^2)</f>
        <v>2.84163316293718</v>
      </c>
      <c r="L119" s="74" t="n">
        <f aca="false">SQRT(($B119-L$5)^2+($C119-L$6)^2+($D119-L$7)^2)</f>
        <v>4.15133956595821</v>
      </c>
      <c r="M119" s="74" t="n">
        <f aca="false">SQRT(($B119-M$5)^2+($C119-M$6)^2+($D119-M$7)^2)</f>
        <v>4.29813515521767</v>
      </c>
      <c r="N119" s="74" t="n">
        <f aca="false">SQRT(($B119-N$5)^2+($C119-N$6)^2+($D119-N$7)^2)</f>
        <v>2.63283580627174</v>
      </c>
      <c r="O119" s="74" t="n">
        <f aca="false">SQRT(($B119-O$5)^2+($C119-O$6)^2+($D119-O$7)^2)</f>
        <v>3.92645093815304</v>
      </c>
      <c r="P119" s="74" t="n">
        <f aca="false">SQRT(($B119-P$5)^2+($C119-P$6)^2+($D119-P$7)^2)</f>
        <v>4.18127417097712</v>
      </c>
      <c r="Q119" s="74" t="n">
        <f aca="false">SQRT(($B119-Q$5)^2+($C119-Q$6)^2+($D119-Q$7)^2)</f>
        <v>3.67367704771939</v>
      </c>
      <c r="R119" s="74" t="n">
        <f aca="false">SQRT(($B119-R$5)^2+($C119-R$6)^2+($D119-R$7)^2)</f>
        <v>3.6996860383442</v>
      </c>
      <c r="S119" s="74" t="n">
        <f aca="false">SQRT(($B119-S$5)^2+($C119-S$6)^2+($D119-S$7)^2)</f>
        <v>3.34995271221192</v>
      </c>
      <c r="T119" s="74" t="n">
        <f aca="false">SQRT(($B119-T$5)^2+($C119-T$6)^2+($D119-T$7)^2)</f>
        <v>3.57677407647903</v>
      </c>
      <c r="U119" s="74" t="n">
        <f aca="false">SQRT(($B119-U$5)^2+($C119-U$6)^2+($D119-U$7)^2)</f>
        <v>3.68269816764398</v>
      </c>
      <c r="V119" s="74" t="n">
        <f aca="false">SQRT(($B119-V$5)^2+($C119-V$6)^2+($D119-V$7)^2)</f>
        <v>3.49554798536974</v>
      </c>
      <c r="W119" s="74" t="n">
        <f aca="false">SQRT(($B119-W$5)^2+($C119-W$6)^2+($D119-W$7)^2)</f>
        <v>3.66406823360359</v>
      </c>
      <c r="X119" s="74" t="n">
        <f aca="false">SQRT(($B119-X$5)^2+($C119-X$6)^2+($D119-X$7)^2)</f>
        <v>3.43222922813062</v>
      </c>
      <c r="Y119" s="74" t="n">
        <f aca="false">SQRT(($B119-Y$5)^2+($C119-Y$6)^2+($D119-Y$7)^2)</f>
        <v>3.55238581361065</v>
      </c>
      <c r="Z119" s="74" t="n">
        <f aca="false">SQRT(($B119-Z$5)^2+($C119-Z$6)^2+($D119-Z$7)^2)</f>
        <v>3.14410937526147</v>
      </c>
      <c r="AA119" s="74" t="n">
        <f aca="false">SQRT(($B119-AA$5)^2+($C119-AA$6)^2+($D119-AA$7)^2)</f>
        <v>3.11664624798195</v>
      </c>
      <c r="AB119" s="74" t="n">
        <f aca="false">SQRT(($B119-AB$5)^2+($C119-AB$6)^2+($D119-AB$7)^2)</f>
        <v>3.05989294149054</v>
      </c>
      <c r="AC119" s="74" t="n">
        <f aca="false">SQRT(($B119-AC$5)^2+($C119-AC$6)^2+($D119-AC$7)^2)</f>
        <v>3.49604751450053</v>
      </c>
      <c r="AD119" s="74" t="n">
        <f aca="false">SQRT(($B119-AD$5)^2+($C119-AD$6)^2+($D119-AD$7)^2)</f>
        <v>3.51053930698811</v>
      </c>
      <c r="AE119" s="74" t="n">
        <f aca="false">SQRT(($B119-AE$5)^2+($C119-AE$6)^2+($D119-AE$7)^2)</f>
        <v>2.07168696749508</v>
      </c>
      <c r="AF119" s="74" t="n">
        <f aca="false">SQRT(($B119-AF$5)^2+($C119-AF$6)^2+($D119-AF$7)^2)</f>
        <v>3.12509219783451</v>
      </c>
      <c r="AG119" s="74" t="n">
        <f aca="false">SQRT(($B119-AG$5)^2+($C119-AG$6)^2+($D119-AG$7)^2)</f>
        <v>2.07465268180608</v>
      </c>
      <c r="AH119" s="74" t="n">
        <f aca="false">SQRT(($B119-AH$5)^2+($C119-AH$6)^2+($D119-AH$7)^2)</f>
        <v>2.85590344379197</v>
      </c>
      <c r="AI119" s="74" t="n">
        <f aca="false">SQRT(($B119-AI$5)^2+($C119-AI$6)^2+($D119-AI$7)^2)</f>
        <v>2.07170053639977</v>
      </c>
      <c r="AJ119" s="74" t="n">
        <f aca="false">SQRT(($B119-AJ$5)^2+($C119-AJ$6)^2+($D119-AJ$7)^2)</f>
        <v>3.21006003696203</v>
      </c>
      <c r="AK119" s="74" t="n">
        <f aca="false">SQRT(($B119-AK$5)^2+($C119-AK$6)^2+($D119-AK$7)^2)</f>
        <v>2.59391190628478</v>
      </c>
      <c r="AL119" s="74" t="n">
        <f aca="false">SQRT(($B119-AL$5)^2+($C119-AL$6)^2+($D119-AL$7)^2)</f>
        <v>2.56025249381769</v>
      </c>
      <c r="AM119" s="74" t="n">
        <f aca="false">SQRT(($B119-AM$5)^2+($C119-AM$6)^2+($D119-AM$7)^2)</f>
        <v>3.1185559467886</v>
      </c>
      <c r="AN119" s="74" t="n">
        <f aca="false">SQRT(($B119-AN$5)^2+($C119-AN$6)^2+($D119-AN$7)^2)</f>
        <v>3.17321286700738</v>
      </c>
      <c r="AO119" s="74" t="n">
        <f aca="false">SQRT(($B119-AO$5)^2+($C119-AO$6)^2+($D119-AO$7)^2)</f>
        <v>2.67506851091369</v>
      </c>
      <c r="AP119" s="74" t="n">
        <f aca="false">SQRT(($B119-AP$5)^2+($C119-AP$6)^2+($D119-AP$7)^2)</f>
        <v>2.62276697099066</v>
      </c>
      <c r="AQ119" s="74" t="n">
        <f aca="false">SQRT(($B119-AQ$5)^2+($C119-AQ$6)^2+($D119-AQ$7)^2)</f>
        <v>3.17012974889018</v>
      </c>
      <c r="AR119" s="74" t="n">
        <f aca="false">SQRT(($B119-AR$5)^2+($C119-AR$6)^2+($D119-AR$7)^2)</f>
        <v>2.21097105827335</v>
      </c>
      <c r="AS119" s="74" t="n">
        <f aca="false">SQRT(($B119-AS$5)^2+($C119-AS$6)^2+($D119-AS$7)^2)</f>
        <v>2.73087187524639</v>
      </c>
      <c r="AT119" s="74" t="n">
        <f aca="false">SQRT(($B119-AT$5)^2+($C119-AT$6)^2+($D119-AT$7)^2)</f>
        <v>2.57400571512309</v>
      </c>
      <c r="AU119" s="74" t="n">
        <f aca="false">SQRT(($B119-AU$5)^2+($C119-AU$6)^2+($D119-AU$7)^2)</f>
        <v>1.77805737179071</v>
      </c>
      <c r="AV119" s="74" t="n">
        <f aca="false">SQRT(($B119-AV$5)^2+($C119-AV$6)^2+($D119-AV$7)^2)</f>
        <v>2.31617607437856</v>
      </c>
      <c r="AW119" s="74" t="n">
        <f aca="false">SQRT(($B119-AW$5)^2+($C119-AW$6)^2+($D119-AW$7)^2)</f>
        <v>1.62881333480999</v>
      </c>
      <c r="AX119" s="74" t="n">
        <f aca="false">SQRT(($B119-AX$5)^2+($C119-AX$6)^2+($D119-AX$7)^2)</f>
        <v>2.35736017142755</v>
      </c>
      <c r="AY119" s="74" t="n">
        <f aca="false">SQRT(($B119-AY$5)^2+($C119-AY$6)^2+($D119-AY$7)^2)</f>
        <v>1.55918882908199</v>
      </c>
      <c r="AZ119" s="74" t="n">
        <f aca="false">SQRT(($B119-AZ$5)^2+($C119-AZ$6)^2+($D119-AZ$7)^2)</f>
        <v>2.67870307672528</v>
      </c>
      <c r="BA119" s="74" t="n">
        <f aca="false">SQRT(($B119-BA$5)^2+($C119-BA$6)^2+($D119-BA$7)^2)</f>
        <v>2.54091385875548</v>
      </c>
      <c r="BB119" s="74" t="n">
        <f aca="false">SQRT(($B119-BB$5)^2+($C119-BB$6)^2+($D119-BB$7)^2)</f>
        <v>1.55264195008565</v>
      </c>
      <c r="BC119" s="74" t="n">
        <f aca="false">SQRT(($B119-BC$5)^2+($C119-BC$6)^2+($D119-BC$7)^2)</f>
        <v>1.54601166911532</v>
      </c>
      <c r="BD119" s="74" t="n">
        <f aca="false">SQRT(($B119-BD$5)^2+($C119-BD$6)^2+($D119-BD$7)^2)</f>
        <v>1.65533185548879</v>
      </c>
      <c r="BE119" s="74" t="n">
        <f aca="false">SQRT(($B119-BE$5)^2+($C119-BE$6)^2+($D119-BE$7)^2)</f>
        <v>1.76006226662156</v>
      </c>
      <c r="BF119" s="74" t="n">
        <f aca="false">SQRT(($B119-BF$5)^2+($C119-BF$6)^2+($D119-BF$7)^2)</f>
        <v>3.18165734564486</v>
      </c>
      <c r="BG119" s="74" t="n">
        <f aca="false">SQRT(($B119-BG$5)^2+($C119-BG$6)^2+($D119-BG$7)^2)</f>
        <v>2.3487862731172</v>
      </c>
      <c r="BH119" s="74" t="n">
        <f aca="false">SQRT(($B119-BH$5)^2+($C119-BH$6)^2+($D119-BH$7)^2)</f>
        <v>1.44304930100659</v>
      </c>
      <c r="BI119" s="74" t="n">
        <f aca="false">SQRT(($B119-BI$5)^2+($C119-BI$6)^2+($D119-BI$7)^2)</f>
        <v>1.42652505543666</v>
      </c>
      <c r="BJ119" s="74" t="n">
        <f aca="false">SQRT(($B119-BJ$5)^2+($C119-BJ$6)^2+($D119-BJ$7)^2)</f>
        <v>2.17433127165341</v>
      </c>
      <c r="BK119" s="74" t="n">
        <f aca="false">SQRT(($B119-BK$5)^2+($C119-BK$6)^2+($D119-BK$7)^2)</f>
        <v>1.55472877706431</v>
      </c>
      <c r="BL119" s="74" t="n">
        <f aca="false">SQRT(($B119-BL$5)^2+($C119-BL$6)^2+($D119-BL$7)^2)</f>
        <v>2.02840159769833</v>
      </c>
      <c r="BM119" s="74" t="n">
        <f aca="false">SQRT(($B119-BM$5)^2+($C119-BM$6)^2+($D119-BM$7)^2)</f>
        <v>2.44118167248574</v>
      </c>
      <c r="BN119" s="74" t="n">
        <f aca="false">SQRT(($B119-BN$5)^2+($C119-BN$6)^2+($D119-BN$7)^2)</f>
        <v>1.95830368183276</v>
      </c>
      <c r="BO119" s="74" t="n">
        <f aca="false">SQRT(($B119-BO$5)^2+($C119-BO$6)^2+($D119-BO$7)^2)</f>
        <v>1.33260771048975</v>
      </c>
      <c r="BP119" s="74" t="n">
        <f aca="false">SQRT(($B119-BP$5)^2+($C119-BP$6)^2+($D119-BP$7)^2)</f>
        <v>2.0667476943847</v>
      </c>
      <c r="BQ119" s="74" t="n">
        <f aca="false">SQRT(($B119-BQ$5)^2+($C119-BQ$6)^2+($D119-BQ$7)^2)</f>
        <v>2.04118525337474</v>
      </c>
      <c r="BR119" s="74" t="n">
        <f aca="false">SQRT(($B119-BR$5)^2+($C119-BR$6)^2+($D119-BR$7)^2)</f>
        <v>2.06351714006699</v>
      </c>
      <c r="BS119" s="74" t="n">
        <f aca="false">SQRT(($B119-BS$5)^2+($C119-BS$6)^2+($D119-BS$7)^2)</f>
        <v>2.107732690302</v>
      </c>
      <c r="BT119" s="74" t="n">
        <f aca="false">SQRT(($B119-BT$5)^2+($C119-BT$6)^2+($D119-BT$7)^2)</f>
        <v>1.76116844835206</v>
      </c>
      <c r="BU119" s="74" t="n">
        <f aca="false">SQRT(($B119-BU$5)^2+($C119-BU$6)^2+($D119-BU$7)^2)</f>
        <v>1.69780312275401</v>
      </c>
      <c r="BV119" s="74" t="n">
        <f aca="false">SQRT(($B119-BV$5)^2+($C119-BV$6)^2+($D119-BV$7)^2)</f>
        <v>1.0983027014822</v>
      </c>
      <c r="BW119" s="74" t="n">
        <f aca="false">SQRT(($B119-BW$5)^2+($C119-BW$6)^2+($D119-BW$7)^2)</f>
        <v>1.79527241156601</v>
      </c>
      <c r="BX119" s="74" t="n">
        <f aca="false">SQRT(($B119-BX$5)^2+($C119-BX$6)^2+($D119-BX$7)^2)</f>
        <v>1.08228697575494</v>
      </c>
      <c r="BY119" s="74" t="n">
        <f aca="false">SQRT(($B119-BY$5)^2+($C119-BY$6)^2+($D119-BY$7)^2)</f>
        <v>1.42417644919108</v>
      </c>
      <c r="BZ119" s="74" t="n">
        <f aca="false">SQRT(($B119-BZ$5)^2+($C119-BZ$6)^2+($D119-BZ$7)^2)</f>
        <v>1.36973049478593</v>
      </c>
      <c r="CA119" s="74" t="n">
        <f aca="false">SQRT(($B119-CA$5)^2+($C119-CA$6)^2+($D119-CA$7)^2)</f>
        <v>1.03105186932724</v>
      </c>
      <c r="CB119" s="74" t="n">
        <f aca="false">SQRT(($B119-CB$5)^2+($C119-CB$6)^2+($D119-CB$7)^2)</f>
        <v>1.35603575918823</v>
      </c>
      <c r="CC119" s="74" t="n">
        <f aca="false">SQRT(($B119-CC$5)^2+($C119-CC$6)^2+($D119-CC$7)^2)</f>
        <v>1.01278788948816</v>
      </c>
      <c r="CD119" s="74" t="n">
        <f aca="false">SQRT(($B119-CD$5)^2+($C119-CD$6)^2+($D119-CD$7)^2)</f>
        <v>0.974216911918485</v>
      </c>
      <c r="CE119" s="74" t="n">
        <f aca="false">SQRT(($B119-CE$5)^2+($C119-CE$6)^2+($D119-CE$7)^2)</f>
        <v>1.52395871312883</v>
      </c>
      <c r="CF119" s="74" t="n">
        <f aca="false">SQRT(($B119-CF$5)^2+($C119-CF$6)^2+($D119-CF$7)^2)</f>
        <v>1.68426816566231</v>
      </c>
      <c r="CG119" s="74" t="n">
        <f aca="false">SQRT(($B119-CG$5)^2+($C119-CG$6)^2+($D119-CG$7)^2)</f>
        <v>1.27271000157399</v>
      </c>
      <c r="CH119" s="74" t="n">
        <f aca="false">SQRT(($B119-CH$5)^2+($C119-CH$6)^2+($D119-CH$7)^2)</f>
        <v>1.15907916927047</v>
      </c>
      <c r="CI119" s="74" t="n">
        <f aca="false">SQRT(($B119-CI$5)^2+($C119-CI$6)^2+($D119-CI$7)^2)</f>
        <v>1.05562974331229</v>
      </c>
      <c r="CJ119" s="74" t="n">
        <f aca="false">SQRT(($B119-CJ$5)^2+($C119-CJ$6)^2+($D119-CJ$7)^2)</f>
        <v>0.872259478492046</v>
      </c>
      <c r="CK119" s="74" t="n">
        <f aca="false">SQRT(($B119-CK$5)^2+($C119-CK$6)^2+($D119-CK$7)^2)</f>
        <v>1.34231490639048</v>
      </c>
      <c r="CL119" s="74" t="n">
        <f aca="false">SQRT(($B119-CL$5)^2+($C119-CL$6)^2+($D119-CL$7)^2)</f>
        <v>0.721524650503295</v>
      </c>
      <c r="CM119" s="74" t="n">
        <f aca="false">SQRT(($B119-CM$5)^2+($C119-CM$6)^2+($D119-CM$7)^2)</f>
        <v>1.09998685315461</v>
      </c>
      <c r="CN119" s="74" t="n">
        <f aca="false">SQRT(($B119-CN$5)^2+($C119-CN$6)^2+($D119-CN$7)^2)</f>
        <v>1.96191202188729</v>
      </c>
      <c r="CO119" s="74" t="n">
        <f aca="false">SQRT(($B119-CO$5)^2+($C119-CO$6)^2+($D119-CO$7)^2)</f>
        <v>1.25744452556706</v>
      </c>
      <c r="CP119" s="74" t="n">
        <f aca="false">SQRT(($B119-CP$5)^2+($C119-CP$6)^2+($D119-CP$7)^2)</f>
        <v>0.613454586666837</v>
      </c>
      <c r="CQ119" s="74" t="n">
        <f aca="false">SQRT(($B119-CQ$5)^2+($C119-CQ$6)^2+($D119-CQ$7)^2)</f>
        <v>0.939768712923677</v>
      </c>
      <c r="CR119" s="74" t="n">
        <f aca="false">SQRT(($B119-CR$5)^2+($C119-CR$6)^2+($D119-CR$7)^2)</f>
        <v>0.983149973922947</v>
      </c>
      <c r="CS119" s="74" t="n">
        <f aca="false">SQRT(($B119-CS$5)^2+($C119-CS$6)^2+($D119-CS$7)^2)</f>
        <v>0.526507944285367</v>
      </c>
      <c r="CT119" s="74" t="n">
        <f aca="false">SQRT(($B119-CT$5)^2+($C119-CT$6)^2+($D119-CT$7)^2)</f>
        <v>0.476901853327046</v>
      </c>
      <c r="CU119" s="74" t="n">
        <f aca="false">SQRT(($B119-CU$5)^2+($C119-CU$6)^2+($D119-CU$7)^2)</f>
        <v>0.779057010044467</v>
      </c>
      <c r="CV119" s="74" t="n">
        <f aca="false">SQRT(($B119-CV$5)^2+($C119-CV$6)^2+($D119-CV$7)^2)</f>
        <v>1.48922910929316</v>
      </c>
      <c r="CW119" s="74" t="n">
        <f aca="false">SQRT(($B119-CW$5)^2+($C119-CW$6)^2+($D119-CW$7)^2)</f>
        <v>0.476901853327046</v>
      </c>
      <c r="CX119" s="74" t="n">
        <f aca="false">SQRT(($B119-CX$5)^2+($C119-CX$6)^2+($D119-CX$7)^2)</f>
        <v>1.18862174839314</v>
      </c>
      <c r="CY119" s="74" t="n">
        <f aca="false">SQRT(($B119-CY$5)^2+($C119-CY$6)^2+($D119-CY$7)^2)</f>
        <v>0.422064863890366</v>
      </c>
      <c r="CZ119" s="74" t="n">
        <f aca="false">SQRT(($B119-CZ$5)^2+($C119-CZ$6)^2+($D119-CZ$7)^2)</f>
        <v>0.422064863890366</v>
      </c>
      <c r="DA119" s="74" t="n">
        <f aca="false">SQRT(($B119-DA$5)^2+($C119-DA$6)^2+($D119-DA$7)^2)</f>
        <v>0.768642718187362</v>
      </c>
      <c r="DB119" s="74" t="n">
        <f aca="false">SQRT(($B119-DB$5)^2+($C119-DB$6)^2+($D119-DB$7)^2)</f>
        <v>0.360762325251648</v>
      </c>
      <c r="DC119" s="74" t="n">
        <f aca="false">SQRT(($B119-DC$5)^2+($C119-DC$6)^2+($D119-DC$7)^2)</f>
        <v>0.360762325251648</v>
      </c>
      <c r="DD119" s="74" t="n">
        <f aca="false">SQRT(($B119-DD$5)^2+($C119-DD$6)^2+($D119-DD$7)^2)</f>
        <v>0.623954303112962</v>
      </c>
      <c r="DE119" s="74" t="n">
        <f aca="false">SQRT(($B119-DE$5)^2+($C119-DE$6)^2+($D119-DE$7)^2)</f>
        <v>0.384321359093681</v>
      </c>
      <c r="DF119" s="74" t="n">
        <f aca="false">SQRT(($B119-DF$5)^2+($C119-DF$6)^2+($D119-DF$7)^2)</f>
        <v>0</v>
      </c>
      <c r="DG119" s="74" t="n">
        <f aca="false">SQRT(($B119-DG$5)^2+($C119-DG$6)^2+($D119-DG$7)^2)</f>
        <v>0.149729893306465</v>
      </c>
      <c r="DH119" s="74" t="n">
        <f aca="false">SQRT(($B119-DH$5)^2+($C119-DH$6)^2+($D119-DH$7)^2)</f>
        <v>0.149729893306465</v>
      </c>
      <c r="DI119" s="74" t="n">
        <f aca="false">SQRT(($B119-DI$5)^2+($C119-DI$6)^2+($D119-DI$7)^2)</f>
        <v>0.149729893306465</v>
      </c>
      <c r="DJ119" s="74" t="n">
        <f aca="false">SQRT(($B119-DJ$5)^2+($C119-DJ$6)^2+($D119-DJ$7)^2)</f>
        <v>0.149729893306465</v>
      </c>
      <c r="DK119" s="74" t="n">
        <f aca="false">SQRT(($B119-DK$5)^2+($C119-DK$6)^2+($D119-DK$7)^2)</f>
        <v>0.360762325251648</v>
      </c>
      <c r="DL119" s="74" t="n">
        <f aca="false">SQRT(($B119-DL$5)^2+($C119-DL$6)^2+($D119-DL$7)^2)</f>
        <v>0.360762325251648</v>
      </c>
      <c r="DM119" s="74" t="n">
        <f aca="false">SQRT(($B119-DM$5)^2+($C119-DM$6)^2+($D119-DM$7)^2)</f>
        <v>0.360762325251648</v>
      </c>
      <c r="DN119" s="74" t="n">
        <f aca="false">SQRT(($B119-DN$5)^2+($C119-DN$6)^2+($D119-DN$7)^2)</f>
        <v>0.360762325251648</v>
      </c>
      <c r="DO119" s="74" t="n">
        <f aca="false">SQRT(($B119-DO$5)^2+($C119-DO$6)^2+($D119-DO$7)^2)</f>
        <v>0.360762325251648</v>
      </c>
      <c r="DP119" s="74" t="n">
        <f aca="false">SQRT(($B119-DP$5)^2+($C119-DP$6)^2+($D119-DP$7)^2)</f>
        <v>0.721524650503296</v>
      </c>
      <c r="DQ119" s="74" t="n">
        <f aca="false">SQRT(($B119-DQ$5)^2+($C119-DQ$6)^2+($D119-DQ$7)^2)</f>
        <v>0.721524650503296</v>
      </c>
    </row>
    <row r="120" customFormat="false" ht="15" hidden="false" customHeight="false" outlineLevel="0" collapsed="false">
      <c r="A120" s="48" t="str">
        <f aca="false">KMeans_Data!A111</f>
        <v>Kohistan Lower</v>
      </c>
      <c r="B120" s="72" t="n">
        <f aca="false">KMeans_Data!H111</f>
        <v>-1.50794322460649</v>
      </c>
      <c r="C120" s="72" t="n">
        <f aca="false">KMeans_Data!I111</f>
        <v>-0.672650545388274</v>
      </c>
      <c r="D120" s="72" t="n">
        <f aca="false">KMeans_Data!J111</f>
        <v>-1.14564411633355</v>
      </c>
      <c r="E120" s="74" t="n">
        <f aca="false">SQRT(($B120-E$5)^2+($C120-E$6)^2+($D120-E$7)^2)</f>
        <v>8.02581663311103</v>
      </c>
      <c r="F120" s="74" t="n">
        <f aca="false">SQRT(($B120-F$5)^2+($C120-F$6)^2+($D120-F$7)^2)</f>
        <v>7.7847884280926</v>
      </c>
      <c r="G120" s="74" t="n">
        <f aca="false">SQRT(($B120-G$5)^2+($C120-G$6)^2+($D120-G$7)^2)</f>
        <v>6.01450213396371</v>
      </c>
      <c r="H120" s="74" t="n">
        <f aca="false">SQRT(($B120-H$5)^2+($C120-H$6)^2+($D120-H$7)^2)</f>
        <v>6.36682756039909</v>
      </c>
      <c r="I120" s="74" t="n">
        <f aca="false">SQRT(($B120-I$5)^2+($C120-I$6)^2+($D120-I$7)^2)</f>
        <v>5.39559690017231</v>
      </c>
      <c r="J120" s="74" t="n">
        <f aca="false">SQRT(($B120-J$5)^2+($C120-J$6)^2+($D120-J$7)^2)</f>
        <v>4.91367010028874</v>
      </c>
      <c r="K120" s="74" t="n">
        <f aca="false">SQRT(($B120-K$5)^2+($C120-K$6)^2+($D120-K$7)^2)</f>
        <v>2.98414959100483</v>
      </c>
      <c r="L120" s="74" t="n">
        <f aca="false">SQRT(($B120-L$5)^2+($C120-L$6)^2+($D120-L$7)^2)</f>
        <v>4.2493483848774</v>
      </c>
      <c r="M120" s="74" t="n">
        <f aca="false">SQRT(($B120-M$5)^2+($C120-M$6)^2+($D120-M$7)^2)</f>
        <v>4.39091940529748</v>
      </c>
      <c r="N120" s="74" t="n">
        <f aca="false">SQRT(($B120-N$5)^2+($C120-N$6)^2+($D120-N$7)^2)</f>
        <v>2.77863027228069</v>
      </c>
      <c r="O120" s="74" t="n">
        <f aca="false">SQRT(($B120-O$5)^2+($C120-O$6)^2+($D120-O$7)^2)</f>
        <v>4.02341524719881</v>
      </c>
      <c r="P120" s="74" t="n">
        <f aca="false">SQRT(($B120-P$5)^2+($C120-P$6)^2+($D120-P$7)^2)</f>
        <v>4.27196557872407</v>
      </c>
      <c r="Q120" s="74" t="n">
        <f aca="false">SQRT(($B120-Q$5)^2+($C120-Q$6)^2+($D120-Q$7)^2)</f>
        <v>3.77322776534185</v>
      </c>
      <c r="R120" s="74" t="n">
        <f aca="false">SQRT(($B120-R$5)^2+($C120-R$6)^2+($D120-R$7)^2)</f>
        <v>3.79835053358808</v>
      </c>
      <c r="S120" s="74" t="n">
        <f aca="false">SQRT(($B120-S$5)^2+($C120-S$6)^2+($D120-S$7)^2)</f>
        <v>3.45733038416592</v>
      </c>
      <c r="T120" s="74" t="n">
        <f aca="false">SQRT(($B120-T$5)^2+($C120-T$6)^2+($D120-T$7)^2)</f>
        <v>3.67602032402864</v>
      </c>
      <c r="U120" s="74" t="n">
        <f aca="false">SQRT(($B120-U$5)^2+($C120-U$6)^2+($D120-U$7)^2)</f>
        <v>3.77557787477056</v>
      </c>
      <c r="V120" s="74" t="n">
        <f aca="false">SQRT(($B120-V$5)^2+($C120-V$6)^2+($D120-V$7)^2)</f>
        <v>3.5921364881294</v>
      </c>
      <c r="W120" s="74" t="n">
        <f aca="false">SQRT(($B120-W$5)^2+($C120-W$6)^2+($D120-W$7)^2)</f>
        <v>3.75625175050432</v>
      </c>
      <c r="X120" s="74" t="n">
        <f aca="false">SQRT(($B120-X$5)^2+($C120-X$6)^2+($D120-X$7)^2)</f>
        <v>3.53007225823085</v>
      </c>
      <c r="Y120" s="74" t="n">
        <f aca="false">SQRT(($B120-Y$5)^2+($C120-Y$6)^2+($D120-Y$7)^2)</f>
        <v>3.64487565168779</v>
      </c>
      <c r="Z120" s="74" t="n">
        <f aca="false">SQRT(($B120-Z$5)^2+($C120-Z$6)^2+($D120-Z$7)^2)</f>
        <v>3.24805099732699</v>
      </c>
      <c r="AA120" s="74" t="n">
        <f aca="false">SQRT(($B120-AA$5)^2+($C120-AA$6)^2+($D120-AA$7)^2)</f>
        <v>3.2213755578704</v>
      </c>
      <c r="AB120" s="74" t="n">
        <f aca="false">SQRT(($B120-AB$5)^2+($C120-AB$6)^2+($D120-AB$7)^2)</f>
        <v>3.16649987575691</v>
      </c>
      <c r="AC120" s="74" t="n">
        <f aca="false">SQRT(($B120-AC$5)^2+($C120-AC$6)^2+($D120-AC$7)^2)</f>
        <v>3.5888201088408</v>
      </c>
      <c r="AD120" s="74" t="n">
        <f aca="false">SQRT(($B120-AD$5)^2+($C120-AD$6)^2+($D120-AD$7)^2)</f>
        <v>3.60071025366629</v>
      </c>
      <c r="AE120" s="74" t="n">
        <f aca="false">SQRT(($B120-AE$5)^2+($C120-AE$6)^2+($D120-AE$7)^2)</f>
        <v>2.21684219622619</v>
      </c>
      <c r="AF120" s="74" t="n">
        <f aca="false">SQRT(($B120-AF$5)^2+($C120-AF$6)^2+($D120-AF$7)^2)</f>
        <v>3.22114015117449</v>
      </c>
      <c r="AG120" s="74" t="n">
        <f aca="false">SQRT(($B120-AG$5)^2+($C120-AG$6)^2+($D120-AG$7)^2)</f>
        <v>2.21502754381688</v>
      </c>
      <c r="AH120" s="74" t="n">
        <f aca="false">SQRT(($B120-AH$5)^2+($C120-AH$6)^2+($D120-AH$7)^2)</f>
        <v>2.95945058245701</v>
      </c>
      <c r="AI120" s="74" t="n">
        <f aca="false">SQRT(($B120-AI$5)^2+($C120-AI$6)^2+($D120-AI$7)^2)</f>
        <v>2.21204857611901</v>
      </c>
      <c r="AJ120" s="74" t="n">
        <f aca="false">SQRT(($B120-AJ$5)^2+($C120-AJ$6)^2+($D120-AJ$7)^2)</f>
        <v>3.30208855375179</v>
      </c>
      <c r="AK120" s="74" t="n">
        <f aca="false">SQRT(($B120-AK$5)^2+($C120-AK$6)^2+($D120-AK$7)^2)</f>
        <v>2.70494414642204</v>
      </c>
      <c r="AL120" s="74" t="n">
        <f aca="false">SQRT(($B120-AL$5)^2+($C120-AL$6)^2+($D120-AL$7)^2)</f>
        <v>2.67005715822098</v>
      </c>
      <c r="AM120" s="74" t="n">
        <f aca="false">SQRT(($B120-AM$5)^2+($C120-AM$6)^2+($D120-AM$7)^2)</f>
        <v>3.2093151277676</v>
      </c>
      <c r="AN120" s="74" t="n">
        <f aca="false">SQRT(($B120-AN$5)^2+($C120-AN$6)^2+($D120-AN$7)^2)</f>
        <v>3.26102506353739</v>
      </c>
      <c r="AO120" s="74" t="n">
        <f aca="false">SQRT(($B120-AO$5)^2+($C120-AO$6)^2+($D120-AO$7)^2)</f>
        <v>2.77756785149657</v>
      </c>
      <c r="AP120" s="74" t="n">
        <f aca="false">SQRT(($B120-AP$5)^2+($C120-AP$6)^2+($D120-AP$7)^2)</f>
        <v>2.72700317614519</v>
      </c>
      <c r="AQ120" s="74" t="n">
        <f aca="false">SQRT(($B120-AQ$5)^2+($C120-AQ$6)^2+($D120-AQ$7)^2)</f>
        <v>3.25590962294331</v>
      </c>
      <c r="AR120" s="74" t="n">
        <f aca="false">SQRT(($B120-AR$5)^2+($C120-AR$6)^2+($D120-AR$7)^2)</f>
        <v>2.33115610971163</v>
      </c>
      <c r="AS120" s="74" t="n">
        <f aca="false">SQRT(($B120-AS$5)^2+($C120-AS$6)^2+($D120-AS$7)^2)</f>
        <v>2.82520330459637</v>
      </c>
      <c r="AT120" s="74" t="n">
        <f aca="false">SQRT(($B120-AT$5)^2+($C120-AT$6)^2+($D120-AT$7)^2)</f>
        <v>2.67144569297507</v>
      </c>
      <c r="AU120" s="74" t="n">
        <f aca="false">SQRT(($B120-AU$5)^2+($C120-AU$6)^2+($D120-AU$7)^2)</f>
        <v>1.91551012983867</v>
      </c>
      <c r="AV120" s="74" t="n">
        <f aca="false">SQRT(($B120-AV$5)^2+($C120-AV$6)^2+($D120-AV$7)^2)</f>
        <v>2.42293647849278</v>
      </c>
      <c r="AW120" s="74" t="n">
        <f aca="false">SQRT(($B120-AW$5)^2+($C120-AW$6)^2+($D120-AW$7)^2)</f>
        <v>1.77584857502609</v>
      </c>
      <c r="AX120" s="74" t="n">
        <f aca="false">SQRT(($B120-AX$5)^2+($C120-AX$6)^2+($D120-AX$7)^2)</f>
        <v>2.46087978509911</v>
      </c>
      <c r="AY120" s="74" t="n">
        <f aca="false">SQRT(($B120-AY$5)^2+($C120-AY$6)^2+($D120-AY$7)^2)</f>
        <v>1.70891872238845</v>
      </c>
      <c r="AZ120" s="74" t="n">
        <f aca="false">SQRT(($B120-AZ$5)^2+($C120-AZ$6)^2+($D120-AZ$7)^2)</f>
        <v>2.76853455247595</v>
      </c>
      <c r="BA120" s="74" t="n">
        <f aca="false">SQRT(($B120-BA$5)^2+($C120-BA$6)^2+($D120-BA$7)^2)</f>
        <v>2.63507421254586</v>
      </c>
      <c r="BB120" s="74" t="n">
        <f aca="false">SQRT(($B120-BB$5)^2+($C120-BB$6)^2+($D120-BB$7)^2)</f>
        <v>1.70237184339211</v>
      </c>
      <c r="BC120" s="74" t="n">
        <f aca="false">SQRT(($B120-BC$5)^2+($C120-BC$6)^2+($D120-BC$7)^2)</f>
        <v>1.69574156242178</v>
      </c>
      <c r="BD120" s="74" t="n">
        <f aca="false">SQRT(($B120-BD$5)^2+($C120-BD$6)^2+($D120-BD$7)^2)</f>
        <v>1.79426809122476</v>
      </c>
      <c r="BE120" s="74" t="n">
        <f aca="false">SQRT(($B120-BE$5)^2+($C120-BE$6)^2+($D120-BE$7)^2)</f>
        <v>1.89020658373939</v>
      </c>
      <c r="BF120" s="74" t="n">
        <f aca="false">SQRT(($B120-BF$5)^2+($C120-BF$6)^2+($D120-BF$7)^2)</f>
        <v>3.25445305367099</v>
      </c>
      <c r="BG120" s="74" t="n">
        <f aca="false">SQRT(($B120-BG$5)^2+($C120-BG$6)^2+($D120-BG$7)^2)</f>
        <v>2.44461598196802</v>
      </c>
      <c r="BH120" s="74" t="n">
        <f aca="false">SQRT(($B120-BH$5)^2+($C120-BH$6)^2+($D120-BH$7)^2)</f>
        <v>1.59277919431306</v>
      </c>
      <c r="BI120" s="74" t="n">
        <f aca="false">SQRT(($B120-BI$5)^2+($C120-BI$6)^2+($D120-BI$7)^2)</f>
        <v>1.57625494874312</v>
      </c>
      <c r="BJ120" s="74" t="n">
        <f aca="false">SQRT(($B120-BJ$5)^2+($C120-BJ$6)^2+($D120-BJ$7)^2)</f>
        <v>2.2724914141333</v>
      </c>
      <c r="BK120" s="74" t="n">
        <f aca="false">SQRT(($B120-BK$5)^2+($C120-BK$6)^2+($D120-BK$7)^2)</f>
        <v>1.68763601051815</v>
      </c>
      <c r="BL120" s="74" t="n">
        <f aca="false">SQRT(($B120-BL$5)^2+($C120-BL$6)^2+($D120-BL$7)^2)</f>
        <v>2.131311071028</v>
      </c>
      <c r="BM120" s="74" t="n">
        <f aca="false">SQRT(($B120-BM$5)^2+($C120-BM$6)^2+($D120-BM$7)^2)</f>
        <v>2.52557579509364</v>
      </c>
      <c r="BN120" s="74" t="n">
        <f aca="false">SQRT(($B120-BN$5)^2+($C120-BN$6)^2+($D120-BN$7)^2)</f>
        <v>2.06180309792967</v>
      </c>
      <c r="BO120" s="74" t="n">
        <f aca="false">SQRT(($B120-BO$5)^2+($C120-BO$6)^2+($D120-BO$7)^2)</f>
        <v>1.47836379313704</v>
      </c>
      <c r="BP120" s="74" t="n">
        <f aca="false">SQRT(($B120-BP$5)^2+($C120-BP$6)^2+($D120-BP$7)^2)</f>
        <v>2.16127352814075</v>
      </c>
      <c r="BQ120" s="74" t="n">
        <f aca="false">SQRT(($B120-BQ$5)^2+($C120-BQ$6)^2+($D120-BQ$7)^2)</f>
        <v>2.13602243763156</v>
      </c>
      <c r="BR120" s="74" t="n">
        <f aca="false">SQRT(($B120-BR$5)^2+($C120-BR$6)^2+($D120-BR$7)^2)</f>
        <v>2.15569176846061</v>
      </c>
      <c r="BS120" s="74" t="n">
        <f aca="false">SQRT(($B120-BS$5)^2+($C120-BS$6)^2+($D120-BS$7)^2)</f>
        <v>2.19542493616015</v>
      </c>
      <c r="BT120" s="74" t="n">
        <f aca="false">SQRT(($B120-BT$5)^2+($C120-BT$6)^2+($D120-BT$7)^2)</f>
        <v>1.8618787329935</v>
      </c>
      <c r="BU120" s="74" t="n">
        <f aca="false">SQRT(($B120-BU$5)^2+($C120-BU$6)^2+($D120-BU$7)^2)</f>
        <v>1.80205814460464</v>
      </c>
      <c r="BV120" s="74" t="n">
        <f aca="false">SQRT(($B120-BV$5)^2+($C120-BV$6)^2+($D120-BV$7)^2)</f>
        <v>1.24803259478866</v>
      </c>
      <c r="BW120" s="74" t="n">
        <f aca="false">SQRT(($B120-BW$5)^2+($C120-BW$6)^2+($D120-BW$7)^2)</f>
        <v>1.88931826315556</v>
      </c>
      <c r="BX120" s="74" t="n">
        <f aca="false">SQRT(($B120-BX$5)^2+($C120-BX$6)^2+($D120-BX$7)^2)</f>
        <v>1.23201686906141</v>
      </c>
      <c r="BY120" s="74" t="n">
        <f aca="false">SQRT(($B120-BY$5)^2+($C120-BY$6)^2+($D120-BY$7)^2)</f>
        <v>1.53777113465862</v>
      </c>
      <c r="BZ120" s="74" t="n">
        <f aca="false">SQRT(($B120-BZ$5)^2+($C120-BZ$6)^2+($D120-BZ$7)^2)</f>
        <v>1.48571169547516</v>
      </c>
      <c r="CA120" s="74" t="n">
        <f aca="false">SQRT(($B120-CA$5)^2+($C120-CA$6)^2+($D120-CA$7)^2)</f>
        <v>1.18078176263371</v>
      </c>
      <c r="CB120" s="74" t="n">
        <f aca="false">SQRT(($B120-CB$5)^2+($C120-CB$6)^2+($D120-CB$7)^2)</f>
        <v>1.47123800468077</v>
      </c>
      <c r="CC120" s="74" t="n">
        <f aca="false">SQRT(($B120-CC$5)^2+($C120-CC$6)^2+($D120-CC$7)^2)</f>
        <v>1.16251778279462</v>
      </c>
      <c r="CD120" s="74" t="n">
        <f aca="false">SQRT(($B120-CD$5)^2+($C120-CD$6)^2+($D120-CD$7)^2)</f>
        <v>1.12394680522495</v>
      </c>
      <c r="CE120" s="74" t="n">
        <f aca="false">SQRT(($B120-CE$5)^2+($C120-CE$6)^2+($D120-CE$7)^2)</f>
        <v>1.62188009875456</v>
      </c>
      <c r="CF120" s="74" t="n">
        <f aca="false">SQRT(($B120-CF$5)^2+($C120-CF$6)^2+($D120-CF$7)^2)</f>
        <v>1.77335956570525</v>
      </c>
      <c r="CG120" s="74" t="n">
        <f aca="false">SQRT(($B120-CG$5)^2+($C120-CG$6)^2+($D120-CG$7)^2)</f>
        <v>1.3812717164409</v>
      </c>
      <c r="CH120" s="74" t="n">
        <f aca="false">SQRT(($B120-CH$5)^2+($C120-CH$6)^2+($D120-CH$7)^2)</f>
        <v>1.27733524462838</v>
      </c>
      <c r="CI120" s="74" t="n">
        <f aca="false">SQRT(($B120-CI$5)^2+($C120-CI$6)^2+($D120-CI$7)^2)</f>
        <v>1.17797280617407</v>
      </c>
      <c r="CJ120" s="74" t="n">
        <f aca="false">SQRT(($B120-CJ$5)^2+($C120-CJ$6)^2+($D120-CJ$7)^2)</f>
        <v>1.01296979731</v>
      </c>
      <c r="CK120" s="74" t="n">
        <f aca="false">SQRT(($B120-CK$5)^2+($C120-CK$6)^2+($D120-CK$7)^2)</f>
        <v>1.43169302248217</v>
      </c>
      <c r="CL120" s="74" t="n">
        <f aca="false">SQRT(($B120-CL$5)^2+($C120-CL$6)^2+($D120-CL$7)^2)</f>
        <v>0.87125454380976</v>
      </c>
      <c r="CM120" s="74" t="n">
        <f aca="false">SQRT(($B120-CM$5)^2+($C120-CM$6)^2+($D120-CM$7)^2)</f>
        <v>1.20351889720861</v>
      </c>
      <c r="CN120" s="74" t="n">
        <f aca="false">SQRT(($B120-CN$5)^2+($C120-CN$6)^2+($D120-CN$7)^2)</f>
        <v>2.01662422352502</v>
      </c>
      <c r="CO120" s="74" t="n">
        <f aca="false">SQRT(($B120-CO$5)^2+($C120-CO$6)^2+($D120-CO$7)^2)</f>
        <v>1.3368959403963</v>
      </c>
      <c r="CP120" s="74" t="n">
        <f aca="false">SQRT(($B120-CP$5)^2+($C120-CP$6)^2+($D120-CP$7)^2)</f>
        <v>0.763184479973301</v>
      </c>
      <c r="CQ120" s="74" t="n">
        <f aca="false">SQRT(($B120-CQ$5)^2+($C120-CQ$6)^2+($D120-CQ$7)^2)</f>
        <v>1.0376963962144</v>
      </c>
      <c r="CR120" s="74" t="n">
        <f aca="false">SQRT(($B120-CR$5)^2+($C120-CR$6)^2+($D120-CR$7)^2)</f>
        <v>1.07082718905525</v>
      </c>
      <c r="CS120" s="74" t="n">
        <f aca="false">SQRT(($B120-CS$5)^2+($C120-CS$6)^2+($D120-CS$7)^2)</f>
        <v>0.676237837591832</v>
      </c>
      <c r="CT120" s="74" t="n">
        <f aca="false">SQRT(($B120-CT$5)^2+($C120-CT$6)^2+($D120-CT$7)^2)</f>
        <v>0.62663174663351</v>
      </c>
      <c r="CU120" s="74" t="n">
        <f aca="false">SQRT(($B120-CU$5)^2+($C120-CU$6)^2+($D120-CU$7)^2)</f>
        <v>0.878727371305581</v>
      </c>
      <c r="CV120" s="74" t="n">
        <f aca="false">SQRT(($B120-CV$5)^2+($C120-CV$6)^2+($D120-CV$7)^2)</f>
        <v>1.54370829762242</v>
      </c>
      <c r="CW120" s="74" t="n">
        <f aca="false">SQRT(($B120-CW$5)^2+($C120-CW$6)^2+($D120-CW$7)^2)</f>
        <v>0.62663174663351</v>
      </c>
      <c r="CX120" s="74" t="n">
        <f aca="false">SQRT(($B120-CX$5)^2+($C120-CX$6)^2+($D120-CX$7)^2)</f>
        <v>1.24965281409685</v>
      </c>
      <c r="CY120" s="74" t="n">
        <f aca="false">SQRT(($B120-CY$5)^2+($C120-CY$6)^2+($D120-CY$7)^2)</f>
        <v>0.571794757196831</v>
      </c>
      <c r="CZ120" s="74" t="n">
        <f aca="false">SQRT(($B120-CZ$5)^2+($C120-CZ$6)^2+($D120-CZ$7)^2)</f>
        <v>0.571794757196831</v>
      </c>
      <c r="DA120" s="74" t="n">
        <f aca="false">SQRT(($B120-DA$5)^2+($C120-DA$6)^2+($D120-DA$7)^2)</f>
        <v>0.860012862258144</v>
      </c>
      <c r="DB120" s="74" t="n">
        <f aca="false">SQRT(($B120-DB$5)^2+($C120-DB$6)^2+($D120-DB$7)^2)</f>
        <v>0.510492218558112</v>
      </c>
      <c r="DC120" s="74" t="n">
        <f aca="false">SQRT(($B120-DC$5)^2+($C120-DC$6)^2+($D120-DC$7)^2)</f>
        <v>0.510492218558112</v>
      </c>
      <c r="DD120" s="74" t="n">
        <f aca="false">SQRT(($B120-DD$5)^2+($C120-DD$6)^2+($D120-DD$7)^2)</f>
        <v>0.720952024936882</v>
      </c>
      <c r="DE120" s="74" t="n">
        <f aca="false">SQRT(($B120-DE$5)^2+($C120-DE$6)^2+($D120-DE$7)^2)</f>
        <v>0.48302968339833</v>
      </c>
      <c r="DF120" s="74" t="n">
        <f aca="false">SQRT(($B120-DF$5)^2+($C120-DF$6)^2+($D120-DF$7)^2)</f>
        <v>0.149729893306465</v>
      </c>
      <c r="DG120" s="74" t="n">
        <f aca="false">SQRT(($B120-DG$5)^2+($C120-DG$6)^2+($D120-DG$7)^2)</f>
        <v>0</v>
      </c>
      <c r="DH120" s="74" t="n">
        <f aca="false">SQRT(($B120-DH$5)^2+($C120-DH$6)^2+($D120-DH$7)^2)</f>
        <v>0</v>
      </c>
      <c r="DI120" s="74" t="n">
        <f aca="false">SQRT(($B120-DI$5)^2+($C120-DI$6)^2+($D120-DI$7)^2)</f>
        <v>0</v>
      </c>
      <c r="DJ120" s="74" t="n">
        <f aca="false">SQRT(($B120-DJ$5)^2+($C120-DJ$6)^2+($D120-DJ$7)^2)</f>
        <v>0</v>
      </c>
      <c r="DK120" s="74" t="n">
        <f aca="false">SQRT(($B120-DK$5)^2+($C120-DK$6)^2+($D120-DK$7)^2)</f>
        <v>0.211032431945183</v>
      </c>
      <c r="DL120" s="74" t="n">
        <f aca="false">SQRT(($B120-DL$5)^2+($C120-DL$6)^2+($D120-DL$7)^2)</f>
        <v>0.211032431945183</v>
      </c>
      <c r="DM120" s="74" t="n">
        <f aca="false">SQRT(($B120-DM$5)^2+($C120-DM$6)^2+($D120-DM$7)^2)</f>
        <v>0.211032431945183</v>
      </c>
      <c r="DN120" s="74" t="n">
        <f aca="false">SQRT(($B120-DN$5)^2+($C120-DN$6)^2+($D120-DN$7)^2)</f>
        <v>0.211032431945183</v>
      </c>
      <c r="DO120" s="74" t="n">
        <f aca="false">SQRT(($B120-DO$5)^2+($C120-DO$6)^2+($D120-DO$7)^2)</f>
        <v>0.211032431945183</v>
      </c>
      <c r="DP120" s="74" t="n">
        <f aca="false">SQRT(($B120-DP$5)^2+($C120-DP$6)^2+($D120-DP$7)^2)</f>
        <v>0.571794757196831</v>
      </c>
      <c r="DQ120" s="74" t="n">
        <f aca="false">SQRT(($B120-DQ$5)^2+($C120-DQ$6)^2+($D120-DQ$7)^2)</f>
        <v>0.571794757196831</v>
      </c>
    </row>
    <row r="121" customFormat="false" ht="15" hidden="false" customHeight="false" outlineLevel="0" collapsed="false">
      <c r="A121" s="48" t="str">
        <f aca="false">KMeans_Data!A112</f>
        <v>Bhambore</v>
      </c>
      <c r="B121" s="72" t="n">
        <f aca="false">KMeans_Data!H112</f>
        <v>-1.50794322460649</v>
      </c>
      <c r="C121" s="72" t="n">
        <f aca="false">KMeans_Data!I112</f>
        <v>-0.672650545388274</v>
      </c>
      <c r="D121" s="72" t="n">
        <f aca="false">KMeans_Data!J112</f>
        <v>-1.14564411633355</v>
      </c>
      <c r="E121" s="74" t="n">
        <f aca="false">SQRT(($B121-E$5)^2+($C121-E$6)^2+($D121-E$7)^2)</f>
        <v>8.02581663311103</v>
      </c>
      <c r="F121" s="74" t="n">
        <f aca="false">SQRT(($B121-F$5)^2+($C121-F$6)^2+($D121-F$7)^2)</f>
        <v>7.7847884280926</v>
      </c>
      <c r="G121" s="74" t="n">
        <f aca="false">SQRT(($B121-G$5)^2+($C121-G$6)^2+($D121-G$7)^2)</f>
        <v>6.01450213396371</v>
      </c>
      <c r="H121" s="74" t="n">
        <f aca="false">SQRT(($B121-H$5)^2+($C121-H$6)^2+($D121-H$7)^2)</f>
        <v>6.36682756039909</v>
      </c>
      <c r="I121" s="74" t="n">
        <f aca="false">SQRT(($B121-I$5)^2+($C121-I$6)^2+($D121-I$7)^2)</f>
        <v>5.39559690017231</v>
      </c>
      <c r="J121" s="74" t="n">
        <f aca="false">SQRT(($B121-J$5)^2+($C121-J$6)^2+($D121-J$7)^2)</f>
        <v>4.91367010028874</v>
      </c>
      <c r="K121" s="74" t="n">
        <f aca="false">SQRT(($B121-K$5)^2+($C121-K$6)^2+($D121-K$7)^2)</f>
        <v>2.98414959100483</v>
      </c>
      <c r="L121" s="74" t="n">
        <f aca="false">SQRT(($B121-L$5)^2+($C121-L$6)^2+($D121-L$7)^2)</f>
        <v>4.2493483848774</v>
      </c>
      <c r="M121" s="74" t="n">
        <f aca="false">SQRT(($B121-M$5)^2+($C121-M$6)^2+($D121-M$7)^2)</f>
        <v>4.39091940529748</v>
      </c>
      <c r="N121" s="74" t="n">
        <f aca="false">SQRT(($B121-N$5)^2+($C121-N$6)^2+($D121-N$7)^2)</f>
        <v>2.77863027228069</v>
      </c>
      <c r="O121" s="74" t="n">
        <f aca="false">SQRT(($B121-O$5)^2+($C121-O$6)^2+($D121-O$7)^2)</f>
        <v>4.02341524719881</v>
      </c>
      <c r="P121" s="74" t="n">
        <f aca="false">SQRT(($B121-P$5)^2+($C121-P$6)^2+($D121-P$7)^2)</f>
        <v>4.27196557872407</v>
      </c>
      <c r="Q121" s="74" t="n">
        <f aca="false">SQRT(($B121-Q$5)^2+($C121-Q$6)^2+($D121-Q$7)^2)</f>
        <v>3.77322776534185</v>
      </c>
      <c r="R121" s="74" t="n">
        <f aca="false">SQRT(($B121-R$5)^2+($C121-R$6)^2+($D121-R$7)^2)</f>
        <v>3.79835053358808</v>
      </c>
      <c r="S121" s="74" t="n">
        <f aca="false">SQRT(($B121-S$5)^2+($C121-S$6)^2+($D121-S$7)^2)</f>
        <v>3.45733038416592</v>
      </c>
      <c r="T121" s="74" t="n">
        <f aca="false">SQRT(($B121-T$5)^2+($C121-T$6)^2+($D121-T$7)^2)</f>
        <v>3.67602032402864</v>
      </c>
      <c r="U121" s="74" t="n">
        <f aca="false">SQRT(($B121-U$5)^2+($C121-U$6)^2+($D121-U$7)^2)</f>
        <v>3.77557787477056</v>
      </c>
      <c r="V121" s="74" t="n">
        <f aca="false">SQRT(($B121-V$5)^2+($C121-V$6)^2+($D121-V$7)^2)</f>
        <v>3.5921364881294</v>
      </c>
      <c r="W121" s="74" t="n">
        <f aca="false">SQRT(($B121-W$5)^2+($C121-W$6)^2+($D121-W$7)^2)</f>
        <v>3.75625175050432</v>
      </c>
      <c r="X121" s="74" t="n">
        <f aca="false">SQRT(($B121-X$5)^2+($C121-X$6)^2+($D121-X$7)^2)</f>
        <v>3.53007225823085</v>
      </c>
      <c r="Y121" s="74" t="n">
        <f aca="false">SQRT(($B121-Y$5)^2+($C121-Y$6)^2+($D121-Y$7)^2)</f>
        <v>3.64487565168779</v>
      </c>
      <c r="Z121" s="74" t="n">
        <f aca="false">SQRT(($B121-Z$5)^2+($C121-Z$6)^2+($D121-Z$7)^2)</f>
        <v>3.24805099732699</v>
      </c>
      <c r="AA121" s="74" t="n">
        <f aca="false">SQRT(($B121-AA$5)^2+($C121-AA$6)^2+($D121-AA$7)^2)</f>
        <v>3.2213755578704</v>
      </c>
      <c r="AB121" s="74" t="n">
        <f aca="false">SQRT(($B121-AB$5)^2+($C121-AB$6)^2+($D121-AB$7)^2)</f>
        <v>3.16649987575691</v>
      </c>
      <c r="AC121" s="74" t="n">
        <f aca="false">SQRT(($B121-AC$5)^2+($C121-AC$6)^2+($D121-AC$7)^2)</f>
        <v>3.5888201088408</v>
      </c>
      <c r="AD121" s="74" t="n">
        <f aca="false">SQRT(($B121-AD$5)^2+($C121-AD$6)^2+($D121-AD$7)^2)</f>
        <v>3.60071025366629</v>
      </c>
      <c r="AE121" s="74" t="n">
        <f aca="false">SQRT(($B121-AE$5)^2+($C121-AE$6)^2+($D121-AE$7)^2)</f>
        <v>2.21684219622619</v>
      </c>
      <c r="AF121" s="74" t="n">
        <f aca="false">SQRT(($B121-AF$5)^2+($C121-AF$6)^2+($D121-AF$7)^2)</f>
        <v>3.22114015117449</v>
      </c>
      <c r="AG121" s="74" t="n">
        <f aca="false">SQRT(($B121-AG$5)^2+($C121-AG$6)^2+($D121-AG$7)^2)</f>
        <v>2.21502754381688</v>
      </c>
      <c r="AH121" s="74" t="n">
        <f aca="false">SQRT(($B121-AH$5)^2+($C121-AH$6)^2+($D121-AH$7)^2)</f>
        <v>2.95945058245701</v>
      </c>
      <c r="AI121" s="74" t="n">
        <f aca="false">SQRT(($B121-AI$5)^2+($C121-AI$6)^2+($D121-AI$7)^2)</f>
        <v>2.21204857611901</v>
      </c>
      <c r="AJ121" s="74" t="n">
        <f aca="false">SQRT(($B121-AJ$5)^2+($C121-AJ$6)^2+($D121-AJ$7)^2)</f>
        <v>3.30208855375179</v>
      </c>
      <c r="AK121" s="74" t="n">
        <f aca="false">SQRT(($B121-AK$5)^2+($C121-AK$6)^2+($D121-AK$7)^2)</f>
        <v>2.70494414642204</v>
      </c>
      <c r="AL121" s="74" t="n">
        <f aca="false">SQRT(($B121-AL$5)^2+($C121-AL$6)^2+($D121-AL$7)^2)</f>
        <v>2.67005715822098</v>
      </c>
      <c r="AM121" s="74" t="n">
        <f aca="false">SQRT(($B121-AM$5)^2+($C121-AM$6)^2+($D121-AM$7)^2)</f>
        <v>3.2093151277676</v>
      </c>
      <c r="AN121" s="74" t="n">
        <f aca="false">SQRT(($B121-AN$5)^2+($C121-AN$6)^2+($D121-AN$7)^2)</f>
        <v>3.26102506353739</v>
      </c>
      <c r="AO121" s="74" t="n">
        <f aca="false">SQRT(($B121-AO$5)^2+($C121-AO$6)^2+($D121-AO$7)^2)</f>
        <v>2.77756785149657</v>
      </c>
      <c r="AP121" s="74" t="n">
        <f aca="false">SQRT(($B121-AP$5)^2+($C121-AP$6)^2+($D121-AP$7)^2)</f>
        <v>2.72700317614519</v>
      </c>
      <c r="AQ121" s="74" t="n">
        <f aca="false">SQRT(($B121-AQ$5)^2+($C121-AQ$6)^2+($D121-AQ$7)^2)</f>
        <v>3.25590962294331</v>
      </c>
      <c r="AR121" s="74" t="n">
        <f aca="false">SQRT(($B121-AR$5)^2+($C121-AR$6)^2+($D121-AR$7)^2)</f>
        <v>2.33115610971163</v>
      </c>
      <c r="AS121" s="74" t="n">
        <f aca="false">SQRT(($B121-AS$5)^2+($C121-AS$6)^2+($D121-AS$7)^2)</f>
        <v>2.82520330459637</v>
      </c>
      <c r="AT121" s="74" t="n">
        <f aca="false">SQRT(($B121-AT$5)^2+($C121-AT$6)^2+($D121-AT$7)^2)</f>
        <v>2.67144569297507</v>
      </c>
      <c r="AU121" s="74" t="n">
        <f aca="false">SQRT(($B121-AU$5)^2+($C121-AU$6)^2+($D121-AU$7)^2)</f>
        <v>1.91551012983867</v>
      </c>
      <c r="AV121" s="74" t="n">
        <f aca="false">SQRT(($B121-AV$5)^2+($C121-AV$6)^2+($D121-AV$7)^2)</f>
        <v>2.42293647849278</v>
      </c>
      <c r="AW121" s="74" t="n">
        <f aca="false">SQRT(($B121-AW$5)^2+($C121-AW$6)^2+($D121-AW$7)^2)</f>
        <v>1.77584857502609</v>
      </c>
      <c r="AX121" s="74" t="n">
        <f aca="false">SQRT(($B121-AX$5)^2+($C121-AX$6)^2+($D121-AX$7)^2)</f>
        <v>2.46087978509911</v>
      </c>
      <c r="AY121" s="74" t="n">
        <f aca="false">SQRT(($B121-AY$5)^2+($C121-AY$6)^2+($D121-AY$7)^2)</f>
        <v>1.70891872238845</v>
      </c>
      <c r="AZ121" s="74" t="n">
        <f aca="false">SQRT(($B121-AZ$5)^2+($C121-AZ$6)^2+($D121-AZ$7)^2)</f>
        <v>2.76853455247595</v>
      </c>
      <c r="BA121" s="74" t="n">
        <f aca="false">SQRT(($B121-BA$5)^2+($C121-BA$6)^2+($D121-BA$7)^2)</f>
        <v>2.63507421254586</v>
      </c>
      <c r="BB121" s="74" t="n">
        <f aca="false">SQRT(($B121-BB$5)^2+($C121-BB$6)^2+($D121-BB$7)^2)</f>
        <v>1.70237184339211</v>
      </c>
      <c r="BC121" s="74" t="n">
        <f aca="false">SQRT(($B121-BC$5)^2+($C121-BC$6)^2+($D121-BC$7)^2)</f>
        <v>1.69574156242178</v>
      </c>
      <c r="BD121" s="74" t="n">
        <f aca="false">SQRT(($B121-BD$5)^2+($C121-BD$6)^2+($D121-BD$7)^2)</f>
        <v>1.79426809122476</v>
      </c>
      <c r="BE121" s="74" t="n">
        <f aca="false">SQRT(($B121-BE$5)^2+($C121-BE$6)^2+($D121-BE$7)^2)</f>
        <v>1.89020658373939</v>
      </c>
      <c r="BF121" s="74" t="n">
        <f aca="false">SQRT(($B121-BF$5)^2+($C121-BF$6)^2+($D121-BF$7)^2)</f>
        <v>3.25445305367099</v>
      </c>
      <c r="BG121" s="74" t="n">
        <f aca="false">SQRT(($B121-BG$5)^2+($C121-BG$6)^2+($D121-BG$7)^2)</f>
        <v>2.44461598196802</v>
      </c>
      <c r="BH121" s="74" t="n">
        <f aca="false">SQRT(($B121-BH$5)^2+($C121-BH$6)^2+($D121-BH$7)^2)</f>
        <v>1.59277919431306</v>
      </c>
      <c r="BI121" s="74" t="n">
        <f aca="false">SQRT(($B121-BI$5)^2+($C121-BI$6)^2+($D121-BI$7)^2)</f>
        <v>1.57625494874312</v>
      </c>
      <c r="BJ121" s="74" t="n">
        <f aca="false">SQRT(($B121-BJ$5)^2+($C121-BJ$6)^2+($D121-BJ$7)^2)</f>
        <v>2.2724914141333</v>
      </c>
      <c r="BK121" s="74" t="n">
        <f aca="false">SQRT(($B121-BK$5)^2+($C121-BK$6)^2+($D121-BK$7)^2)</f>
        <v>1.68763601051815</v>
      </c>
      <c r="BL121" s="74" t="n">
        <f aca="false">SQRT(($B121-BL$5)^2+($C121-BL$6)^2+($D121-BL$7)^2)</f>
        <v>2.131311071028</v>
      </c>
      <c r="BM121" s="74" t="n">
        <f aca="false">SQRT(($B121-BM$5)^2+($C121-BM$6)^2+($D121-BM$7)^2)</f>
        <v>2.52557579509364</v>
      </c>
      <c r="BN121" s="74" t="n">
        <f aca="false">SQRT(($B121-BN$5)^2+($C121-BN$6)^2+($D121-BN$7)^2)</f>
        <v>2.06180309792967</v>
      </c>
      <c r="BO121" s="74" t="n">
        <f aca="false">SQRT(($B121-BO$5)^2+($C121-BO$6)^2+($D121-BO$7)^2)</f>
        <v>1.47836379313704</v>
      </c>
      <c r="BP121" s="74" t="n">
        <f aca="false">SQRT(($B121-BP$5)^2+($C121-BP$6)^2+($D121-BP$7)^2)</f>
        <v>2.16127352814075</v>
      </c>
      <c r="BQ121" s="74" t="n">
        <f aca="false">SQRT(($B121-BQ$5)^2+($C121-BQ$6)^2+($D121-BQ$7)^2)</f>
        <v>2.13602243763156</v>
      </c>
      <c r="BR121" s="74" t="n">
        <f aca="false">SQRT(($B121-BR$5)^2+($C121-BR$6)^2+($D121-BR$7)^2)</f>
        <v>2.15569176846061</v>
      </c>
      <c r="BS121" s="74" t="n">
        <f aca="false">SQRT(($B121-BS$5)^2+($C121-BS$6)^2+($D121-BS$7)^2)</f>
        <v>2.19542493616015</v>
      </c>
      <c r="BT121" s="74" t="n">
        <f aca="false">SQRT(($B121-BT$5)^2+($C121-BT$6)^2+($D121-BT$7)^2)</f>
        <v>1.8618787329935</v>
      </c>
      <c r="BU121" s="74" t="n">
        <f aca="false">SQRT(($B121-BU$5)^2+($C121-BU$6)^2+($D121-BU$7)^2)</f>
        <v>1.80205814460464</v>
      </c>
      <c r="BV121" s="74" t="n">
        <f aca="false">SQRT(($B121-BV$5)^2+($C121-BV$6)^2+($D121-BV$7)^2)</f>
        <v>1.24803259478866</v>
      </c>
      <c r="BW121" s="74" t="n">
        <f aca="false">SQRT(($B121-BW$5)^2+($C121-BW$6)^2+($D121-BW$7)^2)</f>
        <v>1.88931826315556</v>
      </c>
      <c r="BX121" s="74" t="n">
        <f aca="false">SQRT(($B121-BX$5)^2+($C121-BX$6)^2+($D121-BX$7)^2)</f>
        <v>1.23201686906141</v>
      </c>
      <c r="BY121" s="74" t="n">
        <f aca="false">SQRT(($B121-BY$5)^2+($C121-BY$6)^2+($D121-BY$7)^2)</f>
        <v>1.53777113465862</v>
      </c>
      <c r="BZ121" s="74" t="n">
        <f aca="false">SQRT(($B121-BZ$5)^2+($C121-BZ$6)^2+($D121-BZ$7)^2)</f>
        <v>1.48571169547516</v>
      </c>
      <c r="CA121" s="74" t="n">
        <f aca="false">SQRT(($B121-CA$5)^2+($C121-CA$6)^2+($D121-CA$7)^2)</f>
        <v>1.18078176263371</v>
      </c>
      <c r="CB121" s="74" t="n">
        <f aca="false">SQRT(($B121-CB$5)^2+($C121-CB$6)^2+($D121-CB$7)^2)</f>
        <v>1.47123800468077</v>
      </c>
      <c r="CC121" s="74" t="n">
        <f aca="false">SQRT(($B121-CC$5)^2+($C121-CC$6)^2+($D121-CC$7)^2)</f>
        <v>1.16251778279462</v>
      </c>
      <c r="CD121" s="74" t="n">
        <f aca="false">SQRT(($B121-CD$5)^2+($C121-CD$6)^2+($D121-CD$7)^2)</f>
        <v>1.12394680522495</v>
      </c>
      <c r="CE121" s="74" t="n">
        <f aca="false">SQRT(($B121-CE$5)^2+($C121-CE$6)^2+($D121-CE$7)^2)</f>
        <v>1.62188009875456</v>
      </c>
      <c r="CF121" s="74" t="n">
        <f aca="false">SQRT(($B121-CF$5)^2+($C121-CF$6)^2+($D121-CF$7)^2)</f>
        <v>1.77335956570525</v>
      </c>
      <c r="CG121" s="74" t="n">
        <f aca="false">SQRT(($B121-CG$5)^2+($C121-CG$6)^2+($D121-CG$7)^2)</f>
        <v>1.3812717164409</v>
      </c>
      <c r="CH121" s="74" t="n">
        <f aca="false">SQRT(($B121-CH$5)^2+($C121-CH$6)^2+($D121-CH$7)^2)</f>
        <v>1.27733524462838</v>
      </c>
      <c r="CI121" s="74" t="n">
        <f aca="false">SQRT(($B121-CI$5)^2+($C121-CI$6)^2+($D121-CI$7)^2)</f>
        <v>1.17797280617407</v>
      </c>
      <c r="CJ121" s="74" t="n">
        <f aca="false">SQRT(($B121-CJ$5)^2+($C121-CJ$6)^2+($D121-CJ$7)^2)</f>
        <v>1.01296979731</v>
      </c>
      <c r="CK121" s="74" t="n">
        <f aca="false">SQRT(($B121-CK$5)^2+($C121-CK$6)^2+($D121-CK$7)^2)</f>
        <v>1.43169302248217</v>
      </c>
      <c r="CL121" s="74" t="n">
        <f aca="false">SQRT(($B121-CL$5)^2+($C121-CL$6)^2+($D121-CL$7)^2)</f>
        <v>0.87125454380976</v>
      </c>
      <c r="CM121" s="74" t="n">
        <f aca="false">SQRT(($B121-CM$5)^2+($C121-CM$6)^2+($D121-CM$7)^2)</f>
        <v>1.20351889720861</v>
      </c>
      <c r="CN121" s="74" t="n">
        <f aca="false">SQRT(($B121-CN$5)^2+($C121-CN$6)^2+($D121-CN$7)^2)</f>
        <v>2.01662422352502</v>
      </c>
      <c r="CO121" s="74" t="n">
        <f aca="false">SQRT(($B121-CO$5)^2+($C121-CO$6)^2+($D121-CO$7)^2)</f>
        <v>1.3368959403963</v>
      </c>
      <c r="CP121" s="74" t="n">
        <f aca="false">SQRT(($B121-CP$5)^2+($C121-CP$6)^2+($D121-CP$7)^2)</f>
        <v>0.763184479973301</v>
      </c>
      <c r="CQ121" s="74" t="n">
        <f aca="false">SQRT(($B121-CQ$5)^2+($C121-CQ$6)^2+($D121-CQ$7)^2)</f>
        <v>1.0376963962144</v>
      </c>
      <c r="CR121" s="74" t="n">
        <f aca="false">SQRT(($B121-CR$5)^2+($C121-CR$6)^2+($D121-CR$7)^2)</f>
        <v>1.07082718905525</v>
      </c>
      <c r="CS121" s="74" t="n">
        <f aca="false">SQRT(($B121-CS$5)^2+($C121-CS$6)^2+($D121-CS$7)^2)</f>
        <v>0.676237837591832</v>
      </c>
      <c r="CT121" s="74" t="n">
        <f aca="false">SQRT(($B121-CT$5)^2+($C121-CT$6)^2+($D121-CT$7)^2)</f>
        <v>0.62663174663351</v>
      </c>
      <c r="CU121" s="74" t="n">
        <f aca="false">SQRT(($B121-CU$5)^2+($C121-CU$6)^2+($D121-CU$7)^2)</f>
        <v>0.878727371305581</v>
      </c>
      <c r="CV121" s="74" t="n">
        <f aca="false">SQRT(($B121-CV$5)^2+($C121-CV$6)^2+($D121-CV$7)^2)</f>
        <v>1.54370829762242</v>
      </c>
      <c r="CW121" s="74" t="n">
        <f aca="false">SQRT(($B121-CW$5)^2+($C121-CW$6)^2+($D121-CW$7)^2)</f>
        <v>0.62663174663351</v>
      </c>
      <c r="CX121" s="74" t="n">
        <f aca="false">SQRT(($B121-CX$5)^2+($C121-CX$6)^2+($D121-CX$7)^2)</f>
        <v>1.24965281409685</v>
      </c>
      <c r="CY121" s="74" t="n">
        <f aca="false">SQRT(($B121-CY$5)^2+($C121-CY$6)^2+($D121-CY$7)^2)</f>
        <v>0.571794757196831</v>
      </c>
      <c r="CZ121" s="74" t="n">
        <f aca="false">SQRT(($B121-CZ$5)^2+($C121-CZ$6)^2+($D121-CZ$7)^2)</f>
        <v>0.571794757196831</v>
      </c>
      <c r="DA121" s="74" t="n">
        <f aca="false">SQRT(($B121-DA$5)^2+($C121-DA$6)^2+($D121-DA$7)^2)</f>
        <v>0.860012862258144</v>
      </c>
      <c r="DB121" s="74" t="n">
        <f aca="false">SQRT(($B121-DB$5)^2+($C121-DB$6)^2+($D121-DB$7)^2)</f>
        <v>0.510492218558112</v>
      </c>
      <c r="DC121" s="74" t="n">
        <f aca="false">SQRT(($B121-DC$5)^2+($C121-DC$6)^2+($D121-DC$7)^2)</f>
        <v>0.510492218558112</v>
      </c>
      <c r="DD121" s="74" t="n">
        <f aca="false">SQRT(($B121-DD$5)^2+($C121-DD$6)^2+($D121-DD$7)^2)</f>
        <v>0.720952024936882</v>
      </c>
      <c r="DE121" s="74" t="n">
        <f aca="false">SQRT(($B121-DE$5)^2+($C121-DE$6)^2+($D121-DE$7)^2)</f>
        <v>0.48302968339833</v>
      </c>
      <c r="DF121" s="74" t="n">
        <f aca="false">SQRT(($B121-DF$5)^2+($C121-DF$6)^2+($D121-DF$7)^2)</f>
        <v>0.149729893306465</v>
      </c>
      <c r="DG121" s="74" t="n">
        <f aca="false">SQRT(($B121-DG$5)^2+($C121-DG$6)^2+($D121-DG$7)^2)</f>
        <v>0</v>
      </c>
      <c r="DH121" s="74" t="n">
        <f aca="false">SQRT(($B121-DH$5)^2+($C121-DH$6)^2+($D121-DH$7)^2)</f>
        <v>0</v>
      </c>
      <c r="DI121" s="74" t="n">
        <f aca="false">SQRT(($B121-DI$5)^2+($C121-DI$6)^2+($D121-DI$7)^2)</f>
        <v>0</v>
      </c>
      <c r="DJ121" s="74" t="n">
        <f aca="false">SQRT(($B121-DJ$5)^2+($C121-DJ$6)^2+($D121-DJ$7)^2)</f>
        <v>0</v>
      </c>
      <c r="DK121" s="74" t="n">
        <f aca="false">SQRT(($B121-DK$5)^2+($C121-DK$6)^2+($D121-DK$7)^2)</f>
        <v>0.211032431945183</v>
      </c>
      <c r="DL121" s="74" t="n">
        <f aca="false">SQRT(($B121-DL$5)^2+($C121-DL$6)^2+($D121-DL$7)^2)</f>
        <v>0.211032431945183</v>
      </c>
      <c r="DM121" s="74" t="n">
        <f aca="false">SQRT(($B121-DM$5)^2+($C121-DM$6)^2+($D121-DM$7)^2)</f>
        <v>0.211032431945183</v>
      </c>
      <c r="DN121" s="74" t="n">
        <f aca="false">SQRT(($B121-DN$5)^2+($C121-DN$6)^2+($D121-DN$7)^2)</f>
        <v>0.211032431945183</v>
      </c>
      <c r="DO121" s="74" t="n">
        <f aca="false">SQRT(($B121-DO$5)^2+($C121-DO$6)^2+($D121-DO$7)^2)</f>
        <v>0.211032431945183</v>
      </c>
      <c r="DP121" s="74" t="n">
        <f aca="false">SQRT(($B121-DP$5)^2+($C121-DP$6)^2+($D121-DP$7)^2)</f>
        <v>0.571794757196831</v>
      </c>
      <c r="DQ121" s="74" t="n">
        <f aca="false">SQRT(($B121-DQ$5)^2+($C121-DQ$6)^2+($D121-DQ$7)^2)</f>
        <v>0.571794757196831</v>
      </c>
    </row>
    <row r="122" customFormat="false" ht="15" hidden="false" customHeight="false" outlineLevel="0" collapsed="false">
      <c r="A122" s="48" t="str">
        <f aca="false">KMeans_Data!A113</f>
        <v>Jhang</v>
      </c>
      <c r="B122" s="72" t="n">
        <f aca="false">KMeans_Data!H113</f>
        <v>-1.50794322460649</v>
      </c>
      <c r="C122" s="72" t="n">
        <f aca="false">KMeans_Data!I113</f>
        <v>-0.672650545388274</v>
      </c>
      <c r="D122" s="72" t="n">
        <f aca="false">KMeans_Data!J113</f>
        <v>-1.14564411633355</v>
      </c>
      <c r="E122" s="74" t="n">
        <f aca="false">SQRT(($B122-E$5)^2+($C122-E$6)^2+($D122-E$7)^2)</f>
        <v>8.02581663311103</v>
      </c>
      <c r="F122" s="74" t="n">
        <f aca="false">SQRT(($B122-F$5)^2+($C122-F$6)^2+($D122-F$7)^2)</f>
        <v>7.7847884280926</v>
      </c>
      <c r="G122" s="74" t="n">
        <f aca="false">SQRT(($B122-G$5)^2+($C122-G$6)^2+($D122-G$7)^2)</f>
        <v>6.01450213396371</v>
      </c>
      <c r="H122" s="74" t="n">
        <f aca="false">SQRT(($B122-H$5)^2+($C122-H$6)^2+($D122-H$7)^2)</f>
        <v>6.36682756039909</v>
      </c>
      <c r="I122" s="74" t="n">
        <f aca="false">SQRT(($B122-I$5)^2+($C122-I$6)^2+($D122-I$7)^2)</f>
        <v>5.39559690017231</v>
      </c>
      <c r="J122" s="74" t="n">
        <f aca="false">SQRT(($B122-J$5)^2+($C122-J$6)^2+($D122-J$7)^2)</f>
        <v>4.91367010028874</v>
      </c>
      <c r="K122" s="74" t="n">
        <f aca="false">SQRT(($B122-K$5)^2+($C122-K$6)^2+($D122-K$7)^2)</f>
        <v>2.98414959100483</v>
      </c>
      <c r="L122" s="74" t="n">
        <f aca="false">SQRT(($B122-L$5)^2+($C122-L$6)^2+($D122-L$7)^2)</f>
        <v>4.2493483848774</v>
      </c>
      <c r="M122" s="74" t="n">
        <f aca="false">SQRT(($B122-M$5)^2+($C122-M$6)^2+($D122-M$7)^2)</f>
        <v>4.39091940529748</v>
      </c>
      <c r="N122" s="74" t="n">
        <f aca="false">SQRT(($B122-N$5)^2+($C122-N$6)^2+($D122-N$7)^2)</f>
        <v>2.77863027228069</v>
      </c>
      <c r="O122" s="74" t="n">
        <f aca="false">SQRT(($B122-O$5)^2+($C122-O$6)^2+($D122-O$7)^2)</f>
        <v>4.02341524719881</v>
      </c>
      <c r="P122" s="74" t="n">
        <f aca="false">SQRT(($B122-P$5)^2+($C122-P$6)^2+($D122-P$7)^2)</f>
        <v>4.27196557872407</v>
      </c>
      <c r="Q122" s="74" t="n">
        <f aca="false">SQRT(($B122-Q$5)^2+($C122-Q$6)^2+($D122-Q$7)^2)</f>
        <v>3.77322776534185</v>
      </c>
      <c r="R122" s="74" t="n">
        <f aca="false">SQRT(($B122-R$5)^2+($C122-R$6)^2+($D122-R$7)^2)</f>
        <v>3.79835053358808</v>
      </c>
      <c r="S122" s="74" t="n">
        <f aca="false">SQRT(($B122-S$5)^2+($C122-S$6)^2+($D122-S$7)^2)</f>
        <v>3.45733038416592</v>
      </c>
      <c r="T122" s="74" t="n">
        <f aca="false">SQRT(($B122-T$5)^2+($C122-T$6)^2+($D122-T$7)^2)</f>
        <v>3.67602032402864</v>
      </c>
      <c r="U122" s="74" t="n">
        <f aca="false">SQRT(($B122-U$5)^2+($C122-U$6)^2+($D122-U$7)^2)</f>
        <v>3.77557787477056</v>
      </c>
      <c r="V122" s="74" t="n">
        <f aca="false">SQRT(($B122-V$5)^2+($C122-V$6)^2+($D122-V$7)^2)</f>
        <v>3.5921364881294</v>
      </c>
      <c r="W122" s="74" t="n">
        <f aca="false">SQRT(($B122-W$5)^2+($C122-W$6)^2+($D122-W$7)^2)</f>
        <v>3.75625175050432</v>
      </c>
      <c r="X122" s="74" t="n">
        <f aca="false">SQRT(($B122-X$5)^2+($C122-X$6)^2+($D122-X$7)^2)</f>
        <v>3.53007225823085</v>
      </c>
      <c r="Y122" s="74" t="n">
        <f aca="false">SQRT(($B122-Y$5)^2+($C122-Y$6)^2+($D122-Y$7)^2)</f>
        <v>3.64487565168779</v>
      </c>
      <c r="Z122" s="74" t="n">
        <f aca="false">SQRT(($B122-Z$5)^2+($C122-Z$6)^2+($D122-Z$7)^2)</f>
        <v>3.24805099732699</v>
      </c>
      <c r="AA122" s="74" t="n">
        <f aca="false">SQRT(($B122-AA$5)^2+($C122-AA$6)^2+($D122-AA$7)^2)</f>
        <v>3.2213755578704</v>
      </c>
      <c r="AB122" s="74" t="n">
        <f aca="false">SQRT(($B122-AB$5)^2+($C122-AB$6)^2+($D122-AB$7)^2)</f>
        <v>3.16649987575691</v>
      </c>
      <c r="AC122" s="74" t="n">
        <f aca="false">SQRT(($B122-AC$5)^2+($C122-AC$6)^2+($D122-AC$7)^2)</f>
        <v>3.5888201088408</v>
      </c>
      <c r="AD122" s="74" t="n">
        <f aca="false">SQRT(($B122-AD$5)^2+($C122-AD$6)^2+($D122-AD$7)^2)</f>
        <v>3.60071025366629</v>
      </c>
      <c r="AE122" s="74" t="n">
        <f aca="false">SQRT(($B122-AE$5)^2+($C122-AE$6)^2+($D122-AE$7)^2)</f>
        <v>2.21684219622619</v>
      </c>
      <c r="AF122" s="74" t="n">
        <f aca="false">SQRT(($B122-AF$5)^2+($C122-AF$6)^2+($D122-AF$7)^2)</f>
        <v>3.22114015117449</v>
      </c>
      <c r="AG122" s="74" t="n">
        <f aca="false">SQRT(($B122-AG$5)^2+($C122-AG$6)^2+($D122-AG$7)^2)</f>
        <v>2.21502754381688</v>
      </c>
      <c r="AH122" s="74" t="n">
        <f aca="false">SQRT(($B122-AH$5)^2+($C122-AH$6)^2+($D122-AH$7)^2)</f>
        <v>2.95945058245701</v>
      </c>
      <c r="AI122" s="74" t="n">
        <f aca="false">SQRT(($B122-AI$5)^2+($C122-AI$6)^2+($D122-AI$7)^2)</f>
        <v>2.21204857611901</v>
      </c>
      <c r="AJ122" s="74" t="n">
        <f aca="false">SQRT(($B122-AJ$5)^2+($C122-AJ$6)^2+($D122-AJ$7)^2)</f>
        <v>3.30208855375179</v>
      </c>
      <c r="AK122" s="74" t="n">
        <f aca="false">SQRT(($B122-AK$5)^2+($C122-AK$6)^2+($D122-AK$7)^2)</f>
        <v>2.70494414642204</v>
      </c>
      <c r="AL122" s="74" t="n">
        <f aca="false">SQRT(($B122-AL$5)^2+($C122-AL$6)^2+($D122-AL$7)^2)</f>
        <v>2.67005715822098</v>
      </c>
      <c r="AM122" s="74" t="n">
        <f aca="false">SQRT(($B122-AM$5)^2+($C122-AM$6)^2+($D122-AM$7)^2)</f>
        <v>3.2093151277676</v>
      </c>
      <c r="AN122" s="74" t="n">
        <f aca="false">SQRT(($B122-AN$5)^2+($C122-AN$6)^2+($D122-AN$7)^2)</f>
        <v>3.26102506353739</v>
      </c>
      <c r="AO122" s="74" t="n">
        <f aca="false">SQRT(($B122-AO$5)^2+($C122-AO$6)^2+($D122-AO$7)^2)</f>
        <v>2.77756785149657</v>
      </c>
      <c r="AP122" s="74" t="n">
        <f aca="false">SQRT(($B122-AP$5)^2+($C122-AP$6)^2+($D122-AP$7)^2)</f>
        <v>2.72700317614519</v>
      </c>
      <c r="AQ122" s="74" t="n">
        <f aca="false">SQRT(($B122-AQ$5)^2+($C122-AQ$6)^2+($D122-AQ$7)^2)</f>
        <v>3.25590962294331</v>
      </c>
      <c r="AR122" s="74" t="n">
        <f aca="false">SQRT(($B122-AR$5)^2+($C122-AR$6)^2+($D122-AR$7)^2)</f>
        <v>2.33115610971163</v>
      </c>
      <c r="AS122" s="74" t="n">
        <f aca="false">SQRT(($B122-AS$5)^2+($C122-AS$6)^2+($D122-AS$7)^2)</f>
        <v>2.82520330459637</v>
      </c>
      <c r="AT122" s="74" t="n">
        <f aca="false">SQRT(($B122-AT$5)^2+($C122-AT$6)^2+($D122-AT$7)^2)</f>
        <v>2.67144569297507</v>
      </c>
      <c r="AU122" s="74" t="n">
        <f aca="false">SQRT(($B122-AU$5)^2+($C122-AU$6)^2+($D122-AU$7)^2)</f>
        <v>1.91551012983867</v>
      </c>
      <c r="AV122" s="74" t="n">
        <f aca="false">SQRT(($B122-AV$5)^2+($C122-AV$6)^2+($D122-AV$7)^2)</f>
        <v>2.42293647849278</v>
      </c>
      <c r="AW122" s="74" t="n">
        <f aca="false">SQRT(($B122-AW$5)^2+($C122-AW$6)^2+($D122-AW$7)^2)</f>
        <v>1.77584857502609</v>
      </c>
      <c r="AX122" s="74" t="n">
        <f aca="false">SQRT(($B122-AX$5)^2+($C122-AX$6)^2+($D122-AX$7)^2)</f>
        <v>2.46087978509911</v>
      </c>
      <c r="AY122" s="74" t="n">
        <f aca="false">SQRT(($B122-AY$5)^2+($C122-AY$6)^2+($D122-AY$7)^2)</f>
        <v>1.70891872238845</v>
      </c>
      <c r="AZ122" s="74" t="n">
        <f aca="false">SQRT(($B122-AZ$5)^2+($C122-AZ$6)^2+($D122-AZ$7)^2)</f>
        <v>2.76853455247595</v>
      </c>
      <c r="BA122" s="74" t="n">
        <f aca="false">SQRT(($B122-BA$5)^2+($C122-BA$6)^2+($D122-BA$7)^2)</f>
        <v>2.63507421254586</v>
      </c>
      <c r="BB122" s="74" t="n">
        <f aca="false">SQRT(($B122-BB$5)^2+($C122-BB$6)^2+($D122-BB$7)^2)</f>
        <v>1.70237184339211</v>
      </c>
      <c r="BC122" s="74" t="n">
        <f aca="false">SQRT(($B122-BC$5)^2+($C122-BC$6)^2+($D122-BC$7)^2)</f>
        <v>1.69574156242178</v>
      </c>
      <c r="BD122" s="74" t="n">
        <f aca="false">SQRT(($B122-BD$5)^2+($C122-BD$6)^2+($D122-BD$7)^2)</f>
        <v>1.79426809122476</v>
      </c>
      <c r="BE122" s="74" t="n">
        <f aca="false">SQRT(($B122-BE$5)^2+($C122-BE$6)^2+($D122-BE$7)^2)</f>
        <v>1.89020658373939</v>
      </c>
      <c r="BF122" s="74" t="n">
        <f aca="false">SQRT(($B122-BF$5)^2+($C122-BF$6)^2+($D122-BF$7)^2)</f>
        <v>3.25445305367099</v>
      </c>
      <c r="BG122" s="74" t="n">
        <f aca="false">SQRT(($B122-BG$5)^2+($C122-BG$6)^2+($D122-BG$7)^2)</f>
        <v>2.44461598196802</v>
      </c>
      <c r="BH122" s="74" t="n">
        <f aca="false">SQRT(($B122-BH$5)^2+($C122-BH$6)^2+($D122-BH$7)^2)</f>
        <v>1.59277919431306</v>
      </c>
      <c r="BI122" s="74" t="n">
        <f aca="false">SQRT(($B122-BI$5)^2+($C122-BI$6)^2+($D122-BI$7)^2)</f>
        <v>1.57625494874312</v>
      </c>
      <c r="BJ122" s="74" t="n">
        <f aca="false">SQRT(($B122-BJ$5)^2+($C122-BJ$6)^2+($D122-BJ$7)^2)</f>
        <v>2.2724914141333</v>
      </c>
      <c r="BK122" s="74" t="n">
        <f aca="false">SQRT(($B122-BK$5)^2+($C122-BK$6)^2+($D122-BK$7)^2)</f>
        <v>1.68763601051815</v>
      </c>
      <c r="BL122" s="74" t="n">
        <f aca="false">SQRT(($B122-BL$5)^2+($C122-BL$6)^2+($D122-BL$7)^2)</f>
        <v>2.131311071028</v>
      </c>
      <c r="BM122" s="74" t="n">
        <f aca="false">SQRT(($B122-BM$5)^2+($C122-BM$6)^2+($D122-BM$7)^2)</f>
        <v>2.52557579509364</v>
      </c>
      <c r="BN122" s="74" t="n">
        <f aca="false">SQRT(($B122-BN$5)^2+($C122-BN$6)^2+($D122-BN$7)^2)</f>
        <v>2.06180309792967</v>
      </c>
      <c r="BO122" s="74" t="n">
        <f aca="false">SQRT(($B122-BO$5)^2+($C122-BO$6)^2+($D122-BO$7)^2)</f>
        <v>1.47836379313704</v>
      </c>
      <c r="BP122" s="74" t="n">
        <f aca="false">SQRT(($B122-BP$5)^2+($C122-BP$6)^2+($D122-BP$7)^2)</f>
        <v>2.16127352814075</v>
      </c>
      <c r="BQ122" s="74" t="n">
        <f aca="false">SQRT(($B122-BQ$5)^2+($C122-BQ$6)^2+($D122-BQ$7)^2)</f>
        <v>2.13602243763156</v>
      </c>
      <c r="BR122" s="74" t="n">
        <f aca="false">SQRT(($B122-BR$5)^2+($C122-BR$6)^2+($D122-BR$7)^2)</f>
        <v>2.15569176846061</v>
      </c>
      <c r="BS122" s="74" t="n">
        <f aca="false">SQRT(($B122-BS$5)^2+($C122-BS$6)^2+($D122-BS$7)^2)</f>
        <v>2.19542493616015</v>
      </c>
      <c r="BT122" s="74" t="n">
        <f aca="false">SQRT(($B122-BT$5)^2+($C122-BT$6)^2+($D122-BT$7)^2)</f>
        <v>1.8618787329935</v>
      </c>
      <c r="BU122" s="74" t="n">
        <f aca="false">SQRT(($B122-BU$5)^2+($C122-BU$6)^2+($D122-BU$7)^2)</f>
        <v>1.80205814460464</v>
      </c>
      <c r="BV122" s="74" t="n">
        <f aca="false">SQRT(($B122-BV$5)^2+($C122-BV$6)^2+($D122-BV$7)^2)</f>
        <v>1.24803259478866</v>
      </c>
      <c r="BW122" s="74" t="n">
        <f aca="false">SQRT(($B122-BW$5)^2+($C122-BW$6)^2+($D122-BW$7)^2)</f>
        <v>1.88931826315556</v>
      </c>
      <c r="BX122" s="74" t="n">
        <f aca="false">SQRT(($B122-BX$5)^2+($C122-BX$6)^2+($D122-BX$7)^2)</f>
        <v>1.23201686906141</v>
      </c>
      <c r="BY122" s="74" t="n">
        <f aca="false">SQRT(($B122-BY$5)^2+($C122-BY$6)^2+($D122-BY$7)^2)</f>
        <v>1.53777113465862</v>
      </c>
      <c r="BZ122" s="74" t="n">
        <f aca="false">SQRT(($B122-BZ$5)^2+($C122-BZ$6)^2+($D122-BZ$7)^2)</f>
        <v>1.48571169547516</v>
      </c>
      <c r="CA122" s="74" t="n">
        <f aca="false">SQRT(($B122-CA$5)^2+($C122-CA$6)^2+($D122-CA$7)^2)</f>
        <v>1.18078176263371</v>
      </c>
      <c r="CB122" s="74" t="n">
        <f aca="false">SQRT(($B122-CB$5)^2+($C122-CB$6)^2+($D122-CB$7)^2)</f>
        <v>1.47123800468077</v>
      </c>
      <c r="CC122" s="74" t="n">
        <f aca="false">SQRT(($B122-CC$5)^2+($C122-CC$6)^2+($D122-CC$7)^2)</f>
        <v>1.16251778279462</v>
      </c>
      <c r="CD122" s="74" t="n">
        <f aca="false">SQRT(($B122-CD$5)^2+($C122-CD$6)^2+($D122-CD$7)^2)</f>
        <v>1.12394680522495</v>
      </c>
      <c r="CE122" s="74" t="n">
        <f aca="false">SQRT(($B122-CE$5)^2+($C122-CE$6)^2+($D122-CE$7)^2)</f>
        <v>1.62188009875456</v>
      </c>
      <c r="CF122" s="74" t="n">
        <f aca="false">SQRT(($B122-CF$5)^2+($C122-CF$6)^2+($D122-CF$7)^2)</f>
        <v>1.77335956570525</v>
      </c>
      <c r="CG122" s="74" t="n">
        <f aca="false">SQRT(($B122-CG$5)^2+($C122-CG$6)^2+($D122-CG$7)^2)</f>
        <v>1.3812717164409</v>
      </c>
      <c r="CH122" s="74" t="n">
        <f aca="false">SQRT(($B122-CH$5)^2+($C122-CH$6)^2+($D122-CH$7)^2)</f>
        <v>1.27733524462838</v>
      </c>
      <c r="CI122" s="74" t="n">
        <f aca="false">SQRT(($B122-CI$5)^2+($C122-CI$6)^2+($D122-CI$7)^2)</f>
        <v>1.17797280617407</v>
      </c>
      <c r="CJ122" s="74" t="n">
        <f aca="false">SQRT(($B122-CJ$5)^2+($C122-CJ$6)^2+($D122-CJ$7)^2)</f>
        <v>1.01296979731</v>
      </c>
      <c r="CK122" s="74" t="n">
        <f aca="false">SQRT(($B122-CK$5)^2+($C122-CK$6)^2+($D122-CK$7)^2)</f>
        <v>1.43169302248217</v>
      </c>
      <c r="CL122" s="74" t="n">
        <f aca="false">SQRT(($B122-CL$5)^2+($C122-CL$6)^2+($D122-CL$7)^2)</f>
        <v>0.87125454380976</v>
      </c>
      <c r="CM122" s="74" t="n">
        <f aca="false">SQRT(($B122-CM$5)^2+($C122-CM$6)^2+($D122-CM$7)^2)</f>
        <v>1.20351889720861</v>
      </c>
      <c r="CN122" s="74" t="n">
        <f aca="false">SQRT(($B122-CN$5)^2+($C122-CN$6)^2+($D122-CN$7)^2)</f>
        <v>2.01662422352502</v>
      </c>
      <c r="CO122" s="74" t="n">
        <f aca="false">SQRT(($B122-CO$5)^2+($C122-CO$6)^2+($D122-CO$7)^2)</f>
        <v>1.3368959403963</v>
      </c>
      <c r="CP122" s="74" t="n">
        <f aca="false">SQRT(($B122-CP$5)^2+($C122-CP$6)^2+($D122-CP$7)^2)</f>
        <v>0.763184479973301</v>
      </c>
      <c r="CQ122" s="74" t="n">
        <f aca="false">SQRT(($B122-CQ$5)^2+($C122-CQ$6)^2+($D122-CQ$7)^2)</f>
        <v>1.0376963962144</v>
      </c>
      <c r="CR122" s="74" t="n">
        <f aca="false">SQRT(($B122-CR$5)^2+($C122-CR$6)^2+($D122-CR$7)^2)</f>
        <v>1.07082718905525</v>
      </c>
      <c r="CS122" s="74" t="n">
        <f aca="false">SQRT(($B122-CS$5)^2+($C122-CS$6)^2+($D122-CS$7)^2)</f>
        <v>0.676237837591832</v>
      </c>
      <c r="CT122" s="74" t="n">
        <f aca="false">SQRT(($B122-CT$5)^2+($C122-CT$6)^2+($D122-CT$7)^2)</f>
        <v>0.62663174663351</v>
      </c>
      <c r="CU122" s="74" t="n">
        <f aca="false">SQRT(($B122-CU$5)^2+($C122-CU$6)^2+($D122-CU$7)^2)</f>
        <v>0.878727371305581</v>
      </c>
      <c r="CV122" s="74" t="n">
        <f aca="false">SQRT(($B122-CV$5)^2+($C122-CV$6)^2+($D122-CV$7)^2)</f>
        <v>1.54370829762242</v>
      </c>
      <c r="CW122" s="74" t="n">
        <f aca="false">SQRT(($B122-CW$5)^2+($C122-CW$6)^2+($D122-CW$7)^2)</f>
        <v>0.62663174663351</v>
      </c>
      <c r="CX122" s="74" t="n">
        <f aca="false">SQRT(($B122-CX$5)^2+($C122-CX$6)^2+($D122-CX$7)^2)</f>
        <v>1.24965281409685</v>
      </c>
      <c r="CY122" s="74" t="n">
        <f aca="false">SQRT(($B122-CY$5)^2+($C122-CY$6)^2+($D122-CY$7)^2)</f>
        <v>0.571794757196831</v>
      </c>
      <c r="CZ122" s="74" t="n">
        <f aca="false">SQRT(($B122-CZ$5)^2+($C122-CZ$6)^2+($D122-CZ$7)^2)</f>
        <v>0.571794757196831</v>
      </c>
      <c r="DA122" s="74" t="n">
        <f aca="false">SQRT(($B122-DA$5)^2+($C122-DA$6)^2+($D122-DA$7)^2)</f>
        <v>0.860012862258144</v>
      </c>
      <c r="DB122" s="74" t="n">
        <f aca="false">SQRT(($B122-DB$5)^2+($C122-DB$6)^2+($D122-DB$7)^2)</f>
        <v>0.510492218558112</v>
      </c>
      <c r="DC122" s="74" t="n">
        <f aca="false">SQRT(($B122-DC$5)^2+($C122-DC$6)^2+($D122-DC$7)^2)</f>
        <v>0.510492218558112</v>
      </c>
      <c r="DD122" s="74" t="n">
        <f aca="false">SQRT(($B122-DD$5)^2+($C122-DD$6)^2+($D122-DD$7)^2)</f>
        <v>0.720952024936882</v>
      </c>
      <c r="DE122" s="74" t="n">
        <f aca="false">SQRT(($B122-DE$5)^2+($C122-DE$6)^2+($D122-DE$7)^2)</f>
        <v>0.48302968339833</v>
      </c>
      <c r="DF122" s="74" t="n">
        <f aca="false">SQRT(($B122-DF$5)^2+($C122-DF$6)^2+($D122-DF$7)^2)</f>
        <v>0.149729893306465</v>
      </c>
      <c r="DG122" s="74" t="n">
        <f aca="false">SQRT(($B122-DG$5)^2+($C122-DG$6)^2+($D122-DG$7)^2)</f>
        <v>0</v>
      </c>
      <c r="DH122" s="74" t="n">
        <f aca="false">SQRT(($B122-DH$5)^2+($C122-DH$6)^2+($D122-DH$7)^2)</f>
        <v>0</v>
      </c>
      <c r="DI122" s="74" t="n">
        <f aca="false">SQRT(($B122-DI$5)^2+($C122-DI$6)^2+($D122-DI$7)^2)</f>
        <v>0</v>
      </c>
      <c r="DJ122" s="74" t="n">
        <f aca="false">SQRT(($B122-DJ$5)^2+($C122-DJ$6)^2+($D122-DJ$7)^2)</f>
        <v>0</v>
      </c>
      <c r="DK122" s="74" t="n">
        <f aca="false">SQRT(($B122-DK$5)^2+($C122-DK$6)^2+($D122-DK$7)^2)</f>
        <v>0.211032431945183</v>
      </c>
      <c r="DL122" s="74" t="n">
        <f aca="false">SQRT(($B122-DL$5)^2+($C122-DL$6)^2+($D122-DL$7)^2)</f>
        <v>0.211032431945183</v>
      </c>
      <c r="DM122" s="74" t="n">
        <f aca="false">SQRT(($B122-DM$5)^2+($C122-DM$6)^2+($D122-DM$7)^2)</f>
        <v>0.211032431945183</v>
      </c>
      <c r="DN122" s="74" t="n">
        <f aca="false">SQRT(($B122-DN$5)^2+($C122-DN$6)^2+($D122-DN$7)^2)</f>
        <v>0.211032431945183</v>
      </c>
      <c r="DO122" s="74" t="n">
        <f aca="false">SQRT(($B122-DO$5)^2+($C122-DO$6)^2+($D122-DO$7)^2)</f>
        <v>0.211032431945183</v>
      </c>
      <c r="DP122" s="74" t="n">
        <f aca="false">SQRT(($B122-DP$5)^2+($C122-DP$6)^2+($D122-DP$7)^2)</f>
        <v>0.571794757196831</v>
      </c>
      <c r="DQ122" s="74" t="n">
        <f aca="false">SQRT(($B122-DQ$5)^2+($C122-DQ$6)^2+($D122-DQ$7)^2)</f>
        <v>0.571794757196831</v>
      </c>
    </row>
    <row r="123" customFormat="false" ht="15" hidden="false" customHeight="false" outlineLevel="0" collapsed="false">
      <c r="A123" s="48" t="str">
        <f aca="false">KMeans_Data!A114</f>
        <v>Tor Ghar</v>
      </c>
      <c r="B123" s="72" t="n">
        <f aca="false">KMeans_Data!H114</f>
        <v>-1.50794322460649</v>
      </c>
      <c r="C123" s="72" t="n">
        <f aca="false">KMeans_Data!I114</f>
        <v>-0.672650545388274</v>
      </c>
      <c r="D123" s="72" t="n">
        <f aca="false">KMeans_Data!J114</f>
        <v>-1.14564411633355</v>
      </c>
      <c r="E123" s="74" t="n">
        <f aca="false">SQRT(($B123-E$5)^2+($C123-E$6)^2+($D123-E$7)^2)</f>
        <v>8.02581663311103</v>
      </c>
      <c r="F123" s="74" t="n">
        <f aca="false">SQRT(($B123-F$5)^2+($C123-F$6)^2+($D123-F$7)^2)</f>
        <v>7.7847884280926</v>
      </c>
      <c r="G123" s="74" t="n">
        <f aca="false">SQRT(($B123-G$5)^2+($C123-G$6)^2+($D123-G$7)^2)</f>
        <v>6.01450213396371</v>
      </c>
      <c r="H123" s="74" t="n">
        <f aca="false">SQRT(($B123-H$5)^2+($C123-H$6)^2+($D123-H$7)^2)</f>
        <v>6.36682756039909</v>
      </c>
      <c r="I123" s="74" t="n">
        <f aca="false">SQRT(($B123-I$5)^2+($C123-I$6)^2+($D123-I$7)^2)</f>
        <v>5.39559690017231</v>
      </c>
      <c r="J123" s="74" t="n">
        <f aca="false">SQRT(($B123-J$5)^2+($C123-J$6)^2+($D123-J$7)^2)</f>
        <v>4.91367010028874</v>
      </c>
      <c r="K123" s="74" t="n">
        <f aca="false">SQRT(($B123-K$5)^2+($C123-K$6)^2+($D123-K$7)^2)</f>
        <v>2.98414959100483</v>
      </c>
      <c r="L123" s="74" t="n">
        <f aca="false">SQRT(($B123-L$5)^2+($C123-L$6)^2+($D123-L$7)^2)</f>
        <v>4.2493483848774</v>
      </c>
      <c r="M123" s="74" t="n">
        <f aca="false">SQRT(($B123-M$5)^2+($C123-M$6)^2+($D123-M$7)^2)</f>
        <v>4.39091940529748</v>
      </c>
      <c r="N123" s="74" t="n">
        <f aca="false">SQRT(($B123-N$5)^2+($C123-N$6)^2+($D123-N$7)^2)</f>
        <v>2.77863027228069</v>
      </c>
      <c r="O123" s="74" t="n">
        <f aca="false">SQRT(($B123-O$5)^2+($C123-O$6)^2+($D123-O$7)^2)</f>
        <v>4.02341524719881</v>
      </c>
      <c r="P123" s="74" t="n">
        <f aca="false">SQRT(($B123-P$5)^2+($C123-P$6)^2+($D123-P$7)^2)</f>
        <v>4.27196557872407</v>
      </c>
      <c r="Q123" s="74" t="n">
        <f aca="false">SQRT(($B123-Q$5)^2+($C123-Q$6)^2+($D123-Q$7)^2)</f>
        <v>3.77322776534185</v>
      </c>
      <c r="R123" s="74" t="n">
        <f aca="false">SQRT(($B123-R$5)^2+($C123-R$6)^2+($D123-R$7)^2)</f>
        <v>3.79835053358808</v>
      </c>
      <c r="S123" s="74" t="n">
        <f aca="false">SQRT(($B123-S$5)^2+($C123-S$6)^2+($D123-S$7)^2)</f>
        <v>3.45733038416592</v>
      </c>
      <c r="T123" s="74" t="n">
        <f aca="false">SQRT(($B123-T$5)^2+($C123-T$6)^2+($D123-T$7)^2)</f>
        <v>3.67602032402864</v>
      </c>
      <c r="U123" s="74" t="n">
        <f aca="false">SQRT(($B123-U$5)^2+($C123-U$6)^2+($D123-U$7)^2)</f>
        <v>3.77557787477056</v>
      </c>
      <c r="V123" s="74" t="n">
        <f aca="false">SQRT(($B123-V$5)^2+($C123-V$6)^2+($D123-V$7)^2)</f>
        <v>3.5921364881294</v>
      </c>
      <c r="W123" s="74" t="n">
        <f aca="false">SQRT(($B123-W$5)^2+($C123-W$6)^2+($D123-W$7)^2)</f>
        <v>3.75625175050432</v>
      </c>
      <c r="X123" s="74" t="n">
        <f aca="false">SQRT(($B123-X$5)^2+($C123-X$6)^2+($D123-X$7)^2)</f>
        <v>3.53007225823085</v>
      </c>
      <c r="Y123" s="74" t="n">
        <f aca="false">SQRT(($B123-Y$5)^2+($C123-Y$6)^2+($D123-Y$7)^2)</f>
        <v>3.64487565168779</v>
      </c>
      <c r="Z123" s="74" t="n">
        <f aca="false">SQRT(($B123-Z$5)^2+($C123-Z$6)^2+($D123-Z$7)^2)</f>
        <v>3.24805099732699</v>
      </c>
      <c r="AA123" s="74" t="n">
        <f aca="false">SQRT(($B123-AA$5)^2+($C123-AA$6)^2+($D123-AA$7)^2)</f>
        <v>3.2213755578704</v>
      </c>
      <c r="AB123" s="74" t="n">
        <f aca="false">SQRT(($B123-AB$5)^2+($C123-AB$6)^2+($D123-AB$7)^2)</f>
        <v>3.16649987575691</v>
      </c>
      <c r="AC123" s="74" t="n">
        <f aca="false">SQRT(($B123-AC$5)^2+($C123-AC$6)^2+($D123-AC$7)^2)</f>
        <v>3.5888201088408</v>
      </c>
      <c r="AD123" s="74" t="n">
        <f aca="false">SQRT(($B123-AD$5)^2+($C123-AD$6)^2+($D123-AD$7)^2)</f>
        <v>3.60071025366629</v>
      </c>
      <c r="AE123" s="74" t="n">
        <f aca="false">SQRT(($B123-AE$5)^2+($C123-AE$6)^2+($D123-AE$7)^2)</f>
        <v>2.21684219622619</v>
      </c>
      <c r="AF123" s="74" t="n">
        <f aca="false">SQRT(($B123-AF$5)^2+($C123-AF$6)^2+($D123-AF$7)^2)</f>
        <v>3.22114015117449</v>
      </c>
      <c r="AG123" s="74" t="n">
        <f aca="false">SQRT(($B123-AG$5)^2+($C123-AG$6)^2+($D123-AG$7)^2)</f>
        <v>2.21502754381688</v>
      </c>
      <c r="AH123" s="74" t="n">
        <f aca="false">SQRT(($B123-AH$5)^2+($C123-AH$6)^2+($D123-AH$7)^2)</f>
        <v>2.95945058245701</v>
      </c>
      <c r="AI123" s="74" t="n">
        <f aca="false">SQRT(($B123-AI$5)^2+($C123-AI$6)^2+($D123-AI$7)^2)</f>
        <v>2.21204857611901</v>
      </c>
      <c r="AJ123" s="74" t="n">
        <f aca="false">SQRT(($B123-AJ$5)^2+($C123-AJ$6)^2+($D123-AJ$7)^2)</f>
        <v>3.30208855375179</v>
      </c>
      <c r="AK123" s="74" t="n">
        <f aca="false">SQRT(($B123-AK$5)^2+($C123-AK$6)^2+($D123-AK$7)^2)</f>
        <v>2.70494414642204</v>
      </c>
      <c r="AL123" s="74" t="n">
        <f aca="false">SQRT(($B123-AL$5)^2+($C123-AL$6)^2+($D123-AL$7)^2)</f>
        <v>2.67005715822098</v>
      </c>
      <c r="AM123" s="74" t="n">
        <f aca="false">SQRT(($B123-AM$5)^2+($C123-AM$6)^2+($D123-AM$7)^2)</f>
        <v>3.2093151277676</v>
      </c>
      <c r="AN123" s="74" t="n">
        <f aca="false">SQRT(($B123-AN$5)^2+($C123-AN$6)^2+($D123-AN$7)^2)</f>
        <v>3.26102506353739</v>
      </c>
      <c r="AO123" s="74" t="n">
        <f aca="false">SQRT(($B123-AO$5)^2+($C123-AO$6)^2+($D123-AO$7)^2)</f>
        <v>2.77756785149657</v>
      </c>
      <c r="AP123" s="74" t="n">
        <f aca="false">SQRT(($B123-AP$5)^2+($C123-AP$6)^2+($D123-AP$7)^2)</f>
        <v>2.72700317614519</v>
      </c>
      <c r="AQ123" s="74" t="n">
        <f aca="false">SQRT(($B123-AQ$5)^2+($C123-AQ$6)^2+($D123-AQ$7)^2)</f>
        <v>3.25590962294331</v>
      </c>
      <c r="AR123" s="74" t="n">
        <f aca="false">SQRT(($B123-AR$5)^2+($C123-AR$6)^2+($D123-AR$7)^2)</f>
        <v>2.33115610971163</v>
      </c>
      <c r="AS123" s="74" t="n">
        <f aca="false">SQRT(($B123-AS$5)^2+($C123-AS$6)^2+($D123-AS$7)^2)</f>
        <v>2.82520330459637</v>
      </c>
      <c r="AT123" s="74" t="n">
        <f aca="false">SQRT(($B123-AT$5)^2+($C123-AT$6)^2+($D123-AT$7)^2)</f>
        <v>2.67144569297507</v>
      </c>
      <c r="AU123" s="74" t="n">
        <f aca="false">SQRT(($B123-AU$5)^2+($C123-AU$6)^2+($D123-AU$7)^2)</f>
        <v>1.91551012983867</v>
      </c>
      <c r="AV123" s="74" t="n">
        <f aca="false">SQRT(($B123-AV$5)^2+($C123-AV$6)^2+($D123-AV$7)^2)</f>
        <v>2.42293647849278</v>
      </c>
      <c r="AW123" s="74" t="n">
        <f aca="false">SQRT(($B123-AW$5)^2+($C123-AW$6)^2+($D123-AW$7)^2)</f>
        <v>1.77584857502609</v>
      </c>
      <c r="AX123" s="74" t="n">
        <f aca="false">SQRT(($B123-AX$5)^2+($C123-AX$6)^2+($D123-AX$7)^2)</f>
        <v>2.46087978509911</v>
      </c>
      <c r="AY123" s="74" t="n">
        <f aca="false">SQRT(($B123-AY$5)^2+($C123-AY$6)^2+($D123-AY$7)^2)</f>
        <v>1.70891872238845</v>
      </c>
      <c r="AZ123" s="74" t="n">
        <f aca="false">SQRT(($B123-AZ$5)^2+($C123-AZ$6)^2+($D123-AZ$7)^2)</f>
        <v>2.76853455247595</v>
      </c>
      <c r="BA123" s="74" t="n">
        <f aca="false">SQRT(($B123-BA$5)^2+($C123-BA$6)^2+($D123-BA$7)^2)</f>
        <v>2.63507421254586</v>
      </c>
      <c r="BB123" s="74" t="n">
        <f aca="false">SQRT(($B123-BB$5)^2+($C123-BB$6)^2+($D123-BB$7)^2)</f>
        <v>1.70237184339211</v>
      </c>
      <c r="BC123" s="74" t="n">
        <f aca="false">SQRT(($B123-BC$5)^2+($C123-BC$6)^2+($D123-BC$7)^2)</f>
        <v>1.69574156242178</v>
      </c>
      <c r="BD123" s="74" t="n">
        <f aca="false">SQRT(($B123-BD$5)^2+($C123-BD$6)^2+($D123-BD$7)^2)</f>
        <v>1.79426809122476</v>
      </c>
      <c r="BE123" s="74" t="n">
        <f aca="false">SQRT(($B123-BE$5)^2+($C123-BE$6)^2+($D123-BE$7)^2)</f>
        <v>1.89020658373939</v>
      </c>
      <c r="BF123" s="74" t="n">
        <f aca="false">SQRT(($B123-BF$5)^2+($C123-BF$6)^2+($D123-BF$7)^2)</f>
        <v>3.25445305367099</v>
      </c>
      <c r="BG123" s="74" t="n">
        <f aca="false">SQRT(($B123-BG$5)^2+($C123-BG$6)^2+($D123-BG$7)^2)</f>
        <v>2.44461598196802</v>
      </c>
      <c r="BH123" s="74" t="n">
        <f aca="false">SQRT(($B123-BH$5)^2+($C123-BH$6)^2+($D123-BH$7)^2)</f>
        <v>1.59277919431306</v>
      </c>
      <c r="BI123" s="74" t="n">
        <f aca="false">SQRT(($B123-BI$5)^2+($C123-BI$6)^2+($D123-BI$7)^2)</f>
        <v>1.57625494874312</v>
      </c>
      <c r="BJ123" s="74" t="n">
        <f aca="false">SQRT(($B123-BJ$5)^2+($C123-BJ$6)^2+($D123-BJ$7)^2)</f>
        <v>2.2724914141333</v>
      </c>
      <c r="BK123" s="74" t="n">
        <f aca="false">SQRT(($B123-BK$5)^2+($C123-BK$6)^2+($D123-BK$7)^2)</f>
        <v>1.68763601051815</v>
      </c>
      <c r="BL123" s="74" t="n">
        <f aca="false">SQRT(($B123-BL$5)^2+($C123-BL$6)^2+($D123-BL$7)^2)</f>
        <v>2.131311071028</v>
      </c>
      <c r="BM123" s="74" t="n">
        <f aca="false">SQRT(($B123-BM$5)^2+($C123-BM$6)^2+($D123-BM$7)^2)</f>
        <v>2.52557579509364</v>
      </c>
      <c r="BN123" s="74" t="n">
        <f aca="false">SQRT(($B123-BN$5)^2+($C123-BN$6)^2+($D123-BN$7)^2)</f>
        <v>2.06180309792967</v>
      </c>
      <c r="BO123" s="74" t="n">
        <f aca="false">SQRT(($B123-BO$5)^2+($C123-BO$6)^2+($D123-BO$7)^2)</f>
        <v>1.47836379313704</v>
      </c>
      <c r="BP123" s="74" t="n">
        <f aca="false">SQRT(($B123-BP$5)^2+($C123-BP$6)^2+($D123-BP$7)^2)</f>
        <v>2.16127352814075</v>
      </c>
      <c r="BQ123" s="74" t="n">
        <f aca="false">SQRT(($B123-BQ$5)^2+($C123-BQ$6)^2+($D123-BQ$7)^2)</f>
        <v>2.13602243763156</v>
      </c>
      <c r="BR123" s="74" t="n">
        <f aca="false">SQRT(($B123-BR$5)^2+($C123-BR$6)^2+($D123-BR$7)^2)</f>
        <v>2.15569176846061</v>
      </c>
      <c r="BS123" s="74" t="n">
        <f aca="false">SQRT(($B123-BS$5)^2+($C123-BS$6)^2+($D123-BS$7)^2)</f>
        <v>2.19542493616015</v>
      </c>
      <c r="BT123" s="74" t="n">
        <f aca="false">SQRT(($B123-BT$5)^2+($C123-BT$6)^2+($D123-BT$7)^2)</f>
        <v>1.8618787329935</v>
      </c>
      <c r="BU123" s="74" t="n">
        <f aca="false">SQRT(($B123-BU$5)^2+($C123-BU$6)^2+($D123-BU$7)^2)</f>
        <v>1.80205814460464</v>
      </c>
      <c r="BV123" s="74" t="n">
        <f aca="false">SQRT(($B123-BV$5)^2+($C123-BV$6)^2+($D123-BV$7)^2)</f>
        <v>1.24803259478866</v>
      </c>
      <c r="BW123" s="74" t="n">
        <f aca="false">SQRT(($B123-BW$5)^2+($C123-BW$6)^2+($D123-BW$7)^2)</f>
        <v>1.88931826315556</v>
      </c>
      <c r="BX123" s="74" t="n">
        <f aca="false">SQRT(($B123-BX$5)^2+($C123-BX$6)^2+($D123-BX$7)^2)</f>
        <v>1.23201686906141</v>
      </c>
      <c r="BY123" s="74" t="n">
        <f aca="false">SQRT(($B123-BY$5)^2+($C123-BY$6)^2+($D123-BY$7)^2)</f>
        <v>1.53777113465862</v>
      </c>
      <c r="BZ123" s="74" t="n">
        <f aca="false">SQRT(($B123-BZ$5)^2+($C123-BZ$6)^2+($D123-BZ$7)^2)</f>
        <v>1.48571169547516</v>
      </c>
      <c r="CA123" s="74" t="n">
        <f aca="false">SQRT(($B123-CA$5)^2+($C123-CA$6)^2+($D123-CA$7)^2)</f>
        <v>1.18078176263371</v>
      </c>
      <c r="CB123" s="74" t="n">
        <f aca="false">SQRT(($B123-CB$5)^2+($C123-CB$6)^2+($D123-CB$7)^2)</f>
        <v>1.47123800468077</v>
      </c>
      <c r="CC123" s="74" t="n">
        <f aca="false">SQRT(($B123-CC$5)^2+($C123-CC$6)^2+($D123-CC$7)^2)</f>
        <v>1.16251778279462</v>
      </c>
      <c r="CD123" s="74" t="n">
        <f aca="false">SQRT(($B123-CD$5)^2+($C123-CD$6)^2+($D123-CD$7)^2)</f>
        <v>1.12394680522495</v>
      </c>
      <c r="CE123" s="74" t="n">
        <f aca="false">SQRT(($B123-CE$5)^2+($C123-CE$6)^2+($D123-CE$7)^2)</f>
        <v>1.62188009875456</v>
      </c>
      <c r="CF123" s="74" t="n">
        <f aca="false">SQRT(($B123-CF$5)^2+($C123-CF$6)^2+($D123-CF$7)^2)</f>
        <v>1.77335956570525</v>
      </c>
      <c r="CG123" s="74" t="n">
        <f aca="false">SQRT(($B123-CG$5)^2+($C123-CG$6)^2+($D123-CG$7)^2)</f>
        <v>1.3812717164409</v>
      </c>
      <c r="CH123" s="74" t="n">
        <f aca="false">SQRT(($B123-CH$5)^2+($C123-CH$6)^2+($D123-CH$7)^2)</f>
        <v>1.27733524462838</v>
      </c>
      <c r="CI123" s="74" t="n">
        <f aca="false">SQRT(($B123-CI$5)^2+($C123-CI$6)^2+($D123-CI$7)^2)</f>
        <v>1.17797280617407</v>
      </c>
      <c r="CJ123" s="74" t="n">
        <f aca="false">SQRT(($B123-CJ$5)^2+($C123-CJ$6)^2+($D123-CJ$7)^2)</f>
        <v>1.01296979731</v>
      </c>
      <c r="CK123" s="74" t="n">
        <f aca="false">SQRT(($B123-CK$5)^2+($C123-CK$6)^2+($D123-CK$7)^2)</f>
        <v>1.43169302248217</v>
      </c>
      <c r="CL123" s="74" t="n">
        <f aca="false">SQRT(($B123-CL$5)^2+($C123-CL$6)^2+($D123-CL$7)^2)</f>
        <v>0.87125454380976</v>
      </c>
      <c r="CM123" s="74" t="n">
        <f aca="false">SQRT(($B123-CM$5)^2+($C123-CM$6)^2+($D123-CM$7)^2)</f>
        <v>1.20351889720861</v>
      </c>
      <c r="CN123" s="74" t="n">
        <f aca="false">SQRT(($B123-CN$5)^2+($C123-CN$6)^2+($D123-CN$7)^2)</f>
        <v>2.01662422352502</v>
      </c>
      <c r="CO123" s="74" t="n">
        <f aca="false">SQRT(($B123-CO$5)^2+($C123-CO$6)^2+($D123-CO$7)^2)</f>
        <v>1.3368959403963</v>
      </c>
      <c r="CP123" s="74" t="n">
        <f aca="false">SQRT(($B123-CP$5)^2+($C123-CP$6)^2+($D123-CP$7)^2)</f>
        <v>0.763184479973301</v>
      </c>
      <c r="CQ123" s="74" t="n">
        <f aca="false">SQRT(($B123-CQ$5)^2+($C123-CQ$6)^2+($D123-CQ$7)^2)</f>
        <v>1.0376963962144</v>
      </c>
      <c r="CR123" s="74" t="n">
        <f aca="false">SQRT(($B123-CR$5)^2+($C123-CR$6)^2+($D123-CR$7)^2)</f>
        <v>1.07082718905525</v>
      </c>
      <c r="CS123" s="74" t="n">
        <f aca="false">SQRT(($B123-CS$5)^2+($C123-CS$6)^2+($D123-CS$7)^2)</f>
        <v>0.676237837591832</v>
      </c>
      <c r="CT123" s="74" t="n">
        <f aca="false">SQRT(($B123-CT$5)^2+($C123-CT$6)^2+($D123-CT$7)^2)</f>
        <v>0.62663174663351</v>
      </c>
      <c r="CU123" s="74" t="n">
        <f aca="false">SQRT(($B123-CU$5)^2+($C123-CU$6)^2+($D123-CU$7)^2)</f>
        <v>0.878727371305581</v>
      </c>
      <c r="CV123" s="74" t="n">
        <f aca="false">SQRT(($B123-CV$5)^2+($C123-CV$6)^2+($D123-CV$7)^2)</f>
        <v>1.54370829762242</v>
      </c>
      <c r="CW123" s="74" t="n">
        <f aca="false">SQRT(($B123-CW$5)^2+($C123-CW$6)^2+($D123-CW$7)^2)</f>
        <v>0.62663174663351</v>
      </c>
      <c r="CX123" s="74" t="n">
        <f aca="false">SQRT(($B123-CX$5)^2+($C123-CX$6)^2+($D123-CX$7)^2)</f>
        <v>1.24965281409685</v>
      </c>
      <c r="CY123" s="74" t="n">
        <f aca="false">SQRT(($B123-CY$5)^2+($C123-CY$6)^2+($D123-CY$7)^2)</f>
        <v>0.571794757196831</v>
      </c>
      <c r="CZ123" s="74" t="n">
        <f aca="false">SQRT(($B123-CZ$5)^2+($C123-CZ$6)^2+($D123-CZ$7)^2)</f>
        <v>0.571794757196831</v>
      </c>
      <c r="DA123" s="74" t="n">
        <f aca="false">SQRT(($B123-DA$5)^2+($C123-DA$6)^2+($D123-DA$7)^2)</f>
        <v>0.860012862258144</v>
      </c>
      <c r="DB123" s="74" t="n">
        <f aca="false">SQRT(($B123-DB$5)^2+($C123-DB$6)^2+($D123-DB$7)^2)</f>
        <v>0.510492218558112</v>
      </c>
      <c r="DC123" s="74" t="n">
        <f aca="false">SQRT(($B123-DC$5)^2+($C123-DC$6)^2+($D123-DC$7)^2)</f>
        <v>0.510492218558112</v>
      </c>
      <c r="DD123" s="74" t="n">
        <f aca="false">SQRT(($B123-DD$5)^2+($C123-DD$6)^2+($D123-DD$7)^2)</f>
        <v>0.720952024936882</v>
      </c>
      <c r="DE123" s="74" t="n">
        <f aca="false">SQRT(($B123-DE$5)^2+($C123-DE$6)^2+($D123-DE$7)^2)</f>
        <v>0.48302968339833</v>
      </c>
      <c r="DF123" s="74" t="n">
        <f aca="false">SQRT(($B123-DF$5)^2+($C123-DF$6)^2+($D123-DF$7)^2)</f>
        <v>0.149729893306465</v>
      </c>
      <c r="DG123" s="74" t="n">
        <f aca="false">SQRT(($B123-DG$5)^2+($C123-DG$6)^2+($D123-DG$7)^2)</f>
        <v>0</v>
      </c>
      <c r="DH123" s="74" t="n">
        <f aca="false">SQRT(($B123-DH$5)^2+($C123-DH$6)^2+($D123-DH$7)^2)</f>
        <v>0</v>
      </c>
      <c r="DI123" s="74" t="n">
        <f aca="false">SQRT(($B123-DI$5)^2+($C123-DI$6)^2+($D123-DI$7)^2)</f>
        <v>0</v>
      </c>
      <c r="DJ123" s="74" t="n">
        <f aca="false">SQRT(($B123-DJ$5)^2+($C123-DJ$6)^2+($D123-DJ$7)^2)</f>
        <v>0</v>
      </c>
      <c r="DK123" s="74" t="n">
        <f aca="false">SQRT(($B123-DK$5)^2+($C123-DK$6)^2+($D123-DK$7)^2)</f>
        <v>0.211032431945183</v>
      </c>
      <c r="DL123" s="74" t="n">
        <f aca="false">SQRT(($B123-DL$5)^2+($C123-DL$6)^2+($D123-DL$7)^2)</f>
        <v>0.211032431945183</v>
      </c>
      <c r="DM123" s="74" t="n">
        <f aca="false">SQRT(($B123-DM$5)^2+($C123-DM$6)^2+($D123-DM$7)^2)</f>
        <v>0.211032431945183</v>
      </c>
      <c r="DN123" s="74" t="n">
        <f aca="false">SQRT(($B123-DN$5)^2+($C123-DN$6)^2+($D123-DN$7)^2)</f>
        <v>0.211032431945183</v>
      </c>
      <c r="DO123" s="74" t="n">
        <f aca="false">SQRT(($B123-DO$5)^2+($C123-DO$6)^2+($D123-DO$7)^2)</f>
        <v>0.211032431945183</v>
      </c>
      <c r="DP123" s="74" t="n">
        <f aca="false">SQRT(($B123-DP$5)^2+($C123-DP$6)^2+($D123-DP$7)^2)</f>
        <v>0.571794757196831</v>
      </c>
      <c r="DQ123" s="74" t="n">
        <f aca="false">SQRT(($B123-DQ$5)^2+($C123-DQ$6)^2+($D123-DQ$7)^2)</f>
        <v>0.571794757196831</v>
      </c>
    </row>
    <row r="124" customFormat="false" ht="15" hidden="false" customHeight="false" outlineLevel="0" collapsed="false">
      <c r="A124" s="48" t="str">
        <f aca="false">KMeans_Data!A115</f>
        <v>Trarkhel</v>
      </c>
      <c r="B124" s="72" t="n">
        <f aca="false">KMeans_Data!H115</f>
        <v>-1.71897565655168</v>
      </c>
      <c r="C124" s="72" t="n">
        <f aca="false">KMeans_Data!I115</f>
        <v>-0.672650545388274</v>
      </c>
      <c r="D124" s="72" t="n">
        <f aca="false">KMeans_Data!J115</f>
        <v>-1.14564411633355</v>
      </c>
      <c r="E124" s="74" t="n">
        <f aca="false">SQRT(($B124-E$5)^2+($C124-E$6)^2+($D124-E$7)^2)</f>
        <v>8.15332373062299</v>
      </c>
      <c r="F124" s="74" t="n">
        <f aca="false">SQRT(($B124-F$5)^2+($C124-F$6)^2+($D124-F$7)^2)</f>
        <v>7.91553473342104</v>
      </c>
      <c r="G124" s="74" t="n">
        <f aca="false">SQRT(($B124-G$5)^2+($C124-G$6)^2+($D124-G$7)^2)</f>
        <v>6.15249594053942</v>
      </c>
      <c r="H124" s="74" t="n">
        <f aca="false">SQRT(($B124-H$5)^2+($C124-H$6)^2+($D124-H$7)^2)</f>
        <v>6.49671597942661</v>
      </c>
      <c r="I124" s="74" t="n">
        <f aca="false">SQRT(($B124-I$5)^2+($C124-I$6)^2+($D124-I$7)^2)</f>
        <v>5.54164285575793</v>
      </c>
      <c r="J124" s="74" t="n">
        <f aca="false">SQRT(($B124-J$5)^2+($C124-J$6)^2+($D124-J$7)^2)</f>
        <v>5.04535418233174</v>
      </c>
      <c r="K124" s="74" t="n">
        <f aca="false">SQRT(($B124-K$5)^2+($C124-K$6)^2+($D124-K$7)^2)</f>
        <v>3.18613885742987</v>
      </c>
      <c r="L124" s="74" t="n">
        <f aca="false">SQRT(($B124-L$5)^2+($C124-L$6)^2+($D124-L$7)^2)</f>
        <v>4.39243997352734</v>
      </c>
      <c r="M124" s="74" t="n">
        <f aca="false">SQRT(($B124-M$5)^2+($C124-M$6)^2+($D124-M$7)^2)</f>
        <v>4.52687434122475</v>
      </c>
      <c r="N124" s="74" t="n">
        <f aca="false">SQRT(($B124-N$5)^2+($C124-N$6)^2+($D124-N$7)^2)</f>
        <v>2.98477770591255</v>
      </c>
      <c r="O124" s="74" t="n">
        <f aca="false">SQRT(($B124-O$5)^2+($C124-O$6)^2+($D124-O$7)^2)</f>
        <v>4.1653882750283</v>
      </c>
      <c r="P124" s="74" t="n">
        <f aca="false">SQRT(($B124-P$5)^2+($C124-P$6)^2+($D124-P$7)^2)</f>
        <v>4.40526225230481</v>
      </c>
      <c r="Q124" s="74" t="n">
        <f aca="false">SQRT(($B124-Q$5)^2+($C124-Q$6)^2+($D124-Q$7)^2)</f>
        <v>3.91895994049514</v>
      </c>
      <c r="R124" s="74" t="n">
        <f aca="false">SQRT(($B124-R$5)^2+($C124-R$6)^2+($D124-R$7)^2)</f>
        <v>3.94287645773164</v>
      </c>
      <c r="S124" s="74" t="n">
        <f aca="false">SQRT(($B124-S$5)^2+($C124-S$6)^2+($D124-S$7)^2)</f>
        <v>3.61379058560017</v>
      </c>
      <c r="T124" s="74" t="n">
        <f aca="false">SQRT(($B124-T$5)^2+($C124-T$6)^2+($D124-T$7)^2)</f>
        <v>3.82148883195752</v>
      </c>
      <c r="U124" s="74" t="n">
        <f aca="false">SQRT(($B124-U$5)^2+($C124-U$6)^2+($D124-U$7)^2)</f>
        <v>3.91247471035122</v>
      </c>
      <c r="V124" s="74" t="n">
        <f aca="false">SQRT(($B124-V$5)^2+($C124-V$6)^2+($D124-V$7)^2)</f>
        <v>3.7342269435146</v>
      </c>
      <c r="W124" s="74" t="n">
        <f aca="false">SQRT(($B124-W$5)^2+($C124-W$6)^2+($D124-W$7)^2)</f>
        <v>3.89225481975836</v>
      </c>
      <c r="X124" s="74" t="n">
        <f aca="false">SQRT(($B124-X$5)^2+($C124-X$6)^2+($D124-X$7)^2)</f>
        <v>3.67391589969196</v>
      </c>
      <c r="Y124" s="74" t="n">
        <f aca="false">SQRT(($B124-Y$5)^2+($C124-Y$6)^2+($D124-Y$7)^2)</f>
        <v>3.78146337247965</v>
      </c>
      <c r="Z124" s="74" t="n">
        <f aca="false">SQRT(($B124-Z$5)^2+($C124-Z$6)^2+($D124-Z$7)^2)</f>
        <v>3.40035340385994</v>
      </c>
      <c r="AA124" s="74" t="n">
        <f aca="false">SQRT(($B124-AA$5)^2+($C124-AA$6)^2+($D124-AA$7)^2)</f>
        <v>3.37474942459125</v>
      </c>
      <c r="AB124" s="74" t="n">
        <f aca="false">SQRT(($B124-AB$5)^2+($C124-AB$6)^2+($D124-AB$7)^2)</f>
        <v>3.32240796066687</v>
      </c>
      <c r="AC124" s="74" t="n">
        <f aca="false">SQRT(($B124-AC$5)^2+($C124-AC$6)^2+($D124-AC$7)^2)</f>
        <v>3.72587555327954</v>
      </c>
      <c r="AD124" s="74" t="n">
        <f aca="false">SQRT(($B124-AD$5)^2+($C124-AD$6)^2+($D124-AD$7)^2)</f>
        <v>3.73430142540691</v>
      </c>
      <c r="AE124" s="74" t="n">
        <f aca="false">SQRT(($B124-AE$5)^2+($C124-AE$6)^2+($D124-AE$7)^2)</f>
        <v>2.42237275698138</v>
      </c>
      <c r="AF124" s="74" t="n">
        <f aca="false">SQRT(($B124-AF$5)^2+($C124-AF$6)^2+($D124-AF$7)^2)</f>
        <v>3.36317982089643</v>
      </c>
      <c r="AG124" s="74" t="n">
        <f aca="false">SQRT(($B124-AG$5)^2+($C124-AG$6)^2+($D124-AG$7)^2)</f>
        <v>2.41478384787707</v>
      </c>
      <c r="AH124" s="74" t="n">
        <f aca="false">SQRT(($B124-AH$5)^2+($C124-AH$6)^2+($D124-AH$7)^2)</f>
        <v>3.1117811237466</v>
      </c>
      <c r="AI124" s="74" t="n">
        <f aca="false">SQRT(($B124-AI$5)^2+($C124-AI$6)^2+($D124-AI$7)^2)</f>
        <v>2.411774765261</v>
      </c>
      <c r="AJ124" s="74" t="n">
        <f aca="false">SQRT(($B124-AJ$5)^2+($C124-AJ$6)^2+($D124-AJ$7)^2)</f>
        <v>3.43869045349591</v>
      </c>
      <c r="AK124" s="74" t="n">
        <f aca="false">SQRT(($B124-AK$5)^2+($C124-AK$6)^2+($D124-AK$7)^2)</f>
        <v>2.86741686540951</v>
      </c>
      <c r="AL124" s="74" t="n">
        <f aca="false">SQRT(($B124-AL$5)^2+($C124-AL$6)^2+($D124-AL$7)^2)</f>
        <v>2.83103967448494</v>
      </c>
      <c r="AM124" s="74" t="n">
        <f aca="false">SQRT(($B124-AM$5)^2+($C124-AM$6)^2+($D124-AM$7)^2)</f>
        <v>3.34444076037514</v>
      </c>
      <c r="AN124" s="74" t="n">
        <f aca="false">SQRT(($B124-AN$5)^2+($C124-AN$6)^2+($D124-AN$7)^2)</f>
        <v>3.3921595223746</v>
      </c>
      <c r="AO124" s="74" t="n">
        <f aca="false">SQRT(($B124-AO$5)^2+($C124-AO$6)^2+($D124-AO$7)^2)</f>
        <v>2.92894677882399</v>
      </c>
      <c r="AP124" s="74" t="n">
        <f aca="false">SQRT(($B124-AP$5)^2+($C124-AP$6)^2+($D124-AP$7)^2)</f>
        <v>2.88073392421802</v>
      </c>
      <c r="AQ124" s="74" t="n">
        <f aca="false">SQRT(($B124-AQ$5)^2+($C124-AQ$6)^2+($D124-AQ$7)^2)</f>
        <v>3.38437406497854</v>
      </c>
      <c r="AR124" s="74" t="n">
        <f aca="false">SQRT(($B124-AR$5)^2+($C124-AR$6)^2+($D124-AR$7)^2)</f>
        <v>2.50595655541563</v>
      </c>
      <c r="AS124" s="74" t="n">
        <f aca="false">SQRT(($B124-AS$5)^2+($C124-AS$6)^2+($D124-AS$7)^2)</f>
        <v>2.96590649915147</v>
      </c>
      <c r="AT124" s="74" t="n">
        <f aca="false">SQRT(($B124-AT$5)^2+($C124-AT$6)^2+($D124-AT$7)^2)</f>
        <v>2.8165818159944</v>
      </c>
      <c r="AU124" s="74" t="n">
        <f aca="false">SQRT(($B124-AU$5)^2+($C124-AU$6)^2+($D124-AU$7)^2)</f>
        <v>2.11207526864895</v>
      </c>
      <c r="AV124" s="74" t="n">
        <f aca="false">SQRT(($B124-AV$5)^2+($C124-AV$6)^2+($D124-AV$7)^2)</f>
        <v>2.58066844039465</v>
      </c>
      <c r="AW124" s="74" t="n">
        <f aca="false">SQRT(($B124-AW$5)^2+($C124-AW$6)^2+($D124-AW$7)^2)</f>
        <v>1.98376768519845</v>
      </c>
      <c r="AX124" s="74" t="n">
        <f aca="false">SQRT(($B124-AX$5)^2+($C124-AX$6)^2+($D124-AX$7)^2)</f>
        <v>2.61439401973479</v>
      </c>
      <c r="AY124" s="74" t="n">
        <f aca="false">SQRT(($B124-AY$5)^2+($C124-AY$6)^2+($D124-AY$7)^2)</f>
        <v>1.91995115433364</v>
      </c>
      <c r="AZ124" s="74" t="n">
        <f aca="false">SQRT(($B124-AZ$5)^2+($C124-AZ$6)^2+($D124-AZ$7)^2)</f>
        <v>2.90354831259108</v>
      </c>
      <c r="BA124" s="74" t="n">
        <f aca="false">SQRT(($B124-BA$5)^2+($C124-BA$6)^2+($D124-BA$7)^2)</f>
        <v>2.77608755865678</v>
      </c>
      <c r="BB124" s="74" t="n">
        <f aca="false">SQRT(($B124-BB$5)^2+($C124-BB$6)^2+($D124-BB$7)^2)</f>
        <v>1.9134042753373</v>
      </c>
      <c r="BC124" s="74" t="n">
        <f aca="false">SQRT(($B124-BC$5)^2+($C124-BC$6)^2+($D124-BC$7)^2)</f>
        <v>1.90677399436696</v>
      </c>
      <c r="BD124" s="74" t="n">
        <f aca="false">SQRT(($B124-BD$5)^2+($C124-BD$6)^2+($D124-BD$7)^2)</f>
        <v>1.99274431514817</v>
      </c>
      <c r="BE124" s="74" t="n">
        <f aca="false">SQRT(($B124-BE$5)^2+($C124-BE$6)^2+($D124-BE$7)^2)</f>
        <v>2.07811823681026</v>
      </c>
      <c r="BF124" s="74" t="n">
        <f aca="false">SQRT(($B124-BF$5)^2+($C124-BF$6)^2+($D124-BF$7)^2)</f>
        <v>3.36570063901411</v>
      </c>
      <c r="BG124" s="74" t="n">
        <f aca="false">SQRT(($B124-BG$5)^2+($C124-BG$6)^2+($D124-BG$7)^2)</f>
        <v>2.5883774445742</v>
      </c>
      <c r="BH124" s="74" t="n">
        <f aca="false">SQRT(($B124-BH$5)^2+($C124-BH$6)^2+($D124-BH$7)^2)</f>
        <v>1.80381162625824</v>
      </c>
      <c r="BI124" s="74" t="n">
        <f aca="false">SQRT(($B124-BI$5)^2+($C124-BI$6)^2+($D124-BI$7)^2)</f>
        <v>1.7872873806883</v>
      </c>
      <c r="BJ124" s="74" t="n">
        <f aca="false">SQRT(($B124-BJ$5)^2+($C124-BJ$6)^2+($D124-BJ$7)^2)</f>
        <v>2.41982706603353</v>
      </c>
      <c r="BK124" s="74" t="n">
        <f aca="false">SQRT(($B124-BK$5)^2+($C124-BK$6)^2+($D124-BK$7)^2)</f>
        <v>1.87925911990036</v>
      </c>
      <c r="BL124" s="74" t="n">
        <f aca="false">SQRT(($B124-BL$5)^2+($C124-BL$6)^2+($D124-BL$7)^2)</f>
        <v>2.28515986820667</v>
      </c>
      <c r="BM124" s="74" t="n">
        <f aca="false">SQRT(($B124-BM$5)^2+($C124-BM$6)^2+($D124-BM$7)^2)</f>
        <v>2.65432585213842</v>
      </c>
      <c r="BN124" s="74" t="n">
        <f aca="false">SQRT(($B124-BN$5)^2+($C124-BN$6)^2+($D124-BN$7)^2)</f>
        <v>2.21666293385688</v>
      </c>
      <c r="BO124" s="74" t="n">
        <f aca="false">SQRT(($B124-BO$5)^2+($C124-BO$6)^2+($D124-BO$7)^2)</f>
        <v>1.68497910936832</v>
      </c>
      <c r="BP124" s="74" t="n">
        <f aca="false">SQRT(($B124-BP$5)^2+($C124-BP$6)^2+($D124-BP$7)^2)</f>
        <v>2.3044567786491</v>
      </c>
      <c r="BQ124" s="74" t="n">
        <f aca="false">SQRT(($B124-BQ$5)^2+($C124-BQ$6)^2+($D124-BQ$7)^2)</f>
        <v>2.27970896732173</v>
      </c>
      <c r="BR124" s="74" t="n">
        <f aca="false">SQRT(($B124-BR$5)^2+($C124-BR$6)^2+($D124-BR$7)^2)</f>
        <v>2.29592442653765</v>
      </c>
      <c r="BS124" s="74" t="n">
        <f aca="false">SQRT(($B124-BS$5)^2+($C124-BS$6)^2+($D124-BS$7)^2)</f>
        <v>2.32977963929621</v>
      </c>
      <c r="BT124" s="74" t="n">
        <f aca="false">SQRT(($B124-BT$5)^2+($C124-BT$6)^2+($D124-BT$7)^2)</f>
        <v>2.01419755324146</v>
      </c>
      <c r="BU124" s="74" t="n">
        <f aca="false">SQRT(($B124-BU$5)^2+($C124-BU$6)^2+($D124-BU$7)^2)</f>
        <v>1.95903367088122</v>
      </c>
      <c r="BV124" s="74" t="n">
        <f aca="false">SQRT(($B124-BV$5)^2+($C124-BV$6)^2+($D124-BV$7)^2)</f>
        <v>1.45906502673385</v>
      </c>
      <c r="BW124" s="74" t="n">
        <f aca="false">SQRT(($B124-BW$5)^2+($C124-BW$6)^2+($D124-BW$7)^2)</f>
        <v>2.03323614442023</v>
      </c>
      <c r="BX124" s="74" t="n">
        <f aca="false">SQRT(($B124-BX$5)^2+($C124-BX$6)^2+($D124-BX$7)^2)</f>
        <v>1.44304930100659</v>
      </c>
      <c r="BY124" s="74" t="n">
        <f aca="false">SQRT(($B124-BY$5)^2+($C124-BY$6)^2+($D124-BY$7)^2)</f>
        <v>1.70736301621644</v>
      </c>
      <c r="BZ124" s="74" t="n">
        <f aca="false">SQRT(($B124-BZ$5)^2+($C124-BZ$6)^2+($D124-BZ$7)^2)</f>
        <v>1.65838488395625</v>
      </c>
      <c r="CA124" s="74" t="n">
        <f aca="false">SQRT(($B124-CA$5)^2+($C124-CA$6)^2+($D124-CA$7)^2)</f>
        <v>1.39181419457889</v>
      </c>
      <c r="CB124" s="74" t="n">
        <f aca="false">SQRT(($B124-CB$5)^2+($C124-CB$6)^2+($D124-CB$7)^2)</f>
        <v>1.64308668776638</v>
      </c>
      <c r="CC124" s="74" t="n">
        <f aca="false">SQRT(($B124-CC$5)^2+($C124-CC$6)^2+($D124-CC$7)^2)</f>
        <v>1.37355021473981</v>
      </c>
      <c r="CD124" s="74" t="n">
        <f aca="false">SQRT(($B124-CD$5)^2+($C124-CD$6)^2+($D124-CD$7)^2)</f>
        <v>1.33497923717013</v>
      </c>
      <c r="CE124" s="74" t="n">
        <f aca="false">SQRT(($B124-CE$5)^2+($C124-CE$6)^2+($D124-CE$7)^2)</f>
        <v>1.77222811757815</v>
      </c>
      <c r="CF124" s="74" t="n">
        <f aca="false">SQRT(($B124-CF$5)^2+($C124-CF$6)^2+($D124-CF$7)^2)</f>
        <v>1.91183199975228</v>
      </c>
      <c r="CG124" s="74" t="n">
        <f aca="false">SQRT(($B124-CG$5)^2+($C124-CG$6)^2+($D124-CG$7)^2)</f>
        <v>1.54600374338392</v>
      </c>
      <c r="CH124" s="74" t="n">
        <f aca="false">SQRT(($B124-CH$5)^2+($C124-CH$6)^2+($D124-CH$7)^2)</f>
        <v>1.45389179345898</v>
      </c>
      <c r="CI124" s="74" t="n">
        <f aca="false">SQRT(($B124-CI$5)^2+($C124-CI$6)^2+($D124-CI$7)^2)</f>
        <v>1.35974224174094</v>
      </c>
      <c r="CJ124" s="74" t="n">
        <f aca="false">SQRT(($B124-CJ$5)^2+($C124-CJ$6)^2+($D124-CJ$7)^2)</f>
        <v>1.21495643382453</v>
      </c>
      <c r="CK124" s="74" t="n">
        <f aca="false">SQRT(($B124-CK$5)^2+($C124-CK$6)^2+($D124-CK$7)^2)</f>
        <v>1.573315946281</v>
      </c>
      <c r="CL124" s="74" t="n">
        <f aca="false">SQRT(($B124-CL$5)^2+($C124-CL$6)^2+($D124-CL$7)^2)</f>
        <v>1.08228697575494</v>
      </c>
      <c r="CM124" s="74" t="n">
        <f aca="false">SQRT(($B124-CM$5)^2+($C124-CM$6)^2+($D124-CM$7)^2)</f>
        <v>1.36408150552592</v>
      </c>
      <c r="CN124" s="74" t="n">
        <f aca="false">SQRT(($B124-CN$5)^2+($C124-CN$6)^2+($D124-CN$7)^2)</f>
        <v>2.10943138174765</v>
      </c>
      <c r="CO124" s="74" t="n">
        <f aca="false">SQRT(($B124-CO$5)^2+($C124-CO$6)^2+($D124-CO$7)^2)</f>
        <v>1.46763033371622</v>
      </c>
      <c r="CP124" s="74" t="n">
        <f aca="false">SQRT(($B124-CP$5)^2+($C124-CP$6)^2+($D124-CP$7)^2)</f>
        <v>0.974216911918484</v>
      </c>
      <c r="CQ124" s="74" t="n">
        <f aca="false">SQRT(($B124-CQ$5)^2+($C124-CQ$6)^2+($D124-CQ$7)^2)</f>
        <v>1.19410162945089</v>
      </c>
      <c r="CR124" s="74" t="n">
        <f aca="false">SQRT(($B124-CR$5)^2+($C124-CR$6)^2+($D124-CR$7)^2)</f>
        <v>1.21516327587422</v>
      </c>
      <c r="CS124" s="74" t="n">
        <f aca="false">SQRT(($B124-CS$5)^2+($C124-CS$6)^2+($D124-CS$7)^2)</f>
        <v>0.887270269537015</v>
      </c>
      <c r="CT124" s="74" t="n">
        <f aca="false">SQRT(($B124-CT$5)^2+($C124-CT$6)^2+($D124-CT$7)^2)</f>
        <v>0.837664178578693</v>
      </c>
      <c r="CU124" s="74" t="n">
        <f aca="false">SQRT(($B124-CU$5)^2+($C124-CU$6)^2+($D124-CU$7)^2)</f>
        <v>1.0397960007937</v>
      </c>
      <c r="CV124" s="74" t="n">
        <f aca="false">SQRT(($B124-CV$5)^2+($C124-CV$6)^2+($D124-CV$7)^2)</f>
        <v>1.64074654908467</v>
      </c>
      <c r="CW124" s="74" t="n">
        <f aca="false">SQRT(($B124-CW$5)^2+($C124-CW$6)^2+($D124-CW$7)^2)</f>
        <v>0.837664178578693</v>
      </c>
      <c r="CX124" s="74" t="n">
        <f aca="false">SQRT(($B124-CX$5)^2+($C124-CX$6)^2+($D124-CX$7)^2)</f>
        <v>1.35922820728617</v>
      </c>
      <c r="CY124" s="74" t="n">
        <f aca="false">SQRT(($B124-CY$5)^2+($C124-CY$6)^2+($D124-CY$7)^2)</f>
        <v>0.782827189142014</v>
      </c>
      <c r="CZ124" s="74" t="n">
        <f aca="false">SQRT(($B124-CZ$5)^2+($C124-CZ$6)^2+($D124-CZ$7)^2)</f>
        <v>0.782827189142014</v>
      </c>
      <c r="DA124" s="74" t="n">
        <f aca="false">SQRT(($B124-DA$5)^2+($C124-DA$6)^2+($D124-DA$7)^2)</f>
        <v>1.01266543683077</v>
      </c>
      <c r="DB124" s="74" t="n">
        <f aca="false">SQRT(($B124-DB$5)^2+($C124-DB$6)^2+($D124-DB$7)^2)</f>
        <v>0.721524650503295</v>
      </c>
      <c r="DC124" s="74" t="n">
        <f aca="false">SQRT(($B124-DC$5)^2+($C124-DC$6)^2+($D124-DC$7)^2)</f>
        <v>0.721524650503295</v>
      </c>
      <c r="DD124" s="74" t="n">
        <f aca="false">SQRT(($B124-DD$5)^2+($C124-DD$6)^2+($D124-DD$7)^2)</f>
        <v>0.883044358079541</v>
      </c>
      <c r="DE124" s="74" t="n">
        <f aca="false">SQRT(($B124-DE$5)^2+($C124-DE$6)^2+($D124-DE$7)^2)</f>
        <v>0.655833411836191</v>
      </c>
      <c r="DF124" s="74" t="n">
        <f aca="false">SQRT(($B124-DF$5)^2+($C124-DF$6)^2+($D124-DF$7)^2)</f>
        <v>0.360762325251648</v>
      </c>
      <c r="DG124" s="74" t="n">
        <f aca="false">SQRT(($B124-DG$5)^2+($C124-DG$6)^2+($D124-DG$7)^2)</f>
        <v>0.211032431945183</v>
      </c>
      <c r="DH124" s="74" t="n">
        <f aca="false">SQRT(($B124-DH$5)^2+($C124-DH$6)^2+($D124-DH$7)^2)</f>
        <v>0.211032431945183</v>
      </c>
      <c r="DI124" s="74" t="n">
        <f aca="false">SQRT(($B124-DI$5)^2+($C124-DI$6)^2+($D124-DI$7)^2)</f>
        <v>0.211032431945183</v>
      </c>
      <c r="DJ124" s="74" t="n">
        <f aca="false">SQRT(($B124-DJ$5)^2+($C124-DJ$6)^2+($D124-DJ$7)^2)</f>
        <v>0.211032431945183</v>
      </c>
      <c r="DK124" s="74" t="n">
        <f aca="false">SQRT(($B124-DK$5)^2+($C124-DK$6)^2+($D124-DK$7)^2)</f>
        <v>0</v>
      </c>
      <c r="DL124" s="74" t="n">
        <f aca="false">SQRT(($B124-DL$5)^2+($C124-DL$6)^2+($D124-DL$7)^2)</f>
        <v>0</v>
      </c>
      <c r="DM124" s="74" t="n">
        <f aca="false">SQRT(($B124-DM$5)^2+($C124-DM$6)^2+($D124-DM$7)^2)</f>
        <v>0</v>
      </c>
      <c r="DN124" s="74" t="n">
        <f aca="false">SQRT(($B124-DN$5)^2+($C124-DN$6)^2+($D124-DN$7)^2)</f>
        <v>0</v>
      </c>
      <c r="DO124" s="74" t="n">
        <f aca="false">SQRT(($B124-DO$5)^2+($C124-DO$6)^2+($D124-DO$7)^2)</f>
        <v>0</v>
      </c>
      <c r="DP124" s="74" t="n">
        <f aca="false">SQRT(($B124-DP$5)^2+($C124-DP$6)^2+($D124-DP$7)^2)</f>
        <v>0.360762325251648</v>
      </c>
      <c r="DQ124" s="74" t="n">
        <f aca="false">SQRT(($B124-DQ$5)^2+($C124-DQ$6)^2+($D124-DQ$7)^2)</f>
        <v>0.360762325251648</v>
      </c>
    </row>
    <row r="125" customFormat="false" ht="15" hidden="false" customHeight="false" outlineLevel="0" collapsed="false">
      <c r="A125" s="48" t="str">
        <f aca="false">KMeans_Data!A116</f>
        <v>Kohistan Upper</v>
      </c>
      <c r="B125" s="72" t="n">
        <f aca="false">KMeans_Data!H116</f>
        <v>-1.71897565655168</v>
      </c>
      <c r="C125" s="72" t="n">
        <f aca="false">KMeans_Data!I116</f>
        <v>-0.672650545388274</v>
      </c>
      <c r="D125" s="72" t="n">
        <f aca="false">KMeans_Data!J116</f>
        <v>-1.14564411633355</v>
      </c>
      <c r="E125" s="74" t="n">
        <f aca="false">SQRT(($B125-E$5)^2+($C125-E$6)^2+($D125-E$7)^2)</f>
        <v>8.15332373062299</v>
      </c>
      <c r="F125" s="74" t="n">
        <f aca="false">SQRT(($B125-F$5)^2+($C125-F$6)^2+($D125-F$7)^2)</f>
        <v>7.91553473342104</v>
      </c>
      <c r="G125" s="74" t="n">
        <f aca="false">SQRT(($B125-G$5)^2+($C125-G$6)^2+($D125-G$7)^2)</f>
        <v>6.15249594053942</v>
      </c>
      <c r="H125" s="74" t="n">
        <f aca="false">SQRT(($B125-H$5)^2+($C125-H$6)^2+($D125-H$7)^2)</f>
        <v>6.49671597942661</v>
      </c>
      <c r="I125" s="74" t="n">
        <f aca="false">SQRT(($B125-I$5)^2+($C125-I$6)^2+($D125-I$7)^2)</f>
        <v>5.54164285575793</v>
      </c>
      <c r="J125" s="74" t="n">
        <f aca="false">SQRT(($B125-J$5)^2+($C125-J$6)^2+($D125-J$7)^2)</f>
        <v>5.04535418233174</v>
      </c>
      <c r="K125" s="74" t="n">
        <f aca="false">SQRT(($B125-K$5)^2+($C125-K$6)^2+($D125-K$7)^2)</f>
        <v>3.18613885742987</v>
      </c>
      <c r="L125" s="74" t="n">
        <f aca="false">SQRT(($B125-L$5)^2+($C125-L$6)^2+($D125-L$7)^2)</f>
        <v>4.39243997352734</v>
      </c>
      <c r="M125" s="74" t="n">
        <f aca="false">SQRT(($B125-M$5)^2+($C125-M$6)^2+($D125-M$7)^2)</f>
        <v>4.52687434122475</v>
      </c>
      <c r="N125" s="74" t="n">
        <f aca="false">SQRT(($B125-N$5)^2+($C125-N$6)^2+($D125-N$7)^2)</f>
        <v>2.98477770591255</v>
      </c>
      <c r="O125" s="74" t="n">
        <f aca="false">SQRT(($B125-O$5)^2+($C125-O$6)^2+($D125-O$7)^2)</f>
        <v>4.1653882750283</v>
      </c>
      <c r="P125" s="74" t="n">
        <f aca="false">SQRT(($B125-P$5)^2+($C125-P$6)^2+($D125-P$7)^2)</f>
        <v>4.40526225230481</v>
      </c>
      <c r="Q125" s="74" t="n">
        <f aca="false">SQRT(($B125-Q$5)^2+($C125-Q$6)^2+($D125-Q$7)^2)</f>
        <v>3.91895994049514</v>
      </c>
      <c r="R125" s="74" t="n">
        <f aca="false">SQRT(($B125-R$5)^2+($C125-R$6)^2+($D125-R$7)^2)</f>
        <v>3.94287645773164</v>
      </c>
      <c r="S125" s="74" t="n">
        <f aca="false">SQRT(($B125-S$5)^2+($C125-S$6)^2+($D125-S$7)^2)</f>
        <v>3.61379058560017</v>
      </c>
      <c r="T125" s="74" t="n">
        <f aca="false">SQRT(($B125-T$5)^2+($C125-T$6)^2+($D125-T$7)^2)</f>
        <v>3.82148883195752</v>
      </c>
      <c r="U125" s="74" t="n">
        <f aca="false">SQRT(($B125-U$5)^2+($C125-U$6)^2+($D125-U$7)^2)</f>
        <v>3.91247471035122</v>
      </c>
      <c r="V125" s="74" t="n">
        <f aca="false">SQRT(($B125-V$5)^2+($C125-V$6)^2+($D125-V$7)^2)</f>
        <v>3.7342269435146</v>
      </c>
      <c r="W125" s="74" t="n">
        <f aca="false">SQRT(($B125-W$5)^2+($C125-W$6)^2+($D125-W$7)^2)</f>
        <v>3.89225481975836</v>
      </c>
      <c r="X125" s="74" t="n">
        <f aca="false">SQRT(($B125-X$5)^2+($C125-X$6)^2+($D125-X$7)^2)</f>
        <v>3.67391589969196</v>
      </c>
      <c r="Y125" s="74" t="n">
        <f aca="false">SQRT(($B125-Y$5)^2+($C125-Y$6)^2+($D125-Y$7)^2)</f>
        <v>3.78146337247965</v>
      </c>
      <c r="Z125" s="74" t="n">
        <f aca="false">SQRT(($B125-Z$5)^2+($C125-Z$6)^2+($D125-Z$7)^2)</f>
        <v>3.40035340385994</v>
      </c>
      <c r="AA125" s="74" t="n">
        <f aca="false">SQRT(($B125-AA$5)^2+($C125-AA$6)^2+($D125-AA$7)^2)</f>
        <v>3.37474942459125</v>
      </c>
      <c r="AB125" s="74" t="n">
        <f aca="false">SQRT(($B125-AB$5)^2+($C125-AB$6)^2+($D125-AB$7)^2)</f>
        <v>3.32240796066687</v>
      </c>
      <c r="AC125" s="74" t="n">
        <f aca="false">SQRT(($B125-AC$5)^2+($C125-AC$6)^2+($D125-AC$7)^2)</f>
        <v>3.72587555327954</v>
      </c>
      <c r="AD125" s="74" t="n">
        <f aca="false">SQRT(($B125-AD$5)^2+($C125-AD$6)^2+($D125-AD$7)^2)</f>
        <v>3.73430142540691</v>
      </c>
      <c r="AE125" s="74" t="n">
        <f aca="false">SQRT(($B125-AE$5)^2+($C125-AE$6)^2+($D125-AE$7)^2)</f>
        <v>2.42237275698138</v>
      </c>
      <c r="AF125" s="74" t="n">
        <f aca="false">SQRT(($B125-AF$5)^2+($C125-AF$6)^2+($D125-AF$7)^2)</f>
        <v>3.36317982089643</v>
      </c>
      <c r="AG125" s="74" t="n">
        <f aca="false">SQRT(($B125-AG$5)^2+($C125-AG$6)^2+($D125-AG$7)^2)</f>
        <v>2.41478384787707</v>
      </c>
      <c r="AH125" s="74" t="n">
        <f aca="false">SQRT(($B125-AH$5)^2+($C125-AH$6)^2+($D125-AH$7)^2)</f>
        <v>3.1117811237466</v>
      </c>
      <c r="AI125" s="74" t="n">
        <f aca="false">SQRT(($B125-AI$5)^2+($C125-AI$6)^2+($D125-AI$7)^2)</f>
        <v>2.411774765261</v>
      </c>
      <c r="AJ125" s="74" t="n">
        <f aca="false">SQRT(($B125-AJ$5)^2+($C125-AJ$6)^2+($D125-AJ$7)^2)</f>
        <v>3.43869045349591</v>
      </c>
      <c r="AK125" s="74" t="n">
        <f aca="false">SQRT(($B125-AK$5)^2+($C125-AK$6)^2+($D125-AK$7)^2)</f>
        <v>2.86741686540951</v>
      </c>
      <c r="AL125" s="74" t="n">
        <f aca="false">SQRT(($B125-AL$5)^2+($C125-AL$6)^2+($D125-AL$7)^2)</f>
        <v>2.83103967448494</v>
      </c>
      <c r="AM125" s="74" t="n">
        <f aca="false">SQRT(($B125-AM$5)^2+($C125-AM$6)^2+($D125-AM$7)^2)</f>
        <v>3.34444076037514</v>
      </c>
      <c r="AN125" s="74" t="n">
        <f aca="false">SQRT(($B125-AN$5)^2+($C125-AN$6)^2+($D125-AN$7)^2)</f>
        <v>3.3921595223746</v>
      </c>
      <c r="AO125" s="74" t="n">
        <f aca="false">SQRT(($B125-AO$5)^2+($C125-AO$6)^2+($D125-AO$7)^2)</f>
        <v>2.92894677882399</v>
      </c>
      <c r="AP125" s="74" t="n">
        <f aca="false">SQRT(($B125-AP$5)^2+($C125-AP$6)^2+($D125-AP$7)^2)</f>
        <v>2.88073392421802</v>
      </c>
      <c r="AQ125" s="74" t="n">
        <f aca="false">SQRT(($B125-AQ$5)^2+($C125-AQ$6)^2+($D125-AQ$7)^2)</f>
        <v>3.38437406497854</v>
      </c>
      <c r="AR125" s="74" t="n">
        <f aca="false">SQRT(($B125-AR$5)^2+($C125-AR$6)^2+($D125-AR$7)^2)</f>
        <v>2.50595655541563</v>
      </c>
      <c r="AS125" s="74" t="n">
        <f aca="false">SQRT(($B125-AS$5)^2+($C125-AS$6)^2+($D125-AS$7)^2)</f>
        <v>2.96590649915147</v>
      </c>
      <c r="AT125" s="74" t="n">
        <f aca="false">SQRT(($B125-AT$5)^2+($C125-AT$6)^2+($D125-AT$7)^2)</f>
        <v>2.8165818159944</v>
      </c>
      <c r="AU125" s="74" t="n">
        <f aca="false">SQRT(($B125-AU$5)^2+($C125-AU$6)^2+($D125-AU$7)^2)</f>
        <v>2.11207526864895</v>
      </c>
      <c r="AV125" s="74" t="n">
        <f aca="false">SQRT(($B125-AV$5)^2+($C125-AV$6)^2+($D125-AV$7)^2)</f>
        <v>2.58066844039465</v>
      </c>
      <c r="AW125" s="74" t="n">
        <f aca="false">SQRT(($B125-AW$5)^2+($C125-AW$6)^2+($D125-AW$7)^2)</f>
        <v>1.98376768519845</v>
      </c>
      <c r="AX125" s="74" t="n">
        <f aca="false">SQRT(($B125-AX$5)^2+($C125-AX$6)^2+($D125-AX$7)^2)</f>
        <v>2.61439401973479</v>
      </c>
      <c r="AY125" s="74" t="n">
        <f aca="false">SQRT(($B125-AY$5)^2+($C125-AY$6)^2+($D125-AY$7)^2)</f>
        <v>1.91995115433364</v>
      </c>
      <c r="AZ125" s="74" t="n">
        <f aca="false">SQRT(($B125-AZ$5)^2+($C125-AZ$6)^2+($D125-AZ$7)^2)</f>
        <v>2.90354831259108</v>
      </c>
      <c r="BA125" s="74" t="n">
        <f aca="false">SQRT(($B125-BA$5)^2+($C125-BA$6)^2+($D125-BA$7)^2)</f>
        <v>2.77608755865678</v>
      </c>
      <c r="BB125" s="74" t="n">
        <f aca="false">SQRT(($B125-BB$5)^2+($C125-BB$6)^2+($D125-BB$7)^2)</f>
        <v>1.9134042753373</v>
      </c>
      <c r="BC125" s="74" t="n">
        <f aca="false">SQRT(($B125-BC$5)^2+($C125-BC$6)^2+($D125-BC$7)^2)</f>
        <v>1.90677399436696</v>
      </c>
      <c r="BD125" s="74" t="n">
        <f aca="false">SQRT(($B125-BD$5)^2+($C125-BD$6)^2+($D125-BD$7)^2)</f>
        <v>1.99274431514817</v>
      </c>
      <c r="BE125" s="74" t="n">
        <f aca="false">SQRT(($B125-BE$5)^2+($C125-BE$6)^2+($D125-BE$7)^2)</f>
        <v>2.07811823681026</v>
      </c>
      <c r="BF125" s="74" t="n">
        <f aca="false">SQRT(($B125-BF$5)^2+($C125-BF$6)^2+($D125-BF$7)^2)</f>
        <v>3.36570063901411</v>
      </c>
      <c r="BG125" s="74" t="n">
        <f aca="false">SQRT(($B125-BG$5)^2+($C125-BG$6)^2+($D125-BG$7)^2)</f>
        <v>2.5883774445742</v>
      </c>
      <c r="BH125" s="74" t="n">
        <f aca="false">SQRT(($B125-BH$5)^2+($C125-BH$6)^2+($D125-BH$7)^2)</f>
        <v>1.80381162625824</v>
      </c>
      <c r="BI125" s="74" t="n">
        <f aca="false">SQRT(($B125-BI$5)^2+($C125-BI$6)^2+($D125-BI$7)^2)</f>
        <v>1.7872873806883</v>
      </c>
      <c r="BJ125" s="74" t="n">
        <f aca="false">SQRT(($B125-BJ$5)^2+($C125-BJ$6)^2+($D125-BJ$7)^2)</f>
        <v>2.41982706603353</v>
      </c>
      <c r="BK125" s="74" t="n">
        <f aca="false">SQRT(($B125-BK$5)^2+($C125-BK$6)^2+($D125-BK$7)^2)</f>
        <v>1.87925911990036</v>
      </c>
      <c r="BL125" s="74" t="n">
        <f aca="false">SQRT(($B125-BL$5)^2+($C125-BL$6)^2+($D125-BL$7)^2)</f>
        <v>2.28515986820667</v>
      </c>
      <c r="BM125" s="74" t="n">
        <f aca="false">SQRT(($B125-BM$5)^2+($C125-BM$6)^2+($D125-BM$7)^2)</f>
        <v>2.65432585213842</v>
      </c>
      <c r="BN125" s="74" t="n">
        <f aca="false">SQRT(($B125-BN$5)^2+($C125-BN$6)^2+($D125-BN$7)^2)</f>
        <v>2.21666293385688</v>
      </c>
      <c r="BO125" s="74" t="n">
        <f aca="false">SQRT(($B125-BO$5)^2+($C125-BO$6)^2+($D125-BO$7)^2)</f>
        <v>1.68497910936832</v>
      </c>
      <c r="BP125" s="74" t="n">
        <f aca="false">SQRT(($B125-BP$5)^2+($C125-BP$6)^2+($D125-BP$7)^2)</f>
        <v>2.3044567786491</v>
      </c>
      <c r="BQ125" s="74" t="n">
        <f aca="false">SQRT(($B125-BQ$5)^2+($C125-BQ$6)^2+($D125-BQ$7)^2)</f>
        <v>2.27970896732173</v>
      </c>
      <c r="BR125" s="74" t="n">
        <f aca="false">SQRT(($B125-BR$5)^2+($C125-BR$6)^2+($D125-BR$7)^2)</f>
        <v>2.29592442653765</v>
      </c>
      <c r="BS125" s="74" t="n">
        <f aca="false">SQRT(($B125-BS$5)^2+($C125-BS$6)^2+($D125-BS$7)^2)</f>
        <v>2.32977963929621</v>
      </c>
      <c r="BT125" s="74" t="n">
        <f aca="false">SQRT(($B125-BT$5)^2+($C125-BT$6)^2+($D125-BT$7)^2)</f>
        <v>2.01419755324146</v>
      </c>
      <c r="BU125" s="74" t="n">
        <f aca="false">SQRT(($B125-BU$5)^2+($C125-BU$6)^2+($D125-BU$7)^2)</f>
        <v>1.95903367088122</v>
      </c>
      <c r="BV125" s="74" t="n">
        <f aca="false">SQRT(($B125-BV$5)^2+($C125-BV$6)^2+($D125-BV$7)^2)</f>
        <v>1.45906502673385</v>
      </c>
      <c r="BW125" s="74" t="n">
        <f aca="false">SQRT(($B125-BW$5)^2+($C125-BW$6)^2+($D125-BW$7)^2)</f>
        <v>2.03323614442023</v>
      </c>
      <c r="BX125" s="74" t="n">
        <f aca="false">SQRT(($B125-BX$5)^2+($C125-BX$6)^2+($D125-BX$7)^2)</f>
        <v>1.44304930100659</v>
      </c>
      <c r="BY125" s="74" t="n">
        <f aca="false">SQRT(($B125-BY$5)^2+($C125-BY$6)^2+($D125-BY$7)^2)</f>
        <v>1.70736301621644</v>
      </c>
      <c r="BZ125" s="74" t="n">
        <f aca="false">SQRT(($B125-BZ$5)^2+($C125-BZ$6)^2+($D125-BZ$7)^2)</f>
        <v>1.65838488395625</v>
      </c>
      <c r="CA125" s="74" t="n">
        <f aca="false">SQRT(($B125-CA$5)^2+($C125-CA$6)^2+($D125-CA$7)^2)</f>
        <v>1.39181419457889</v>
      </c>
      <c r="CB125" s="74" t="n">
        <f aca="false">SQRT(($B125-CB$5)^2+($C125-CB$6)^2+($D125-CB$7)^2)</f>
        <v>1.64308668776638</v>
      </c>
      <c r="CC125" s="74" t="n">
        <f aca="false">SQRT(($B125-CC$5)^2+($C125-CC$6)^2+($D125-CC$7)^2)</f>
        <v>1.37355021473981</v>
      </c>
      <c r="CD125" s="74" t="n">
        <f aca="false">SQRT(($B125-CD$5)^2+($C125-CD$6)^2+($D125-CD$7)^2)</f>
        <v>1.33497923717013</v>
      </c>
      <c r="CE125" s="74" t="n">
        <f aca="false">SQRT(($B125-CE$5)^2+($C125-CE$6)^2+($D125-CE$7)^2)</f>
        <v>1.77222811757815</v>
      </c>
      <c r="CF125" s="74" t="n">
        <f aca="false">SQRT(($B125-CF$5)^2+($C125-CF$6)^2+($D125-CF$7)^2)</f>
        <v>1.91183199975228</v>
      </c>
      <c r="CG125" s="74" t="n">
        <f aca="false">SQRT(($B125-CG$5)^2+($C125-CG$6)^2+($D125-CG$7)^2)</f>
        <v>1.54600374338392</v>
      </c>
      <c r="CH125" s="74" t="n">
        <f aca="false">SQRT(($B125-CH$5)^2+($C125-CH$6)^2+($D125-CH$7)^2)</f>
        <v>1.45389179345898</v>
      </c>
      <c r="CI125" s="74" t="n">
        <f aca="false">SQRT(($B125-CI$5)^2+($C125-CI$6)^2+($D125-CI$7)^2)</f>
        <v>1.35974224174094</v>
      </c>
      <c r="CJ125" s="74" t="n">
        <f aca="false">SQRT(($B125-CJ$5)^2+($C125-CJ$6)^2+($D125-CJ$7)^2)</f>
        <v>1.21495643382453</v>
      </c>
      <c r="CK125" s="74" t="n">
        <f aca="false">SQRT(($B125-CK$5)^2+($C125-CK$6)^2+($D125-CK$7)^2)</f>
        <v>1.573315946281</v>
      </c>
      <c r="CL125" s="74" t="n">
        <f aca="false">SQRT(($B125-CL$5)^2+($C125-CL$6)^2+($D125-CL$7)^2)</f>
        <v>1.08228697575494</v>
      </c>
      <c r="CM125" s="74" t="n">
        <f aca="false">SQRT(($B125-CM$5)^2+($C125-CM$6)^2+($D125-CM$7)^2)</f>
        <v>1.36408150552592</v>
      </c>
      <c r="CN125" s="74" t="n">
        <f aca="false">SQRT(($B125-CN$5)^2+($C125-CN$6)^2+($D125-CN$7)^2)</f>
        <v>2.10943138174765</v>
      </c>
      <c r="CO125" s="74" t="n">
        <f aca="false">SQRT(($B125-CO$5)^2+($C125-CO$6)^2+($D125-CO$7)^2)</f>
        <v>1.46763033371622</v>
      </c>
      <c r="CP125" s="74" t="n">
        <f aca="false">SQRT(($B125-CP$5)^2+($C125-CP$6)^2+($D125-CP$7)^2)</f>
        <v>0.974216911918484</v>
      </c>
      <c r="CQ125" s="74" t="n">
        <f aca="false">SQRT(($B125-CQ$5)^2+($C125-CQ$6)^2+($D125-CQ$7)^2)</f>
        <v>1.19410162945089</v>
      </c>
      <c r="CR125" s="74" t="n">
        <f aca="false">SQRT(($B125-CR$5)^2+($C125-CR$6)^2+($D125-CR$7)^2)</f>
        <v>1.21516327587422</v>
      </c>
      <c r="CS125" s="74" t="n">
        <f aca="false">SQRT(($B125-CS$5)^2+($C125-CS$6)^2+($D125-CS$7)^2)</f>
        <v>0.887270269537015</v>
      </c>
      <c r="CT125" s="74" t="n">
        <f aca="false">SQRT(($B125-CT$5)^2+($C125-CT$6)^2+($D125-CT$7)^2)</f>
        <v>0.837664178578693</v>
      </c>
      <c r="CU125" s="74" t="n">
        <f aca="false">SQRT(($B125-CU$5)^2+($C125-CU$6)^2+($D125-CU$7)^2)</f>
        <v>1.0397960007937</v>
      </c>
      <c r="CV125" s="74" t="n">
        <f aca="false">SQRT(($B125-CV$5)^2+($C125-CV$6)^2+($D125-CV$7)^2)</f>
        <v>1.64074654908467</v>
      </c>
      <c r="CW125" s="74" t="n">
        <f aca="false">SQRT(($B125-CW$5)^2+($C125-CW$6)^2+($D125-CW$7)^2)</f>
        <v>0.837664178578693</v>
      </c>
      <c r="CX125" s="74" t="n">
        <f aca="false">SQRT(($B125-CX$5)^2+($C125-CX$6)^2+($D125-CX$7)^2)</f>
        <v>1.35922820728617</v>
      </c>
      <c r="CY125" s="74" t="n">
        <f aca="false">SQRT(($B125-CY$5)^2+($C125-CY$6)^2+($D125-CY$7)^2)</f>
        <v>0.782827189142014</v>
      </c>
      <c r="CZ125" s="74" t="n">
        <f aca="false">SQRT(($B125-CZ$5)^2+($C125-CZ$6)^2+($D125-CZ$7)^2)</f>
        <v>0.782827189142014</v>
      </c>
      <c r="DA125" s="74" t="n">
        <f aca="false">SQRT(($B125-DA$5)^2+($C125-DA$6)^2+($D125-DA$7)^2)</f>
        <v>1.01266543683077</v>
      </c>
      <c r="DB125" s="74" t="n">
        <f aca="false">SQRT(($B125-DB$5)^2+($C125-DB$6)^2+($D125-DB$7)^2)</f>
        <v>0.721524650503295</v>
      </c>
      <c r="DC125" s="74" t="n">
        <f aca="false">SQRT(($B125-DC$5)^2+($C125-DC$6)^2+($D125-DC$7)^2)</f>
        <v>0.721524650503295</v>
      </c>
      <c r="DD125" s="74" t="n">
        <f aca="false">SQRT(($B125-DD$5)^2+($C125-DD$6)^2+($D125-DD$7)^2)</f>
        <v>0.883044358079541</v>
      </c>
      <c r="DE125" s="74" t="n">
        <f aca="false">SQRT(($B125-DE$5)^2+($C125-DE$6)^2+($D125-DE$7)^2)</f>
        <v>0.655833411836191</v>
      </c>
      <c r="DF125" s="74" t="n">
        <f aca="false">SQRT(($B125-DF$5)^2+($C125-DF$6)^2+($D125-DF$7)^2)</f>
        <v>0.360762325251648</v>
      </c>
      <c r="DG125" s="74" t="n">
        <f aca="false">SQRT(($B125-DG$5)^2+($C125-DG$6)^2+($D125-DG$7)^2)</f>
        <v>0.211032431945183</v>
      </c>
      <c r="DH125" s="74" t="n">
        <f aca="false">SQRT(($B125-DH$5)^2+($C125-DH$6)^2+($D125-DH$7)^2)</f>
        <v>0.211032431945183</v>
      </c>
      <c r="DI125" s="74" t="n">
        <f aca="false">SQRT(($B125-DI$5)^2+($C125-DI$6)^2+($D125-DI$7)^2)</f>
        <v>0.211032431945183</v>
      </c>
      <c r="DJ125" s="74" t="n">
        <f aca="false">SQRT(($B125-DJ$5)^2+($C125-DJ$6)^2+($D125-DJ$7)^2)</f>
        <v>0.211032431945183</v>
      </c>
      <c r="DK125" s="74" t="n">
        <f aca="false">SQRT(($B125-DK$5)^2+($C125-DK$6)^2+($D125-DK$7)^2)</f>
        <v>0</v>
      </c>
      <c r="DL125" s="74" t="n">
        <f aca="false">SQRT(($B125-DL$5)^2+($C125-DL$6)^2+($D125-DL$7)^2)</f>
        <v>0</v>
      </c>
      <c r="DM125" s="74" t="n">
        <f aca="false">SQRT(($B125-DM$5)^2+($C125-DM$6)^2+($D125-DM$7)^2)</f>
        <v>0</v>
      </c>
      <c r="DN125" s="74" t="n">
        <f aca="false">SQRT(($B125-DN$5)^2+($C125-DN$6)^2+($D125-DN$7)^2)</f>
        <v>0</v>
      </c>
      <c r="DO125" s="74" t="n">
        <f aca="false">SQRT(($B125-DO$5)^2+($C125-DO$6)^2+($D125-DO$7)^2)</f>
        <v>0</v>
      </c>
      <c r="DP125" s="74" t="n">
        <f aca="false">SQRT(($B125-DP$5)^2+($C125-DP$6)^2+($D125-DP$7)^2)</f>
        <v>0.360762325251648</v>
      </c>
      <c r="DQ125" s="74" t="n">
        <f aca="false">SQRT(($B125-DQ$5)^2+($C125-DQ$6)^2+($D125-DQ$7)^2)</f>
        <v>0.360762325251648</v>
      </c>
    </row>
    <row r="126" customFormat="false" ht="15" hidden="false" customHeight="false" outlineLevel="0" collapsed="false">
      <c r="A126" s="48" t="str">
        <f aca="false">KMeans_Data!A117</f>
        <v>Okara</v>
      </c>
      <c r="B126" s="72" t="n">
        <f aca="false">KMeans_Data!H117</f>
        <v>-1.71897565655168</v>
      </c>
      <c r="C126" s="72" t="n">
        <f aca="false">KMeans_Data!I117</f>
        <v>-0.672650545388274</v>
      </c>
      <c r="D126" s="72" t="n">
        <f aca="false">KMeans_Data!J117</f>
        <v>-1.14564411633355</v>
      </c>
      <c r="E126" s="74" t="n">
        <f aca="false">SQRT(($B126-E$5)^2+($C126-E$6)^2+($D126-E$7)^2)</f>
        <v>8.15332373062299</v>
      </c>
      <c r="F126" s="74" t="n">
        <f aca="false">SQRT(($B126-F$5)^2+($C126-F$6)^2+($D126-F$7)^2)</f>
        <v>7.91553473342104</v>
      </c>
      <c r="G126" s="74" t="n">
        <f aca="false">SQRT(($B126-G$5)^2+($C126-G$6)^2+($D126-G$7)^2)</f>
        <v>6.15249594053942</v>
      </c>
      <c r="H126" s="74" t="n">
        <f aca="false">SQRT(($B126-H$5)^2+($C126-H$6)^2+($D126-H$7)^2)</f>
        <v>6.49671597942661</v>
      </c>
      <c r="I126" s="74" t="n">
        <f aca="false">SQRT(($B126-I$5)^2+($C126-I$6)^2+($D126-I$7)^2)</f>
        <v>5.54164285575793</v>
      </c>
      <c r="J126" s="74" t="n">
        <f aca="false">SQRT(($B126-J$5)^2+($C126-J$6)^2+($D126-J$7)^2)</f>
        <v>5.04535418233174</v>
      </c>
      <c r="K126" s="74" t="n">
        <f aca="false">SQRT(($B126-K$5)^2+($C126-K$6)^2+($D126-K$7)^2)</f>
        <v>3.18613885742987</v>
      </c>
      <c r="L126" s="74" t="n">
        <f aca="false">SQRT(($B126-L$5)^2+($C126-L$6)^2+($D126-L$7)^2)</f>
        <v>4.39243997352734</v>
      </c>
      <c r="M126" s="74" t="n">
        <f aca="false">SQRT(($B126-M$5)^2+($C126-M$6)^2+($D126-M$7)^2)</f>
        <v>4.52687434122475</v>
      </c>
      <c r="N126" s="74" t="n">
        <f aca="false">SQRT(($B126-N$5)^2+($C126-N$6)^2+($D126-N$7)^2)</f>
        <v>2.98477770591255</v>
      </c>
      <c r="O126" s="74" t="n">
        <f aca="false">SQRT(($B126-O$5)^2+($C126-O$6)^2+($D126-O$7)^2)</f>
        <v>4.1653882750283</v>
      </c>
      <c r="P126" s="74" t="n">
        <f aca="false">SQRT(($B126-P$5)^2+($C126-P$6)^2+($D126-P$7)^2)</f>
        <v>4.40526225230481</v>
      </c>
      <c r="Q126" s="74" t="n">
        <f aca="false">SQRT(($B126-Q$5)^2+($C126-Q$6)^2+($D126-Q$7)^2)</f>
        <v>3.91895994049514</v>
      </c>
      <c r="R126" s="74" t="n">
        <f aca="false">SQRT(($B126-R$5)^2+($C126-R$6)^2+($D126-R$7)^2)</f>
        <v>3.94287645773164</v>
      </c>
      <c r="S126" s="74" t="n">
        <f aca="false">SQRT(($B126-S$5)^2+($C126-S$6)^2+($D126-S$7)^2)</f>
        <v>3.61379058560017</v>
      </c>
      <c r="T126" s="74" t="n">
        <f aca="false">SQRT(($B126-T$5)^2+($C126-T$6)^2+($D126-T$7)^2)</f>
        <v>3.82148883195752</v>
      </c>
      <c r="U126" s="74" t="n">
        <f aca="false">SQRT(($B126-U$5)^2+($C126-U$6)^2+($D126-U$7)^2)</f>
        <v>3.91247471035122</v>
      </c>
      <c r="V126" s="74" t="n">
        <f aca="false">SQRT(($B126-V$5)^2+($C126-V$6)^2+($D126-V$7)^2)</f>
        <v>3.7342269435146</v>
      </c>
      <c r="W126" s="74" t="n">
        <f aca="false">SQRT(($B126-W$5)^2+($C126-W$6)^2+($D126-W$7)^2)</f>
        <v>3.89225481975836</v>
      </c>
      <c r="X126" s="74" t="n">
        <f aca="false">SQRT(($B126-X$5)^2+($C126-X$6)^2+($D126-X$7)^2)</f>
        <v>3.67391589969196</v>
      </c>
      <c r="Y126" s="74" t="n">
        <f aca="false">SQRT(($B126-Y$5)^2+($C126-Y$6)^2+($D126-Y$7)^2)</f>
        <v>3.78146337247965</v>
      </c>
      <c r="Z126" s="74" t="n">
        <f aca="false">SQRT(($B126-Z$5)^2+($C126-Z$6)^2+($D126-Z$7)^2)</f>
        <v>3.40035340385994</v>
      </c>
      <c r="AA126" s="74" t="n">
        <f aca="false">SQRT(($B126-AA$5)^2+($C126-AA$6)^2+($D126-AA$7)^2)</f>
        <v>3.37474942459125</v>
      </c>
      <c r="AB126" s="74" t="n">
        <f aca="false">SQRT(($B126-AB$5)^2+($C126-AB$6)^2+($D126-AB$7)^2)</f>
        <v>3.32240796066687</v>
      </c>
      <c r="AC126" s="74" t="n">
        <f aca="false">SQRT(($B126-AC$5)^2+($C126-AC$6)^2+($D126-AC$7)^2)</f>
        <v>3.72587555327954</v>
      </c>
      <c r="AD126" s="74" t="n">
        <f aca="false">SQRT(($B126-AD$5)^2+($C126-AD$6)^2+($D126-AD$7)^2)</f>
        <v>3.73430142540691</v>
      </c>
      <c r="AE126" s="74" t="n">
        <f aca="false">SQRT(($B126-AE$5)^2+($C126-AE$6)^2+($D126-AE$7)^2)</f>
        <v>2.42237275698138</v>
      </c>
      <c r="AF126" s="74" t="n">
        <f aca="false">SQRT(($B126-AF$5)^2+($C126-AF$6)^2+($D126-AF$7)^2)</f>
        <v>3.36317982089643</v>
      </c>
      <c r="AG126" s="74" t="n">
        <f aca="false">SQRT(($B126-AG$5)^2+($C126-AG$6)^2+($D126-AG$7)^2)</f>
        <v>2.41478384787707</v>
      </c>
      <c r="AH126" s="74" t="n">
        <f aca="false">SQRT(($B126-AH$5)^2+($C126-AH$6)^2+($D126-AH$7)^2)</f>
        <v>3.1117811237466</v>
      </c>
      <c r="AI126" s="74" t="n">
        <f aca="false">SQRT(($B126-AI$5)^2+($C126-AI$6)^2+($D126-AI$7)^2)</f>
        <v>2.411774765261</v>
      </c>
      <c r="AJ126" s="74" t="n">
        <f aca="false">SQRT(($B126-AJ$5)^2+($C126-AJ$6)^2+($D126-AJ$7)^2)</f>
        <v>3.43869045349591</v>
      </c>
      <c r="AK126" s="74" t="n">
        <f aca="false">SQRT(($B126-AK$5)^2+($C126-AK$6)^2+($D126-AK$7)^2)</f>
        <v>2.86741686540951</v>
      </c>
      <c r="AL126" s="74" t="n">
        <f aca="false">SQRT(($B126-AL$5)^2+($C126-AL$6)^2+($D126-AL$7)^2)</f>
        <v>2.83103967448494</v>
      </c>
      <c r="AM126" s="74" t="n">
        <f aca="false">SQRT(($B126-AM$5)^2+($C126-AM$6)^2+($D126-AM$7)^2)</f>
        <v>3.34444076037514</v>
      </c>
      <c r="AN126" s="74" t="n">
        <f aca="false">SQRT(($B126-AN$5)^2+($C126-AN$6)^2+($D126-AN$7)^2)</f>
        <v>3.3921595223746</v>
      </c>
      <c r="AO126" s="74" t="n">
        <f aca="false">SQRT(($B126-AO$5)^2+($C126-AO$6)^2+($D126-AO$7)^2)</f>
        <v>2.92894677882399</v>
      </c>
      <c r="AP126" s="74" t="n">
        <f aca="false">SQRT(($B126-AP$5)^2+($C126-AP$6)^2+($D126-AP$7)^2)</f>
        <v>2.88073392421802</v>
      </c>
      <c r="AQ126" s="74" t="n">
        <f aca="false">SQRT(($B126-AQ$5)^2+($C126-AQ$6)^2+($D126-AQ$7)^2)</f>
        <v>3.38437406497854</v>
      </c>
      <c r="AR126" s="74" t="n">
        <f aca="false">SQRT(($B126-AR$5)^2+($C126-AR$6)^2+($D126-AR$7)^2)</f>
        <v>2.50595655541563</v>
      </c>
      <c r="AS126" s="74" t="n">
        <f aca="false">SQRT(($B126-AS$5)^2+($C126-AS$6)^2+($D126-AS$7)^2)</f>
        <v>2.96590649915147</v>
      </c>
      <c r="AT126" s="74" t="n">
        <f aca="false">SQRT(($B126-AT$5)^2+($C126-AT$6)^2+($D126-AT$7)^2)</f>
        <v>2.8165818159944</v>
      </c>
      <c r="AU126" s="74" t="n">
        <f aca="false">SQRT(($B126-AU$5)^2+($C126-AU$6)^2+($D126-AU$7)^2)</f>
        <v>2.11207526864895</v>
      </c>
      <c r="AV126" s="74" t="n">
        <f aca="false">SQRT(($B126-AV$5)^2+($C126-AV$6)^2+($D126-AV$7)^2)</f>
        <v>2.58066844039465</v>
      </c>
      <c r="AW126" s="74" t="n">
        <f aca="false">SQRT(($B126-AW$5)^2+($C126-AW$6)^2+($D126-AW$7)^2)</f>
        <v>1.98376768519845</v>
      </c>
      <c r="AX126" s="74" t="n">
        <f aca="false">SQRT(($B126-AX$5)^2+($C126-AX$6)^2+($D126-AX$7)^2)</f>
        <v>2.61439401973479</v>
      </c>
      <c r="AY126" s="74" t="n">
        <f aca="false">SQRT(($B126-AY$5)^2+($C126-AY$6)^2+($D126-AY$7)^2)</f>
        <v>1.91995115433364</v>
      </c>
      <c r="AZ126" s="74" t="n">
        <f aca="false">SQRT(($B126-AZ$5)^2+($C126-AZ$6)^2+($D126-AZ$7)^2)</f>
        <v>2.90354831259108</v>
      </c>
      <c r="BA126" s="74" t="n">
        <f aca="false">SQRT(($B126-BA$5)^2+($C126-BA$6)^2+($D126-BA$7)^2)</f>
        <v>2.77608755865678</v>
      </c>
      <c r="BB126" s="74" t="n">
        <f aca="false">SQRT(($B126-BB$5)^2+($C126-BB$6)^2+($D126-BB$7)^2)</f>
        <v>1.9134042753373</v>
      </c>
      <c r="BC126" s="74" t="n">
        <f aca="false">SQRT(($B126-BC$5)^2+($C126-BC$6)^2+($D126-BC$7)^2)</f>
        <v>1.90677399436696</v>
      </c>
      <c r="BD126" s="74" t="n">
        <f aca="false">SQRT(($B126-BD$5)^2+($C126-BD$6)^2+($D126-BD$7)^2)</f>
        <v>1.99274431514817</v>
      </c>
      <c r="BE126" s="74" t="n">
        <f aca="false">SQRT(($B126-BE$5)^2+($C126-BE$6)^2+($D126-BE$7)^2)</f>
        <v>2.07811823681026</v>
      </c>
      <c r="BF126" s="74" t="n">
        <f aca="false">SQRT(($B126-BF$5)^2+($C126-BF$6)^2+($D126-BF$7)^2)</f>
        <v>3.36570063901411</v>
      </c>
      <c r="BG126" s="74" t="n">
        <f aca="false">SQRT(($B126-BG$5)^2+($C126-BG$6)^2+($D126-BG$7)^2)</f>
        <v>2.5883774445742</v>
      </c>
      <c r="BH126" s="74" t="n">
        <f aca="false">SQRT(($B126-BH$5)^2+($C126-BH$6)^2+($D126-BH$7)^2)</f>
        <v>1.80381162625824</v>
      </c>
      <c r="BI126" s="74" t="n">
        <f aca="false">SQRT(($B126-BI$5)^2+($C126-BI$6)^2+($D126-BI$7)^2)</f>
        <v>1.7872873806883</v>
      </c>
      <c r="BJ126" s="74" t="n">
        <f aca="false">SQRT(($B126-BJ$5)^2+($C126-BJ$6)^2+($D126-BJ$7)^2)</f>
        <v>2.41982706603353</v>
      </c>
      <c r="BK126" s="74" t="n">
        <f aca="false">SQRT(($B126-BK$5)^2+($C126-BK$6)^2+($D126-BK$7)^2)</f>
        <v>1.87925911990036</v>
      </c>
      <c r="BL126" s="74" t="n">
        <f aca="false">SQRT(($B126-BL$5)^2+($C126-BL$6)^2+($D126-BL$7)^2)</f>
        <v>2.28515986820667</v>
      </c>
      <c r="BM126" s="74" t="n">
        <f aca="false">SQRT(($B126-BM$5)^2+($C126-BM$6)^2+($D126-BM$7)^2)</f>
        <v>2.65432585213842</v>
      </c>
      <c r="BN126" s="74" t="n">
        <f aca="false">SQRT(($B126-BN$5)^2+($C126-BN$6)^2+($D126-BN$7)^2)</f>
        <v>2.21666293385688</v>
      </c>
      <c r="BO126" s="74" t="n">
        <f aca="false">SQRT(($B126-BO$5)^2+($C126-BO$6)^2+($D126-BO$7)^2)</f>
        <v>1.68497910936832</v>
      </c>
      <c r="BP126" s="74" t="n">
        <f aca="false">SQRT(($B126-BP$5)^2+($C126-BP$6)^2+($D126-BP$7)^2)</f>
        <v>2.3044567786491</v>
      </c>
      <c r="BQ126" s="74" t="n">
        <f aca="false">SQRT(($B126-BQ$5)^2+($C126-BQ$6)^2+($D126-BQ$7)^2)</f>
        <v>2.27970896732173</v>
      </c>
      <c r="BR126" s="74" t="n">
        <f aca="false">SQRT(($B126-BR$5)^2+($C126-BR$6)^2+($D126-BR$7)^2)</f>
        <v>2.29592442653765</v>
      </c>
      <c r="BS126" s="74" t="n">
        <f aca="false">SQRT(($B126-BS$5)^2+($C126-BS$6)^2+($D126-BS$7)^2)</f>
        <v>2.32977963929621</v>
      </c>
      <c r="BT126" s="74" t="n">
        <f aca="false">SQRT(($B126-BT$5)^2+($C126-BT$6)^2+($D126-BT$7)^2)</f>
        <v>2.01419755324146</v>
      </c>
      <c r="BU126" s="74" t="n">
        <f aca="false">SQRT(($B126-BU$5)^2+($C126-BU$6)^2+($D126-BU$7)^2)</f>
        <v>1.95903367088122</v>
      </c>
      <c r="BV126" s="74" t="n">
        <f aca="false">SQRT(($B126-BV$5)^2+($C126-BV$6)^2+($D126-BV$7)^2)</f>
        <v>1.45906502673385</v>
      </c>
      <c r="BW126" s="74" t="n">
        <f aca="false">SQRT(($B126-BW$5)^2+($C126-BW$6)^2+($D126-BW$7)^2)</f>
        <v>2.03323614442023</v>
      </c>
      <c r="BX126" s="74" t="n">
        <f aca="false">SQRT(($B126-BX$5)^2+($C126-BX$6)^2+($D126-BX$7)^2)</f>
        <v>1.44304930100659</v>
      </c>
      <c r="BY126" s="74" t="n">
        <f aca="false">SQRT(($B126-BY$5)^2+($C126-BY$6)^2+($D126-BY$7)^2)</f>
        <v>1.70736301621644</v>
      </c>
      <c r="BZ126" s="74" t="n">
        <f aca="false">SQRT(($B126-BZ$5)^2+($C126-BZ$6)^2+($D126-BZ$7)^2)</f>
        <v>1.65838488395625</v>
      </c>
      <c r="CA126" s="74" t="n">
        <f aca="false">SQRT(($B126-CA$5)^2+($C126-CA$6)^2+($D126-CA$7)^2)</f>
        <v>1.39181419457889</v>
      </c>
      <c r="CB126" s="74" t="n">
        <f aca="false">SQRT(($B126-CB$5)^2+($C126-CB$6)^2+($D126-CB$7)^2)</f>
        <v>1.64308668776638</v>
      </c>
      <c r="CC126" s="74" t="n">
        <f aca="false">SQRT(($B126-CC$5)^2+($C126-CC$6)^2+($D126-CC$7)^2)</f>
        <v>1.37355021473981</v>
      </c>
      <c r="CD126" s="74" t="n">
        <f aca="false">SQRT(($B126-CD$5)^2+($C126-CD$6)^2+($D126-CD$7)^2)</f>
        <v>1.33497923717013</v>
      </c>
      <c r="CE126" s="74" t="n">
        <f aca="false">SQRT(($B126-CE$5)^2+($C126-CE$6)^2+($D126-CE$7)^2)</f>
        <v>1.77222811757815</v>
      </c>
      <c r="CF126" s="74" t="n">
        <f aca="false">SQRT(($B126-CF$5)^2+($C126-CF$6)^2+($D126-CF$7)^2)</f>
        <v>1.91183199975228</v>
      </c>
      <c r="CG126" s="74" t="n">
        <f aca="false">SQRT(($B126-CG$5)^2+($C126-CG$6)^2+($D126-CG$7)^2)</f>
        <v>1.54600374338392</v>
      </c>
      <c r="CH126" s="74" t="n">
        <f aca="false">SQRT(($B126-CH$5)^2+($C126-CH$6)^2+($D126-CH$7)^2)</f>
        <v>1.45389179345898</v>
      </c>
      <c r="CI126" s="74" t="n">
        <f aca="false">SQRT(($B126-CI$5)^2+($C126-CI$6)^2+($D126-CI$7)^2)</f>
        <v>1.35974224174094</v>
      </c>
      <c r="CJ126" s="74" t="n">
        <f aca="false">SQRT(($B126-CJ$5)^2+($C126-CJ$6)^2+($D126-CJ$7)^2)</f>
        <v>1.21495643382453</v>
      </c>
      <c r="CK126" s="74" t="n">
        <f aca="false">SQRT(($B126-CK$5)^2+($C126-CK$6)^2+($D126-CK$7)^2)</f>
        <v>1.573315946281</v>
      </c>
      <c r="CL126" s="74" t="n">
        <f aca="false">SQRT(($B126-CL$5)^2+($C126-CL$6)^2+($D126-CL$7)^2)</f>
        <v>1.08228697575494</v>
      </c>
      <c r="CM126" s="74" t="n">
        <f aca="false">SQRT(($B126-CM$5)^2+($C126-CM$6)^2+($D126-CM$7)^2)</f>
        <v>1.36408150552592</v>
      </c>
      <c r="CN126" s="74" t="n">
        <f aca="false">SQRT(($B126-CN$5)^2+($C126-CN$6)^2+($D126-CN$7)^2)</f>
        <v>2.10943138174765</v>
      </c>
      <c r="CO126" s="74" t="n">
        <f aca="false">SQRT(($B126-CO$5)^2+($C126-CO$6)^2+($D126-CO$7)^2)</f>
        <v>1.46763033371622</v>
      </c>
      <c r="CP126" s="74" t="n">
        <f aca="false">SQRT(($B126-CP$5)^2+($C126-CP$6)^2+($D126-CP$7)^2)</f>
        <v>0.974216911918484</v>
      </c>
      <c r="CQ126" s="74" t="n">
        <f aca="false">SQRT(($B126-CQ$5)^2+($C126-CQ$6)^2+($D126-CQ$7)^2)</f>
        <v>1.19410162945089</v>
      </c>
      <c r="CR126" s="74" t="n">
        <f aca="false">SQRT(($B126-CR$5)^2+($C126-CR$6)^2+($D126-CR$7)^2)</f>
        <v>1.21516327587422</v>
      </c>
      <c r="CS126" s="74" t="n">
        <f aca="false">SQRT(($B126-CS$5)^2+($C126-CS$6)^2+($D126-CS$7)^2)</f>
        <v>0.887270269537015</v>
      </c>
      <c r="CT126" s="74" t="n">
        <f aca="false">SQRT(($B126-CT$5)^2+($C126-CT$6)^2+($D126-CT$7)^2)</f>
        <v>0.837664178578693</v>
      </c>
      <c r="CU126" s="74" t="n">
        <f aca="false">SQRT(($B126-CU$5)^2+($C126-CU$6)^2+($D126-CU$7)^2)</f>
        <v>1.0397960007937</v>
      </c>
      <c r="CV126" s="74" t="n">
        <f aca="false">SQRT(($B126-CV$5)^2+($C126-CV$6)^2+($D126-CV$7)^2)</f>
        <v>1.64074654908467</v>
      </c>
      <c r="CW126" s="74" t="n">
        <f aca="false">SQRT(($B126-CW$5)^2+($C126-CW$6)^2+($D126-CW$7)^2)</f>
        <v>0.837664178578693</v>
      </c>
      <c r="CX126" s="74" t="n">
        <f aca="false">SQRT(($B126-CX$5)^2+($C126-CX$6)^2+($D126-CX$7)^2)</f>
        <v>1.35922820728617</v>
      </c>
      <c r="CY126" s="74" t="n">
        <f aca="false">SQRT(($B126-CY$5)^2+($C126-CY$6)^2+($D126-CY$7)^2)</f>
        <v>0.782827189142014</v>
      </c>
      <c r="CZ126" s="74" t="n">
        <f aca="false">SQRT(($B126-CZ$5)^2+($C126-CZ$6)^2+($D126-CZ$7)^2)</f>
        <v>0.782827189142014</v>
      </c>
      <c r="DA126" s="74" t="n">
        <f aca="false">SQRT(($B126-DA$5)^2+($C126-DA$6)^2+($D126-DA$7)^2)</f>
        <v>1.01266543683077</v>
      </c>
      <c r="DB126" s="74" t="n">
        <f aca="false">SQRT(($B126-DB$5)^2+($C126-DB$6)^2+($D126-DB$7)^2)</f>
        <v>0.721524650503295</v>
      </c>
      <c r="DC126" s="74" t="n">
        <f aca="false">SQRT(($B126-DC$5)^2+($C126-DC$6)^2+($D126-DC$7)^2)</f>
        <v>0.721524650503295</v>
      </c>
      <c r="DD126" s="74" t="n">
        <f aca="false">SQRT(($B126-DD$5)^2+($C126-DD$6)^2+($D126-DD$7)^2)</f>
        <v>0.883044358079541</v>
      </c>
      <c r="DE126" s="74" t="n">
        <f aca="false">SQRT(($B126-DE$5)^2+($C126-DE$6)^2+($D126-DE$7)^2)</f>
        <v>0.655833411836191</v>
      </c>
      <c r="DF126" s="74" t="n">
        <f aca="false">SQRT(($B126-DF$5)^2+($C126-DF$6)^2+($D126-DF$7)^2)</f>
        <v>0.360762325251648</v>
      </c>
      <c r="DG126" s="74" t="n">
        <f aca="false">SQRT(($B126-DG$5)^2+($C126-DG$6)^2+($D126-DG$7)^2)</f>
        <v>0.211032431945183</v>
      </c>
      <c r="DH126" s="74" t="n">
        <f aca="false">SQRT(($B126-DH$5)^2+($C126-DH$6)^2+($D126-DH$7)^2)</f>
        <v>0.211032431945183</v>
      </c>
      <c r="DI126" s="74" t="n">
        <f aca="false">SQRT(($B126-DI$5)^2+($C126-DI$6)^2+($D126-DI$7)^2)</f>
        <v>0.211032431945183</v>
      </c>
      <c r="DJ126" s="74" t="n">
        <f aca="false">SQRT(($B126-DJ$5)^2+($C126-DJ$6)^2+($D126-DJ$7)^2)</f>
        <v>0.211032431945183</v>
      </c>
      <c r="DK126" s="74" t="n">
        <f aca="false">SQRT(($B126-DK$5)^2+($C126-DK$6)^2+($D126-DK$7)^2)</f>
        <v>0</v>
      </c>
      <c r="DL126" s="74" t="n">
        <f aca="false">SQRT(($B126-DL$5)^2+($C126-DL$6)^2+($D126-DL$7)^2)</f>
        <v>0</v>
      </c>
      <c r="DM126" s="74" t="n">
        <f aca="false">SQRT(($B126-DM$5)^2+($C126-DM$6)^2+($D126-DM$7)^2)</f>
        <v>0</v>
      </c>
      <c r="DN126" s="74" t="n">
        <f aca="false">SQRT(($B126-DN$5)^2+($C126-DN$6)^2+($D126-DN$7)^2)</f>
        <v>0</v>
      </c>
      <c r="DO126" s="74" t="n">
        <f aca="false">SQRT(($B126-DO$5)^2+($C126-DO$6)^2+($D126-DO$7)^2)</f>
        <v>0</v>
      </c>
      <c r="DP126" s="74" t="n">
        <f aca="false">SQRT(($B126-DP$5)^2+($C126-DP$6)^2+($D126-DP$7)^2)</f>
        <v>0.360762325251648</v>
      </c>
      <c r="DQ126" s="74" t="n">
        <f aca="false">SQRT(($B126-DQ$5)^2+($C126-DQ$6)^2+($D126-DQ$7)^2)</f>
        <v>0.360762325251648</v>
      </c>
    </row>
    <row r="127" customFormat="false" ht="15" hidden="false" customHeight="false" outlineLevel="0" collapsed="false">
      <c r="A127" s="48" t="str">
        <f aca="false">KMeans_Data!A118</f>
        <v>Ziarat</v>
      </c>
      <c r="B127" s="72" t="n">
        <f aca="false">KMeans_Data!H118</f>
        <v>-1.71897565655168</v>
      </c>
      <c r="C127" s="72" t="n">
        <f aca="false">KMeans_Data!I118</f>
        <v>-0.672650545388274</v>
      </c>
      <c r="D127" s="72" t="n">
        <f aca="false">KMeans_Data!J118</f>
        <v>-1.14564411633355</v>
      </c>
      <c r="E127" s="74" t="n">
        <f aca="false">SQRT(($B127-E$5)^2+($C127-E$6)^2+($D127-E$7)^2)</f>
        <v>8.15332373062299</v>
      </c>
      <c r="F127" s="74" t="n">
        <f aca="false">SQRT(($B127-F$5)^2+($C127-F$6)^2+($D127-F$7)^2)</f>
        <v>7.91553473342104</v>
      </c>
      <c r="G127" s="74" t="n">
        <f aca="false">SQRT(($B127-G$5)^2+($C127-G$6)^2+($D127-G$7)^2)</f>
        <v>6.15249594053942</v>
      </c>
      <c r="H127" s="74" t="n">
        <f aca="false">SQRT(($B127-H$5)^2+($C127-H$6)^2+($D127-H$7)^2)</f>
        <v>6.49671597942661</v>
      </c>
      <c r="I127" s="74" t="n">
        <f aca="false">SQRT(($B127-I$5)^2+($C127-I$6)^2+($D127-I$7)^2)</f>
        <v>5.54164285575793</v>
      </c>
      <c r="J127" s="74" t="n">
        <f aca="false">SQRT(($B127-J$5)^2+($C127-J$6)^2+($D127-J$7)^2)</f>
        <v>5.04535418233174</v>
      </c>
      <c r="K127" s="74" t="n">
        <f aca="false">SQRT(($B127-K$5)^2+($C127-K$6)^2+($D127-K$7)^2)</f>
        <v>3.18613885742987</v>
      </c>
      <c r="L127" s="74" t="n">
        <f aca="false">SQRT(($B127-L$5)^2+($C127-L$6)^2+($D127-L$7)^2)</f>
        <v>4.39243997352734</v>
      </c>
      <c r="M127" s="74" t="n">
        <f aca="false">SQRT(($B127-M$5)^2+($C127-M$6)^2+($D127-M$7)^2)</f>
        <v>4.52687434122475</v>
      </c>
      <c r="N127" s="74" t="n">
        <f aca="false">SQRT(($B127-N$5)^2+($C127-N$6)^2+($D127-N$7)^2)</f>
        <v>2.98477770591255</v>
      </c>
      <c r="O127" s="74" t="n">
        <f aca="false">SQRT(($B127-O$5)^2+($C127-O$6)^2+($D127-O$7)^2)</f>
        <v>4.1653882750283</v>
      </c>
      <c r="P127" s="74" t="n">
        <f aca="false">SQRT(($B127-P$5)^2+($C127-P$6)^2+($D127-P$7)^2)</f>
        <v>4.40526225230481</v>
      </c>
      <c r="Q127" s="74" t="n">
        <f aca="false">SQRT(($B127-Q$5)^2+($C127-Q$6)^2+($D127-Q$7)^2)</f>
        <v>3.91895994049514</v>
      </c>
      <c r="R127" s="74" t="n">
        <f aca="false">SQRT(($B127-R$5)^2+($C127-R$6)^2+($D127-R$7)^2)</f>
        <v>3.94287645773164</v>
      </c>
      <c r="S127" s="74" t="n">
        <f aca="false">SQRT(($B127-S$5)^2+($C127-S$6)^2+($D127-S$7)^2)</f>
        <v>3.61379058560017</v>
      </c>
      <c r="T127" s="74" t="n">
        <f aca="false">SQRT(($B127-T$5)^2+($C127-T$6)^2+($D127-T$7)^2)</f>
        <v>3.82148883195752</v>
      </c>
      <c r="U127" s="74" t="n">
        <f aca="false">SQRT(($B127-U$5)^2+($C127-U$6)^2+($D127-U$7)^2)</f>
        <v>3.91247471035122</v>
      </c>
      <c r="V127" s="74" t="n">
        <f aca="false">SQRT(($B127-V$5)^2+($C127-V$6)^2+($D127-V$7)^2)</f>
        <v>3.7342269435146</v>
      </c>
      <c r="W127" s="74" t="n">
        <f aca="false">SQRT(($B127-W$5)^2+($C127-W$6)^2+($D127-W$7)^2)</f>
        <v>3.89225481975836</v>
      </c>
      <c r="X127" s="74" t="n">
        <f aca="false">SQRT(($B127-X$5)^2+($C127-X$6)^2+($D127-X$7)^2)</f>
        <v>3.67391589969196</v>
      </c>
      <c r="Y127" s="74" t="n">
        <f aca="false">SQRT(($B127-Y$5)^2+($C127-Y$6)^2+($D127-Y$7)^2)</f>
        <v>3.78146337247965</v>
      </c>
      <c r="Z127" s="74" t="n">
        <f aca="false">SQRT(($B127-Z$5)^2+($C127-Z$6)^2+($D127-Z$7)^2)</f>
        <v>3.40035340385994</v>
      </c>
      <c r="AA127" s="74" t="n">
        <f aca="false">SQRT(($B127-AA$5)^2+($C127-AA$6)^2+($D127-AA$7)^2)</f>
        <v>3.37474942459125</v>
      </c>
      <c r="AB127" s="74" t="n">
        <f aca="false">SQRT(($B127-AB$5)^2+($C127-AB$6)^2+($D127-AB$7)^2)</f>
        <v>3.32240796066687</v>
      </c>
      <c r="AC127" s="74" t="n">
        <f aca="false">SQRT(($B127-AC$5)^2+($C127-AC$6)^2+($D127-AC$7)^2)</f>
        <v>3.72587555327954</v>
      </c>
      <c r="AD127" s="74" t="n">
        <f aca="false">SQRT(($B127-AD$5)^2+($C127-AD$6)^2+($D127-AD$7)^2)</f>
        <v>3.73430142540691</v>
      </c>
      <c r="AE127" s="74" t="n">
        <f aca="false">SQRT(($B127-AE$5)^2+($C127-AE$6)^2+($D127-AE$7)^2)</f>
        <v>2.42237275698138</v>
      </c>
      <c r="AF127" s="74" t="n">
        <f aca="false">SQRT(($B127-AF$5)^2+($C127-AF$6)^2+($D127-AF$7)^2)</f>
        <v>3.36317982089643</v>
      </c>
      <c r="AG127" s="74" t="n">
        <f aca="false">SQRT(($B127-AG$5)^2+($C127-AG$6)^2+($D127-AG$7)^2)</f>
        <v>2.41478384787707</v>
      </c>
      <c r="AH127" s="74" t="n">
        <f aca="false">SQRT(($B127-AH$5)^2+($C127-AH$6)^2+($D127-AH$7)^2)</f>
        <v>3.1117811237466</v>
      </c>
      <c r="AI127" s="74" t="n">
        <f aca="false">SQRT(($B127-AI$5)^2+($C127-AI$6)^2+($D127-AI$7)^2)</f>
        <v>2.411774765261</v>
      </c>
      <c r="AJ127" s="74" t="n">
        <f aca="false">SQRT(($B127-AJ$5)^2+($C127-AJ$6)^2+($D127-AJ$7)^2)</f>
        <v>3.43869045349591</v>
      </c>
      <c r="AK127" s="74" t="n">
        <f aca="false">SQRT(($B127-AK$5)^2+($C127-AK$6)^2+($D127-AK$7)^2)</f>
        <v>2.86741686540951</v>
      </c>
      <c r="AL127" s="74" t="n">
        <f aca="false">SQRT(($B127-AL$5)^2+($C127-AL$6)^2+($D127-AL$7)^2)</f>
        <v>2.83103967448494</v>
      </c>
      <c r="AM127" s="74" t="n">
        <f aca="false">SQRT(($B127-AM$5)^2+($C127-AM$6)^2+($D127-AM$7)^2)</f>
        <v>3.34444076037514</v>
      </c>
      <c r="AN127" s="74" t="n">
        <f aca="false">SQRT(($B127-AN$5)^2+($C127-AN$6)^2+($D127-AN$7)^2)</f>
        <v>3.3921595223746</v>
      </c>
      <c r="AO127" s="74" t="n">
        <f aca="false">SQRT(($B127-AO$5)^2+($C127-AO$6)^2+($D127-AO$7)^2)</f>
        <v>2.92894677882399</v>
      </c>
      <c r="AP127" s="74" t="n">
        <f aca="false">SQRT(($B127-AP$5)^2+($C127-AP$6)^2+($D127-AP$7)^2)</f>
        <v>2.88073392421802</v>
      </c>
      <c r="AQ127" s="74" t="n">
        <f aca="false">SQRT(($B127-AQ$5)^2+($C127-AQ$6)^2+($D127-AQ$7)^2)</f>
        <v>3.38437406497854</v>
      </c>
      <c r="AR127" s="74" t="n">
        <f aca="false">SQRT(($B127-AR$5)^2+($C127-AR$6)^2+($D127-AR$7)^2)</f>
        <v>2.50595655541563</v>
      </c>
      <c r="AS127" s="74" t="n">
        <f aca="false">SQRT(($B127-AS$5)^2+($C127-AS$6)^2+($D127-AS$7)^2)</f>
        <v>2.96590649915147</v>
      </c>
      <c r="AT127" s="74" t="n">
        <f aca="false">SQRT(($B127-AT$5)^2+($C127-AT$6)^2+($D127-AT$7)^2)</f>
        <v>2.8165818159944</v>
      </c>
      <c r="AU127" s="74" t="n">
        <f aca="false">SQRT(($B127-AU$5)^2+($C127-AU$6)^2+($D127-AU$7)^2)</f>
        <v>2.11207526864895</v>
      </c>
      <c r="AV127" s="74" t="n">
        <f aca="false">SQRT(($B127-AV$5)^2+($C127-AV$6)^2+($D127-AV$7)^2)</f>
        <v>2.58066844039465</v>
      </c>
      <c r="AW127" s="74" t="n">
        <f aca="false">SQRT(($B127-AW$5)^2+($C127-AW$6)^2+($D127-AW$7)^2)</f>
        <v>1.98376768519845</v>
      </c>
      <c r="AX127" s="74" t="n">
        <f aca="false">SQRT(($B127-AX$5)^2+($C127-AX$6)^2+($D127-AX$7)^2)</f>
        <v>2.61439401973479</v>
      </c>
      <c r="AY127" s="74" t="n">
        <f aca="false">SQRT(($B127-AY$5)^2+($C127-AY$6)^2+($D127-AY$7)^2)</f>
        <v>1.91995115433364</v>
      </c>
      <c r="AZ127" s="74" t="n">
        <f aca="false">SQRT(($B127-AZ$5)^2+($C127-AZ$6)^2+($D127-AZ$7)^2)</f>
        <v>2.90354831259108</v>
      </c>
      <c r="BA127" s="74" t="n">
        <f aca="false">SQRT(($B127-BA$5)^2+($C127-BA$6)^2+($D127-BA$7)^2)</f>
        <v>2.77608755865678</v>
      </c>
      <c r="BB127" s="74" t="n">
        <f aca="false">SQRT(($B127-BB$5)^2+($C127-BB$6)^2+($D127-BB$7)^2)</f>
        <v>1.9134042753373</v>
      </c>
      <c r="BC127" s="74" t="n">
        <f aca="false">SQRT(($B127-BC$5)^2+($C127-BC$6)^2+($D127-BC$7)^2)</f>
        <v>1.90677399436696</v>
      </c>
      <c r="BD127" s="74" t="n">
        <f aca="false">SQRT(($B127-BD$5)^2+($C127-BD$6)^2+($D127-BD$7)^2)</f>
        <v>1.99274431514817</v>
      </c>
      <c r="BE127" s="74" t="n">
        <f aca="false">SQRT(($B127-BE$5)^2+($C127-BE$6)^2+($D127-BE$7)^2)</f>
        <v>2.07811823681026</v>
      </c>
      <c r="BF127" s="74" t="n">
        <f aca="false">SQRT(($B127-BF$5)^2+($C127-BF$6)^2+($D127-BF$7)^2)</f>
        <v>3.36570063901411</v>
      </c>
      <c r="BG127" s="74" t="n">
        <f aca="false">SQRT(($B127-BG$5)^2+($C127-BG$6)^2+($D127-BG$7)^2)</f>
        <v>2.5883774445742</v>
      </c>
      <c r="BH127" s="74" t="n">
        <f aca="false">SQRT(($B127-BH$5)^2+($C127-BH$6)^2+($D127-BH$7)^2)</f>
        <v>1.80381162625824</v>
      </c>
      <c r="BI127" s="74" t="n">
        <f aca="false">SQRT(($B127-BI$5)^2+($C127-BI$6)^2+($D127-BI$7)^2)</f>
        <v>1.7872873806883</v>
      </c>
      <c r="BJ127" s="74" t="n">
        <f aca="false">SQRT(($B127-BJ$5)^2+($C127-BJ$6)^2+($D127-BJ$7)^2)</f>
        <v>2.41982706603353</v>
      </c>
      <c r="BK127" s="74" t="n">
        <f aca="false">SQRT(($B127-BK$5)^2+($C127-BK$6)^2+($D127-BK$7)^2)</f>
        <v>1.87925911990036</v>
      </c>
      <c r="BL127" s="74" t="n">
        <f aca="false">SQRT(($B127-BL$5)^2+($C127-BL$6)^2+($D127-BL$7)^2)</f>
        <v>2.28515986820667</v>
      </c>
      <c r="BM127" s="74" t="n">
        <f aca="false">SQRT(($B127-BM$5)^2+($C127-BM$6)^2+($D127-BM$7)^2)</f>
        <v>2.65432585213842</v>
      </c>
      <c r="BN127" s="74" t="n">
        <f aca="false">SQRT(($B127-BN$5)^2+($C127-BN$6)^2+($D127-BN$7)^2)</f>
        <v>2.21666293385688</v>
      </c>
      <c r="BO127" s="74" t="n">
        <f aca="false">SQRT(($B127-BO$5)^2+($C127-BO$6)^2+($D127-BO$7)^2)</f>
        <v>1.68497910936832</v>
      </c>
      <c r="BP127" s="74" t="n">
        <f aca="false">SQRT(($B127-BP$5)^2+($C127-BP$6)^2+($D127-BP$7)^2)</f>
        <v>2.3044567786491</v>
      </c>
      <c r="BQ127" s="74" t="n">
        <f aca="false">SQRT(($B127-BQ$5)^2+($C127-BQ$6)^2+($D127-BQ$7)^2)</f>
        <v>2.27970896732173</v>
      </c>
      <c r="BR127" s="74" t="n">
        <f aca="false">SQRT(($B127-BR$5)^2+($C127-BR$6)^2+($D127-BR$7)^2)</f>
        <v>2.29592442653765</v>
      </c>
      <c r="BS127" s="74" t="n">
        <f aca="false">SQRT(($B127-BS$5)^2+($C127-BS$6)^2+($D127-BS$7)^2)</f>
        <v>2.32977963929621</v>
      </c>
      <c r="BT127" s="74" t="n">
        <f aca="false">SQRT(($B127-BT$5)^2+($C127-BT$6)^2+($D127-BT$7)^2)</f>
        <v>2.01419755324146</v>
      </c>
      <c r="BU127" s="74" t="n">
        <f aca="false">SQRT(($B127-BU$5)^2+($C127-BU$6)^2+($D127-BU$7)^2)</f>
        <v>1.95903367088122</v>
      </c>
      <c r="BV127" s="74" t="n">
        <f aca="false">SQRT(($B127-BV$5)^2+($C127-BV$6)^2+($D127-BV$7)^2)</f>
        <v>1.45906502673385</v>
      </c>
      <c r="BW127" s="74" t="n">
        <f aca="false">SQRT(($B127-BW$5)^2+($C127-BW$6)^2+($D127-BW$7)^2)</f>
        <v>2.03323614442023</v>
      </c>
      <c r="BX127" s="74" t="n">
        <f aca="false">SQRT(($B127-BX$5)^2+($C127-BX$6)^2+($D127-BX$7)^2)</f>
        <v>1.44304930100659</v>
      </c>
      <c r="BY127" s="74" t="n">
        <f aca="false">SQRT(($B127-BY$5)^2+($C127-BY$6)^2+($D127-BY$7)^2)</f>
        <v>1.70736301621644</v>
      </c>
      <c r="BZ127" s="74" t="n">
        <f aca="false">SQRT(($B127-BZ$5)^2+($C127-BZ$6)^2+($D127-BZ$7)^2)</f>
        <v>1.65838488395625</v>
      </c>
      <c r="CA127" s="74" t="n">
        <f aca="false">SQRT(($B127-CA$5)^2+($C127-CA$6)^2+($D127-CA$7)^2)</f>
        <v>1.39181419457889</v>
      </c>
      <c r="CB127" s="74" t="n">
        <f aca="false">SQRT(($B127-CB$5)^2+($C127-CB$6)^2+($D127-CB$7)^2)</f>
        <v>1.64308668776638</v>
      </c>
      <c r="CC127" s="74" t="n">
        <f aca="false">SQRT(($B127-CC$5)^2+($C127-CC$6)^2+($D127-CC$7)^2)</f>
        <v>1.37355021473981</v>
      </c>
      <c r="CD127" s="74" t="n">
        <f aca="false">SQRT(($B127-CD$5)^2+($C127-CD$6)^2+($D127-CD$7)^2)</f>
        <v>1.33497923717013</v>
      </c>
      <c r="CE127" s="74" t="n">
        <f aca="false">SQRT(($B127-CE$5)^2+($C127-CE$6)^2+($D127-CE$7)^2)</f>
        <v>1.77222811757815</v>
      </c>
      <c r="CF127" s="74" t="n">
        <f aca="false">SQRT(($B127-CF$5)^2+($C127-CF$6)^2+($D127-CF$7)^2)</f>
        <v>1.91183199975228</v>
      </c>
      <c r="CG127" s="74" t="n">
        <f aca="false">SQRT(($B127-CG$5)^2+($C127-CG$6)^2+($D127-CG$7)^2)</f>
        <v>1.54600374338392</v>
      </c>
      <c r="CH127" s="74" t="n">
        <f aca="false">SQRT(($B127-CH$5)^2+($C127-CH$6)^2+($D127-CH$7)^2)</f>
        <v>1.45389179345898</v>
      </c>
      <c r="CI127" s="74" t="n">
        <f aca="false">SQRT(($B127-CI$5)^2+($C127-CI$6)^2+($D127-CI$7)^2)</f>
        <v>1.35974224174094</v>
      </c>
      <c r="CJ127" s="74" t="n">
        <f aca="false">SQRT(($B127-CJ$5)^2+($C127-CJ$6)^2+($D127-CJ$7)^2)</f>
        <v>1.21495643382453</v>
      </c>
      <c r="CK127" s="74" t="n">
        <f aca="false">SQRT(($B127-CK$5)^2+($C127-CK$6)^2+($D127-CK$7)^2)</f>
        <v>1.573315946281</v>
      </c>
      <c r="CL127" s="74" t="n">
        <f aca="false">SQRT(($B127-CL$5)^2+($C127-CL$6)^2+($D127-CL$7)^2)</f>
        <v>1.08228697575494</v>
      </c>
      <c r="CM127" s="74" t="n">
        <f aca="false">SQRT(($B127-CM$5)^2+($C127-CM$6)^2+($D127-CM$7)^2)</f>
        <v>1.36408150552592</v>
      </c>
      <c r="CN127" s="74" t="n">
        <f aca="false">SQRT(($B127-CN$5)^2+($C127-CN$6)^2+($D127-CN$7)^2)</f>
        <v>2.10943138174765</v>
      </c>
      <c r="CO127" s="74" t="n">
        <f aca="false">SQRT(($B127-CO$5)^2+($C127-CO$6)^2+($D127-CO$7)^2)</f>
        <v>1.46763033371622</v>
      </c>
      <c r="CP127" s="74" t="n">
        <f aca="false">SQRT(($B127-CP$5)^2+($C127-CP$6)^2+($D127-CP$7)^2)</f>
        <v>0.974216911918484</v>
      </c>
      <c r="CQ127" s="74" t="n">
        <f aca="false">SQRT(($B127-CQ$5)^2+($C127-CQ$6)^2+($D127-CQ$7)^2)</f>
        <v>1.19410162945089</v>
      </c>
      <c r="CR127" s="74" t="n">
        <f aca="false">SQRT(($B127-CR$5)^2+($C127-CR$6)^2+($D127-CR$7)^2)</f>
        <v>1.21516327587422</v>
      </c>
      <c r="CS127" s="74" t="n">
        <f aca="false">SQRT(($B127-CS$5)^2+($C127-CS$6)^2+($D127-CS$7)^2)</f>
        <v>0.887270269537015</v>
      </c>
      <c r="CT127" s="74" t="n">
        <f aca="false">SQRT(($B127-CT$5)^2+($C127-CT$6)^2+($D127-CT$7)^2)</f>
        <v>0.837664178578693</v>
      </c>
      <c r="CU127" s="74" t="n">
        <f aca="false">SQRT(($B127-CU$5)^2+($C127-CU$6)^2+($D127-CU$7)^2)</f>
        <v>1.0397960007937</v>
      </c>
      <c r="CV127" s="74" t="n">
        <f aca="false">SQRT(($B127-CV$5)^2+($C127-CV$6)^2+($D127-CV$7)^2)</f>
        <v>1.64074654908467</v>
      </c>
      <c r="CW127" s="74" t="n">
        <f aca="false">SQRT(($B127-CW$5)^2+($C127-CW$6)^2+($D127-CW$7)^2)</f>
        <v>0.837664178578693</v>
      </c>
      <c r="CX127" s="74" t="n">
        <f aca="false">SQRT(($B127-CX$5)^2+($C127-CX$6)^2+($D127-CX$7)^2)</f>
        <v>1.35922820728617</v>
      </c>
      <c r="CY127" s="74" t="n">
        <f aca="false">SQRT(($B127-CY$5)^2+($C127-CY$6)^2+($D127-CY$7)^2)</f>
        <v>0.782827189142014</v>
      </c>
      <c r="CZ127" s="74" t="n">
        <f aca="false">SQRT(($B127-CZ$5)^2+($C127-CZ$6)^2+($D127-CZ$7)^2)</f>
        <v>0.782827189142014</v>
      </c>
      <c r="DA127" s="74" t="n">
        <f aca="false">SQRT(($B127-DA$5)^2+($C127-DA$6)^2+($D127-DA$7)^2)</f>
        <v>1.01266543683077</v>
      </c>
      <c r="DB127" s="74" t="n">
        <f aca="false">SQRT(($B127-DB$5)^2+($C127-DB$6)^2+($D127-DB$7)^2)</f>
        <v>0.721524650503295</v>
      </c>
      <c r="DC127" s="74" t="n">
        <f aca="false">SQRT(($B127-DC$5)^2+($C127-DC$6)^2+($D127-DC$7)^2)</f>
        <v>0.721524650503295</v>
      </c>
      <c r="DD127" s="74" t="n">
        <f aca="false">SQRT(($B127-DD$5)^2+($C127-DD$6)^2+($D127-DD$7)^2)</f>
        <v>0.883044358079541</v>
      </c>
      <c r="DE127" s="74" t="n">
        <f aca="false">SQRT(($B127-DE$5)^2+($C127-DE$6)^2+($D127-DE$7)^2)</f>
        <v>0.655833411836191</v>
      </c>
      <c r="DF127" s="74" t="n">
        <f aca="false">SQRT(($B127-DF$5)^2+($C127-DF$6)^2+($D127-DF$7)^2)</f>
        <v>0.360762325251648</v>
      </c>
      <c r="DG127" s="74" t="n">
        <f aca="false">SQRT(($B127-DG$5)^2+($C127-DG$6)^2+($D127-DG$7)^2)</f>
        <v>0.211032431945183</v>
      </c>
      <c r="DH127" s="74" t="n">
        <f aca="false">SQRT(($B127-DH$5)^2+($C127-DH$6)^2+($D127-DH$7)^2)</f>
        <v>0.211032431945183</v>
      </c>
      <c r="DI127" s="74" t="n">
        <f aca="false">SQRT(($B127-DI$5)^2+($C127-DI$6)^2+($D127-DI$7)^2)</f>
        <v>0.211032431945183</v>
      </c>
      <c r="DJ127" s="74" t="n">
        <f aca="false">SQRT(($B127-DJ$5)^2+($C127-DJ$6)^2+($D127-DJ$7)^2)</f>
        <v>0.211032431945183</v>
      </c>
      <c r="DK127" s="74" t="n">
        <f aca="false">SQRT(($B127-DK$5)^2+($C127-DK$6)^2+($D127-DK$7)^2)</f>
        <v>0</v>
      </c>
      <c r="DL127" s="74" t="n">
        <f aca="false">SQRT(($B127-DL$5)^2+($C127-DL$6)^2+($D127-DL$7)^2)</f>
        <v>0</v>
      </c>
      <c r="DM127" s="74" t="n">
        <f aca="false">SQRT(($B127-DM$5)^2+($C127-DM$6)^2+($D127-DM$7)^2)</f>
        <v>0</v>
      </c>
      <c r="DN127" s="74" t="n">
        <f aca="false">SQRT(($B127-DN$5)^2+($C127-DN$6)^2+($D127-DN$7)^2)</f>
        <v>0</v>
      </c>
      <c r="DO127" s="74" t="n">
        <f aca="false">SQRT(($B127-DO$5)^2+($C127-DO$6)^2+($D127-DO$7)^2)</f>
        <v>0</v>
      </c>
      <c r="DP127" s="74" t="n">
        <f aca="false">SQRT(($B127-DP$5)^2+($C127-DP$6)^2+($D127-DP$7)^2)</f>
        <v>0.360762325251648</v>
      </c>
      <c r="DQ127" s="74" t="n">
        <f aca="false">SQRT(($B127-DQ$5)^2+($C127-DQ$6)^2+($D127-DQ$7)^2)</f>
        <v>0.360762325251648</v>
      </c>
    </row>
    <row r="128" customFormat="false" ht="15" hidden="false" customHeight="false" outlineLevel="0" collapsed="false">
      <c r="A128" s="48" t="str">
        <f aca="false">KMeans_Data!A119</f>
        <v>Pakpatan</v>
      </c>
      <c r="B128" s="72" t="n">
        <f aca="false">KMeans_Data!H119</f>
        <v>-1.71897565655168</v>
      </c>
      <c r="C128" s="72" t="n">
        <f aca="false">KMeans_Data!I119</f>
        <v>-0.672650545388274</v>
      </c>
      <c r="D128" s="72" t="n">
        <f aca="false">KMeans_Data!J119</f>
        <v>-1.14564411633355</v>
      </c>
      <c r="E128" s="74" t="n">
        <f aca="false">SQRT(($B128-E$5)^2+($C128-E$6)^2+($D128-E$7)^2)</f>
        <v>8.15332373062299</v>
      </c>
      <c r="F128" s="74" t="n">
        <f aca="false">SQRT(($B128-F$5)^2+($C128-F$6)^2+($D128-F$7)^2)</f>
        <v>7.91553473342104</v>
      </c>
      <c r="G128" s="74" t="n">
        <f aca="false">SQRT(($B128-G$5)^2+($C128-G$6)^2+($D128-G$7)^2)</f>
        <v>6.15249594053942</v>
      </c>
      <c r="H128" s="74" t="n">
        <f aca="false">SQRT(($B128-H$5)^2+($C128-H$6)^2+($D128-H$7)^2)</f>
        <v>6.49671597942661</v>
      </c>
      <c r="I128" s="74" t="n">
        <f aca="false">SQRT(($B128-I$5)^2+($C128-I$6)^2+($D128-I$7)^2)</f>
        <v>5.54164285575793</v>
      </c>
      <c r="J128" s="74" t="n">
        <f aca="false">SQRT(($B128-J$5)^2+($C128-J$6)^2+($D128-J$7)^2)</f>
        <v>5.04535418233174</v>
      </c>
      <c r="K128" s="74" t="n">
        <f aca="false">SQRT(($B128-K$5)^2+($C128-K$6)^2+($D128-K$7)^2)</f>
        <v>3.18613885742987</v>
      </c>
      <c r="L128" s="74" t="n">
        <f aca="false">SQRT(($B128-L$5)^2+($C128-L$6)^2+($D128-L$7)^2)</f>
        <v>4.39243997352734</v>
      </c>
      <c r="M128" s="74" t="n">
        <f aca="false">SQRT(($B128-M$5)^2+($C128-M$6)^2+($D128-M$7)^2)</f>
        <v>4.52687434122475</v>
      </c>
      <c r="N128" s="74" t="n">
        <f aca="false">SQRT(($B128-N$5)^2+($C128-N$6)^2+($D128-N$7)^2)</f>
        <v>2.98477770591255</v>
      </c>
      <c r="O128" s="74" t="n">
        <f aca="false">SQRT(($B128-O$5)^2+($C128-O$6)^2+($D128-O$7)^2)</f>
        <v>4.1653882750283</v>
      </c>
      <c r="P128" s="74" t="n">
        <f aca="false">SQRT(($B128-P$5)^2+($C128-P$6)^2+($D128-P$7)^2)</f>
        <v>4.40526225230481</v>
      </c>
      <c r="Q128" s="74" t="n">
        <f aca="false">SQRT(($B128-Q$5)^2+($C128-Q$6)^2+($D128-Q$7)^2)</f>
        <v>3.91895994049514</v>
      </c>
      <c r="R128" s="74" t="n">
        <f aca="false">SQRT(($B128-R$5)^2+($C128-R$6)^2+($D128-R$7)^2)</f>
        <v>3.94287645773164</v>
      </c>
      <c r="S128" s="74" t="n">
        <f aca="false">SQRT(($B128-S$5)^2+($C128-S$6)^2+($D128-S$7)^2)</f>
        <v>3.61379058560017</v>
      </c>
      <c r="T128" s="74" t="n">
        <f aca="false">SQRT(($B128-T$5)^2+($C128-T$6)^2+($D128-T$7)^2)</f>
        <v>3.82148883195752</v>
      </c>
      <c r="U128" s="74" t="n">
        <f aca="false">SQRT(($B128-U$5)^2+($C128-U$6)^2+($D128-U$7)^2)</f>
        <v>3.91247471035122</v>
      </c>
      <c r="V128" s="74" t="n">
        <f aca="false">SQRT(($B128-V$5)^2+($C128-V$6)^2+($D128-V$7)^2)</f>
        <v>3.7342269435146</v>
      </c>
      <c r="W128" s="74" t="n">
        <f aca="false">SQRT(($B128-W$5)^2+($C128-W$6)^2+($D128-W$7)^2)</f>
        <v>3.89225481975836</v>
      </c>
      <c r="X128" s="74" t="n">
        <f aca="false">SQRT(($B128-X$5)^2+($C128-X$6)^2+($D128-X$7)^2)</f>
        <v>3.67391589969196</v>
      </c>
      <c r="Y128" s="74" t="n">
        <f aca="false">SQRT(($B128-Y$5)^2+($C128-Y$6)^2+($D128-Y$7)^2)</f>
        <v>3.78146337247965</v>
      </c>
      <c r="Z128" s="74" t="n">
        <f aca="false">SQRT(($B128-Z$5)^2+($C128-Z$6)^2+($D128-Z$7)^2)</f>
        <v>3.40035340385994</v>
      </c>
      <c r="AA128" s="74" t="n">
        <f aca="false">SQRT(($B128-AA$5)^2+($C128-AA$6)^2+($D128-AA$7)^2)</f>
        <v>3.37474942459125</v>
      </c>
      <c r="AB128" s="74" t="n">
        <f aca="false">SQRT(($B128-AB$5)^2+($C128-AB$6)^2+($D128-AB$7)^2)</f>
        <v>3.32240796066687</v>
      </c>
      <c r="AC128" s="74" t="n">
        <f aca="false">SQRT(($B128-AC$5)^2+($C128-AC$6)^2+($D128-AC$7)^2)</f>
        <v>3.72587555327954</v>
      </c>
      <c r="AD128" s="74" t="n">
        <f aca="false">SQRT(($B128-AD$5)^2+($C128-AD$6)^2+($D128-AD$7)^2)</f>
        <v>3.73430142540691</v>
      </c>
      <c r="AE128" s="74" t="n">
        <f aca="false">SQRT(($B128-AE$5)^2+($C128-AE$6)^2+($D128-AE$7)^2)</f>
        <v>2.42237275698138</v>
      </c>
      <c r="AF128" s="74" t="n">
        <f aca="false">SQRT(($B128-AF$5)^2+($C128-AF$6)^2+($D128-AF$7)^2)</f>
        <v>3.36317982089643</v>
      </c>
      <c r="AG128" s="74" t="n">
        <f aca="false">SQRT(($B128-AG$5)^2+($C128-AG$6)^2+($D128-AG$7)^2)</f>
        <v>2.41478384787707</v>
      </c>
      <c r="AH128" s="74" t="n">
        <f aca="false">SQRT(($B128-AH$5)^2+($C128-AH$6)^2+($D128-AH$7)^2)</f>
        <v>3.1117811237466</v>
      </c>
      <c r="AI128" s="74" t="n">
        <f aca="false">SQRT(($B128-AI$5)^2+($C128-AI$6)^2+($D128-AI$7)^2)</f>
        <v>2.411774765261</v>
      </c>
      <c r="AJ128" s="74" t="n">
        <f aca="false">SQRT(($B128-AJ$5)^2+($C128-AJ$6)^2+($D128-AJ$7)^2)</f>
        <v>3.43869045349591</v>
      </c>
      <c r="AK128" s="74" t="n">
        <f aca="false">SQRT(($B128-AK$5)^2+($C128-AK$6)^2+($D128-AK$7)^2)</f>
        <v>2.86741686540951</v>
      </c>
      <c r="AL128" s="74" t="n">
        <f aca="false">SQRT(($B128-AL$5)^2+($C128-AL$6)^2+($D128-AL$7)^2)</f>
        <v>2.83103967448494</v>
      </c>
      <c r="AM128" s="74" t="n">
        <f aca="false">SQRT(($B128-AM$5)^2+($C128-AM$6)^2+($D128-AM$7)^2)</f>
        <v>3.34444076037514</v>
      </c>
      <c r="AN128" s="74" t="n">
        <f aca="false">SQRT(($B128-AN$5)^2+($C128-AN$6)^2+($D128-AN$7)^2)</f>
        <v>3.3921595223746</v>
      </c>
      <c r="AO128" s="74" t="n">
        <f aca="false">SQRT(($B128-AO$5)^2+($C128-AO$6)^2+($D128-AO$7)^2)</f>
        <v>2.92894677882399</v>
      </c>
      <c r="AP128" s="74" t="n">
        <f aca="false">SQRT(($B128-AP$5)^2+($C128-AP$6)^2+($D128-AP$7)^2)</f>
        <v>2.88073392421802</v>
      </c>
      <c r="AQ128" s="74" t="n">
        <f aca="false">SQRT(($B128-AQ$5)^2+($C128-AQ$6)^2+($D128-AQ$7)^2)</f>
        <v>3.38437406497854</v>
      </c>
      <c r="AR128" s="74" t="n">
        <f aca="false">SQRT(($B128-AR$5)^2+($C128-AR$6)^2+($D128-AR$7)^2)</f>
        <v>2.50595655541563</v>
      </c>
      <c r="AS128" s="74" t="n">
        <f aca="false">SQRT(($B128-AS$5)^2+($C128-AS$6)^2+($D128-AS$7)^2)</f>
        <v>2.96590649915147</v>
      </c>
      <c r="AT128" s="74" t="n">
        <f aca="false">SQRT(($B128-AT$5)^2+($C128-AT$6)^2+($D128-AT$7)^2)</f>
        <v>2.8165818159944</v>
      </c>
      <c r="AU128" s="74" t="n">
        <f aca="false">SQRT(($B128-AU$5)^2+($C128-AU$6)^2+($D128-AU$7)^2)</f>
        <v>2.11207526864895</v>
      </c>
      <c r="AV128" s="74" t="n">
        <f aca="false">SQRT(($B128-AV$5)^2+($C128-AV$6)^2+($D128-AV$7)^2)</f>
        <v>2.58066844039465</v>
      </c>
      <c r="AW128" s="74" t="n">
        <f aca="false">SQRT(($B128-AW$5)^2+($C128-AW$6)^2+($D128-AW$7)^2)</f>
        <v>1.98376768519845</v>
      </c>
      <c r="AX128" s="74" t="n">
        <f aca="false">SQRT(($B128-AX$5)^2+($C128-AX$6)^2+($D128-AX$7)^2)</f>
        <v>2.61439401973479</v>
      </c>
      <c r="AY128" s="74" t="n">
        <f aca="false">SQRT(($B128-AY$5)^2+($C128-AY$6)^2+($D128-AY$7)^2)</f>
        <v>1.91995115433364</v>
      </c>
      <c r="AZ128" s="74" t="n">
        <f aca="false">SQRT(($B128-AZ$5)^2+($C128-AZ$6)^2+($D128-AZ$7)^2)</f>
        <v>2.90354831259108</v>
      </c>
      <c r="BA128" s="74" t="n">
        <f aca="false">SQRT(($B128-BA$5)^2+($C128-BA$6)^2+($D128-BA$7)^2)</f>
        <v>2.77608755865678</v>
      </c>
      <c r="BB128" s="74" t="n">
        <f aca="false">SQRT(($B128-BB$5)^2+($C128-BB$6)^2+($D128-BB$7)^2)</f>
        <v>1.9134042753373</v>
      </c>
      <c r="BC128" s="74" t="n">
        <f aca="false">SQRT(($B128-BC$5)^2+($C128-BC$6)^2+($D128-BC$7)^2)</f>
        <v>1.90677399436696</v>
      </c>
      <c r="BD128" s="74" t="n">
        <f aca="false">SQRT(($B128-BD$5)^2+($C128-BD$6)^2+($D128-BD$7)^2)</f>
        <v>1.99274431514817</v>
      </c>
      <c r="BE128" s="74" t="n">
        <f aca="false">SQRT(($B128-BE$5)^2+($C128-BE$6)^2+($D128-BE$7)^2)</f>
        <v>2.07811823681026</v>
      </c>
      <c r="BF128" s="74" t="n">
        <f aca="false">SQRT(($B128-BF$5)^2+($C128-BF$6)^2+($D128-BF$7)^2)</f>
        <v>3.36570063901411</v>
      </c>
      <c r="BG128" s="74" t="n">
        <f aca="false">SQRT(($B128-BG$5)^2+($C128-BG$6)^2+($D128-BG$7)^2)</f>
        <v>2.5883774445742</v>
      </c>
      <c r="BH128" s="74" t="n">
        <f aca="false">SQRT(($B128-BH$5)^2+($C128-BH$6)^2+($D128-BH$7)^2)</f>
        <v>1.80381162625824</v>
      </c>
      <c r="BI128" s="74" t="n">
        <f aca="false">SQRT(($B128-BI$5)^2+($C128-BI$6)^2+($D128-BI$7)^2)</f>
        <v>1.7872873806883</v>
      </c>
      <c r="BJ128" s="74" t="n">
        <f aca="false">SQRT(($B128-BJ$5)^2+($C128-BJ$6)^2+($D128-BJ$7)^2)</f>
        <v>2.41982706603353</v>
      </c>
      <c r="BK128" s="74" t="n">
        <f aca="false">SQRT(($B128-BK$5)^2+($C128-BK$6)^2+($D128-BK$7)^2)</f>
        <v>1.87925911990036</v>
      </c>
      <c r="BL128" s="74" t="n">
        <f aca="false">SQRT(($B128-BL$5)^2+($C128-BL$6)^2+($D128-BL$7)^2)</f>
        <v>2.28515986820667</v>
      </c>
      <c r="BM128" s="74" t="n">
        <f aca="false">SQRT(($B128-BM$5)^2+($C128-BM$6)^2+($D128-BM$7)^2)</f>
        <v>2.65432585213842</v>
      </c>
      <c r="BN128" s="74" t="n">
        <f aca="false">SQRT(($B128-BN$5)^2+($C128-BN$6)^2+($D128-BN$7)^2)</f>
        <v>2.21666293385688</v>
      </c>
      <c r="BO128" s="74" t="n">
        <f aca="false">SQRT(($B128-BO$5)^2+($C128-BO$6)^2+($D128-BO$7)^2)</f>
        <v>1.68497910936832</v>
      </c>
      <c r="BP128" s="74" t="n">
        <f aca="false">SQRT(($B128-BP$5)^2+($C128-BP$6)^2+($D128-BP$7)^2)</f>
        <v>2.3044567786491</v>
      </c>
      <c r="BQ128" s="74" t="n">
        <f aca="false">SQRT(($B128-BQ$5)^2+($C128-BQ$6)^2+($D128-BQ$7)^2)</f>
        <v>2.27970896732173</v>
      </c>
      <c r="BR128" s="74" t="n">
        <f aca="false">SQRT(($B128-BR$5)^2+($C128-BR$6)^2+($D128-BR$7)^2)</f>
        <v>2.29592442653765</v>
      </c>
      <c r="BS128" s="74" t="n">
        <f aca="false">SQRT(($B128-BS$5)^2+($C128-BS$6)^2+($D128-BS$7)^2)</f>
        <v>2.32977963929621</v>
      </c>
      <c r="BT128" s="74" t="n">
        <f aca="false">SQRT(($B128-BT$5)^2+($C128-BT$6)^2+($D128-BT$7)^2)</f>
        <v>2.01419755324146</v>
      </c>
      <c r="BU128" s="74" t="n">
        <f aca="false">SQRT(($B128-BU$5)^2+($C128-BU$6)^2+($D128-BU$7)^2)</f>
        <v>1.95903367088122</v>
      </c>
      <c r="BV128" s="74" t="n">
        <f aca="false">SQRT(($B128-BV$5)^2+($C128-BV$6)^2+($D128-BV$7)^2)</f>
        <v>1.45906502673385</v>
      </c>
      <c r="BW128" s="74" t="n">
        <f aca="false">SQRT(($B128-BW$5)^2+($C128-BW$6)^2+($D128-BW$7)^2)</f>
        <v>2.03323614442023</v>
      </c>
      <c r="BX128" s="74" t="n">
        <f aca="false">SQRT(($B128-BX$5)^2+($C128-BX$6)^2+($D128-BX$7)^2)</f>
        <v>1.44304930100659</v>
      </c>
      <c r="BY128" s="74" t="n">
        <f aca="false">SQRT(($B128-BY$5)^2+($C128-BY$6)^2+($D128-BY$7)^2)</f>
        <v>1.70736301621644</v>
      </c>
      <c r="BZ128" s="74" t="n">
        <f aca="false">SQRT(($B128-BZ$5)^2+($C128-BZ$6)^2+($D128-BZ$7)^2)</f>
        <v>1.65838488395625</v>
      </c>
      <c r="CA128" s="74" t="n">
        <f aca="false">SQRT(($B128-CA$5)^2+($C128-CA$6)^2+($D128-CA$7)^2)</f>
        <v>1.39181419457889</v>
      </c>
      <c r="CB128" s="74" t="n">
        <f aca="false">SQRT(($B128-CB$5)^2+($C128-CB$6)^2+($D128-CB$7)^2)</f>
        <v>1.64308668776638</v>
      </c>
      <c r="CC128" s="74" t="n">
        <f aca="false">SQRT(($B128-CC$5)^2+($C128-CC$6)^2+($D128-CC$7)^2)</f>
        <v>1.37355021473981</v>
      </c>
      <c r="CD128" s="74" t="n">
        <f aca="false">SQRT(($B128-CD$5)^2+($C128-CD$6)^2+($D128-CD$7)^2)</f>
        <v>1.33497923717013</v>
      </c>
      <c r="CE128" s="74" t="n">
        <f aca="false">SQRT(($B128-CE$5)^2+($C128-CE$6)^2+($D128-CE$7)^2)</f>
        <v>1.77222811757815</v>
      </c>
      <c r="CF128" s="74" t="n">
        <f aca="false">SQRT(($B128-CF$5)^2+($C128-CF$6)^2+($D128-CF$7)^2)</f>
        <v>1.91183199975228</v>
      </c>
      <c r="CG128" s="74" t="n">
        <f aca="false">SQRT(($B128-CG$5)^2+($C128-CG$6)^2+($D128-CG$7)^2)</f>
        <v>1.54600374338392</v>
      </c>
      <c r="CH128" s="74" t="n">
        <f aca="false">SQRT(($B128-CH$5)^2+($C128-CH$6)^2+($D128-CH$7)^2)</f>
        <v>1.45389179345898</v>
      </c>
      <c r="CI128" s="74" t="n">
        <f aca="false">SQRT(($B128-CI$5)^2+($C128-CI$6)^2+($D128-CI$7)^2)</f>
        <v>1.35974224174094</v>
      </c>
      <c r="CJ128" s="74" t="n">
        <f aca="false">SQRT(($B128-CJ$5)^2+($C128-CJ$6)^2+($D128-CJ$7)^2)</f>
        <v>1.21495643382453</v>
      </c>
      <c r="CK128" s="74" t="n">
        <f aca="false">SQRT(($B128-CK$5)^2+($C128-CK$6)^2+($D128-CK$7)^2)</f>
        <v>1.573315946281</v>
      </c>
      <c r="CL128" s="74" t="n">
        <f aca="false">SQRT(($B128-CL$5)^2+($C128-CL$6)^2+($D128-CL$7)^2)</f>
        <v>1.08228697575494</v>
      </c>
      <c r="CM128" s="74" t="n">
        <f aca="false">SQRT(($B128-CM$5)^2+($C128-CM$6)^2+($D128-CM$7)^2)</f>
        <v>1.36408150552592</v>
      </c>
      <c r="CN128" s="74" t="n">
        <f aca="false">SQRT(($B128-CN$5)^2+($C128-CN$6)^2+($D128-CN$7)^2)</f>
        <v>2.10943138174765</v>
      </c>
      <c r="CO128" s="74" t="n">
        <f aca="false">SQRT(($B128-CO$5)^2+($C128-CO$6)^2+($D128-CO$7)^2)</f>
        <v>1.46763033371622</v>
      </c>
      <c r="CP128" s="74" t="n">
        <f aca="false">SQRT(($B128-CP$5)^2+($C128-CP$6)^2+($D128-CP$7)^2)</f>
        <v>0.974216911918484</v>
      </c>
      <c r="CQ128" s="74" t="n">
        <f aca="false">SQRT(($B128-CQ$5)^2+($C128-CQ$6)^2+($D128-CQ$7)^2)</f>
        <v>1.19410162945089</v>
      </c>
      <c r="CR128" s="74" t="n">
        <f aca="false">SQRT(($B128-CR$5)^2+($C128-CR$6)^2+($D128-CR$7)^2)</f>
        <v>1.21516327587422</v>
      </c>
      <c r="CS128" s="74" t="n">
        <f aca="false">SQRT(($B128-CS$5)^2+($C128-CS$6)^2+($D128-CS$7)^2)</f>
        <v>0.887270269537015</v>
      </c>
      <c r="CT128" s="74" t="n">
        <f aca="false">SQRT(($B128-CT$5)^2+($C128-CT$6)^2+($D128-CT$7)^2)</f>
        <v>0.837664178578693</v>
      </c>
      <c r="CU128" s="74" t="n">
        <f aca="false">SQRT(($B128-CU$5)^2+($C128-CU$6)^2+($D128-CU$7)^2)</f>
        <v>1.0397960007937</v>
      </c>
      <c r="CV128" s="74" t="n">
        <f aca="false">SQRT(($B128-CV$5)^2+($C128-CV$6)^2+($D128-CV$7)^2)</f>
        <v>1.64074654908467</v>
      </c>
      <c r="CW128" s="74" t="n">
        <f aca="false">SQRT(($B128-CW$5)^2+($C128-CW$6)^2+($D128-CW$7)^2)</f>
        <v>0.837664178578693</v>
      </c>
      <c r="CX128" s="74" t="n">
        <f aca="false">SQRT(($B128-CX$5)^2+($C128-CX$6)^2+($D128-CX$7)^2)</f>
        <v>1.35922820728617</v>
      </c>
      <c r="CY128" s="74" t="n">
        <f aca="false">SQRT(($B128-CY$5)^2+($C128-CY$6)^2+($D128-CY$7)^2)</f>
        <v>0.782827189142014</v>
      </c>
      <c r="CZ128" s="74" t="n">
        <f aca="false">SQRT(($B128-CZ$5)^2+($C128-CZ$6)^2+($D128-CZ$7)^2)</f>
        <v>0.782827189142014</v>
      </c>
      <c r="DA128" s="74" t="n">
        <f aca="false">SQRT(($B128-DA$5)^2+($C128-DA$6)^2+($D128-DA$7)^2)</f>
        <v>1.01266543683077</v>
      </c>
      <c r="DB128" s="74" t="n">
        <f aca="false">SQRT(($B128-DB$5)^2+($C128-DB$6)^2+($D128-DB$7)^2)</f>
        <v>0.721524650503295</v>
      </c>
      <c r="DC128" s="74" t="n">
        <f aca="false">SQRT(($B128-DC$5)^2+($C128-DC$6)^2+($D128-DC$7)^2)</f>
        <v>0.721524650503295</v>
      </c>
      <c r="DD128" s="74" t="n">
        <f aca="false">SQRT(($B128-DD$5)^2+($C128-DD$6)^2+($D128-DD$7)^2)</f>
        <v>0.883044358079541</v>
      </c>
      <c r="DE128" s="74" t="n">
        <f aca="false">SQRT(($B128-DE$5)^2+($C128-DE$6)^2+($D128-DE$7)^2)</f>
        <v>0.655833411836191</v>
      </c>
      <c r="DF128" s="74" t="n">
        <f aca="false">SQRT(($B128-DF$5)^2+($C128-DF$6)^2+($D128-DF$7)^2)</f>
        <v>0.360762325251648</v>
      </c>
      <c r="DG128" s="74" t="n">
        <f aca="false">SQRT(($B128-DG$5)^2+($C128-DG$6)^2+($D128-DG$7)^2)</f>
        <v>0.211032431945183</v>
      </c>
      <c r="DH128" s="74" t="n">
        <f aca="false">SQRT(($B128-DH$5)^2+($C128-DH$6)^2+($D128-DH$7)^2)</f>
        <v>0.211032431945183</v>
      </c>
      <c r="DI128" s="74" t="n">
        <f aca="false">SQRT(($B128-DI$5)^2+($C128-DI$6)^2+($D128-DI$7)^2)</f>
        <v>0.211032431945183</v>
      </c>
      <c r="DJ128" s="74" t="n">
        <f aca="false">SQRT(($B128-DJ$5)^2+($C128-DJ$6)^2+($D128-DJ$7)^2)</f>
        <v>0.211032431945183</v>
      </c>
      <c r="DK128" s="74" t="n">
        <f aca="false">SQRT(($B128-DK$5)^2+($C128-DK$6)^2+($D128-DK$7)^2)</f>
        <v>0</v>
      </c>
      <c r="DL128" s="74" t="n">
        <f aca="false">SQRT(($B128-DL$5)^2+($C128-DL$6)^2+($D128-DL$7)^2)</f>
        <v>0</v>
      </c>
      <c r="DM128" s="74" t="n">
        <f aca="false">SQRT(($B128-DM$5)^2+($C128-DM$6)^2+($D128-DM$7)^2)</f>
        <v>0</v>
      </c>
      <c r="DN128" s="74" t="n">
        <f aca="false">SQRT(($B128-DN$5)^2+($C128-DN$6)^2+($D128-DN$7)^2)</f>
        <v>0</v>
      </c>
      <c r="DO128" s="74" t="n">
        <f aca="false">SQRT(($B128-DO$5)^2+($C128-DO$6)^2+($D128-DO$7)^2)</f>
        <v>0</v>
      </c>
      <c r="DP128" s="74" t="n">
        <f aca="false">SQRT(($B128-DP$5)^2+($C128-DP$6)^2+($D128-DP$7)^2)</f>
        <v>0.360762325251648</v>
      </c>
      <c r="DQ128" s="74" t="n">
        <f aca="false">SQRT(($B128-DQ$5)^2+($C128-DQ$6)^2+($D128-DQ$7)^2)</f>
        <v>0.360762325251648</v>
      </c>
    </row>
    <row r="129" customFormat="false" ht="15" hidden="false" customHeight="false" outlineLevel="0" collapsed="false">
      <c r="A129" s="48" t="str">
        <f aca="false">KMeans_Data!A120</f>
        <v>Chitral</v>
      </c>
      <c r="B129" s="72" t="n">
        <f aca="false">KMeans_Data!H120</f>
        <v>-2.07973798180332</v>
      </c>
      <c r="C129" s="72" t="n">
        <f aca="false">KMeans_Data!I120</f>
        <v>-0.672650545388274</v>
      </c>
      <c r="D129" s="72" t="n">
        <f aca="false">KMeans_Data!J120</f>
        <v>-1.14564411633355</v>
      </c>
      <c r="E129" s="74" t="n">
        <f aca="false">SQRT(($B129-E$5)^2+($C129-E$6)^2+($D129-E$7)^2)</f>
        <v>8.37911780072121</v>
      </c>
      <c r="F129" s="74" t="n">
        <f aca="false">SQRT(($B129-F$5)^2+($C129-F$6)^2+($D129-F$7)^2)</f>
        <v>8.14685136916964</v>
      </c>
      <c r="G129" s="74" t="n">
        <f aca="false">SQRT(($B129-G$5)^2+($C129-G$6)^2+($D129-G$7)^2)</f>
        <v>6.3976329314131</v>
      </c>
      <c r="H129" s="74" t="n">
        <f aca="false">SQRT(($B129-H$5)^2+($C129-H$6)^2+($D129-H$7)^2)</f>
        <v>6.7282906668016</v>
      </c>
      <c r="I129" s="74" t="n">
        <f aca="false">SQRT(($B129-I$5)^2+($C129-I$6)^2+($D129-I$7)^2)</f>
        <v>5.80058252965424</v>
      </c>
      <c r="J129" s="74" t="n">
        <f aca="false">SQRT(($B129-J$5)^2+($C129-J$6)^2+($D129-J$7)^2)</f>
        <v>5.28240577925859</v>
      </c>
      <c r="K129" s="74" t="n">
        <f aca="false">SQRT(($B129-K$5)^2+($C129-K$6)^2+($D129-K$7)^2)</f>
        <v>3.53389042212498</v>
      </c>
      <c r="L129" s="74" t="n">
        <f aca="false">SQRT(($B129-L$5)^2+($C129-L$6)^2+($D129-L$7)^2)</f>
        <v>4.64905759921659</v>
      </c>
      <c r="M129" s="74" t="n">
        <f aca="false">SQRT(($B129-M$5)^2+($C129-M$6)^2+($D129-M$7)^2)</f>
        <v>4.77195093233386</v>
      </c>
      <c r="N129" s="74" t="n">
        <f aca="false">SQRT(($B129-N$5)^2+($C129-N$6)^2+($D129-N$7)^2)</f>
        <v>3.33860306644569</v>
      </c>
      <c r="O129" s="74" t="n">
        <f aca="false">SQRT(($B129-O$5)^2+($C129-O$6)^2+($D129-O$7)^2)</f>
        <v>4.42088236717576</v>
      </c>
      <c r="P129" s="74" t="n">
        <f aca="false">SQRT(($B129-P$5)^2+($C129-P$6)^2+($D129-P$7)^2)</f>
        <v>4.64649504905847</v>
      </c>
      <c r="Q129" s="74" t="n">
        <f aca="false">SQRT(($B129-Q$5)^2+($C129-Q$6)^2+($D129-Q$7)^2)</f>
        <v>4.18101541376173</v>
      </c>
      <c r="R129" s="74" t="n">
        <f aca="false">SQRT(($B129-R$5)^2+($C129-R$6)^2+($D129-R$7)^2)</f>
        <v>4.20299555676564</v>
      </c>
      <c r="S129" s="74" t="n">
        <f aca="false">SQRT(($B129-S$5)^2+($C129-S$6)^2+($D129-S$7)^2)</f>
        <v>3.89320954094829</v>
      </c>
      <c r="T129" s="74" t="n">
        <f aca="false">SQRT(($B129-T$5)^2+($C129-T$6)^2+($D129-T$7)^2)</f>
        <v>4.08344706124881</v>
      </c>
      <c r="U129" s="74" t="n">
        <f aca="false">SQRT(($B129-U$5)^2+($C129-U$6)^2+($D129-U$7)^2)</f>
        <v>4.16088329984745</v>
      </c>
      <c r="V129" s="74" t="n">
        <f aca="false">SQRT(($B129-V$5)^2+($C129-V$6)^2+($D129-V$7)^2)</f>
        <v>3.99128361858191</v>
      </c>
      <c r="W129" s="74" t="n">
        <f aca="false">SQRT(($B129-W$5)^2+($C129-W$6)^2+($D129-W$7)^2)</f>
        <v>4.13934753964962</v>
      </c>
      <c r="X129" s="74" t="n">
        <f aca="false">SQRT(($B129-X$5)^2+($C129-X$6)^2+($D129-X$7)^2)</f>
        <v>3.93388071911523</v>
      </c>
      <c r="Y129" s="74" t="n">
        <f aca="false">SQRT(($B129-Y$5)^2+($C129-Y$6)^2+($D129-Y$7)^2)</f>
        <v>4.02986158778563</v>
      </c>
      <c r="Z129" s="74" t="n">
        <f aca="false">SQRT(($B129-Z$5)^2+($C129-Z$6)^2+($D129-Z$7)^2)</f>
        <v>3.67419129732225</v>
      </c>
      <c r="AA129" s="74" t="n">
        <f aca="false">SQRT(($B129-AA$5)^2+($C129-AA$6)^2+($D129-AA$7)^2)</f>
        <v>3.65029895120111</v>
      </c>
      <c r="AB129" s="74" t="n">
        <f aca="false">SQRT(($B129-AB$5)^2+($C129-AB$6)^2+($D129-AB$7)^2)</f>
        <v>3.60196382706207</v>
      </c>
      <c r="AC129" s="74" t="n">
        <f aca="false">SQRT(($B129-AC$5)^2+($C129-AC$6)^2+($D129-AC$7)^2)</f>
        <v>3.97520414117928</v>
      </c>
      <c r="AD129" s="74" t="n">
        <f aca="false">SQRT(($B129-AD$5)^2+($C129-AD$6)^2+($D129-AD$7)^2)</f>
        <v>3.97824420521485</v>
      </c>
      <c r="AE129" s="74" t="n">
        <f aca="false">SQRT(($B129-AE$5)^2+($C129-AE$6)^2+($D129-AE$7)^2)</f>
        <v>2.77564255027266</v>
      </c>
      <c r="AF129" s="74" t="n">
        <f aca="false">SQRT(($B129-AF$5)^2+($C129-AF$6)^2+($D129-AF$7)^2)</f>
        <v>3.62160940481517</v>
      </c>
      <c r="AG129" s="74" t="n">
        <f aca="false">SQRT(($B129-AG$5)^2+($C129-AG$6)^2+($D129-AG$7)^2)</f>
        <v>2.76015891289846</v>
      </c>
      <c r="AH129" s="74" t="n">
        <f aca="false">SQRT(($B129-AH$5)^2+($C129-AH$6)^2+($D129-AH$7)^2)</f>
        <v>3.38680940629828</v>
      </c>
      <c r="AI129" s="74" t="n">
        <f aca="false">SQRT(($B129-AI$5)^2+($C129-AI$6)^2+($D129-AI$7)^2)</f>
        <v>2.75711277150979</v>
      </c>
      <c r="AJ129" s="74" t="n">
        <f aca="false">SQRT(($B129-AJ$5)^2+($C129-AJ$6)^2+($D129-AJ$7)^2)</f>
        <v>3.68849529478745</v>
      </c>
      <c r="AK129" s="74" t="n">
        <f aca="false">SQRT(($B129-AK$5)^2+($C129-AK$6)^2+($D129-AK$7)^2)</f>
        <v>3.1584931364728</v>
      </c>
      <c r="AL129" s="74" t="n">
        <f aca="false">SQRT(($B129-AL$5)^2+($C129-AL$6)^2+($D129-AL$7)^2)</f>
        <v>3.12009252355725</v>
      </c>
      <c r="AM129" s="74" t="n">
        <f aca="false">SQRT(($B129-AM$5)^2+($C129-AM$6)^2+($D129-AM$7)^2)</f>
        <v>3.59241920113851</v>
      </c>
      <c r="AN129" s="74" t="n">
        <f aca="false">SQRT(($B129-AN$5)^2+($C129-AN$6)^2+($D129-AN$7)^2)</f>
        <v>3.6338012413689</v>
      </c>
      <c r="AO129" s="74" t="n">
        <f aca="false">SQRT(($B129-AO$5)^2+($C129-AO$6)^2+($D129-AO$7)^2)</f>
        <v>3.20339910703097</v>
      </c>
      <c r="AP129" s="74" t="n">
        <f aca="false">SQRT(($B129-AP$5)^2+($C129-AP$6)^2+($D129-AP$7)^2)</f>
        <v>3.15889984184424</v>
      </c>
      <c r="AQ129" s="74" t="n">
        <f aca="false">SQRT(($B129-AQ$5)^2+($C129-AQ$6)^2+($D129-AQ$7)^2)</f>
        <v>3.62195415614862</v>
      </c>
      <c r="AR129" s="74" t="n">
        <f aca="false">SQRT(($B129-AR$5)^2+($C129-AR$6)^2+($D129-AR$7)^2)</f>
        <v>2.81629941685552</v>
      </c>
      <c r="AS129" s="74" t="n">
        <f aca="false">SQRT(($B129-AS$5)^2+($C129-AS$6)^2+($D129-AS$7)^2)</f>
        <v>3.22425812165343</v>
      </c>
      <c r="AT129" s="74" t="n">
        <f aca="false">SQRT(($B129-AT$5)^2+($C129-AT$6)^2+($D129-AT$7)^2)</f>
        <v>3.0823789094685</v>
      </c>
      <c r="AU129" s="74" t="n">
        <f aca="false">SQRT(($B129-AU$5)^2+($C129-AU$6)^2+($D129-AU$7)^2)</f>
        <v>2.45367780569083</v>
      </c>
      <c r="AV129" s="74" t="n">
        <f aca="false">SQRT(($B129-AV$5)^2+($C129-AV$6)^2+($D129-AV$7)^2)</f>
        <v>2.86623908661092</v>
      </c>
      <c r="AW129" s="74" t="n">
        <f aca="false">SQRT(($B129-AW$5)^2+($C129-AW$6)^2+($D129-AW$7)^2)</f>
        <v>2.34049876920762</v>
      </c>
      <c r="AX129" s="74" t="n">
        <f aca="false">SQRT(($B129-AX$5)^2+($C129-AX$6)^2+($D129-AX$7)^2)</f>
        <v>2.89365929467502</v>
      </c>
      <c r="AY129" s="74" t="n">
        <f aca="false">SQRT(($B129-AY$5)^2+($C129-AY$6)^2+($D129-AY$7)^2)</f>
        <v>2.28071347958528</v>
      </c>
      <c r="AZ129" s="74" t="n">
        <f aca="false">SQRT(($B129-AZ$5)^2+($C129-AZ$6)^2+($D129-AZ$7)^2)</f>
        <v>3.15373339781369</v>
      </c>
      <c r="BA129" s="74" t="n">
        <f aca="false">SQRT(($B129-BA$5)^2+($C129-BA$6)^2+($D129-BA$7)^2)</f>
        <v>3.03601382402719</v>
      </c>
      <c r="BB129" s="74" t="n">
        <f aca="false">SQRT(($B129-BB$5)^2+($C129-BB$6)^2+($D129-BB$7)^2)</f>
        <v>2.27416660058894</v>
      </c>
      <c r="BC129" s="74" t="n">
        <f aca="false">SQRT(($B129-BC$5)^2+($C129-BC$6)^2+($D129-BC$7)^2)</f>
        <v>2.26753631961861</v>
      </c>
      <c r="BD129" s="74" t="n">
        <f aca="false">SQRT(($B129-BD$5)^2+($C129-BD$6)^2+($D129-BD$7)^2)</f>
        <v>2.33714252238854</v>
      </c>
      <c r="BE129" s="74" t="n">
        <f aca="false">SQRT(($B129-BE$5)^2+($C129-BE$6)^2+($D129-BE$7)^2)</f>
        <v>2.40824220970061</v>
      </c>
      <c r="BF129" s="74" t="n">
        <f aca="false">SQRT(($B129-BF$5)^2+($C129-BF$6)^2+($D129-BF$7)^2)</f>
        <v>3.57676348511696</v>
      </c>
      <c r="BG129" s="74" t="n">
        <f aca="false">SQRT(($B129-BG$5)^2+($C129-BG$6)^2+($D129-BG$7)^2)</f>
        <v>2.85357627285817</v>
      </c>
      <c r="BH129" s="74" t="n">
        <f aca="false">SQRT(($B129-BH$5)^2+($C129-BH$6)^2+($D129-BH$7)^2)</f>
        <v>2.16457395150989</v>
      </c>
      <c r="BI129" s="74" t="n">
        <f aca="false">SQRT(($B129-BI$5)^2+($C129-BI$6)^2+($D129-BI$7)^2)</f>
        <v>2.14804970593995</v>
      </c>
      <c r="BJ129" s="74" t="n">
        <f aca="false">SQRT(($B129-BJ$5)^2+($C129-BJ$6)^2+($D129-BJ$7)^2)</f>
        <v>2.691413846061</v>
      </c>
      <c r="BK129" s="74" t="n">
        <f aca="false">SQRT(($B129-BK$5)^2+($C129-BK$6)^2+($D129-BK$7)^2)</f>
        <v>2.21502754381688</v>
      </c>
      <c r="BL129" s="74" t="n">
        <f aca="false">SQRT(($B129-BL$5)^2+($C129-BL$6)^2+($D129-BL$7)^2)</f>
        <v>2.56706001402801</v>
      </c>
      <c r="BM129" s="74" t="n">
        <f aca="false">SQRT(($B129-BM$5)^2+($C129-BM$6)^2+($D129-BM$7)^2)</f>
        <v>2.89686423762356</v>
      </c>
      <c r="BN129" s="74" t="n">
        <f aca="false">SQRT(($B129-BN$5)^2+($C129-BN$6)^2+($D129-BN$7)^2)</f>
        <v>2.50050689361822</v>
      </c>
      <c r="BO129" s="74" t="n">
        <f aca="false">SQRT(($B129-BO$5)^2+($C129-BO$6)^2+($D129-BO$7)^2)</f>
        <v>2.04028546987929</v>
      </c>
      <c r="BP129" s="74" t="n">
        <f aca="false">SQRT(($B129-BP$5)^2+($C129-BP$6)^2+($D129-BP$7)^2)</f>
        <v>2.57097159994448</v>
      </c>
      <c r="BQ129" s="74" t="n">
        <f aca="false">SQRT(($B129-BQ$5)^2+($C129-BQ$6)^2+($D129-BQ$7)^2)</f>
        <v>2.54715677244681</v>
      </c>
      <c r="BR129" s="74" t="n">
        <f aca="false">SQRT(($B129-BR$5)^2+($C129-BR$6)^2+($D129-BR$7)^2)</f>
        <v>2.55826774752687</v>
      </c>
      <c r="BS129" s="74" t="n">
        <f aca="false">SQRT(($B129-BS$5)^2+($C129-BS$6)^2+($D129-BS$7)^2)</f>
        <v>2.5833134057316</v>
      </c>
      <c r="BT129" s="74" t="n">
        <f aca="false">SQRT(($B129-BT$5)^2+($C129-BT$6)^2+($D129-BT$7)^2)</f>
        <v>2.296207345633</v>
      </c>
      <c r="BU129" s="74" t="n">
        <f aca="false">SQRT(($B129-BU$5)^2+($C129-BU$6)^2+($D129-BU$7)^2)</f>
        <v>2.24797449147035</v>
      </c>
      <c r="BV129" s="74" t="n">
        <f aca="false">SQRT(($B129-BV$5)^2+($C129-BV$6)^2+($D129-BV$7)^2)</f>
        <v>1.81982735198549</v>
      </c>
      <c r="BW129" s="74" t="n">
        <f aca="false">SQRT(($B129-BW$5)^2+($C129-BW$6)^2+($D129-BW$7)^2)</f>
        <v>2.30334415944853</v>
      </c>
      <c r="BX129" s="74" t="n">
        <f aca="false">SQRT(($B129-BX$5)^2+($C129-BX$6)^2+($D129-BX$7)^2)</f>
        <v>1.80381162625824</v>
      </c>
      <c r="BY129" s="74" t="n">
        <f aca="false">SQRT(($B129-BY$5)^2+($C129-BY$6)^2+($D129-BY$7)^2)</f>
        <v>2.01548934269047</v>
      </c>
      <c r="BZ129" s="74" t="n">
        <f aca="false">SQRT(($B129-BZ$5)^2+($C129-BZ$6)^2+($D129-BZ$7)^2)</f>
        <v>1.97094346163573</v>
      </c>
      <c r="CA129" s="74" t="n">
        <f aca="false">SQRT(($B129-CA$5)^2+($C129-CA$6)^2+($D129-CA$7)^2)</f>
        <v>1.75257651983054</v>
      </c>
      <c r="CB129" s="74" t="n">
        <f aca="false">SQRT(($B129-CB$5)^2+($C129-CB$6)^2+($D129-CB$7)^2)</f>
        <v>1.95472086433714</v>
      </c>
      <c r="CC129" s="74" t="n">
        <f aca="false">SQRT(($B129-CC$5)^2+($C129-CC$6)^2+($D129-CC$7)^2)</f>
        <v>1.73431253999145</v>
      </c>
      <c r="CD129" s="74" t="n">
        <f aca="false">SQRT(($B129-CD$5)^2+($C129-CD$6)^2+($D129-CD$7)^2)</f>
        <v>1.69574156242178</v>
      </c>
      <c r="CE129" s="74" t="n">
        <f aca="false">SQRT(($B129-CE$5)^2+($C129-CE$6)^2+($D129-CE$7)^2)</f>
        <v>2.05412603137925</v>
      </c>
      <c r="CF129" s="74" t="n">
        <f aca="false">SQRT(($B129-CF$5)^2+($C129-CF$6)^2+($D129-CF$7)^2)</f>
        <v>2.17571662845419</v>
      </c>
      <c r="CG129" s="74" t="n">
        <f aca="false">SQRT(($B129-CG$5)^2+($C129-CG$6)^2+($D129-CG$7)^2)</f>
        <v>1.84953056521099</v>
      </c>
      <c r="CH129" s="74" t="n">
        <f aca="false">SQRT(($B129-CH$5)^2+($C129-CH$6)^2+($D129-CH$7)^2)</f>
        <v>1.77325606841763</v>
      </c>
      <c r="CI129" s="74" t="n">
        <f aca="false">SQRT(($B129-CI$5)^2+($C129-CI$6)^2+($D129-CI$7)^2)</f>
        <v>1.68634002609964</v>
      </c>
      <c r="CJ129" s="74" t="n">
        <f aca="false">SQRT(($B129-CJ$5)^2+($C129-CJ$6)^2+($D129-CJ$7)^2)</f>
        <v>1.56579072196957</v>
      </c>
      <c r="CK129" s="74" t="n">
        <f aca="false">SQRT(($B129-CK$5)^2+($C129-CK$6)^2+($D129-CK$7)^2)</f>
        <v>1.84638450393411</v>
      </c>
      <c r="CL129" s="74" t="n">
        <f aca="false">SQRT(($B129-CL$5)^2+($C129-CL$6)^2+($D129-CL$7)^2)</f>
        <v>1.44304930100659</v>
      </c>
      <c r="CM129" s="74" t="n">
        <f aca="false">SQRT(($B129-CM$5)^2+($C129-CM$6)^2+($D129-CM$7)^2)</f>
        <v>1.66486171827113</v>
      </c>
      <c r="CN129" s="74" t="n">
        <f aca="false">SQRT(($B129-CN$5)^2+($C129-CN$6)^2+($D129-CN$7)^2)</f>
        <v>2.30447426490723</v>
      </c>
      <c r="CO129" s="74" t="n">
        <f aca="false">SQRT(($B129-CO$5)^2+($C129-CO$6)^2+($D129-CO$7)^2)</f>
        <v>1.72829678257275</v>
      </c>
      <c r="CP129" s="74" t="n">
        <f aca="false">SQRT(($B129-CP$5)^2+($C129-CP$6)^2+($D129-CP$7)^2)</f>
        <v>1.33497923717013</v>
      </c>
      <c r="CQ129" s="74" t="n">
        <f aca="false">SQRT(($B129-CQ$5)^2+($C129-CQ$6)^2+($D129-CQ$7)^2)</f>
        <v>1.49294711217988</v>
      </c>
      <c r="CR129" s="74" t="n">
        <f aca="false">SQRT(($B129-CR$5)^2+($C129-CR$6)^2+($D129-CR$7)^2)</f>
        <v>1.49898586166915</v>
      </c>
      <c r="CS129" s="74" t="n">
        <f aca="false">SQRT(($B129-CS$5)^2+($C129-CS$6)^2+($D129-CS$7)^2)</f>
        <v>1.24803259478866</v>
      </c>
      <c r="CT129" s="74" t="n">
        <f aca="false">SQRT(($B129-CT$5)^2+($C129-CT$6)^2+($D129-CT$7)^2)</f>
        <v>1.19842650383034</v>
      </c>
      <c r="CU129" s="74" t="n">
        <f aca="false">SQRT(($B129-CU$5)^2+($C129-CU$6)^2+($D129-CU$7)^2)</f>
        <v>1.34748674660483</v>
      </c>
      <c r="CV129" s="74" t="n">
        <f aca="false">SQRT(($B129-CV$5)^2+($C129-CV$6)^2+($D129-CV$7)^2)</f>
        <v>1.8511061685766</v>
      </c>
      <c r="CW129" s="74" t="n">
        <f aca="false">SQRT(($B129-CW$5)^2+($C129-CW$6)^2+($D129-CW$7)^2)</f>
        <v>1.19842650383034</v>
      </c>
      <c r="CX129" s="74" t="n">
        <f aca="false">SQRT(($B129-CX$5)^2+($C129-CX$6)^2+($D129-CX$7)^2)</f>
        <v>1.59451556557266</v>
      </c>
      <c r="CY129" s="74" t="n">
        <f aca="false">SQRT(($B129-CY$5)^2+($C129-CY$6)^2+($D129-CY$7)^2)</f>
        <v>1.14358951439366</v>
      </c>
      <c r="CZ129" s="74" t="n">
        <f aca="false">SQRT(($B129-CZ$5)^2+($C129-CZ$6)^2+($D129-CZ$7)^2)</f>
        <v>1.14358951439366</v>
      </c>
      <c r="DA129" s="74" t="n">
        <f aca="false">SQRT(($B129-DA$5)^2+($C129-DA$6)^2+($D129-DA$7)^2)</f>
        <v>1.31166682367238</v>
      </c>
      <c r="DB129" s="74" t="n">
        <f aca="false">SQRT(($B129-DB$5)^2+($C129-DB$6)^2+($D129-DB$7)^2)</f>
        <v>1.08228697575494</v>
      </c>
      <c r="DC129" s="74" t="n">
        <f aca="false">SQRT(($B129-DC$5)^2+($C129-DC$6)^2+($D129-DC$7)^2)</f>
        <v>1.08228697575494</v>
      </c>
      <c r="DD129" s="74" t="n">
        <f aca="false">SQRT(($B129-DD$5)^2+($C129-DD$6)^2+($D129-DD$7)^2)</f>
        <v>1.19604122627148</v>
      </c>
      <c r="DE129" s="74" t="n">
        <f aca="false">SQRT(($B129-DE$5)^2+($C129-DE$6)^2+($D129-DE$7)^2)</f>
        <v>0.986321920950627</v>
      </c>
      <c r="DF129" s="74" t="n">
        <f aca="false">SQRT(($B129-DF$5)^2+($C129-DF$6)^2+($D129-DF$7)^2)</f>
        <v>0.721524650503296</v>
      </c>
      <c r="DG129" s="74" t="n">
        <f aca="false">SQRT(($B129-DG$5)^2+($C129-DG$6)^2+($D129-DG$7)^2)</f>
        <v>0.571794757196831</v>
      </c>
      <c r="DH129" s="74" t="n">
        <f aca="false">SQRT(($B129-DH$5)^2+($C129-DH$6)^2+($D129-DH$7)^2)</f>
        <v>0.571794757196831</v>
      </c>
      <c r="DI129" s="74" t="n">
        <f aca="false">SQRT(($B129-DI$5)^2+($C129-DI$6)^2+($D129-DI$7)^2)</f>
        <v>0.571794757196831</v>
      </c>
      <c r="DJ129" s="74" t="n">
        <f aca="false">SQRT(($B129-DJ$5)^2+($C129-DJ$6)^2+($D129-DJ$7)^2)</f>
        <v>0.571794757196831</v>
      </c>
      <c r="DK129" s="74" t="n">
        <f aca="false">SQRT(($B129-DK$5)^2+($C129-DK$6)^2+($D129-DK$7)^2)</f>
        <v>0.360762325251648</v>
      </c>
      <c r="DL129" s="74" t="n">
        <f aca="false">SQRT(($B129-DL$5)^2+($C129-DL$6)^2+($D129-DL$7)^2)</f>
        <v>0.360762325251648</v>
      </c>
      <c r="DM129" s="74" t="n">
        <f aca="false">SQRT(($B129-DM$5)^2+($C129-DM$6)^2+($D129-DM$7)^2)</f>
        <v>0.360762325251648</v>
      </c>
      <c r="DN129" s="74" t="n">
        <f aca="false">SQRT(($B129-DN$5)^2+($C129-DN$6)^2+($D129-DN$7)^2)</f>
        <v>0.360762325251648</v>
      </c>
      <c r="DO129" s="74" t="n">
        <f aca="false">SQRT(($B129-DO$5)^2+($C129-DO$6)^2+($D129-DO$7)^2)</f>
        <v>0.360762325251648</v>
      </c>
      <c r="DP129" s="74" t="n">
        <f aca="false">SQRT(($B129-DP$5)^2+($C129-DP$6)^2+($D129-DP$7)^2)</f>
        <v>0</v>
      </c>
      <c r="DQ129" s="74" t="n">
        <f aca="false">SQRT(($B129-DQ$5)^2+($C129-DQ$6)^2+($D129-DQ$7)^2)</f>
        <v>0</v>
      </c>
    </row>
    <row r="130" customFormat="false" ht="15" hidden="false" customHeight="false" outlineLevel="0" collapsed="false">
      <c r="A130" s="48" t="str">
        <f aca="false">KMeans_Data!A121</f>
        <v>Kolai Pallas</v>
      </c>
      <c r="B130" s="72" t="n">
        <f aca="false">KMeans_Data!H121</f>
        <v>-2.07973798180332</v>
      </c>
      <c r="C130" s="72" t="n">
        <f aca="false">KMeans_Data!I121</f>
        <v>-0.672650545388274</v>
      </c>
      <c r="D130" s="72" t="n">
        <f aca="false">KMeans_Data!J121</f>
        <v>-1.14564411633355</v>
      </c>
      <c r="E130" s="74" t="n">
        <f aca="false">SQRT(($B130-E$5)^2+($C130-E$6)^2+($D130-E$7)^2)</f>
        <v>8.37911780072121</v>
      </c>
      <c r="F130" s="74" t="n">
        <f aca="false">SQRT(($B130-F$5)^2+($C130-F$6)^2+($D130-F$7)^2)</f>
        <v>8.14685136916964</v>
      </c>
      <c r="G130" s="74" t="n">
        <f aca="false">SQRT(($B130-G$5)^2+($C130-G$6)^2+($D130-G$7)^2)</f>
        <v>6.3976329314131</v>
      </c>
      <c r="H130" s="74" t="n">
        <f aca="false">SQRT(($B130-H$5)^2+($C130-H$6)^2+($D130-H$7)^2)</f>
        <v>6.7282906668016</v>
      </c>
      <c r="I130" s="74" t="n">
        <f aca="false">SQRT(($B130-I$5)^2+($C130-I$6)^2+($D130-I$7)^2)</f>
        <v>5.80058252965424</v>
      </c>
      <c r="J130" s="74" t="n">
        <f aca="false">SQRT(($B130-J$5)^2+($C130-J$6)^2+($D130-J$7)^2)</f>
        <v>5.28240577925859</v>
      </c>
      <c r="K130" s="74" t="n">
        <f aca="false">SQRT(($B130-K$5)^2+($C130-K$6)^2+($D130-K$7)^2)</f>
        <v>3.53389042212498</v>
      </c>
      <c r="L130" s="74" t="n">
        <f aca="false">SQRT(($B130-L$5)^2+($C130-L$6)^2+($D130-L$7)^2)</f>
        <v>4.64905759921659</v>
      </c>
      <c r="M130" s="74" t="n">
        <f aca="false">SQRT(($B130-M$5)^2+($C130-M$6)^2+($D130-M$7)^2)</f>
        <v>4.77195093233386</v>
      </c>
      <c r="N130" s="74" t="n">
        <f aca="false">SQRT(($B130-N$5)^2+($C130-N$6)^2+($D130-N$7)^2)</f>
        <v>3.33860306644569</v>
      </c>
      <c r="O130" s="74" t="n">
        <f aca="false">SQRT(($B130-O$5)^2+($C130-O$6)^2+($D130-O$7)^2)</f>
        <v>4.42088236717576</v>
      </c>
      <c r="P130" s="74" t="n">
        <f aca="false">SQRT(($B130-P$5)^2+($C130-P$6)^2+($D130-P$7)^2)</f>
        <v>4.64649504905847</v>
      </c>
      <c r="Q130" s="74" t="n">
        <f aca="false">SQRT(($B130-Q$5)^2+($C130-Q$6)^2+($D130-Q$7)^2)</f>
        <v>4.18101541376173</v>
      </c>
      <c r="R130" s="74" t="n">
        <f aca="false">SQRT(($B130-R$5)^2+($C130-R$6)^2+($D130-R$7)^2)</f>
        <v>4.20299555676564</v>
      </c>
      <c r="S130" s="74" t="n">
        <f aca="false">SQRT(($B130-S$5)^2+($C130-S$6)^2+($D130-S$7)^2)</f>
        <v>3.89320954094829</v>
      </c>
      <c r="T130" s="74" t="n">
        <f aca="false">SQRT(($B130-T$5)^2+($C130-T$6)^2+($D130-T$7)^2)</f>
        <v>4.08344706124881</v>
      </c>
      <c r="U130" s="74" t="n">
        <f aca="false">SQRT(($B130-U$5)^2+($C130-U$6)^2+($D130-U$7)^2)</f>
        <v>4.16088329984745</v>
      </c>
      <c r="V130" s="74" t="n">
        <f aca="false">SQRT(($B130-V$5)^2+($C130-V$6)^2+($D130-V$7)^2)</f>
        <v>3.99128361858191</v>
      </c>
      <c r="W130" s="74" t="n">
        <f aca="false">SQRT(($B130-W$5)^2+($C130-W$6)^2+($D130-W$7)^2)</f>
        <v>4.13934753964962</v>
      </c>
      <c r="X130" s="74" t="n">
        <f aca="false">SQRT(($B130-X$5)^2+($C130-X$6)^2+($D130-X$7)^2)</f>
        <v>3.93388071911523</v>
      </c>
      <c r="Y130" s="74" t="n">
        <f aca="false">SQRT(($B130-Y$5)^2+($C130-Y$6)^2+($D130-Y$7)^2)</f>
        <v>4.02986158778563</v>
      </c>
      <c r="Z130" s="74" t="n">
        <f aca="false">SQRT(($B130-Z$5)^2+($C130-Z$6)^2+($D130-Z$7)^2)</f>
        <v>3.67419129732225</v>
      </c>
      <c r="AA130" s="74" t="n">
        <f aca="false">SQRT(($B130-AA$5)^2+($C130-AA$6)^2+($D130-AA$7)^2)</f>
        <v>3.65029895120111</v>
      </c>
      <c r="AB130" s="74" t="n">
        <f aca="false">SQRT(($B130-AB$5)^2+($C130-AB$6)^2+($D130-AB$7)^2)</f>
        <v>3.60196382706207</v>
      </c>
      <c r="AC130" s="74" t="n">
        <f aca="false">SQRT(($B130-AC$5)^2+($C130-AC$6)^2+($D130-AC$7)^2)</f>
        <v>3.97520414117928</v>
      </c>
      <c r="AD130" s="74" t="n">
        <f aca="false">SQRT(($B130-AD$5)^2+($C130-AD$6)^2+($D130-AD$7)^2)</f>
        <v>3.97824420521485</v>
      </c>
      <c r="AE130" s="74" t="n">
        <f aca="false">SQRT(($B130-AE$5)^2+($C130-AE$6)^2+($D130-AE$7)^2)</f>
        <v>2.77564255027266</v>
      </c>
      <c r="AF130" s="74" t="n">
        <f aca="false">SQRT(($B130-AF$5)^2+($C130-AF$6)^2+($D130-AF$7)^2)</f>
        <v>3.62160940481517</v>
      </c>
      <c r="AG130" s="74" t="n">
        <f aca="false">SQRT(($B130-AG$5)^2+($C130-AG$6)^2+($D130-AG$7)^2)</f>
        <v>2.76015891289846</v>
      </c>
      <c r="AH130" s="74" t="n">
        <f aca="false">SQRT(($B130-AH$5)^2+($C130-AH$6)^2+($D130-AH$7)^2)</f>
        <v>3.38680940629828</v>
      </c>
      <c r="AI130" s="74" t="n">
        <f aca="false">SQRT(($B130-AI$5)^2+($C130-AI$6)^2+($D130-AI$7)^2)</f>
        <v>2.75711277150979</v>
      </c>
      <c r="AJ130" s="74" t="n">
        <f aca="false">SQRT(($B130-AJ$5)^2+($C130-AJ$6)^2+($D130-AJ$7)^2)</f>
        <v>3.68849529478745</v>
      </c>
      <c r="AK130" s="74" t="n">
        <f aca="false">SQRT(($B130-AK$5)^2+($C130-AK$6)^2+($D130-AK$7)^2)</f>
        <v>3.1584931364728</v>
      </c>
      <c r="AL130" s="74" t="n">
        <f aca="false">SQRT(($B130-AL$5)^2+($C130-AL$6)^2+($D130-AL$7)^2)</f>
        <v>3.12009252355725</v>
      </c>
      <c r="AM130" s="74" t="n">
        <f aca="false">SQRT(($B130-AM$5)^2+($C130-AM$6)^2+($D130-AM$7)^2)</f>
        <v>3.59241920113851</v>
      </c>
      <c r="AN130" s="74" t="n">
        <f aca="false">SQRT(($B130-AN$5)^2+($C130-AN$6)^2+($D130-AN$7)^2)</f>
        <v>3.6338012413689</v>
      </c>
      <c r="AO130" s="74" t="n">
        <f aca="false">SQRT(($B130-AO$5)^2+($C130-AO$6)^2+($D130-AO$7)^2)</f>
        <v>3.20339910703097</v>
      </c>
      <c r="AP130" s="74" t="n">
        <f aca="false">SQRT(($B130-AP$5)^2+($C130-AP$6)^2+($D130-AP$7)^2)</f>
        <v>3.15889984184424</v>
      </c>
      <c r="AQ130" s="74" t="n">
        <f aca="false">SQRT(($B130-AQ$5)^2+($C130-AQ$6)^2+($D130-AQ$7)^2)</f>
        <v>3.62195415614862</v>
      </c>
      <c r="AR130" s="74" t="n">
        <f aca="false">SQRT(($B130-AR$5)^2+($C130-AR$6)^2+($D130-AR$7)^2)</f>
        <v>2.81629941685552</v>
      </c>
      <c r="AS130" s="74" t="n">
        <f aca="false">SQRT(($B130-AS$5)^2+($C130-AS$6)^2+($D130-AS$7)^2)</f>
        <v>3.22425812165343</v>
      </c>
      <c r="AT130" s="74" t="n">
        <f aca="false">SQRT(($B130-AT$5)^2+($C130-AT$6)^2+($D130-AT$7)^2)</f>
        <v>3.0823789094685</v>
      </c>
      <c r="AU130" s="74" t="n">
        <f aca="false">SQRT(($B130-AU$5)^2+($C130-AU$6)^2+($D130-AU$7)^2)</f>
        <v>2.45367780569083</v>
      </c>
      <c r="AV130" s="74" t="n">
        <f aca="false">SQRT(($B130-AV$5)^2+($C130-AV$6)^2+($D130-AV$7)^2)</f>
        <v>2.86623908661092</v>
      </c>
      <c r="AW130" s="74" t="n">
        <f aca="false">SQRT(($B130-AW$5)^2+($C130-AW$6)^2+($D130-AW$7)^2)</f>
        <v>2.34049876920762</v>
      </c>
      <c r="AX130" s="74" t="n">
        <f aca="false">SQRT(($B130-AX$5)^2+($C130-AX$6)^2+($D130-AX$7)^2)</f>
        <v>2.89365929467502</v>
      </c>
      <c r="AY130" s="74" t="n">
        <f aca="false">SQRT(($B130-AY$5)^2+($C130-AY$6)^2+($D130-AY$7)^2)</f>
        <v>2.28071347958528</v>
      </c>
      <c r="AZ130" s="74" t="n">
        <f aca="false">SQRT(($B130-AZ$5)^2+($C130-AZ$6)^2+($D130-AZ$7)^2)</f>
        <v>3.15373339781369</v>
      </c>
      <c r="BA130" s="74" t="n">
        <f aca="false">SQRT(($B130-BA$5)^2+($C130-BA$6)^2+($D130-BA$7)^2)</f>
        <v>3.03601382402719</v>
      </c>
      <c r="BB130" s="74" t="n">
        <f aca="false">SQRT(($B130-BB$5)^2+($C130-BB$6)^2+($D130-BB$7)^2)</f>
        <v>2.27416660058894</v>
      </c>
      <c r="BC130" s="74" t="n">
        <f aca="false">SQRT(($B130-BC$5)^2+($C130-BC$6)^2+($D130-BC$7)^2)</f>
        <v>2.26753631961861</v>
      </c>
      <c r="BD130" s="74" t="n">
        <f aca="false">SQRT(($B130-BD$5)^2+($C130-BD$6)^2+($D130-BD$7)^2)</f>
        <v>2.33714252238854</v>
      </c>
      <c r="BE130" s="74" t="n">
        <f aca="false">SQRT(($B130-BE$5)^2+($C130-BE$6)^2+($D130-BE$7)^2)</f>
        <v>2.40824220970061</v>
      </c>
      <c r="BF130" s="74" t="n">
        <f aca="false">SQRT(($B130-BF$5)^2+($C130-BF$6)^2+($D130-BF$7)^2)</f>
        <v>3.57676348511696</v>
      </c>
      <c r="BG130" s="74" t="n">
        <f aca="false">SQRT(($B130-BG$5)^2+($C130-BG$6)^2+($D130-BG$7)^2)</f>
        <v>2.85357627285817</v>
      </c>
      <c r="BH130" s="74" t="n">
        <f aca="false">SQRT(($B130-BH$5)^2+($C130-BH$6)^2+($D130-BH$7)^2)</f>
        <v>2.16457395150989</v>
      </c>
      <c r="BI130" s="74" t="n">
        <f aca="false">SQRT(($B130-BI$5)^2+($C130-BI$6)^2+($D130-BI$7)^2)</f>
        <v>2.14804970593995</v>
      </c>
      <c r="BJ130" s="74" t="n">
        <f aca="false">SQRT(($B130-BJ$5)^2+($C130-BJ$6)^2+($D130-BJ$7)^2)</f>
        <v>2.691413846061</v>
      </c>
      <c r="BK130" s="74" t="n">
        <f aca="false">SQRT(($B130-BK$5)^2+($C130-BK$6)^2+($D130-BK$7)^2)</f>
        <v>2.21502754381688</v>
      </c>
      <c r="BL130" s="74" t="n">
        <f aca="false">SQRT(($B130-BL$5)^2+($C130-BL$6)^2+($D130-BL$7)^2)</f>
        <v>2.56706001402801</v>
      </c>
      <c r="BM130" s="74" t="n">
        <f aca="false">SQRT(($B130-BM$5)^2+($C130-BM$6)^2+($D130-BM$7)^2)</f>
        <v>2.89686423762356</v>
      </c>
      <c r="BN130" s="74" t="n">
        <f aca="false">SQRT(($B130-BN$5)^2+($C130-BN$6)^2+($D130-BN$7)^2)</f>
        <v>2.50050689361822</v>
      </c>
      <c r="BO130" s="74" t="n">
        <f aca="false">SQRT(($B130-BO$5)^2+($C130-BO$6)^2+($D130-BO$7)^2)</f>
        <v>2.04028546987929</v>
      </c>
      <c r="BP130" s="74" t="n">
        <f aca="false">SQRT(($B130-BP$5)^2+($C130-BP$6)^2+($D130-BP$7)^2)</f>
        <v>2.57097159994448</v>
      </c>
      <c r="BQ130" s="74" t="n">
        <f aca="false">SQRT(($B130-BQ$5)^2+($C130-BQ$6)^2+($D130-BQ$7)^2)</f>
        <v>2.54715677244681</v>
      </c>
      <c r="BR130" s="74" t="n">
        <f aca="false">SQRT(($B130-BR$5)^2+($C130-BR$6)^2+($D130-BR$7)^2)</f>
        <v>2.55826774752687</v>
      </c>
      <c r="BS130" s="74" t="n">
        <f aca="false">SQRT(($B130-BS$5)^2+($C130-BS$6)^2+($D130-BS$7)^2)</f>
        <v>2.5833134057316</v>
      </c>
      <c r="BT130" s="74" t="n">
        <f aca="false">SQRT(($B130-BT$5)^2+($C130-BT$6)^2+($D130-BT$7)^2)</f>
        <v>2.296207345633</v>
      </c>
      <c r="BU130" s="74" t="n">
        <f aca="false">SQRT(($B130-BU$5)^2+($C130-BU$6)^2+($D130-BU$7)^2)</f>
        <v>2.24797449147035</v>
      </c>
      <c r="BV130" s="74" t="n">
        <f aca="false">SQRT(($B130-BV$5)^2+($C130-BV$6)^2+($D130-BV$7)^2)</f>
        <v>1.81982735198549</v>
      </c>
      <c r="BW130" s="74" t="n">
        <f aca="false">SQRT(($B130-BW$5)^2+($C130-BW$6)^2+($D130-BW$7)^2)</f>
        <v>2.30334415944853</v>
      </c>
      <c r="BX130" s="74" t="n">
        <f aca="false">SQRT(($B130-BX$5)^2+($C130-BX$6)^2+($D130-BX$7)^2)</f>
        <v>1.80381162625824</v>
      </c>
      <c r="BY130" s="74" t="n">
        <f aca="false">SQRT(($B130-BY$5)^2+($C130-BY$6)^2+($D130-BY$7)^2)</f>
        <v>2.01548934269047</v>
      </c>
      <c r="BZ130" s="74" t="n">
        <f aca="false">SQRT(($B130-BZ$5)^2+($C130-BZ$6)^2+($D130-BZ$7)^2)</f>
        <v>1.97094346163573</v>
      </c>
      <c r="CA130" s="74" t="n">
        <f aca="false">SQRT(($B130-CA$5)^2+($C130-CA$6)^2+($D130-CA$7)^2)</f>
        <v>1.75257651983054</v>
      </c>
      <c r="CB130" s="74" t="n">
        <f aca="false">SQRT(($B130-CB$5)^2+($C130-CB$6)^2+($D130-CB$7)^2)</f>
        <v>1.95472086433714</v>
      </c>
      <c r="CC130" s="74" t="n">
        <f aca="false">SQRT(($B130-CC$5)^2+($C130-CC$6)^2+($D130-CC$7)^2)</f>
        <v>1.73431253999145</v>
      </c>
      <c r="CD130" s="74" t="n">
        <f aca="false">SQRT(($B130-CD$5)^2+($C130-CD$6)^2+($D130-CD$7)^2)</f>
        <v>1.69574156242178</v>
      </c>
      <c r="CE130" s="74" t="n">
        <f aca="false">SQRT(($B130-CE$5)^2+($C130-CE$6)^2+($D130-CE$7)^2)</f>
        <v>2.05412603137925</v>
      </c>
      <c r="CF130" s="74" t="n">
        <f aca="false">SQRT(($B130-CF$5)^2+($C130-CF$6)^2+($D130-CF$7)^2)</f>
        <v>2.17571662845419</v>
      </c>
      <c r="CG130" s="74" t="n">
        <f aca="false">SQRT(($B130-CG$5)^2+($C130-CG$6)^2+($D130-CG$7)^2)</f>
        <v>1.84953056521099</v>
      </c>
      <c r="CH130" s="74" t="n">
        <f aca="false">SQRT(($B130-CH$5)^2+($C130-CH$6)^2+($D130-CH$7)^2)</f>
        <v>1.77325606841763</v>
      </c>
      <c r="CI130" s="74" t="n">
        <f aca="false">SQRT(($B130-CI$5)^2+($C130-CI$6)^2+($D130-CI$7)^2)</f>
        <v>1.68634002609964</v>
      </c>
      <c r="CJ130" s="74" t="n">
        <f aca="false">SQRT(($B130-CJ$5)^2+($C130-CJ$6)^2+($D130-CJ$7)^2)</f>
        <v>1.56579072196957</v>
      </c>
      <c r="CK130" s="74" t="n">
        <f aca="false">SQRT(($B130-CK$5)^2+($C130-CK$6)^2+($D130-CK$7)^2)</f>
        <v>1.84638450393411</v>
      </c>
      <c r="CL130" s="74" t="n">
        <f aca="false">SQRT(($B130-CL$5)^2+($C130-CL$6)^2+($D130-CL$7)^2)</f>
        <v>1.44304930100659</v>
      </c>
      <c r="CM130" s="74" t="n">
        <f aca="false">SQRT(($B130-CM$5)^2+($C130-CM$6)^2+($D130-CM$7)^2)</f>
        <v>1.66486171827113</v>
      </c>
      <c r="CN130" s="74" t="n">
        <f aca="false">SQRT(($B130-CN$5)^2+($C130-CN$6)^2+($D130-CN$7)^2)</f>
        <v>2.30447426490723</v>
      </c>
      <c r="CO130" s="74" t="n">
        <f aca="false">SQRT(($B130-CO$5)^2+($C130-CO$6)^2+($D130-CO$7)^2)</f>
        <v>1.72829678257275</v>
      </c>
      <c r="CP130" s="74" t="n">
        <f aca="false">SQRT(($B130-CP$5)^2+($C130-CP$6)^2+($D130-CP$7)^2)</f>
        <v>1.33497923717013</v>
      </c>
      <c r="CQ130" s="74" t="n">
        <f aca="false">SQRT(($B130-CQ$5)^2+($C130-CQ$6)^2+($D130-CQ$7)^2)</f>
        <v>1.49294711217988</v>
      </c>
      <c r="CR130" s="74" t="n">
        <f aca="false">SQRT(($B130-CR$5)^2+($C130-CR$6)^2+($D130-CR$7)^2)</f>
        <v>1.49898586166915</v>
      </c>
      <c r="CS130" s="74" t="n">
        <f aca="false">SQRT(($B130-CS$5)^2+($C130-CS$6)^2+($D130-CS$7)^2)</f>
        <v>1.24803259478866</v>
      </c>
      <c r="CT130" s="74" t="n">
        <f aca="false">SQRT(($B130-CT$5)^2+($C130-CT$6)^2+($D130-CT$7)^2)</f>
        <v>1.19842650383034</v>
      </c>
      <c r="CU130" s="74" t="n">
        <f aca="false">SQRT(($B130-CU$5)^2+($C130-CU$6)^2+($D130-CU$7)^2)</f>
        <v>1.34748674660483</v>
      </c>
      <c r="CV130" s="74" t="n">
        <f aca="false">SQRT(($B130-CV$5)^2+($C130-CV$6)^2+($D130-CV$7)^2)</f>
        <v>1.8511061685766</v>
      </c>
      <c r="CW130" s="74" t="n">
        <f aca="false">SQRT(($B130-CW$5)^2+($C130-CW$6)^2+($D130-CW$7)^2)</f>
        <v>1.19842650383034</v>
      </c>
      <c r="CX130" s="74" t="n">
        <f aca="false">SQRT(($B130-CX$5)^2+($C130-CX$6)^2+($D130-CX$7)^2)</f>
        <v>1.59451556557266</v>
      </c>
      <c r="CY130" s="74" t="n">
        <f aca="false">SQRT(($B130-CY$5)^2+($C130-CY$6)^2+($D130-CY$7)^2)</f>
        <v>1.14358951439366</v>
      </c>
      <c r="CZ130" s="74" t="n">
        <f aca="false">SQRT(($B130-CZ$5)^2+($C130-CZ$6)^2+($D130-CZ$7)^2)</f>
        <v>1.14358951439366</v>
      </c>
      <c r="DA130" s="74" t="n">
        <f aca="false">SQRT(($B130-DA$5)^2+($C130-DA$6)^2+($D130-DA$7)^2)</f>
        <v>1.31166682367238</v>
      </c>
      <c r="DB130" s="74" t="n">
        <f aca="false">SQRT(($B130-DB$5)^2+($C130-DB$6)^2+($D130-DB$7)^2)</f>
        <v>1.08228697575494</v>
      </c>
      <c r="DC130" s="74" t="n">
        <f aca="false">SQRT(($B130-DC$5)^2+($C130-DC$6)^2+($D130-DC$7)^2)</f>
        <v>1.08228697575494</v>
      </c>
      <c r="DD130" s="74" t="n">
        <f aca="false">SQRT(($B130-DD$5)^2+($C130-DD$6)^2+($D130-DD$7)^2)</f>
        <v>1.19604122627148</v>
      </c>
      <c r="DE130" s="74" t="n">
        <f aca="false">SQRT(($B130-DE$5)^2+($C130-DE$6)^2+($D130-DE$7)^2)</f>
        <v>0.986321920950627</v>
      </c>
      <c r="DF130" s="74" t="n">
        <f aca="false">SQRT(($B130-DF$5)^2+($C130-DF$6)^2+($D130-DF$7)^2)</f>
        <v>0.721524650503296</v>
      </c>
      <c r="DG130" s="74" t="n">
        <f aca="false">SQRT(($B130-DG$5)^2+($C130-DG$6)^2+($D130-DG$7)^2)</f>
        <v>0.571794757196831</v>
      </c>
      <c r="DH130" s="74" t="n">
        <f aca="false">SQRT(($B130-DH$5)^2+($C130-DH$6)^2+($D130-DH$7)^2)</f>
        <v>0.571794757196831</v>
      </c>
      <c r="DI130" s="74" t="n">
        <f aca="false">SQRT(($B130-DI$5)^2+($C130-DI$6)^2+($D130-DI$7)^2)</f>
        <v>0.571794757196831</v>
      </c>
      <c r="DJ130" s="74" t="n">
        <f aca="false">SQRT(($B130-DJ$5)^2+($C130-DJ$6)^2+($D130-DJ$7)^2)</f>
        <v>0.571794757196831</v>
      </c>
      <c r="DK130" s="74" t="n">
        <f aca="false">SQRT(($B130-DK$5)^2+($C130-DK$6)^2+($D130-DK$7)^2)</f>
        <v>0.360762325251648</v>
      </c>
      <c r="DL130" s="74" t="n">
        <f aca="false">SQRT(($B130-DL$5)^2+($C130-DL$6)^2+($D130-DL$7)^2)</f>
        <v>0.360762325251648</v>
      </c>
      <c r="DM130" s="74" t="n">
        <f aca="false">SQRT(($B130-DM$5)^2+($C130-DM$6)^2+($D130-DM$7)^2)</f>
        <v>0.360762325251648</v>
      </c>
      <c r="DN130" s="74" t="n">
        <f aca="false">SQRT(($B130-DN$5)^2+($C130-DN$6)^2+($D130-DN$7)^2)</f>
        <v>0.360762325251648</v>
      </c>
      <c r="DO130" s="74" t="n">
        <f aca="false">SQRT(($B130-DO$5)^2+($C130-DO$6)^2+($D130-DO$7)^2)</f>
        <v>0.360762325251648</v>
      </c>
      <c r="DP130" s="74" t="n">
        <f aca="false">SQRT(($B130-DP$5)^2+($C130-DP$6)^2+($D130-DP$7)^2)</f>
        <v>0</v>
      </c>
      <c r="DQ130" s="74" t="n">
        <f aca="false">SQRT(($B130-DQ$5)^2+($C130-DQ$6)^2+($D130-DQ$7)^2)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6" min="3" style="0" width="13"/>
    <col collapsed="false" customWidth="true" hidden="false" outlineLevel="0" max="7" min="7" style="0" width="11"/>
    <col collapsed="false" customWidth="true" hidden="false" outlineLevel="0" max="8" min="8" style="0" width="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3" min="12" style="0" width="12"/>
    <col collapsed="false" customWidth="true" hidden="false" outlineLevel="0" max="14" min="14" style="0" width="13"/>
  </cols>
  <sheetData>
    <row r="1" customFormat="false" ht="19.7" hidden="false" customHeight="false" outlineLevel="0" collapsed="false">
      <c r="A1" s="1" t="s">
        <v>773</v>
      </c>
    </row>
    <row r="2" customFormat="false" ht="15" hidden="false" customHeight="false" outlineLevel="0" collapsed="false">
      <c r="A2" s="2" t="s">
        <v>774</v>
      </c>
    </row>
    <row r="4" customFormat="false" ht="31.5" hidden="false" customHeight="true" outlineLevel="0" collapsed="false">
      <c r="A4" s="10" t="s">
        <v>63</v>
      </c>
      <c r="B4" s="10" t="s">
        <v>39</v>
      </c>
      <c r="C4" s="10" t="s">
        <v>586</v>
      </c>
      <c r="D4" s="10" t="s">
        <v>587</v>
      </c>
      <c r="E4" s="10" t="s">
        <v>588</v>
      </c>
      <c r="F4" s="10" t="s">
        <v>589</v>
      </c>
      <c r="G4" s="10" t="s">
        <v>590</v>
      </c>
      <c r="H4" s="10" t="s">
        <v>698</v>
      </c>
      <c r="I4" s="10" t="s">
        <v>699</v>
      </c>
      <c r="J4" s="10" t="s">
        <v>700</v>
      </c>
      <c r="K4" s="10" t="s">
        <v>701</v>
      </c>
      <c r="L4" s="10" t="s">
        <v>702</v>
      </c>
      <c r="M4" s="10" t="s">
        <v>703</v>
      </c>
    </row>
    <row r="5" customFormat="false" ht="15" hidden="false" customHeight="false" outlineLevel="0" collapsed="false">
      <c r="A5" s="36" t="s">
        <v>70</v>
      </c>
      <c r="B5" s="12" t="n">
        <f aca="false">COUNTIF(Data!$F$2:$F$2797,$A5)</f>
        <v>529</v>
      </c>
      <c r="C5" s="13" t="n">
        <f aca="false">SUMIF(Data!$F$2:$F$2797,$A5,Data!$B$2:$B$2797)</f>
        <v>32858</v>
      </c>
      <c r="D5" s="13" t="n">
        <f aca="false">SUMIF(Data!$F$2:$F$2797,$A5,Data!$C$2:$C$2797)</f>
        <v>546</v>
      </c>
      <c r="E5" s="13" t="n">
        <f aca="false">SUMIF(Data!$F$2:$F$2797,$A5,Data!$D$2:$D$2797)</f>
        <v>15805</v>
      </c>
      <c r="F5" s="13" t="n">
        <f aca="false">C5-D5-E5</f>
        <v>16507</v>
      </c>
      <c r="G5" s="26" t="n">
        <f aca="false">IF(C5=0,0,D5/C5*100)</f>
        <v>1.66169578184917</v>
      </c>
      <c r="H5" s="38" t="n">
        <f aca="false">IF(Clustering_Guide!$C$7=1,LN(1+MAX(C5,0)),C5)</f>
        <v>10.3999809589919</v>
      </c>
      <c r="I5" s="38" t="n">
        <f aca="false">IF(Clustering_Guide!$C$7=1,LN(1+MAX(D5,0)),D5)</f>
        <v>6.30444880242198</v>
      </c>
      <c r="J5" s="38" t="n">
        <f aca="false">IF(Clustering_Guide!$C$7=1,LN(1+MAX(E5,0)),E5)</f>
        <v>9.66814489376492</v>
      </c>
      <c r="K5" s="38" t="n">
        <f aca="false">(H5-AVERAGE(H$5:H$12))/STDEV(H$5:H$12)</f>
        <v>1.10799960313627</v>
      </c>
      <c r="L5" s="38" t="n">
        <f aca="false">(I5-AVERAGE(I$5:I$12))/STDEV(I$5:I$12)</f>
        <v>1.07095117844112</v>
      </c>
      <c r="M5" s="38" t="n">
        <f aca="false">(J5-AVERAGE(J$5:J$12))/STDEV(J$5:J$12)</f>
        <v>1.41686294700984</v>
      </c>
    </row>
    <row r="6" customFormat="false" ht="15" hidden="false" customHeight="false" outlineLevel="0" collapsed="false">
      <c r="A6" s="36" t="s">
        <v>71</v>
      </c>
      <c r="B6" s="12" t="n">
        <f aca="false">COUNTIF(Data!$F$2:$F$2797,$A6)</f>
        <v>341</v>
      </c>
      <c r="C6" s="13" t="n">
        <f aca="false">SUMIF(Data!$F$2:$F$2797,$A6,Data!$B$2:$B$2797)</f>
        <v>31096</v>
      </c>
      <c r="D6" s="13" t="n">
        <f aca="false">SUMIF(Data!$F$2:$F$2797,$A6,Data!$C$2:$C$2797)</f>
        <v>593</v>
      </c>
      <c r="E6" s="13" t="n">
        <f aca="false">SUMIF(Data!$F$2:$F$2797,$A6,Data!$D$2:$D$2797)</f>
        <v>4081</v>
      </c>
      <c r="F6" s="13" t="n">
        <f aca="false">C6-D6-E6</f>
        <v>26422</v>
      </c>
      <c r="G6" s="26" t="n">
        <f aca="false">IF(C6=0,0,D6/C6*100)</f>
        <v>1.90699768458966</v>
      </c>
      <c r="H6" s="38" t="n">
        <f aca="false">IF(Clustering_Guide!$C$7=1,LN(1+MAX(C6,0)),C6)</f>
        <v>10.344866630492</v>
      </c>
      <c r="I6" s="38" t="n">
        <f aca="false">IF(Clustering_Guide!$C$7=1,LN(1+MAX(D6,0)),D6)</f>
        <v>6.38687931936265</v>
      </c>
      <c r="J6" s="38" t="n">
        <f aca="false">IF(Clustering_Guide!$C$7=1,LN(1+MAX(E6,0)),E6)</f>
        <v>8.31434234336979</v>
      </c>
      <c r="K6" s="38" t="n">
        <f aca="false">(H6-AVERAGE(H$5:H$12))/STDEV(H$5:H$12)</f>
        <v>1.08381042475669</v>
      </c>
      <c r="L6" s="38" t="n">
        <f aca="false">(I6-AVERAGE(I$5:I$12))/STDEV(I$5:I$12)</f>
        <v>1.10975051121378</v>
      </c>
      <c r="M6" s="38" t="n">
        <f aca="false">(J6-AVERAGE(J$5:J$12))/STDEV(J$5:J$12)</f>
        <v>0.795358553852391</v>
      </c>
    </row>
    <row r="7" customFormat="false" ht="15" hidden="false" customHeight="false" outlineLevel="0" collapsed="false">
      <c r="A7" s="36" t="s">
        <v>72</v>
      </c>
      <c r="B7" s="12" t="n">
        <f aca="false">COUNTIF(Data!$F$2:$F$2797,$A7)</f>
        <v>1491</v>
      </c>
      <c r="C7" s="13" t="n">
        <f aca="false">SUMIF(Data!$F$2:$F$2797,$A7,Data!$B$2:$B$2797)</f>
        <v>10259</v>
      </c>
      <c r="D7" s="13" t="n">
        <f aca="false">SUMIF(Data!$F$2:$F$2797,$A7,Data!$C$2:$C$2797)</f>
        <v>473</v>
      </c>
      <c r="E7" s="13" t="n">
        <f aca="false">SUMIF(Data!$F$2:$F$2797,$A7,Data!$D$2:$D$2797)</f>
        <v>1939</v>
      </c>
      <c r="F7" s="13" t="n">
        <f aca="false">C7-D7-E7</f>
        <v>7847</v>
      </c>
      <c r="G7" s="26" t="n">
        <f aca="false">IF(C7=0,0,D7/C7*100)</f>
        <v>4.61058582707866</v>
      </c>
      <c r="H7" s="38" t="n">
        <f aca="false">IF(Clustering_Guide!$C$7=1,LN(1+MAX(C7,0)),C7)</f>
        <v>9.23600811872476</v>
      </c>
      <c r="I7" s="38" t="n">
        <f aca="false">IF(Clustering_Guide!$C$7=1,LN(1+MAX(D7,0)),D7)</f>
        <v>6.16120732169508</v>
      </c>
      <c r="J7" s="38" t="n">
        <f aca="false">IF(Clustering_Guide!$C$7=1,LN(1+MAX(E7,0)),E7)</f>
        <v>7.57044325205737</v>
      </c>
      <c r="K7" s="38" t="n">
        <f aca="false">(H7-AVERAGE(H$5:H$12))/STDEV(H$5:H$12)</f>
        <v>0.597142491591248</v>
      </c>
      <c r="L7" s="38" t="n">
        <f aca="false">(I7-AVERAGE(I$5:I$12))/STDEV(I$5:I$12)</f>
        <v>1.00352864994269</v>
      </c>
      <c r="M7" s="38" t="n">
        <f aca="false">(J7-AVERAGE(J$5:J$12))/STDEV(J$5:J$12)</f>
        <v>0.4538489643029</v>
      </c>
    </row>
    <row r="8" customFormat="false" ht="15" hidden="false" customHeight="false" outlineLevel="0" collapsed="false">
      <c r="A8" s="36" t="s">
        <v>73</v>
      </c>
      <c r="B8" s="12" t="n">
        <f aca="false">COUNTIF(Data!$F$2:$F$2797,$A8)</f>
        <v>83</v>
      </c>
      <c r="C8" s="13" t="n">
        <f aca="false">SUMIF(Data!$F$2:$F$2797,$A8,Data!$B$2:$B$2797)</f>
        <v>5125</v>
      </c>
      <c r="D8" s="13" t="n">
        <f aca="false">SUMIF(Data!$F$2:$F$2797,$A8,Data!$C$2:$C$2797)</f>
        <v>49</v>
      </c>
      <c r="E8" s="13" t="n">
        <f aca="false">SUMIF(Data!$F$2:$F$2797,$A8,Data!$D$2:$D$2797)</f>
        <v>1981</v>
      </c>
      <c r="F8" s="13" t="n">
        <f aca="false">C8-D8-E8</f>
        <v>3095</v>
      </c>
      <c r="G8" s="26" t="n">
        <f aca="false">IF(C8=0,0,D8/C8*100)</f>
        <v>0.95609756097561</v>
      </c>
      <c r="H8" s="38" t="n">
        <f aca="false">IF(Clustering_Guide!$C$7=1,LN(1+MAX(C8,0)),C8)</f>
        <v>8.54208090692402</v>
      </c>
      <c r="I8" s="38" t="n">
        <f aca="false">IF(Clustering_Guide!$C$7=1,LN(1+MAX(D8,0)),D8)</f>
        <v>3.91202300542815</v>
      </c>
      <c r="J8" s="38" t="n">
        <f aca="false">IF(Clustering_Guide!$C$7=1,LN(1+MAX(E8,0)),E8)</f>
        <v>7.59186171488993</v>
      </c>
      <c r="K8" s="38" t="n">
        <f aca="false">(H8-AVERAGE(H$5:H$12))/STDEV(H$5:H$12)</f>
        <v>0.292584138699036</v>
      </c>
      <c r="L8" s="38" t="n">
        <f aca="false">(I8-AVERAGE(I$5:I$12))/STDEV(I$5:I$12)</f>
        <v>-0.0551429924626731</v>
      </c>
      <c r="M8" s="38" t="n">
        <f aca="false">(J8-AVERAGE(J$5:J$12))/STDEV(J$5:J$12)</f>
        <v>0.463681763584619</v>
      </c>
    </row>
    <row r="9" customFormat="false" ht="15" hidden="false" customHeight="false" outlineLevel="0" collapsed="false">
      <c r="A9" s="36" t="s">
        <v>74</v>
      </c>
      <c r="B9" s="12" t="n">
        <f aca="false">COUNTIF(Data!$F$2:$F$2797,$A9)</f>
        <v>74</v>
      </c>
      <c r="C9" s="13" t="n">
        <f aca="false">SUMIF(Data!$F$2:$F$2797,$A9,Data!$B$2:$B$2797)</f>
        <v>3523</v>
      </c>
      <c r="D9" s="13" t="n">
        <f aca="false">SUMIF(Data!$F$2:$F$2797,$A9,Data!$C$2:$C$2797)</f>
        <v>36</v>
      </c>
      <c r="E9" s="13" t="n">
        <f aca="false">SUMIF(Data!$F$2:$F$2797,$A9,Data!$D$2:$D$2797)</f>
        <v>460</v>
      </c>
      <c r="F9" s="13" t="n">
        <f aca="false">C9-D9-E9</f>
        <v>3027</v>
      </c>
      <c r="G9" s="26" t="n">
        <f aca="false">IF(C9=0,0,D9/C9*100)</f>
        <v>1.02185637240988</v>
      </c>
      <c r="H9" s="38" t="n">
        <f aca="false">IF(Clustering_Guide!$C$7=1,LN(1+MAX(C9,0)),C9)</f>
        <v>8.16735198705607</v>
      </c>
      <c r="I9" s="38" t="n">
        <f aca="false">IF(Clustering_Guide!$C$7=1,LN(1+MAX(D9,0)),D9)</f>
        <v>3.61091791264422</v>
      </c>
      <c r="J9" s="38" t="n">
        <f aca="false">IF(Clustering_Guide!$C$7=1,LN(1+MAX(E9,0)),E9)</f>
        <v>6.13339804299665</v>
      </c>
      <c r="K9" s="38" t="n">
        <f aca="false">(H9-AVERAGE(H$5:H$12))/STDEV(H$5:H$12)</f>
        <v>0.128119018041928</v>
      </c>
      <c r="L9" s="38" t="n">
        <f aca="false">(I9-AVERAGE(I$5:I$12))/STDEV(I$5:I$12)</f>
        <v>-0.196870560456412</v>
      </c>
      <c r="M9" s="38" t="n">
        <f aca="false">(J9-AVERAGE(J$5:J$12))/STDEV(J$5:J$12)</f>
        <v>-0.205870512762956</v>
      </c>
    </row>
    <row r="10" customFormat="false" ht="15" hidden="false" customHeight="false" outlineLevel="0" collapsed="false">
      <c r="A10" s="36" t="s">
        <v>75</v>
      </c>
      <c r="B10" s="12" t="n">
        <f aca="false">COUNTIF(Data!$F$2:$F$2797,$A10)</f>
        <v>188</v>
      </c>
      <c r="C10" s="13" t="n">
        <f aca="false">SUMIF(Data!$F$2:$F$2797,$A10,Data!$B$2:$B$2797)</f>
        <v>786</v>
      </c>
      <c r="D10" s="13" t="n">
        <f aca="false">SUMIF(Data!$F$2:$F$2797,$A10,Data!$C$2:$C$2797)</f>
        <v>24</v>
      </c>
      <c r="E10" s="13" t="n">
        <f aca="false">SUMIF(Data!$F$2:$F$2797,$A10,Data!$D$2:$D$2797)</f>
        <v>362</v>
      </c>
      <c r="F10" s="13" t="n">
        <f aca="false">C10-D10-E10</f>
        <v>400</v>
      </c>
      <c r="G10" s="26" t="n">
        <f aca="false">IF(C10=0,0,D10/C10*100)</f>
        <v>3.05343511450382</v>
      </c>
      <c r="H10" s="38" t="n">
        <f aca="false">IF(Clustering_Guide!$C$7=1,LN(1+MAX(C10,0)),C10)</f>
        <v>6.6682282484174</v>
      </c>
      <c r="I10" s="38" t="n">
        <f aca="false">IF(Clustering_Guide!$C$7=1,LN(1+MAX(D10,0)),D10)</f>
        <v>3.2188758248682</v>
      </c>
      <c r="J10" s="38" t="n">
        <f aca="false">IF(Clustering_Guide!$C$7=1,LN(1+MAX(E10,0)),E10)</f>
        <v>5.89440283426485</v>
      </c>
      <c r="K10" s="38" t="n">
        <f aca="false">(H10-AVERAGE(H$5:H$12))/STDEV(H$5:H$12)</f>
        <v>-0.529832779865818</v>
      </c>
      <c r="L10" s="38" t="n">
        <f aca="false">(I10-AVERAGE(I$5:I$12))/STDEV(I$5:I$12)</f>
        <v>-0.381401387012564</v>
      </c>
      <c r="M10" s="38" t="n">
        <f aca="false">(J10-AVERAGE(J$5:J$12))/STDEV(J$5:J$12)</f>
        <v>-0.315588559997422</v>
      </c>
    </row>
    <row r="11" customFormat="false" ht="15" hidden="false" customHeight="false" outlineLevel="0" collapsed="false">
      <c r="A11" s="36" t="s">
        <v>76</v>
      </c>
      <c r="B11" s="12" t="n">
        <f aca="false">COUNTIF(Data!$F$2:$F$2797,$A11)</f>
        <v>54</v>
      </c>
      <c r="C11" s="13" t="n">
        <f aca="false">SUMIF(Data!$F$2:$F$2797,$A11,Data!$B$2:$B$2797)</f>
        <v>285</v>
      </c>
      <c r="D11" s="13" t="n">
        <f aca="false">SUMIF(Data!$F$2:$F$2797,$A11,Data!$C$2:$C$2797)</f>
        <v>6</v>
      </c>
      <c r="E11" s="13" t="n">
        <f aca="false">SUMIF(Data!$F$2:$F$2797,$A11,Data!$D$2:$D$2797)</f>
        <v>110</v>
      </c>
      <c r="F11" s="13" t="n">
        <f aca="false">C11-D11-E11</f>
        <v>169</v>
      </c>
      <c r="G11" s="26" t="n">
        <f aca="false">IF(C11=0,0,D11/C11*100)</f>
        <v>2.10526315789474</v>
      </c>
      <c r="H11" s="38" t="n">
        <f aca="false">IF(Clustering_Guide!$C$7=1,LN(1+MAX(C11,0)),C11)</f>
        <v>5.65599181081985</v>
      </c>
      <c r="I11" s="38" t="n">
        <f aca="false">IF(Clustering_Guide!$C$7=1,LN(1+MAX(D11,0)),D11)</f>
        <v>1.94591014905531</v>
      </c>
      <c r="J11" s="38" t="n">
        <f aca="false">IF(Clustering_Guide!$C$7=1,LN(1+MAX(E11,0)),E11)</f>
        <v>4.70953020131233</v>
      </c>
      <c r="K11" s="38" t="n">
        <f aca="false">(H11-AVERAGE(H$5:H$12))/STDEV(H$5:H$12)</f>
        <v>-0.974094161938139</v>
      </c>
      <c r="L11" s="38" t="n">
        <f aca="false">(I11-AVERAGE(I$5:I$12))/STDEV(I$5:I$12)</f>
        <v>-0.980575342206791</v>
      </c>
      <c r="M11" s="38" t="n">
        <f aca="false">(J11-AVERAGE(J$5:J$12))/STDEV(J$5:J$12)</f>
        <v>-0.859540517021793</v>
      </c>
    </row>
    <row r="12" customFormat="false" ht="15" hidden="false" customHeight="false" outlineLevel="0" collapsed="false">
      <c r="A12" s="36" t="s">
        <v>77</v>
      </c>
      <c r="B12" s="12" t="n">
        <f aca="false">COUNTIF(Data!$F$2:$F$2797,$A12)</f>
        <v>36</v>
      </c>
      <c r="C12" s="13" t="n">
        <f aca="false">SUMIF(Data!$F$2:$F$2797,$A12,Data!$B$2:$B$2797)</f>
        <v>53</v>
      </c>
      <c r="D12" s="13" t="n">
        <f aca="false">SUMIF(Data!$F$2:$F$2797,$A12,Data!$C$2:$C$2797)</f>
        <v>1</v>
      </c>
      <c r="E12" s="13" t="n">
        <f aca="false">SUMIF(Data!$F$2:$F$2797,$A12,Data!$D$2:$D$2797)</f>
        <v>15</v>
      </c>
      <c r="F12" s="13" t="n">
        <f aca="false">C12-D12-E12</f>
        <v>37</v>
      </c>
      <c r="G12" s="26" t="n">
        <f aca="false">IF(C12=0,0,D12/C12*100)</f>
        <v>1.88679245283019</v>
      </c>
      <c r="H12" s="38" t="n">
        <f aca="false">IF(Clustering_Guide!$C$7=1,LN(1+MAX(C12,0)),C12)</f>
        <v>3.98898404656427</v>
      </c>
      <c r="I12" s="38" t="n">
        <f aca="false">IF(Clustering_Guide!$C$7=1,LN(1+MAX(D12,0)),D12)</f>
        <v>0.693147180559945</v>
      </c>
      <c r="J12" s="38" t="n">
        <f aca="false">IF(Clustering_Guide!$C$7=1,LN(1+MAX(E12,0)),E12)</f>
        <v>2.77258872223978</v>
      </c>
      <c r="K12" s="38" t="n">
        <f aca="false">(H12-AVERAGE(H$5:H$12))/STDEV(H$5:H$12)</f>
        <v>-1.70572873442121</v>
      </c>
      <c r="L12" s="38" t="n">
        <f aca="false">(I12-AVERAGE(I$5:I$12))/STDEV(I$5:I$12)</f>
        <v>-1.57024005745915</v>
      </c>
      <c r="M12" s="38" t="n">
        <f aca="false">(J12-AVERAGE(J$5:J$12))/STDEV(J$5:J$12)</f>
        <v>-1.74875263896758</v>
      </c>
    </row>
    <row r="13" customFormat="false" ht="15" hidden="false" customHeight="false" outlineLevel="0" collapsed="false">
      <c r="A13" s="20" t="s">
        <v>53</v>
      </c>
      <c r="B13" s="20"/>
      <c r="C13" s="22" t="n">
        <f aca="false">SUM(C5:C12)</f>
        <v>83985</v>
      </c>
      <c r="D13" s="22" t="n">
        <f aca="false">SUM(D5:D12)</f>
        <v>1728</v>
      </c>
      <c r="E13" s="22" t="n">
        <f aca="false">SUM(E5:E12)</f>
        <v>24753</v>
      </c>
      <c r="F13" s="22" t="n">
        <f aca="false">SUM(F5:F12)</f>
        <v>57504</v>
      </c>
      <c r="G13" s="27" t="n">
        <f aca="false">IF(C13=0,0,D13/C13*100)</f>
        <v>2.05751026969102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B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2" topLeftCell="B23" activePane="bottomRight" state="frozen"/>
      <selection pane="topLeft" activeCell="A1" activeCellId="0" sqref="A1"/>
      <selection pane="topRight" activeCell="B1" activeCellId="0" sqref="B1"/>
      <selection pane="bottomLeft" activeCell="A23" activeCellId="0" sqref="A2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10" min="8" style="0" width="11"/>
    <col collapsed="false" customWidth="true" hidden="false" outlineLevel="0" max="11" min="11" style="0" width="3"/>
    <col collapsed="false" customWidth="true" hidden="false" outlineLevel="0" max="14" min="12" style="0" width="10"/>
    <col collapsed="false" customWidth="true" hidden="false" outlineLevel="0" max="21" min="15" style="0" width="11"/>
    <col collapsed="false" customWidth="true" hidden="false" outlineLevel="0" max="23" min="23" style="0" width="13"/>
    <col collapsed="false" customWidth="true" hidden="false" outlineLevel="0" max="26" min="24" style="0" width="10"/>
    <col collapsed="false" customWidth="true" hidden="false" outlineLevel="0" max="27" min="27" style="0" width="9"/>
    <col collapsed="false" customWidth="true" hidden="false" outlineLevel="0" max="28" min="28" style="0" width="2"/>
    <col collapsed="false" customWidth="true" hidden="false" outlineLevel="0" max="31" min="29" style="0" width="10"/>
    <col collapsed="false" customWidth="true" hidden="false" outlineLevel="0" max="32" min="32" style="0" width="9"/>
    <col collapsed="false" customWidth="true" hidden="false" outlineLevel="0" max="33" min="33" style="0" width="2"/>
    <col collapsed="false" customWidth="true" hidden="false" outlineLevel="0" max="36" min="34" style="0" width="10"/>
    <col collapsed="false" customWidth="true" hidden="false" outlineLevel="0" max="37" min="37" style="0" width="9"/>
    <col collapsed="false" customWidth="true" hidden="false" outlineLevel="0" max="38" min="38" style="0" width="2"/>
    <col collapsed="false" customWidth="true" hidden="false" outlineLevel="0" max="41" min="39" style="0" width="10"/>
    <col collapsed="false" customWidth="true" hidden="false" outlineLevel="0" max="42" min="42" style="0" width="9"/>
    <col collapsed="false" customWidth="true" hidden="false" outlineLevel="0" max="43" min="43" style="0" width="2"/>
    <col collapsed="false" customWidth="true" hidden="false" outlineLevel="0" max="46" min="44" style="0" width="10"/>
    <col collapsed="false" customWidth="true" hidden="false" outlineLevel="0" max="47" min="47" style="0" width="9"/>
    <col collapsed="false" customWidth="true" hidden="false" outlineLevel="0" max="48" min="48" style="0" width="2"/>
    <col collapsed="false" customWidth="true" hidden="false" outlineLevel="0" max="51" min="49" style="0" width="10"/>
    <col collapsed="false" customWidth="true" hidden="false" outlineLevel="0" max="52" min="52" style="0" width="9"/>
    <col collapsed="false" customWidth="true" hidden="false" outlineLevel="0" max="53" min="53" style="0" width="2"/>
    <col collapsed="false" customWidth="true" hidden="false" outlineLevel="0" max="56" min="54" style="0" width="10"/>
    <col collapsed="false" customWidth="true" hidden="false" outlineLevel="0" max="57" min="57" style="0" width="9"/>
    <col collapsed="false" customWidth="true" hidden="false" outlineLevel="0" max="58" min="58" style="0" width="2"/>
    <col collapsed="false" customWidth="true" hidden="false" outlineLevel="0" max="61" min="59" style="0" width="10"/>
    <col collapsed="false" customWidth="true" hidden="false" outlineLevel="0" max="62" min="62" style="0" width="9"/>
    <col collapsed="false" customWidth="true" hidden="false" outlineLevel="0" max="63" min="63" style="0" width="2"/>
  </cols>
  <sheetData>
    <row r="1" customFormat="false" ht="19.7" hidden="false" customHeight="false" outlineLevel="0" collapsed="false">
      <c r="A1" s="1" t="s">
        <v>775</v>
      </c>
    </row>
    <row r="2" customFormat="false" ht="15" hidden="false" customHeight="false" outlineLevel="0" collapsed="false">
      <c r="A2" s="2" t="s">
        <v>776</v>
      </c>
    </row>
    <row r="4" customFormat="false" ht="31.5" hidden="false" customHeight="true" outlineLevel="0" collapsed="false">
      <c r="A4" s="68" t="s">
        <v>706</v>
      </c>
      <c r="B4" s="69"/>
      <c r="L4" s="10" t="s">
        <v>707</v>
      </c>
      <c r="M4" s="10" t="s">
        <v>708</v>
      </c>
      <c r="N4" s="10" t="s">
        <v>709</v>
      </c>
      <c r="O4" s="10" t="s">
        <v>156</v>
      </c>
      <c r="P4" s="10" t="s">
        <v>158</v>
      </c>
      <c r="Q4" s="10" t="s">
        <v>710</v>
      </c>
      <c r="R4" s="10" t="s">
        <v>590</v>
      </c>
      <c r="S4" s="10" t="s">
        <v>66</v>
      </c>
    </row>
    <row r="5" customFormat="false" ht="15" hidden="false" customHeight="false" outlineLevel="0" collapsed="false">
      <c r="A5" s="40" t="s">
        <v>711</v>
      </c>
      <c r="B5" s="15" t="n">
        <v>3</v>
      </c>
      <c r="L5" s="63" t="n">
        <v>1</v>
      </c>
      <c r="M5" s="36" t="str">
        <f aca="false">CHOOSE(RANK(O5,$O$5:$O$7,0),"High burden","Medium burden","Low burden")</f>
        <v>High burden</v>
      </c>
      <c r="N5" s="15" t="n">
        <f aca="false">COUNTIF($E$23:$E$30,L5)</f>
        <v>3</v>
      </c>
      <c r="O5" s="16" t="n">
        <f aca="false">IFERROR(AVERAGEIF($E$23:$E$30,L5,Province_Agg!$C$5:$C$12),0)</f>
        <v>24737.6666666667</v>
      </c>
      <c r="P5" s="16" t="n">
        <f aca="false">IFERROR(AVERAGEIF($E$23:$E$30,L5,Province_Agg!$D$5:$D$12),0)</f>
        <v>537.333333333333</v>
      </c>
      <c r="Q5" s="16" t="n">
        <f aca="false">IFERROR(AVERAGEIF($E$23:$E$30,L5,Province_Agg!$E$5:$E$12),0)</f>
        <v>7275</v>
      </c>
      <c r="R5" s="26" t="n">
        <f aca="false">IFERROR(SUMIF($E$23:$E$30,L5,Province_Agg!$D$5:$D$12)/SUMIF($E$23:$E$30,L5,Province_Agg!$C$5:$C$12)*100,0)</f>
        <v>2.17212617735437</v>
      </c>
      <c r="S5" s="14" t="n">
        <f aca="false">SUMIF($E$23:$E$30,L5,Province_Agg!$C$5:$C$12)/SUM(Province_Agg!$C$5:$C$12)</f>
        <v>0.883645889146872</v>
      </c>
    </row>
    <row r="6" customFormat="false" ht="15" hidden="false" customHeight="false" outlineLevel="0" collapsed="false">
      <c r="A6" s="40" t="s">
        <v>712</v>
      </c>
      <c r="B6" s="15" t="n">
        <f aca="false">Clustering_Guide!$C$7</f>
        <v>1</v>
      </c>
      <c r="L6" s="63" t="n">
        <v>2</v>
      </c>
      <c r="M6" s="36" t="str">
        <f aca="false">CHOOSE(RANK(O6,$O$5:$O$7,0),"High burden","Medium burden","Low burden")</f>
        <v>Low burden</v>
      </c>
      <c r="N6" s="15" t="n">
        <f aca="false">COUNTIF($E$23:$E$30,L6)</f>
        <v>2</v>
      </c>
      <c r="O6" s="16" t="n">
        <f aca="false">IFERROR(AVERAGEIF($E$23:$E$30,L6,Province_Agg!$C$5:$C$12),0)</f>
        <v>169</v>
      </c>
      <c r="P6" s="16" t="n">
        <f aca="false">IFERROR(AVERAGEIF($E$23:$E$30,L6,Province_Agg!$D$5:$D$12),0)</f>
        <v>3.5</v>
      </c>
      <c r="Q6" s="16" t="n">
        <f aca="false">IFERROR(AVERAGEIF($E$23:$E$30,L6,Province_Agg!$E$5:$E$12),0)</f>
        <v>62.5</v>
      </c>
      <c r="R6" s="26" t="n">
        <f aca="false">IFERROR(SUMIF($E$23:$E$30,L6,Province_Agg!$D$5:$D$12)/SUMIF($E$23:$E$30,L6,Province_Agg!$C$5:$C$12)*100,0)</f>
        <v>2.07100591715976</v>
      </c>
      <c r="S6" s="14" t="n">
        <f aca="false">SUMIF($E$23:$E$30,L6,Province_Agg!$C$5:$C$12)/SUM(Province_Agg!$C$5:$C$12)</f>
        <v>0.00402452818955766</v>
      </c>
    </row>
    <row r="7" customFormat="false" ht="15" hidden="false" customHeight="false" outlineLevel="0" collapsed="false">
      <c r="A7" s="68" t="s">
        <v>713</v>
      </c>
      <c r="B7" s="69"/>
      <c r="L7" s="63" t="n">
        <v>3</v>
      </c>
      <c r="M7" s="36" t="str">
        <f aca="false">CHOOSE(RANK(O7,$O$5:$O$7,0),"High burden","Medium burden","Low burden")</f>
        <v>Medium burden</v>
      </c>
      <c r="N7" s="15" t="n">
        <f aca="false">COUNTIF($E$23:$E$30,L7)</f>
        <v>3</v>
      </c>
      <c r="O7" s="16" t="n">
        <f aca="false">IFERROR(AVERAGEIF($E$23:$E$30,L7,Province_Agg!$C$5:$C$12),0)</f>
        <v>3144.66666666667</v>
      </c>
      <c r="P7" s="16" t="n">
        <f aca="false">IFERROR(AVERAGEIF($E$23:$E$30,L7,Province_Agg!$D$5:$D$12),0)</f>
        <v>36.3333333333333</v>
      </c>
      <c r="Q7" s="16" t="n">
        <f aca="false">IFERROR(AVERAGEIF($E$23:$E$30,L7,Province_Agg!$E$5:$E$12),0)</f>
        <v>934.333333333333</v>
      </c>
      <c r="R7" s="26" t="n">
        <f aca="false">IFERROR(SUMIF($E$23:$E$30,L7,Province_Agg!$D$5:$D$12)/SUMIF($E$23:$E$30,L7,Province_Agg!$C$5:$C$12)*100,0)</f>
        <v>1.15539537841849</v>
      </c>
      <c r="S7" s="14" t="n">
        <f aca="false">SUMIF($E$23:$E$30,L7,Province_Agg!$C$5:$C$12)/SUM(Province_Agg!$C$5:$C$12)</f>
        <v>0.112329582663571</v>
      </c>
    </row>
    <row r="8" customFormat="false" ht="15" hidden="false" customHeight="false" outlineLevel="0" collapsed="false">
      <c r="A8" s="40" t="s">
        <v>714</v>
      </c>
      <c r="B8" s="32" t="s">
        <v>70</v>
      </c>
      <c r="L8" s="20" t="s">
        <v>53</v>
      </c>
      <c r="M8" s="20"/>
      <c r="N8" s="21" t="n">
        <f aca="false">SUM(N5:N7)</f>
        <v>8</v>
      </c>
      <c r="O8" s="20"/>
      <c r="P8" s="20"/>
      <c r="Q8" s="20"/>
      <c r="R8" s="20"/>
      <c r="S8" s="25" t="n">
        <f aca="false">SUM(S5:S7)</f>
        <v>1</v>
      </c>
    </row>
    <row r="9" customFormat="false" ht="15" hidden="false" customHeight="false" outlineLevel="0" collapsed="false">
      <c r="A9" s="40" t="s">
        <v>715</v>
      </c>
      <c r="B9" s="32" t="s">
        <v>77</v>
      </c>
    </row>
    <row r="10" customFormat="false" ht="15" hidden="false" customHeight="false" outlineLevel="0" collapsed="false">
      <c r="A10" s="40" t="s">
        <v>716</v>
      </c>
      <c r="B10" s="32" t="s">
        <v>74</v>
      </c>
    </row>
    <row r="11" customFormat="false" ht="15" hidden="false" customHeight="false" outlineLevel="0" collapsed="false">
      <c r="A11" s="46" t="s">
        <v>717</v>
      </c>
    </row>
    <row r="15" customFormat="false" ht="15" hidden="false" customHeight="false" outlineLevel="0" collapsed="false">
      <c r="L15" s="68" t="s">
        <v>718</v>
      </c>
      <c r="M15" s="69"/>
      <c r="N15" s="69"/>
      <c r="X15" s="68" t="s">
        <v>719</v>
      </c>
      <c r="Y15" s="69"/>
      <c r="Z15" s="69"/>
      <c r="AC15" s="68" t="s">
        <v>720</v>
      </c>
      <c r="AD15" s="69"/>
      <c r="AE15" s="69"/>
      <c r="AH15" s="68" t="s">
        <v>721</v>
      </c>
      <c r="AI15" s="69"/>
      <c r="AJ15" s="69"/>
      <c r="AM15" s="68" t="s">
        <v>722</v>
      </c>
      <c r="AN15" s="69"/>
      <c r="AO15" s="69"/>
      <c r="AR15" s="68" t="s">
        <v>723</v>
      </c>
      <c r="AS15" s="69"/>
      <c r="AT15" s="69"/>
      <c r="AW15" s="68" t="s">
        <v>724</v>
      </c>
      <c r="AX15" s="69"/>
      <c r="AY15" s="69"/>
      <c r="BB15" s="68" t="s">
        <v>725</v>
      </c>
      <c r="BC15" s="69"/>
      <c r="BD15" s="69"/>
      <c r="BG15" s="68" t="s">
        <v>726</v>
      </c>
      <c r="BH15" s="69"/>
      <c r="BI15" s="69"/>
    </row>
    <row r="16" customFormat="false" ht="15" hidden="false" customHeight="false" outlineLevel="0" collapsed="false">
      <c r="K16" s="40" t="s">
        <v>701</v>
      </c>
      <c r="L16" s="17" t="n">
        <f aca="false">IFERROR(AVERAGEIF($E$23:$E$30,1,$B$23:$B$30),0)</f>
        <v>0.92965083982807</v>
      </c>
      <c r="M16" s="17" t="n">
        <f aca="false">IFERROR(AVERAGEIF($E$23:$E$30,2,$B$23:$B$30),0)</f>
        <v>-1.33991144817968</v>
      </c>
      <c r="N16" s="17" t="n">
        <f aca="false">IFERROR(AVERAGEIF($E$23:$E$30,3,$B$23:$B$30),0)</f>
        <v>-0.0363765410416182</v>
      </c>
      <c r="W16" s="40" t="s">
        <v>701</v>
      </c>
      <c r="X16" s="17" t="n">
        <f aca="false">INDEX($B$23:$B$30,MATCH($B$8,$A$23:$A$30,0))</f>
        <v>1.10799960313627</v>
      </c>
      <c r="Y16" s="17" t="n">
        <f aca="false">INDEX($B$23:$B$30,MATCH($B$9,$A$23:$A$30,0))</f>
        <v>-1.70572873442121</v>
      </c>
      <c r="Z16" s="17" t="n">
        <f aca="false">INDEX($B$23:$B$30,MATCH($B$10,$A$23:$A$30,0))</f>
        <v>0.128119018041928</v>
      </c>
      <c r="AC16" s="17" t="n">
        <f aca="false">IFERROR(AVERAGEIF($AA$23:$AA$30,1,$B$23:$B$30),X16)</f>
        <v>0.92965083982807</v>
      </c>
      <c r="AD16" s="17" t="n">
        <f aca="false">IFERROR(AVERAGEIF($AA$23:$AA$30,2,$B$23:$B$30),Y16)</f>
        <v>-1.33991144817968</v>
      </c>
      <c r="AE16" s="17" t="n">
        <f aca="false">IFERROR(AVERAGEIF($AA$23:$AA$30,3,$B$23:$B$30),Z16)</f>
        <v>-0.0363765410416182</v>
      </c>
      <c r="AH16" s="17" t="n">
        <f aca="false">IFERROR(AVERAGEIF($AF$23:$AF$30,1,$B$23:$B$30),AC16)</f>
        <v>0.92965083982807</v>
      </c>
      <c r="AI16" s="17" t="n">
        <f aca="false">IFERROR(AVERAGEIF($AF$23:$AF$30,2,$B$23:$B$30),AD16)</f>
        <v>-1.33991144817968</v>
      </c>
      <c r="AJ16" s="17" t="n">
        <f aca="false">IFERROR(AVERAGEIF($AF$23:$AF$30,3,$B$23:$B$30),AE16)</f>
        <v>-0.0363765410416182</v>
      </c>
      <c r="AM16" s="17" t="n">
        <f aca="false">IFERROR(AVERAGEIF($AK$23:$AK$30,1,$B$23:$B$30),AH16)</f>
        <v>0.92965083982807</v>
      </c>
      <c r="AN16" s="17" t="n">
        <f aca="false">IFERROR(AVERAGEIF($AK$23:$AK$30,2,$B$23:$B$30),AI16)</f>
        <v>-1.33991144817968</v>
      </c>
      <c r="AO16" s="17" t="n">
        <f aca="false">IFERROR(AVERAGEIF($AK$23:$AK$30,3,$B$23:$B$30),AJ16)</f>
        <v>-0.0363765410416182</v>
      </c>
      <c r="AR16" s="17" t="n">
        <f aca="false">IFERROR(AVERAGEIF($AP$23:$AP$30,1,$B$23:$B$30),AM16)</f>
        <v>0.92965083982807</v>
      </c>
      <c r="AS16" s="17" t="n">
        <f aca="false">IFERROR(AVERAGEIF($AP$23:$AP$30,2,$B$23:$B$30),AN16)</f>
        <v>-1.33991144817968</v>
      </c>
      <c r="AT16" s="17" t="n">
        <f aca="false">IFERROR(AVERAGEIF($AP$23:$AP$30,3,$B$23:$B$30),AO16)</f>
        <v>-0.0363765410416182</v>
      </c>
      <c r="AW16" s="17" t="n">
        <f aca="false">IFERROR(AVERAGEIF($AU$23:$AU$30,1,$B$23:$B$30),AR16)</f>
        <v>0.92965083982807</v>
      </c>
      <c r="AX16" s="17" t="n">
        <f aca="false">IFERROR(AVERAGEIF($AU$23:$AU$30,2,$B$23:$B$30),AS16)</f>
        <v>-1.33991144817968</v>
      </c>
      <c r="AY16" s="17" t="n">
        <f aca="false">IFERROR(AVERAGEIF($AU$23:$AU$30,3,$B$23:$B$30),AT16)</f>
        <v>-0.0363765410416182</v>
      </c>
      <c r="BB16" s="17" t="n">
        <f aca="false">IFERROR(AVERAGEIF($AZ$23:$AZ$30,1,$B$23:$B$30),AW16)</f>
        <v>0.92965083982807</v>
      </c>
      <c r="BC16" s="17" t="n">
        <f aca="false">IFERROR(AVERAGEIF($AZ$23:$AZ$30,2,$B$23:$B$30),AX16)</f>
        <v>-1.33991144817968</v>
      </c>
      <c r="BD16" s="17" t="n">
        <f aca="false">IFERROR(AVERAGEIF($AZ$23:$AZ$30,3,$B$23:$B$30),AY16)</f>
        <v>-0.0363765410416182</v>
      </c>
      <c r="BG16" s="17" t="n">
        <f aca="false">IFERROR(AVERAGEIF($BE$23:$BE$30,1,$B$23:$B$30),BB16)</f>
        <v>0.92965083982807</v>
      </c>
      <c r="BH16" s="17" t="n">
        <f aca="false">IFERROR(AVERAGEIF($BE$23:$BE$30,2,$B$23:$B$30),BC16)</f>
        <v>-1.33991144817968</v>
      </c>
      <c r="BI16" s="17" t="n">
        <f aca="false">IFERROR(AVERAGEIF($BE$23:$BE$30,3,$B$23:$B$30),BD16)</f>
        <v>-0.0363765410416182</v>
      </c>
    </row>
    <row r="17" customFormat="false" ht="15" hidden="false" customHeight="false" outlineLevel="0" collapsed="false">
      <c r="K17" s="40" t="s">
        <v>702</v>
      </c>
      <c r="L17" s="17" t="n">
        <f aca="false">IFERROR(AVERAGEIF($E$23:$E$30,1,$C$23:$C$30),0)</f>
        <v>1.0614101131992</v>
      </c>
      <c r="M17" s="17" t="n">
        <f aca="false">IFERROR(AVERAGEIF($E$23:$E$30,2,$C$23:$C$30),0)</f>
        <v>-1.27540769983297</v>
      </c>
      <c r="N17" s="17" t="n">
        <f aca="false">IFERROR(AVERAGEIF($E$23:$E$30,3,$C$23:$C$30),0)</f>
        <v>-0.21113831331055</v>
      </c>
      <c r="W17" s="40" t="s">
        <v>702</v>
      </c>
      <c r="X17" s="17" t="n">
        <f aca="false">INDEX($C$23:$C$30,MATCH($B$8,$A$23:$A$30,0))</f>
        <v>1.07095117844112</v>
      </c>
      <c r="Y17" s="17" t="n">
        <f aca="false">INDEX($C$23:$C$30,MATCH($B$9,$A$23:$A$30,0))</f>
        <v>-1.57024005745915</v>
      </c>
      <c r="Z17" s="17" t="n">
        <f aca="false">INDEX($C$23:$C$30,MATCH($B$10,$A$23:$A$30,0))</f>
        <v>-0.196870560456412</v>
      </c>
      <c r="AC17" s="17" t="n">
        <f aca="false">IFERROR(AVERAGEIF($AA$23:$AA$30,1,$C$23:$C$30),X17)</f>
        <v>1.0614101131992</v>
      </c>
      <c r="AD17" s="17" t="n">
        <f aca="false">IFERROR(AVERAGEIF($AA$23:$AA$30,2,$C$23:$C$30),Y17)</f>
        <v>-1.27540769983297</v>
      </c>
      <c r="AE17" s="17" t="n">
        <f aca="false">IFERROR(AVERAGEIF($AA$23:$AA$30,3,$C$23:$C$30),Z17)</f>
        <v>-0.21113831331055</v>
      </c>
      <c r="AH17" s="17" t="n">
        <f aca="false">IFERROR(AVERAGEIF($AF$23:$AF$30,1,$C$23:$C$30),AC17)</f>
        <v>1.0614101131992</v>
      </c>
      <c r="AI17" s="17" t="n">
        <f aca="false">IFERROR(AVERAGEIF($AF$23:$AF$30,2,$C$23:$C$30),AD17)</f>
        <v>-1.27540769983297</v>
      </c>
      <c r="AJ17" s="17" t="n">
        <f aca="false">IFERROR(AVERAGEIF($AF$23:$AF$30,3,$C$23:$C$30),AE17)</f>
        <v>-0.21113831331055</v>
      </c>
      <c r="AM17" s="17" t="n">
        <f aca="false">IFERROR(AVERAGEIF($AK$23:$AK$30,1,$C$23:$C$30),AH17)</f>
        <v>1.0614101131992</v>
      </c>
      <c r="AN17" s="17" t="n">
        <f aca="false">IFERROR(AVERAGEIF($AK$23:$AK$30,2,$C$23:$C$30),AI17)</f>
        <v>-1.27540769983297</v>
      </c>
      <c r="AO17" s="17" t="n">
        <f aca="false">IFERROR(AVERAGEIF($AK$23:$AK$30,3,$C$23:$C$30),AJ17)</f>
        <v>-0.21113831331055</v>
      </c>
      <c r="AR17" s="17" t="n">
        <f aca="false">IFERROR(AVERAGEIF($AP$23:$AP$30,1,$C$23:$C$30),AM17)</f>
        <v>1.0614101131992</v>
      </c>
      <c r="AS17" s="17" t="n">
        <f aca="false">IFERROR(AVERAGEIF($AP$23:$AP$30,2,$C$23:$C$30),AN17)</f>
        <v>-1.27540769983297</v>
      </c>
      <c r="AT17" s="17" t="n">
        <f aca="false">IFERROR(AVERAGEIF($AP$23:$AP$30,3,$C$23:$C$30),AO17)</f>
        <v>-0.21113831331055</v>
      </c>
      <c r="AW17" s="17" t="n">
        <f aca="false">IFERROR(AVERAGEIF($AU$23:$AU$30,1,$C$23:$C$30),AR17)</f>
        <v>1.0614101131992</v>
      </c>
      <c r="AX17" s="17" t="n">
        <f aca="false">IFERROR(AVERAGEIF($AU$23:$AU$30,2,$C$23:$C$30),AS17)</f>
        <v>-1.27540769983297</v>
      </c>
      <c r="AY17" s="17" t="n">
        <f aca="false">IFERROR(AVERAGEIF($AU$23:$AU$30,3,$C$23:$C$30),AT17)</f>
        <v>-0.21113831331055</v>
      </c>
      <c r="BB17" s="17" t="n">
        <f aca="false">IFERROR(AVERAGEIF($AZ$23:$AZ$30,1,$C$23:$C$30),AW17)</f>
        <v>1.0614101131992</v>
      </c>
      <c r="BC17" s="17" t="n">
        <f aca="false">IFERROR(AVERAGEIF($AZ$23:$AZ$30,2,$C$23:$C$30),AX17)</f>
        <v>-1.27540769983297</v>
      </c>
      <c r="BD17" s="17" t="n">
        <f aca="false">IFERROR(AVERAGEIF($AZ$23:$AZ$30,3,$C$23:$C$30),AY17)</f>
        <v>-0.21113831331055</v>
      </c>
      <c r="BG17" s="17" t="n">
        <f aca="false">IFERROR(AVERAGEIF($BE$23:$BE$30,1,$C$23:$C$30),BB17)</f>
        <v>1.0614101131992</v>
      </c>
      <c r="BH17" s="17" t="n">
        <f aca="false">IFERROR(AVERAGEIF($BE$23:$BE$30,2,$C$23:$C$30),BC17)</f>
        <v>-1.27540769983297</v>
      </c>
      <c r="BI17" s="17" t="n">
        <f aca="false">IFERROR(AVERAGEIF($BE$23:$BE$30,3,$C$23:$C$30),BD17)</f>
        <v>-0.21113831331055</v>
      </c>
    </row>
    <row r="18" customFormat="false" ht="15" hidden="false" customHeight="false" outlineLevel="0" collapsed="false">
      <c r="K18" s="40" t="s">
        <v>703</v>
      </c>
      <c r="L18" s="17" t="n">
        <f aca="false">IFERROR(AVERAGEIF($E$23:$E$30,1,$D$23:$D$30),0)</f>
        <v>0.888690155055042</v>
      </c>
      <c r="M18" s="17" t="n">
        <f aca="false">IFERROR(AVERAGEIF($E$23:$E$30,2,$D$23:$D$30),0)</f>
        <v>-1.30414657799468</v>
      </c>
      <c r="N18" s="17" t="n">
        <f aca="false">IFERROR(AVERAGEIF($E$23:$E$30,3,$D$23:$D$30),0)</f>
        <v>-0.0192591030585863</v>
      </c>
      <c r="W18" s="40" t="s">
        <v>703</v>
      </c>
      <c r="X18" s="17" t="n">
        <f aca="false">INDEX($D$23:$D$30,MATCH($B$8,$A$23:$A$30,0))</f>
        <v>1.41686294700984</v>
      </c>
      <c r="Y18" s="17" t="n">
        <f aca="false">INDEX($D$23:$D$30,MATCH($B$9,$A$23:$A$30,0))</f>
        <v>-1.74875263896758</v>
      </c>
      <c r="Z18" s="17" t="n">
        <f aca="false">INDEX($D$23:$D$30,MATCH($B$10,$A$23:$A$30,0))</f>
        <v>-0.205870512762956</v>
      </c>
      <c r="AC18" s="17" t="n">
        <f aca="false">IFERROR(AVERAGEIF($AA$23:$AA$30,1,$D$23:$D$30),X18)</f>
        <v>0.888690155055042</v>
      </c>
      <c r="AD18" s="17" t="n">
        <f aca="false">IFERROR(AVERAGEIF($AA$23:$AA$30,2,$D$23:$D$30),Y18)</f>
        <v>-1.30414657799468</v>
      </c>
      <c r="AE18" s="17" t="n">
        <f aca="false">IFERROR(AVERAGEIF($AA$23:$AA$30,3,$D$23:$D$30),Z18)</f>
        <v>-0.0192591030585863</v>
      </c>
      <c r="AH18" s="17" t="n">
        <f aca="false">IFERROR(AVERAGEIF($AF$23:$AF$30,1,$D$23:$D$30),AC18)</f>
        <v>0.888690155055042</v>
      </c>
      <c r="AI18" s="17" t="n">
        <f aca="false">IFERROR(AVERAGEIF($AF$23:$AF$30,2,$D$23:$D$30),AD18)</f>
        <v>-1.30414657799468</v>
      </c>
      <c r="AJ18" s="17" t="n">
        <f aca="false">IFERROR(AVERAGEIF($AF$23:$AF$30,3,$D$23:$D$30),AE18)</f>
        <v>-0.0192591030585863</v>
      </c>
      <c r="AM18" s="17" t="n">
        <f aca="false">IFERROR(AVERAGEIF($AK$23:$AK$30,1,$D$23:$D$30),AH18)</f>
        <v>0.888690155055042</v>
      </c>
      <c r="AN18" s="17" t="n">
        <f aca="false">IFERROR(AVERAGEIF($AK$23:$AK$30,2,$D$23:$D$30),AI18)</f>
        <v>-1.30414657799468</v>
      </c>
      <c r="AO18" s="17" t="n">
        <f aca="false">IFERROR(AVERAGEIF($AK$23:$AK$30,3,$D$23:$D$30),AJ18)</f>
        <v>-0.0192591030585863</v>
      </c>
      <c r="AR18" s="17" t="n">
        <f aca="false">IFERROR(AVERAGEIF($AP$23:$AP$30,1,$D$23:$D$30),AM18)</f>
        <v>0.888690155055042</v>
      </c>
      <c r="AS18" s="17" t="n">
        <f aca="false">IFERROR(AVERAGEIF($AP$23:$AP$30,2,$D$23:$D$30),AN18)</f>
        <v>-1.30414657799468</v>
      </c>
      <c r="AT18" s="17" t="n">
        <f aca="false">IFERROR(AVERAGEIF($AP$23:$AP$30,3,$D$23:$D$30),AO18)</f>
        <v>-0.0192591030585863</v>
      </c>
      <c r="AW18" s="17" t="n">
        <f aca="false">IFERROR(AVERAGEIF($AU$23:$AU$30,1,$D$23:$D$30),AR18)</f>
        <v>0.888690155055042</v>
      </c>
      <c r="AX18" s="17" t="n">
        <f aca="false">IFERROR(AVERAGEIF($AU$23:$AU$30,2,$D$23:$D$30),AS18)</f>
        <v>-1.30414657799468</v>
      </c>
      <c r="AY18" s="17" t="n">
        <f aca="false">IFERROR(AVERAGEIF($AU$23:$AU$30,3,$D$23:$D$30),AT18)</f>
        <v>-0.0192591030585863</v>
      </c>
      <c r="BB18" s="17" t="n">
        <f aca="false">IFERROR(AVERAGEIF($AZ$23:$AZ$30,1,$D$23:$D$30),AW18)</f>
        <v>0.888690155055042</v>
      </c>
      <c r="BC18" s="17" t="n">
        <f aca="false">IFERROR(AVERAGEIF($AZ$23:$AZ$30,2,$D$23:$D$30),AX18)</f>
        <v>-1.30414657799468</v>
      </c>
      <c r="BD18" s="17" t="n">
        <f aca="false">IFERROR(AVERAGEIF($AZ$23:$AZ$30,3,$D$23:$D$30),AY18)</f>
        <v>-0.0192591030585863</v>
      </c>
      <c r="BG18" s="17" t="n">
        <f aca="false">IFERROR(AVERAGEIF($BE$23:$BE$30,1,$D$23:$D$30),BB18)</f>
        <v>0.888690155055042</v>
      </c>
      <c r="BH18" s="17" t="n">
        <f aca="false">IFERROR(AVERAGEIF($BE$23:$BE$30,2,$D$23:$D$30),BC18)</f>
        <v>-1.30414657799468</v>
      </c>
      <c r="BI18" s="17" t="n">
        <f aca="false">IFERROR(AVERAGEIF($BE$23:$BE$30,3,$D$23:$D$30),BD18)</f>
        <v>-0.0192591030585863</v>
      </c>
    </row>
    <row r="19" customFormat="false" ht="15" hidden="false" customHeight="false" outlineLevel="0" collapsed="false">
      <c r="K19" s="40" t="s">
        <v>731</v>
      </c>
      <c r="L19" s="15" t="n">
        <f aca="false">COUNTIF($E$23:$E$30,1)</f>
        <v>3</v>
      </c>
      <c r="M19" s="15" t="n">
        <f aca="false">COUNTIF($E$23:$E$30,2)</f>
        <v>2</v>
      </c>
      <c r="N19" s="15" t="n">
        <f aca="false">COUNTIF($E$23:$E$30,3)</f>
        <v>3</v>
      </c>
      <c r="W19" s="40" t="s">
        <v>731</v>
      </c>
      <c r="X19" s="15" t="n">
        <f aca="false">COUNTIF($AA$23:$AA$30,1)</f>
        <v>3</v>
      </c>
      <c r="Y19" s="15" t="n">
        <f aca="false">COUNTIF($AA$23:$AA$30,2)</f>
        <v>2</v>
      </c>
      <c r="Z19" s="15" t="n">
        <f aca="false">COUNTIF($AA$23:$AA$30,3)</f>
        <v>3</v>
      </c>
      <c r="AC19" s="15" t="n">
        <f aca="false">COUNTIF($AF$23:$AF$30,1)</f>
        <v>3</v>
      </c>
      <c r="AD19" s="15" t="n">
        <f aca="false">COUNTIF($AF$23:$AF$30,2)</f>
        <v>2</v>
      </c>
      <c r="AE19" s="15" t="n">
        <f aca="false">COUNTIF($AF$23:$AF$30,3)</f>
        <v>3</v>
      </c>
      <c r="AH19" s="15" t="n">
        <f aca="false">COUNTIF($AK$23:$AK$30,1)</f>
        <v>3</v>
      </c>
      <c r="AI19" s="15" t="n">
        <f aca="false">COUNTIF($AK$23:$AK$30,2)</f>
        <v>2</v>
      </c>
      <c r="AJ19" s="15" t="n">
        <f aca="false">COUNTIF($AK$23:$AK$30,3)</f>
        <v>3</v>
      </c>
      <c r="AM19" s="15" t="n">
        <f aca="false">COUNTIF($AP$23:$AP$30,1)</f>
        <v>3</v>
      </c>
      <c r="AN19" s="15" t="n">
        <f aca="false">COUNTIF($AP$23:$AP$30,2)</f>
        <v>2</v>
      </c>
      <c r="AO19" s="15" t="n">
        <f aca="false">COUNTIF($AP$23:$AP$30,3)</f>
        <v>3</v>
      </c>
      <c r="AR19" s="15" t="n">
        <f aca="false">COUNTIF($AU$23:$AU$30,1)</f>
        <v>3</v>
      </c>
      <c r="AS19" s="15" t="n">
        <f aca="false">COUNTIF($AU$23:$AU$30,2)</f>
        <v>2</v>
      </c>
      <c r="AT19" s="15" t="n">
        <f aca="false">COUNTIF($AU$23:$AU$30,3)</f>
        <v>3</v>
      </c>
      <c r="AW19" s="15" t="n">
        <f aca="false">COUNTIF($AZ$23:$AZ$30,1)</f>
        <v>3</v>
      </c>
      <c r="AX19" s="15" t="n">
        <f aca="false">COUNTIF($AZ$23:$AZ$30,2)</f>
        <v>2</v>
      </c>
      <c r="AY19" s="15" t="n">
        <f aca="false">COUNTIF($AZ$23:$AZ$30,3)</f>
        <v>3</v>
      </c>
      <c r="BB19" s="15" t="n">
        <f aca="false">COUNTIF($BE$23:$BE$30,1)</f>
        <v>3</v>
      </c>
      <c r="BC19" s="15" t="n">
        <f aca="false">COUNTIF($BE$23:$BE$30,2)</f>
        <v>2</v>
      </c>
      <c r="BD19" s="15" t="n">
        <f aca="false">COUNTIF($BE$23:$BE$30,3)</f>
        <v>3</v>
      </c>
      <c r="BG19" s="15" t="n">
        <f aca="false">COUNTIF($BJ$23:$BJ$30,1)</f>
        <v>3</v>
      </c>
      <c r="BH19" s="15" t="n">
        <f aca="false">COUNTIF($BJ$23:$BJ$30,2)</f>
        <v>2</v>
      </c>
      <c r="BI19" s="15" t="n">
        <f aca="false">COUNTIF($BJ$23:$BJ$30,3)</f>
        <v>3</v>
      </c>
    </row>
    <row r="20" customFormat="false" ht="15" hidden="false" customHeight="false" outlineLevel="0" collapsed="false">
      <c r="K20" s="40" t="s">
        <v>732</v>
      </c>
      <c r="L20" s="17" t="n">
        <f aca="false">SUMIF($E$23:$E$30,1,$F$23:$F$30)</f>
        <v>0.648677497560096</v>
      </c>
      <c r="M20" s="17" t="n">
        <f aca="false">SUMIF($E$23:$E$30,2,$F$23:$F$30)</f>
        <v>0.836845910940728</v>
      </c>
      <c r="N20" s="17" t="n">
        <f aca="false">SUMIF($E$23:$E$30,3,$F$23:$F$30)</f>
        <v>0.788167446528171</v>
      </c>
      <c r="W20" s="40" t="s">
        <v>733</v>
      </c>
      <c r="AA20" s="12" t="s">
        <v>734</v>
      </c>
      <c r="AF20" s="15" t="n">
        <f aca="false">SUMPRODUCT(--($AF$23:$AF$30&lt;&gt;$AA$23:$AA$30))</f>
        <v>0</v>
      </c>
      <c r="AK20" s="15" t="n">
        <f aca="false">SUMPRODUCT(--($AK$23:$AK$30&lt;&gt;$AF$23:$AF$30))</f>
        <v>0</v>
      </c>
      <c r="AP20" s="15" t="n">
        <f aca="false">SUMPRODUCT(--($AP$23:$AP$30&lt;&gt;$AK$23:$AK$30))</f>
        <v>0</v>
      </c>
      <c r="AU20" s="15" t="n">
        <f aca="false">SUMPRODUCT(--($AU$23:$AU$30&lt;&gt;$AP$23:$AP$30))</f>
        <v>0</v>
      </c>
      <c r="AZ20" s="15" t="n">
        <f aca="false">SUMPRODUCT(--($AZ$23:$AZ$30&lt;&gt;$AU$23:$AU$30))</f>
        <v>0</v>
      </c>
      <c r="BE20" s="15" t="n">
        <f aca="false">SUMPRODUCT(--($BE$23:$BE$30&lt;&gt;$AZ$23:$AZ$30))</f>
        <v>0</v>
      </c>
      <c r="BJ20" s="15" t="n">
        <f aca="false">SUMPRODUCT(--($BJ$23:$BJ$30&lt;&gt;$BE$23:$BE$30))</f>
        <v>0</v>
      </c>
    </row>
    <row r="21" customFormat="false" ht="15" hidden="false" customHeight="false" outlineLevel="0" collapsed="false">
      <c r="K21" s="40" t="s">
        <v>526</v>
      </c>
      <c r="L21" s="70" t="n">
        <f aca="false">SUM($F$23:$F$30)</f>
        <v>2.27369085502899</v>
      </c>
      <c r="M21" s="40" t="s">
        <v>52</v>
      </c>
      <c r="N21" s="36" t="str">
        <f aca="false">IF(BJ20=0,"Converged","Not converged: more iterations needed")</f>
        <v>Converged</v>
      </c>
    </row>
    <row r="22" customFormat="false" ht="31.5" hidden="false" customHeight="true" outlineLevel="0" collapsed="false">
      <c r="A22" s="10" t="s">
        <v>735</v>
      </c>
      <c r="B22" s="10" t="s">
        <v>701</v>
      </c>
      <c r="C22" s="10" t="s">
        <v>702</v>
      </c>
      <c r="D22" s="10" t="s">
        <v>703</v>
      </c>
      <c r="E22" s="10" t="s">
        <v>707</v>
      </c>
      <c r="F22" s="10" t="s">
        <v>736</v>
      </c>
      <c r="G22" s="10" t="s">
        <v>708</v>
      </c>
      <c r="X22" s="10" t="s">
        <v>740</v>
      </c>
      <c r="Y22" s="10" t="s">
        <v>741</v>
      </c>
      <c r="Z22" s="10" t="s">
        <v>742</v>
      </c>
      <c r="AA22" s="10" t="s">
        <v>707</v>
      </c>
      <c r="AC22" s="10" t="s">
        <v>740</v>
      </c>
      <c r="AD22" s="10" t="s">
        <v>741</v>
      </c>
      <c r="AE22" s="10" t="s">
        <v>742</v>
      </c>
      <c r="AF22" s="10" t="s">
        <v>707</v>
      </c>
      <c r="AH22" s="10" t="s">
        <v>740</v>
      </c>
      <c r="AI22" s="10" t="s">
        <v>741</v>
      </c>
      <c r="AJ22" s="10" t="s">
        <v>742</v>
      </c>
      <c r="AK22" s="10" t="s">
        <v>707</v>
      </c>
      <c r="AM22" s="10" t="s">
        <v>740</v>
      </c>
      <c r="AN22" s="10" t="s">
        <v>741</v>
      </c>
      <c r="AO22" s="10" t="s">
        <v>742</v>
      </c>
      <c r="AP22" s="10" t="s">
        <v>707</v>
      </c>
      <c r="AR22" s="10" t="s">
        <v>740</v>
      </c>
      <c r="AS22" s="10" t="s">
        <v>741</v>
      </c>
      <c r="AT22" s="10" t="s">
        <v>742</v>
      </c>
      <c r="AU22" s="10" t="s">
        <v>707</v>
      </c>
      <c r="AW22" s="10" t="s">
        <v>740</v>
      </c>
      <c r="AX22" s="10" t="s">
        <v>741</v>
      </c>
      <c r="AY22" s="10" t="s">
        <v>742</v>
      </c>
      <c r="AZ22" s="10" t="s">
        <v>707</v>
      </c>
      <c r="BB22" s="10" t="s">
        <v>740</v>
      </c>
      <c r="BC22" s="10" t="s">
        <v>741</v>
      </c>
      <c r="BD22" s="10" t="s">
        <v>742</v>
      </c>
      <c r="BE22" s="10" t="s">
        <v>707</v>
      </c>
      <c r="BG22" s="10" t="s">
        <v>740</v>
      </c>
      <c r="BH22" s="10" t="s">
        <v>741</v>
      </c>
      <c r="BI22" s="10" t="s">
        <v>742</v>
      </c>
      <c r="BJ22" s="10" t="s">
        <v>707</v>
      </c>
    </row>
    <row r="23" customFormat="false" ht="15" hidden="false" customHeight="false" outlineLevel="0" collapsed="false">
      <c r="A23" s="36" t="str">
        <f aca="false">Province_Agg!A5</f>
        <v>Sindh</v>
      </c>
      <c r="B23" s="17" t="n">
        <f aca="false">Province_Agg!K5</f>
        <v>1.10799960313627</v>
      </c>
      <c r="C23" s="17" t="n">
        <f aca="false">Province_Agg!L5</f>
        <v>1.07095117844112</v>
      </c>
      <c r="D23" s="17" t="n">
        <f aca="false">Province_Agg!M5</f>
        <v>1.41686294700984</v>
      </c>
      <c r="E23" s="63" t="n">
        <f aca="false">BJ23</f>
        <v>1</v>
      </c>
      <c r="F23" s="38" t="n">
        <f aca="false">($B23-INDEX($L$16:$N$16,E23))^2+($C23-INDEX($L$17:$N$17,E23))^2+($D23-INDEX($L$18:$N$18,E23))^2</f>
        <v>0.310865811460835</v>
      </c>
      <c r="G23" s="12" t="str">
        <f aca="false">INDEX($M$5:$M$7,E23)</f>
        <v>High burden</v>
      </c>
      <c r="X23" s="17" t="n">
        <f aca="false">SQRT(($B23-X$16)^2+($C23-X$17)^2+($D23-X$18)^2)</f>
        <v>0</v>
      </c>
      <c r="Y23" s="17" t="n">
        <f aca="false">SQRT(($B23-Y$16)^2+($C23-Y$17)^2+($D23-Y$18)^2)</f>
        <v>4.99140063913462</v>
      </c>
      <c r="Z23" s="17" t="n">
        <f aca="false">SQRT(($B23-Z$16)^2+($C23-Z$17)^2+($D23-Z$18)^2)</f>
        <v>2.28052665060774</v>
      </c>
      <c r="AA23" s="63" t="n">
        <f aca="false">MATCH(MIN(X23:Z23),X23:Z23,0)</f>
        <v>1</v>
      </c>
      <c r="AC23" s="17" t="n">
        <f aca="false">SQRT(($B23-AC$16)^2+($C23-AC$17)^2+($D23-AC$18)^2)</f>
        <v>0.557553415791559</v>
      </c>
      <c r="AD23" s="17" t="n">
        <f aca="false">SQRT(($B23-AD$16)^2+($C23-AD$17)^2+($D23-AD$18)^2)</f>
        <v>4.34759259084561</v>
      </c>
      <c r="AE23" s="17" t="n">
        <f aca="false">SQRT(($B23-AE$16)^2+($C23-AE$17)^2+($D23-AE$18)^2)</f>
        <v>2.23959745644529</v>
      </c>
      <c r="AF23" s="63" t="n">
        <f aca="false">MATCH(MIN(AC23:AE23),AC23:AE23,0)</f>
        <v>1</v>
      </c>
      <c r="AH23" s="17" t="n">
        <f aca="false">SQRT(($B23-AH$16)^2+($C23-AH$17)^2+($D23-AH$18)^2)</f>
        <v>0.557553415791559</v>
      </c>
      <c r="AI23" s="17" t="n">
        <f aca="false">SQRT(($B23-AI$16)^2+($C23-AI$17)^2+($D23-AI$18)^2)</f>
        <v>4.34759259084561</v>
      </c>
      <c r="AJ23" s="17" t="n">
        <f aca="false">SQRT(($B23-AJ$16)^2+($C23-AJ$17)^2+($D23-AJ$18)^2)</f>
        <v>2.23959745644529</v>
      </c>
      <c r="AK23" s="63" t="n">
        <f aca="false">MATCH(MIN(AH23:AJ23),AH23:AJ23,0)</f>
        <v>1</v>
      </c>
      <c r="AM23" s="17" t="n">
        <f aca="false">SQRT(($B23-AM$16)^2+($C23-AM$17)^2+($D23-AM$18)^2)</f>
        <v>0.557553415791559</v>
      </c>
      <c r="AN23" s="17" t="n">
        <f aca="false">SQRT(($B23-AN$16)^2+($C23-AN$17)^2+($D23-AN$18)^2)</f>
        <v>4.34759259084561</v>
      </c>
      <c r="AO23" s="17" t="n">
        <f aca="false">SQRT(($B23-AO$16)^2+($C23-AO$17)^2+($D23-AO$18)^2)</f>
        <v>2.23959745644529</v>
      </c>
      <c r="AP23" s="63" t="n">
        <f aca="false">MATCH(MIN(AM23:AO23),AM23:AO23,0)</f>
        <v>1</v>
      </c>
      <c r="AR23" s="17" t="n">
        <f aca="false">SQRT(($B23-AR$16)^2+($C23-AR$17)^2+($D23-AR$18)^2)</f>
        <v>0.557553415791559</v>
      </c>
      <c r="AS23" s="17" t="n">
        <f aca="false">SQRT(($B23-AS$16)^2+($C23-AS$17)^2+($D23-AS$18)^2)</f>
        <v>4.34759259084561</v>
      </c>
      <c r="AT23" s="17" t="n">
        <f aca="false">SQRT(($B23-AT$16)^2+($C23-AT$17)^2+($D23-AT$18)^2)</f>
        <v>2.23959745644529</v>
      </c>
      <c r="AU23" s="63" t="n">
        <f aca="false">MATCH(MIN(AR23:AT23),AR23:AT23,0)</f>
        <v>1</v>
      </c>
      <c r="AW23" s="17" t="n">
        <f aca="false">SQRT(($B23-AW$16)^2+($C23-AW$17)^2+($D23-AW$18)^2)</f>
        <v>0.557553415791559</v>
      </c>
      <c r="AX23" s="17" t="n">
        <f aca="false">SQRT(($B23-AX$16)^2+($C23-AX$17)^2+($D23-AX$18)^2)</f>
        <v>4.34759259084561</v>
      </c>
      <c r="AY23" s="17" t="n">
        <f aca="false">SQRT(($B23-AY$16)^2+($C23-AY$17)^2+($D23-AY$18)^2)</f>
        <v>2.23959745644529</v>
      </c>
      <c r="AZ23" s="63" t="n">
        <f aca="false">MATCH(MIN(AW23:AY23),AW23:AY23,0)</f>
        <v>1</v>
      </c>
      <c r="BB23" s="17" t="n">
        <f aca="false">SQRT(($B23-BB$16)^2+($C23-BB$17)^2+($D23-BB$18)^2)</f>
        <v>0.557553415791559</v>
      </c>
      <c r="BC23" s="17" t="n">
        <f aca="false">SQRT(($B23-BC$16)^2+($C23-BC$17)^2+($D23-BC$18)^2)</f>
        <v>4.34759259084561</v>
      </c>
      <c r="BD23" s="17" t="n">
        <f aca="false">SQRT(($B23-BD$16)^2+($C23-BD$17)^2+($D23-BD$18)^2)</f>
        <v>2.23959745644529</v>
      </c>
      <c r="BE23" s="63" t="n">
        <f aca="false">MATCH(MIN(BB23:BD23),BB23:BD23,0)</f>
        <v>1</v>
      </c>
      <c r="BG23" s="17" t="n">
        <f aca="false">SQRT(($B23-BG$16)^2+($C23-BG$17)^2+($D23-BG$18)^2)</f>
        <v>0.557553415791559</v>
      </c>
      <c r="BH23" s="17" t="n">
        <f aca="false">SQRT(($B23-BH$16)^2+($C23-BH$17)^2+($D23-BH$18)^2)</f>
        <v>4.34759259084561</v>
      </c>
      <c r="BI23" s="17" t="n">
        <f aca="false">SQRT(($B23-BI$16)^2+($C23-BI$17)^2+($D23-BI$18)^2)</f>
        <v>2.23959745644529</v>
      </c>
      <c r="BJ23" s="63" t="n">
        <f aca="false">MATCH(MIN(BG23:BI23),BG23:BI23,0)</f>
        <v>1</v>
      </c>
    </row>
    <row r="24" customFormat="false" ht="15" hidden="false" customHeight="false" outlineLevel="0" collapsed="false">
      <c r="A24" s="36" t="str">
        <f aca="false">Province_Agg!A6</f>
        <v>Punjab</v>
      </c>
      <c r="B24" s="17" t="n">
        <f aca="false">Province_Agg!K6</f>
        <v>1.08381042475669</v>
      </c>
      <c r="C24" s="17" t="n">
        <f aca="false">Province_Agg!L6</f>
        <v>1.10975051121378</v>
      </c>
      <c r="D24" s="17" t="n">
        <f aca="false">Province_Agg!M6</f>
        <v>0.795358553852391</v>
      </c>
      <c r="E24" s="63" t="n">
        <f aca="false">BJ24</f>
        <v>1</v>
      </c>
      <c r="F24" s="38" t="n">
        <f aca="false">($B24-INDEX($L$16:$N$16,E24))^2+($C24-INDEX($L$17:$N$17,E24))^2+($D24-INDEX($L$18:$N$18,E24))^2</f>
        <v>0.0348127594886249</v>
      </c>
      <c r="G24" s="12" t="str">
        <f aca="false">INDEX($M$5:$M$7,E24)</f>
        <v>High burden</v>
      </c>
      <c r="X24" s="17" t="n">
        <f aca="false">SQRT(($B24-X$16)^2+($C24-X$17)^2+($D24-X$18)^2)</f>
        <v>0.623183933753339</v>
      </c>
      <c r="Y24" s="17" t="n">
        <f aca="false">SQRT(($B24-Y$16)^2+($C24-Y$17)^2+($D24-Y$18)^2)</f>
        <v>4.62994383661343</v>
      </c>
      <c r="Z24" s="17" t="n">
        <f aca="false">SQRT(($B24-Z$16)^2+($C24-Z$17)^2+($D24-Z$18)^2)</f>
        <v>1.9034348776978</v>
      </c>
      <c r="AA24" s="63" t="n">
        <f aca="false">MATCH(MIN(X24:Z24),X24:Z24,0)</f>
        <v>1</v>
      </c>
      <c r="AC24" s="17" t="n">
        <f aca="false">SQRT(($B24-AC$16)^2+($C24-AC$17)^2+($D24-AC$18)^2)</f>
        <v>0.186581776946799</v>
      </c>
      <c r="AD24" s="17" t="n">
        <f aca="false">SQRT(($B24-AD$16)^2+($C24-AD$17)^2+($D24-AD$18)^2)</f>
        <v>3.99641454402895</v>
      </c>
      <c r="AE24" s="17" t="n">
        <f aca="false">SQRT(($B24-AE$16)^2+($C24-AE$17)^2+($D24-AE$18)^2)</f>
        <v>1.91394045154201</v>
      </c>
      <c r="AF24" s="63" t="n">
        <f aca="false">MATCH(MIN(AC24:AE24),AC24:AE24,0)</f>
        <v>1</v>
      </c>
      <c r="AH24" s="17" t="n">
        <f aca="false">SQRT(($B24-AH$16)^2+($C24-AH$17)^2+($D24-AH$18)^2)</f>
        <v>0.186581776946799</v>
      </c>
      <c r="AI24" s="17" t="n">
        <f aca="false">SQRT(($B24-AI$16)^2+($C24-AI$17)^2+($D24-AI$18)^2)</f>
        <v>3.99641454402895</v>
      </c>
      <c r="AJ24" s="17" t="n">
        <f aca="false">SQRT(($B24-AJ$16)^2+($C24-AJ$17)^2+($D24-AJ$18)^2)</f>
        <v>1.91394045154201</v>
      </c>
      <c r="AK24" s="63" t="n">
        <f aca="false">MATCH(MIN(AH24:AJ24),AH24:AJ24,0)</f>
        <v>1</v>
      </c>
      <c r="AM24" s="17" t="n">
        <f aca="false">SQRT(($B24-AM$16)^2+($C24-AM$17)^2+($D24-AM$18)^2)</f>
        <v>0.186581776946799</v>
      </c>
      <c r="AN24" s="17" t="n">
        <f aca="false">SQRT(($B24-AN$16)^2+($C24-AN$17)^2+($D24-AN$18)^2)</f>
        <v>3.99641454402895</v>
      </c>
      <c r="AO24" s="17" t="n">
        <f aca="false">SQRT(($B24-AO$16)^2+($C24-AO$17)^2+($D24-AO$18)^2)</f>
        <v>1.91394045154201</v>
      </c>
      <c r="AP24" s="63" t="n">
        <f aca="false">MATCH(MIN(AM24:AO24),AM24:AO24,0)</f>
        <v>1</v>
      </c>
      <c r="AR24" s="17" t="n">
        <f aca="false">SQRT(($B24-AR$16)^2+($C24-AR$17)^2+($D24-AR$18)^2)</f>
        <v>0.186581776946799</v>
      </c>
      <c r="AS24" s="17" t="n">
        <f aca="false">SQRT(($B24-AS$16)^2+($C24-AS$17)^2+($D24-AS$18)^2)</f>
        <v>3.99641454402895</v>
      </c>
      <c r="AT24" s="17" t="n">
        <f aca="false">SQRT(($B24-AT$16)^2+($C24-AT$17)^2+($D24-AT$18)^2)</f>
        <v>1.91394045154201</v>
      </c>
      <c r="AU24" s="63" t="n">
        <f aca="false">MATCH(MIN(AR24:AT24),AR24:AT24,0)</f>
        <v>1</v>
      </c>
      <c r="AW24" s="17" t="n">
        <f aca="false">SQRT(($B24-AW$16)^2+($C24-AW$17)^2+($D24-AW$18)^2)</f>
        <v>0.186581776946799</v>
      </c>
      <c r="AX24" s="17" t="n">
        <f aca="false">SQRT(($B24-AX$16)^2+($C24-AX$17)^2+($D24-AX$18)^2)</f>
        <v>3.99641454402895</v>
      </c>
      <c r="AY24" s="17" t="n">
        <f aca="false">SQRT(($B24-AY$16)^2+($C24-AY$17)^2+($D24-AY$18)^2)</f>
        <v>1.91394045154201</v>
      </c>
      <c r="AZ24" s="63" t="n">
        <f aca="false">MATCH(MIN(AW24:AY24),AW24:AY24,0)</f>
        <v>1</v>
      </c>
      <c r="BB24" s="17" t="n">
        <f aca="false">SQRT(($B24-BB$16)^2+($C24-BB$17)^2+($D24-BB$18)^2)</f>
        <v>0.186581776946799</v>
      </c>
      <c r="BC24" s="17" t="n">
        <f aca="false">SQRT(($B24-BC$16)^2+($C24-BC$17)^2+($D24-BC$18)^2)</f>
        <v>3.99641454402895</v>
      </c>
      <c r="BD24" s="17" t="n">
        <f aca="false">SQRT(($B24-BD$16)^2+($C24-BD$17)^2+($D24-BD$18)^2)</f>
        <v>1.91394045154201</v>
      </c>
      <c r="BE24" s="63" t="n">
        <f aca="false">MATCH(MIN(BB24:BD24),BB24:BD24,0)</f>
        <v>1</v>
      </c>
      <c r="BG24" s="17" t="n">
        <f aca="false">SQRT(($B24-BG$16)^2+($C24-BG$17)^2+($D24-BG$18)^2)</f>
        <v>0.186581776946799</v>
      </c>
      <c r="BH24" s="17" t="n">
        <f aca="false">SQRT(($B24-BH$16)^2+($C24-BH$17)^2+($D24-BH$18)^2)</f>
        <v>3.99641454402895</v>
      </c>
      <c r="BI24" s="17" t="n">
        <f aca="false">SQRT(($B24-BI$16)^2+($C24-BI$17)^2+($D24-BI$18)^2)</f>
        <v>1.91394045154201</v>
      </c>
      <c r="BJ24" s="63" t="n">
        <f aca="false">MATCH(MIN(BG24:BI24),BG24:BI24,0)</f>
        <v>1</v>
      </c>
    </row>
    <row r="25" customFormat="false" ht="15" hidden="false" customHeight="false" outlineLevel="0" collapsed="false">
      <c r="A25" s="36" t="str">
        <f aca="false">Province_Agg!A7</f>
        <v>Khyber Pakhtunkhwa</v>
      </c>
      <c r="B25" s="17" t="n">
        <f aca="false">Province_Agg!K7</f>
        <v>0.597142491591248</v>
      </c>
      <c r="C25" s="17" t="n">
        <f aca="false">Province_Agg!L7</f>
        <v>1.00352864994269</v>
      </c>
      <c r="D25" s="17" t="n">
        <f aca="false">Province_Agg!M7</f>
        <v>0.4538489643029</v>
      </c>
      <c r="E25" s="63" t="n">
        <f aca="false">BJ25</f>
        <v>1</v>
      </c>
      <c r="F25" s="38" t="n">
        <f aca="false">($B25-INDEX($L$16:$N$16,E25))^2+($C25-INDEX($L$17:$N$17,E25))^2+($D25-INDEX($L$18:$N$18,E25))^2</f>
        <v>0.302998926610635</v>
      </c>
      <c r="G25" s="12" t="str">
        <f aca="false">INDEX($M$5:$M$7,E25)</f>
        <v>High burden</v>
      </c>
      <c r="X25" s="17" t="n">
        <f aca="false">SQRT(($B25-X$16)^2+($C25-X$17)^2+($D25-X$18)^2)</f>
        <v>1.09220726817501</v>
      </c>
      <c r="Y25" s="17" t="n">
        <f aca="false">SQRT(($B25-Y$16)^2+($C25-Y$17)^2+($D25-Y$18)^2)</f>
        <v>4.09621228277133</v>
      </c>
      <c r="Z25" s="17" t="n">
        <f aca="false">SQRT(($B25-Z$16)^2+($C25-Z$17)^2+($D25-Z$18)^2)</f>
        <v>1.44781596602852</v>
      </c>
      <c r="AA25" s="63" t="n">
        <f aca="false">MATCH(MIN(X25:Z25),X25:Z25,0)</f>
        <v>1</v>
      </c>
      <c r="AC25" s="17" t="n">
        <f aca="false">SQRT(($B25-AC$16)^2+($C25-AC$17)^2+($D25-AC$18)^2)</f>
        <v>0.550453382776993</v>
      </c>
      <c r="AD25" s="17" t="n">
        <f aca="false">SQRT(($B25-AD$16)^2+($C25-AD$17)^2+($D25-AD$18)^2)</f>
        <v>3.46933382346655</v>
      </c>
      <c r="AE25" s="17" t="n">
        <f aca="false">SQRT(($B25-AE$16)^2+($C25-AE$17)^2+($D25-AE$18)^2)</f>
        <v>1.44934241631488</v>
      </c>
      <c r="AF25" s="63" t="n">
        <f aca="false">MATCH(MIN(AC25:AE25),AC25:AE25,0)</f>
        <v>1</v>
      </c>
      <c r="AH25" s="17" t="n">
        <f aca="false">SQRT(($B25-AH$16)^2+($C25-AH$17)^2+($D25-AH$18)^2)</f>
        <v>0.550453382776993</v>
      </c>
      <c r="AI25" s="17" t="n">
        <f aca="false">SQRT(($B25-AI$16)^2+($C25-AI$17)^2+($D25-AI$18)^2)</f>
        <v>3.46933382346655</v>
      </c>
      <c r="AJ25" s="17" t="n">
        <f aca="false">SQRT(($B25-AJ$16)^2+($C25-AJ$17)^2+($D25-AJ$18)^2)</f>
        <v>1.44934241631488</v>
      </c>
      <c r="AK25" s="63" t="n">
        <f aca="false">MATCH(MIN(AH25:AJ25),AH25:AJ25,0)</f>
        <v>1</v>
      </c>
      <c r="AM25" s="17" t="n">
        <f aca="false">SQRT(($B25-AM$16)^2+($C25-AM$17)^2+($D25-AM$18)^2)</f>
        <v>0.550453382776993</v>
      </c>
      <c r="AN25" s="17" t="n">
        <f aca="false">SQRT(($B25-AN$16)^2+($C25-AN$17)^2+($D25-AN$18)^2)</f>
        <v>3.46933382346655</v>
      </c>
      <c r="AO25" s="17" t="n">
        <f aca="false">SQRT(($B25-AO$16)^2+($C25-AO$17)^2+($D25-AO$18)^2)</f>
        <v>1.44934241631488</v>
      </c>
      <c r="AP25" s="63" t="n">
        <f aca="false">MATCH(MIN(AM25:AO25),AM25:AO25,0)</f>
        <v>1</v>
      </c>
      <c r="AR25" s="17" t="n">
        <f aca="false">SQRT(($B25-AR$16)^2+($C25-AR$17)^2+($D25-AR$18)^2)</f>
        <v>0.550453382776993</v>
      </c>
      <c r="AS25" s="17" t="n">
        <f aca="false">SQRT(($B25-AS$16)^2+($C25-AS$17)^2+($D25-AS$18)^2)</f>
        <v>3.46933382346655</v>
      </c>
      <c r="AT25" s="17" t="n">
        <f aca="false">SQRT(($B25-AT$16)^2+($C25-AT$17)^2+($D25-AT$18)^2)</f>
        <v>1.44934241631488</v>
      </c>
      <c r="AU25" s="63" t="n">
        <f aca="false">MATCH(MIN(AR25:AT25),AR25:AT25,0)</f>
        <v>1</v>
      </c>
      <c r="AW25" s="17" t="n">
        <f aca="false">SQRT(($B25-AW$16)^2+($C25-AW$17)^2+($D25-AW$18)^2)</f>
        <v>0.550453382776993</v>
      </c>
      <c r="AX25" s="17" t="n">
        <f aca="false">SQRT(($B25-AX$16)^2+($C25-AX$17)^2+($D25-AX$18)^2)</f>
        <v>3.46933382346655</v>
      </c>
      <c r="AY25" s="17" t="n">
        <f aca="false">SQRT(($B25-AY$16)^2+($C25-AY$17)^2+($D25-AY$18)^2)</f>
        <v>1.44934241631488</v>
      </c>
      <c r="AZ25" s="63" t="n">
        <f aca="false">MATCH(MIN(AW25:AY25),AW25:AY25,0)</f>
        <v>1</v>
      </c>
      <c r="BB25" s="17" t="n">
        <f aca="false">SQRT(($B25-BB$16)^2+($C25-BB$17)^2+($D25-BB$18)^2)</f>
        <v>0.550453382776993</v>
      </c>
      <c r="BC25" s="17" t="n">
        <f aca="false">SQRT(($B25-BC$16)^2+($C25-BC$17)^2+($D25-BC$18)^2)</f>
        <v>3.46933382346655</v>
      </c>
      <c r="BD25" s="17" t="n">
        <f aca="false">SQRT(($B25-BD$16)^2+($C25-BD$17)^2+($D25-BD$18)^2)</f>
        <v>1.44934241631488</v>
      </c>
      <c r="BE25" s="63" t="n">
        <f aca="false">MATCH(MIN(BB25:BD25),BB25:BD25,0)</f>
        <v>1</v>
      </c>
      <c r="BG25" s="17" t="n">
        <f aca="false">SQRT(($B25-BG$16)^2+($C25-BG$17)^2+($D25-BG$18)^2)</f>
        <v>0.550453382776993</v>
      </c>
      <c r="BH25" s="17" t="n">
        <f aca="false">SQRT(($B25-BH$16)^2+($C25-BH$17)^2+($D25-BH$18)^2)</f>
        <v>3.46933382346655</v>
      </c>
      <c r="BI25" s="17" t="n">
        <f aca="false">SQRT(($B25-BI$16)^2+($C25-BI$17)^2+($D25-BI$18)^2)</f>
        <v>1.44934241631488</v>
      </c>
      <c r="BJ25" s="63" t="n">
        <f aca="false">MATCH(MIN(BG25:BI25),BG25:BI25,0)</f>
        <v>1</v>
      </c>
    </row>
    <row r="26" customFormat="false" ht="15" hidden="false" customHeight="false" outlineLevel="0" collapsed="false">
      <c r="A26" s="36" t="str">
        <f aca="false">Province_Agg!A8</f>
        <v>Baluchistan</v>
      </c>
      <c r="B26" s="17" t="n">
        <f aca="false">Province_Agg!K8</f>
        <v>0.292584138699036</v>
      </c>
      <c r="C26" s="17" t="n">
        <f aca="false">Province_Agg!L8</f>
        <v>-0.0551429924626731</v>
      </c>
      <c r="D26" s="17" t="n">
        <f aca="false">Province_Agg!M8</f>
        <v>0.463681763584619</v>
      </c>
      <c r="E26" s="63" t="n">
        <f aca="false">BJ26</f>
        <v>3</v>
      </c>
      <c r="F26" s="38" t="n">
        <f aca="false">($B26-INDEX($L$16:$N$16,E26))^2+($C26-INDEX($L$17:$N$17,E26))^2+($D26-INDEX($L$18:$N$18,E26))^2</f>
        <v>0.365781549615955</v>
      </c>
      <c r="G26" s="12" t="str">
        <f aca="false">INDEX($M$5:$M$7,E26)</f>
        <v>Medium burden</v>
      </c>
      <c r="X26" s="17" t="n">
        <f aca="false">SQRT(($B26-X$16)^2+($C26-X$17)^2+($D26-X$18)^2)</f>
        <v>1.68568823624737</v>
      </c>
      <c r="Y26" s="17" t="n">
        <f aca="false">SQRT(($B26-Y$16)^2+($C26-Y$17)^2+($D26-Y$18)^2)</f>
        <v>3.34419488679047</v>
      </c>
      <c r="Z26" s="17" t="n">
        <f aca="false">SQRT(($B26-Z$16)^2+($C26-Z$17)^2+($D26-Z$18)^2)</f>
        <v>0.703871955830318</v>
      </c>
      <c r="AA26" s="63" t="n">
        <f aca="false">MATCH(MIN(X26:Z26),X26:Z26,0)</f>
        <v>3</v>
      </c>
      <c r="AC26" s="17" t="n">
        <f aca="false">SQRT(($B26-AC$16)^2+($C26-AC$17)^2+($D26-AC$18)^2)</f>
        <v>1.35394865200674</v>
      </c>
      <c r="AD26" s="17" t="n">
        <f aca="false">SQRT(($B26-AD$16)^2+($C26-AD$17)^2+($D26-AD$18)^2)</f>
        <v>2.69801868831982</v>
      </c>
      <c r="AE26" s="17" t="n">
        <f aca="false">SQRT(($B26-AE$16)^2+($C26-AE$17)^2+($D26-AE$18)^2)</f>
        <v>0.604798767869078</v>
      </c>
      <c r="AF26" s="63" t="n">
        <f aca="false">MATCH(MIN(AC26:AE26),AC26:AE26,0)</f>
        <v>3</v>
      </c>
      <c r="AH26" s="17" t="n">
        <f aca="false">SQRT(($B26-AH$16)^2+($C26-AH$17)^2+($D26-AH$18)^2)</f>
        <v>1.35394865200674</v>
      </c>
      <c r="AI26" s="17" t="n">
        <f aca="false">SQRT(($B26-AI$16)^2+($C26-AI$17)^2+($D26-AI$18)^2)</f>
        <v>2.69801868831982</v>
      </c>
      <c r="AJ26" s="17" t="n">
        <f aca="false">SQRT(($B26-AJ$16)^2+($C26-AJ$17)^2+($D26-AJ$18)^2)</f>
        <v>0.604798767869078</v>
      </c>
      <c r="AK26" s="63" t="n">
        <f aca="false">MATCH(MIN(AH26:AJ26),AH26:AJ26,0)</f>
        <v>3</v>
      </c>
      <c r="AM26" s="17" t="n">
        <f aca="false">SQRT(($B26-AM$16)^2+($C26-AM$17)^2+($D26-AM$18)^2)</f>
        <v>1.35394865200674</v>
      </c>
      <c r="AN26" s="17" t="n">
        <f aca="false">SQRT(($B26-AN$16)^2+($C26-AN$17)^2+($D26-AN$18)^2)</f>
        <v>2.69801868831982</v>
      </c>
      <c r="AO26" s="17" t="n">
        <f aca="false">SQRT(($B26-AO$16)^2+($C26-AO$17)^2+($D26-AO$18)^2)</f>
        <v>0.604798767869078</v>
      </c>
      <c r="AP26" s="63" t="n">
        <f aca="false">MATCH(MIN(AM26:AO26),AM26:AO26,0)</f>
        <v>3</v>
      </c>
      <c r="AR26" s="17" t="n">
        <f aca="false">SQRT(($B26-AR$16)^2+($C26-AR$17)^2+($D26-AR$18)^2)</f>
        <v>1.35394865200674</v>
      </c>
      <c r="AS26" s="17" t="n">
        <f aca="false">SQRT(($B26-AS$16)^2+($C26-AS$17)^2+($D26-AS$18)^2)</f>
        <v>2.69801868831982</v>
      </c>
      <c r="AT26" s="17" t="n">
        <f aca="false">SQRT(($B26-AT$16)^2+($C26-AT$17)^2+($D26-AT$18)^2)</f>
        <v>0.604798767869078</v>
      </c>
      <c r="AU26" s="63" t="n">
        <f aca="false">MATCH(MIN(AR26:AT26),AR26:AT26,0)</f>
        <v>3</v>
      </c>
      <c r="AW26" s="17" t="n">
        <f aca="false">SQRT(($B26-AW$16)^2+($C26-AW$17)^2+($D26-AW$18)^2)</f>
        <v>1.35394865200674</v>
      </c>
      <c r="AX26" s="17" t="n">
        <f aca="false">SQRT(($B26-AX$16)^2+($C26-AX$17)^2+($D26-AX$18)^2)</f>
        <v>2.69801868831982</v>
      </c>
      <c r="AY26" s="17" t="n">
        <f aca="false">SQRT(($B26-AY$16)^2+($C26-AY$17)^2+($D26-AY$18)^2)</f>
        <v>0.604798767869078</v>
      </c>
      <c r="AZ26" s="63" t="n">
        <f aca="false">MATCH(MIN(AW26:AY26),AW26:AY26,0)</f>
        <v>3</v>
      </c>
      <c r="BB26" s="17" t="n">
        <f aca="false">SQRT(($B26-BB$16)^2+($C26-BB$17)^2+($D26-BB$18)^2)</f>
        <v>1.35394865200674</v>
      </c>
      <c r="BC26" s="17" t="n">
        <f aca="false">SQRT(($B26-BC$16)^2+($C26-BC$17)^2+($D26-BC$18)^2)</f>
        <v>2.69801868831982</v>
      </c>
      <c r="BD26" s="17" t="n">
        <f aca="false">SQRT(($B26-BD$16)^2+($C26-BD$17)^2+($D26-BD$18)^2)</f>
        <v>0.604798767869078</v>
      </c>
      <c r="BE26" s="63" t="n">
        <f aca="false">MATCH(MIN(BB26:BD26),BB26:BD26,0)</f>
        <v>3</v>
      </c>
      <c r="BG26" s="17" t="n">
        <f aca="false">SQRT(($B26-BG$16)^2+($C26-BG$17)^2+($D26-BG$18)^2)</f>
        <v>1.35394865200674</v>
      </c>
      <c r="BH26" s="17" t="n">
        <f aca="false">SQRT(($B26-BH$16)^2+($C26-BH$17)^2+($D26-BH$18)^2)</f>
        <v>2.69801868831982</v>
      </c>
      <c r="BI26" s="17" t="n">
        <f aca="false">SQRT(($B26-BI$16)^2+($C26-BI$17)^2+($D26-BI$18)^2)</f>
        <v>0.604798767869078</v>
      </c>
      <c r="BJ26" s="63" t="n">
        <f aca="false">MATCH(MIN(BG26:BI26),BG26:BI26,0)</f>
        <v>3</v>
      </c>
    </row>
    <row r="27" customFormat="false" ht="15" hidden="false" customHeight="false" outlineLevel="0" collapsed="false">
      <c r="A27" s="36" t="str">
        <f aca="false">Province_Agg!A9</f>
        <v>Islamabad Capital Territory</v>
      </c>
      <c r="B27" s="17" t="n">
        <f aca="false">Province_Agg!K9</f>
        <v>0.128119018041928</v>
      </c>
      <c r="C27" s="17" t="n">
        <f aca="false">Province_Agg!L9</f>
        <v>-0.196870560456412</v>
      </c>
      <c r="D27" s="17" t="n">
        <f aca="false">Province_Agg!M9</f>
        <v>-0.205870512762956</v>
      </c>
      <c r="E27" s="63" t="n">
        <f aca="false">BJ27</f>
        <v>3</v>
      </c>
      <c r="F27" s="38" t="n">
        <f aca="false">($B27-INDEX($L$16:$N$16,E27))^2+($C27-INDEX($L$17:$N$17,E27))^2+($D27-INDEX($L$18:$N$18,E27))^2</f>
        <v>0.0620861759615673</v>
      </c>
      <c r="G27" s="12" t="str">
        <f aca="false">INDEX($M$5:$M$7,E27)</f>
        <v>Medium burden</v>
      </c>
      <c r="X27" s="17" t="n">
        <f aca="false">SQRT(($B27-X$16)^2+($C27-X$17)^2+($D27-X$18)^2)</f>
        <v>2.28052665060774</v>
      </c>
      <c r="Y27" s="17" t="n">
        <f aca="false">SQRT(($B27-Y$16)^2+($C27-Y$17)^2+($D27-Y$18)^2)</f>
        <v>2.76217787440877</v>
      </c>
      <c r="Z27" s="17" t="n">
        <f aca="false">SQRT(($B27-Z$16)^2+($C27-Z$17)^2+($D27-Z$18)^2)</f>
        <v>0</v>
      </c>
      <c r="AA27" s="63" t="n">
        <f aca="false">MATCH(MIN(X27:Z27),X27:Z27,0)</f>
        <v>3</v>
      </c>
      <c r="AC27" s="17" t="n">
        <f aca="false">SQRT(($B27-AC$16)^2+($C27-AC$17)^2+($D27-AC$18)^2)</f>
        <v>1.85034768910203</v>
      </c>
      <c r="AD27" s="17" t="n">
        <f aca="false">SQRT(($B27-AD$16)^2+($C27-AD$17)^2+($D27-AD$18)^2)</f>
        <v>2.12710275403664</v>
      </c>
      <c r="AE27" s="17" t="n">
        <f aca="false">SQRT(($B27-AE$16)^2+($C27-AE$17)^2+($D27-AE$18)^2)</f>
        <v>0.24917097736608</v>
      </c>
      <c r="AF27" s="63" t="n">
        <f aca="false">MATCH(MIN(AC27:AE27),AC27:AE27,0)</f>
        <v>3</v>
      </c>
      <c r="AH27" s="17" t="n">
        <f aca="false">SQRT(($B27-AH$16)^2+($C27-AH$17)^2+($D27-AH$18)^2)</f>
        <v>1.85034768910203</v>
      </c>
      <c r="AI27" s="17" t="n">
        <f aca="false">SQRT(($B27-AI$16)^2+($C27-AI$17)^2+($D27-AI$18)^2)</f>
        <v>2.12710275403664</v>
      </c>
      <c r="AJ27" s="17" t="n">
        <f aca="false">SQRT(($B27-AJ$16)^2+($C27-AJ$17)^2+($D27-AJ$18)^2)</f>
        <v>0.24917097736608</v>
      </c>
      <c r="AK27" s="63" t="n">
        <f aca="false">MATCH(MIN(AH27:AJ27),AH27:AJ27,0)</f>
        <v>3</v>
      </c>
      <c r="AM27" s="17" t="n">
        <f aca="false">SQRT(($B27-AM$16)^2+($C27-AM$17)^2+($D27-AM$18)^2)</f>
        <v>1.85034768910203</v>
      </c>
      <c r="AN27" s="17" t="n">
        <f aca="false">SQRT(($B27-AN$16)^2+($C27-AN$17)^2+($D27-AN$18)^2)</f>
        <v>2.12710275403664</v>
      </c>
      <c r="AO27" s="17" t="n">
        <f aca="false">SQRT(($B27-AO$16)^2+($C27-AO$17)^2+($D27-AO$18)^2)</f>
        <v>0.24917097736608</v>
      </c>
      <c r="AP27" s="63" t="n">
        <f aca="false">MATCH(MIN(AM27:AO27),AM27:AO27,0)</f>
        <v>3</v>
      </c>
      <c r="AR27" s="17" t="n">
        <f aca="false">SQRT(($B27-AR$16)^2+($C27-AR$17)^2+($D27-AR$18)^2)</f>
        <v>1.85034768910203</v>
      </c>
      <c r="AS27" s="17" t="n">
        <f aca="false">SQRT(($B27-AS$16)^2+($C27-AS$17)^2+($D27-AS$18)^2)</f>
        <v>2.12710275403664</v>
      </c>
      <c r="AT27" s="17" t="n">
        <f aca="false">SQRT(($B27-AT$16)^2+($C27-AT$17)^2+($D27-AT$18)^2)</f>
        <v>0.24917097736608</v>
      </c>
      <c r="AU27" s="63" t="n">
        <f aca="false">MATCH(MIN(AR27:AT27),AR27:AT27,0)</f>
        <v>3</v>
      </c>
      <c r="AW27" s="17" t="n">
        <f aca="false">SQRT(($B27-AW$16)^2+($C27-AW$17)^2+($D27-AW$18)^2)</f>
        <v>1.85034768910203</v>
      </c>
      <c r="AX27" s="17" t="n">
        <f aca="false">SQRT(($B27-AX$16)^2+($C27-AX$17)^2+($D27-AX$18)^2)</f>
        <v>2.12710275403664</v>
      </c>
      <c r="AY27" s="17" t="n">
        <f aca="false">SQRT(($B27-AY$16)^2+($C27-AY$17)^2+($D27-AY$18)^2)</f>
        <v>0.24917097736608</v>
      </c>
      <c r="AZ27" s="63" t="n">
        <f aca="false">MATCH(MIN(AW27:AY27),AW27:AY27,0)</f>
        <v>3</v>
      </c>
      <c r="BB27" s="17" t="n">
        <f aca="false">SQRT(($B27-BB$16)^2+($C27-BB$17)^2+($D27-BB$18)^2)</f>
        <v>1.85034768910203</v>
      </c>
      <c r="BC27" s="17" t="n">
        <f aca="false">SQRT(($B27-BC$16)^2+($C27-BC$17)^2+($D27-BC$18)^2)</f>
        <v>2.12710275403664</v>
      </c>
      <c r="BD27" s="17" t="n">
        <f aca="false">SQRT(($B27-BD$16)^2+($C27-BD$17)^2+($D27-BD$18)^2)</f>
        <v>0.24917097736608</v>
      </c>
      <c r="BE27" s="63" t="n">
        <f aca="false">MATCH(MIN(BB27:BD27),BB27:BD27,0)</f>
        <v>3</v>
      </c>
      <c r="BG27" s="17" t="n">
        <f aca="false">SQRT(($B27-BG$16)^2+($C27-BG$17)^2+($D27-BG$18)^2)</f>
        <v>1.85034768910203</v>
      </c>
      <c r="BH27" s="17" t="n">
        <f aca="false">SQRT(($B27-BH$16)^2+($C27-BH$17)^2+($D27-BH$18)^2)</f>
        <v>2.12710275403664</v>
      </c>
      <c r="BI27" s="17" t="n">
        <f aca="false">SQRT(($B27-BI$16)^2+($C27-BI$17)^2+($D27-BI$18)^2)</f>
        <v>0.24917097736608</v>
      </c>
      <c r="BJ27" s="63" t="n">
        <f aca="false">MATCH(MIN(BG27:BI27),BG27:BI27,0)</f>
        <v>3</v>
      </c>
    </row>
    <row r="28" customFormat="false" ht="15" hidden="false" customHeight="false" outlineLevel="0" collapsed="false">
      <c r="A28" s="36" t="str">
        <f aca="false">Province_Agg!A10</f>
        <v>Gilgit-Baltistan</v>
      </c>
      <c r="B28" s="17" t="n">
        <f aca="false">Province_Agg!K10</f>
        <v>-0.529832779865818</v>
      </c>
      <c r="C28" s="17" t="n">
        <f aca="false">Province_Agg!L10</f>
        <v>-0.381401387012564</v>
      </c>
      <c r="D28" s="17" t="n">
        <f aca="false">Province_Agg!M10</f>
        <v>-0.315588559997422</v>
      </c>
      <c r="E28" s="63" t="n">
        <f aca="false">BJ28</f>
        <v>3</v>
      </c>
      <c r="F28" s="38" t="n">
        <f aca="false">($B28-INDEX($L$16:$N$16,E28))^2+($C28-INDEX($L$17:$N$17,E28))^2+($D28-INDEX($L$18:$N$18,E28))^2</f>
        <v>0.360299720950648</v>
      </c>
      <c r="G28" s="12" t="str">
        <f aca="false">INDEX($M$5:$M$7,E28)</f>
        <v>Medium burden</v>
      </c>
      <c r="X28" s="17" t="n">
        <f aca="false">SQRT(($B28-X$16)^2+($C28-X$17)^2+($D28-X$18)^2)</f>
        <v>2.79163233849336</v>
      </c>
      <c r="Y28" s="17" t="n">
        <f aca="false">SQRT(($B28-Y$16)^2+($C28-Y$17)^2+($D28-Y$18)^2)</f>
        <v>2.2022779019777</v>
      </c>
      <c r="Z28" s="17" t="n">
        <f aca="false">SQRT(($B28-Z$16)^2+($C28-Z$17)^2+($D28-Z$18)^2)</f>
        <v>0.692091210902491</v>
      </c>
      <c r="AA28" s="63" t="n">
        <f aca="false">MATCH(MIN(X28:Z28),X28:Z28,0)</f>
        <v>3</v>
      </c>
      <c r="AC28" s="17" t="n">
        <f aca="false">SQRT(($B28-AC$16)^2+($C28-AC$17)^2+($D28-AC$18)^2)</f>
        <v>2.37951353953418</v>
      </c>
      <c r="AD28" s="17" t="n">
        <f aca="false">SQRT(($B28-AD$16)^2+($C28-AD$17)^2+($D28-AD$18)^2)</f>
        <v>1.55971846535411</v>
      </c>
      <c r="AE28" s="17" t="n">
        <f aca="false">SQRT(($B28-AE$16)^2+($C28-AE$17)^2+($D28-AE$18)^2)</f>
        <v>0.600249715494017</v>
      </c>
      <c r="AF28" s="63" t="n">
        <f aca="false">MATCH(MIN(AC28:AE28),AC28:AE28,0)</f>
        <v>3</v>
      </c>
      <c r="AH28" s="17" t="n">
        <f aca="false">SQRT(($B28-AH$16)^2+($C28-AH$17)^2+($D28-AH$18)^2)</f>
        <v>2.37951353953418</v>
      </c>
      <c r="AI28" s="17" t="n">
        <f aca="false">SQRT(($B28-AI$16)^2+($C28-AI$17)^2+($D28-AI$18)^2)</f>
        <v>1.55971846535411</v>
      </c>
      <c r="AJ28" s="17" t="n">
        <f aca="false">SQRT(($B28-AJ$16)^2+($C28-AJ$17)^2+($D28-AJ$18)^2)</f>
        <v>0.600249715494017</v>
      </c>
      <c r="AK28" s="63" t="n">
        <f aca="false">MATCH(MIN(AH28:AJ28),AH28:AJ28,0)</f>
        <v>3</v>
      </c>
      <c r="AM28" s="17" t="n">
        <f aca="false">SQRT(($B28-AM$16)^2+($C28-AM$17)^2+($D28-AM$18)^2)</f>
        <v>2.37951353953418</v>
      </c>
      <c r="AN28" s="17" t="n">
        <f aca="false">SQRT(($B28-AN$16)^2+($C28-AN$17)^2+($D28-AN$18)^2)</f>
        <v>1.55971846535411</v>
      </c>
      <c r="AO28" s="17" t="n">
        <f aca="false">SQRT(($B28-AO$16)^2+($C28-AO$17)^2+($D28-AO$18)^2)</f>
        <v>0.600249715494017</v>
      </c>
      <c r="AP28" s="63" t="n">
        <f aca="false">MATCH(MIN(AM28:AO28),AM28:AO28,0)</f>
        <v>3</v>
      </c>
      <c r="AR28" s="17" t="n">
        <f aca="false">SQRT(($B28-AR$16)^2+($C28-AR$17)^2+($D28-AR$18)^2)</f>
        <v>2.37951353953418</v>
      </c>
      <c r="AS28" s="17" t="n">
        <f aca="false">SQRT(($B28-AS$16)^2+($C28-AS$17)^2+($D28-AS$18)^2)</f>
        <v>1.55971846535411</v>
      </c>
      <c r="AT28" s="17" t="n">
        <f aca="false">SQRT(($B28-AT$16)^2+($C28-AT$17)^2+($D28-AT$18)^2)</f>
        <v>0.600249715494017</v>
      </c>
      <c r="AU28" s="63" t="n">
        <f aca="false">MATCH(MIN(AR28:AT28),AR28:AT28,0)</f>
        <v>3</v>
      </c>
      <c r="AW28" s="17" t="n">
        <f aca="false">SQRT(($B28-AW$16)^2+($C28-AW$17)^2+($D28-AW$18)^2)</f>
        <v>2.37951353953418</v>
      </c>
      <c r="AX28" s="17" t="n">
        <f aca="false">SQRT(($B28-AX$16)^2+($C28-AX$17)^2+($D28-AX$18)^2)</f>
        <v>1.55971846535411</v>
      </c>
      <c r="AY28" s="17" t="n">
        <f aca="false">SQRT(($B28-AY$16)^2+($C28-AY$17)^2+($D28-AY$18)^2)</f>
        <v>0.600249715494017</v>
      </c>
      <c r="AZ28" s="63" t="n">
        <f aca="false">MATCH(MIN(AW28:AY28),AW28:AY28,0)</f>
        <v>3</v>
      </c>
      <c r="BB28" s="17" t="n">
        <f aca="false">SQRT(($B28-BB$16)^2+($C28-BB$17)^2+($D28-BB$18)^2)</f>
        <v>2.37951353953418</v>
      </c>
      <c r="BC28" s="17" t="n">
        <f aca="false">SQRT(($B28-BC$16)^2+($C28-BC$17)^2+($D28-BC$18)^2)</f>
        <v>1.55971846535411</v>
      </c>
      <c r="BD28" s="17" t="n">
        <f aca="false">SQRT(($B28-BD$16)^2+($C28-BD$17)^2+($D28-BD$18)^2)</f>
        <v>0.600249715494017</v>
      </c>
      <c r="BE28" s="63" t="n">
        <f aca="false">MATCH(MIN(BB28:BD28),BB28:BD28,0)</f>
        <v>3</v>
      </c>
      <c r="BG28" s="17" t="n">
        <f aca="false">SQRT(($B28-BG$16)^2+($C28-BG$17)^2+($D28-BG$18)^2)</f>
        <v>2.37951353953418</v>
      </c>
      <c r="BH28" s="17" t="n">
        <f aca="false">SQRT(($B28-BH$16)^2+($C28-BH$17)^2+($D28-BH$18)^2)</f>
        <v>1.55971846535411</v>
      </c>
      <c r="BI28" s="17" t="n">
        <f aca="false">SQRT(($B28-BI$16)^2+($C28-BI$17)^2+($D28-BI$18)^2)</f>
        <v>0.600249715494017</v>
      </c>
      <c r="BJ28" s="63" t="n">
        <f aca="false">MATCH(MIN(BG28:BI28),BG28:BI28,0)</f>
        <v>3</v>
      </c>
    </row>
    <row r="29" customFormat="false" ht="15" hidden="false" customHeight="false" outlineLevel="0" collapsed="false">
      <c r="A29" s="36" t="str">
        <f aca="false">Province_Agg!A11</f>
        <v>Azad Jummu Kashmir</v>
      </c>
      <c r="B29" s="17" t="n">
        <f aca="false">Province_Agg!K11</f>
        <v>-0.974094161938139</v>
      </c>
      <c r="C29" s="17" t="n">
        <f aca="false">Province_Agg!L11</f>
        <v>-0.980575342206791</v>
      </c>
      <c r="D29" s="17" t="n">
        <f aca="false">Province_Agg!M11</f>
        <v>-0.859540517021793</v>
      </c>
      <c r="E29" s="63" t="n">
        <f aca="false">BJ29</f>
        <v>2</v>
      </c>
      <c r="F29" s="38" t="n">
        <f aca="false">($B29-INDEX($L$16:$N$16,E29))^2+($C29-INDEX($L$17:$N$17,E29))^2+($D29-INDEX($L$18:$N$18,E29))^2</f>
        <v>0.418422955470364</v>
      </c>
      <c r="G29" s="12" t="str">
        <f aca="false">INDEX($M$5:$M$7,E29)</f>
        <v>Low burden</v>
      </c>
      <c r="X29" s="17" t="n">
        <f aca="false">SQRT(($B29-X$16)^2+($C29-X$17)^2+($D29-X$18)^2)</f>
        <v>3.70484658825958</v>
      </c>
      <c r="Y29" s="17" t="n">
        <f aca="false">SQRT(($B29-Y$16)^2+($C29-Y$17)^2+($D29-Y$18)^2)</f>
        <v>1.29371241853878</v>
      </c>
      <c r="Z29" s="17" t="n">
        <f aca="false">SQRT(($B29-Z$16)^2+($C29-Z$17)^2+($D29-Z$18)^2)</f>
        <v>1.50211569245778</v>
      </c>
      <c r="AA29" s="63" t="n">
        <f aca="false">MATCH(MIN(X29:Z29),X29:Z29,0)</f>
        <v>2</v>
      </c>
      <c r="AC29" s="17" t="n">
        <f aca="false">SQRT(($B29-AC$16)^2+($C29-AC$17)^2+($D29-AC$18)^2)</f>
        <v>3.29397330205174</v>
      </c>
      <c r="AD29" s="17" t="n">
        <f aca="false">SQRT(($B29-AD$16)^2+($C29-AD$17)^2+($D29-AD$18)^2)</f>
        <v>0.646856209269389</v>
      </c>
      <c r="AE29" s="17" t="n">
        <f aca="false">SQRT(($B29-AE$16)^2+($C29-AE$17)^2+($D29-AE$18)^2)</f>
        <v>1.47560852960008</v>
      </c>
      <c r="AF29" s="63" t="n">
        <f aca="false">MATCH(MIN(AC29:AE29),AC29:AE29,0)</f>
        <v>2</v>
      </c>
      <c r="AH29" s="17" t="n">
        <f aca="false">SQRT(($B29-AH$16)^2+($C29-AH$17)^2+($D29-AH$18)^2)</f>
        <v>3.29397330205174</v>
      </c>
      <c r="AI29" s="17" t="n">
        <f aca="false">SQRT(($B29-AI$16)^2+($C29-AI$17)^2+($D29-AI$18)^2)</f>
        <v>0.646856209269389</v>
      </c>
      <c r="AJ29" s="17" t="n">
        <f aca="false">SQRT(($B29-AJ$16)^2+($C29-AJ$17)^2+($D29-AJ$18)^2)</f>
        <v>1.47560852960008</v>
      </c>
      <c r="AK29" s="63" t="n">
        <f aca="false">MATCH(MIN(AH29:AJ29),AH29:AJ29,0)</f>
        <v>2</v>
      </c>
      <c r="AM29" s="17" t="n">
        <f aca="false">SQRT(($B29-AM$16)^2+($C29-AM$17)^2+($D29-AM$18)^2)</f>
        <v>3.29397330205174</v>
      </c>
      <c r="AN29" s="17" t="n">
        <f aca="false">SQRT(($B29-AN$16)^2+($C29-AN$17)^2+($D29-AN$18)^2)</f>
        <v>0.646856209269389</v>
      </c>
      <c r="AO29" s="17" t="n">
        <f aca="false">SQRT(($B29-AO$16)^2+($C29-AO$17)^2+($D29-AO$18)^2)</f>
        <v>1.47560852960008</v>
      </c>
      <c r="AP29" s="63" t="n">
        <f aca="false">MATCH(MIN(AM29:AO29),AM29:AO29,0)</f>
        <v>2</v>
      </c>
      <c r="AR29" s="17" t="n">
        <f aca="false">SQRT(($B29-AR$16)^2+($C29-AR$17)^2+($D29-AR$18)^2)</f>
        <v>3.29397330205174</v>
      </c>
      <c r="AS29" s="17" t="n">
        <f aca="false">SQRT(($B29-AS$16)^2+($C29-AS$17)^2+($D29-AS$18)^2)</f>
        <v>0.646856209269389</v>
      </c>
      <c r="AT29" s="17" t="n">
        <f aca="false">SQRT(($B29-AT$16)^2+($C29-AT$17)^2+($D29-AT$18)^2)</f>
        <v>1.47560852960008</v>
      </c>
      <c r="AU29" s="63" t="n">
        <f aca="false">MATCH(MIN(AR29:AT29),AR29:AT29,0)</f>
        <v>2</v>
      </c>
      <c r="AW29" s="17" t="n">
        <f aca="false">SQRT(($B29-AW$16)^2+($C29-AW$17)^2+($D29-AW$18)^2)</f>
        <v>3.29397330205174</v>
      </c>
      <c r="AX29" s="17" t="n">
        <f aca="false">SQRT(($B29-AX$16)^2+($C29-AX$17)^2+($D29-AX$18)^2)</f>
        <v>0.646856209269389</v>
      </c>
      <c r="AY29" s="17" t="n">
        <f aca="false">SQRT(($B29-AY$16)^2+($C29-AY$17)^2+($D29-AY$18)^2)</f>
        <v>1.47560852960008</v>
      </c>
      <c r="AZ29" s="63" t="n">
        <f aca="false">MATCH(MIN(AW29:AY29),AW29:AY29,0)</f>
        <v>2</v>
      </c>
      <c r="BB29" s="17" t="n">
        <f aca="false">SQRT(($B29-BB$16)^2+($C29-BB$17)^2+($D29-BB$18)^2)</f>
        <v>3.29397330205174</v>
      </c>
      <c r="BC29" s="17" t="n">
        <f aca="false">SQRT(($B29-BC$16)^2+($C29-BC$17)^2+($D29-BC$18)^2)</f>
        <v>0.646856209269389</v>
      </c>
      <c r="BD29" s="17" t="n">
        <f aca="false">SQRT(($B29-BD$16)^2+($C29-BD$17)^2+($D29-BD$18)^2)</f>
        <v>1.47560852960008</v>
      </c>
      <c r="BE29" s="63" t="n">
        <f aca="false">MATCH(MIN(BB29:BD29),BB29:BD29,0)</f>
        <v>2</v>
      </c>
      <c r="BG29" s="17" t="n">
        <f aca="false">SQRT(($B29-BG$16)^2+($C29-BG$17)^2+($D29-BG$18)^2)</f>
        <v>3.29397330205174</v>
      </c>
      <c r="BH29" s="17" t="n">
        <f aca="false">SQRT(($B29-BH$16)^2+($C29-BH$17)^2+($D29-BH$18)^2)</f>
        <v>0.646856209269389</v>
      </c>
      <c r="BI29" s="17" t="n">
        <f aca="false">SQRT(($B29-BI$16)^2+($C29-BI$17)^2+($D29-BI$18)^2)</f>
        <v>1.47560852960008</v>
      </c>
      <c r="BJ29" s="63" t="n">
        <f aca="false">MATCH(MIN(BG29:BI29),BG29:BI29,0)</f>
        <v>2</v>
      </c>
    </row>
    <row r="30" customFormat="false" ht="15" hidden="false" customHeight="false" outlineLevel="0" collapsed="false">
      <c r="A30" s="36" t="str">
        <f aca="false">Province_Agg!A12</f>
        <v>Federal Administration Tribal Area</v>
      </c>
      <c r="B30" s="17" t="n">
        <f aca="false">Province_Agg!K12</f>
        <v>-1.70572873442121</v>
      </c>
      <c r="C30" s="17" t="n">
        <f aca="false">Province_Agg!L12</f>
        <v>-1.57024005745915</v>
      </c>
      <c r="D30" s="17" t="n">
        <f aca="false">Province_Agg!M12</f>
        <v>-1.74875263896758</v>
      </c>
      <c r="E30" s="63" t="n">
        <f aca="false">BJ30</f>
        <v>2</v>
      </c>
      <c r="F30" s="38" t="n">
        <f aca="false">($B30-INDEX($L$16:$N$16,E30))^2+($C30-INDEX($L$17:$N$17,E30))^2+($D30-INDEX($L$18:$N$18,E30))^2</f>
        <v>0.418422955470364</v>
      </c>
      <c r="G30" s="12" t="str">
        <f aca="false">INDEX($M$5:$M$7,E30)</f>
        <v>Low burden</v>
      </c>
      <c r="X30" s="17" t="n">
        <f aca="false">SQRT(($B30-X$16)^2+($C30-X$17)^2+($D30-X$18)^2)</f>
        <v>4.99140063913462</v>
      </c>
      <c r="Y30" s="17" t="n">
        <f aca="false">SQRT(($B30-Y$16)^2+($C30-Y$17)^2+($D30-Y$18)^2)</f>
        <v>0</v>
      </c>
      <c r="Z30" s="17" t="n">
        <f aca="false">SQRT(($B30-Z$16)^2+($C30-Z$17)^2+($D30-Z$18)^2)</f>
        <v>2.76217787440877</v>
      </c>
      <c r="AA30" s="63" t="n">
        <f aca="false">MATCH(MIN(X30:Z30),X30:Z30,0)</f>
        <v>2</v>
      </c>
      <c r="AC30" s="17" t="n">
        <f aca="false">SQRT(($B30-AC$16)^2+($C30-AC$17)^2+($D30-AC$18)^2)</f>
        <v>4.56365123698539</v>
      </c>
      <c r="AD30" s="17" t="n">
        <f aca="false">SQRT(($B30-AD$16)^2+($C30-AD$17)^2+($D30-AD$18)^2)</f>
        <v>0.64685620926939</v>
      </c>
      <c r="AE30" s="17" t="n">
        <f aca="false">SQRT(($B30-AE$16)^2+($C30-AE$17)^2+($D30-AE$18)^2)</f>
        <v>2.76134789319274</v>
      </c>
      <c r="AF30" s="63" t="n">
        <f aca="false">MATCH(MIN(AC30:AE30),AC30:AE30,0)</f>
        <v>2</v>
      </c>
      <c r="AH30" s="17" t="n">
        <f aca="false">SQRT(($B30-AH$16)^2+($C30-AH$17)^2+($D30-AH$18)^2)</f>
        <v>4.56365123698539</v>
      </c>
      <c r="AI30" s="17" t="n">
        <f aca="false">SQRT(($B30-AI$16)^2+($C30-AI$17)^2+($D30-AI$18)^2)</f>
        <v>0.64685620926939</v>
      </c>
      <c r="AJ30" s="17" t="n">
        <f aca="false">SQRT(($B30-AJ$16)^2+($C30-AJ$17)^2+($D30-AJ$18)^2)</f>
        <v>2.76134789319274</v>
      </c>
      <c r="AK30" s="63" t="n">
        <f aca="false">MATCH(MIN(AH30:AJ30),AH30:AJ30,0)</f>
        <v>2</v>
      </c>
      <c r="AM30" s="17" t="n">
        <f aca="false">SQRT(($B30-AM$16)^2+($C30-AM$17)^2+($D30-AM$18)^2)</f>
        <v>4.56365123698539</v>
      </c>
      <c r="AN30" s="17" t="n">
        <f aca="false">SQRT(($B30-AN$16)^2+($C30-AN$17)^2+($D30-AN$18)^2)</f>
        <v>0.64685620926939</v>
      </c>
      <c r="AO30" s="17" t="n">
        <f aca="false">SQRT(($B30-AO$16)^2+($C30-AO$17)^2+($D30-AO$18)^2)</f>
        <v>2.76134789319274</v>
      </c>
      <c r="AP30" s="63" t="n">
        <f aca="false">MATCH(MIN(AM30:AO30),AM30:AO30,0)</f>
        <v>2</v>
      </c>
      <c r="AR30" s="17" t="n">
        <f aca="false">SQRT(($B30-AR$16)^2+($C30-AR$17)^2+($D30-AR$18)^2)</f>
        <v>4.56365123698539</v>
      </c>
      <c r="AS30" s="17" t="n">
        <f aca="false">SQRT(($B30-AS$16)^2+($C30-AS$17)^2+($D30-AS$18)^2)</f>
        <v>0.64685620926939</v>
      </c>
      <c r="AT30" s="17" t="n">
        <f aca="false">SQRT(($B30-AT$16)^2+($C30-AT$17)^2+($D30-AT$18)^2)</f>
        <v>2.76134789319274</v>
      </c>
      <c r="AU30" s="63" t="n">
        <f aca="false">MATCH(MIN(AR30:AT30),AR30:AT30,0)</f>
        <v>2</v>
      </c>
      <c r="AW30" s="17" t="n">
        <f aca="false">SQRT(($B30-AW$16)^2+($C30-AW$17)^2+($D30-AW$18)^2)</f>
        <v>4.56365123698539</v>
      </c>
      <c r="AX30" s="17" t="n">
        <f aca="false">SQRT(($B30-AX$16)^2+($C30-AX$17)^2+($D30-AX$18)^2)</f>
        <v>0.64685620926939</v>
      </c>
      <c r="AY30" s="17" t="n">
        <f aca="false">SQRT(($B30-AY$16)^2+($C30-AY$17)^2+($D30-AY$18)^2)</f>
        <v>2.76134789319274</v>
      </c>
      <c r="AZ30" s="63" t="n">
        <f aca="false">MATCH(MIN(AW30:AY30),AW30:AY30,0)</f>
        <v>2</v>
      </c>
      <c r="BB30" s="17" t="n">
        <f aca="false">SQRT(($B30-BB$16)^2+($C30-BB$17)^2+($D30-BB$18)^2)</f>
        <v>4.56365123698539</v>
      </c>
      <c r="BC30" s="17" t="n">
        <f aca="false">SQRT(($B30-BC$16)^2+($C30-BC$17)^2+($D30-BC$18)^2)</f>
        <v>0.64685620926939</v>
      </c>
      <c r="BD30" s="17" t="n">
        <f aca="false">SQRT(($B30-BD$16)^2+($C30-BD$17)^2+($D30-BD$18)^2)</f>
        <v>2.76134789319274</v>
      </c>
      <c r="BE30" s="63" t="n">
        <f aca="false">MATCH(MIN(BB30:BD30),BB30:BD30,0)</f>
        <v>2</v>
      </c>
      <c r="BG30" s="17" t="n">
        <f aca="false">SQRT(($B30-BG$16)^2+($C30-BG$17)^2+($D30-BG$18)^2)</f>
        <v>4.56365123698539</v>
      </c>
      <c r="BH30" s="17" t="n">
        <f aca="false">SQRT(($B30-BH$16)^2+($C30-BH$17)^2+($D30-BH$18)^2)</f>
        <v>0.64685620926939</v>
      </c>
      <c r="BI30" s="17" t="n">
        <f aca="false">SQRT(($B30-BI$16)^2+($C30-BI$17)^2+($D30-BI$18)^2)</f>
        <v>2.76134789319274</v>
      </c>
      <c r="BJ30" s="63" t="n">
        <f aca="false">MATCH(MIN(BG30:BI30),BG30:BI30,0)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M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11"/>
    <col collapsed="false" customWidth="true" hidden="false" outlineLevel="0" max="8" min="8" style="0" width="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3" min="12" style="0" width="12"/>
    <col collapsed="false" customWidth="true" hidden="false" outlineLevel="0" max="14" min="14" style="0" width="13"/>
  </cols>
  <sheetData>
    <row r="1" customFormat="false" ht="19.7" hidden="false" customHeight="false" outlineLevel="0" collapsed="false">
      <c r="A1" s="1" t="s">
        <v>777</v>
      </c>
    </row>
    <row r="2" customFormat="false" ht="15" hidden="false" customHeight="false" outlineLevel="0" collapsed="false">
      <c r="A2" s="2" t="s">
        <v>778</v>
      </c>
    </row>
    <row r="4" customFormat="false" ht="31.5" hidden="false" customHeight="true" outlineLevel="0" collapsed="false">
      <c r="A4" s="10" t="s">
        <v>24</v>
      </c>
      <c r="B4" s="10" t="s">
        <v>779</v>
      </c>
      <c r="C4" s="10" t="s">
        <v>47</v>
      </c>
      <c r="D4" s="10" t="s">
        <v>48</v>
      </c>
      <c r="E4" s="10" t="s">
        <v>49</v>
      </c>
      <c r="F4" s="10" t="s">
        <v>780</v>
      </c>
      <c r="G4" s="10" t="s">
        <v>590</v>
      </c>
      <c r="H4" s="10" t="s">
        <v>698</v>
      </c>
      <c r="I4" s="10" t="s">
        <v>699</v>
      </c>
      <c r="J4" s="10" t="s">
        <v>700</v>
      </c>
      <c r="K4" s="10" t="s">
        <v>701</v>
      </c>
      <c r="L4" s="10" t="s">
        <v>702</v>
      </c>
      <c r="M4" s="10" t="s">
        <v>703</v>
      </c>
    </row>
    <row r="5" customFormat="false" ht="15" hidden="false" customHeight="false" outlineLevel="0" collapsed="false">
      <c r="A5" s="42" t="n">
        <f aca="false">Daily!A5</f>
        <v>43887</v>
      </c>
      <c r="B5" s="12" t="str">
        <f aca="false">TEXT(A5,"ddd")</f>
        <v>Wed</v>
      </c>
      <c r="C5" s="13" t="n">
        <f aca="false">Daily!C5</f>
        <v>3</v>
      </c>
      <c r="D5" s="13" t="n">
        <f aca="false">Daily!D5</f>
        <v>0</v>
      </c>
      <c r="E5" s="13" t="n">
        <f aca="false">Daily!E5</f>
        <v>0</v>
      </c>
      <c r="F5" s="13" t="n">
        <f aca="false">Daily!I5</f>
        <v>3</v>
      </c>
      <c r="G5" s="26" t="n">
        <f aca="false">IF(C5=0,0,D5/C5*100)</f>
        <v>0</v>
      </c>
      <c r="H5" s="38" t="n">
        <f aca="false">IF(Clustering_Guide!$C$7=1,LN(1+MAX(C5,0)),C5)</f>
        <v>1.38629436111989</v>
      </c>
      <c r="I5" s="38" t="n">
        <f aca="false">IF(Clustering_Guide!$C$7=1,LN(1+MAX(D5,0)),D5)</f>
        <v>0</v>
      </c>
      <c r="J5" s="38" t="n">
        <f aca="false">IF(Clustering_Guide!$C$7=1,LN(1+MAX(E5,0)),E5)</f>
        <v>0</v>
      </c>
      <c r="K5" s="38" t="n">
        <f aca="false">(H5-AVERAGE(H$5:H$103))/STDEV(H$5:H$103)</f>
        <v>-1.56354953678524</v>
      </c>
      <c r="L5" s="38" t="n">
        <f aca="false">(I5-AVERAGE(I$5:I$103))/STDEV(I$5:I$103)</f>
        <v>-1.40749747652815</v>
      </c>
      <c r="M5" s="38" t="n">
        <f aca="false">(J5-AVERAGE(J$5:J$103))/STDEV(J$5:J$103)</f>
        <v>-1.27778805060034</v>
      </c>
    </row>
    <row r="6" customFormat="false" ht="15" hidden="false" customHeight="false" outlineLevel="0" collapsed="false">
      <c r="A6" s="42" t="n">
        <f aca="false">Daily!A6</f>
        <v>43888</v>
      </c>
      <c r="B6" s="12" t="str">
        <f aca="false">TEXT(A6,"ddd")</f>
        <v>Thu</v>
      </c>
      <c r="C6" s="13" t="n">
        <f aca="false">Daily!C6</f>
        <v>0</v>
      </c>
      <c r="D6" s="13" t="n">
        <f aca="false">Daily!D6</f>
        <v>0</v>
      </c>
      <c r="E6" s="13" t="n">
        <f aca="false">Daily!E6</f>
        <v>0</v>
      </c>
      <c r="F6" s="13" t="n">
        <f aca="false">Daily!I6</f>
        <v>3</v>
      </c>
      <c r="G6" s="26" t="n">
        <f aca="false">IF(C6=0,0,D6/C6*100)</f>
        <v>0</v>
      </c>
      <c r="H6" s="38" t="n">
        <f aca="false">IF(Clustering_Guide!$C$7=1,LN(1+MAX(C6,0)),C6)</f>
        <v>0</v>
      </c>
      <c r="I6" s="38" t="n">
        <f aca="false">IF(Clustering_Guide!$C$7=1,LN(1+MAX(D6,0)),D6)</f>
        <v>0</v>
      </c>
      <c r="J6" s="38" t="n">
        <f aca="false">IF(Clustering_Guide!$C$7=1,LN(1+MAX(E6,0)),E6)</f>
        <v>0</v>
      </c>
      <c r="K6" s="38" t="n">
        <f aca="false">(H6-AVERAGE(H$5:H$103))/STDEV(H$5:H$103)</f>
        <v>-2.11714711761866</v>
      </c>
      <c r="L6" s="38" t="n">
        <f aca="false">(I6-AVERAGE(I$5:I$103))/STDEV(I$5:I$103)</f>
        <v>-1.40749747652815</v>
      </c>
      <c r="M6" s="38" t="n">
        <f aca="false">(J6-AVERAGE(J$5:J$103))/STDEV(J$5:J$103)</f>
        <v>-1.27778805060034</v>
      </c>
    </row>
    <row r="7" customFormat="false" ht="15" hidden="false" customHeight="false" outlineLevel="0" collapsed="false">
      <c r="A7" s="42" t="n">
        <f aca="false">Daily!A7</f>
        <v>43889</v>
      </c>
      <c r="B7" s="12" t="str">
        <f aca="false">TEXT(A7,"ddd")</f>
        <v>Fri</v>
      </c>
      <c r="C7" s="13" t="n">
        <f aca="false">Daily!C7</f>
        <v>0</v>
      </c>
      <c r="D7" s="13" t="n">
        <f aca="false">Daily!D7</f>
        <v>0</v>
      </c>
      <c r="E7" s="13" t="n">
        <f aca="false">Daily!E7</f>
        <v>0</v>
      </c>
      <c r="F7" s="13" t="n">
        <f aca="false">Daily!I7</f>
        <v>3</v>
      </c>
      <c r="G7" s="26" t="n">
        <f aca="false">IF(C7=0,0,D7/C7*100)</f>
        <v>0</v>
      </c>
      <c r="H7" s="38" t="n">
        <f aca="false">IF(Clustering_Guide!$C$7=1,LN(1+MAX(C7,0)),C7)</f>
        <v>0</v>
      </c>
      <c r="I7" s="38" t="n">
        <f aca="false">IF(Clustering_Guide!$C$7=1,LN(1+MAX(D7,0)),D7)</f>
        <v>0</v>
      </c>
      <c r="J7" s="38" t="n">
        <f aca="false">IF(Clustering_Guide!$C$7=1,LN(1+MAX(E7,0)),E7)</f>
        <v>0</v>
      </c>
      <c r="K7" s="38" t="n">
        <f aca="false">(H7-AVERAGE(H$5:H$103))/STDEV(H$5:H$103)</f>
        <v>-2.11714711761866</v>
      </c>
      <c r="L7" s="38" t="n">
        <f aca="false">(I7-AVERAGE(I$5:I$103))/STDEV(I$5:I$103)</f>
        <v>-1.40749747652815</v>
      </c>
      <c r="M7" s="38" t="n">
        <f aca="false">(J7-AVERAGE(J$5:J$103))/STDEV(J$5:J$103)</f>
        <v>-1.27778805060034</v>
      </c>
    </row>
    <row r="8" customFormat="false" ht="15" hidden="false" customHeight="false" outlineLevel="0" collapsed="false">
      <c r="A8" s="42" t="n">
        <f aca="false">Daily!A8</f>
        <v>43890</v>
      </c>
      <c r="B8" s="12" t="str">
        <f aca="false">TEXT(A8,"ddd")</f>
        <v>Sat</v>
      </c>
      <c r="C8" s="13" t="n">
        <f aca="false">Daily!C8</f>
        <v>2</v>
      </c>
      <c r="D8" s="13" t="n">
        <f aca="false">Daily!D8</f>
        <v>0</v>
      </c>
      <c r="E8" s="13" t="n">
        <f aca="false">Daily!E8</f>
        <v>0</v>
      </c>
      <c r="F8" s="13" t="n">
        <f aca="false">Daily!I8</f>
        <v>5</v>
      </c>
      <c r="G8" s="26" t="n">
        <f aca="false">IF(C8=0,0,D8/C8*100)</f>
        <v>0</v>
      </c>
      <c r="H8" s="38" t="n">
        <f aca="false">IF(Clustering_Guide!$C$7=1,LN(1+MAX(C8,0)),C8)</f>
        <v>1.09861228866811</v>
      </c>
      <c r="I8" s="38" t="n">
        <f aca="false">IF(Clustering_Guide!$C$7=1,LN(1+MAX(D8,0)),D8)</f>
        <v>0</v>
      </c>
      <c r="J8" s="38" t="n">
        <f aca="false">IF(Clustering_Guide!$C$7=1,LN(1+MAX(E8,0)),E8)</f>
        <v>0</v>
      </c>
      <c r="K8" s="38" t="n">
        <f aca="false">(H8-AVERAGE(H$5:H$103))/STDEV(H$5:H$103)</f>
        <v>-1.6784314145632</v>
      </c>
      <c r="L8" s="38" t="n">
        <f aca="false">(I8-AVERAGE(I$5:I$103))/STDEV(I$5:I$103)</f>
        <v>-1.40749747652815</v>
      </c>
      <c r="M8" s="38" t="n">
        <f aca="false">(J8-AVERAGE(J$5:J$103))/STDEV(J$5:J$103)</f>
        <v>-1.27778805060034</v>
      </c>
    </row>
    <row r="9" customFormat="false" ht="15" hidden="false" customHeight="false" outlineLevel="0" collapsed="false">
      <c r="A9" s="42" t="n">
        <f aca="false">Daily!A9</f>
        <v>43891</v>
      </c>
      <c r="B9" s="12" t="str">
        <f aca="false">TEXT(A9,"ddd")</f>
        <v>Sun</v>
      </c>
      <c r="C9" s="13" t="n">
        <f aca="false">Daily!C9</f>
        <v>0</v>
      </c>
      <c r="D9" s="13" t="n">
        <f aca="false">Daily!D9</f>
        <v>0</v>
      </c>
      <c r="E9" s="13" t="n">
        <f aca="false">Daily!E9</f>
        <v>0</v>
      </c>
      <c r="F9" s="13" t="n">
        <f aca="false">Daily!I9</f>
        <v>5</v>
      </c>
      <c r="G9" s="26" t="n">
        <f aca="false">IF(C9=0,0,D9/C9*100)</f>
        <v>0</v>
      </c>
      <c r="H9" s="38" t="n">
        <f aca="false">IF(Clustering_Guide!$C$7=1,LN(1+MAX(C9,0)),C9)</f>
        <v>0</v>
      </c>
      <c r="I9" s="38" t="n">
        <f aca="false">IF(Clustering_Guide!$C$7=1,LN(1+MAX(D9,0)),D9)</f>
        <v>0</v>
      </c>
      <c r="J9" s="38" t="n">
        <f aca="false">IF(Clustering_Guide!$C$7=1,LN(1+MAX(E9,0)),E9)</f>
        <v>0</v>
      </c>
      <c r="K9" s="38" t="n">
        <f aca="false">(H9-AVERAGE(H$5:H$103))/STDEV(H$5:H$103)</f>
        <v>-2.11714711761866</v>
      </c>
      <c r="L9" s="38" t="n">
        <f aca="false">(I9-AVERAGE(I$5:I$103))/STDEV(I$5:I$103)</f>
        <v>-1.40749747652815</v>
      </c>
      <c r="M9" s="38" t="n">
        <f aca="false">(J9-AVERAGE(J$5:J$103))/STDEV(J$5:J$103)</f>
        <v>-1.27778805060034</v>
      </c>
    </row>
    <row r="10" customFormat="false" ht="15" hidden="false" customHeight="false" outlineLevel="0" collapsed="false">
      <c r="A10" s="42" t="n">
        <f aca="false">Daily!A10</f>
        <v>43892</v>
      </c>
      <c r="B10" s="12" t="str">
        <f aca="false">TEXT(A10,"ddd")</f>
        <v>Mon</v>
      </c>
      <c r="C10" s="13" t="n">
        <f aca="false">Daily!C10</f>
        <v>1</v>
      </c>
      <c r="D10" s="13" t="n">
        <f aca="false">Daily!D10</f>
        <v>0</v>
      </c>
      <c r="E10" s="13" t="n">
        <f aca="false">Daily!E10</f>
        <v>0</v>
      </c>
      <c r="F10" s="13" t="n">
        <f aca="false">Daily!I10</f>
        <v>6</v>
      </c>
      <c r="G10" s="26" t="n">
        <f aca="false">IF(C10=0,0,D10/C10*100)</f>
        <v>0</v>
      </c>
      <c r="H10" s="38" t="n">
        <f aca="false">IF(Clustering_Guide!$C$7=1,LN(1+MAX(C10,0)),C10)</f>
        <v>0.693147180559945</v>
      </c>
      <c r="I10" s="38" t="n">
        <f aca="false">IF(Clustering_Guide!$C$7=1,LN(1+MAX(D10,0)),D10)</f>
        <v>0</v>
      </c>
      <c r="J10" s="38" t="n">
        <f aca="false">IF(Clustering_Guide!$C$7=1,LN(1+MAX(E10,0)),E10)</f>
        <v>0</v>
      </c>
      <c r="K10" s="38" t="n">
        <f aca="false">(H10-AVERAGE(H$5:H$103))/STDEV(H$5:H$103)</f>
        <v>-1.84034832720195</v>
      </c>
      <c r="L10" s="38" t="n">
        <f aca="false">(I10-AVERAGE(I$5:I$103))/STDEV(I$5:I$103)</f>
        <v>-1.40749747652815</v>
      </c>
      <c r="M10" s="38" t="n">
        <f aca="false">(J10-AVERAGE(J$5:J$103))/STDEV(J$5:J$103)</f>
        <v>-1.27778805060034</v>
      </c>
    </row>
    <row r="11" customFormat="false" ht="15" hidden="false" customHeight="false" outlineLevel="0" collapsed="false">
      <c r="A11" s="42" t="n">
        <f aca="false">Daily!A11</f>
        <v>43893</v>
      </c>
      <c r="B11" s="12" t="str">
        <f aca="false">TEXT(A11,"ddd")</f>
        <v>Tue</v>
      </c>
      <c r="C11" s="13" t="n">
        <f aca="false">Daily!C11</f>
        <v>0</v>
      </c>
      <c r="D11" s="13" t="n">
        <f aca="false">Daily!D11</f>
        <v>0</v>
      </c>
      <c r="E11" s="13" t="n">
        <f aca="false">Daily!E11</f>
        <v>0</v>
      </c>
      <c r="F11" s="13" t="n">
        <f aca="false">Daily!I11</f>
        <v>6</v>
      </c>
      <c r="G11" s="26" t="n">
        <f aca="false">IF(C11=0,0,D11/C11*100)</f>
        <v>0</v>
      </c>
      <c r="H11" s="38" t="n">
        <f aca="false">IF(Clustering_Guide!$C$7=1,LN(1+MAX(C11,0)),C11)</f>
        <v>0</v>
      </c>
      <c r="I11" s="38" t="n">
        <f aca="false">IF(Clustering_Guide!$C$7=1,LN(1+MAX(D11,0)),D11)</f>
        <v>0</v>
      </c>
      <c r="J11" s="38" t="n">
        <f aca="false">IF(Clustering_Guide!$C$7=1,LN(1+MAX(E11,0)),E11)</f>
        <v>0</v>
      </c>
      <c r="K11" s="38" t="n">
        <f aca="false">(H11-AVERAGE(H$5:H$103))/STDEV(H$5:H$103)</f>
        <v>-2.11714711761866</v>
      </c>
      <c r="L11" s="38" t="n">
        <f aca="false">(I11-AVERAGE(I$5:I$103))/STDEV(I$5:I$103)</f>
        <v>-1.40749747652815</v>
      </c>
      <c r="M11" s="38" t="n">
        <f aca="false">(J11-AVERAGE(J$5:J$103))/STDEV(J$5:J$103)</f>
        <v>-1.27778805060034</v>
      </c>
    </row>
    <row r="12" customFormat="false" ht="15" hidden="false" customHeight="false" outlineLevel="0" collapsed="false">
      <c r="A12" s="42" t="n">
        <f aca="false">Daily!A12</f>
        <v>43894</v>
      </c>
      <c r="B12" s="12" t="str">
        <f aca="false">TEXT(A12,"ddd")</f>
        <v>Wed</v>
      </c>
      <c r="C12" s="13" t="n">
        <f aca="false">Daily!C12</f>
        <v>0</v>
      </c>
      <c r="D12" s="13" t="n">
        <f aca="false">Daily!D12</f>
        <v>0</v>
      </c>
      <c r="E12" s="13" t="n">
        <f aca="false">Daily!E12</f>
        <v>0</v>
      </c>
      <c r="F12" s="13" t="n">
        <f aca="false">Daily!I12</f>
        <v>6</v>
      </c>
      <c r="G12" s="26" t="n">
        <f aca="false">IF(C12=0,0,D12/C12*100)</f>
        <v>0</v>
      </c>
      <c r="H12" s="38" t="n">
        <f aca="false">IF(Clustering_Guide!$C$7=1,LN(1+MAX(C12,0)),C12)</f>
        <v>0</v>
      </c>
      <c r="I12" s="38" t="n">
        <f aca="false">IF(Clustering_Guide!$C$7=1,LN(1+MAX(D12,0)),D12)</f>
        <v>0</v>
      </c>
      <c r="J12" s="38" t="n">
        <f aca="false">IF(Clustering_Guide!$C$7=1,LN(1+MAX(E12,0)),E12)</f>
        <v>0</v>
      </c>
      <c r="K12" s="38" t="n">
        <f aca="false">(H12-AVERAGE(H$5:H$103))/STDEV(H$5:H$103)</f>
        <v>-2.11714711761866</v>
      </c>
      <c r="L12" s="38" t="n">
        <f aca="false">(I12-AVERAGE(I$5:I$103))/STDEV(I$5:I$103)</f>
        <v>-1.40749747652815</v>
      </c>
      <c r="M12" s="38" t="n">
        <f aca="false">(J12-AVERAGE(J$5:J$103))/STDEV(J$5:J$103)</f>
        <v>-1.27778805060034</v>
      </c>
    </row>
    <row r="13" customFormat="false" ht="15" hidden="false" customHeight="false" outlineLevel="0" collapsed="false">
      <c r="A13" s="42" t="n">
        <f aca="false">Daily!A13</f>
        <v>43895</v>
      </c>
      <c r="B13" s="12" t="str">
        <f aca="false">TEXT(A13,"ddd")</f>
        <v>Thu</v>
      </c>
      <c r="C13" s="13" t="n">
        <f aca="false">Daily!C13</f>
        <v>0</v>
      </c>
      <c r="D13" s="13" t="n">
        <f aca="false">Daily!D13</f>
        <v>0</v>
      </c>
      <c r="E13" s="13" t="n">
        <f aca="false">Daily!E13</f>
        <v>0</v>
      </c>
      <c r="F13" s="13" t="n">
        <f aca="false">Daily!I13</f>
        <v>6</v>
      </c>
      <c r="G13" s="26" t="n">
        <f aca="false">IF(C13=0,0,D13/C13*100)</f>
        <v>0</v>
      </c>
      <c r="H13" s="38" t="n">
        <f aca="false">IF(Clustering_Guide!$C$7=1,LN(1+MAX(C13,0)),C13)</f>
        <v>0</v>
      </c>
      <c r="I13" s="38" t="n">
        <f aca="false">IF(Clustering_Guide!$C$7=1,LN(1+MAX(D13,0)),D13)</f>
        <v>0</v>
      </c>
      <c r="J13" s="38" t="n">
        <f aca="false">IF(Clustering_Guide!$C$7=1,LN(1+MAX(E13,0)),E13)</f>
        <v>0</v>
      </c>
      <c r="K13" s="38" t="n">
        <f aca="false">(H13-AVERAGE(H$5:H$103))/STDEV(H$5:H$103)</f>
        <v>-2.11714711761866</v>
      </c>
      <c r="L13" s="38" t="n">
        <f aca="false">(I13-AVERAGE(I$5:I$103))/STDEV(I$5:I$103)</f>
        <v>-1.40749747652815</v>
      </c>
      <c r="M13" s="38" t="n">
        <f aca="false">(J13-AVERAGE(J$5:J$103))/STDEV(J$5:J$103)</f>
        <v>-1.27778805060034</v>
      </c>
    </row>
    <row r="14" customFormat="false" ht="15" hidden="false" customHeight="false" outlineLevel="0" collapsed="false">
      <c r="A14" s="42" t="n">
        <f aca="false">Daily!A14</f>
        <v>43896</v>
      </c>
      <c r="B14" s="12" t="str">
        <f aca="false">TEXT(A14,"ddd")</f>
        <v>Fri</v>
      </c>
      <c r="C14" s="13" t="n">
        <f aca="false">Daily!C14</f>
        <v>0</v>
      </c>
      <c r="D14" s="13" t="n">
        <f aca="false">Daily!D14</f>
        <v>0</v>
      </c>
      <c r="E14" s="13" t="n">
        <f aca="false">Daily!E14</f>
        <v>1</v>
      </c>
      <c r="F14" s="13" t="n">
        <f aca="false">Daily!I14</f>
        <v>5</v>
      </c>
      <c r="G14" s="26" t="n">
        <f aca="false">IF(C14=0,0,D14/C14*100)</f>
        <v>0</v>
      </c>
      <c r="H14" s="38" t="n">
        <f aca="false">IF(Clustering_Guide!$C$7=1,LN(1+MAX(C14,0)),C14)</f>
        <v>0</v>
      </c>
      <c r="I14" s="38" t="n">
        <f aca="false">IF(Clustering_Guide!$C$7=1,LN(1+MAX(D14,0)),D14)</f>
        <v>0</v>
      </c>
      <c r="J14" s="38" t="n">
        <f aca="false">IF(Clustering_Guide!$C$7=1,LN(1+MAX(E14,0)),E14)</f>
        <v>0.693147180559945</v>
      </c>
      <c r="K14" s="38" t="n">
        <f aca="false">(H14-AVERAGE(H$5:H$103))/STDEV(H$5:H$103)</f>
        <v>-2.11714711761866</v>
      </c>
      <c r="L14" s="38" t="n">
        <f aca="false">(I14-AVERAGE(I$5:I$103))/STDEV(I$5:I$103)</f>
        <v>-1.40749747652815</v>
      </c>
      <c r="M14" s="38" t="n">
        <f aca="false">(J14-AVERAGE(J$5:J$103))/STDEV(J$5:J$103)</f>
        <v>-1.01027561104517</v>
      </c>
    </row>
    <row r="15" customFormat="false" ht="15" hidden="false" customHeight="false" outlineLevel="0" collapsed="false">
      <c r="A15" s="42" t="n">
        <f aca="false">Daily!A15</f>
        <v>43897</v>
      </c>
      <c r="B15" s="12" t="str">
        <f aca="false">TEXT(A15,"ddd")</f>
        <v>Sat</v>
      </c>
      <c r="C15" s="13" t="n">
        <f aca="false">Daily!C15</f>
        <v>1</v>
      </c>
      <c r="D15" s="13" t="n">
        <f aca="false">Daily!D15</f>
        <v>0</v>
      </c>
      <c r="E15" s="13" t="n">
        <f aca="false">Daily!E15</f>
        <v>0</v>
      </c>
      <c r="F15" s="13" t="n">
        <f aca="false">Daily!I15</f>
        <v>6</v>
      </c>
      <c r="G15" s="26" t="n">
        <f aca="false">IF(C15=0,0,D15/C15*100)</f>
        <v>0</v>
      </c>
      <c r="H15" s="38" t="n">
        <f aca="false">IF(Clustering_Guide!$C$7=1,LN(1+MAX(C15,0)),C15)</f>
        <v>0.693147180559945</v>
      </c>
      <c r="I15" s="38" t="n">
        <f aca="false">IF(Clustering_Guide!$C$7=1,LN(1+MAX(D15,0)),D15)</f>
        <v>0</v>
      </c>
      <c r="J15" s="38" t="n">
        <f aca="false">IF(Clustering_Guide!$C$7=1,LN(1+MAX(E15,0)),E15)</f>
        <v>0</v>
      </c>
      <c r="K15" s="38" t="n">
        <f aca="false">(H15-AVERAGE(H$5:H$103))/STDEV(H$5:H$103)</f>
        <v>-1.84034832720195</v>
      </c>
      <c r="L15" s="38" t="n">
        <f aca="false">(I15-AVERAGE(I$5:I$103))/STDEV(I$5:I$103)</f>
        <v>-1.40749747652815</v>
      </c>
      <c r="M15" s="38" t="n">
        <f aca="false">(J15-AVERAGE(J$5:J$103))/STDEV(J$5:J$103)</f>
        <v>-1.27778805060034</v>
      </c>
    </row>
    <row r="16" customFormat="false" ht="15" hidden="false" customHeight="false" outlineLevel="0" collapsed="false">
      <c r="A16" s="42" t="n">
        <f aca="false">Daily!A16</f>
        <v>43898</v>
      </c>
      <c r="B16" s="12" t="str">
        <f aca="false">TEXT(A16,"ddd")</f>
        <v>Sun</v>
      </c>
      <c r="C16" s="13" t="n">
        <f aca="false">Daily!C16</f>
        <v>0</v>
      </c>
      <c r="D16" s="13" t="n">
        <f aca="false">Daily!D16</f>
        <v>0</v>
      </c>
      <c r="E16" s="13" t="n">
        <f aca="false">Daily!E16</f>
        <v>0</v>
      </c>
      <c r="F16" s="13" t="n">
        <f aca="false">Daily!I16</f>
        <v>6</v>
      </c>
      <c r="G16" s="26" t="n">
        <f aca="false">IF(C16=0,0,D16/C16*100)</f>
        <v>0</v>
      </c>
      <c r="H16" s="38" t="n">
        <f aca="false">IF(Clustering_Guide!$C$7=1,LN(1+MAX(C16,0)),C16)</f>
        <v>0</v>
      </c>
      <c r="I16" s="38" t="n">
        <f aca="false">IF(Clustering_Guide!$C$7=1,LN(1+MAX(D16,0)),D16)</f>
        <v>0</v>
      </c>
      <c r="J16" s="38" t="n">
        <f aca="false">IF(Clustering_Guide!$C$7=1,LN(1+MAX(E16,0)),E16)</f>
        <v>0</v>
      </c>
      <c r="K16" s="38" t="n">
        <f aca="false">(H16-AVERAGE(H$5:H$103))/STDEV(H$5:H$103)</f>
        <v>-2.11714711761866</v>
      </c>
      <c r="L16" s="38" t="n">
        <f aca="false">(I16-AVERAGE(I$5:I$103))/STDEV(I$5:I$103)</f>
        <v>-1.40749747652815</v>
      </c>
      <c r="M16" s="38" t="n">
        <f aca="false">(J16-AVERAGE(J$5:J$103))/STDEV(J$5:J$103)</f>
        <v>-1.27778805060034</v>
      </c>
    </row>
    <row r="17" customFormat="false" ht="15" hidden="false" customHeight="false" outlineLevel="0" collapsed="false">
      <c r="A17" s="42" t="n">
        <f aca="false">Daily!A17</f>
        <v>43899</v>
      </c>
      <c r="B17" s="12" t="str">
        <f aca="false">TEXT(A17,"ddd")</f>
        <v>Mon</v>
      </c>
      <c r="C17" s="13" t="n">
        <f aca="false">Daily!C17</f>
        <v>9</v>
      </c>
      <c r="D17" s="13" t="n">
        <f aca="false">Daily!D17</f>
        <v>0</v>
      </c>
      <c r="E17" s="13" t="n">
        <f aca="false">Daily!E17</f>
        <v>0</v>
      </c>
      <c r="F17" s="13" t="n">
        <f aca="false">Daily!I17</f>
        <v>15</v>
      </c>
      <c r="G17" s="26" t="n">
        <f aca="false">IF(C17=0,0,D17/C17*100)</f>
        <v>0</v>
      </c>
      <c r="H17" s="38" t="n">
        <f aca="false">IF(Clustering_Guide!$C$7=1,LN(1+MAX(C17,0)),C17)</f>
        <v>2.30258509299405</v>
      </c>
      <c r="I17" s="38" t="n">
        <f aca="false">IF(Clustering_Guide!$C$7=1,LN(1+MAX(D17,0)),D17)</f>
        <v>0</v>
      </c>
      <c r="J17" s="38" t="n">
        <f aca="false">IF(Clustering_Guide!$C$7=1,LN(1+MAX(E17,0)),E17)</f>
        <v>0</v>
      </c>
      <c r="K17" s="38" t="n">
        <f aca="false">(H17-AVERAGE(H$5:H$103))/STDEV(H$5:H$103)</f>
        <v>-1.19764143910256</v>
      </c>
      <c r="L17" s="38" t="n">
        <f aca="false">(I17-AVERAGE(I$5:I$103))/STDEV(I$5:I$103)</f>
        <v>-1.40749747652815</v>
      </c>
      <c r="M17" s="38" t="n">
        <f aca="false">(J17-AVERAGE(J$5:J$103))/STDEV(J$5:J$103)</f>
        <v>-1.27778805060034</v>
      </c>
    </row>
    <row r="18" customFormat="false" ht="15" hidden="false" customHeight="false" outlineLevel="0" collapsed="false">
      <c r="A18" s="42" t="n">
        <f aca="false">Daily!A18</f>
        <v>43900</v>
      </c>
      <c r="B18" s="12" t="str">
        <f aca="false">TEXT(A18,"ddd")</f>
        <v>Tue</v>
      </c>
      <c r="C18" s="13" t="n">
        <f aca="false">Daily!C18</f>
        <v>3</v>
      </c>
      <c r="D18" s="13" t="n">
        <f aca="false">Daily!D18</f>
        <v>0</v>
      </c>
      <c r="E18" s="13" t="n">
        <f aca="false">Daily!E18</f>
        <v>0</v>
      </c>
      <c r="F18" s="13" t="n">
        <f aca="false">Daily!I18</f>
        <v>18</v>
      </c>
      <c r="G18" s="26" t="n">
        <f aca="false">IF(C18=0,0,D18/C18*100)</f>
        <v>0</v>
      </c>
      <c r="H18" s="38" t="n">
        <f aca="false">IF(Clustering_Guide!$C$7=1,LN(1+MAX(C18,0)),C18)</f>
        <v>1.38629436111989</v>
      </c>
      <c r="I18" s="38" t="n">
        <f aca="false">IF(Clustering_Guide!$C$7=1,LN(1+MAX(D18,0)),D18)</f>
        <v>0</v>
      </c>
      <c r="J18" s="38" t="n">
        <f aca="false">IF(Clustering_Guide!$C$7=1,LN(1+MAX(E18,0)),E18)</f>
        <v>0</v>
      </c>
      <c r="K18" s="38" t="n">
        <f aca="false">(H18-AVERAGE(H$5:H$103))/STDEV(H$5:H$103)</f>
        <v>-1.56354953678524</v>
      </c>
      <c r="L18" s="38" t="n">
        <f aca="false">(I18-AVERAGE(I$5:I$103))/STDEV(I$5:I$103)</f>
        <v>-1.40749747652815</v>
      </c>
      <c r="M18" s="38" t="n">
        <f aca="false">(J18-AVERAGE(J$5:J$103))/STDEV(J$5:J$103)</f>
        <v>-1.27778805060034</v>
      </c>
    </row>
    <row r="19" customFormat="false" ht="15" hidden="false" customHeight="false" outlineLevel="0" collapsed="false">
      <c r="A19" s="42" t="n">
        <f aca="false">Daily!A19</f>
        <v>43901</v>
      </c>
      <c r="B19" s="12" t="str">
        <f aca="false">TEXT(A19,"ddd")</f>
        <v>Wed</v>
      </c>
      <c r="C19" s="13" t="n">
        <f aca="false">Daily!C19</f>
        <v>1</v>
      </c>
      <c r="D19" s="13" t="n">
        <f aca="false">Daily!D19</f>
        <v>0</v>
      </c>
      <c r="E19" s="13" t="n">
        <f aca="false">Daily!E19</f>
        <v>1</v>
      </c>
      <c r="F19" s="13" t="n">
        <f aca="false">Daily!I19</f>
        <v>18</v>
      </c>
      <c r="G19" s="26" t="n">
        <f aca="false">IF(C19=0,0,D19/C19*100)</f>
        <v>0</v>
      </c>
      <c r="H19" s="38" t="n">
        <f aca="false">IF(Clustering_Guide!$C$7=1,LN(1+MAX(C19,0)),C19)</f>
        <v>0.693147180559945</v>
      </c>
      <c r="I19" s="38" t="n">
        <f aca="false">IF(Clustering_Guide!$C$7=1,LN(1+MAX(D19,0)),D19)</f>
        <v>0</v>
      </c>
      <c r="J19" s="38" t="n">
        <f aca="false">IF(Clustering_Guide!$C$7=1,LN(1+MAX(E19,0)),E19)</f>
        <v>0.693147180559945</v>
      </c>
      <c r="K19" s="38" t="n">
        <f aca="false">(H19-AVERAGE(H$5:H$103))/STDEV(H$5:H$103)</f>
        <v>-1.84034832720195</v>
      </c>
      <c r="L19" s="38" t="n">
        <f aca="false">(I19-AVERAGE(I$5:I$103))/STDEV(I$5:I$103)</f>
        <v>-1.40749747652815</v>
      </c>
      <c r="M19" s="38" t="n">
        <f aca="false">(J19-AVERAGE(J$5:J$103))/STDEV(J$5:J$103)</f>
        <v>-1.01027561104517</v>
      </c>
    </row>
    <row r="20" customFormat="false" ht="15" hidden="false" customHeight="false" outlineLevel="0" collapsed="false">
      <c r="A20" s="42" t="n">
        <f aca="false">Daily!A20</f>
        <v>43902</v>
      </c>
      <c r="B20" s="12" t="str">
        <f aca="false">TEXT(A20,"ddd")</f>
        <v>Thu</v>
      </c>
      <c r="C20" s="13" t="n">
        <f aca="false">Daily!C20</f>
        <v>1</v>
      </c>
      <c r="D20" s="13" t="n">
        <f aca="false">Daily!D20</f>
        <v>0</v>
      </c>
      <c r="E20" s="13" t="n">
        <f aca="false">Daily!E20</f>
        <v>0</v>
      </c>
      <c r="F20" s="13" t="n">
        <f aca="false">Daily!I20</f>
        <v>19</v>
      </c>
      <c r="G20" s="26" t="n">
        <f aca="false">IF(C20=0,0,D20/C20*100)</f>
        <v>0</v>
      </c>
      <c r="H20" s="38" t="n">
        <f aca="false">IF(Clustering_Guide!$C$7=1,LN(1+MAX(C20,0)),C20)</f>
        <v>0.693147180559945</v>
      </c>
      <c r="I20" s="38" t="n">
        <f aca="false">IF(Clustering_Guide!$C$7=1,LN(1+MAX(D20,0)),D20)</f>
        <v>0</v>
      </c>
      <c r="J20" s="38" t="n">
        <f aca="false">IF(Clustering_Guide!$C$7=1,LN(1+MAX(E20,0)),E20)</f>
        <v>0</v>
      </c>
      <c r="K20" s="38" t="n">
        <f aca="false">(H20-AVERAGE(H$5:H$103))/STDEV(H$5:H$103)</f>
        <v>-1.84034832720195</v>
      </c>
      <c r="L20" s="38" t="n">
        <f aca="false">(I20-AVERAGE(I$5:I$103))/STDEV(I$5:I$103)</f>
        <v>-1.40749747652815</v>
      </c>
      <c r="M20" s="38" t="n">
        <f aca="false">(J20-AVERAGE(J$5:J$103))/STDEV(J$5:J$103)</f>
        <v>-1.27778805060034</v>
      </c>
    </row>
    <row r="21" customFormat="false" ht="15" hidden="false" customHeight="false" outlineLevel="0" collapsed="false">
      <c r="A21" s="42" t="n">
        <f aca="false">Daily!A21</f>
        <v>43903</v>
      </c>
      <c r="B21" s="12" t="str">
        <f aca="false">TEXT(A21,"ddd")</f>
        <v>Fri</v>
      </c>
      <c r="C21" s="13" t="n">
        <f aca="false">Daily!C21</f>
        <v>9</v>
      </c>
      <c r="D21" s="13" t="n">
        <f aca="false">Daily!D21</f>
        <v>0</v>
      </c>
      <c r="E21" s="13" t="n">
        <f aca="false">Daily!E21</f>
        <v>1</v>
      </c>
      <c r="F21" s="13" t="n">
        <f aca="false">Daily!I21</f>
        <v>27</v>
      </c>
      <c r="G21" s="26" t="n">
        <f aca="false">IF(C21=0,0,D21/C21*100)</f>
        <v>0</v>
      </c>
      <c r="H21" s="38" t="n">
        <f aca="false">IF(Clustering_Guide!$C$7=1,LN(1+MAX(C21,0)),C21)</f>
        <v>2.30258509299405</v>
      </c>
      <c r="I21" s="38" t="n">
        <f aca="false">IF(Clustering_Guide!$C$7=1,LN(1+MAX(D21,0)),D21)</f>
        <v>0</v>
      </c>
      <c r="J21" s="38" t="n">
        <f aca="false">IF(Clustering_Guide!$C$7=1,LN(1+MAX(E21,0)),E21)</f>
        <v>0.693147180559945</v>
      </c>
      <c r="K21" s="38" t="n">
        <f aca="false">(H21-AVERAGE(H$5:H$103))/STDEV(H$5:H$103)</f>
        <v>-1.19764143910256</v>
      </c>
      <c r="L21" s="38" t="n">
        <f aca="false">(I21-AVERAGE(I$5:I$103))/STDEV(I$5:I$103)</f>
        <v>-1.40749747652815</v>
      </c>
      <c r="M21" s="38" t="n">
        <f aca="false">(J21-AVERAGE(J$5:J$103))/STDEV(J$5:J$103)</f>
        <v>-1.01027561104517</v>
      </c>
    </row>
    <row r="22" customFormat="false" ht="15" hidden="false" customHeight="false" outlineLevel="0" collapsed="false">
      <c r="A22" s="42" t="n">
        <f aca="false">Daily!A22</f>
        <v>43904</v>
      </c>
      <c r="B22" s="12" t="str">
        <f aca="false">TEXT(A22,"ddd")</f>
        <v>Sat</v>
      </c>
      <c r="C22" s="13" t="n">
        <f aca="false">Daily!C22</f>
        <v>0</v>
      </c>
      <c r="D22" s="13" t="n">
        <f aca="false">Daily!D22</f>
        <v>0</v>
      </c>
      <c r="E22" s="13" t="n">
        <f aca="false">Daily!E22</f>
        <v>0</v>
      </c>
      <c r="F22" s="13" t="n">
        <f aca="false">Daily!I22</f>
        <v>27</v>
      </c>
      <c r="G22" s="26" t="n">
        <f aca="false">IF(C22=0,0,D22/C22*100)</f>
        <v>0</v>
      </c>
      <c r="H22" s="38" t="n">
        <f aca="false">IF(Clustering_Guide!$C$7=1,LN(1+MAX(C22,0)),C22)</f>
        <v>0</v>
      </c>
      <c r="I22" s="38" t="n">
        <f aca="false">IF(Clustering_Guide!$C$7=1,LN(1+MAX(D22,0)),D22)</f>
        <v>0</v>
      </c>
      <c r="J22" s="38" t="n">
        <f aca="false">IF(Clustering_Guide!$C$7=1,LN(1+MAX(E22,0)),E22)</f>
        <v>0</v>
      </c>
      <c r="K22" s="38" t="n">
        <f aca="false">(H22-AVERAGE(H$5:H$103))/STDEV(H$5:H$103)</f>
        <v>-2.11714711761866</v>
      </c>
      <c r="L22" s="38" t="n">
        <f aca="false">(I22-AVERAGE(I$5:I$103))/STDEV(I$5:I$103)</f>
        <v>-1.40749747652815</v>
      </c>
      <c r="M22" s="38" t="n">
        <f aca="false">(J22-AVERAGE(J$5:J$103))/STDEV(J$5:J$103)</f>
        <v>-1.27778805060034</v>
      </c>
    </row>
    <row r="23" customFormat="false" ht="15" hidden="false" customHeight="false" outlineLevel="0" collapsed="false">
      <c r="A23" s="42" t="n">
        <f aca="false">Daily!A23</f>
        <v>43905</v>
      </c>
      <c r="B23" s="12" t="str">
        <f aca="false">TEXT(A23,"ddd")</f>
        <v>Sun</v>
      </c>
      <c r="C23" s="13" t="n">
        <f aca="false">Daily!C23</f>
        <v>34</v>
      </c>
      <c r="D23" s="13" t="n">
        <f aca="false">Daily!D23</f>
        <v>1</v>
      </c>
      <c r="E23" s="13" t="n">
        <f aca="false">Daily!E23</f>
        <v>0</v>
      </c>
      <c r="F23" s="13" t="n">
        <f aca="false">Daily!I23</f>
        <v>60</v>
      </c>
      <c r="G23" s="26" t="n">
        <f aca="false">IF(C23=0,0,D23/C23*100)</f>
        <v>2.94117647058824</v>
      </c>
      <c r="H23" s="38" t="n">
        <f aca="false">IF(Clustering_Guide!$C$7=1,LN(1+MAX(C23,0)),C23)</f>
        <v>3.55534806148941</v>
      </c>
      <c r="I23" s="38" t="n">
        <f aca="false">IF(Clustering_Guide!$C$7=1,LN(1+MAX(D23,0)),D23)</f>
        <v>0.693147180559945</v>
      </c>
      <c r="J23" s="38" t="n">
        <f aca="false">IF(Clustering_Guide!$C$7=1,LN(1+MAX(E23,0)),E23)</f>
        <v>0</v>
      </c>
      <c r="K23" s="38" t="n">
        <f aca="false">(H23-AVERAGE(H$5:H$103))/STDEV(H$5:H$103)</f>
        <v>-0.697367782823338</v>
      </c>
      <c r="L23" s="38" t="n">
        <f aca="false">(I23-AVERAGE(I$5:I$103))/STDEV(I$5:I$103)</f>
        <v>-0.936847300841807</v>
      </c>
      <c r="M23" s="38" t="n">
        <f aca="false">(J23-AVERAGE(J$5:J$103))/STDEV(J$5:J$103)</f>
        <v>-1.27778805060034</v>
      </c>
    </row>
    <row r="24" customFormat="false" ht="15" hidden="false" customHeight="false" outlineLevel="0" collapsed="false">
      <c r="A24" s="42" t="n">
        <f aca="false">Daily!A24</f>
        <v>43906</v>
      </c>
      <c r="B24" s="12" t="str">
        <f aca="false">TEXT(A24,"ddd")</f>
        <v>Mon</v>
      </c>
      <c r="C24" s="13" t="n">
        <f aca="false">Daily!C24</f>
        <v>151</v>
      </c>
      <c r="D24" s="13" t="n">
        <f aca="false">Daily!D24</f>
        <v>0</v>
      </c>
      <c r="E24" s="13" t="n">
        <f aca="false">Daily!E24</f>
        <v>1</v>
      </c>
      <c r="F24" s="13" t="n">
        <f aca="false">Daily!I24</f>
        <v>210</v>
      </c>
      <c r="G24" s="26" t="n">
        <f aca="false">IF(C24=0,0,D24/C24*100)</f>
        <v>0</v>
      </c>
      <c r="H24" s="38" t="n">
        <f aca="false">IF(Clustering_Guide!$C$7=1,LN(1+MAX(C24,0)),C24)</f>
        <v>5.02388052084628</v>
      </c>
      <c r="I24" s="38" t="n">
        <f aca="false">IF(Clustering_Guide!$C$7=1,LN(1+MAX(D24,0)),D24)</f>
        <v>0</v>
      </c>
      <c r="J24" s="38" t="n">
        <f aca="false">IF(Clustering_Guide!$C$7=1,LN(1+MAX(E24,0)),E24)</f>
        <v>0.693147180559945</v>
      </c>
      <c r="K24" s="38" t="n">
        <f aca="false">(H24-AVERAGE(H$5:H$103))/STDEV(H$5:H$103)</f>
        <v>-0.11092954886951</v>
      </c>
      <c r="L24" s="38" t="n">
        <f aca="false">(I24-AVERAGE(I$5:I$103))/STDEV(I$5:I$103)</f>
        <v>-1.40749747652815</v>
      </c>
      <c r="M24" s="38" t="n">
        <f aca="false">(J24-AVERAGE(J$5:J$103))/STDEV(J$5:J$103)</f>
        <v>-1.01027561104517</v>
      </c>
    </row>
    <row r="25" customFormat="false" ht="15" hidden="false" customHeight="false" outlineLevel="0" collapsed="false">
      <c r="A25" s="42" t="n">
        <f aca="false">Daily!A25</f>
        <v>43907</v>
      </c>
      <c r="B25" s="12" t="str">
        <f aca="false">TEXT(A25,"ddd")</f>
        <v>Tue</v>
      </c>
      <c r="C25" s="13" t="n">
        <f aca="false">Daily!C25</f>
        <v>52</v>
      </c>
      <c r="D25" s="13" t="n">
        <f aca="false">Daily!D25</f>
        <v>0</v>
      </c>
      <c r="E25" s="13" t="n">
        <f aca="false">Daily!E25</f>
        <v>0</v>
      </c>
      <c r="F25" s="13" t="n">
        <f aca="false">Daily!I25</f>
        <v>262</v>
      </c>
      <c r="G25" s="26" t="n">
        <f aca="false">IF(C25=0,0,D25/C25*100)</f>
        <v>0</v>
      </c>
      <c r="H25" s="38" t="n">
        <f aca="false">IF(Clustering_Guide!$C$7=1,LN(1+MAX(C25,0)),C25)</f>
        <v>3.97029191355212</v>
      </c>
      <c r="I25" s="38" t="n">
        <f aca="false">IF(Clustering_Guide!$C$7=1,LN(1+MAX(D25,0)),D25)</f>
        <v>0</v>
      </c>
      <c r="J25" s="38" t="n">
        <f aca="false">IF(Clustering_Guide!$C$7=1,LN(1+MAX(E25,0)),E25)</f>
        <v>0</v>
      </c>
      <c r="K25" s="38" t="n">
        <f aca="false">(H25-AVERAGE(H$5:H$103))/STDEV(H$5:H$103)</f>
        <v>-0.531665664192455</v>
      </c>
      <c r="L25" s="38" t="n">
        <f aca="false">(I25-AVERAGE(I$5:I$103))/STDEV(I$5:I$103)</f>
        <v>-1.40749747652815</v>
      </c>
      <c r="M25" s="38" t="n">
        <f aca="false">(J25-AVERAGE(J$5:J$103))/STDEV(J$5:J$103)</f>
        <v>-1.27778805060034</v>
      </c>
    </row>
    <row r="26" customFormat="false" ht="15" hidden="false" customHeight="false" outlineLevel="0" collapsed="false">
      <c r="A26" s="42" t="n">
        <f aca="false">Daily!A26</f>
        <v>43908</v>
      </c>
      <c r="B26" s="12" t="str">
        <f aca="false">TEXT(A26,"ddd")</f>
        <v>Wed</v>
      </c>
      <c r="C26" s="13" t="n">
        <f aca="false">Daily!C26</f>
        <v>57</v>
      </c>
      <c r="D26" s="13" t="n">
        <f aca="false">Daily!D26</f>
        <v>2</v>
      </c>
      <c r="E26" s="13" t="n">
        <f aca="false">Daily!E26</f>
        <v>0</v>
      </c>
      <c r="F26" s="13" t="n">
        <f aca="false">Daily!I26</f>
        <v>317</v>
      </c>
      <c r="G26" s="26" t="n">
        <f aca="false">IF(C26=0,0,D26/C26*100)</f>
        <v>3.50877192982456</v>
      </c>
      <c r="H26" s="38" t="n">
        <f aca="false">IF(Clustering_Guide!$C$7=1,LN(1+MAX(C26,0)),C26)</f>
        <v>4.06044301054642</v>
      </c>
      <c r="I26" s="38" t="n">
        <f aca="false">IF(Clustering_Guide!$C$7=1,LN(1+MAX(D26,0)),D26)</f>
        <v>1.09861228866811</v>
      </c>
      <c r="J26" s="38" t="n">
        <f aca="false">IF(Clustering_Guide!$C$7=1,LN(1+MAX(E26,0)),E26)</f>
        <v>0</v>
      </c>
      <c r="K26" s="38" t="n">
        <f aca="false">(H26-AVERAGE(H$5:H$103))/STDEV(H$5:H$103)</f>
        <v>-0.495665063883294</v>
      </c>
      <c r="L26" s="38" t="n">
        <f aca="false">(I26-AVERAGE(I$5:I$103))/STDEV(I$5:I$103)</f>
        <v>-0.661534597107475</v>
      </c>
      <c r="M26" s="38" t="n">
        <f aca="false">(J26-AVERAGE(J$5:J$103))/STDEV(J$5:J$103)</f>
        <v>-1.27778805060034</v>
      </c>
    </row>
    <row r="27" customFormat="false" ht="15" hidden="false" customHeight="false" outlineLevel="0" collapsed="false">
      <c r="A27" s="42" t="n">
        <f aca="false">Daily!A27</f>
        <v>43909</v>
      </c>
      <c r="B27" s="12" t="str">
        <f aca="false">TEXT(A27,"ddd")</f>
        <v>Thu</v>
      </c>
      <c r="C27" s="13" t="n">
        <f aca="false">Daily!C27</f>
        <v>154</v>
      </c>
      <c r="D27" s="13" t="n">
        <f aca="false">Daily!D27</f>
        <v>0</v>
      </c>
      <c r="E27" s="13" t="n">
        <f aca="false">Daily!E27</f>
        <v>1</v>
      </c>
      <c r="F27" s="13" t="n">
        <f aca="false">Daily!I27</f>
        <v>470</v>
      </c>
      <c r="G27" s="26" t="n">
        <f aca="false">IF(C27=0,0,D27/C27*100)</f>
        <v>0</v>
      </c>
      <c r="H27" s="38" t="n">
        <f aca="false">IF(Clustering_Guide!$C$7=1,LN(1+MAX(C27,0)),C27)</f>
        <v>5.04342511691925</v>
      </c>
      <c r="I27" s="38" t="n">
        <f aca="false">IF(Clustering_Guide!$C$7=1,LN(1+MAX(D27,0)),D27)</f>
        <v>0</v>
      </c>
      <c r="J27" s="38" t="n">
        <f aca="false">IF(Clustering_Guide!$C$7=1,LN(1+MAX(E27,0)),E27)</f>
        <v>0.693147180559945</v>
      </c>
      <c r="K27" s="38" t="n">
        <f aca="false">(H27-AVERAGE(H$5:H$103))/STDEV(H$5:H$103)</f>
        <v>-0.103124683317275</v>
      </c>
      <c r="L27" s="38" t="n">
        <f aca="false">(I27-AVERAGE(I$5:I$103))/STDEV(I$5:I$103)</f>
        <v>-1.40749747652815</v>
      </c>
      <c r="M27" s="38" t="n">
        <f aca="false">(J27-AVERAGE(J$5:J$103))/STDEV(J$5:J$103)</f>
        <v>-1.01027561104517</v>
      </c>
    </row>
    <row r="28" customFormat="false" ht="15" hidden="false" customHeight="false" outlineLevel="0" collapsed="false">
      <c r="A28" s="42" t="n">
        <f aca="false">Daily!A28</f>
        <v>43910</v>
      </c>
      <c r="B28" s="12" t="str">
        <f aca="false">TEXT(A28,"ddd")</f>
        <v>Fri</v>
      </c>
      <c r="C28" s="13" t="n">
        <f aca="false">Daily!C28</f>
        <v>50</v>
      </c>
      <c r="D28" s="13" t="n">
        <f aca="false">Daily!D28</f>
        <v>1</v>
      </c>
      <c r="E28" s="13" t="n">
        <f aca="false">Daily!E28</f>
        <v>0</v>
      </c>
      <c r="F28" s="13" t="n">
        <f aca="false">Daily!I28</f>
        <v>519</v>
      </c>
      <c r="G28" s="26" t="n">
        <f aca="false">IF(C28=0,0,D28/C28*100)</f>
        <v>2</v>
      </c>
      <c r="H28" s="38" t="n">
        <f aca="false">IF(Clustering_Guide!$C$7=1,LN(1+MAX(C28,0)),C28)</f>
        <v>3.93182563272433</v>
      </c>
      <c r="I28" s="38" t="n">
        <f aca="false">IF(Clustering_Guide!$C$7=1,LN(1+MAX(D28,0)),D28)</f>
        <v>0.693147180559945</v>
      </c>
      <c r="J28" s="38" t="n">
        <f aca="false">IF(Clustering_Guide!$C$7=1,LN(1+MAX(E28,0)),E28)</f>
        <v>0</v>
      </c>
      <c r="K28" s="38" t="n">
        <f aca="false">(H28-AVERAGE(H$5:H$103))/STDEV(H$5:H$103)</f>
        <v>-0.547026644231878</v>
      </c>
      <c r="L28" s="38" t="n">
        <f aca="false">(I28-AVERAGE(I$5:I$103))/STDEV(I$5:I$103)</f>
        <v>-0.936847300841807</v>
      </c>
      <c r="M28" s="38" t="n">
        <f aca="false">(J28-AVERAGE(J$5:J$103))/STDEV(J$5:J$103)</f>
        <v>-1.27778805060034</v>
      </c>
    </row>
    <row r="29" customFormat="false" ht="15" hidden="false" customHeight="false" outlineLevel="0" collapsed="false">
      <c r="A29" s="42" t="n">
        <f aca="false">Daily!A29</f>
        <v>43911</v>
      </c>
      <c r="B29" s="12" t="str">
        <f aca="false">TEXT(A29,"ddd")</f>
        <v>Sat</v>
      </c>
      <c r="C29" s="13" t="n">
        <f aca="false">Daily!C29</f>
        <v>134</v>
      </c>
      <c r="D29" s="13" t="n">
        <f aca="false">Daily!D29</f>
        <v>0</v>
      </c>
      <c r="E29" s="13" t="n">
        <f aca="false">Daily!E29</f>
        <v>3</v>
      </c>
      <c r="F29" s="13" t="n">
        <f aca="false">Daily!I29</f>
        <v>650</v>
      </c>
      <c r="G29" s="26" t="n">
        <f aca="false">IF(C29=0,0,D29/C29*100)</f>
        <v>0</v>
      </c>
      <c r="H29" s="38" t="n">
        <f aca="false">IF(Clustering_Guide!$C$7=1,LN(1+MAX(C29,0)),C29)</f>
        <v>4.90527477843843</v>
      </c>
      <c r="I29" s="38" t="n">
        <f aca="false">IF(Clustering_Guide!$C$7=1,LN(1+MAX(D29,0)),D29)</f>
        <v>0</v>
      </c>
      <c r="J29" s="38" t="n">
        <f aca="false">IF(Clustering_Guide!$C$7=1,LN(1+MAX(E29,0)),E29)</f>
        <v>1.38629436111989</v>
      </c>
      <c r="K29" s="38" t="n">
        <f aca="false">(H29-AVERAGE(H$5:H$103))/STDEV(H$5:H$103)</f>
        <v>-0.158293120352909</v>
      </c>
      <c r="L29" s="38" t="n">
        <f aca="false">(I29-AVERAGE(I$5:I$103))/STDEV(I$5:I$103)</f>
        <v>-1.40749747652815</v>
      </c>
      <c r="M29" s="38" t="n">
        <f aca="false">(J29-AVERAGE(J$5:J$103))/STDEV(J$5:J$103)</f>
        <v>-0.742763171490007</v>
      </c>
    </row>
    <row r="30" customFormat="false" ht="15" hidden="false" customHeight="false" outlineLevel="0" collapsed="false">
      <c r="A30" s="42" t="n">
        <f aca="false">Daily!A30</f>
        <v>43912</v>
      </c>
      <c r="B30" s="12" t="str">
        <f aca="false">TEXT(A30,"ddd")</f>
        <v>Sun</v>
      </c>
      <c r="C30" s="13" t="n">
        <f aca="false">Daily!C30</f>
        <v>110</v>
      </c>
      <c r="D30" s="13" t="n">
        <f aca="false">Daily!D30</f>
        <v>1</v>
      </c>
      <c r="E30" s="13" t="n">
        <f aca="false">Daily!E30</f>
        <v>0</v>
      </c>
      <c r="F30" s="13" t="n">
        <f aca="false">Daily!I30</f>
        <v>759</v>
      </c>
      <c r="G30" s="26" t="n">
        <f aca="false">IF(C30=0,0,D30/C30*100)</f>
        <v>0.909090909090909</v>
      </c>
      <c r="H30" s="38" t="n">
        <f aca="false">IF(Clustering_Guide!$C$7=1,LN(1+MAX(C30,0)),C30)</f>
        <v>4.70953020131233</v>
      </c>
      <c r="I30" s="38" t="n">
        <f aca="false">IF(Clustering_Guide!$C$7=1,LN(1+MAX(D30,0)),D30)</f>
        <v>0.693147180559945</v>
      </c>
      <c r="J30" s="38" t="n">
        <f aca="false">IF(Clustering_Guide!$C$7=1,LN(1+MAX(E30,0)),E30)</f>
        <v>0</v>
      </c>
      <c r="K30" s="38" t="n">
        <f aca="false">(H30-AVERAGE(H$5:H$103))/STDEV(H$5:H$103)</f>
        <v>-0.236461024224873</v>
      </c>
      <c r="L30" s="38" t="n">
        <f aca="false">(I30-AVERAGE(I$5:I$103))/STDEV(I$5:I$103)</f>
        <v>-0.936847300841807</v>
      </c>
      <c r="M30" s="38" t="n">
        <f aca="false">(J30-AVERAGE(J$5:J$103))/STDEV(J$5:J$103)</f>
        <v>-1.27778805060034</v>
      </c>
    </row>
    <row r="31" customFormat="false" ht="15" hidden="false" customHeight="false" outlineLevel="0" collapsed="false">
      <c r="A31" s="42" t="n">
        <f aca="false">Daily!A31</f>
        <v>43913</v>
      </c>
      <c r="B31" s="12" t="str">
        <f aca="false">TEXT(A31,"ddd")</f>
        <v>Mon</v>
      </c>
      <c r="C31" s="13" t="n">
        <f aca="false">Daily!C31</f>
        <v>82</v>
      </c>
      <c r="D31" s="13" t="n">
        <f aca="false">Daily!D31</f>
        <v>1</v>
      </c>
      <c r="E31" s="13" t="n">
        <f aca="false">Daily!E31</f>
        <v>0</v>
      </c>
      <c r="F31" s="13" t="n">
        <f aca="false">Daily!I31</f>
        <v>840</v>
      </c>
      <c r="G31" s="26" t="n">
        <f aca="false">IF(C31=0,0,D31/C31*100)</f>
        <v>1.21951219512195</v>
      </c>
      <c r="H31" s="38" t="n">
        <f aca="false">IF(Clustering_Guide!$C$7=1,LN(1+MAX(C31,0)),C31)</f>
        <v>4.4188406077966</v>
      </c>
      <c r="I31" s="38" t="n">
        <f aca="false">IF(Clustering_Guide!$C$7=1,LN(1+MAX(D31,0)),D31)</f>
        <v>0.693147180559945</v>
      </c>
      <c r="J31" s="38" t="n">
        <f aca="false">IF(Clustering_Guide!$C$7=1,LN(1+MAX(E31,0)),E31)</f>
        <v>0</v>
      </c>
      <c r="K31" s="38" t="n">
        <f aca="false">(H31-AVERAGE(H$5:H$103))/STDEV(H$5:H$103)</f>
        <v>-0.352543914163024</v>
      </c>
      <c r="L31" s="38" t="n">
        <f aca="false">(I31-AVERAGE(I$5:I$103))/STDEV(I$5:I$103)</f>
        <v>-0.936847300841807</v>
      </c>
      <c r="M31" s="38" t="n">
        <f aca="false">(J31-AVERAGE(J$5:J$103))/STDEV(J$5:J$103)</f>
        <v>-1.27778805060034</v>
      </c>
    </row>
    <row r="32" customFormat="false" ht="15" hidden="false" customHeight="false" outlineLevel="0" collapsed="false">
      <c r="A32" s="42" t="n">
        <f aca="false">Daily!A32</f>
        <v>43914</v>
      </c>
      <c r="B32" s="12" t="str">
        <f aca="false">TEXT(A32,"ddd")</f>
        <v>Tue</v>
      </c>
      <c r="C32" s="13" t="n">
        <f aca="false">Daily!C32</f>
        <v>114</v>
      </c>
      <c r="D32" s="13" t="n">
        <f aca="false">Daily!D32</f>
        <v>1</v>
      </c>
      <c r="E32" s="13" t="n">
        <f aca="false">Daily!E32</f>
        <v>18</v>
      </c>
      <c r="F32" s="13" t="n">
        <f aca="false">Daily!I32</f>
        <v>935</v>
      </c>
      <c r="G32" s="26" t="n">
        <f aca="false">IF(C32=0,0,D32/C32*100)</f>
        <v>0.87719298245614</v>
      </c>
      <c r="H32" s="38" t="n">
        <f aca="false">IF(Clustering_Guide!$C$7=1,LN(1+MAX(C32,0)),C32)</f>
        <v>4.74493212836325</v>
      </c>
      <c r="I32" s="38" t="n">
        <f aca="false">IF(Clustering_Guide!$C$7=1,LN(1+MAX(D32,0)),D32)</f>
        <v>0.693147180559945</v>
      </c>
      <c r="J32" s="38" t="n">
        <f aca="false">IF(Clustering_Guide!$C$7=1,LN(1+MAX(E32,0)),E32)</f>
        <v>2.94443897916644</v>
      </c>
      <c r="K32" s="38" t="n">
        <f aca="false">(H32-AVERAGE(H$5:H$103))/STDEV(H$5:H$103)</f>
        <v>-0.22232375170766</v>
      </c>
      <c r="L32" s="38" t="n">
        <f aca="false">(I32-AVERAGE(I$5:I$103))/STDEV(I$5:I$103)</f>
        <v>-0.936847300841807</v>
      </c>
      <c r="M32" s="38" t="n">
        <f aca="false">(J32-AVERAGE(J$5:J$103))/STDEV(J$5:J$103)</f>
        <v>-0.14141459842553</v>
      </c>
    </row>
    <row r="33" customFormat="false" ht="15" hidden="false" customHeight="false" outlineLevel="0" collapsed="false">
      <c r="A33" s="42" t="n">
        <f aca="false">Daily!A33</f>
        <v>43915</v>
      </c>
      <c r="B33" s="12" t="str">
        <f aca="false">TEXT(A33,"ddd")</f>
        <v>Wed</v>
      </c>
      <c r="C33" s="13" t="n">
        <f aca="false">Daily!C33</f>
        <v>110</v>
      </c>
      <c r="D33" s="13" t="n">
        <f aca="false">Daily!D33</f>
        <v>1</v>
      </c>
      <c r="E33" s="13" t="n">
        <f aca="false">Daily!E33</f>
        <v>4</v>
      </c>
      <c r="F33" s="13" t="n">
        <f aca="false">Daily!I33</f>
        <v>1040</v>
      </c>
      <c r="G33" s="26" t="n">
        <f aca="false">IF(C33=0,0,D33/C33*100)</f>
        <v>0.909090909090909</v>
      </c>
      <c r="H33" s="38" t="n">
        <f aca="false">IF(Clustering_Guide!$C$7=1,LN(1+MAX(C33,0)),C33)</f>
        <v>4.70953020131233</v>
      </c>
      <c r="I33" s="38" t="n">
        <f aca="false">IF(Clustering_Guide!$C$7=1,LN(1+MAX(D33,0)),D33)</f>
        <v>0.693147180559945</v>
      </c>
      <c r="J33" s="38" t="n">
        <f aca="false">IF(Clustering_Guide!$C$7=1,LN(1+MAX(E33,0)),E33)</f>
        <v>1.6094379124341</v>
      </c>
      <c r="K33" s="38" t="n">
        <f aca="false">(H33-AVERAGE(H$5:H$103))/STDEV(H$5:H$103)</f>
        <v>-0.236461024224873</v>
      </c>
      <c r="L33" s="38" t="n">
        <f aca="false">(I33-AVERAGE(I$5:I$103))/STDEV(I$5:I$103)</f>
        <v>-0.936847300841807</v>
      </c>
      <c r="M33" s="38" t="n">
        <f aca="false">(J33-AVERAGE(J$5:J$103))/STDEV(J$5:J$103)</f>
        <v>-0.656643401465341</v>
      </c>
    </row>
    <row r="34" customFormat="false" ht="15" hidden="false" customHeight="false" outlineLevel="0" collapsed="false">
      <c r="A34" s="42" t="n">
        <f aca="false">Daily!A34</f>
        <v>43916</v>
      </c>
      <c r="B34" s="12" t="str">
        <f aca="false">TEXT(A34,"ddd")</f>
        <v>Thu</v>
      </c>
      <c r="C34" s="13" t="n">
        <f aca="false">Daily!C34</f>
        <v>131</v>
      </c>
      <c r="D34" s="13" t="n">
        <f aca="false">Daily!D34</f>
        <v>1</v>
      </c>
      <c r="E34" s="13" t="n">
        <f aca="false">Daily!E34</f>
        <v>5</v>
      </c>
      <c r="F34" s="13" t="n">
        <f aca="false">Daily!I34</f>
        <v>1165</v>
      </c>
      <c r="G34" s="26" t="n">
        <f aca="false">IF(C34=0,0,D34/C34*100)</f>
        <v>0.763358778625954</v>
      </c>
      <c r="H34" s="38" t="n">
        <f aca="false">IF(Clustering_Guide!$C$7=1,LN(1+MAX(C34,0)),C34)</f>
        <v>4.88280192258637</v>
      </c>
      <c r="I34" s="38" t="n">
        <f aca="false">IF(Clustering_Guide!$C$7=1,LN(1+MAX(D34,0)),D34)</f>
        <v>0.693147180559945</v>
      </c>
      <c r="J34" s="38" t="n">
        <f aca="false">IF(Clustering_Guide!$C$7=1,LN(1+MAX(E34,0)),E34)</f>
        <v>1.79175946922806</v>
      </c>
      <c r="K34" s="38" t="n">
        <f aca="false">(H34-AVERAGE(H$5:H$103))/STDEV(H$5:H$103)</f>
        <v>-0.167267346161681</v>
      </c>
      <c r="L34" s="38" t="n">
        <f aca="false">(I34-AVERAGE(I$5:I$103))/STDEV(I$5:I$103)</f>
        <v>-0.936847300841807</v>
      </c>
      <c r="M34" s="38" t="n">
        <f aca="false">(J34-AVERAGE(J$5:J$103))/STDEV(J$5:J$103)</f>
        <v>-0.586278425873798</v>
      </c>
    </row>
    <row r="35" customFormat="false" ht="15" hidden="false" customHeight="false" outlineLevel="0" collapsed="false">
      <c r="A35" s="42" t="n">
        <f aca="false">Daily!A35</f>
        <v>43917</v>
      </c>
      <c r="B35" s="12" t="str">
        <f aca="false">TEXT(A35,"ddd")</f>
        <v>Fri</v>
      </c>
      <c r="C35" s="13" t="n">
        <f aca="false">Daily!C35</f>
        <v>122</v>
      </c>
      <c r="D35" s="13" t="n">
        <f aca="false">Daily!D35</f>
        <v>2</v>
      </c>
      <c r="E35" s="13" t="n">
        <f aca="false">Daily!E35</f>
        <v>5</v>
      </c>
      <c r="F35" s="13" t="n">
        <f aca="false">Daily!I35</f>
        <v>1280</v>
      </c>
      <c r="G35" s="26" t="n">
        <f aca="false">IF(C35=0,0,D35/C35*100)</f>
        <v>1.63934426229508</v>
      </c>
      <c r="H35" s="38" t="n">
        <f aca="false">IF(Clustering_Guide!$C$7=1,LN(1+MAX(C35,0)),C35)</f>
        <v>4.81218435537242</v>
      </c>
      <c r="I35" s="38" t="n">
        <f aca="false">IF(Clustering_Guide!$C$7=1,LN(1+MAX(D35,0)),D35)</f>
        <v>1.09861228866811</v>
      </c>
      <c r="J35" s="38" t="n">
        <f aca="false">IF(Clustering_Guide!$C$7=1,LN(1+MAX(E35,0)),E35)</f>
        <v>1.79175946922806</v>
      </c>
      <c r="K35" s="38" t="n">
        <f aca="false">(H35-AVERAGE(H$5:H$103))/STDEV(H$5:H$103)</f>
        <v>-0.195467500090321</v>
      </c>
      <c r="L35" s="38" t="n">
        <f aca="false">(I35-AVERAGE(I$5:I$103))/STDEV(I$5:I$103)</f>
        <v>-0.661534597107475</v>
      </c>
      <c r="M35" s="38" t="n">
        <f aca="false">(J35-AVERAGE(J$5:J$103))/STDEV(J$5:J$103)</f>
        <v>-0.586278425873798</v>
      </c>
    </row>
    <row r="36" customFormat="false" ht="15" hidden="false" customHeight="false" outlineLevel="0" collapsed="false">
      <c r="A36" s="42" t="n">
        <f aca="false">Daily!A36</f>
        <v>43918</v>
      </c>
      <c r="B36" s="12" t="str">
        <f aca="false">TEXT(A36,"ddd")</f>
        <v>Sat</v>
      </c>
      <c r="C36" s="13" t="n">
        <f aca="false">Daily!C36</f>
        <v>184</v>
      </c>
      <c r="D36" s="13" t="n">
        <f aca="false">Daily!D36</f>
        <v>2</v>
      </c>
      <c r="E36" s="13" t="n">
        <f aca="false">Daily!E36</f>
        <v>1</v>
      </c>
      <c r="F36" s="13" t="n">
        <f aca="false">Daily!I36</f>
        <v>1461</v>
      </c>
      <c r="G36" s="26" t="n">
        <f aca="false">IF(C36=0,0,D36/C36*100)</f>
        <v>1.08695652173913</v>
      </c>
      <c r="H36" s="38" t="n">
        <f aca="false">IF(Clustering_Guide!$C$7=1,LN(1+MAX(C36,0)),C36)</f>
        <v>5.22035582507832</v>
      </c>
      <c r="I36" s="38" t="n">
        <f aca="false">IF(Clustering_Guide!$C$7=1,LN(1+MAX(D36,0)),D36)</f>
        <v>1.09861228866811</v>
      </c>
      <c r="J36" s="38" t="n">
        <f aca="false">IF(Clustering_Guide!$C$7=1,LN(1+MAX(E36,0)),E36)</f>
        <v>0.693147180559945</v>
      </c>
      <c r="K36" s="38" t="n">
        <f aca="false">(H36-AVERAGE(H$5:H$103))/STDEV(H$5:H$103)</f>
        <v>-0.0324698391809385</v>
      </c>
      <c r="L36" s="38" t="n">
        <f aca="false">(I36-AVERAGE(I$5:I$103))/STDEV(I$5:I$103)</f>
        <v>-0.661534597107475</v>
      </c>
      <c r="M36" s="38" t="n">
        <f aca="false">(J36-AVERAGE(J$5:J$103))/STDEV(J$5:J$103)</f>
        <v>-1.01027561104517</v>
      </c>
    </row>
    <row r="37" customFormat="false" ht="15" hidden="false" customHeight="false" outlineLevel="0" collapsed="false">
      <c r="A37" s="42" t="n">
        <f aca="false">Daily!A37</f>
        <v>43919</v>
      </c>
      <c r="B37" s="12" t="str">
        <f aca="false">TEXT(A37,"ddd")</f>
        <v>Sun</v>
      </c>
      <c r="C37" s="13" t="n">
        <f aca="false">Daily!C37</f>
        <v>87</v>
      </c>
      <c r="D37" s="13" t="n">
        <f aca="false">Daily!D37</f>
        <v>6</v>
      </c>
      <c r="E37" s="13" t="n">
        <f aca="false">Daily!E37</f>
        <v>7</v>
      </c>
      <c r="F37" s="13" t="n">
        <f aca="false">Daily!I37</f>
        <v>1535</v>
      </c>
      <c r="G37" s="26" t="n">
        <f aca="false">IF(C37=0,0,D37/C37*100)</f>
        <v>6.89655172413793</v>
      </c>
      <c r="H37" s="38" t="n">
        <f aca="false">IF(Clustering_Guide!$C$7=1,LN(1+MAX(C37,0)),C37)</f>
        <v>4.47733681447821</v>
      </c>
      <c r="I37" s="38" t="n">
        <f aca="false">IF(Clustering_Guide!$C$7=1,LN(1+MAX(D37,0)),D37)</f>
        <v>1.94591014905531</v>
      </c>
      <c r="J37" s="38" t="n">
        <f aca="false">IF(Clustering_Guide!$C$7=1,LN(1+MAX(E37,0)),E37)</f>
        <v>2.07944154167984</v>
      </c>
      <c r="K37" s="38" t="n">
        <f aca="false">(H37-AVERAGE(H$5:H$103))/STDEV(H$5:H$103)</f>
        <v>-0.329184258800429</v>
      </c>
      <c r="L37" s="38" t="n">
        <f aca="false">(I37-AVERAGE(I$5:I$103))/STDEV(I$5:I$103)</f>
        <v>-0.0862153892478259</v>
      </c>
      <c r="M37" s="38" t="n">
        <f aca="false">(J37-AVERAGE(J$5:J$103))/STDEV(J$5:J$103)</f>
        <v>-0.475250731934839</v>
      </c>
    </row>
    <row r="38" customFormat="false" ht="15" hidden="false" customHeight="false" outlineLevel="0" collapsed="false">
      <c r="A38" s="42" t="n">
        <f aca="false">Daily!A38</f>
        <v>43920</v>
      </c>
      <c r="B38" s="12" t="str">
        <f aca="false">TEXT(A38,"ddd")</f>
        <v>Mon</v>
      </c>
      <c r="C38" s="13" t="n">
        <f aca="false">Daily!C38</f>
        <v>145</v>
      </c>
      <c r="D38" s="13" t="n">
        <f aca="false">Daily!D38</f>
        <v>4</v>
      </c>
      <c r="E38" s="13" t="n">
        <f aca="false">Daily!E38</f>
        <v>32</v>
      </c>
      <c r="F38" s="13" t="n">
        <f aca="false">Daily!I38</f>
        <v>1644</v>
      </c>
      <c r="G38" s="26" t="n">
        <f aca="false">IF(C38=0,0,D38/C38*100)</f>
        <v>2.75862068965517</v>
      </c>
      <c r="H38" s="38" t="n">
        <f aca="false">IF(Clustering_Guide!$C$7=1,LN(1+MAX(C38,0)),C38)</f>
        <v>4.98360662170834</v>
      </c>
      <c r="I38" s="38" t="n">
        <f aca="false">IF(Clustering_Guide!$C$7=1,LN(1+MAX(D38,0)),D38)</f>
        <v>1.6094379124341</v>
      </c>
      <c r="J38" s="38" t="n">
        <f aca="false">IF(Clustering_Guide!$C$7=1,LN(1+MAX(E38,0)),E38)</f>
        <v>3.49650756146648</v>
      </c>
      <c r="K38" s="38" t="n">
        <f aca="false">(H38-AVERAGE(H$5:H$103))/STDEV(H$5:H$103)</f>
        <v>-0.127012376412343</v>
      </c>
      <c r="L38" s="38" t="n">
        <f aca="false">(I38-AVERAGE(I$5:I$103))/STDEV(I$5:I$103)</f>
        <v>-0.314681610738362</v>
      </c>
      <c r="M38" s="38" t="n">
        <f aca="false">(J38-AVERAGE(J$5:J$103))/STDEV(J$5:J$103)</f>
        <v>0.0716501263469808</v>
      </c>
    </row>
    <row r="39" customFormat="false" ht="15" hidden="false" customHeight="false" outlineLevel="0" collapsed="false">
      <c r="A39" s="42" t="n">
        <f aca="false">Daily!A39</f>
        <v>43921</v>
      </c>
      <c r="B39" s="12" t="str">
        <f aca="false">TEXT(A39,"ddd")</f>
        <v>Tue</v>
      </c>
      <c r="C39" s="13" t="n">
        <f aca="false">Daily!C39</f>
        <v>223</v>
      </c>
      <c r="D39" s="13" t="n">
        <f aca="false">Daily!D39</f>
        <v>4</v>
      </c>
      <c r="E39" s="13" t="n">
        <f aca="false">Daily!E39</f>
        <v>42</v>
      </c>
      <c r="F39" s="13" t="n">
        <f aca="false">Daily!I39</f>
        <v>1821</v>
      </c>
      <c r="G39" s="26" t="n">
        <f aca="false">IF(C39=0,0,D39/C39*100)</f>
        <v>1.79372197309417</v>
      </c>
      <c r="H39" s="38" t="n">
        <f aca="false">IF(Clustering_Guide!$C$7=1,LN(1+MAX(C39,0)),C39)</f>
        <v>5.41164605185504</v>
      </c>
      <c r="I39" s="38" t="n">
        <f aca="false">IF(Clustering_Guide!$C$7=1,LN(1+MAX(D39,0)),D39)</f>
        <v>1.6094379124341</v>
      </c>
      <c r="J39" s="38" t="n">
        <f aca="false">IF(Clustering_Guide!$C$7=1,LN(1+MAX(E39,0)),E39)</f>
        <v>3.76120011569356</v>
      </c>
      <c r="K39" s="38" t="n">
        <f aca="false">(H39-AVERAGE(H$5:H$103))/STDEV(H$5:H$103)</f>
        <v>0.0439192811608024</v>
      </c>
      <c r="L39" s="38" t="n">
        <f aca="false">(I39-AVERAGE(I$5:I$103))/STDEV(I$5:I$103)</f>
        <v>-0.314681610738362</v>
      </c>
      <c r="M39" s="38" t="n">
        <f aca="false">(J39-AVERAGE(J$5:J$103))/STDEV(J$5:J$103)</f>
        <v>0.173805271602241</v>
      </c>
    </row>
    <row r="40" customFormat="false" ht="15" hidden="false" customHeight="false" outlineLevel="0" collapsed="false">
      <c r="A40" s="42" t="n">
        <f aca="false">Daily!A40</f>
        <v>43922</v>
      </c>
      <c r="B40" s="12" t="str">
        <f aca="false">TEXT(A40,"ddd")</f>
        <v>Wed</v>
      </c>
      <c r="C40" s="13" t="n">
        <f aca="false">Daily!C40</f>
        <v>260</v>
      </c>
      <c r="D40" s="13" t="n">
        <f aca="false">Daily!D40</f>
        <v>4</v>
      </c>
      <c r="E40" s="13" t="n">
        <f aca="false">Daily!E40</f>
        <v>15</v>
      </c>
      <c r="F40" s="13" t="n">
        <f aca="false">Daily!I40</f>
        <v>2062</v>
      </c>
      <c r="G40" s="26" t="n">
        <f aca="false">IF(C40=0,0,D40/C40*100)</f>
        <v>1.53846153846154</v>
      </c>
      <c r="H40" s="38" t="n">
        <f aca="false">IF(Clustering_Guide!$C$7=1,LN(1+MAX(C40,0)),C40)</f>
        <v>5.56452040732269</v>
      </c>
      <c r="I40" s="38" t="n">
        <f aca="false">IF(Clustering_Guide!$C$7=1,LN(1+MAX(D40,0)),D40)</f>
        <v>1.6094379124341</v>
      </c>
      <c r="J40" s="38" t="n">
        <f aca="false">IF(Clustering_Guide!$C$7=1,LN(1+MAX(E40,0)),E40)</f>
        <v>2.77258872223978</v>
      </c>
      <c r="K40" s="38" t="n">
        <f aca="false">(H40-AVERAGE(H$5:H$103))/STDEV(H$5:H$103)</f>
        <v>0.104967551810907</v>
      </c>
      <c r="L40" s="38" t="n">
        <f aca="false">(I40-AVERAGE(I$5:I$103))/STDEV(I$5:I$103)</f>
        <v>-0.314681610738362</v>
      </c>
      <c r="M40" s="38" t="n">
        <f aca="false">(J40-AVERAGE(J$5:J$103))/STDEV(J$5:J$103)</f>
        <v>-0.20773829237967</v>
      </c>
    </row>
    <row r="41" customFormat="false" ht="15" hidden="false" customHeight="false" outlineLevel="0" collapsed="false">
      <c r="A41" s="42" t="n">
        <f aca="false">Daily!A41</f>
        <v>43923</v>
      </c>
      <c r="B41" s="12" t="str">
        <f aca="false">TEXT(A41,"ddd")</f>
        <v>Thu</v>
      </c>
      <c r="C41" s="13" t="n">
        <f aca="false">Daily!C41</f>
        <v>183</v>
      </c>
      <c r="D41" s="13" t="n">
        <f aca="false">Daily!D41</f>
        <v>5</v>
      </c>
      <c r="E41" s="13" t="n">
        <f aca="false">Daily!E41</f>
        <v>14</v>
      </c>
      <c r="F41" s="13" t="n">
        <f aca="false">Daily!I41</f>
        <v>2226</v>
      </c>
      <c r="G41" s="26" t="n">
        <f aca="false">IF(C41=0,0,D41/C41*100)</f>
        <v>2.73224043715847</v>
      </c>
      <c r="H41" s="38" t="n">
        <f aca="false">IF(Clustering_Guide!$C$7=1,LN(1+MAX(C41,0)),C41)</f>
        <v>5.21493575760899</v>
      </c>
      <c r="I41" s="38" t="n">
        <f aca="false">IF(Clustering_Guide!$C$7=1,LN(1+MAX(D41,0)),D41)</f>
        <v>1.79175946922806</v>
      </c>
      <c r="J41" s="38" t="n">
        <f aca="false">IF(Clustering_Guide!$C$7=1,LN(1+MAX(E41,0)),E41)</f>
        <v>2.70805020110221</v>
      </c>
      <c r="K41" s="38" t="n">
        <f aca="false">(H41-AVERAGE(H$5:H$103))/STDEV(H$5:H$103)</f>
        <v>-0.0346342685569303</v>
      </c>
      <c r="L41" s="38" t="n">
        <f aca="false">(I41-AVERAGE(I$5:I$103))/STDEV(I$5:I$103)</f>
        <v>-0.190884421421135</v>
      </c>
      <c r="M41" s="38" t="n">
        <f aca="false">(J41-AVERAGE(J$5:J$103))/STDEV(J$5:J$103)</f>
        <v>-0.232646216293964</v>
      </c>
    </row>
    <row r="42" customFormat="false" ht="15" hidden="false" customHeight="false" outlineLevel="0" collapsed="false">
      <c r="A42" s="42" t="n">
        <f aca="false">Daily!A42</f>
        <v>43924</v>
      </c>
      <c r="B42" s="12" t="str">
        <f aca="false">TEXT(A42,"ddd")</f>
        <v>Fri</v>
      </c>
      <c r="C42" s="13" t="n">
        <f aca="false">Daily!C42</f>
        <v>239</v>
      </c>
      <c r="D42" s="13" t="n">
        <f aca="false">Daily!D42</f>
        <v>5</v>
      </c>
      <c r="E42" s="13" t="n">
        <f aca="false">Daily!E42</f>
        <v>1</v>
      </c>
      <c r="F42" s="13" t="n">
        <f aca="false">Daily!I42</f>
        <v>2459</v>
      </c>
      <c r="G42" s="26" t="n">
        <f aca="false">IF(C42=0,0,D42/C42*100)</f>
        <v>2.09205020920502</v>
      </c>
      <c r="H42" s="38" t="n">
        <f aca="false">IF(Clustering_Guide!$C$7=1,LN(1+MAX(C42,0)),C42)</f>
        <v>5.48063892334199</v>
      </c>
      <c r="I42" s="38" t="n">
        <f aca="false">IF(Clustering_Guide!$C$7=1,LN(1+MAX(D42,0)),D42)</f>
        <v>1.79175946922806</v>
      </c>
      <c r="J42" s="38" t="n">
        <f aca="false">IF(Clustering_Guide!$C$7=1,LN(1+MAX(E42,0)),E42)</f>
        <v>0.693147180559945</v>
      </c>
      <c r="K42" s="38" t="n">
        <f aca="false">(H42-AVERAGE(H$5:H$103))/STDEV(H$5:H$103)</f>
        <v>0.0714706352030077</v>
      </c>
      <c r="L42" s="38" t="n">
        <f aca="false">(I42-AVERAGE(I$5:I$103))/STDEV(I$5:I$103)</f>
        <v>-0.190884421421135</v>
      </c>
      <c r="M42" s="38" t="n">
        <f aca="false">(J42-AVERAGE(J$5:J$103))/STDEV(J$5:J$103)</f>
        <v>-1.01027561104517</v>
      </c>
    </row>
    <row r="43" customFormat="false" ht="15" hidden="false" customHeight="false" outlineLevel="0" collapsed="false">
      <c r="A43" s="42" t="n">
        <f aca="false">Daily!A43</f>
        <v>43925</v>
      </c>
      <c r="B43" s="12" t="str">
        <f aca="false">TEXT(A43,"ddd")</f>
        <v>Sat</v>
      </c>
      <c r="C43" s="13" t="n">
        <f aca="false">Daily!C43</f>
        <v>79</v>
      </c>
      <c r="D43" s="13" t="n">
        <f aca="false">Daily!D43</f>
        <v>4</v>
      </c>
      <c r="E43" s="13" t="n">
        <f aca="false">Daily!E43</f>
        <v>33</v>
      </c>
      <c r="F43" s="13" t="n">
        <f aca="false">Daily!I43</f>
        <v>2501</v>
      </c>
      <c r="G43" s="26" t="n">
        <f aca="false">IF(C43=0,0,D43/C43*100)</f>
        <v>5.06329113924051</v>
      </c>
      <c r="H43" s="38" t="n">
        <f aca="false">IF(Clustering_Guide!$C$7=1,LN(1+MAX(C43,0)),C43)</f>
        <v>4.38202663467388</v>
      </c>
      <c r="I43" s="38" t="n">
        <f aca="false">IF(Clustering_Guide!$C$7=1,LN(1+MAX(D43,0)),D43)</f>
        <v>1.6094379124341</v>
      </c>
      <c r="J43" s="38" t="n">
        <f aca="false">IF(Clustering_Guide!$C$7=1,LN(1+MAX(E43,0)),E43)</f>
        <v>3.52636052461616</v>
      </c>
      <c r="K43" s="38" t="n">
        <f aca="false">(H43-AVERAGE(H$5:H$103))/STDEV(H$5:H$103)</f>
        <v>-0.367245067852446</v>
      </c>
      <c r="L43" s="38" t="n">
        <f aca="false">(I43-AVERAGE(I$5:I$103))/STDEV(I$5:I$103)</f>
        <v>-0.314681610738362</v>
      </c>
      <c r="M43" s="38" t="n">
        <f aca="false">(J43-AVERAGE(J$5:J$103))/STDEV(J$5:J$103)</f>
        <v>0.0831715452088024</v>
      </c>
    </row>
    <row r="44" customFormat="false" ht="15" hidden="false" customHeight="false" outlineLevel="0" collapsed="false">
      <c r="A44" s="42" t="n">
        <f aca="false">Daily!A44</f>
        <v>43926</v>
      </c>
      <c r="B44" s="12" t="str">
        <f aca="false">TEXT(A44,"ddd")</f>
        <v>Sun</v>
      </c>
      <c r="C44" s="13" t="n">
        <f aca="false">Daily!C44</f>
        <v>180</v>
      </c>
      <c r="D44" s="13" t="n">
        <f aca="false">Daily!D44</f>
        <v>3</v>
      </c>
      <c r="E44" s="13" t="n">
        <f aca="false">Daily!E44</f>
        <v>45</v>
      </c>
      <c r="F44" s="13" t="n">
        <f aca="false">Daily!I44</f>
        <v>2633</v>
      </c>
      <c r="G44" s="26" t="n">
        <f aca="false">IF(C44=0,0,D44/C44*100)</f>
        <v>1.66666666666667</v>
      </c>
      <c r="H44" s="38" t="n">
        <f aca="false">IF(Clustering_Guide!$C$7=1,LN(1+MAX(C44,0)),C44)</f>
        <v>5.19849703126583</v>
      </c>
      <c r="I44" s="38" t="n">
        <f aca="false">IF(Clustering_Guide!$C$7=1,LN(1+MAX(D44,0)),D44)</f>
        <v>1.38629436111989</v>
      </c>
      <c r="J44" s="38" t="n">
        <f aca="false">IF(Clustering_Guide!$C$7=1,LN(1+MAX(E44,0)),E44)</f>
        <v>3.8286413964891</v>
      </c>
      <c r="K44" s="38" t="n">
        <f aca="false">(H44-AVERAGE(H$5:H$103))/STDEV(H$5:H$103)</f>
        <v>-0.0411988477623194</v>
      </c>
      <c r="L44" s="38" t="n">
        <f aca="false">(I44-AVERAGE(I$5:I$103))/STDEV(I$5:I$103)</f>
        <v>-0.466197125155468</v>
      </c>
      <c r="M44" s="38" t="n">
        <f aca="false">(J44-AVERAGE(J$5:J$103))/STDEV(J$5:J$103)</f>
        <v>0.199833483298585</v>
      </c>
    </row>
    <row r="45" customFormat="false" ht="15" hidden="false" customHeight="false" outlineLevel="0" collapsed="false">
      <c r="A45" s="42" t="n">
        <f aca="false">Daily!A45</f>
        <v>43927</v>
      </c>
      <c r="B45" s="12" t="str">
        <f aca="false">TEXT(A45,"ddd")</f>
        <v>Mon</v>
      </c>
      <c r="C45" s="13" t="n">
        <f aca="false">Daily!C45</f>
        <v>249</v>
      </c>
      <c r="D45" s="13" t="n">
        <f aca="false">Daily!D45</f>
        <v>5</v>
      </c>
      <c r="E45" s="13" t="n">
        <f aca="false">Daily!E45</f>
        <v>175</v>
      </c>
      <c r="F45" s="13" t="n">
        <f aca="false">Daily!I45</f>
        <v>2702</v>
      </c>
      <c r="G45" s="26" t="n">
        <f aca="false">IF(C45=0,0,D45/C45*100)</f>
        <v>2.00803212851406</v>
      </c>
      <c r="H45" s="38" t="n">
        <f aca="false">IF(Clustering_Guide!$C$7=1,LN(1+MAX(C45,0)),C45)</f>
        <v>5.52146091786225</v>
      </c>
      <c r="I45" s="38" t="n">
        <f aca="false">IF(Clustering_Guide!$C$7=1,LN(1+MAX(D45,0)),D45)</f>
        <v>1.79175946922806</v>
      </c>
      <c r="J45" s="38" t="n">
        <f aca="false">IF(Clustering_Guide!$C$7=1,LN(1+MAX(E45,0)),E45)</f>
        <v>5.17048399503815</v>
      </c>
      <c r="K45" s="38" t="n">
        <f aca="false">(H45-AVERAGE(H$5:H$103))/STDEV(H$5:H$103)</f>
        <v>0.0877723370962129</v>
      </c>
      <c r="L45" s="38" t="n">
        <f aca="false">(I45-AVERAGE(I$5:I$103))/STDEV(I$5:I$103)</f>
        <v>-0.190884421421135</v>
      </c>
      <c r="M45" s="38" t="n">
        <f aca="false">(J45-AVERAGE(J$5:J$103))/STDEV(J$5:J$103)</f>
        <v>0.717702699396277</v>
      </c>
    </row>
    <row r="46" customFormat="false" ht="15" hidden="false" customHeight="false" outlineLevel="0" collapsed="false">
      <c r="A46" s="42" t="n">
        <f aca="false">Daily!A46</f>
        <v>43928</v>
      </c>
      <c r="B46" s="12" t="str">
        <f aca="false">TEXT(A46,"ddd")</f>
        <v>Tue</v>
      </c>
      <c r="C46" s="13" t="n">
        <f aca="false">Daily!C46</f>
        <v>107</v>
      </c>
      <c r="D46" s="13" t="n">
        <f aca="false">Daily!D46</f>
        <v>3</v>
      </c>
      <c r="E46" s="13" t="n">
        <f aca="false">Daily!E46</f>
        <v>82</v>
      </c>
      <c r="F46" s="13" t="n">
        <f aca="false">Daily!I46</f>
        <v>2724</v>
      </c>
      <c r="G46" s="26" t="n">
        <f aca="false">IF(C46=0,0,D46/C46*100)</f>
        <v>2.80373831775701</v>
      </c>
      <c r="H46" s="38" t="n">
        <f aca="false">IF(Clustering_Guide!$C$7=1,LN(1+MAX(C46,0)),C46)</f>
        <v>4.68213122712422</v>
      </c>
      <c r="I46" s="38" t="n">
        <f aca="false">IF(Clustering_Guide!$C$7=1,LN(1+MAX(D46,0)),D46)</f>
        <v>1.38629436111989</v>
      </c>
      <c r="J46" s="38" t="n">
        <f aca="false">IF(Clustering_Guide!$C$7=1,LN(1+MAX(E46,0)),E46)</f>
        <v>4.4188406077966</v>
      </c>
      <c r="K46" s="38" t="n">
        <f aca="false">(H46-AVERAGE(H$5:H$103))/STDEV(H$5:H$103)</f>
        <v>-0.247402427618885</v>
      </c>
      <c r="L46" s="38" t="n">
        <f aca="false">(I46-AVERAGE(I$5:I$103))/STDEV(I$5:I$103)</f>
        <v>-0.466197125155468</v>
      </c>
      <c r="M46" s="38" t="n">
        <f aca="false">(J46-AVERAGE(J$5:J$103))/STDEV(J$5:J$103)</f>
        <v>0.427614299939665</v>
      </c>
    </row>
    <row r="47" customFormat="false" ht="15" hidden="false" customHeight="false" outlineLevel="0" collapsed="false">
      <c r="A47" s="42" t="n">
        <f aca="false">Daily!A47</f>
        <v>43929</v>
      </c>
      <c r="B47" s="12" t="str">
        <f aca="false">TEXT(A47,"ddd")</f>
        <v>Wed</v>
      </c>
      <c r="C47" s="13" t="n">
        <f aca="false">Daily!C47</f>
        <v>337</v>
      </c>
      <c r="D47" s="13" t="n">
        <f aca="false">Daily!D47</f>
        <v>7</v>
      </c>
      <c r="E47" s="13" t="n">
        <f aca="false">Daily!E47</f>
        <v>112</v>
      </c>
      <c r="F47" s="13" t="n">
        <f aca="false">Daily!I47</f>
        <v>2942</v>
      </c>
      <c r="G47" s="26" t="n">
        <f aca="false">IF(C47=0,0,D47/C47*100)</f>
        <v>2.07715133531157</v>
      </c>
      <c r="H47" s="38" t="n">
        <f aca="false">IF(Clustering_Guide!$C$7=1,LN(1+MAX(C47,0)),C47)</f>
        <v>5.82304589548302</v>
      </c>
      <c r="I47" s="38" t="n">
        <f aca="false">IF(Clustering_Guide!$C$7=1,LN(1+MAX(D47,0)),D47)</f>
        <v>2.07944154167984</v>
      </c>
      <c r="J47" s="38" t="n">
        <f aca="false">IF(Clustering_Guide!$C$7=1,LN(1+MAX(E47,0)),E47)</f>
        <v>4.72738781871234</v>
      </c>
      <c r="K47" s="38" t="n">
        <f aca="false">(H47-AVERAGE(H$5:H$103))/STDEV(H$5:H$103)</f>
        <v>0.208206148780829</v>
      </c>
      <c r="L47" s="38" t="n">
        <f aca="false">(I47-AVERAGE(I$5:I$103))/STDEV(I$5:I$103)</f>
        <v>0.00445305053087125</v>
      </c>
      <c r="M47" s="38" t="n">
        <f aca="false">(J47-AVERAGE(J$5:J$103))/STDEV(J$5:J$103)</f>
        <v>0.546694661838179</v>
      </c>
    </row>
    <row r="48" customFormat="false" ht="15" hidden="false" customHeight="false" outlineLevel="0" collapsed="false">
      <c r="A48" s="42" t="n">
        <f aca="false">Daily!A48</f>
        <v>43930</v>
      </c>
      <c r="B48" s="12" t="str">
        <f aca="false">TEXT(A48,"ddd")</f>
        <v>Thu</v>
      </c>
      <c r="C48" s="13" t="n">
        <f aca="false">Daily!C48</f>
        <v>874</v>
      </c>
      <c r="D48" s="13" t="n">
        <f aca="false">Daily!D48</f>
        <v>4</v>
      </c>
      <c r="E48" s="13" t="n">
        <f aca="false">Daily!E48</f>
        <v>113</v>
      </c>
      <c r="F48" s="13" t="n">
        <f aca="false">Daily!I48</f>
        <v>3699</v>
      </c>
      <c r="G48" s="26" t="n">
        <f aca="false">IF(C48=0,0,D48/C48*100)</f>
        <v>0.45766590389016</v>
      </c>
      <c r="H48" s="38" t="n">
        <f aca="false">IF(Clustering_Guide!$C$7=1,LN(1+MAX(C48,0)),C48)</f>
        <v>6.77422388635761</v>
      </c>
      <c r="I48" s="38" t="n">
        <f aca="false">IF(Clustering_Guide!$C$7=1,LN(1+MAX(D48,0)),D48)</f>
        <v>1.6094379124341</v>
      </c>
      <c r="J48" s="38" t="n">
        <f aca="false">IF(Clustering_Guide!$C$7=1,LN(1+MAX(E48,0)),E48)</f>
        <v>4.7361984483945</v>
      </c>
      <c r="K48" s="38" t="n">
        <f aca="false">(H48-AVERAGE(H$5:H$103))/STDEV(H$5:H$103)</f>
        <v>0.588045993375437</v>
      </c>
      <c r="L48" s="38" t="n">
        <f aca="false">(I48-AVERAGE(I$5:I$103))/STDEV(I$5:I$103)</f>
        <v>-0.314681610738362</v>
      </c>
      <c r="M48" s="38" t="n">
        <f aca="false">(J48-AVERAGE(J$5:J$103))/STDEV(J$5:J$103)</f>
        <v>0.550095026301014</v>
      </c>
    </row>
    <row r="49" customFormat="false" ht="15" hidden="false" customHeight="false" outlineLevel="0" collapsed="false">
      <c r="A49" s="42" t="n">
        <f aca="false">Daily!A49</f>
        <v>43931</v>
      </c>
      <c r="B49" s="12" t="str">
        <f aca="false">TEXT(A49,"ddd")</f>
        <v>Fri</v>
      </c>
      <c r="C49" s="13" t="n">
        <f aca="false">Daily!C49</f>
        <v>156</v>
      </c>
      <c r="D49" s="13" t="n">
        <f aca="false">Daily!D49</f>
        <v>4</v>
      </c>
      <c r="E49" s="13" t="n">
        <f aca="false">Daily!E49</f>
        <v>53</v>
      </c>
      <c r="F49" s="13" t="n">
        <f aca="false">Daily!I49</f>
        <v>3798</v>
      </c>
      <c r="G49" s="26" t="n">
        <f aca="false">IF(C49=0,0,D49/C49*100)</f>
        <v>2.56410256410256</v>
      </c>
      <c r="H49" s="38" t="n">
        <f aca="false">IF(Clustering_Guide!$C$7=1,LN(1+MAX(C49,0)),C49)</f>
        <v>5.05624580534831</v>
      </c>
      <c r="I49" s="38" t="n">
        <f aca="false">IF(Clustering_Guide!$C$7=1,LN(1+MAX(D49,0)),D49)</f>
        <v>1.6094379124341</v>
      </c>
      <c r="J49" s="38" t="n">
        <f aca="false">IF(Clustering_Guide!$C$7=1,LN(1+MAX(E49,0)),E49)</f>
        <v>3.98898404656427</v>
      </c>
      <c r="K49" s="38" t="n">
        <f aca="false">(H49-AVERAGE(H$5:H$103))/STDEV(H$5:H$103)</f>
        <v>-0.0980049177768498</v>
      </c>
      <c r="L49" s="38" t="n">
        <f aca="false">(I49-AVERAGE(I$5:I$103))/STDEV(I$5:I$103)</f>
        <v>-0.314681610738362</v>
      </c>
      <c r="M49" s="38" t="n">
        <f aca="false">(J49-AVERAGE(J$5:J$103))/STDEV(J$5:J$103)</f>
        <v>0.261715944468954</v>
      </c>
    </row>
    <row r="50" customFormat="false" ht="15" hidden="false" customHeight="false" outlineLevel="0" collapsed="false">
      <c r="A50" s="42" t="n">
        <f aca="false">Daily!A50</f>
        <v>43932</v>
      </c>
      <c r="B50" s="12" t="str">
        <f aca="false">TEXT(A50,"ddd")</f>
        <v>Sat</v>
      </c>
      <c r="C50" s="13" t="n">
        <f aca="false">Daily!C50</f>
        <v>297</v>
      </c>
      <c r="D50" s="13" t="n">
        <f aca="false">Daily!D50</f>
        <v>15</v>
      </c>
      <c r="E50" s="13" t="n">
        <f aca="false">Daily!E50</f>
        <v>37</v>
      </c>
      <c r="F50" s="13" t="n">
        <f aca="false">Daily!I50</f>
        <v>4043</v>
      </c>
      <c r="G50" s="26" t="n">
        <f aca="false">IF(C50=0,0,D50/C50*100)</f>
        <v>5.05050505050505</v>
      </c>
      <c r="H50" s="38" t="n">
        <f aca="false">IF(Clustering_Guide!$C$7=1,LN(1+MAX(C50,0)),C50)</f>
        <v>5.69709348650541</v>
      </c>
      <c r="I50" s="38" t="n">
        <f aca="false">IF(Clustering_Guide!$C$7=1,LN(1+MAX(D50,0)),D50)</f>
        <v>2.77258872223978</v>
      </c>
      <c r="J50" s="38" t="n">
        <f aca="false">IF(Clustering_Guide!$C$7=1,LN(1+MAX(E50,0)),E50)</f>
        <v>3.63758615972639</v>
      </c>
      <c r="K50" s="38" t="n">
        <f aca="false">(H50-AVERAGE(H$5:H$103))/STDEV(H$5:H$103)</f>
        <v>0.157908787076335</v>
      </c>
      <c r="L50" s="38" t="n">
        <f aca="false">(I50-AVERAGE(I$5:I$103))/STDEV(I$5:I$103)</f>
        <v>0.475103226217211</v>
      </c>
      <c r="M50" s="38" t="n">
        <f aca="false">(J50-AVERAGE(J$5:J$103))/STDEV(J$5:J$103)</f>
        <v>0.126097841129638</v>
      </c>
    </row>
    <row r="51" customFormat="false" ht="15" hidden="false" customHeight="false" outlineLevel="0" collapsed="false">
      <c r="A51" s="42" t="n">
        <f aca="false">Daily!A51</f>
        <v>43933</v>
      </c>
      <c r="B51" s="12" t="str">
        <f aca="false">TEXT(A51,"ddd")</f>
        <v>Sun</v>
      </c>
      <c r="C51" s="13" t="n">
        <f aca="false">Daily!C51</f>
        <v>253</v>
      </c>
      <c r="D51" s="13" t="n">
        <f aca="false">Daily!D51</f>
        <v>7</v>
      </c>
      <c r="E51" s="13" t="n">
        <f aca="false">Daily!E51</f>
        <v>225</v>
      </c>
      <c r="F51" s="13" t="n">
        <f aca="false">Daily!I51</f>
        <v>4064</v>
      </c>
      <c r="G51" s="26" t="n">
        <f aca="false">IF(C51=0,0,D51/C51*100)</f>
        <v>2.76679841897233</v>
      </c>
      <c r="H51" s="38" t="n">
        <f aca="false">IF(Clustering_Guide!$C$7=1,LN(1+MAX(C51,0)),C51)</f>
        <v>5.53733426701854</v>
      </c>
      <c r="I51" s="38" t="n">
        <f aca="false">IF(Clustering_Guide!$C$7=1,LN(1+MAX(D51,0)),D51)</f>
        <v>2.07944154167984</v>
      </c>
      <c r="J51" s="38" t="n">
        <f aca="false">IF(Clustering_Guide!$C$7=1,LN(1+MAX(E51,0)),E51)</f>
        <v>5.42053499927229</v>
      </c>
      <c r="K51" s="38" t="n">
        <f aca="false">(H51-AVERAGE(H$5:H$103))/STDEV(H$5:H$103)</f>
        <v>0.0941111407003391</v>
      </c>
      <c r="L51" s="38" t="n">
        <f aca="false">(I51-AVERAGE(I$5:I$103))/STDEV(I$5:I$103)</f>
        <v>0.00445305053087125</v>
      </c>
      <c r="M51" s="38" t="n">
        <f aca="false">(J51-AVERAGE(J$5:J$103))/STDEV(J$5:J$103)</f>
        <v>0.814207101393347</v>
      </c>
    </row>
    <row r="52" customFormat="false" ht="15" hidden="false" customHeight="false" outlineLevel="0" collapsed="false">
      <c r="A52" s="42" t="n">
        <f aca="false">Daily!A52</f>
        <v>43934</v>
      </c>
      <c r="B52" s="12" t="str">
        <f aca="false">TEXT(A52,"ddd")</f>
        <v>Mon</v>
      </c>
      <c r="C52" s="13" t="n">
        <f aca="false">Daily!C52</f>
        <v>173</v>
      </c>
      <c r="D52" s="13" t="n">
        <f aca="false">Daily!D52</f>
        <v>4</v>
      </c>
      <c r="E52" s="13" t="n">
        <f aca="false">Daily!E52</f>
        <v>38</v>
      </c>
      <c r="F52" s="13" t="n">
        <f aca="false">Daily!I52</f>
        <v>4195</v>
      </c>
      <c r="G52" s="26" t="n">
        <f aca="false">IF(C52=0,0,D52/C52*100)</f>
        <v>2.3121387283237</v>
      </c>
      <c r="H52" s="38" t="n">
        <f aca="false">IF(Clustering_Guide!$C$7=1,LN(1+MAX(C52,0)),C52)</f>
        <v>5.15905529921453</v>
      </c>
      <c r="I52" s="38" t="n">
        <f aca="false">IF(Clustering_Guide!$C$7=1,LN(1+MAX(D52,0)),D52)</f>
        <v>1.6094379124341</v>
      </c>
      <c r="J52" s="38" t="n">
        <f aca="false">IF(Clustering_Guide!$C$7=1,LN(1+MAX(E52,0)),E52)</f>
        <v>3.66356164612965</v>
      </c>
      <c r="K52" s="38" t="n">
        <f aca="false">(H52-AVERAGE(H$5:H$103))/STDEV(H$5:H$103)</f>
        <v>-0.0569493608278409</v>
      </c>
      <c r="L52" s="38" t="n">
        <f aca="false">(I52-AVERAGE(I$5:I$103))/STDEV(I$5:I$103)</f>
        <v>-0.314681610738362</v>
      </c>
      <c r="M52" s="38" t="n">
        <f aca="false">(J52-AVERAGE(J$5:J$103))/STDEV(J$5:J$103)</f>
        <v>0.136122790997796</v>
      </c>
    </row>
    <row r="53" customFormat="false" ht="15" hidden="false" customHeight="false" outlineLevel="0" collapsed="false">
      <c r="A53" s="42" t="n">
        <f aca="false">Daily!A53</f>
        <v>43935</v>
      </c>
      <c r="B53" s="12" t="str">
        <f aca="false">TEXT(A53,"ddd")</f>
        <v>Tue</v>
      </c>
      <c r="C53" s="13" t="n">
        <f aca="false">Daily!C53</f>
        <v>628</v>
      </c>
      <c r="D53" s="13" t="n">
        <f aca="false">Daily!D53</f>
        <v>11</v>
      </c>
      <c r="E53" s="13" t="n">
        <f aca="false">Daily!E53</f>
        <v>56</v>
      </c>
      <c r="F53" s="13" t="n">
        <f aca="false">Daily!I53</f>
        <v>4756</v>
      </c>
      <c r="G53" s="26" t="n">
        <f aca="false">IF(C53=0,0,D53/C53*100)</f>
        <v>1.7515923566879</v>
      </c>
      <c r="H53" s="38" t="n">
        <f aca="false">IF(Clustering_Guide!$C$7=1,LN(1+MAX(C53,0)),C53)</f>
        <v>6.44413125670044</v>
      </c>
      <c r="I53" s="38" t="n">
        <f aca="false">IF(Clustering_Guide!$C$7=1,LN(1+MAX(D53,0)),D53)</f>
        <v>2.484906649788</v>
      </c>
      <c r="J53" s="38" t="n">
        <f aca="false">IF(Clustering_Guide!$C$7=1,LN(1+MAX(E53,0)),E53)</f>
        <v>4.04305126783455</v>
      </c>
      <c r="K53" s="38" t="n">
        <f aca="false">(H53-AVERAGE(H$5:H$103))/STDEV(H$5:H$103)</f>
        <v>0.456228043050999</v>
      </c>
      <c r="L53" s="38" t="n">
        <f aca="false">(I53-AVERAGE(I$5:I$103))/STDEV(I$5:I$103)</f>
        <v>0.279765754265204</v>
      </c>
      <c r="M53" s="38" t="n">
        <f aca="false">(J53-AVERAGE(J$5:J$103))/STDEV(J$5:J$103)</f>
        <v>0.282582586745846</v>
      </c>
    </row>
    <row r="54" customFormat="false" ht="15" hidden="false" customHeight="false" outlineLevel="0" collapsed="false">
      <c r="A54" s="42" t="n">
        <f aca="false">Daily!A54</f>
        <v>43936</v>
      </c>
      <c r="B54" s="12" t="str">
        <f aca="false">TEXT(A54,"ddd")</f>
        <v>Wed</v>
      </c>
      <c r="C54" s="13" t="n">
        <f aca="false">Daily!C54</f>
        <v>321</v>
      </c>
      <c r="D54" s="13" t="n">
        <f aca="false">Daily!D54</f>
        <v>11</v>
      </c>
      <c r="E54" s="13" t="n">
        <f aca="false">Daily!E54</f>
        <v>209</v>
      </c>
      <c r="F54" s="13" t="n">
        <f aca="false">Daily!I54</f>
        <v>4857</v>
      </c>
      <c r="G54" s="26" t="n">
        <f aca="false">IF(C54=0,0,D54/C54*100)</f>
        <v>3.42679127725857</v>
      </c>
      <c r="H54" s="38" t="n">
        <f aca="false">IF(Clustering_Guide!$C$7=1,LN(1+MAX(C54,0)),C54)</f>
        <v>5.77455154554441</v>
      </c>
      <c r="I54" s="38" t="n">
        <f aca="false">IF(Clustering_Guide!$C$7=1,LN(1+MAX(D54,0)),D54)</f>
        <v>2.484906649788</v>
      </c>
      <c r="J54" s="38" t="n">
        <f aca="false">IF(Clustering_Guide!$C$7=1,LN(1+MAX(E54,0)),E54)</f>
        <v>5.34710753071747</v>
      </c>
      <c r="K54" s="38" t="n">
        <f aca="false">(H54-AVERAGE(H$5:H$103))/STDEV(H$5:H$103)</f>
        <v>0.188840597305588</v>
      </c>
      <c r="L54" s="38" t="n">
        <f aca="false">(I54-AVERAGE(I$5:I$103))/STDEV(I$5:I$103)</f>
        <v>0.279765754265204</v>
      </c>
      <c r="M54" s="38" t="n">
        <f aca="false">(J54-AVERAGE(J$5:J$103))/STDEV(J$5:J$103)</f>
        <v>0.785868587158042</v>
      </c>
    </row>
    <row r="55" customFormat="false" ht="15" hidden="false" customHeight="false" outlineLevel="0" collapsed="false">
      <c r="A55" s="42" t="n">
        <f aca="false">Daily!A55</f>
        <v>43937</v>
      </c>
      <c r="B55" s="12" t="str">
        <f aca="false">TEXT(A55,"ddd")</f>
        <v>Thu</v>
      </c>
      <c r="C55" s="13" t="n">
        <f aca="false">Daily!C55</f>
        <v>683</v>
      </c>
      <c r="D55" s="13" t="n">
        <f aca="false">Daily!D55</f>
        <v>16</v>
      </c>
      <c r="E55" s="13" t="n">
        <f aca="false">Daily!E55</f>
        <v>207</v>
      </c>
      <c r="F55" s="13" t="n">
        <f aca="false">Daily!I55</f>
        <v>5317</v>
      </c>
      <c r="G55" s="26" t="n">
        <f aca="false">IF(C55=0,0,D55/C55*100)</f>
        <v>2.34260614934114</v>
      </c>
      <c r="H55" s="38" t="n">
        <f aca="false">IF(Clustering_Guide!$C$7=1,LN(1+MAX(C55,0)),C55)</f>
        <v>6.52795791762255</v>
      </c>
      <c r="I55" s="38" t="n">
        <f aca="false">IF(Clustering_Guide!$C$7=1,LN(1+MAX(D55,0)),D55)</f>
        <v>2.83321334405622</v>
      </c>
      <c r="J55" s="38" t="n">
        <f aca="false">IF(Clustering_Guide!$C$7=1,LN(1+MAX(E55,0)),E55)</f>
        <v>5.33753807970132</v>
      </c>
      <c r="K55" s="38" t="n">
        <f aca="false">(H55-AVERAGE(H$5:H$103))/STDEV(H$5:H$103)</f>
        <v>0.48970306682469</v>
      </c>
      <c r="L55" s="38" t="n">
        <f aca="false">(I55-AVERAGE(I$5:I$103))/STDEV(I$5:I$103)</f>
        <v>0.51626762781771</v>
      </c>
      <c r="M55" s="38" t="n">
        <f aca="false">(J55-AVERAGE(J$5:J$103))/STDEV(J$5:J$103)</f>
        <v>0.782175364047092</v>
      </c>
    </row>
    <row r="56" customFormat="false" ht="15" hidden="false" customHeight="false" outlineLevel="0" collapsed="false">
      <c r="A56" s="42" t="n">
        <f aca="false">Daily!A56</f>
        <v>43938</v>
      </c>
      <c r="B56" s="12" t="str">
        <f aca="false">TEXT(A56,"ddd")</f>
        <v>Fri</v>
      </c>
      <c r="C56" s="13" t="n">
        <f aca="false">Daily!C56</f>
        <v>512</v>
      </c>
      <c r="D56" s="13" t="n">
        <f aca="false">Daily!D56</f>
        <v>4</v>
      </c>
      <c r="E56" s="13" t="n">
        <f aca="false">Daily!E56</f>
        <v>14</v>
      </c>
      <c r="F56" s="13" t="n">
        <f aca="false">Daily!I56</f>
        <v>5811</v>
      </c>
      <c r="G56" s="26" t="n">
        <f aca="false">IF(C56=0,0,D56/C56*100)</f>
        <v>0.78125</v>
      </c>
      <c r="H56" s="38" t="n">
        <f aca="false">IF(Clustering_Guide!$C$7=1,LN(1+MAX(C56,0)),C56)</f>
        <v>6.24027584517077</v>
      </c>
      <c r="I56" s="38" t="n">
        <f aca="false">IF(Clustering_Guide!$C$7=1,LN(1+MAX(D56,0)),D56)</f>
        <v>1.6094379124341</v>
      </c>
      <c r="J56" s="38" t="n">
        <f aca="false">IF(Clustering_Guide!$C$7=1,LN(1+MAX(E56,0)),E56)</f>
        <v>2.70805020110221</v>
      </c>
      <c r="K56" s="38" t="n">
        <f aca="false">(H56-AVERAGE(H$5:H$103))/STDEV(H$5:H$103)</f>
        <v>0.374821189046732</v>
      </c>
      <c r="L56" s="38" t="n">
        <f aca="false">(I56-AVERAGE(I$5:I$103))/STDEV(I$5:I$103)</f>
        <v>-0.314681610738362</v>
      </c>
      <c r="M56" s="38" t="n">
        <f aca="false">(J56-AVERAGE(J$5:J$103))/STDEV(J$5:J$103)</f>
        <v>-0.232646216293964</v>
      </c>
    </row>
    <row r="57" customFormat="false" ht="15" hidden="false" customHeight="false" outlineLevel="0" collapsed="false">
      <c r="A57" s="42" t="n">
        <f aca="false">Daily!A57</f>
        <v>43939</v>
      </c>
      <c r="B57" s="12" t="str">
        <f aca="false">TEXT(A57,"ddd")</f>
        <v>Sat</v>
      </c>
      <c r="C57" s="13" t="n">
        <f aca="false">Daily!C57</f>
        <v>285</v>
      </c>
      <c r="D57" s="13" t="n">
        <f aca="false">Daily!D57</f>
        <v>11</v>
      </c>
      <c r="E57" s="13" t="n">
        <f aca="false">Daily!E57</f>
        <v>39</v>
      </c>
      <c r="F57" s="13" t="n">
        <f aca="false">Daily!I57</f>
        <v>6046</v>
      </c>
      <c r="G57" s="26" t="n">
        <f aca="false">IF(C57=0,0,D57/C57*100)</f>
        <v>3.85964912280702</v>
      </c>
      <c r="H57" s="38" t="n">
        <f aca="false">IF(Clustering_Guide!$C$7=1,LN(1+MAX(C57,0)),C57)</f>
        <v>5.65599181081985</v>
      </c>
      <c r="I57" s="38" t="n">
        <f aca="false">IF(Clustering_Guide!$C$7=1,LN(1+MAX(D57,0)),D57)</f>
        <v>2.484906649788</v>
      </c>
      <c r="J57" s="38" t="n">
        <f aca="false">IF(Clustering_Guide!$C$7=1,LN(1+MAX(E57,0)),E57)</f>
        <v>3.68887945411394</v>
      </c>
      <c r="K57" s="38" t="n">
        <f aca="false">(H57-AVERAGE(H$5:H$103))/STDEV(H$5:H$103)</f>
        <v>0.14149539835755</v>
      </c>
      <c r="L57" s="38" t="n">
        <f aca="false">(I57-AVERAGE(I$5:I$103))/STDEV(I$5:I$103)</f>
        <v>0.279765754265204</v>
      </c>
      <c r="M57" s="38" t="n">
        <f aca="false">(J57-AVERAGE(J$5:J$103))/STDEV(J$5:J$103)</f>
        <v>0.145893917200164</v>
      </c>
    </row>
    <row r="58" customFormat="false" ht="15" hidden="false" customHeight="false" outlineLevel="0" collapsed="false">
      <c r="A58" s="42" t="n">
        <f aca="false">Daily!A58</f>
        <v>43940</v>
      </c>
      <c r="B58" s="12" t="str">
        <f aca="false">TEXT(A58,"ddd")</f>
        <v>Sun</v>
      </c>
      <c r="C58" s="13" t="n">
        <f aca="false">Daily!C58</f>
        <v>583</v>
      </c>
      <c r="D58" s="13" t="n">
        <f aca="false">Daily!D58</f>
        <v>18</v>
      </c>
      <c r="E58" s="13" t="n">
        <f aca="false">Daily!E58</f>
        <v>84</v>
      </c>
      <c r="F58" s="13" t="n">
        <f aca="false">Daily!I58</f>
        <v>6527</v>
      </c>
      <c r="G58" s="26" t="n">
        <f aca="false">IF(C58=0,0,D58/C58*100)</f>
        <v>3.08747855917667</v>
      </c>
      <c r="H58" s="38" t="n">
        <f aca="false">IF(Clustering_Guide!$C$7=1,LN(1+MAX(C58,0)),C58)</f>
        <v>6.36990098282823</v>
      </c>
      <c r="I58" s="38" t="n">
        <f aca="false">IF(Clustering_Guide!$C$7=1,LN(1+MAX(D58,0)),D58)</f>
        <v>2.94443897916644</v>
      </c>
      <c r="J58" s="38" t="n">
        <f aca="false">IF(Clustering_Guide!$C$7=1,LN(1+MAX(E58,0)),E58)</f>
        <v>4.44265125649032</v>
      </c>
      <c r="K58" s="38" t="n">
        <f aca="false">(H58-AVERAGE(H$5:H$103))/STDEV(H$5:H$103)</f>
        <v>0.426585204421069</v>
      </c>
      <c r="L58" s="38" t="n">
        <f aca="false">(I58-AVERAGE(I$5:I$103))/STDEV(I$5:I$103)</f>
        <v>0.591790353976911</v>
      </c>
      <c r="M58" s="38" t="n">
        <f aca="false">(J58-AVERAGE(J$5:J$103))/STDEV(J$5:J$103)</f>
        <v>0.436803754788636</v>
      </c>
    </row>
    <row r="59" customFormat="false" ht="15" hidden="false" customHeight="false" outlineLevel="0" collapsed="false">
      <c r="A59" s="42" t="n">
        <f aca="false">Daily!A59</f>
        <v>43941</v>
      </c>
      <c r="B59" s="12" t="str">
        <f aca="false">TEXT(A59,"ddd")</f>
        <v>Mon</v>
      </c>
      <c r="C59" s="13" t="n">
        <f aca="false">Daily!C59</f>
        <v>707</v>
      </c>
      <c r="D59" s="13" t="n">
        <f aca="false">Daily!D59</f>
        <v>18</v>
      </c>
      <c r="E59" s="13" t="n">
        <f aca="false">Daily!E59</f>
        <v>62</v>
      </c>
      <c r="F59" s="13" t="n">
        <f aca="false">Daily!I59</f>
        <v>7154</v>
      </c>
      <c r="G59" s="26" t="n">
        <f aca="false">IF(C59=0,0,D59/C59*100)</f>
        <v>2.54596888260255</v>
      </c>
      <c r="H59" s="38" t="n">
        <f aca="false">IF(Clustering_Guide!$C$7=1,LN(1+MAX(C59,0)),C59)</f>
        <v>6.56244409369372</v>
      </c>
      <c r="I59" s="38" t="n">
        <f aca="false">IF(Clustering_Guide!$C$7=1,LN(1+MAX(D59,0)),D59)</f>
        <v>2.94443897916644</v>
      </c>
      <c r="J59" s="38" t="n">
        <f aca="false">IF(Clustering_Guide!$C$7=1,LN(1+MAX(E59,0)),E59)</f>
        <v>4.14313472639153</v>
      </c>
      <c r="K59" s="38" t="n">
        <f aca="false">(H59-AVERAGE(H$5:H$103))/STDEV(H$5:H$103)</f>
        <v>0.503474646786807</v>
      </c>
      <c r="L59" s="38" t="n">
        <f aca="false">(I59-AVERAGE(I$5:I$103))/STDEV(I$5:I$103)</f>
        <v>0.591790353976911</v>
      </c>
      <c r="M59" s="38" t="n">
        <f aca="false">(J59-AVERAGE(J$5:J$103))/STDEV(J$5:J$103)</f>
        <v>0.321208683639248</v>
      </c>
    </row>
    <row r="60" customFormat="false" ht="15" hidden="false" customHeight="false" outlineLevel="0" collapsed="false">
      <c r="A60" s="42" t="n">
        <f aca="false">Daily!A60</f>
        <v>43942</v>
      </c>
      <c r="B60" s="12" t="str">
        <f aca="false">TEXT(A60,"ddd")</f>
        <v>Tue</v>
      </c>
      <c r="C60" s="13" t="n">
        <f aca="false">Daily!C60</f>
        <v>677</v>
      </c>
      <c r="D60" s="13" t="n">
        <f aca="false">Daily!D60</f>
        <v>23</v>
      </c>
      <c r="E60" s="13" t="n">
        <f aca="false">Daily!E60</f>
        <v>103</v>
      </c>
      <c r="F60" s="13" t="n">
        <f aca="false">Daily!I60</f>
        <v>7705</v>
      </c>
      <c r="G60" s="26" t="n">
        <f aca="false">IF(C60=0,0,D60/C60*100)</f>
        <v>3.397341211226</v>
      </c>
      <c r="H60" s="38" t="n">
        <f aca="false">IF(Clustering_Guide!$C$7=1,LN(1+MAX(C60,0)),C60)</f>
        <v>6.5191472879404</v>
      </c>
      <c r="I60" s="38" t="n">
        <f aca="false">IF(Clustering_Guide!$C$7=1,LN(1+MAX(D60,0)),D60)</f>
        <v>3.17805383034795</v>
      </c>
      <c r="J60" s="38" t="n">
        <f aca="false">IF(Clustering_Guide!$C$7=1,LN(1+MAX(E60,0)),E60)</f>
        <v>4.64439089914137</v>
      </c>
      <c r="K60" s="38" t="n">
        <f aca="false">(H60-AVERAGE(H$5:H$103))/STDEV(H$5:H$103)</f>
        <v>0.48618466307549</v>
      </c>
      <c r="L60" s="38" t="n">
        <f aca="false">(I60-AVERAGE(I$5:I$103))/STDEV(I$5:I$103)</f>
        <v>0.750415929951543</v>
      </c>
      <c r="M60" s="38" t="n">
        <f aca="false">(J60-AVERAGE(J$5:J$103))/STDEV(J$5:J$103)</f>
        <v>0.514662924491924</v>
      </c>
    </row>
    <row r="61" customFormat="false" ht="15" hidden="false" customHeight="false" outlineLevel="0" collapsed="false">
      <c r="A61" s="42" t="n">
        <f aca="false">Daily!A61</f>
        <v>43943</v>
      </c>
      <c r="B61" s="12" t="str">
        <f aca="false">TEXT(A61,"ddd")</f>
        <v>Wed</v>
      </c>
      <c r="C61" s="13" t="n">
        <f aca="false">Daily!C61</f>
        <v>767</v>
      </c>
      <c r="D61" s="13" t="n">
        <f aca="false">Daily!D61</f>
        <v>13</v>
      </c>
      <c r="E61" s="13" t="n">
        <f aca="false">Daily!E61</f>
        <v>68</v>
      </c>
      <c r="F61" s="13" t="n">
        <f aca="false">Daily!I61</f>
        <v>8391</v>
      </c>
      <c r="G61" s="26" t="n">
        <f aca="false">IF(C61=0,0,D61/C61*100)</f>
        <v>1.69491525423729</v>
      </c>
      <c r="H61" s="38" t="n">
        <f aca="false">IF(Clustering_Guide!$C$7=1,LN(1+MAX(C61,0)),C61)</f>
        <v>6.64378973314767</v>
      </c>
      <c r="I61" s="38" t="n">
        <f aca="false">IF(Clustering_Guide!$C$7=1,LN(1+MAX(D61,0)),D61)</f>
        <v>2.63905732961526</v>
      </c>
      <c r="J61" s="38" t="n">
        <f aca="false">IF(Clustering_Guide!$C$7=1,LN(1+MAX(E61,0)),E61)</f>
        <v>4.23410650459726</v>
      </c>
      <c r="K61" s="38" t="n">
        <f aca="false">(H61-AVERAGE(H$5:H$103))/STDEV(H$5:H$103)</f>
        <v>0.535958908770443</v>
      </c>
      <c r="L61" s="38" t="n">
        <f aca="false">(I61-AVERAGE(I$5:I$103))/STDEV(I$5:I$103)</f>
        <v>0.384434786438513</v>
      </c>
      <c r="M61" s="38" t="n">
        <f aca="false">(J61-AVERAGE(J$5:J$103))/STDEV(J$5:J$103)</f>
        <v>0.356318228914793</v>
      </c>
    </row>
    <row r="62" customFormat="false" ht="15" hidden="false" customHeight="false" outlineLevel="0" collapsed="false">
      <c r="A62" s="42" t="n">
        <f aca="false">Daily!A62</f>
        <v>43944</v>
      </c>
      <c r="B62" s="12" t="str">
        <f aca="false">TEXT(A62,"ddd")</f>
        <v>Thu</v>
      </c>
      <c r="C62" s="13" t="n">
        <f aca="false">Daily!C62</f>
        <v>641</v>
      </c>
      <c r="D62" s="13" t="n">
        <f aca="false">Daily!D62</f>
        <v>8</v>
      </c>
      <c r="E62" s="13" t="n">
        <f aca="false">Daily!E62</f>
        <v>266</v>
      </c>
      <c r="F62" s="13" t="n">
        <f aca="false">Daily!I62</f>
        <v>8758</v>
      </c>
      <c r="G62" s="26" t="n">
        <f aca="false">IF(C62=0,0,D62/C62*100)</f>
        <v>1.24804992199688</v>
      </c>
      <c r="H62" s="38" t="n">
        <f aca="false">IF(Clustering_Guide!$C$7=1,LN(1+MAX(C62,0)),C62)</f>
        <v>6.46458830368996</v>
      </c>
      <c r="I62" s="38" t="n">
        <f aca="false">IF(Clustering_Guide!$C$7=1,LN(1+MAX(D62,0)),D62)</f>
        <v>2.19722457733622</v>
      </c>
      <c r="J62" s="38" t="n">
        <f aca="false">IF(Clustering_Guide!$C$7=1,LN(1+MAX(E62,0)),E62)</f>
        <v>5.58724865840025</v>
      </c>
      <c r="K62" s="38" t="n">
        <f aca="false">(H62-AVERAGE(H$5:H$103))/STDEV(H$5:H$103)</f>
        <v>0.464397283323495</v>
      </c>
      <c r="L62" s="38" t="n">
        <f aca="false">(I62-AVERAGE(I$5:I$103))/STDEV(I$5:I$103)</f>
        <v>0.0844282823131973</v>
      </c>
      <c r="M62" s="38" t="n">
        <f aca="false">(J62-AVERAGE(J$5:J$103))/STDEV(J$5:J$103)</f>
        <v>0.878548382597813</v>
      </c>
    </row>
    <row r="63" customFormat="false" ht="15" hidden="false" customHeight="false" outlineLevel="0" collapsed="false">
      <c r="A63" s="42" t="n">
        <f aca="false">Daily!A63</f>
        <v>43945</v>
      </c>
      <c r="B63" s="12" t="str">
        <f aca="false">TEXT(A63,"ddd")</f>
        <v>Fri</v>
      </c>
      <c r="C63" s="13" t="n">
        <f aca="false">Daily!C63</f>
        <v>534</v>
      </c>
      <c r="D63" s="13" t="n">
        <f aca="false">Daily!D63</f>
        <v>11</v>
      </c>
      <c r="E63" s="13" t="n">
        <f aca="false">Daily!E63</f>
        <v>134</v>
      </c>
      <c r="F63" s="13" t="n">
        <f aca="false">Daily!I63</f>
        <v>9147</v>
      </c>
      <c r="G63" s="26" t="n">
        <f aca="false">IF(C63=0,0,D63/C63*100)</f>
        <v>2.05992509363296</v>
      </c>
      <c r="H63" s="38" t="n">
        <f aca="false">IF(Clustering_Guide!$C$7=1,LN(1+MAX(C63,0)),C63)</f>
        <v>6.28226674689601</v>
      </c>
      <c r="I63" s="38" t="n">
        <f aca="false">IF(Clustering_Guide!$C$7=1,LN(1+MAX(D63,0)),D63)</f>
        <v>2.484906649788</v>
      </c>
      <c r="J63" s="38" t="n">
        <f aca="false">IF(Clustering_Guide!$C$7=1,LN(1+MAX(E63,0)),E63)</f>
        <v>4.90527477843843</v>
      </c>
      <c r="K63" s="38" t="n">
        <f aca="false">(H63-AVERAGE(H$5:H$103))/STDEV(H$5:H$103)</f>
        <v>0.391589677950723</v>
      </c>
      <c r="L63" s="38" t="n">
        <f aca="false">(I63-AVERAGE(I$5:I$103))/STDEV(I$5:I$103)</f>
        <v>0.279765754265204</v>
      </c>
      <c r="M63" s="38" t="n">
        <f aca="false">(J63-AVERAGE(J$5:J$103))/STDEV(J$5:J$103)</f>
        <v>0.615348154048788</v>
      </c>
    </row>
    <row r="64" customFormat="false" ht="15" hidden="false" customHeight="false" outlineLevel="0" collapsed="false">
      <c r="A64" s="42" t="n">
        <f aca="false">Daily!A64</f>
        <v>43946</v>
      </c>
      <c r="B64" s="12" t="str">
        <f aca="false">TEXT(A64,"ddd")</f>
        <v>Sat</v>
      </c>
      <c r="C64" s="13" t="n">
        <f aca="false">Daily!C64</f>
        <v>922</v>
      </c>
      <c r="D64" s="13" t="n">
        <f aca="false">Daily!D64</f>
        <v>14</v>
      </c>
      <c r="E64" s="13" t="n">
        <f aca="false">Daily!E64</f>
        <v>33</v>
      </c>
      <c r="F64" s="13" t="n">
        <f aca="false">Daily!I64</f>
        <v>10022</v>
      </c>
      <c r="G64" s="26" t="n">
        <f aca="false">IF(C64=0,0,D64/C64*100)</f>
        <v>1.51843817787419</v>
      </c>
      <c r="H64" s="38" t="n">
        <f aca="false">IF(Clustering_Guide!$C$7=1,LN(1+MAX(C64,0)),C64)</f>
        <v>6.82762923450285</v>
      </c>
      <c r="I64" s="38" t="n">
        <f aca="false">IF(Clustering_Guide!$C$7=1,LN(1+MAX(D64,0)),D64)</f>
        <v>2.70805020110221</v>
      </c>
      <c r="J64" s="38" t="n">
        <f aca="false">IF(Clustering_Guide!$C$7=1,LN(1+MAX(E64,0)),E64)</f>
        <v>3.52636052461616</v>
      </c>
      <c r="K64" s="38" t="n">
        <f aca="false">(H64-AVERAGE(H$5:H$103))/STDEV(H$5:H$103)</f>
        <v>0.60937268442025</v>
      </c>
      <c r="L64" s="38" t="n">
        <f aca="false">(I64-AVERAGE(I$5:I$103))/STDEV(I$5:I$103)</f>
        <v>0.43128126868231</v>
      </c>
      <c r="M64" s="38" t="n">
        <f aca="false">(J64-AVERAGE(J$5:J$103))/STDEV(J$5:J$103)</f>
        <v>0.0831715452088024</v>
      </c>
    </row>
    <row r="65" customFormat="false" ht="15" hidden="false" customHeight="false" outlineLevel="0" collapsed="false">
      <c r="A65" s="42" t="n">
        <f aca="false">Daily!A65</f>
        <v>43947</v>
      </c>
      <c r="B65" s="12" t="str">
        <f aca="false">TEXT(A65,"ddd")</f>
        <v>Sun</v>
      </c>
      <c r="C65" s="13" t="n">
        <f aca="false">Daily!C65</f>
        <v>660</v>
      </c>
      <c r="D65" s="13" t="n">
        <f aca="false">Daily!D65</f>
        <v>12</v>
      </c>
      <c r="E65" s="13" t="n">
        <f aca="false">Daily!E65</f>
        <v>62</v>
      </c>
      <c r="F65" s="13" t="n">
        <f aca="false">Daily!I65</f>
        <v>10608</v>
      </c>
      <c r="G65" s="26" t="n">
        <f aca="false">IF(C65=0,0,D65/C65*100)</f>
        <v>1.81818181818182</v>
      </c>
      <c r="H65" s="38" t="n">
        <f aca="false">IF(Clustering_Guide!$C$7=1,LN(1+MAX(C65,0)),C65)</f>
        <v>6.49375383985169</v>
      </c>
      <c r="I65" s="38" t="n">
        <f aca="false">IF(Clustering_Guide!$C$7=1,LN(1+MAX(D65,0)),D65)</f>
        <v>2.56494935746154</v>
      </c>
      <c r="J65" s="38" t="n">
        <f aca="false">IF(Clustering_Guide!$C$7=1,LN(1+MAX(E65,0)),E65)</f>
        <v>4.14313472639153</v>
      </c>
      <c r="K65" s="38" t="n">
        <f aca="false">(H65-AVERAGE(H$5:H$103))/STDEV(H$5:H$103)</f>
        <v>0.476044138937765</v>
      </c>
      <c r="L65" s="38" t="n">
        <f aca="false">(I65-AVERAGE(I$5:I$103))/STDEV(I$5:I$103)</f>
        <v>0.334115126931666</v>
      </c>
      <c r="M65" s="38" t="n">
        <f aca="false">(J65-AVERAGE(J$5:J$103))/STDEV(J$5:J$103)</f>
        <v>0.321208683639248</v>
      </c>
    </row>
    <row r="66" customFormat="false" ht="15" hidden="false" customHeight="false" outlineLevel="0" collapsed="false">
      <c r="A66" s="42" t="n">
        <f aca="false">Daily!A66</f>
        <v>43948</v>
      </c>
      <c r="B66" s="12" t="str">
        <f aca="false">TEXT(A66,"ddd")</f>
        <v>Mon</v>
      </c>
      <c r="C66" s="13" t="n">
        <f aca="false">Daily!C66</f>
        <v>739</v>
      </c>
      <c r="D66" s="13" t="n">
        <f aca="false">Daily!D66</f>
        <v>23</v>
      </c>
      <c r="E66" s="13" t="n">
        <f aca="false">Daily!E66</f>
        <v>63</v>
      </c>
      <c r="F66" s="13" t="n">
        <f aca="false">Daily!I66</f>
        <v>11261</v>
      </c>
      <c r="G66" s="26" t="n">
        <f aca="false">IF(C66=0,0,D66/C66*100)</f>
        <v>3.11231393775372</v>
      </c>
      <c r="H66" s="38" t="n">
        <f aca="false">IF(Clustering_Guide!$C$7=1,LN(1+MAX(C66,0)),C66)</f>
        <v>6.60665018619822</v>
      </c>
      <c r="I66" s="38" t="n">
        <f aca="false">IF(Clustering_Guide!$C$7=1,LN(1+MAX(D66,0)),D66)</f>
        <v>3.17805383034795</v>
      </c>
      <c r="J66" s="38" t="n">
        <f aca="false">IF(Clustering_Guide!$C$7=1,LN(1+MAX(E66,0)),E66)</f>
        <v>4.15888308335967</v>
      </c>
      <c r="K66" s="38" t="n">
        <f aca="false">(H66-AVERAGE(H$5:H$103))/STDEV(H$5:H$103)</f>
        <v>0.521127741652473</v>
      </c>
      <c r="L66" s="38" t="n">
        <f aca="false">(I66-AVERAGE(I$5:I$103))/STDEV(I$5:I$103)</f>
        <v>0.750415929951543</v>
      </c>
      <c r="M66" s="38" t="n">
        <f aca="false">(J66-AVERAGE(J$5:J$103))/STDEV(J$5:J$103)</f>
        <v>0.327286586730666</v>
      </c>
    </row>
    <row r="67" customFormat="false" ht="15" hidden="false" customHeight="false" outlineLevel="0" collapsed="false">
      <c r="A67" s="42" t="n">
        <f aca="false">Daily!A67</f>
        <v>43949</v>
      </c>
      <c r="B67" s="12" t="str">
        <f aca="false">TEXT(A67,"ddd")</f>
        <v>Tue</v>
      </c>
      <c r="C67" s="13" t="n">
        <f aca="false">Daily!C67</f>
        <v>730</v>
      </c>
      <c r="D67" s="13" t="n">
        <f aca="false">Daily!D67</f>
        <v>5</v>
      </c>
      <c r="E67" s="13" t="n">
        <f aca="false">Daily!E67</f>
        <v>0</v>
      </c>
      <c r="F67" s="13" t="n">
        <f aca="false">Daily!I67</f>
        <v>11986</v>
      </c>
      <c r="G67" s="26" t="n">
        <f aca="false">IF(C67=0,0,D67/C67*100)</f>
        <v>0.684931506849315</v>
      </c>
      <c r="H67" s="38" t="n">
        <f aca="false">IF(Clustering_Guide!$C$7=1,LN(1+MAX(C67,0)),C67)</f>
        <v>6.59441345974978</v>
      </c>
      <c r="I67" s="38" t="n">
        <f aca="false">IF(Clustering_Guide!$C$7=1,LN(1+MAX(D67,0)),D67)</f>
        <v>1.79175946922806</v>
      </c>
      <c r="J67" s="38" t="n">
        <f aca="false">IF(Clustering_Guide!$C$7=1,LN(1+MAX(E67,0)),E67)</f>
        <v>0</v>
      </c>
      <c r="K67" s="38" t="n">
        <f aca="false">(H67-AVERAGE(H$5:H$103))/STDEV(H$5:H$103)</f>
        <v>0.516241173295012</v>
      </c>
      <c r="L67" s="38" t="n">
        <f aca="false">(I67-AVERAGE(I$5:I$103))/STDEV(I$5:I$103)</f>
        <v>-0.190884421421135</v>
      </c>
      <c r="M67" s="38" t="n">
        <f aca="false">(J67-AVERAGE(J$5:J$103))/STDEV(J$5:J$103)</f>
        <v>-1.27778805060034</v>
      </c>
    </row>
    <row r="68" customFormat="false" ht="15" hidden="false" customHeight="false" outlineLevel="0" collapsed="false">
      <c r="A68" s="42" t="n">
        <f aca="false">Daily!A68</f>
        <v>43950</v>
      </c>
      <c r="B68" s="12" t="str">
        <f aca="false">TEXT(A68,"ddd")</f>
        <v>Wed</v>
      </c>
      <c r="C68" s="13" t="n">
        <f aca="false">Daily!C68</f>
        <v>948</v>
      </c>
      <c r="D68" s="13" t="n">
        <f aca="false">Daily!D68</f>
        <v>19</v>
      </c>
      <c r="E68" s="13" t="n">
        <f aca="false">Daily!E68</f>
        <v>208</v>
      </c>
      <c r="F68" s="13" t="n">
        <f aca="false">Daily!I68</f>
        <v>12707</v>
      </c>
      <c r="G68" s="26" t="n">
        <f aca="false">IF(C68=0,0,D68/C68*100)</f>
        <v>2.0042194092827</v>
      </c>
      <c r="H68" s="38" t="n">
        <f aca="false">IF(Clustering_Guide!$C$7=1,LN(1+MAX(C68,0)),C68)</f>
        <v>6.85540879860993</v>
      </c>
      <c r="I68" s="38" t="n">
        <f aca="false">IF(Clustering_Guide!$C$7=1,LN(1+MAX(D68,0)),D68)</f>
        <v>2.99573227355399</v>
      </c>
      <c r="J68" s="38" t="n">
        <f aca="false">IF(Clustering_Guide!$C$7=1,LN(1+MAX(E68,0)),E68)</f>
        <v>5.34233425196481</v>
      </c>
      <c r="K68" s="38" t="n">
        <f aca="false">(H68-AVERAGE(H$5:H$103))/STDEV(H$5:H$103)</f>
        <v>0.620466071162342</v>
      </c>
      <c r="L68" s="38" t="n">
        <f aca="false">(I68-AVERAGE(I$5:I$103))/STDEV(I$5:I$103)</f>
        <v>0.626618740634316</v>
      </c>
      <c r="M68" s="38" t="n">
        <f aca="false">(J68-AVERAGE(J$5:J$103))/STDEV(J$5:J$103)</f>
        <v>0.784026393350417</v>
      </c>
    </row>
    <row r="69" customFormat="false" ht="15" hidden="false" customHeight="false" outlineLevel="0" collapsed="false">
      <c r="A69" s="42" t="n">
        <f aca="false">Daily!A69</f>
        <v>43951</v>
      </c>
      <c r="B69" s="12" t="str">
        <f aca="false">TEXT(A69,"ddd")</f>
        <v>Thu</v>
      </c>
      <c r="C69" s="13" t="n">
        <f aca="false">Daily!C69</f>
        <v>665</v>
      </c>
      <c r="D69" s="13" t="n">
        <f aca="false">Daily!D69</f>
        <v>15</v>
      </c>
      <c r="E69" s="13" t="n">
        <f aca="false">Daily!E69</f>
        <v>0</v>
      </c>
      <c r="F69" s="13" t="n">
        <f aca="false">Daily!I69</f>
        <v>13357</v>
      </c>
      <c r="G69" s="26" t="n">
        <f aca="false">IF(C69=0,0,D69/C69*100)</f>
        <v>2.25563909774436</v>
      </c>
      <c r="H69" s="38" t="n">
        <f aca="false">IF(Clustering_Guide!$C$7=1,LN(1+MAX(C69,0)),C69)</f>
        <v>6.50128967054039</v>
      </c>
      <c r="I69" s="38" t="n">
        <f aca="false">IF(Clustering_Guide!$C$7=1,LN(1+MAX(D69,0)),D69)</f>
        <v>2.77258872223978</v>
      </c>
      <c r="J69" s="38" t="n">
        <f aca="false">IF(Clustering_Guide!$C$7=1,LN(1+MAX(E69,0)),E69)</f>
        <v>0</v>
      </c>
      <c r="K69" s="38" t="n">
        <f aca="false">(H69-AVERAGE(H$5:H$103))/STDEV(H$5:H$103)</f>
        <v>0.479053469247286</v>
      </c>
      <c r="L69" s="38" t="n">
        <f aca="false">(I69-AVERAGE(I$5:I$103))/STDEV(I$5:I$103)</f>
        <v>0.475103226217211</v>
      </c>
      <c r="M69" s="38" t="n">
        <f aca="false">(J69-AVERAGE(J$5:J$103))/STDEV(J$5:J$103)</f>
        <v>-1.27778805060034</v>
      </c>
    </row>
    <row r="70" customFormat="false" ht="15" hidden="false" customHeight="false" outlineLevel="0" collapsed="false">
      <c r="A70" s="42" t="n">
        <f aca="false">Daily!A70</f>
        <v>43952</v>
      </c>
      <c r="B70" s="12" t="str">
        <f aca="false">TEXT(A70,"ddd")</f>
        <v>Fri</v>
      </c>
      <c r="C70" s="13" t="n">
        <f aca="false">Daily!C70</f>
        <v>1070</v>
      </c>
      <c r="D70" s="13" t="n">
        <f aca="false">Daily!D70</f>
        <v>23</v>
      </c>
      <c r="E70" s="13" t="n">
        <f aca="false">Daily!E70</f>
        <v>119</v>
      </c>
      <c r="F70" s="13" t="n">
        <f aca="false">Daily!I70</f>
        <v>14285</v>
      </c>
      <c r="G70" s="26" t="n">
        <f aca="false">IF(C70=0,0,D70/C70*100)</f>
        <v>2.14953271028037</v>
      </c>
      <c r="H70" s="38" t="n">
        <f aca="false">IF(Clustering_Guide!$C$7=1,LN(1+MAX(C70,0)),C70)</f>
        <v>6.97634807044775</v>
      </c>
      <c r="I70" s="38" t="n">
        <f aca="false">IF(Clustering_Guide!$C$7=1,LN(1+MAX(D70,0)),D70)</f>
        <v>3.17805383034795</v>
      </c>
      <c r="J70" s="38" t="n">
        <f aca="false">IF(Clustering_Guide!$C$7=1,LN(1+MAX(E70,0)),E70)</f>
        <v>4.78749174278205</v>
      </c>
      <c r="K70" s="38" t="n">
        <f aca="false">(H70-AVERAGE(H$5:H$103))/STDEV(H$5:H$103)</f>
        <v>0.668761505519505</v>
      </c>
      <c r="L70" s="38" t="n">
        <f aca="false">(I70-AVERAGE(I$5:I$103))/STDEV(I$5:I$103)</f>
        <v>0.750415929951543</v>
      </c>
      <c r="M70" s="38" t="n">
        <f aca="false">(J70-AVERAGE(J$5:J$103))/STDEV(J$5:J$103)</f>
        <v>0.56989110237154</v>
      </c>
    </row>
    <row r="71" customFormat="false" ht="15" hidden="false" customHeight="false" outlineLevel="0" collapsed="false">
      <c r="A71" s="42" t="n">
        <f aca="false">Daily!A71</f>
        <v>43953</v>
      </c>
      <c r="B71" s="12" t="str">
        <f aca="false">TEXT(A71,"ddd")</f>
        <v>Sat</v>
      </c>
      <c r="C71" s="13" t="n">
        <f aca="false">Daily!C71</f>
        <v>1123</v>
      </c>
      <c r="D71" s="13" t="n">
        <f aca="false">Daily!D71</f>
        <v>24</v>
      </c>
      <c r="E71" s="13" t="n">
        <f aca="false">Daily!E71</f>
        <v>43</v>
      </c>
      <c r="F71" s="13" t="n">
        <f aca="false">Daily!I71</f>
        <v>15341</v>
      </c>
      <c r="G71" s="26" t="n">
        <f aca="false">IF(C71=0,0,D71/C71*100)</f>
        <v>2.13713268032057</v>
      </c>
      <c r="H71" s="38" t="n">
        <f aca="false">IF(Clustering_Guide!$C$7=1,LN(1+MAX(C71,0)),C71)</f>
        <v>7.02464903045364</v>
      </c>
      <c r="I71" s="38" t="n">
        <f aca="false">IF(Clustering_Guide!$C$7=1,LN(1+MAX(D71,0)),D71)</f>
        <v>3.2188758248682</v>
      </c>
      <c r="J71" s="38" t="n">
        <f aca="false">IF(Clustering_Guide!$C$7=1,LN(1+MAX(E71,0)),E71)</f>
        <v>3.78418963391826</v>
      </c>
      <c r="K71" s="38" t="n">
        <f aca="false">(H71-AVERAGE(H$5:H$103))/STDEV(H$5:H$103)</f>
        <v>0.688049829385722</v>
      </c>
      <c r="L71" s="38" t="n">
        <f aca="false">(I71-AVERAGE(I$5:I$103))/STDEV(I$5:I$103)</f>
        <v>0.778134255051422</v>
      </c>
      <c r="M71" s="38" t="n">
        <f aca="false">(J71-AVERAGE(J$5:J$103))/STDEV(J$5:J$103)</f>
        <v>0.182677820285941</v>
      </c>
    </row>
    <row r="72" customFormat="false" ht="15" hidden="false" customHeight="false" outlineLevel="0" collapsed="false">
      <c r="A72" s="42" t="n">
        <f aca="false">Daily!A72</f>
        <v>43954</v>
      </c>
      <c r="B72" s="12" t="str">
        <f aca="false">TEXT(A72,"ddd")</f>
        <v>Sun</v>
      </c>
      <c r="C72" s="13" t="n">
        <f aca="false">Daily!C72</f>
        <v>1342</v>
      </c>
      <c r="D72" s="13" t="n">
        <f aca="false">Daily!D72</f>
        <v>30</v>
      </c>
      <c r="E72" s="13" t="n">
        <f aca="false">Daily!E72</f>
        <v>0</v>
      </c>
      <c r="F72" s="13" t="n">
        <f aca="false">Daily!I72</f>
        <v>16653</v>
      </c>
      <c r="G72" s="26" t="n">
        <f aca="false">IF(C72=0,0,D72/C72*100)</f>
        <v>2.2354694485842</v>
      </c>
      <c r="H72" s="38" t="n">
        <f aca="false">IF(Clustering_Guide!$C$7=1,LN(1+MAX(C72,0)),C72)</f>
        <v>7.20266119652324</v>
      </c>
      <c r="I72" s="38" t="n">
        <f aca="false">IF(Clustering_Guide!$C$7=1,LN(1+MAX(D72,0)),D72)</f>
        <v>3.43398720448515</v>
      </c>
      <c r="J72" s="38" t="n">
        <f aca="false">IF(Clustering_Guide!$C$7=1,LN(1+MAX(E72,0)),E72)</f>
        <v>0</v>
      </c>
      <c r="K72" s="38" t="n">
        <f aca="false">(H72-AVERAGE(H$5:H$103))/STDEV(H$5:H$103)</f>
        <v>0.759136538860208</v>
      </c>
      <c r="L72" s="38" t="n">
        <f aca="false">(I72-AVERAGE(I$5:I$103))/STDEV(I$5:I$103)</f>
        <v>0.92419588734005</v>
      </c>
      <c r="M72" s="38" t="n">
        <f aca="false">(J72-AVERAGE(J$5:J$103))/STDEV(J$5:J$103)</f>
        <v>-1.27778805060034</v>
      </c>
    </row>
    <row r="73" customFormat="false" ht="15" hidden="false" customHeight="false" outlineLevel="0" collapsed="false">
      <c r="A73" s="42" t="n">
        <f aca="false">Daily!A73</f>
        <v>43955</v>
      </c>
      <c r="B73" s="12" t="str">
        <f aca="false">TEXT(A73,"ddd")</f>
        <v>Mon</v>
      </c>
      <c r="C73" s="13" t="n">
        <f aca="false">Daily!C73</f>
        <v>1052</v>
      </c>
      <c r="D73" s="13" t="n">
        <f aca="false">Daily!D73</f>
        <v>24</v>
      </c>
      <c r="E73" s="13" t="n">
        <f aca="false">Daily!E73</f>
        <v>0</v>
      </c>
      <c r="F73" s="13" t="n">
        <f aca="false">Daily!I73</f>
        <v>17681</v>
      </c>
      <c r="G73" s="26" t="n">
        <f aca="false">IF(C73=0,0,D73/C73*100)</f>
        <v>2.28136882129278</v>
      </c>
      <c r="H73" s="38" t="n">
        <f aca="false">IF(Clustering_Guide!$C$7=1,LN(1+MAX(C73,0)),C73)</f>
        <v>6.95939851213398</v>
      </c>
      <c r="I73" s="38" t="n">
        <f aca="false">IF(Clustering_Guide!$C$7=1,LN(1+MAX(D73,0)),D73)</f>
        <v>3.2188758248682</v>
      </c>
      <c r="J73" s="38" t="n">
        <f aca="false">IF(Clustering_Guide!$C$7=1,LN(1+MAX(E73,0)),E73)</f>
        <v>0</v>
      </c>
      <c r="K73" s="38" t="n">
        <f aca="false">(H73-AVERAGE(H$5:H$103))/STDEV(H$5:H$103)</f>
        <v>0.661992932594546</v>
      </c>
      <c r="L73" s="38" t="n">
        <f aca="false">(I73-AVERAGE(I$5:I$103))/STDEV(I$5:I$103)</f>
        <v>0.778134255051422</v>
      </c>
      <c r="M73" s="38" t="n">
        <f aca="false">(J73-AVERAGE(J$5:J$103))/STDEV(J$5:J$103)</f>
        <v>-1.27778805060034</v>
      </c>
    </row>
    <row r="74" customFormat="false" ht="15" hidden="false" customHeight="false" outlineLevel="0" collapsed="false">
      <c r="A74" s="42" t="n">
        <f aca="false">Daily!A74</f>
        <v>43956</v>
      </c>
      <c r="B74" s="12" t="str">
        <f aca="false">TEXT(A74,"ddd")</f>
        <v>Tue</v>
      </c>
      <c r="C74" s="13" t="n">
        <f aca="false">Daily!C74</f>
        <v>1023</v>
      </c>
      <c r="D74" s="13" t="n">
        <f aca="false">Daily!D74</f>
        <v>28</v>
      </c>
      <c r="E74" s="13" t="n">
        <f aca="false">Daily!E74</f>
        <v>45</v>
      </c>
      <c r="F74" s="13" t="n">
        <f aca="false">Daily!I74</f>
        <v>18631</v>
      </c>
      <c r="G74" s="26" t="n">
        <f aca="false">IF(C74=0,0,D74/C74*100)</f>
        <v>2.73704789833822</v>
      </c>
      <c r="H74" s="38" t="n">
        <f aca="false">IF(Clustering_Guide!$C$7=1,LN(1+MAX(C74,0)),C74)</f>
        <v>6.93147180559945</v>
      </c>
      <c r="I74" s="38" t="n">
        <f aca="false">IF(Clustering_Guide!$C$7=1,LN(1+MAX(D74,0)),D74)</f>
        <v>3.36729582998647</v>
      </c>
      <c r="J74" s="38" t="n">
        <f aca="false">IF(Clustering_Guide!$C$7=1,LN(1+MAX(E74,0)),E74)</f>
        <v>3.8286413964891</v>
      </c>
      <c r="K74" s="38" t="n">
        <f aca="false">(H74-AVERAGE(H$5:H$103))/STDEV(H$5:H$103)</f>
        <v>0.650840786548401</v>
      </c>
      <c r="L74" s="38" t="n">
        <f aca="false">(I74-AVERAGE(I$5:I$103))/STDEV(I$5:I$103)</f>
        <v>0.878912132309543</v>
      </c>
      <c r="M74" s="38" t="n">
        <f aca="false">(J74-AVERAGE(J$5:J$103))/STDEV(J$5:J$103)</f>
        <v>0.199833483298585</v>
      </c>
    </row>
    <row r="75" customFormat="false" ht="15" hidden="false" customHeight="false" outlineLevel="0" collapsed="false">
      <c r="A75" s="42" t="n">
        <f aca="false">Daily!A75</f>
        <v>43957</v>
      </c>
      <c r="B75" s="12" t="str">
        <f aca="false">TEXT(A75,"ddd")</f>
        <v>Wed</v>
      </c>
      <c r="C75" s="13" t="n">
        <f aca="false">Daily!C75</f>
        <v>1804</v>
      </c>
      <c r="D75" s="13" t="n">
        <f aca="false">Daily!D75</f>
        <v>49</v>
      </c>
      <c r="E75" s="13" t="n">
        <f aca="false">Daily!E75</f>
        <v>124</v>
      </c>
      <c r="F75" s="13" t="n">
        <f aca="false">Daily!I75</f>
        <v>20262</v>
      </c>
      <c r="G75" s="26" t="n">
        <f aca="false">IF(C75=0,0,D75/C75*100)</f>
        <v>2.71618625277162</v>
      </c>
      <c r="H75" s="38" t="n">
        <f aca="false">IF(Clustering_Guide!$C$7=1,LN(1+MAX(C75,0)),C75)</f>
        <v>7.49831587076698</v>
      </c>
      <c r="I75" s="38" t="n">
        <f aca="false">IF(Clustering_Guide!$C$7=1,LN(1+MAX(D75,0)),D75)</f>
        <v>3.91202300542815</v>
      </c>
      <c r="J75" s="38" t="n">
        <f aca="false">IF(Clustering_Guide!$C$7=1,LN(1+MAX(E75,0)),E75)</f>
        <v>4.8283137373023</v>
      </c>
      <c r="K75" s="38" t="n">
        <f aca="false">(H75-AVERAGE(H$5:H$103))/STDEV(H$5:H$103)</f>
        <v>0.87720216547879</v>
      </c>
      <c r="L75" s="38" t="n">
        <f aca="false">(I75-AVERAGE(I$5:I$103))/STDEV(I$5:I$103)</f>
        <v>1.24878443073776</v>
      </c>
      <c r="M75" s="38" t="n">
        <f aca="false">(J75-AVERAGE(J$5:J$103))/STDEV(J$5:J$103)</f>
        <v>0.585645896804664</v>
      </c>
    </row>
    <row r="76" customFormat="false" ht="15" hidden="false" customHeight="false" outlineLevel="0" collapsed="false">
      <c r="A76" s="42" t="n">
        <f aca="false">Daily!A76</f>
        <v>43958</v>
      </c>
      <c r="B76" s="12" t="str">
        <f aca="false">TEXT(A76,"ddd")</f>
        <v>Thu</v>
      </c>
      <c r="C76" s="13" t="n">
        <f aca="false">Daily!C76</f>
        <v>863</v>
      </c>
      <c r="D76" s="13" t="n">
        <f aca="false">Daily!D76</f>
        <v>28</v>
      </c>
      <c r="E76" s="13" t="n">
        <f aca="false">Daily!E76</f>
        <v>14</v>
      </c>
      <c r="F76" s="13" t="n">
        <f aca="false">Daily!I76</f>
        <v>21083</v>
      </c>
      <c r="G76" s="26" t="n">
        <f aca="false">IF(C76=0,0,D76/C76*100)</f>
        <v>3.24449594438007</v>
      </c>
      <c r="H76" s="38" t="n">
        <f aca="false">IF(Clustering_Guide!$C$7=1,LN(1+MAX(C76,0)),C76)</f>
        <v>6.76157276880406</v>
      </c>
      <c r="I76" s="38" t="n">
        <f aca="false">IF(Clustering_Guide!$C$7=1,LN(1+MAX(D76,0)),D76)</f>
        <v>3.36729582998647</v>
      </c>
      <c r="J76" s="38" t="n">
        <f aca="false">IF(Clustering_Guide!$C$7=1,LN(1+MAX(E76,0)),E76)</f>
        <v>2.70805020110221</v>
      </c>
      <c r="K76" s="38" t="n">
        <f aca="false">(H76-AVERAGE(H$5:H$103))/STDEV(H$5:H$103)</f>
        <v>0.582993943631232</v>
      </c>
      <c r="L76" s="38" t="n">
        <f aca="false">(I76-AVERAGE(I$5:I$103))/STDEV(I$5:I$103)</f>
        <v>0.878912132309543</v>
      </c>
      <c r="M76" s="38" t="n">
        <f aca="false">(J76-AVERAGE(J$5:J$103))/STDEV(J$5:J$103)</f>
        <v>-0.232646216293964</v>
      </c>
    </row>
    <row r="77" customFormat="false" ht="15" hidden="false" customHeight="false" outlineLevel="0" collapsed="false">
      <c r="A77" s="42" t="n">
        <f aca="false">Daily!A77</f>
        <v>43959</v>
      </c>
      <c r="B77" s="12" t="str">
        <f aca="false">TEXT(A77,"ddd")</f>
        <v>Fri</v>
      </c>
      <c r="C77" s="13" t="n">
        <f aca="false">Daily!C77</f>
        <v>1829</v>
      </c>
      <c r="D77" s="13" t="n">
        <f aca="false">Daily!D77</f>
        <v>31</v>
      </c>
      <c r="E77" s="13" t="n">
        <f aca="false">Daily!E77</f>
        <v>13</v>
      </c>
      <c r="F77" s="13" t="n">
        <f aca="false">Daily!I77</f>
        <v>22868</v>
      </c>
      <c r="G77" s="26" t="n">
        <f aca="false">IF(C77=0,0,D77/C77*100)</f>
        <v>1.69491525423729</v>
      </c>
      <c r="H77" s="38" t="n">
        <f aca="false">IF(Clustering_Guide!$C$7=1,LN(1+MAX(C77,0)),C77)</f>
        <v>7.51207124583547</v>
      </c>
      <c r="I77" s="38" t="n">
        <f aca="false">IF(Clustering_Guide!$C$7=1,LN(1+MAX(D77,0)),D77)</f>
        <v>3.46573590279973</v>
      </c>
      <c r="J77" s="38" t="n">
        <f aca="false">IF(Clustering_Guide!$C$7=1,LN(1+MAX(E77,0)),E77)</f>
        <v>2.63905732961526</v>
      </c>
      <c r="K77" s="38" t="n">
        <f aca="false">(H77-AVERAGE(H$5:H$103))/STDEV(H$5:H$103)</f>
        <v>0.882695185269491</v>
      </c>
      <c r="L77" s="38" t="n">
        <f aca="false">(I77-AVERAGE(I$5:I$103))/STDEV(I$5:I$103)</f>
        <v>0.94575340190355</v>
      </c>
      <c r="M77" s="38" t="n">
        <f aca="false">(J77-AVERAGE(J$5:J$103))/STDEV(J$5:J$103)</f>
        <v>-0.259273247148336</v>
      </c>
    </row>
    <row r="78" customFormat="false" ht="15" hidden="false" customHeight="false" outlineLevel="0" collapsed="false">
      <c r="A78" s="42" t="n">
        <f aca="false">Daily!A78</f>
        <v>43960</v>
      </c>
      <c r="B78" s="12" t="str">
        <f aca="false">TEXT(A78,"ddd")</f>
        <v>Sat</v>
      </c>
      <c r="C78" s="13" t="n">
        <f aca="false">Daily!C78</f>
        <v>2554</v>
      </c>
      <c r="D78" s="13" t="n">
        <f aca="false">Daily!D78</f>
        <v>19</v>
      </c>
      <c r="E78" s="13" t="n">
        <f aca="false">Daily!E78</f>
        <v>18</v>
      </c>
      <c r="F78" s="13" t="n">
        <f aca="false">Daily!I78</f>
        <v>25385</v>
      </c>
      <c r="G78" s="26" t="n">
        <f aca="false">IF(C78=0,0,D78/C78*100)</f>
        <v>0.743931088488645</v>
      </c>
      <c r="H78" s="38" t="n">
        <f aca="false">IF(Clustering_Guide!$C$7=1,LN(1+MAX(C78,0)),C78)</f>
        <v>7.84580750263781</v>
      </c>
      <c r="I78" s="38" t="n">
        <f aca="false">IF(Clustering_Guide!$C$7=1,LN(1+MAX(D78,0)),D78)</f>
        <v>2.99573227355399</v>
      </c>
      <c r="J78" s="38" t="n">
        <f aca="false">IF(Clustering_Guide!$C$7=1,LN(1+MAX(E78,0)),E78)</f>
        <v>2.94443897916644</v>
      </c>
      <c r="K78" s="38" t="n">
        <f aca="false">(H78-AVERAGE(H$5:H$103))/STDEV(H$5:H$103)</f>
        <v>1.01596816796627</v>
      </c>
      <c r="L78" s="38" t="n">
        <f aca="false">(I78-AVERAGE(I$5:I$103))/STDEV(I$5:I$103)</f>
        <v>0.626618740634316</v>
      </c>
      <c r="M78" s="38" t="n">
        <f aca="false">(J78-AVERAGE(J$5:J$103))/STDEV(J$5:J$103)</f>
        <v>-0.14141459842553</v>
      </c>
    </row>
    <row r="79" customFormat="false" ht="15" hidden="false" customHeight="false" outlineLevel="0" collapsed="false">
      <c r="A79" s="42" t="n">
        <f aca="false">Daily!A79</f>
        <v>43961</v>
      </c>
      <c r="B79" s="12" t="str">
        <f aca="false">TEXT(A79,"ddd")</f>
        <v>Sun</v>
      </c>
      <c r="C79" s="13" t="n">
        <f aca="false">Daily!C79</f>
        <v>1463</v>
      </c>
      <c r="D79" s="13" t="n">
        <f aca="false">Daily!D79</f>
        <v>23</v>
      </c>
      <c r="E79" s="13" t="n">
        <f aca="false">Daily!E79</f>
        <v>138</v>
      </c>
      <c r="F79" s="13" t="n">
        <f aca="false">Daily!I79</f>
        <v>26687</v>
      </c>
      <c r="G79" s="26" t="n">
        <f aca="false">IF(C79=0,0,D79/C79*100)</f>
        <v>1.57211209842789</v>
      </c>
      <c r="H79" s="38" t="n">
        <f aca="false">IF(Clustering_Guide!$C$7=1,LN(1+MAX(C79,0)),C79)</f>
        <v>7.28892769452126</v>
      </c>
      <c r="I79" s="38" t="n">
        <f aca="false">IF(Clustering_Guide!$C$7=1,LN(1+MAX(D79,0)),D79)</f>
        <v>3.17805383034795</v>
      </c>
      <c r="J79" s="38" t="n">
        <f aca="false">IF(Clustering_Guide!$C$7=1,LN(1+MAX(E79,0)),E79)</f>
        <v>4.93447393313069</v>
      </c>
      <c r="K79" s="38" t="n">
        <f aca="false">(H79-AVERAGE(H$5:H$103))/STDEV(H$5:H$103)</f>
        <v>0.793585878003515</v>
      </c>
      <c r="L79" s="38" t="n">
        <f aca="false">(I79-AVERAGE(I$5:I$103))/STDEV(I$5:I$103)</f>
        <v>0.750415929951543</v>
      </c>
      <c r="M79" s="38" t="n">
        <f aca="false">(J79-AVERAGE(J$5:J$103))/STDEV(J$5:J$103)</f>
        <v>0.626617242813408</v>
      </c>
    </row>
    <row r="80" customFormat="false" ht="15" hidden="false" customHeight="false" outlineLevel="0" collapsed="false">
      <c r="A80" s="42" t="n">
        <f aca="false">Daily!A80</f>
        <v>43962</v>
      </c>
      <c r="B80" s="12" t="str">
        <f aca="false">TEXT(A80,"ddd")</f>
        <v>Mon</v>
      </c>
      <c r="C80" s="13" t="n">
        <f aca="false">Daily!C80</f>
        <v>1079</v>
      </c>
      <c r="D80" s="13" t="n">
        <f aca="false">Daily!D80</f>
        <v>38</v>
      </c>
      <c r="E80" s="13" t="n">
        <f aca="false">Daily!E80</f>
        <v>167</v>
      </c>
      <c r="F80" s="13" t="n">
        <f aca="false">Daily!I80</f>
        <v>27561</v>
      </c>
      <c r="G80" s="26" t="n">
        <f aca="false">IF(C80=0,0,D80/C80*100)</f>
        <v>3.52177942539388</v>
      </c>
      <c r="H80" s="38" t="n">
        <f aca="false">IF(Clustering_Guide!$C$7=1,LN(1+MAX(C80,0)),C80)</f>
        <v>6.98471632011827</v>
      </c>
      <c r="I80" s="38" t="n">
        <f aca="false">IF(Clustering_Guide!$C$7=1,LN(1+MAX(D80,0)),D80)</f>
        <v>3.66356164612965</v>
      </c>
      <c r="J80" s="38" t="n">
        <f aca="false">IF(Clustering_Guide!$C$7=1,LN(1+MAX(E80,0)),E80)</f>
        <v>5.12396397940326</v>
      </c>
      <c r="K80" s="38" t="n">
        <f aca="false">(H80-AVERAGE(H$5:H$103))/STDEV(H$5:H$103)</f>
        <v>0.672103250897209</v>
      </c>
      <c r="L80" s="38" t="n">
        <f aca="false">(I80-AVERAGE(I$5:I$103))/STDEV(I$5:I$103)</f>
        <v>1.08007800635234</v>
      </c>
      <c r="M80" s="38" t="n">
        <f aca="false">(J80-AVERAGE(J$5:J$103))/STDEV(J$5:J$103)</f>
        <v>0.699748817133376</v>
      </c>
    </row>
    <row r="81" customFormat="false" ht="15" hidden="false" customHeight="false" outlineLevel="0" collapsed="false">
      <c r="A81" s="42" t="n">
        <f aca="false">Daily!A81</f>
        <v>43963</v>
      </c>
      <c r="B81" s="12" t="str">
        <f aca="false">TEXT(A81,"ddd")</f>
        <v>Tue</v>
      </c>
      <c r="C81" s="13" t="n">
        <f aca="false">Daily!C81</f>
        <v>2254</v>
      </c>
      <c r="D81" s="13" t="n">
        <f aca="false">Daily!D81</f>
        <v>39</v>
      </c>
      <c r="E81" s="13" t="n">
        <f aca="false">Daily!E81</f>
        <v>247</v>
      </c>
      <c r="F81" s="13" t="n">
        <f aca="false">Daily!I81</f>
        <v>29529</v>
      </c>
      <c r="G81" s="26" t="n">
        <f aca="false">IF(C81=0,0,D81/C81*100)</f>
        <v>1.73025732031943</v>
      </c>
      <c r="H81" s="38" t="n">
        <f aca="false">IF(Clustering_Guide!$C$7=1,LN(1+MAX(C81,0)),C81)</f>
        <v>7.72090525193678</v>
      </c>
      <c r="I81" s="38" t="n">
        <f aca="false">IF(Clustering_Guide!$C$7=1,LN(1+MAX(D81,0)),D81)</f>
        <v>3.68887945411394</v>
      </c>
      <c r="J81" s="38" t="n">
        <f aca="false">IF(Clustering_Guide!$C$7=1,LN(1+MAX(E81,0)),E81)</f>
        <v>5.51342874616498</v>
      </c>
      <c r="K81" s="38" t="n">
        <f aca="false">(H81-AVERAGE(H$5:H$103))/STDEV(H$5:H$103)</f>
        <v>0.966090172521725</v>
      </c>
      <c r="L81" s="38" t="n">
        <f aca="false">(I81-AVERAGE(I$5:I$103))/STDEV(I$5:I$103)</f>
        <v>1.09726891632066</v>
      </c>
      <c r="M81" s="38" t="n">
        <f aca="false">(J81-AVERAGE(J$5:J$103))/STDEV(J$5:J$103)</f>
        <v>0.850058409091967</v>
      </c>
    </row>
    <row r="82" customFormat="false" ht="15" hidden="false" customHeight="false" outlineLevel="0" collapsed="false">
      <c r="A82" s="42" t="n">
        <f aca="false">Daily!A82</f>
        <v>43964</v>
      </c>
      <c r="B82" s="12" t="str">
        <f aca="false">TEXT(A82,"ddd")</f>
        <v>Wed</v>
      </c>
      <c r="C82" s="13" t="n">
        <f aca="false">Daily!C82</f>
        <v>1431</v>
      </c>
      <c r="D82" s="13" t="n">
        <f aca="false">Daily!D82</f>
        <v>36</v>
      </c>
      <c r="E82" s="13" t="n">
        <f aca="false">Daily!E82</f>
        <v>756</v>
      </c>
      <c r="F82" s="13" t="n">
        <f aca="false">Daily!I82</f>
        <v>30168</v>
      </c>
      <c r="G82" s="26" t="n">
        <f aca="false">IF(C82=0,0,D82/C82*100)</f>
        <v>2.51572327044025</v>
      </c>
      <c r="H82" s="38" t="n">
        <f aca="false">IF(Clustering_Guide!$C$7=1,LN(1+MAX(C82,0)),C82)</f>
        <v>7.26682734752059</v>
      </c>
      <c r="I82" s="38" t="n">
        <f aca="false">IF(Clustering_Guide!$C$7=1,LN(1+MAX(D82,0)),D82)</f>
        <v>3.61091791264422</v>
      </c>
      <c r="J82" s="38" t="n">
        <f aca="false">IF(Clustering_Guide!$C$7=1,LN(1+MAX(E82,0)),E82)</f>
        <v>6.62936325343745</v>
      </c>
      <c r="K82" s="38" t="n">
        <f aca="false">(H82-AVERAGE(H$5:H$103))/STDEV(H$5:H$103)</f>
        <v>0.784760408479666</v>
      </c>
      <c r="L82" s="38" t="n">
        <f aca="false">(I82-AVERAGE(I$5:I$103))/STDEV(I$5:I$103)</f>
        <v>1.04433266523491</v>
      </c>
      <c r="M82" s="38" t="n">
        <f aca="false">(J82-AVERAGE(J$5:J$103))/STDEV(J$5:J$103)</f>
        <v>1.28074091173606</v>
      </c>
    </row>
    <row r="83" customFormat="false" ht="15" hidden="false" customHeight="false" outlineLevel="0" collapsed="false">
      <c r="A83" s="42" t="n">
        <f aca="false">Daily!A83</f>
        <v>43965</v>
      </c>
      <c r="B83" s="12" t="str">
        <f aca="false">TEXT(A83,"ddd")</f>
        <v>Thu</v>
      </c>
      <c r="C83" s="13" t="n">
        <f aca="false">Daily!C83</f>
        <v>1449</v>
      </c>
      <c r="D83" s="13" t="n">
        <f aca="false">Daily!D83</f>
        <v>33</v>
      </c>
      <c r="E83" s="13" t="n">
        <f aca="false">Daily!E83</f>
        <v>374</v>
      </c>
      <c r="F83" s="13" t="n">
        <f aca="false">Daily!I83</f>
        <v>31210</v>
      </c>
      <c r="G83" s="26" t="n">
        <f aca="false">IF(C83=0,0,D83/C83*100)</f>
        <v>2.27743271221532</v>
      </c>
      <c r="H83" s="38" t="n">
        <f aca="false">IF(Clustering_Guide!$C$7=1,LN(1+MAX(C83,0)),C83)</f>
        <v>7.27931883541462</v>
      </c>
      <c r="I83" s="38" t="n">
        <f aca="false">IF(Clustering_Guide!$C$7=1,LN(1+MAX(D83,0)),D83)</f>
        <v>3.52636052461616</v>
      </c>
      <c r="J83" s="38" t="n">
        <f aca="false">IF(Clustering_Guide!$C$7=1,LN(1+MAX(E83,0)),E83)</f>
        <v>5.92692602597041</v>
      </c>
      <c r="K83" s="38" t="n">
        <f aca="false">(H83-AVERAGE(H$5:H$103))/STDEV(H$5:H$103)</f>
        <v>0.789748712315482</v>
      </c>
      <c r="L83" s="38" t="n">
        <f aca="false">(I83-AVERAGE(I$5:I$103))/STDEV(I$5:I$103)</f>
        <v>0.986917803504049</v>
      </c>
      <c r="M83" s="38" t="n">
        <f aca="false">(J83-AVERAGE(J$5:J$103))/STDEV(J$5:J$103)</f>
        <v>1.00964308197604</v>
      </c>
    </row>
    <row r="84" customFormat="false" ht="15" hidden="false" customHeight="false" outlineLevel="0" collapsed="false">
      <c r="A84" s="42" t="n">
        <f aca="false">Daily!A84</f>
        <v>43966</v>
      </c>
      <c r="B84" s="12" t="str">
        <f aca="false">TEXT(A84,"ddd")</f>
        <v>Fri</v>
      </c>
      <c r="C84" s="13" t="n">
        <f aca="false">Daily!C84</f>
        <v>1515</v>
      </c>
      <c r="D84" s="13" t="n">
        <f aca="false">Daily!D84</f>
        <v>31</v>
      </c>
      <c r="E84" s="13" t="n">
        <f aca="false">Daily!E84</f>
        <v>665</v>
      </c>
      <c r="F84" s="13" t="n">
        <f aca="false">Daily!I84</f>
        <v>32029</v>
      </c>
      <c r="G84" s="26" t="n">
        <f aca="false">IF(C84=0,0,D84/C84*100)</f>
        <v>2.04620462046205</v>
      </c>
      <c r="H84" s="38" t="n">
        <f aca="false">IF(Clustering_Guide!$C$7=1,LN(1+MAX(C84,0)),C84)</f>
        <v>7.32383056620232</v>
      </c>
      <c r="I84" s="38" t="n">
        <f aca="false">IF(Clustering_Guide!$C$7=1,LN(1+MAX(D84,0)),D84)</f>
        <v>3.46573590279973</v>
      </c>
      <c r="J84" s="38" t="n">
        <f aca="false">IF(Clustering_Guide!$C$7=1,LN(1+MAX(E84,0)),E84)</f>
        <v>6.50128967054039</v>
      </c>
      <c r="K84" s="38" t="n">
        <f aca="false">(H84-AVERAGE(H$5:H$103))/STDEV(H$5:H$103)</f>
        <v>0.807523859624651</v>
      </c>
      <c r="L84" s="38" t="n">
        <f aca="false">(I84-AVERAGE(I$5:I$103))/STDEV(I$5:I$103)</f>
        <v>0.94575340190355</v>
      </c>
      <c r="M84" s="38" t="n">
        <f aca="false">(J84-AVERAGE(J$5:J$103))/STDEV(J$5:J$103)</f>
        <v>1.23131233788586</v>
      </c>
    </row>
    <row r="85" customFormat="false" ht="15" hidden="false" customHeight="false" outlineLevel="0" collapsed="false">
      <c r="A85" s="42" t="n">
        <f aca="false">Daily!A85</f>
        <v>43967</v>
      </c>
      <c r="B85" s="12" t="str">
        <f aca="false">TEXT(A85,"ddd")</f>
        <v>Sat</v>
      </c>
      <c r="C85" s="13" t="n">
        <f aca="false">Daily!C85</f>
        <v>1372</v>
      </c>
      <c r="D85" s="13" t="n">
        <f aca="false">Daily!D85</f>
        <v>39</v>
      </c>
      <c r="E85" s="13" t="n">
        <f aca="false">Daily!E85</f>
        <v>284</v>
      </c>
      <c r="F85" s="13" t="n">
        <f aca="false">Daily!I85</f>
        <v>33078</v>
      </c>
      <c r="G85" s="26" t="n">
        <f aca="false">IF(C85=0,0,D85/C85*100)</f>
        <v>2.84256559766764</v>
      </c>
      <c r="H85" s="38" t="n">
        <f aca="false">IF(Clustering_Guide!$C$7=1,LN(1+MAX(C85,0)),C85)</f>
        <v>7.22475340576797</v>
      </c>
      <c r="I85" s="38" t="n">
        <f aca="false">IF(Clustering_Guide!$C$7=1,LN(1+MAX(D85,0)),D85)</f>
        <v>3.68887945411394</v>
      </c>
      <c r="J85" s="38" t="n">
        <f aca="false">IF(Clustering_Guide!$C$7=1,LN(1+MAX(E85,0)),E85)</f>
        <v>5.65248918026865</v>
      </c>
      <c r="K85" s="38" t="n">
        <f aca="false">(H85-AVERAGE(H$5:H$103))/STDEV(H$5:H$103)</f>
        <v>0.767958758683182</v>
      </c>
      <c r="L85" s="38" t="n">
        <f aca="false">(I85-AVERAGE(I$5:I$103))/STDEV(I$5:I$103)</f>
        <v>1.09726891632066</v>
      </c>
      <c r="M85" s="38" t="n">
        <f aca="false">(J85-AVERAGE(J$5:J$103))/STDEV(J$5:J$103)</f>
        <v>0.903727235880848</v>
      </c>
    </row>
    <row r="86" customFormat="false" ht="15" hidden="false" customHeight="false" outlineLevel="0" collapsed="false">
      <c r="A86" s="42" t="n">
        <f aca="false">Daily!A86</f>
        <v>43968</v>
      </c>
      <c r="B86" s="12" t="str">
        <f aca="false">TEXT(A86,"ddd")</f>
        <v>Sun</v>
      </c>
      <c r="C86" s="13" t="n">
        <f aca="false">Daily!C86</f>
        <v>1956</v>
      </c>
      <c r="D86" s="13" t="n">
        <f aca="false">Daily!D86</f>
        <v>30</v>
      </c>
      <c r="E86" s="13" t="n">
        <f aca="false">Daily!E86</f>
        <v>486</v>
      </c>
      <c r="F86" s="13" t="n">
        <f aca="false">Daily!I86</f>
        <v>34518</v>
      </c>
      <c r="G86" s="26" t="n">
        <f aca="false">IF(C86=0,0,D86/C86*100)</f>
        <v>1.53374233128834</v>
      </c>
      <c r="H86" s="38" t="n">
        <f aca="false">IF(Clustering_Guide!$C$7=1,LN(1+MAX(C86,0)),C86)</f>
        <v>7.57916796739608</v>
      </c>
      <c r="I86" s="38" t="n">
        <f aca="false">IF(Clustering_Guide!$C$7=1,LN(1+MAX(D86,0)),D86)</f>
        <v>3.43398720448515</v>
      </c>
      <c r="J86" s="38" t="n">
        <f aca="false">IF(Clustering_Guide!$C$7=1,LN(1+MAX(E86,0)),E86)</f>
        <v>6.18826412308259</v>
      </c>
      <c r="K86" s="38" t="n">
        <f aca="false">(H86-AVERAGE(H$5:H$103))/STDEV(H$5:H$103)</f>
        <v>0.909489337925353</v>
      </c>
      <c r="L86" s="38" t="n">
        <f aca="false">(I86-AVERAGE(I$5:I$103))/STDEV(I$5:I$103)</f>
        <v>0.92419588734005</v>
      </c>
      <c r="M86" s="38" t="n">
        <f aca="false">(J86-AVERAGE(J$5:J$103))/STDEV(J$5:J$103)</f>
        <v>1.11050361184317</v>
      </c>
    </row>
    <row r="87" customFormat="false" ht="15" hidden="false" customHeight="false" outlineLevel="0" collapsed="false">
      <c r="A87" s="42" t="n">
        <f aca="false">Daily!A87</f>
        <v>43969</v>
      </c>
      <c r="B87" s="12" t="str">
        <f aca="false">TEXT(A87,"ddd")</f>
        <v>Mon</v>
      </c>
      <c r="C87" s="13" t="n">
        <f aca="false">Daily!C87</f>
        <v>1800</v>
      </c>
      <c r="D87" s="13" t="n">
        <f aca="false">Daily!D87</f>
        <v>46</v>
      </c>
      <c r="E87" s="13" t="n">
        <f aca="false">Daily!E87</f>
        <v>954</v>
      </c>
      <c r="F87" s="13" t="n">
        <f aca="false">Daily!I87</f>
        <v>35318</v>
      </c>
      <c r="G87" s="26" t="n">
        <f aca="false">IF(C87=0,0,D87/C87*100)</f>
        <v>2.55555555555556</v>
      </c>
      <c r="H87" s="38" t="n">
        <f aca="false">IF(Clustering_Guide!$C$7=1,LN(1+MAX(C87,0)),C87)</f>
        <v>7.49609734517596</v>
      </c>
      <c r="I87" s="38" t="n">
        <f aca="false">IF(Clustering_Guide!$C$7=1,LN(1+MAX(D87,0)),D87)</f>
        <v>3.85014760171006</v>
      </c>
      <c r="J87" s="38" t="n">
        <f aca="false">IF(Clustering_Guide!$C$7=1,LN(1+MAX(E87,0)),E87)</f>
        <v>6.86171134048073</v>
      </c>
      <c r="K87" s="38" t="n">
        <f aca="false">(H87-AVERAGE(H$5:H$103))/STDEV(H$5:H$103)</f>
        <v>0.876316227805916</v>
      </c>
      <c r="L87" s="38" t="n">
        <f aca="false">(I87-AVERAGE(I$5:I$103))/STDEV(I$5:I$103)</f>
        <v>1.20677074237932</v>
      </c>
      <c r="M87" s="38" t="n">
        <f aca="false">(J87-AVERAGE(J$5:J$103))/STDEV(J$5:J$103)</f>
        <v>1.37041306987816</v>
      </c>
    </row>
    <row r="88" customFormat="false" ht="15" hidden="false" customHeight="false" outlineLevel="0" collapsed="false">
      <c r="A88" s="42" t="n">
        <f aca="false">Daily!A88</f>
        <v>43970</v>
      </c>
      <c r="B88" s="12" t="str">
        <f aca="false">TEXT(A88,"ddd")</f>
        <v>Tue</v>
      </c>
      <c r="C88" s="13" t="n">
        <f aca="false">Daily!C88</f>
        <v>1874</v>
      </c>
      <c r="D88" s="13" t="n">
        <f aca="false">Daily!D88</f>
        <v>46</v>
      </c>
      <c r="E88" s="13" t="n">
        <f aca="false">Daily!E88</f>
        <v>597</v>
      </c>
      <c r="F88" s="13" t="n">
        <f aca="false">Daily!I88</f>
        <v>36549</v>
      </c>
      <c r="G88" s="26" t="n">
        <f aca="false">IF(C88=0,0,D88/C88*100)</f>
        <v>2.45464247598719</v>
      </c>
      <c r="H88" s="38" t="n">
        <f aca="false">IF(Clustering_Guide!$C$7=1,LN(1+MAX(C88,0)),C88)</f>
        <v>7.53636393840451</v>
      </c>
      <c r="I88" s="38" t="n">
        <f aca="false">IF(Clustering_Guide!$C$7=1,LN(1+MAX(D88,0)),D88)</f>
        <v>3.85014760171006</v>
      </c>
      <c r="J88" s="38" t="n">
        <f aca="false">IF(Clustering_Guide!$C$7=1,LN(1+MAX(E88,0)),E88)</f>
        <v>6.39359075395063</v>
      </c>
      <c r="K88" s="38" t="n">
        <f aca="false">(H88-AVERAGE(H$5:H$103))/STDEV(H$5:H$103)</f>
        <v>0.892396137834348</v>
      </c>
      <c r="L88" s="38" t="n">
        <f aca="false">(I88-AVERAGE(I$5:I$103))/STDEV(I$5:I$103)</f>
        <v>1.20677074237932</v>
      </c>
      <c r="M88" s="38" t="n">
        <f aca="false">(J88-AVERAGE(J$5:J$103))/STDEV(J$5:J$103)</f>
        <v>1.18974713972535</v>
      </c>
    </row>
    <row r="89" customFormat="false" ht="15" hidden="false" customHeight="false" outlineLevel="0" collapsed="false">
      <c r="A89" s="42" t="n">
        <f aca="false">Daily!A89</f>
        <v>43971</v>
      </c>
      <c r="B89" s="12" t="str">
        <f aca="false">TEXT(A89,"ddd")</f>
        <v>Wed</v>
      </c>
      <c r="C89" s="13" t="n">
        <f aca="false">Daily!C89</f>
        <v>2115</v>
      </c>
      <c r="D89" s="13" t="n">
        <f aca="false">Daily!D89</f>
        <v>32</v>
      </c>
      <c r="E89" s="13" t="n">
        <f aca="false">Daily!E89</f>
        <v>1038</v>
      </c>
      <c r="F89" s="13" t="n">
        <f aca="false">Daily!I89</f>
        <v>37594</v>
      </c>
      <c r="G89" s="26" t="n">
        <f aca="false">IF(C89=0,0,D89/C89*100)</f>
        <v>1.51300236406619</v>
      </c>
      <c r="H89" s="38" t="n">
        <f aca="false">IF(Clustering_Guide!$C$7=1,LN(1+MAX(C89,0)),C89)</f>
        <v>7.65728279297819</v>
      </c>
      <c r="I89" s="38" t="n">
        <f aca="false">IF(Clustering_Guide!$C$7=1,LN(1+MAX(D89,0)),D89)</f>
        <v>3.49650756146648</v>
      </c>
      <c r="J89" s="38" t="n">
        <f aca="false">IF(Clustering_Guide!$C$7=1,LN(1+MAX(E89,0)),E89)</f>
        <v>6.94601399109923</v>
      </c>
      <c r="K89" s="38" t="n">
        <f aca="false">(H89-AVERAGE(H$5:H$103))/STDEV(H$5:H$103)</f>
        <v>0.940683418837973</v>
      </c>
      <c r="L89" s="38" t="n">
        <f aca="false">(I89-AVERAGE(I$5:I$103))/STDEV(I$5:I$103)</f>
        <v>0.966647501979047</v>
      </c>
      <c r="M89" s="38" t="n">
        <f aca="false">(J89-AVERAGE(J$5:J$103))/STDEV(J$5:J$103)</f>
        <v>1.40294873958932</v>
      </c>
    </row>
    <row r="90" customFormat="false" ht="15" hidden="false" customHeight="false" outlineLevel="0" collapsed="false">
      <c r="A90" s="42" t="n">
        <f aca="false">Daily!A90</f>
        <v>43972</v>
      </c>
      <c r="B90" s="12" t="str">
        <f aca="false">TEXT(A90,"ddd")</f>
        <v>Thu</v>
      </c>
      <c r="C90" s="13" t="n">
        <f aca="false">Daily!C90</f>
        <v>2539</v>
      </c>
      <c r="D90" s="13" t="n">
        <f aca="false">Daily!D90</f>
        <v>43</v>
      </c>
      <c r="E90" s="13" t="n">
        <f aca="false">Daily!E90</f>
        <v>1014</v>
      </c>
      <c r="F90" s="13" t="n">
        <f aca="false">Daily!I90</f>
        <v>39076</v>
      </c>
      <c r="G90" s="26" t="n">
        <f aca="false">IF(C90=0,0,D90/C90*100)</f>
        <v>1.69358014966522</v>
      </c>
      <c r="H90" s="38" t="n">
        <f aca="false">IF(Clustering_Guide!$C$7=1,LN(1+MAX(C90,0)),C90)</f>
        <v>7.83991936001258</v>
      </c>
      <c r="I90" s="38" t="n">
        <f aca="false">IF(Clustering_Guide!$C$7=1,LN(1+MAX(D90,0)),D90)</f>
        <v>3.78418963391826</v>
      </c>
      <c r="J90" s="38" t="n">
        <f aca="false">IF(Clustering_Guide!$C$7=1,LN(1+MAX(E90,0)),E90)</f>
        <v>6.92264389147589</v>
      </c>
      <c r="K90" s="38" t="n">
        <f aca="false">(H90-AVERAGE(H$5:H$103))/STDEV(H$5:H$103)</f>
        <v>1.01361681921643</v>
      </c>
      <c r="L90" s="38" t="n">
        <f aca="false">(I90-AVERAGE(I$5:I$103))/STDEV(I$5:I$103)</f>
        <v>1.16198497393105</v>
      </c>
      <c r="M90" s="38" t="n">
        <f aca="false">(J90-AVERAGE(J$5:J$103))/STDEV(J$5:J$103)</f>
        <v>1.39392930975072</v>
      </c>
    </row>
    <row r="91" customFormat="false" ht="15" hidden="false" customHeight="false" outlineLevel="0" collapsed="false">
      <c r="A91" s="42" t="n">
        <f aca="false">Daily!A91</f>
        <v>43973</v>
      </c>
      <c r="B91" s="12" t="str">
        <f aca="false">TEXT(A91,"ddd")</f>
        <v>Fri</v>
      </c>
      <c r="C91" s="13" t="n">
        <f aca="false">Daily!C91</f>
        <v>1728</v>
      </c>
      <c r="D91" s="13" t="n">
        <f aca="false">Daily!D91</f>
        <v>34</v>
      </c>
      <c r="E91" s="13" t="n">
        <f aca="false">Daily!E91</f>
        <v>1438</v>
      </c>
      <c r="F91" s="13" t="n">
        <f aca="false">Daily!I91</f>
        <v>39332</v>
      </c>
      <c r="G91" s="26" t="n">
        <f aca="false">IF(C91=0,0,D91/C91*100)</f>
        <v>1.96759259259259</v>
      </c>
      <c r="H91" s="38" t="n">
        <f aca="false">IF(Clustering_Guide!$C$7=1,LN(1+MAX(C91,0)),C91)</f>
        <v>7.45529848568329</v>
      </c>
      <c r="I91" s="38" t="n">
        <f aca="false">IF(Clustering_Guide!$C$7=1,LN(1+MAX(D91,0)),D91)</f>
        <v>3.55534806148941</v>
      </c>
      <c r="J91" s="38" t="n">
        <f aca="false">IF(Clustering_Guide!$C$7=1,LN(1+MAX(E91,0)),E91)</f>
        <v>7.27170370688737</v>
      </c>
      <c r="K91" s="38" t="n">
        <f aca="false">(H91-AVERAGE(H$5:H$103))/STDEV(H$5:H$103)</f>
        <v>0.860023764567693</v>
      </c>
      <c r="L91" s="38" t="n">
        <f aca="false">(I91-AVERAGE(I$5:I$103))/STDEV(I$5:I$103)</f>
        <v>1.00660047654196</v>
      </c>
      <c r="M91" s="38" t="n">
        <f aca="false">(J91-AVERAGE(J$5:J$103))/STDEV(J$5:J$103)</f>
        <v>1.52864506044593</v>
      </c>
    </row>
    <row r="92" customFormat="false" ht="15" hidden="false" customHeight="false" outlineLevel="0" collapsed="false">
      <c r="A92" s="42" t="n">
        <f aca="false">Daily!A92</f>
        <v>43974</v>
      </c>
      <c r="B92" s="12" t="str">
        <f aca="false">TEXT(A92,"ddd")</f>
        <v>Sat</v>
      </c>
      <c r="C92" s="13" t="n">
        <f aca="false">Daily!C92</f>
        <v>2060</v>
      </c>
      <c r="D92" s="13" t="n">
        <f aca="false">Daily!D92</f>
        <v>32</v>
      </c>
      <c r="E92" s="13" t="n">
        <f aca="false">Daily!E92</f>
        <v>539</v>
      </c>
      <c r="F92" s="13" t="n">
        <f aca="false">Daily!I92</f>
        <v>40821</v>
      </c>
      <c r="G92" s="26" t="n">
        <f aca="false">IF(C92=0,0,D92/C92*100)</f>
        <v>1.55339805825243</v>
      </c>
      <c r="H92" s="38" t="n">
        <f aca="false">IF(Clustering_Guide!$C$7=1,LN(1+MAX(C92,0)),C92)</f>
        <v>7.63094658089046</v>
      </c>
      <c r="I92" s="38" t="n">
        <f aca="false">IF(Clustering_Guide!$C$7=1,LN(1+MAX(D92,0)),D92)</f>
        <v>3.49650756146648</v>
      </c>
      <c r="J92" s="38" t="n">
        <f aca="false">IF(Clustering_Guide!$C$7=1,LN(1+MAX(E92,0)),E92)</f>
        <v>6.29156913955832</v>
      </c>
      <c r="K92" s="38" t="n">
        <f aca="false">(H92-AVERAGE(H$5:H$103))/STDEV(H$5:H$103)</f>
        <v>0.930166414867542</v>
      </c>
      <c r="L92" s="38" t="n">
        <f aca="false">(I92-AVERAGE(I$5:I$103))/STDEV(I$5:I$103)</f>
        <v>0.966647501979047</v>
      </c>
      <c r="M92" s="38" t="n">
        <f aca="false">(J92-AVERAGE(J$5:J$103))/STDEV(J$5:J$103)</f>
        <v>1.15037303315912</v>
      </c>
    </row>
    <row r="93" customFormat="false" ht="15" hidden="false" customHeight="false" outlineLevel="0" collapsed="false">
      <c r="A93" s="42" t="n">
        <f aca="false">Daily!A93</f>
        <v>43975</v>
      </c>
      <c r="B93" s="12" t="str">
        <f aca="false">TEXT(A93,"ddd")</f>
        <v>Sun</v>
      </c>
      <c r="C93" s="13" t="n">
        <f aca="false">Daily!C93</f>
        <v>1744</v>
      </c>
      <c r="D93" s="13" t="n">
        <f aca="false">Daily!D93</f>
        <v>34</v>
      </c>
      <c r="E93" s="13" t="n">
        <f aca="false">Daily!E93</f>
        <v>282</v>
      </c>
      <c r="F93" s="13" t="n">
        <f aca="false">Daily!I93</f>
        <v>42249</v>
      </c>
      <c r="G93" s="26" t="n">
        <f aca="false">IF(C93=0,0,D93/C93*100)</f>
        <v>1.94954128440367</v>
      </c>
      <c r="H93" s="38" t="n">
        <f aca="false">IF(Clustering_Guide!$C$7=1,LN(1+MAX(C93,0)),C93)</f>
        <v>7.46450983463653</v>
      </c>
      <c r="I93" s="38" t="n">
        <f aca="false">IF(Clustering_Guide!$C$7=1,LN(1+MAX(D93,0)),D93)</f>
        <v>3.55534806148941</v>
      </c>
      <c r="J93" s="38" t="n">
        <f aca="false">IF(Clustering_Guide!$C$7=1,LN(1+MAX(E93,0)),E93)</f>
        <v>5.64544689764324</v>
      </c>
      <c r="K93" s="38" t="n">
        <f aca="false">(H93-AVERAGE(H$5:H$103))/STDEV(H$5:H$103)</f>
        <v>0.863702190044808</v>
      </c>
      <c r="L93" s="38" t="n">
        <f aca="false">(I93-AVERAGE(I$5:I$103))/STDEV(I$5:I$103)</f>
        <v>1.00660047654196</v>
      </c>
      <c r="M93" s="38" t="n">
        <f aca="false">(J93-AVERAGE(J$5:J$103))/STDEV(J$5:J$103)</f>
        <v>0.901009345282723</v>
      </c>
    </row>
    <row r="94" customFormat="false" ht="15" hidden="false" customHeight="false" outlineLevel="0" collapsed="false">
      <c r="A94" s="42" t="n">
        <f aca="false">Daily!A94</f>
        <v>43976</v>
      </c>
      <c r="B94" s="12" t="str">
        <f aca="false">TEXT(A94,"ddd")</f>
        <v>Mon</v>
      </c>
      <c r="C94" s="13" t="n">
        <f aca="false">Daily!C94</f>
        <v>1356</v>
      </c>
      <c r="D94" s="13" t="n">
        <f aca="false">Daily!D94</f>
        <v>30</v>
      </c>
      <c r="E94" s="13" t="n">
        <f aca="false">Daily!E94</f>
        <v>830</v>
      </c>
      <c r="F94" s="13" t="n">
        <f aca="false">Daily!I94</f>
        <v>42745</v>
      </c>
      <c r="G94" s="26" t="n">
        <f aca="false">IF(C94=0,0,D94/C94*100)</f>
        <v>2.21238938053097</v>
      </c>
      <c r="H94" s="38" t="n">
        <f aca="false">IF(Clustering_Guide!$C$7=1,LN(1+MAX(C94,0)),C94)</f>
        <v>7.21303165983487</v>
      </c>
      <c r="I94" s="38" t="n">
        <f aca="false">IF(Clustering_Guide!$C$7=1,LN(1+MAX(D94,0)),D94)</f>
        <v>3.43398720448515</v>
      </c>
      <c r="J94" s="38" t="n">
        <f aca="false">IF(Clustering_Guide!$C$7=1,LN(1+MAX(E94,0)),E94)</f>
        <v>6.72262979485545</v>
      </c>
      <c r="K94" s="38" t="n">
        <f aca="false">(H94-AVERAGE(H$5:H$103))/STDEV(H$5:H$103)</f>
        <v>0.763277840709552</v>
      </c>
      <c r="L94" s="38" t="n">
        <f aca="false">(I94-AVERAGE(I$5:I$103))/STDEV(I$5:I$103)</f>
        <v>0.92419588734005</v>
      </c>
      <c r="M94" s="38" t="n">
        <f aca="false">(J94-AVERAGE(J$5:J$103))/STDEV(J$5:J$103)</f>
        <v>1.31673609533249</v>
      </c>
    </row>
    <row r="95" customFormat="false" ht="15" hidden="false" customHeight="false" outlineLevel="0" collapsed="false">
      <c r="A95" s="42" t="n">
        <f aca="false">Daily!A95</f>
        <v>43977</v>
      </c>
      <c r="B95" s="12" t="str">
        <f aca="false">TEXT(A95,"ddd")</f>
        <v>Tue</v>
      </c>
      <c r="C95" s="13" t="n">
        <f aca="false">Daily!C95</f>
        <v>1440</v>
      </c>
      <c r="D95" s="13" t="n">
        <f aca="false">Daily!D95</f>
        <v>27</v>
      </c>
      <c r="E95" s="13" t="n">
        <f aca="false">Daily!E95</f>
        <v>824</v>
      </c>
      <c r="F95" s="13" t="n">
        <f aca="false">Daily!I95</f>
        <v>43334</v>
      </c>
      <c r="G95" s="26" t="n">
        <f aca="false">IF(C95=0,0,D95/C95*100)</f>
        <v>1.875</v>
      </c>
      <c r="H95" s="38" t="n">
        <f aca="false">IF(Clustering_Guide!$C$7=1,LN(1+MAX(C95,0)),C95)</f>
        <v>7.27309259599952</v>
      </c>
      <c r="I95" s="38" t="n">
        <f aca="false">IF(Clustering_Guide!$C$7=1,LN(1+MAX(D95,0)),D95)</f>
        <v>3.3322045101752</v>
      </c>
      <c r="J95" s="38" t="n">
        <f aca="false">IF(Clustering_Guide!$C$7=1,LN(1+MAX(E95,0)),E95)</f>
        <v>6.71538338633468</v>
      </c>
      <c r="K95" s="38" t="n">
        <f aca="false">(H95-AVERAGE(H$5:H$103))/STDEV(H$5:H$103)</f>
        <v>0.787262349264056</v>
      </c>
      <c r="L95" s="38" t="n">
        <f aca="false">(I95-AVERAGE(I$5:I$103))/STDEV(I$5:I$103)</f>
        <v>0.855084962124853</v>
      </c>
      <c r="M95" s="38" t="n">
        <f aca="false">(J95-AVERAGE(J$5:J$103))/STDEV(J$5:J$103)</f>
        <v>1.31393942461698</v>
      </c>
    </row>
    <row r="96" customFormat="false" ht="15" hidden="false" customHeight="false" outlineLevel="0" collapsed="false">
      <c r="A96" s="42" t="n">
        <f aca="false">Daily!A96</f>
        <v>43978</v>
      </c>
      <c r="B96" s="12" t="str">
        <f aca="false">TEXT(A96,"ddd")</f>
        <v>Wed</v>
      </c>
      <c r="C96" s="13" t="n">
        <f aca="false">Daily!C96</f>
        <v>2173</v>
      </c>
      <c r="D96" s="13" t="n">
        <f aca="false">Daily!D96</f>
        <v>36</v>
      </c>
      <c r="E96" s="13" t="n">
        <f aca="false">Daily!E96</f>
        <v>1065</v>
      </c>
      <c r="F96" s="13" t="n">
        <f aca="false">Daily!I96</f>
        <v>44406</v>
      </c>
      <c r="G96" s="26" t="n">
        <f aca="false">IF(C96=0,0,D96/C96*100)</f>
        <v>1.65669581224114</v>
      </c>
      <c r="H96" s="38" t="n">
        <f aca="false">IF(Clustering_Guide!$C$7=1,LN(1+MAX(C96,0)),C96)</f>
        <v>7.68432406768116</v>
      </c>
      <c r="I96" s="38" t="n">
        <f aca="false">IF(Clustering_Guide!$C$7=1,LN(1+MAX(D96,0)),D96)</f>
        <v>3.61091791264422</v>
      </c>
      <c r="J96" s="38" t="n">
        <f aca="false">IF(Clustering_Guide!$C$7=1,LN(1+MAX(E96,0)),E96)</f>
        <v>6.97166860472579</v>
      </c>
      <c r="K96" s="38" t="n">
        <f aca="false">(H96-AVERAGE(H$5:H$103))/STDEV(H$5:H$103)</f>
        <v>0.951481979863727</v>
      </c>
      <c r="L96" s="38" t="n">
        <f aca="false">(I96-AVERAGE(I$5:I$103))/STDEV(I$5:I$103)</f>
        <v>1.04433266523491</v>
      </c>
      <c r="M96" s="38" t="n">
        <f aca="false">(J96-AVERAGE(J$5:J$103))/STDEV(J$5:J$103)</f>
        <v>1.41284985218065</v>
      </c>
    </row>
    <row r="97" customFormat="false" ht="15" hidden="false" customHeight="false" outlineLevel="0" collapsed="false">
      <c r="A97" s="42" t="n">
        <f aca="false">Daily!A97</f>
        <v>43979</v>
      </c>
      <c r="B97" s="12" t="str">
        <f aca="false">TEXT(A97,"ddd")</f>
        <v>Thu</v>
      </c>
      <c r="C97" s="13" t="n">
        <f aca="false">Daily!C97</f>
        <v>2562</v>
      </c>
      <c r="D97" s="13" t="n">
        <f aca="false">Daily!D97</f>
        <v>59</v>
      </c>
      <c r="E97" s="13" t="n">
        <f aca="false">Daily!E97</f>
        <v>2072</v>
      </c>
      <c r="F97" s="13" t="n">
        <f aca="false">Daily!I97</f>
        <v>44837</v>
      </c>
      <c r="G97" s="26" t="n">
        <f aca="false">IF(C97=0,0,D97/C97*100)</f>
        <v>2.30288836846214</v>
      </c>
      <c r="H97" s="38" t="n">
        <f aca="false">IF(Clustering_Guide!$C$7=1,LN(1+MAX(C97,0)),C97)</f>
        <v>7.84893372636407</v>
      </c>
      <c r="I97" s="38" t="n">
        <f aca="false">IF(Clustering_Guide!$C$7=1,LN(1+MAX(D97,0)),D97)</f>
        <v>4.0943445622221</v>
      </c>
      <c r="J97" s="38" t="n">
        <f aca="false">IF(Clustering_Guide!$C$7=1,LN(1+MAX(E97,0)),E97)</f>
        <v>7.63675211243578</v>
      </c>
      <c r="K97" s="38" t="n">
        <f aca="false">(H97-AVERAGE(H$5:H$103))/STDEV(H$5:H$103)</f>
        <v>1.01721658240158</v>
      </c>
      <c r="L97" s="38" t="n">
        <f aca="false">(I97-AVERAGE(I$5:I$103))/STDEV(I$5:I$103)</f>
        <v>1.37258162005499</v>
      </c>
      <c r="M97" s="38" t="n">
        <f aca="false">(J97-AVERAGE(J$5:J$103))/STDEV(J$5:J$103)</f>
        <v>1.66953142955024</v>
      </c>
    </row>
    <row r="98" customFormat="false" ht="15" hidden="false" customHeight="false" outlineLevel="0" collapsed="false">
      <c r="A98" s="42" t="n">
        <f aca="false">Daily!A98</f>
        <v>43980</v>
      </c>
      <c r="B98" s="12" t="str">
        <f aca="false">TEXT(A98,"ddd")</f>
        <v>Fri</v>
      </c>
      <c r="C98" s="13" t="n">
        <f aca="false">Daily!C98</f>
        <v>2426</v>
      </c>
      <c r="D98" s="13" t="n">
        <f aca="false">Daily!D98</f>
        <v>78</v>
      </c>
      <c r="E98" s="13" t="n">
        <f aca="false">Daily!E98</f>
        <v>1824</v>
      </c>
      <c r="F98" s="13" t="n">
        <f aca="false">Daily!I98</f>
        <v>45361</v>
      </c>
      <c r="G98" s="26" t="n">
        <f aca="false">IF(C98=0,0,D98/C98*100)</f>
        <v>3.21516900247321</v>
      </c>
      <c r="H98" s="38" t="n">
        <f aca="false">IF(Clustering_Guide!$C$7=1,LN(1+MAX(C98,0)),C98)</f>
        <v>7.7944112057266</v>
      </c>
      <c r="I98" s="38" t="n">
        <f aca="false">IF(Clustering_Guide!$C$7=1,LN(1+MAX(D98,0)),D98)</f>
        <v>4.36944785246702</v>
      </c>
      <c r="J98" s="38" t="n">
        <f aca="false">IF(Clustering_Guide!$C$7=1,LN(1+MAX(E98,0)),E98)</f>
        <v>7.50933526601659</v>
      </c>
      <c r="K98" s="38" t="n">
        <f aca="false">(H98-AVERAGE(H$5:H$103))/STDEV(H$5:H$103)</f>
        <v>0.995443763891761</v>
      </c>
      <c r="L98" s="38" t="n">
        <f aca="false">(I98-AVERAGE(I$5:I$103))/STDEV(I$5:I$103)</f>
        <v>1.55937804008957</v>
      </c>
      <c r="M98" s="38" t="n">
        <f aca="false">(J98-AVERAGE(J$5:J$103))/STDEV(J$5:J$103)</f>
        <v>1.62035631583415</v>
      </c>
    </row>
    <row r="99" customFormat="false" ht="15" hidden="false" customHeight="false" outlineLevel="0" collapsed="false">
      <c r="A99" s="42" t="n">
        <f aca="false">Daily!A99</f>
        <v>43981</v>
      </c>
      <c r="B99" s="12" t="str">
        <f aca="false">TEXT(A99,"ddd")</f>
        <v>Sat</v>
      </c>
      <c r="C99" s="13" t="n">
        <f aca="false">Daily!C99</f>
        <v>2956</v>
      </c>
      <c r="D99" s="13" t="n">
        <f aca="false">Daily!D99</f>
        <v>88</v>
      </c>
      <c r="E99" s="13" t="n">
        <f aca="false">Daily!E99</f>
        <v>1138</v>
      </c>
      <c r="F99" s="13" t="n">
        <f aca="false">Daily!I99</f>
        <v>47091</v>
      </c>
      <c r="G99" s="26" t="n">
        <f aca="false">IF(C99=0,0,D99/C99*100)</f>
        <v>2.97699594046008</v>
      </c>
      <c r="H99" s="38" t="n">
        <f aca="false">IF(Clustering_Guide!$C$7=1,LN(1+MAX(C99,0)),C99)</f>
        <v>7.99193051985248</v>
      </c>
      <c r="I99" s="38" t="n">
        <f aca="false">IF(Clustering_Guide!$C$7=1,LN(1+MAX(D99,0)),D99)</f>
        <v>4.48863636973214</v>
      </c>
      <c r="J99" s="38" t="n">
        <f aca="false">IF(Clustering_Guide!$C$7=1,LN(1+MAX(E99,0)),E99)</f>
        <v>7.03790596344718</v>
      </c>
      <c r="K99" s="38" t="n">
        <f aca="false">(H99-AVERAGE(H$5:H$103))/STDEV(H$5:H$103)</f>
        <v>1.07432038456821</v>
      </c>
      <c r="L99" s="38" t="n">
        <f aca="false">(I99-AVERAGE(I$5:I$103))/STDEV(I$5:I$103)</f>
        <v>1.64030760045409</v>
      </c>
      <c r="M99" s="38" t="n">
        <f aca="false">(J99-AVERAGE(J$5:J$103))/STDEV(J$5:J$103)</f>
        <v>1.43841342355223</v>
      </c>
    </row>
    <row r="100" customFormat="false" ht="15" hidden="false" customHeight="false" outlineLevel="0" collapsed="false">
      <c r="A100" s="42" t="n">
        <f aca="false">Daily!A100</f>
        <v>43982</v>
      </c>
      <c r="B100" s="12" t="str">
        <f aca="false">TEXT(A100,"ddd")</f>
        <v>Sun</v>
      </c>
      <c r="C100" s="13" t="n">
        <f aca="false">Daily!C100</f>
        <v>2883</v>
      </c>
      <c r="D100" s="13" t="n">
        <f aca="false">Daily!D100</f>
        <v>60</v>
      </c>
      <c r="E100" s="13" t="n">
        <f aca="false">Daily!E100</f>
        <v>809</v>
      </c>
      <c r="F100" s="13" t="n">
        <f aca="false">Daily!I100</f>
        <v>49105</v>
      </c>
      <c r="G100" s="26" t="n">
        <f aca="false">IF(C100=0,0,D100/C100*100)</f>
        <v>2.08116545265349</v>
      </c>
      <c r="H100" s="38" t="n">
        <f aca="false">IF(Clustering_Guide!$C$7=1,LN(1+MAX(C100,0)),C100)</f>
        <v>7.96693349840484</v>
      </c>
      <c r="I100" s="38" t="n">
        <f aca="false">IF(Clustering_Guide!$C$7=1,LN(1+MAX(D100,0)),D100)</f>
        <v>4.11087386417331</v>
      </c>
      <c r="J100" s="38" t="n">
        <f aca="false">IF(Clustering_Guide!$C$7=1,LN(1+MAX(E100,0)),E100)</f>
        <v>6.69703424766648</v>
      </c>
      <c r="K100" s="38" t="n">
        <f aca="false">(H100-AVERAGE(H$5:H$103))/STDEV(H$5:H$103)</f>
        <v>1.06433816795567</v>
      </c>
      <c r="L100" s="38" t="n">
        <f aca="false">(I100-AVERAGE(I$5:I$103))/STDEV(I$5:I$103)</f>
        <v>1.38380509334536</v>
      </c>
      <c r="M100" s="38" t="n">
        <f aca="false">(J100-AVERAGE(J$5:J$103))/STDEV(J$5:J$103)</f>
        <v>1.30685777877533</v>
      </c>
    </row>
    <row r="101" customFormat="false" ht="15" hidden="false" customHeight="false" outlineLevel="0" collapsed="false">
      <c r="A101" s="42" t="n">
        <f aca="false">Daily!A101</f>
        <v>43983</v>
      </c>
      <c r="B101" s="12" t="str">
        <f aca="false">TEXT(A101,"ddd")</f>
        <v>Mon</v>
      </c>
      <c r="C101" s="13" t="n">
        <f aca="false">Daily!C101</f>
        <v>3872</v>
      </c>
      <c r="D101" s="13" t="n">
        <f aca="false">Daily!D101</f>
        <v>78</v>
      </c>
      <c r="E101" s="13" t="n">
        <f aca="false">Daily!E101</f>
        <v>1027</v>
      </c>
      <c r="F101" s="13" t="n">
        <f aca="false">Daily!I101</f>
        <v>51872</v>
      </c>
      <c r="G101" s="26" t="n">
        <f aca="false">IF(C101=0,0,D101/C101*100)</f>
        <v>2.01446280991736</v>
      </c>
      <c r="H101" s="38" t="n">
        <f aca="false">IF(Clustering_Guide!$C$7=1,LN(1+MAX(C101,0)),C101)</f>
        <v>8.26178467951475</v>
      </c>
      <c r="I101" s="38" t="n">
        <f aca="false">IF(Clustering_Guide!$C$7=1,LN(1+MAX(D101,0)),D101)</f>
        <v>4.36944785246702</v>
      </c>
      <c r="J101" s="38" t="n">
        <f aca="false">IF(Clustering_Guide!$C$7=1,LN(1+MAX(E101,0)),E101)</f>
        <v>6.93537044601511</v>
      </c>
      <c r="K101" s="38" t="n">
        <f aca="false">(H101-AVERAGE(H$5:H$103))/STDEV(H$5:H$103)</f>
        <v>1.1820829306455</v>
      </c>
      <c r="L101" s="38" t="n">
        <f aca="false">(I101-AVERAGE(I$5:I$103))/STDEV(I$5:I$103)</f>
        <v>1.55937804008957</v>
      </c>
      <c r="M101" s="38" t="n">
        <f aca="false">(J101-AVERAGE(J$5:J$103))/STDEV(J$5:J$103)</f>
        <v>1.39884098182759</v>
      </c>
    </row>
    <row r="102" customFormat="false" ht="15" hidden="false" customHeight="false" outlineLevel="0" collapsed="false">
      <c r="A102" s="42" t="n">
        <f aca="false">Daily!A102</f>
        <v>43984</v>
      </c>
      <c r="B102" s="12" t="str">
        <f aca="false">TEXT(A102,"ddd")</f>
        <v>Tue</v>
      </c>
      <c r="C102" s="13" t="n">
        <f aca="false">Daily!C102</f>
        <v>4242</v>
      </c>
      <c r="D102" s="13" t="n">
        <f aca="false">Daily!D102</f>
        <v>69</v>
      </c>
      <c r="E102" s="13" t="n">
        <f aca="false">Daily!E102</f>
        <v>1931</v>
      </c>
      <c r="F102" s="13" t="n">
        <f aca="false">Daily!I102</f>
        <v>54114</v>
      </c>
      <c r="G102" s="26" t="n">
        <f aca="false">IF(C102=0,0,D102/C102*100)</f>
        <v>1.62659123055163</v>
      </c>
      <c r="H102" s="38" t="n">
        <f aca="false">IF(Clustering_Guide!$C$7=1,LN(1+MAX(C102,0)),C102)</f>
        <v>8.35302584520233</v>
      </c>
      <c r="I102" s="38" t="n">
        <f aca="false">IF(Clustering_Guide!$C$7=1,LN(1+MAX(D102,0)),D102)</f>
        <v>4.24849524204936</v>
      </c>
      <c r="J102" s="38" t="n">
        <f aca="false">IF(Clustering_Guide!$C$7=1,LN(1+MAX(E102,0)),E102)</f>
        <v>7.56631101477246</v>
      </c>
      <c r="K102" s="38" t="n">
        <f aca="false">(H102-AVERAGE(H$5:H$103))/STDEV(H$5:H$103)</f>
        <v>1.21851883489044</v>
      </c>
      <c r="L102" s="38" t="n">
        <f aca="false">(I102-AVERAGE(I$5:I$103))/STDEV(I$5:I$103)</f>
        <v>1.4772506522283</v>
      </c>
      <c r="M102" s="38" t="n">
        <f aca="false">(J102-AVERAGE(J$5:J$103))/STDEV(J$5:J$103)</f>
        <v>1.64234547192197</v>
      </c>
    </row>
    <row r="103" customFormat="false" ht="15" hidden="false" customHeight="false" outlineLevel="0" collapsed="false">
      <c r="A103" s="42" t="n">
        <f aca="false">Daily!A103</f>
        <v>43985</v>
      </c>
      <c r="B103" s="12" t="str">
        <f aca="false">TEXT(A103,"ddd")</f>
        <v>Wed</v>
      </c>
      <c r="C103" s="13" t="n">
        <f aca="false">Daily!C103</f>
        <v>4677</v>
      </c>
      <c r="D103" s="13" t="n">
        <f aca="false">Daily!D103</f>
        <v>82</v>
      </c>
      <c r="E103" s="13" t="n">
        <f aca="false">Daily!E103</f>
        <v>1205</v>
      </c>
      <c r="F103" s="13" t="n">
        <f aca="false">Daily!I103</f>
        <v>57504</v>
      </c>
      <c r="G103" s="26" t="n">
        <f aca="false">IF(C103=0,0,D103/C103*100)</f>
        <v>1.75326063716057</v>
      </c>
      <c r="H103" s="38" t="n">
        <f aca="false">IF(Clustering_Guide!$C$7=1,LN(1+MAX(C103,0)),C103)</f>
        <v>8.45062594714412</v>
      </c>
      <c r="I103" s="38" t="n">
        <f aca="false">IF(Clustering_Guide!$C$7=1,LN(1+MAX(D103,0)),D103)</f>
        <v>4.4188406077966</v>
      </c>
      <c r="J103" s="38" t="n">
        <f aca="false">IF(Clustering_Guide!$C$7=1,LN(1+MAX(E103,0)),E103)</f>
        <v>7.09506437728713</v>
      </c>
      <c r="K103" s="38" t="n">
        <f aca="false">(H103-AVERAGE(H$5:H$103))/STDEV(H$5:H$103)</f>
        <v>1.2574940928439</v>
      </c>
      <c r="L103" s="38" t="n">
        <f aca="false">(I103-AVERAGE(I$5:I$103))/STDEV(I$5:I$103)</f>
        <v>1.59291595184262</v>
      </c>
      <c r="M103" s="38" t="n">
        <f aca="false">(J103-AVERAGE(J$5:J$103))/STDEV(J$5:J$103)</f>
        <v>1.46047307719617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CD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2" topLeftCell="B23" activePane="bottomRight" state="frozen"/>
      <selection pane="topLeft" activeCell="A1" activeCellId="0" sqref="A1"/>
      <selection pane="topRight" activeCell="B1" activeCellId="0" sqref="B1"/>
      <selection pane="bottomLeft" activeCell="A23" activeCellId="0" sqref="A2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10" min="8" style="0" width="11"/>
    <col collapsed="false" customWidth="true" hidden="false" outlineLevel="0" max="11" min="11" style="0" width="3"/>
    <col collapsed="false" customWidth="true" hidden="false" outlineLevel="0" max="14" min="12" style="0" width="10"/>
    <col collapsed="false" customWidth="true" hidden="false" outlineLevel="0" max="21" min="15" style="0" width="11"/>
    <col collapsed="false" customWidth="true" hidden="false" outlineLevel="0" max="23" min="23" style="0" width="13"/>
    <col collapsed="false" customWidth="true" hidden="false" outlineLevel="0" max="26" min="24" style="0" width="10"/>
    <col collapsed="false" customWidth="true" hidden="false" outlineLevel="0" max="27" min="27" style="0" width="9"/>
    <col collapsed="false" customWidth="true" hidden="false" outlineLevel="0" max="28" min="28" style="0" width="2"/>
    <col collapsed="false" customWidth="true" hidden="false" outlineLevel="0" max="31" min="29" style="0" width="10"/>
    <col collapsed="false" customWidth="true" hidden="false" outlineLevel="0" max="32" min="32" style="0" width="9"/>
    <col collapsed="false" customWidth="true" hidden="false" outlineLevel="0" max="33" min="33" style="0" width="2"/>
    <col collapsed="false" customWidth="true" hidden="false" outlineLevel="0" max="36" min="34" style="0" width="10"/>
    <col collapsed="false" customWidth="true" hidden="false" outlineLevel="0" max="37" min="37" style="0" width="9"/>
    <col collapsed="false" customWidth="true" hidden="false" outlineLevel="0" max="38" min="38" style="0" width="2"/>
    <col collapsed="false" customWidth="true" hidden="false" outlineLevel="0" max="41" min="39" style="0" width="10"/>
    <col collapsed="false" customWidth="true" hidden="false" outlineLevel="0" max="42" min="42" style="0" width="9"/>
    <col collapsed="false" customWidth="true" hidden="false" outlineLevel="0" max="43" min="43" style="0" width="2"/>
    <col collapsed="false" customWidth="true" hidden="false" outlineLevel="0" max="46" min="44" style="0" width="10"/>
    <col collapsed="false" customWidth="true" hidden="false" outlineLevel="0" max="47" min="47" style="0" width="9"/>
    <col collapsed="false" customWidth="true" hidden="false" outlineLevel="0" max="48" min="48" style="0" width="2"/>
    <col collapsed="false" customWidth="true" hidden="false" outlineLevel="0" max="51" min="49" style="0" width="10"/>
    <col collapsed="false" customWidth="true" hidden="false" outlineLevel="0" max="52" min="52" style="0" width="9"/>
    <col collapsed="false" customWidth="true" hidden="false" outlineLevel="0" max="53" min="53" style="0" width="2"/>
    <col collapsed="false" customWidth="true" hidden="false" outlineLevel="0" max="56" min="54" style="0" width="10"/>
    <col collapsed="false" customWidth="true" hidden="false" outlineLevel="0" max="57" min="57" style="0" width="9"/>
    <col collapsed="false" customWidth="true" hidden="false" outlineLevel="0" max="58" min="58" style="0" width="2"/>
    <col collapsed="false" customWidth="true" hidden="false" outlineLevel="0" max="61" min="59" style="0" width="10"/>
    <col collapsed="false" customWidth="true" hidden="false" outlineLevel="0" max="62" min="62" style="0" width="9"/>
    <col collapsed="false" customWidth="true" hidden="false" outlineLevel="0" max="63" min="63" style="0" width="2"/>
    <col collapsed="false" customWidth="true" hidden="false" outlineLevel="0" max="66" min="64" style="0" width="10"/>
    <col collapsed="false" customWidth="true" hidden="false" outlineLevel="0" max="67" min="67" style="0" width="9"/>
    <col collapsed="false" customWidth="true" hidden="false" outlineLevel="0" max="68" min="68" style="0" width="2"/>
    <col collapsed="false" customWidth="true" hidden="false" outlineLevel="0" max="71" min="69" style="0" width="10"/>
    <col collapsed="false" customWidth="true" hidden="false" outlineLevel="0" max="72" min="72" style="0" width="9"/>
    <col collapsed="false" customWidth="true" hidden="false" outlineLevel="0" max="73" min="73" style="0" width="2"/>
    <col collapsed="false" customWidth="true" hidden="false" outlineLevel="0" max="76" min="74" style="0" width="10"/>
    <col collapsed="false" customWidth="true" hidden="false" outlineLevel="0" max="77" min="77" style="0" width="9"/>
    <col collapsed="false" customWidth="true" hidden="false" outlineLevel="0" max="78" min="78" style="0" width="2"/>
    <col collapsed="false" customWidth="true" hidden="false" outlineLevel="0" max="81" min="79" style="0" width="10"/>
    <col collapsed="false" customWidth="true" hidden="false" outlineLevel="0" max="82" min="82" style="0" width="9"/>
    <col collapsed="false" customWidth="true" hidden="false" outlineLevel="0" max="83" min="83" style="0" width="2"/>
  </cols>
  <sheetData>
    <row r="1" customFormat="false" ht="19.7" hidden="false" customHeight="false" outlineLevel="0" collapsed="false">
      <c r="A1" s="1" t="s">
        <v>781</v>
      </c>
    </row>
    <row r="2" customFormat="false" ht="15" hidden="false" customHeight="false" outlineLevel="0" collapsed="false">
      <c r="A2" s="2" t="s">
        <v>782</v>
      </c>
    </row>
    <row r="4" customFormat="false" ht="31.5" hidden="false" customHeight="true" outlineLevel="0" collapsed="false">
      <c r="A4" s="68" t="s">
        <v>706</v>
      </c>
      <c r="B4" s="69"/>
      <c r="L4" s="10" t="s">
        <v>707</v>
      </c>
      <c r="M4" s="10" t="s">
        <v>708</v>
      </c>
      <c r="N4" s="10" t="s">
        <v>709</v>
      </c>
      <c r="O4" s="10" t="s">
        <v>156</v>
      </c>
      <c r="P4" s="10" t="s">
        <v>158</v>
      </c>
      <c r="Q4" s="10" t="s">
        <v>710</v>
      </c>
      <c r="R4" s="10" t="s">
        <v>590</v>
      </c>
      <c r="S4" s="10" t="s">
        <v>66</v>
      </c>
      <c r="T4" s="10" t="s">
        <v>783</v>
      </c>
      <c r="U4" s="10" t="s">
        <v>784</v>
      </c>
    </row>
    <row r="5" customFormat="false" ht="15" hidden="false" customHeight="false" outlineLevel="0" collapsed="false">
      <c r="A5" s="40" t="s">
        <v>711</v>
      </c>
      <c r="B5" s="15" t="n">
        <v>3</v>
      </c>
      <c r="L5" s="63" t="n">
        <v>1</v>
      </c>
      <c r="M5" s="36" t="str">
        <f aca="false">CHOOSE(RANK(O5,$O$5:$O$7,0),"High activity","Medium activity","Low activity")</f>
        <v>Low activity</v>
      </c>
      <c r="N5" s="15" t="n">
        <f aca="false">COUNTIF($E$23:$E$121,L5)</f>
        <v>28</v>
      </c>
      <c r="O5" s="16" t="n">
        <f aca="false">IFERROR(AVERAGEIF($E$23:$E$121,L5,Phase_Data!$C$5:$C$103),0)</f>
        <v>34.4285714285714</v>
      </c>
      <c r="P5" s="16" t="n">
        <f aca="false">IFERROR(AVERAGEIF($E$23:$E$121,L5,Phase_Data!$D$5:$D$103),0)</f>
        <v>0.25</v>
      </c>
      <c r="Q5" s="16" t="n">
        <f aca="false">IFERROR(AVERAGEIF($E$23:$E$121,L5,Phase_Data!$E$5:$E$103),0)</f>
        <v>0.428571428571429</v>
      </c>
      <c r="R5" s="26" t="n">
        <f aca="false">IFERROR(SUMIF($E$23:$E$121,L5,Phase_Data!$D$5:$D$103)/SUMIF($E$23:$E$121,L5,Phase_Data!$C$5:$C$103)*100,0)</f>
        <v>0.726141078838174</v>
      </c>
      <c r="S5" s="14" t="n">
        <f aca="false">SUMIF($E$23:$E$121,L5,Phase_Data!$C$5:$C$103)/SUM(Phase_Data!$C$5:$C$103)</f>
        <v>0.0114782401619337</v>
      </c>
      <c r="T5" s="42" t="n">
        <f aca="false">_xlfn.MINIFS($A$23:$A$121,$E$23:$E$121,L5)</f>
        <v>43887</v>
      </c>
      <c r="U5" s="42" t="n">
        <f aca="false">_xlfn.MAXIFS($A$23:$A$121,$E$23:$E$121,L5)</f>
        <v>43915</v>
      </c>
    </row>
    <row r="6" customFormat="false" ht="15" hidden="false" customHeight="false" outlineLevel="0" collapsed="false">
      <c r="A6" s="40" t="s">
        <v>712</v>
      </c>
      <c r="B6" s="15" t="n">
        <f aca="false">Clustering_Guide!$C$7</f>
        <v>1</v>
      </c>
      <c r="L6" s="63" t="n">
        <v>2</v>
      </c>
      <c r="M6" s="36" t="str">
        <f aca="false">CHOOSE(RANK(O6,$O$5:$O$7,0),"High activity","Medium activity","Low activity")</f>
        <v>High activity</v>
      </c>
      <c r="N6" s="15" t="n">
        <f aca="false">COUNTIF($E$23:$E$121,L6)</f>
        <v>30</v>
      </c>
      <c r="O6" s="16" t="n">
        <f aca="false">IFERROR(AVERAGEIF($E$23:$E$121,L6,Phase_Data!$C$5:$C$103),0)</f>
        <v>2004.93333333333</v>
      </c>
      <c r="P6" s="16" t="n">
        <f aca="false">IFERROR(AVERAGEIF($E$23:$E$121,L6,Phase_Data!$D$5:$D$103),0)</f>
        <v>42.4333333333333</v>
      </c>
      <c r="Q6" s="16" t="n">
        <f aca="false">IFERROR(AVERAGEIF($E$23:$E$121,L6,Phase_Data!$E$5:$E$103),0)</f>
        <v>748.833333333333</v>
      </c>
      <c r="R6" s="26" t="n">
        <f aca="false">IFERROR(SUMIF($E$23:$E$121,L6,Phase_Data!$D$5:$D$103)/SUMIF($E$23:$E$121,L6,Phase_Data!$C$5:$C$103)*100,0)</f>
        <v>2.11644609962094</v>
      </c>
      <c r="S6" s="14" t="n">
        <f aca="false">SUMIF($E$23:$E$121,L6,Phase_Data!$C$5:$C$103)/SUM(Phase_Data!$C$5:$C$103)</f>
        <v>0.716175507531107</v>
      </c>
      <c r="T6" s="42" t="n">
        <f aca="false">_xlfn.MINIFS($A$23:$A$121,$E$23:$E$121,L6)</f>
        <v>43937</v>
      </c>
      <c r="U6" s="42" t="n">
        <f aca="false">_xlfn.MAXIFS($A$23:$A$121,$E$23:$E$121,L6)</f>
        <v>43985</v>
      </c>
    </row>
    <row r="7" customFormat="false" ht="15" hidden="false" customHeight="false" outlineLevel="0" collapsed="false">
      <c r="A7" s="68" t="s">
        <v>713</v>
      </c>
      <c r="B7" s="69"/>
      <c r="L7" s="63" t="n">
        <v>3</v>
      </c>
      <c r="M7" s="36" t="str">
        <f aca="false">CHOOSE(RANK(O7,$O$5:$O$7,0),"High activity","Medium activity","Low activity")</f>
        <v>Medium activity</v>
      </c>
      <c r="N7" s="15" t="n">
        <f aca="false">COUNTIF($E$23:$E$121,L7)</f>
        <v>41</v>
      </c>
      <c r="O7" s="16" t="n">
        <f aca="false">IFERROR(AVERAGEIF($E$23:$E$121,L7,Phase_Data!$C$5:$C$103),0)</f>
        <v>557.878048780488</v>
      </c>
      <c r="P7" s="16" t="n">
        <f aca="false">IFERROR(AVERAGEIF($E$23:$E$121,L7,Phase_Data!$D$5:$D$103),0)</f>
        <v>10.9268292682927</v>
      </c>
      <c r="Q7" s="16" t="n">
        <f aca="false">IFERROR(AVERAGEIF($E$23:$E$121,L7,Phase_Data!$E$5:$E$103),0)</f>
        <v>55.5121951219512</v>
      </c>
      <c r="R7" s="26" t="n">
        <f aca="false">IFERROR(SUMIF($E$23:$E$121,L7,Phase_Data!$D$5:$D$103)/SUMIF($E$23:$E$121,L7,Phase_Data!$C$5:$C$103)*100,0)</f>
        <v>1.95864119267258</v>
      </c>
      <c r="S7" s="14" t="n">
        <f aca="false">SUMIF($E$23:$E$121,L7,Phase_Data!$C$5:$C$103)/SUM(Phase_Data!$C$5:$C$103)</f>
        <v>0.27234625230696</v>
      </c>
      <c r="T7" s="42" t="n">
        <f aca="false">_xlfn.MINIFS($A$23:$A$121,$E$23:$E$121,L7)</f>
        <v>43914</v>
      </c>
      <c r="U7" s="42" t="n">
        <f aca="false">_xlfn.MAXIFS($A$23:$A$121,$E$23:$E$121,L7)</f>
        <v>43960</v>
      </c>
    </row>
    <row r="8" customFormat="false" ht="15" hidden="false" customHeight="false" outlineLevel="0" collapsed="false">
      <c r="A8" s="40" t="s">
        <v>714</v>
      </c>
      <c r="B8" s="75" t="n">
        <v>43887</v>
      </c>
      <c r="L8" s="20" t="s">
        <v>53</v>
      </c>
      <c r="M8" s="20"/>
      <c r="N8" s="21" t="n">
        <f aca="false">SUM(N5:N7)</f>
        <v>99</v>
      </c>
      <c r="O8" s="20"/>
      <c r="P8" s="20"/>
      <c r="Q8" s="20"/>
      <c r="R8" s="20"/>
      <c r="S8" s="25" t="n">
        <f aca="false">SUM(S5:S7)</f>
        <v>1</v>
      </c>
    </row>
    <row r="9" customFormat="false" ht="15" hidden="false" customHeight="false" outlineLevel="0" collapsed="false">
      <c r="A9" s="40" t="s">
        <v>715</v>
      </c>
      <c r="B9" s="75" t="n">
        <v>43984</v>
      </c>
    </row>
    <row r="10" customFormat="false" ht="15" hidden="false" customHeight="false" outlineLevel="0" collapsed="false">
      <c r="A10" s="40" t="s">
        <v>716</v>
      </c>
      <c r="B10" s="75" t="n">
        <v>43955</v>
      </c>
    </row>
    <row r="11" customFormat="false" ht="15" hidden="false" customHeight="false" outlineLevel="0" collapsed="false">
      <c r="A11" s="46" t="s">
        <v>717</v>
      </c>
    </row>
    <row r="15" customFormat="false" ht="15" hidden="false" customHeight="false" outlineLevel="0" collapsed="false">
      <c r="L15" s="68" t="s">
        <v>718</v>
      </c>
      <c r="M15" s="69"/>
      <c r="N15" s="69"/>
      <c r="X15" s="68" t="s">
        <v>719</v>
      </c>
      <c r="Y15" s="69"/>
      <c r="Z15" s="69"/>
      <c r="AC15" s="68" t="s">
        <v>720</v>
      </c>
      <c r="AD15" s="69"/>
      <c r="AE15" s="69"/>
      <c r="AH15" s="68" t="s">
        <v>721</v>
      </c>
      <c r="AI15" s="69"/>
      <c r="AJ15" s="69"/>
      <c r="AM15" s="68" t="s">
        <v>722</v>
      </c>
      <c r="AN15" s="69"/>
      <c r="AO15" s="69"/>
      <c r="AR15" s="68" t="s">
        <v>723</v>
      </c>
      <c r="AS15" s="69"/>
      <c r="AT15" s="69"/>
      <c r="AW15" s="68" t="s">
        <v>724</v>
      </c>
      <c r="AX15" s="69"/>
      <c r="AY15" s="69"/>
      <c r="BB15" s="68" t="s">
        <v>725</v>
      </c>
      <c r="BC15" s="69"/>
      <c r="BD15" s="69"/>
      <c r="BG15" s="68" t="s">
        <v>726</v>
      </c>
      <c r="BH15" s="69"/>
      <c r="BI15" s="69"/>
      <c r="BL15" s="68" t="s">
        <v>727</v>
      </c>
      <c r="BM15" s="69"/>
      <c r="BN15" s="69"/>
      <c r="BQ15" s="68" t="s">
        <v>728</v>
      </c>
      <c r="BR15" s="69"/>
      <c r="BS15" s="69"/>
      <c r="BV15" s="68" t="s">
        <v>729</v>
      </c>
      <c r="BW15" s="69"/>
      <c r="BX15" s="69"/>
      <c r="CA15" s="68" t="s">
        <v>730</v>
      </c>
      <c r="CB15" s="69"/>
      <c r="CC15" s="69"/>
    </row>
    <row r="16" customFormat="false" ht="15" hidden="false" customHeight="false" outlineLevel="0" collapsed="false">
      <c r="K16" s="40" t="s">
        <v>701</v>
      </c>
      <c r="L16" s="17" t="n">
        <f aca="false">IFERROR(AVERAGEIF($E$23:$E$121,1,$B$23:$B$121),0)</f>
        <v>-1.32450247157136</v>
      </c>
      <c r="M16" s="17" t="n">
        <f aca="false">IFERROR(AVERAGEIF($E$23:$E$121,2,$B$23:$B$121),0)</f>
        <v>0.877397325024024</v>
      </c>
      <c r="N16" s="17" t="n">
        <f aca="false">IFERROR(AVERAGEIF($E$23:$E$121,3,$B$23:$B$121),0)</f>
        <v>0.262540230567739</v>
      </c>
      <c r="W16" s="40" t="s">
        <v>701</v>
      </c>
      <c r="X16" s="17" t="n">
        <f aca="false">INDEX($B$23:$B$121,MATCH($B$8,$A$23:$A$121,0))</f>
        <v>-1.56354953678524</v>
      </c>
      <c r="Y16" s="17" t="n">
        <f aca="false">INDEX($B$23:$B$121,MATCH($B$9,$A$23:$A$121,0))</f>
        <v>1.21851883489044</v>
      </c>
      <c r="Z16" s="17" t="n">
        <f aca="false">INDEX($B$23:$B$121,MATCH($B$10,$A$23:$A$121,0))</f>
        <v>0.661992932594546</v>
      </c>
      <c r="AC16" s="17" t="n">
        <f aca="false">IFERROR(AVERAGEIF($AA$23:$AA$121,1,$B$23:$B$121),X16)</f>
        <v>-1.21519767103089</v>
      </c>
      <c r="AD16" s="17" t="n">
        <f aca="false">IFERROR(AVERAGEIF($AA$23:$AA$121,2,$B$23:$B$121),Y16)</f>
        <v>0.777089333097726</v>
      </c>
      <c r="AE16" s="17" t="n">
        <f aca="false">IFERROR(AVERAGEIF($AA$23:$AA$121,3,$B$23:$B$121),Z16)</f>
        <v>0.302997244076235</v>
      </c>
      <c r="AH16" s="17" t="n">
        <f aca="false">IFERROR(AVERAGEIF($AF$23:$AF$121,1,$B$23:$B$121),AC16)</f>
        <v>-1.28459781207447</v>
      </c>
      <c r="AI16" s="17" t="n">
        <f aca="false">IFERROR(AVERAGEIF($AF$23:$AF$121,2,$B$23:$B$121),AD16)</f>
        <v>0.864074743033684</v>
      </c>
      <c r="AJ16" s="17" t="n">
        <f aca="false">IFERROR(AVERAGEIF($AF$23:$AF$121,3,$B$23:$B$121),AE16)</f>
        <v>0.268385115797833</v>
      </c>
      <c r="AM16" s="17" t="n">
        <f aca="false">IFERROR(AVERAGEIF($AK$23:$AK$121,1,$B$23:$B$121),AH16)</f>
        <v>-1.32450247157136</v>
      </c>
      <c r="AN16" s="17" t="n">
        <f aca="false">IFERROR(AVERAGEIF($AK$23:$AK$121,2,$B$23:$B$121),AI16)</f>
        <v>0.877397325024024</v>
      </c>
      <c r="AO16" s="17" t="n">
        <f aca="false">IFERROR(AVERAGEIF($AK$23:$AK$121,3,$B$23:$B$121),AJ16)</f>
        <v>0.262540230567739</v>
      </c>
      <c r="AR16" s="17" t="n">
        <f aca="false">IFERROR(AVERAGEIF($AP$23:$AP$121,1,$B$23:$B$121),AM16)</f>
        <v>-1.32450247157136</v>
      </c>
      <c r="AS16" s="17" t="n">
        <f aca="false">IFERROR(AVERAGEIF($AP$23:$AP$121,2,$B$23:$B$121),AN16)</f>
        <v>0.877397325024024</v>
      </c>
      <c r="AT16" s="17" t="n">
        <f aca="false">IFERROR(AVERAGEIF($AP$23:$AP$121,3,$B$23:$B$121),AO16)</f>
        <v>0.262540230567739</v>
      </c>
      <c r="AW16" s="17" t="n">
        <f aca="false">IFERROR(AVERAGEIF($AU$23:$AU$121,1,$B$23:$B$121),AR16)</f>
        <v>-1.32450247157136</v>
      </c>
      <c r="AX16" s="17" t="n">
        <f aca="false">IFERROR(AVERAGEIF($AU$23:$AU$121,2,$B$23:$B$121),AS16)</f>
        <v>0.877397325024024</v>
      </c>
      <c r="AY16" s="17" t="n">
        <f aca="false">IFERROR(AVERAGEIF($AU$23:$AU$121,3,$B$23:$B$121),AT16)</f>
        <v>0.262540230567739</v>
      </c>
      <c r="BB16" s="17" t="n">
        <f aca="false">IFERROR(AVERAGEIF($AZ$23:$AZ$121,1,$B$23:$B$121),AW16)</f>
        <v>-1.32450247157136</v>
      </c>
      <c r="BC16" s="17" t="n">
        <f aca="false">IFERROR(AVERAGEIF($AZ$23:$AZ$121,2,$B$23:$B$121),AX16)</f>
        <v>0.877397325024024</v>
      </c>
      <c r="BD16" s="17" t="n">
        <f aca="false">IFERROR(AVERAGEIF($AZ$23:$AZ$121,3,$B$23:$B$121),AY16)</f>
        <v>0.262540230567739</v>
      </c>
      <c r="BG16" s="17" t="n">
        <f aca="false">IFERROR(AVERAGEIF($BE$23:$BE$121,1,$B$23:$B$121),BB16)</f>
        <v>-1.32450247157136</v>
      </c>
      <c r="BH16" s="17" t="n">
        <f aca="false">IFERROR(AVERAGEIF($BE$23:$BE$121,2,$B$23:$B$121),BC16)</f>
        <v>0.877397325024024</v>
      </c>
      <c r="BI16" s="17" t="n">
        <f aca="false">IFERROR(AVERAGEIF($BE$23:$BE$121,3,$B$23:$B$121),BD16)</f>
        <v>0.262540230567739</v>
      </c>
      <c r="BL16" s="17" t="n">
        <f aca="false">IFERROR(AVERAGEIF($BJ$23:$BJ$121,1,$B$23:$B$121),BG16)</f>
        <v>-1.32450247157136</v>
      </c>
      <c r="BM16" s="17" t="n">
        <f aca="false">IFERROR(AVERAGEIF($BJ$23:$BJ$121,2,$B$23:$B$121),BH16)</f>
        <v>0.877397325024024</v>
      </c>
      <c r="BN16" s="17" t="n">
        <f aca="false">IFERROR(AVERAGEIF($BJ$23:$BJ$121,3,$B$23:$B$121),BI16)</f>
        <v>0.262540230567739</v>
      </c>
      <c r="BQ16" s="17" t="n">
        <f aca="false">IFERROR(AVERAGEIF($BO$23:$BO$121,1,$B$23:$B$121),BL16)</f>
        <v>-1.32450247157136</v>
      </c>
      <c r="BR16" s="17" t="n">
        <f aca="false">IFERROR(AVERAGEIF($BO$23:$BO$121,2,$B$23:$B$121),BM16)</f>
        <v>0.877397325024024</v>
      </c>
      <c r="BS16" s="17" t="n">
        <f aca="false">IFERROR(AVERAGEIF($BO$23:$BO$121,3,$B$23:$B$121),BN16)</f>
        <v>0.262540230567739</v>
      </c>
      <c r="BV16" s="17" t="n">
        <f aca="false">IFERROR(AVERAGEIF($BT$23:$BT$121,1,$B$23:$B$121),BQ16)</f>
        <v>-1.32450247157136</v>
      </c>
      <c r="BW16" s="17" t="n">
        <f aca="false">IFERROR(AVERAGEIF($BT$23:$BT$121,2,$B$23:$B$121),BR16)</f>
        <v>0.877397325024024</v>
      </c>
      <c r="BX16" s="17" t="n">
        <f aca="false">IFERROR(AVERAGEIF($BT$23:$BT$121,3,$B$23:$B$121),BS16)</f>
        <v>0.262540230567739</v>
      </c>
      <c r="CA16" s="17" t="n">
        <f aca="false">IFERROR(AVERAGEIF($BY$23:$BY$121,1,$B$23:$B$121),BV16)</f>
        <v>-1.32450247157136</v>
      </c>
      <c r="CB16" s="17" t="n">
        <f aca="false">IFERROR(AVERAGEIF($BY$23:$BY$121,2,$B$23:$B$121),BW16)</f>
        <v>0.877397325024024</v>
      </c>
      <c r="CC16" s="17" t="n">
        <f aca="false">IFERROR(AVERAGEIF($BY$23:$BY$121,3,$B$23:$B$121),BX16)</f>
        <v>0.262540230567739</v>
      </c>
    </row>
    <row r="17" customFormat="false" ht="15" hidden="false" customHeight="false" outlineLevel="0" collapsed="false">
      <c r="K17" s="40" t="s">
        <v>702</v>
      </c>
      <c r="L17" s="17" t="n">
        <f aca="false">IFERROR(AVERAGEIF($E$23:$E$121,1,$C$23:$C$121),0)</f>
        <v>-1.29681127089056</v>
      </c>
      <c r="M17" s="17" t="n">
        <f aca="false">IFERROR(AVERAGEIF($E$23:$E$121,2,$C$23:$C$121),0)</f>
        <v>1.09166623715189</v>
      </c>
      <c r="N17" s="17" t="n">
        <f aca="false">IFERROR(AVERAGEIF($E$23:$E$121,3,$C$23:$C$121),0)</f>
        <v>0.0868470358629052</v>
      </c>
      <c r="W17" s="40" t="s">
        <v>702</v>
      </c>
      <c r="X17" s="17" t="n">
        <f aca="false">INDEX($C$23:$C$121,MATCH($B$8,$A$23:$A$121,0))</f>
        <v>-1.40749747652815</v>
      </c>
      <c r="Y17" s="17" t="n">
        <f aca="false">INDEX($C$23:$C$121,MATCH($B$9,$A$23:$A$121,0))</f>
        <v>1.4772506522283</v>
      </c>
      <c r="Z17" s="17" t="n">
        <f aca="false">INDEX($C$23:$C$121,MATCH($B$10,$A$23:$A$121,0))</f>
        <v>0.778134255051422</v>
      </c>
      <c r="AC17" s="17" t="n">
        <f aca="false">IFERROR(AVERAGEIF($AA$23:$AA$121,1,$C$23:$C$121),X17)</f>
        <v>-1.25309499302345</v>
      </c>
      <c r="AD17" s="17" t="n">
        <f aca="false">IFERROR(AVERAGEIF($AA$23:$AA$121,2,$C$23:$C$121),Y17)</f>
        <v>0.938869608013525</v>
      </c>
      <c r="AE17" s="17" t="n">
        <f aca="false">IFERROR(AVERAGEIF($AA$23:$AA$121,3,$C$23:$C$121),Z17)</f>
        <v>0.157707465476248</v>
      </c>
      <c r="AH17" s="17" t="n">
        <f aca="false">IFERROR(AVERAGEIF($AF$23:$AF$121,1,$C$23:$C$121),AC17)</f>
        <v>-1.28439872019923</v>
      </c>
      <c r="AI17" s="17" t="n">
        <f aca="false">IFERROR(AVERAGEIF($AF$23:$AF$121,2,$C$23:$C$121),AD17)</f>
        <v>1.05917469022161</v>
      </c>
      <c r="AJ17" s="17" t="n">
        <f aca="false">IFERROR(AVERAGEIF($AF$23:$AF$121,3,$C$23:$C$121),AE17)</f>
        <v>0.113157627920711</v>
      </c>
      <c r="AM17" s="17" t="n">
        <f aca="false">IFERROR(AVERAGEIF($AK$23:$AK$121,1,$C$23:$C$121),AH17)</f>
        <v>-1.29681127089056</v>
      </c>
      <c r="AN17" s="17" t="n">
        <f aca="false">IFERROR(AVERAGEIF($AK$23:$AK$121,2,$C$23:$C$121),AI17)</f>
        <v>1.09166623715189</v>
      </c>
      <c r="AO17" s="17" t="n">
        <f aca="false">IFERROR(AVERAGEIF($AK$23:$AK$121,3,$C$23:$C$121),AJ17)</f>
        <v>0.0868470358629052</v>
      </c>
      <c r="AR17" s="17" t="n">
        <f aca="false">IFERROR(AVERAGEIF($AP$23:$AP$121,1,$C$23:$C$121),AM17)</f>
        <v>-1.29681127089056</v>
      </c>
      <c r="AS17" s="17" t="n">
        <f aca="false">IFERROR(AVERAGEIF($AP$23:$AP$121,2,$C$23:$C$121),AN17)</f>
        <v>1.09166623715189</v>
      </c>
      <c r="AT17" s="17" t="n">
        <f aca="false">IFERROR(AVERAGEIF($AP$23:$AP$121,3,$C$23:$C$121),AO17)</f>
        <v>0.0868470358629052</v>
      </c>
      <c r="AW17" s="17" t="n">
        <f aca="false">IFERROR(AVERAGEIF($AU$23:$AU$121,1,$C$23:$C$121),AR17)</f>
        <v>-1.29681127089056</v>
      </c>
      <c r="AX17" s="17" t="n">
        <f aca="false">IFERROR(AVERAGEIF($AU$23:$AU$121,2,$C$23:$C$121),AS17)</f>
        <v>1.09166623715189</v>
      </c>
      <c r="AY17" s="17" t="n">
        <f aca="false">IFERROR(AVERAGEIF($AU$23:$AU$121,3,$C$23:$C$121),AT17)</f>
        <v>0.0868470358629052</v>
      </c>
      <c r="BB17" s="17" t="n">
        <f aca="false">IFERROR(AVERAGEIF($AZ$23:$AZ$121,1,$C$23:$C$121),AW17)</f>
        <v>-1.29681127089056</v>
      </c>
      <c r="BC17" s="17" t="n">
        <f aca="false">IFERROR(AVERAGEIF($AZ$23:$AZ$121,2,$C$23:$C$121),AX17)</f>
        <v>1.09166623715189</v>
      </c>
      <c r="BD17" s="17" t="n">
        <f aca="false">IFERROR(AVERAGEIF($AZ$23:$AZ$121,3,$C$23:$C$121),AY17)</f>
        <v>0.0868470358629052</v>
      </c>
      <c r="BG17" s="17" t="n">
        <f aca="false">IFERROR(AVERAGEIF($BE$23:$BE$121,1,$C$23:$C$121),BB17)</f>
        <v>-1.29681127089056</v>
      </c>
      <c r="BH17" s="17" t="n">
        <f aca="false">IFERROR(AVERAGEIF($BE$23:$BE$121,2,$C$23:$C$121),BC17)</f>
        <v>1.09166623715189</v>
      </c>
      <c r="BI17" s="17" t="n">
        <f aca="false">IFERROR(AVERAGEIF($BE$23:$BE$121,3,$C$23:$C$121),BD17)</f>
        <v>0.0868470358629052</v>
      </c>
      <c r="BL17" s="17" t="n">
        <f aca="false">IFERROR(AVERAGEIF($BJ$23:$BJ$121,1,$C$23:$C$121),BG17)</f>
        <v>-1.29681127089056</v>
      </c>
      <c r="BM17" s="17" t="n">
        <f aca="false">IFERROR(AVERAGEIF($BJ$23:$BJ$121,2,$C$23:$C$121),BH17)</f>
        <v>1.09166623715189</v>
      </c>
      <c r="BN17" s="17" t="n">
        <f aca="false">IFERROR(AVERAGEIF($BJ$23:$BJ$121,3,$C$23:$C$121),BI17)</f>
        <v>0.0868470358629052</v>
      </c>
      <c r="BQ17" s="17" t="n">
        <f aca="false">IFERROR(AVERAGEIF($BO$23:$BO$121,1,$C$23:$C$121),BL17)</f>
        <v>-1.29681127089056</v>
      </c>
      <c r="BR17" s="17" t="n">
        <f aca="false">IFERROR(AVERAGEIF($BO$23:$BO$121,2,$C$23:$C$121),BM17)</f>
        <v>1.09166623715189</v>
      </c>
      <c r="BS17" s="17" t="n">
        <f aca="false">IFERROR(AVERAGEIF($BO$23:$BO$121,3,$C$23:$C$121),BN17)</f>
        <v>0.0868470358629052</v>
      </c>
      <c r="BV17" s="17" t="n">
        <f aca="false">IFERROR(AVERAGEIF($BT$23:$BT$121,1,$C$23:$C$121),BQ17)</f>
        <v>-1.29681127089056</v>
      </c>
      <c r="BW17" s="17" t="n">
        <f aca="false">IFERROR(AVERAGEIF($BT$23:$BT$121,2,$C$23:$C$121),BR17)</f>
        <v>1.09166623715189</v>
      </c>
      <c r="BX17" s="17" t="n">
        <f aca="false">IFERROR(AVERAGEIF($BT$23:$BT$121,3,$C$23:$C$121),BS17)</f>
        <v>0.0868470358629052</v>
      </c>
      <c r="CA17" s="17" t="n">
        <f aca="false">IFERROR(AVERAGEIF($BY$23:$BY$121,1,$C$23:$C$121),BV17)</f>
        <v>-1.29681127089056</v>
      </c>
      <c r="CB17" s="17" t="n">
        <f aca="false">IFERROR(AVERAGEIF($BY$23:$BY$121,2,$C$23:$C$121),BW17)</f>
        <v>1.09166623715189</v>
      </c>
      <c r="CC17" s="17" t="n">
        <f aca="false">IFERROR(AVERAGEIF($BY$23:$BY$121,3,$C$23:$C$121),BX17)</f>
        <v>0.0868470358629052</v>
      </c>
    </row>
    <row r="18" customFormat="false" ht="15" hidden="false" customHeight="false" outlineLevel="0" collapsed="false">
      <c r="K18" s="40" t="s">
        <v>703</v>
      </c>
      <c r="L18" s="17" t="n">
        <f aca="false">IFERROR(AVERAGEIF($E$23:$E$121,1,$D$23:$D$121),0)</f>
        <v>-1.18872620324244</v>
      </c>
      <c r="M18" s="17" t="n">
        <f aca="false">IFERROR(AVERAGEIF($E$23:$E$121,2,$D$23:$D$121),0)</f>
        <v>1.14887209593485</v>
      </c>
      <c r="N18" s="17" t="n">
        <f aca="false">IFERROR(AVERAGEIF($E$23:$E$121,3,$D$23:$D$121),0)</f>
        <v>-0.0288251021282211</v>
      </c>
      <c r="W18" s="40" t="s">
        <v>703</v>
      </c>
      <c r="X18" s="17" t="n">
        <f aca="false">INDEX($D$23:$D$121,MATCH($B$8,$A$23:$A$121,0))</f>
        <v>-1.27778805060034</v>
      </c>
      <c r="Y18" s="17" t="n">
        <f aca="false">INDEX($D$23:$D$121,MATCH($B$9,$A$23:$A$121,0))</f>
        <v>1.64234547192197</v>
      </c>
      <c r="Z18" s="17" t="n">
        <f aca="false">INDEX($D$23:$D$121,MATCH($B$10,$A$23:$A$121,0))</f>
        <v>-1.27778805060034</v>
      </c>
      <c r="AC18" s="17" t="n">
        <f aca="false">IFERROR(AVERAGEIF($AA$23:$AA$121,1,$D$23:$D$121),X18)</f>
        <v>-1.11607435938586</v>
      </c>
      <c r="AD18" s="17" t="n">
        <f aca="false">IFERROR(AVERAGEIF($AA$23:$AA$121,2,$D$23:$D$121),Y18)</f>
        <v>1.07540670992857</v>
      </c>
      <c r="AE18" s="17" t="n">
        <f aca="false">IFERROR(AVERAGEIF($AA$23:$AA$121,3,$D$23:$D$121),Z18)</f>
        <v>-0.128635513014589</v>
      </c>
      <c r="AH18" s="17" t="n">
        <f aca="false">IFERROR(AVERAGEIF($AF$23:$AF$121,1,$D$23:$D$121),AC18)</f>
        <v>-1.16795214195387</v>
      </c>
      <c r="AI18" s="17" t="n">
        <f aca="false">IFERROR(AVERAGEIF($AF$23:$AF$121,2,$D$23:$D$121),AD18)</f>
        <v>1.14015197614978</v>
      </c>
      <c r="AJ18" s="17" t="n">
        <f aca="false">IFERROR(AVERAGEIF($AF$23:$AF$121,3,$D$23:$D$121),AE18)</f>
        <v>-0.0377974139482328</v>
      </c>
      <c r="AM18" s="17" t="n">
        <f aca="false">IFERROR(AVERAGEIF($AK$23:$AK$121,1,$D$23:$D$121),AH18)</f>
        <v>-1.18872620324244</v>
      </c>
      <c r="AN18" s="17" t="n">
        <f aca="false">IFERROR(AVERAGEIF($AK$23:$AK$121,2,$D$23:$D$121),AI18)</f>
        <v>1.14887209593485</v>
      </c>
      <c r="AO18" s="17" t="n">
        <f aca="false">IFERROR(AVERAGEIF($AK$23:$AK$121,3,$D$23:$D$121),AJ18)</f>
        <v>-0.0288251021282211</v>
      </c>
      <c r="AR18" s="17" t="n">
        <f aca="false">IFERROR(AVERAGEIF($AP$23:$AP$121,1,$D$23:$D$121),AM18)</f>
        <v>-1.18872620324244</v>
      </c>
      <c r="AS18" s="17" t="n">
        <f aca="false">IFERROR(AVERAGEIF($AP$23:$AP$121,2,$D$23:$D$121),AN18)</f>
        <v>1.14887209593485</v>
      </c>
      <c r="AT18" s="17" t="n">
        <f aca="false">IFERROR(AVERAGEIF($AP$23:$AP$121,3,$D$23:$D$121),AO18)</f>
        <v>-0.0288251021282211</v>
      </c>
      <c r="AW18" s="17" t="n">
        <f aca="false">IFERROR(AVERAGEIF($AU$23:$AU$121,1,$D$23:$D$121),AR18)</f>
        <v>-1.18872620324244</v>
      </c>
      <c r="AX18" s="17" t="n">
        <f aca="false">IFERROR(AVERAGEIF($AU$23:$AU$121,2,$D$23:$D$121),AS18)</f>
        <v>1.14887209593485</v>
      </c>
      <c r="AY18" s="17" t="n">
        <f aca="false">IFERROR(AVERAGEIF($AU$23:$AU$121,3,$D$23:$D$121),AT18)</f>
        <v>-0.0288251021282211</v>
      </c>
      <c r="BB18" s="17" t="n">
        <f aca="false">IFERROR(AVERAGEIF($AZ$23:$AZ$121,1,$D$23:$D$121),AW18)</f>
        <v>-1.18872620324244</v>
      </c>
      <c r="BC18" s="17" t="n">
        <f aca="false">IFERROR(AVERAGEIF($AZ$23:$AZ$121,2,$D$23:$D$121),AX18)</f>
        <v>1.14887209593485</v>
      </c>
      <c r="BD18" s="17" t="n">
        <f aca="false">IFERROR(AVERAGEIF($AZ$23:$AZ$121,3,$D$23:$D$121),AY18)</f>
        <v>-0.0288251021282211</v>
      </c>
      <c r="BG18" s="17" t="n">
        <f aca="false">IFERROR(AVERAGEIF($BE$23:$BE$121,1,$D$23:$D$121),BB18)</f>
        <v>-1.18872620324244</v>
      </c>
      <c r="BH18" s="17" t="n">
        <f aca="false">IFERROR(AVERAGEIF($BE$23:$BE$121,2,$D$23:$D$121),BC18)</f>
        <v>1.14887209593485</v>
      </c>
      <c r="BI18" s="17" t="n">
        <f aca="false">IFERROR(AVERAGEIF($BE$23:$BE$121,3,$D$23:$D$121),BD18)</f>
        <v>-0.0288251021282211</v>
      </c>
      <c r="BL18" s="17" t="n">
        <f aca="false">IFERROR(AVERAGEIF($BJ$23:$BJ$121,1,$D$23:$D$121),BG18)</f>
        <v>-1.18872620324244</v>
      </c>
      <c r="BM18" s="17" t="n">
        <f aca="false">IFERROR(AVERAGEIF($BJ$23:$BJ$121,2,$D$23:$D$121),BH18)</f>
        <v>1.14887209593485</v>
      </c>
      <c r="BN18" s="17" t="n">
        <f aca="false">IFERROR(AVERAGEIF($BJ$23:$BJ$121,3,$D$23:$D$121),BI18)</f>
        <v>-0.0288251021282211</v>
      </c>
      <c r="BQ18" s="17" t="n">
        <f aca="false">IFERROR(AVERAGEIF($BO$23:$BO$121,1,$D$23:$D$121),BL18)</f>
        <v>-1.18872620324244</v>
      </c>
      <c r="BR18" s="17" t="n">
        <f aca="false">IFERROR(AVERAGEIF($BO$23:$BO$121,2,$D$23:$D$121),BM18)</f>
        <v>1.14887209593485</v>
      </c>
      <c r="BS18" s="17" t="n">
        <f aca="false">IFERROR(AVERAGEIF($BO$23:$BO$121,3,$D$23:$D$121),BN18)</f>
        <v>-0.0288251021282211</v>
      </c>
      <c r="BV18" s="17" t="n">
        <f aca="false">IFERROR(AVERAGEIF($BT$23:$BT$121,1,$D$23:$D$121),BQ18)</f>
        <v>-1.18872620324244</v>
      </c>
      <c r="BW18" s="17" t="n">
        <f aca="false">IFERROR(AVERAGEIF($BT$23:$BT$121,2,$D$23:$D$121),BR18)</f>
        <v>1.14887209593485</v>
      </c>
      <c r="BX18" s="17" t="n">
        <f aca="false">IFERROR(AVERAGEIF($BT$23:$BT$121,3,$D$23:$D$121),BS18)</f>
        <v>-0.0288251021282211</v>
      </c>
      <c r="CA18" s="17" t="n">
        <f aca="false">IFERROR(AVERAGEIF($BY$23:$BY$121,1,$D$23:$D$121),BV18)</f>
        <v>-1.18872620324244</v>
      </c>
      <c r="CB18" s="17" t="n">
        <f aca="false">IFERROR(AVERAGEIF($BY$23:$BY$121,2,$D$23:$D$121),BW18)</f>
        <v>1.14887209593485</v>
      </c>
      <c r="CC18" s="17" t="n">
        <f aca="false">IFERROR(AVERAGEIF($BY$23:$BY$121,3,$D$23:$D$121),BX18)</f>
        <v>-0.0288251021282211</v>
      </c>
    </row>
    <row r="19" customFormat="false" ht="15" hidden="false" customHeight="false" outlineLevel="0" collapsed="false">
      <c r="K19" s="40" t="s">
        <v>731</v>
      </c>
      <c r="L19" s="15" t="n">
        <f aca="false">COUNTIF($E$23:$E$121,1)</f>
        <v>28</v>
      </c>
      <c r="M19" s="15" t="n">
        <f aca="false">COUNTIF($E$23:$E$121,2)</f>
        <v>30</v>
      </c>
      <c r="N19" s="15" t="n">
        <f aca="false">COUNTIF($E$23:$E$121,3)</f>
        <v>41</v>
      </c>
      <c r="W19" s="40" t="s">
        <v>731</v>
      </c>
      <c r="X19" s="15" t="n">
        <f aca="false">COUNTIF($AA$23:$AA$121,1)</f>
        <v>31</v>
      </c>
      <c r="Y19" s="15" t="n">
        <f aca="false">COUNTIF($AA$23:$AA$121,2)</f>
        <v>36</v>
      </c>
      <c r="Z19" s="15" t="n">
        <f aca="false">COUNTIF($AA$23:$AA$121,3)</f>
        <v>32</v>
      </c>
      <c r="AC19" s="15" t="n">
        <f aca="false">COUNTIF($AF$23:$AF$121,1)</f>
        <v>29</v>
      </c>
      <c r="AD19" s="15" t="n">
        <f aca="false">COUNTIF($AF$23:$AF$121,2)</f>
        <v>31</v>
      </c>
      <c r="AE19" s="15" t="n">
        <f aca="false">COUNTIF($AF$23:$AF$121,3)</f>
        <v>39</v>
      </c>
      <c r="AH19" s="15" t="n">
        <f aca="false">COUNTIF($AK$23:$AK$121,1)</f>
        <v>28</v>
      </c>
      <c r="AI19" s="15" t="n">
        <f aca="false">COUNTIF($AK$23:$AK$121,2)</f>
        <v>30</v>
      </c>
      <c r="AJ19" s="15" t="n">
        <f aca="false">COUNTIF($AK$23:$AK$121,3)</f>
        <v>41</v>
      </c>
      <c r="AM19" s="15" t="n">
        <f aca="false">COUNTIF($AP$23:$AP$121,1)</f>
        <v>28</v>
      </c>
      <c r="AN19" s="15" t="n">
        <f aca="false">COUNTIF($AP$23:$AP$121,2)</f>
        <v>30</v>
      </c>
      <c r="AO19" s="15" t="n">
        <f aca="false">COUNTIF($AP$23:$AP$121,3)</f>
        <v>41</v>
      </c>
      <c r="AR19" s="15" t="n">
        <f aca="false">COUNTIF($AU$23:$AU$121,1)</f>
        <v>28</v>
      </c>
      <c r="AS19" s="15" t="n">
        <f aca="false">COUNTIF($AU$23:$AU$121,2)</f>
        <v>30</v>
      </c>
      <c r="AT19" s="15" t="n">
        <f aca="false">COUNTIF($AU$23:$AU$121,3)</f>
        <v>41</v>
      </c>
      <c r="AW19" s="15" t="n">
        <f aca="false">COUNTIF($AZ$23:$AZ$121,1)</f>
        <v>28</v>
      </c>
      <c r="AX19" s="15" t="n">
        <f aca="false">COUNTIF($AZ$23:$AZ$121,2)</f>
        <v>30</v>
      </c>
      <c r="AY19" s="15" t="n">
        <f aca="false">COUNTIF($AZ$23:$AZ$121,3)</f>
        <v>41</v>
      </c>
      <c r="BB19" s="15" t="n">
        <f aca="false">COUNTIF($BE$23:$BE$121,1)</f>
        <v>28</v>
      </c>
      <c r="BC19" s="15" t="n">
        <f aca="false">COUNTIF($BE$23:$BE$121,2)</f>
        <v>30</v>
      </c>
      <c r="BD19" s="15" t="n">
        <f aca="false">COUNTIF($BE$23:$BE$121,3)</f>
        <v>41</v>
      </c>
      <c r="BG19" s="15" t="n">
        <f aca="false">COUNTIF($BJ$23:$BJ$121,1)</f>
        <v>28</v>
      </c>
      <c r="BH19" s="15" t="n">
        <f aca="false">COUNTIF($BJ$23:$BJ$121,2)</f>
        <v>30</v>
      </c>
      <c r="BI19" s="15" t="n">
        <f aca="false">COUNTIF($BJ$23:$BJ$121,3)</f>
        <v>41</v>
      </c>
      <c r="BL19" s="15" t="n">
        <f aca="false">COUNTIF($BO$23:$BO$121,1)</f>
        <v>28</v>
      </c>
      <c r="BM19" s="15" t="n">
        <f aca="false">COUNTIF($BO$23:$BO$121,2)</f>
        <v>30</v>
      </c>
      <c r="BN19" s="15" t="n">
        <f aca="false">COUNTIF($BO$23:$BO$121,3)</f>
        <v>41</v>
      </c>
      <c r="BQ19" s="15" t="n">
        <f aca="false">COUNTIF($BT$23:$BT$121,1)</f>
        <v>28</v>
      </c>
      <c r="BR19" s="15" t="n">
        <f aca="false">COUNTIF($BT$23:$BT$121,2)</f>
        <v>30</v>
      </c>
      <c r="BS19" s="15" t="n">
        <f aca="false">COUNTIF($BT$23:$BT$121,3)</f>
        <v>41</v>
      </c>
      <c r="BV19" s="15" t="n">
        <f aca="false">COUNTIF($BY$23:$BY$121,1)</f>
        <v>28</v>
      </c>
      <c r="BW19" s="15" t="n">
        <f aca="false">COUNTIF($BY$23:$BY$121,2)</f>
        <v>30</v>
      </c>
      <c r="BX19" s="15" t="n">
        <f aca="false">COUNTIF($BY$23:$BY$121,3)</f>
        <v>41</v>
      </c>
      <c r="CA19" s="15" t="n">
        <f aca="false">COUNTIF($CD$23:$CD$121,1)</f>
        <v>28</v>
      </c>
      <c r="CB19" s="15" t="n">
        <f aca="false">COUNTIF($CD$23:$CD$121,2)</f>
        <v>30</v>
      </c>
      <c r="CC19" s="15" t="n">
        <f aca="false">COUNTIF($CD$23:$CD$121,3)</f>
        <v>41</v>
      </c>
    </row>
    <row r="20" customFormat="false" ht="15" hidden="false" customHeight="false" outlineLevel="0" collapsed="false">
      <c r="K20" s="40" t="s">
        <v>732</v>
      </c>
      <c r="L20" s="17" t="n">
        <f aca="false">SUMIF($E$23:$E$121,1,$F$23:$F$121)</f>
        <v>19.0697337963006</v>
      </c>
      <c r="M20" s="17" t="n">
        <f aca="false">SUMIF($E$23:$E$121,2,$F$23:$F$121)</f>
        <v>6.97047837667607</v>
      </c>
      <c r="N20" s="17" t="n">
        <f aca="false">SUMIF($E$23:$E$121,3,$F$23:$F$121)</f>
        <v>30.5717153621628</v>
      </c>
      <c r="W20" s="40" t="s">
        <v>733</v>
      </c>
      <c r="AA20" s="12" t="s">
        <v>734</v>
      </c>
      <c r="AF20" s="15" t="n">
        <f aca="false">SUMPRODUCT(--($AF$23:$AF$121&lt;&gt;$AA$23:$AA$121))</f>
        <v>7</v>
      </c>
      <c r="AK20" s="15" t="n">
        <f aca="false">SUMPRODUCT(--($AK$23:$AK$121&lt;&gt;$AF$23:$AF$121))</f>
        <v>2</v>
      </c>
      <c r="AP20" s="15" t="n">
        <f aca="false">SUMPRODUCT(--($AP$23:$AP$121&lt;&gt;$AK$23:$AK$121))</f>
        <v>0</v>
      </c>
      <c r="AU20" s="15" t="n">
        <f aca="false">SUMPRODUCT(--($AU$23:$AU$121&lt;&gt;$AP$23:$AP$121))</f>
        <v>0</v>
      </c>
      <c r="AZ20" s="15" t="n">
        <f aca="false">SUMPRODUCT(--($AZ$23:$AZ$121&lt;&gt;$AU$23:$AU$121))</f>
        <v>0</v>
      </c>
      <c r="BE20" s="15" t="n">
        <f aca="false">SUMPRODUCT(--($BE$23:$BE$121&lt;&gt;$AZ$23:$AZ$121))</f>
        <v>0</v>
      </c>
      <c r="BJ20" s="15" t="n">
        <f aca="false">SUMPRODUCT(--($BJ$23:$BJ$121&lt;&gt;$BE$23:$BE$121))</f>
        <v>0</v>
      </c>
      <c r="BO20" s="15" t="n">
        <f aca="false">SUMPRODUCT(--($BO$23:$BO$121&lt;&gt;$BJ$23:$BJ$121))</f>
        <v>0</v>
      </c>
      <c r="BT20" s="15" t="n">
        <f aca="false">SUMPRODUCT(--($BT$23:$BT$121&lt;&gt;$BO$23:$BO$121))</f>
        <v>0</v>
      </c>
      <c r="BY20" s="15" t="n">
        <f aca="false">SUMPRODUCT(--($BY$23:$BY$121&lt;&gt;$BT$23:$BT$121))</f>
        <v>0</v>
      </c>
      <c r="CD20" s="15" t="n">
        <f aca="false">SUMPRODUCT(--($CD$23:$CD$121&lt;&gt;$BY$23:$BY$121))</f>
        <v>0</v>
      </c>
    </row>
    <row r="21" customFormat="false" ht="15" hidden="false" customHeight="false" outlineLevel="0" collapsed="false">
      <c r="K21" s="40" t="s">
        <v>526</v>
      </c>
      <c r="L21" s="70" t="n">
        <f aca="false">SUM($F$23:$F$121)</f>
        <v>56.6119275351395</v>
      </c>
      <c r="M21" s="40" t="s">
        <v>52</v>
      </c>
      <c r="N21" s="36" t="str">
        <f aca="false">IF(CD20=0,"Converged","Not converged: more iterations needed")</f>
        <v>Converged</v>
      </c>
    </row>
    <row r="22" customFormat="false" ht="31.5" hidden="false" customHeight="true" outlineLevel="0" collapsed="false">
      <c r="A22" s="10" t="s">
        <v>735</v>
      </c>
      <c r="B22" s="10" t="s">
        <v>701</v>
      </c>
      <c r="C22" s="10" t="s">
        <v>702</v>
      </c>
      <c r="D22" s="10" t="s">
        <v>703</v>
      </c>
      <c r="E22" s="10" t="s">
        <v>707</v>
      </c>
      <c r="F22" s="10" t="s">
        <v>736</v>
      </c>
      <c r="G22" s="10" t="s">
        <v>708</v>
      </c>
      <c r="X22" s="10" t="s">
        <v>740</v>
      </c>
      <c r="Y22" s="10" t="s">
        <v>741</v>
      </c>
      <c r="Z22" s="10" t="s">
        <v>742</v>
      </c>
      <c r="AA22" s="10" t="s">
        <v>707</v>
      </c>
      <c r="AC22" s="10" t="s">
        <v>740</v>
      </c>
      <c r="AD22" s="10" t="s">
        <v>741</v>
      </c>
      <c r="AE22" s="10" t="s">
        <v>742</v>
      </c>
      <c r="AF22" s="10" t="s">
        <v>707</v>
      </c>
      <c r="AH22" s="10" t="s">
        <v>740</v>
      </c>
      <c r="AI22" s="10" t="s">
        <v>741</v>
      </c>
      <c r="AJ22" s="10" t="s">
        <v>742</v>
      </c>
      <c r="AK22" s="10" t="s">
        <v>707</v>
      </c>
      <c r="AM22" s="10" t="s">
        <v>740</v>
      </c>
      <c r="AN22" s="10" t="s">
        <v>741</v>
      </c>
      <c r="AO22" s="10" t="s">
        <v>742</v>
      </c>
      <c r="AP22" s="10" t="s">
        <v>707</v>
      </c>
      <c r="AR22" s="10" t="s">
        <v>740</v>
      </c>
      <c r="AS22" s="10" t="s">
        <v>741</v>
      </c>
      <c r="AT22" s="10" t="s">
        <v>742</v>
      </c>
      <c r="AU22" s="10" t="s">
        <v>707</v>
      </c>
      <c r="AW22" s="10" t="s">
        <v>740</v>
      </c>
      <c r="AX22" s="10" t="s">
        <v>741</v>
      </c>
      <c r="AY22" s="10" t="s">
        <v>742</v>
      </c>
      <c r="AZ22" s="10" t="s">
        <v>707</v>
      </c>
      <c r="BB22" s="10" t="s">
        <v>740</v>
      </c>
      <c r="BC22" s="10" t="s">
        <v>741</v>
      </c>
      <c r="BD22" s="10" t="s">
        <v>742</v>
      </c>
      <c r="BE22" s="10" t="s">
        <v>707</v>
      </c>
      <c r="BG22" s="10" t="s">
        <v>740</v>
      </c>
      <c r="BH22" s="10" t="s">
        <v>741</v>
      </c>
      <c r="BI22" s="10" t="s">
        <v>742</v>
      </c>
      <c r="BJ22" s="10" t="s">
        <v>707</v>
      </c>
      <c r="BL22" s="10" t="s">
        <v>740</v>
      </c>
      <c r="BM22" s="10" t="s">
        <v>741</v>
      </c>
      <c r="BN22" s="10" t="s">
        <v>742</v>
      </c>
      <c r="BO22" s="10" t="s">
        <v>707</v>
      </c>
      <c r="BQ22" s="10" t="s">
        <v>740</v>
      </c>
      <c r="BR22" s="10" t="s">
        <v>741</v>
      </c>
      <c r="BS22" s="10" t="s">
        <v>742</v>
      </c>
      <c r="BT22" s="10" t="s">
        <v>707</v>
      </c>
      <c r="BV22" s="10" t="s">
        <v>740</v>
      </c>
      <c r="BW22" s="10" t="s">
        <v>741</v>
      </c>
      <c r="BX22" s="10" t="s">
        <v>742</v>
      </c>
      <c r="BY22" s="10" t="s">
        <v>707</v>
      </c>
      <c r="CA22" s="10" t="s">
        <v>740</v>
      </c>
      <c r="CB22" s="10" t="s">
        <v>741</v>
      </c>
      <c r="CC22" s="10" t="s">
        <v>742</v>
      </c>
      <c r="CD22" s="10" t="s">
        <v>707</v>
      </c>
    </row>
    <row r="23" customFormat="false" ht="15" hidden="false" customHeight="false" outlineLevel="0" collapsed="false">
      <c r="A23" s="76" t="n">
        <f aca="false">Phase_Data!A5</f>
        <v>43887</v>
      </c>
      <c r="B23" s="17" t="n">
        <f aca="false">Phase_Data!K5</f>
        <v>-1.56354953678524</v>
      </c>
      <c r="C23" s="17" t="n">
        <f aca="false">Phase_Data!L5</f>
        <v>-1.40749747652815</v>
      </c>
      <c r="D23" s="17" t="n">
        <f aca="false">Phase_Data!M5</f>
        <v>-1.27778805060034</v>
      </c>
      <c r="E23" s="63" t="n">
        <f aca="false">CD23</f>
        <v>1</v>
      </c>
      <c r="F23" s="38" t="n">
        <f aca="false">($B23-INDEX($L$16:$N$16,E23))^2+($C23-INDEX($L$17:$N$17,E23))^2+($D23-INDEX($L$18:$N$18,E23))^2</f>
        <v>0.0773269481606208</v>
      </c>
      <c r="G23" s="12" t="str">
        <f aca="false">INDEX($M$5:$M$7,E23)</f>
        <v>Low activity</v>
      </c>
      <c r="X23" s="17" t="n">
        <f aca="false">SQRT(($B23-X$16)^2+($C23-X$17)^2+($D23-X$18)^2)</f>
        <v>0</v>
      </c>
      <c r="Y23" s="17" t="n">
        <f aca="false">SQRT(($B23-Y$16)^2+($C23-Y$17)^2+($D23-Y$18)^2)</f>
        <v>4.95871515419071</v>
      </c>
      <c r="Z23" s="17" t="n">
        <f aca="false">SQRT(($B23-Z$16)^2+($C23-Z$17)^2+($D23-Z$18)^2)</f>
        <v>3.11929885536808</v>
      </c>
      <c r="AA23" s="63" t="n">
        <f aca="false">MATCH(MIN(X23:Z23),X23:Z23,0)</f>
        <v>1</v>
      </c>
      <c r="AC23" s="17" t="n">
        <f aca="false">SQRT(($B23-AC$16)^2+($C23-AC$17)^2+($D23-AC$18)^2)</f>
        <v>0.413932925983393</v>
      </c>
      <c r="AD23" s="17" t="n">
        <f aca="false">SQRT(($B23-AD$16)^2+($C23-AD$17)^2+($D23-AD$18)^2)</f>
        <v>4.06467149910154</v>
      </c>
      <c r="AE23" s="17" t="n">
        <f aca="false">SQRT(($B23-AE$16)^2+($C23-AE$17)^2+($D23-AE$18)^2)</f>
        <v>2.69340211447513</v>
      </c>
      <c r="AF23" s="63" t="n">
        <f aca="false">MATCH(MIN(AC23:AE23),AC23:AE23,0)</f>
        <v>1</v>
      </c>
      <c r="AH23" s="17" t="n">
        <f aca="false">SQRT(($B23-AH$16)^2+($C23-AH$17)^2+($D23-AH$18)^2)</f>
        <v>0.324085321107018</v>
      </c>
      <c r="AI23" s="17" t="n">
        <f aca="false">SQRT(($B23-AI$16)^2+($C23-AI$17)^2+($D23-AI$18)^2)</f>
        <v>4.22187934398233</v>
      </c>
      <c r="AJ23" s="17" t="n">
        <f aca="false">SQRT(($B23-AJ$16)^2+($C23-AJ$17)^2+($D23-AJ$18)^2)</f>
        <v>2.68439067518235</v>
      </c>
      <c r="AK23" s="63" t="n">
        <f aca="false">MATCH(MIN(AH23:AJ23),AH23:AJ23,0)</f>
        <v>1</v>
      </c>
      <c r="AM23" s="17" t="n">
        <f aca="false">SQRT(($B23-AM$16)^2+($C23-AM$17)^2+($D23-AM$18)^2)</f>
        <v>0.278077234164577</v>
      </c>
      <c r="AN23" s="17" t="n">
        <f aca="false">SQRT(($B23-AN$16)^2+($C23-AN$17)^2+($D23-AN$18)^2)</f>
        <v>4.2535538455195</v>
      </c>
      <c r="AO23" s="17" t="n">
        <f aca="false">SQRT(($B23-AO$16)^2+($C23-AO$17)^2+($D23-AO$18)^2)</f>
        <v>2.66975238679558</v>
      </c>
      <c r="AP23" s="63" t="n">
        <f aca="false">MATCH(MIN(AM23:AO23),AM23:AO23,0)</f>
        <v>1</v>
      </c>
      <c r="AR23" s="17" t="n">
        <f aca="false">SQRT(($B23-AR$16)^2+($C23-AR$17)^2+($D23-AR$18)^2)</f>
        <v>0.278077234164577</v>
      </c>
      <c r="AS23" s="17" t="n">
        <f aca="false">SQRT(($B23-AS$16)^2+($C23-AS$17)^2+($D23-AS$18)^2)</f>
        <v>4.2535538455195</v>
      </c>
      <c r="AT23" s="17" t="n">
        <f aca="false">SQRT(($B23-AT$16)^2+($C23-AT$17)^2+($D23-AT$18)^2)</f>
        <v>2.66975238679558</v>
      </c>
      <c r="AU23" s="63" t="n">
        <f aca="false">MATCH(MIN(AR23:AT23),AR23:AT23,0)</f>
        <v>1</v>
      </c>
      <c r="AW23" s="17" t="n">
        <f aca="false">SQRT(($B23-AW$16)^2+($C23-AW$17)^2+($D23-AW$18)^2)</f>
        <v>0.278077234164577</v>
      </c>
      <c r="AX23" s="17" t="n">
        <f aca="false">SQRT(($B23-AX$16)^2+($C23-AX$17)^2+($D23-AX$18)^2)</f>
        <v>4.2535538455195</v>
      </c>
      <c r="AY23" s="17" t="n">
        <f aca="false">SQRT(($B23-AY$16)^2+($C23-AY$17)^2+($D23-AY$18)^2)</f>
        <v>2.66975238679558</v>
      </c>
      <c r="AZ23" s="63" t="n">
        <f aca="false">MATCH(MIN(AW23:AY23),AW23:AY23,0)</f>
        <v>1</v>
      </c>
      <c r="BB23" s="17" t="n">
        <f aca="false">SQRT(($B23-BB$16)^2+($C23-BB$17)^2+($D23-BB$18)^2)</f>
        <v>0.278077234164577</v>
      </c>
      <c r="BC23" s="17" t="n">
        <f aca="false">SQRT(($B23-BC$16)^2+($C23-BC$17)^2+($D23-BC$18)^2)</f>
        <v>4.2535538455195</v>
      </c>
      <c r="BD23" s="17" t="n">
        <f aca="false">SQRT(($B23-BD$16)^2+($C23-BD$17)^2+($D23-BD$18)^2)</f>
        <v>2.66975238679558</v>
      </c>
      <c r="BE23" s="63" t="n">
        <f aca="false">MATCH(MIN(BB23:BD23),BB23:BD23,0)</f>
        <v>1</v>
      </c>
      <c r="BG23" s="17" t="n">
        <f aca="false">SQRT(($B23-BG$16)^2+($C23-BG$17)^2+($D23-BG$18)^2)</f>
        <v>0.278077234164577</v>
      </c>
      <c r="BH23" s="17" t="n">
        <f aca="false">SQRT(($B23-BH$16)^2+($C23-BH$17)^2+($D23-BH$18)^2)</f>
        <v>4.2535538455195</v>
      </c>
      <c r="BI23" s="17" t="n">
        <f aca="false">SQRT(($B23-BI$16)^2+($C23-BI$17)^2+($D23-BI$18)^2)</f>
        <v>2.66975238679558</v>
      </c>
      <c r="BJ23" s="63" t="n">
        <f aca="false">MATCH(MIN(BG23:BI23),BG23:BI23,0)</f>
        <v>1</v>
      </c>
      <c r="BL23" s="17" t="n">
        <f aca="false">SQRT(($B23-BL$16)^2+($C23-BL$17)^2+($D23-BL$18)^2)</f>
        <v>0.278077234164577</v>
      </c>
      <c r="BM23" s="17" t="n">
        <f aca="false">SQRT(($B23-BM$16)^2+($C23-BM$17)^2+($D23-BM$18)^2)</f>
        <v>4.2535538455195</v>
      </c>
      <c r="BN23" s="17" t="n">
        <f aca="false">SQRT(($B23-BN$16)^2+($C23-BN$17)^2+($D23-BN$18)^2)</f>
        <v>2.66975238679558</v>
      </c>
      <c r="BO23" s="63" t="n">
        <f aca="false">MATCH(MIN(BL23:BN23),BL23:BN23,0)</f>
        <v>1</v>
      </c>
      <c r="BQ23" s="17" t="n">
        <f aca="false">SQRT(($B23-BQ$16)^2+($C23-BQ$17)^2+($D23-BQ$18)^2)</f>
        <v>0.278077234164577</v>
      </c>
      <c r="BR23" s="17" t="n">
        <f aca="false">SQRT(($B23-BR$16)^2+($C23-BR$17)^2+($D23-BR$18)^2)</f>
        <v>4.2535538455195</v>
      </c>
      <c r="BS23" s="17" t="n">
        <f aca="false">SQRT(($B23-BS$16)^2+($C23-BS$17)^2+($D23-BS$18)^2)</f>
        <v>2.66975238679558</v>
      </c>
      <c r="BT23" s="63" t="n">
        <f aca="false">MATCH(MIN(BQ23:BS23),BQ23:BS23,0)</f>
        <v>1</v>
      </c>
      <c r="BV23" s="17" t="n">
        <f aca="false">SQRT(($B23-BV$16)^2+($C23-BV$17)^2+($D23-BV$18)^2)</f>
        <v>0.278077234164577</v>
      </c>
      <c r="BW23" s="17" t="n">
        <f aca="false">SQRT(($B23-BW$16)^2+($C23-BW$17)^2+($D23-BW$18)^2)</f>
        <v>4.2535538455195</v>
      </c>
      <c r="BX23" s="17" t="n">
        <f aca="false">SQRT(($B23-BX$16)^2+($C23-BX$17)^2+($D23-BX$18)^2)</f>
        <v>2.66975238679558</v>
      </c>
      <c r="BY23" s="63" t="n">
        <f aca="false">MATCH(MIN(BV23:BX23),BV23:BX23,0)</f>
        <v>1</v>
      </c>
      <c r="CA23" s="17" t="n">
        <f aca="false">SQRT(($B23-CA$16)^2+($C23-CA$17)^2+($D23-CA$18)^2)</f>
        <v>0.278077234164577</v>
      </c>
      <c r="CB23" s="17" t="n">
        <f aca="false">SQRT(($B23-CB$16)^2+($C23-CB$17)^2+($D23-CB$18)^2)</f>
        <v>4.2535538455195</v>
      </c>
      <c r="CC23" s="17" t="n">
        <f aca="false">SQRT(($B23-CC$16)^2+($C23-CC$17)^2+($D23-CC$18)^2)</f>
        <v>2.66975238679558</v>
      </c>
      <c r="CD23" s="63" t="n">
        <f aca="false">MATCH(MIN(CA23:CC23),CA23:CC23,0)</f>
        <v>1</v>
      </c>
    </row>
    <row r="24" customFormat="false" ht="15" hidden="false" customHeight="false" outlineLevel="0" collapsed="false">
      <c r="A24" s="76" t="n">
        <f aca="false">Phase_Data!A6</f>
        <v>43888</v>
      </c>
      <c r="B24" s="17" t="n">
        <f aca="false">Phase_Data!K6</f>
        <v>-2.11714711761866</v>
      </c>
      <c r="C24" s="17" t="n">
        <f aca="false">Phase_Data!L6</f>
        <v>-1.40749747652815</v>
      </c>
      <c r="D24" s="17" t="n">
        <f aca="false">Phase_Data!M6</f>
        <v>-1.27778805060034</v>
      </c>
      <c r="E24" s="63" t="n">
        <f aca="false">CD24</f>
        <v>1</v>
      </c>
      <c r="F24" s="38" t="n">
        <f aca="false">($B24-INDEX($L$16:$N$16,E24))^2+($C24-INDEX($L$17:$N$17,E24))^2+($D24-INDEX($L$18:$N$18,E24))^2</f>
        <v>0.648468983680698</v>
      </c>
      <c r="G24" s="12" t="str">
        <f aca="false">INDEX($M$5:$M$7,E24)</f>
        <v>Low activity</v>
      </c>
      <c r="X24" s="17" t="n">
        <f aca="false">SQRT(($B24-X$16)^2+($C24-X$17)^2+($D24-X$18)^2)</f>
        <v>0.553597580833412</v>
      </c>
      <c r="Y24" s="17" t="n">
        <f aca="false">SQRT(($B24-Y$16)^2+($C24-Y$17)^2+($D24-Y$18)^2)</f>
        <v>5.28919832322922</v>
      </c>
      <c r="Z24" s="17" t="n">
        <f aca="false">SQRT(($B24-Z$16)^2+($C24-Z$17)^2+($D24-Z$18)^2)</f>
        <v>3.53561953337552</v>
      </c>
      <c r="AA24" s="63" t="n">
        <f aca="false">MATCH(MIN(X24:Z24),X24:Z24,0)</f>
        <v>1</v>
      </c>
      <c r="AC24" s="17" t="n">
        <f aca="false">SQRT(($B24-AC$16)^2+($C24-AC$17)^2+($D24-AC$18)^2)</f>
        <v>0.929249293267748</v>
      </c>
      <c r="AD24" s="17" t="n">
        <f aca="false">SQRT(($B24-AD$16)^2+($C24-AD$17)^2+($D24-AD$18)^2)</f>
        <v>4.40676397246967</v>
      </c>
      <c r="AE24" s="17" t="n">
        <f aca="false">SQRT(($B24-AE$16)^2+($C24-AE$17)^2+($D24-AE$18)^2)</f>
        <v>3.10282400347785</v>
      </c>
      <c r="AF24" s="63" t="n">
        <f aca="false">MATCH(MIN(AC24:AE24),AC24:AE24,0)</f>
        <v>1</v>
      </c>
      <c r="AH24" s="17" t="n">
        <f aca="false">SQRT(($B24-AH$16)^2+($C24-AH$17)^2+($D24-AH$18)^2)</f>
        <v>0.848737637200112</v>
      </c>
      <c r="AI24" s="17" t="n">
        <f aca="false">SQRT(($B24-AI$16)^2+($C24-AI$17)^2+($D24-AI$18)^2)</f>
        <v>4.56273923576723</v>
      </c>
      <c r="AJ24" s="17" t="n">
        <f aca="false">SQRT(($B24-AJ$16)^2+($C24-AJ$17)^2+($D24-AJ$18)^2)</f>
        <v>3.088807660302</v>
      </c>
      <c r="AK24" s="63" t="n">
        <f aca="false">MATCH(MIN(AH24:AJ24),AH24:AJ24,0)</f>
        <v>1</v>
      </c>
      <c r="AM24" s="17" t="n">
        <f aca="false">SQRT(($B24-AM$16)^2+($C24-AM$17)^2+($D24-AM$18)^2)</f>
        <v>0.805275719043296</v>
      </c>
      <c r="AN24" s="17" t="n">
        <f aca="false">SQRT(($B24-AN$16)^2+($C24-AN$17)^2+($D24-AN$18)^2)</f>
        <v>4.59366902960143</v>
      </c>
      <c r="AO24" s="17" t="n">
        <f aca="false">SQRT(($B24-AO$16)^2+($C24-AO$17)^2+($D24-AO$18)^2)</f>
        <v>3.07504241328275</v>
      </c>
      <c r="AP24" s="63" t="n">
        <f aca="false">MATCH(MIN(AM24:AO24),AM24:AO24,0)</f>
        <v>1</v>
      </c>
      <c r="AR24" s="17" t="n">
        <f aca="false">SQRT(($B24-AR$16)^2+($C24-AR$17)^2+($D24-AR$18)^2)</f>
        <v>0.805275719043296</v>
      </c>
      <c r="AS24" s="17" t="n">
        <f aca="false">SQRT(($B24-AS$16)^2+($C24-AS$17)^2+($D24-AS$18)^2)</f>
        <v>4.59366902960143</v>
      </c>
      <c r="AT24" s="17" t="n">
        <f aca="false">SQRT(($B24-AT$16)^2+($C24-AT$17)^2+($D24-AT$18)^2)</f>
        <v>3.07504241328275</v>
      </c>
      <c r="AU24" s="63" t="n">
        <f aca="false">MATCH(MIN(AR24:AT24),AR24:AT24,0)</f>
        <v>1</v>
      </c>
      <c r="AW24" s="17" t="n">
        <f aca="false">SQRT(($B24-AW$16)^2+($C24-AW$17)^2+($D24-AW$18)^2)</f>
        <v>0.805275719043296</v>
      </c>
      <c r="AX24" s="17" t="n">
        <f aca="false">SQRT(($B24-AX$16)^2+($C24-AX$17)^2+($D24-AX$18)^2)</f>
        <v>4.59366902960143</v>
      </c>
      <c r="AY24" s="17" t="n">
        <f aca="false">SQRT(($B24-AY$16)^2+($C24-AY$17)^2+($D24-AY$18)^2)</f>
        <v>3.07504241328275</v>
      </c>
      <c r="AZ24" s="63" t="n">
        <f aca="false">MATCH(MIN(AW24:AY24),AW24:AY24,0)</f>
        <v>1</v>
      </c>
      <c r="BB24" s="17" t="n">
        <f aca="false">SQRT(($B24-BB$16)^2+($C24-BB$17)^2+($D24-BB$18)^2)</f>
        <v>0.805275719043296</v>
      </c>
      <c r="BC24" s="17" t="n">
        <f aca="false">SQRT(($B24-BC$16)^2+($C24-BC$17)^2+($D24-BC$18)^2)</f>
        <v>4.59366902960143</v>
      </c>
      <c r="BD24" s="17" t="n">
        <f aca="false">SQRT(($B24-BD$16)^2+($C24-BD$17)^2+($D24-BD$18)^2)</f>
        <v>3.07504241328275</v>
      </c>
      <c r="BE24" s="63" t="n">
        <f aca="false">MATCH(MIN(BB24:BD24),BB24:BD24,0)</f>
        <v>1</v>
      </c>
      <c r="BG24" s="17" t="n">
        <f aca="false">SQRT(($B24-BG$16)^2+($C24-BG$17)^2+($D24-BG$18)^2)</f>
        <v>0.805275719043296</v>
      </c>
      <c r="BH24" s="17" t="n">
        <f aca="false">SQRT(($B24-BH$16)^2+($C24-BH$17)^2+($D24-BH$18)^2)</f>
        <v>4.59366902960143</v>
      </c>
      <c r="BI24" s="17" t="n">
        <f aca="false">SQRT(($B24-BI$16)^2+($C24-BI$17)^2+($D24-BI$18)^2)</f>
        <v>3.07504241328275</v>
      </c>
      <c r="BJ24" s="63" t="n">
        <f aca="false">MATCH(MIN(BG24:BI24),BG24:BI24,0)</f>
        <v>1</v>
      </c>
      <c r="BL24" s="17" t="n">
        <f aca="false">SQRT(($B24-BL$16)^2+($C24-BL$17)^2+($D24-BL$18)^2)</f>
        <v>0.805275719043296</v>
      </c>
      <c r="BM24" s="17" t="n">
        <f aca="false">SQRT(($B24-BM$16)^2+($C24-BM$17)^2+($D24-BM$18)^2)</f>
        <v>4.59366902960143</v>
      </c>
      <c r="BN24" s="17" t="n">
        <f aca="false">SQRT(($B24-BN$16)^2+($C24-BN$17)^2+($D24-BN$18)^2)</f>
        <v>3.07504241328275</v>
      </c>
      <c r="BO24" s="63" t="n">
        <f aca="false">MATCH(MIN(BL24:BN24),BL24:BN24,0)</f>
        <v>1</v>
      </c>
      <c r="BQ24" s="17" t="n">
        <f aca="false">SQRT(($B24-BQ$16)^2+($C24-BQ$17)^2+($D24-BQ$18)^2)</f>
        <v>0.805275719043296</v>
      </c>
      <c r="BR24" s="17" t="n">
        <f aca="false">SQRT(($B24-BR$16)^2+($C24-BR$17)^2+($D24-BR$18)^2)</f>
        <v>4.59366902960143</v>
      </c>
      <c r="BS24" s="17" t="n">
        <f aca="false">SQRT(($B24-BS$16)^2+($C24-BS$17)^2+($D24-BS$18)^2)</f>
        <v>3.07504241328275</v>
      </c>
      <c r="BT24" s="63" t="n">
        <f aca="false">MATCH(MIN(BQ24:BS24),BQ24:BS24,0)</f>
        <v>1</v>
      </c>
      <c r="BV24" s="17" t="n">
        <f aca="false">SQRT(($B24-BV$16)^2+($C24-BV$17)^2+($D24-BV$18)^2)</f>
        <v>0.805275719043296</v>
      </c>
      <c r="BW24" s="17" t="n">
        <f aca="false">SQRT(($B24-BW$16)^2+($C24-BW$17)^2+($D24-BW$18)^2)</f>
        <v>4.59366902960143</v>
      </c>
      <c r="BX24" s="17" t="n">
        <f aca="false">SQRT(($B24-BX$16)^2+($C24-BX$17)^2+($D24-BX$18)^2)</f>
        <v>3.07504241328275</v>
      </c>
      <c r="BY24" s="63" t="n">
        <f aca="false">MATCH(MIN(BV24:BX24),BV24:BX24,0)</f>
        <v>1</v>
      </c>
      <c r="CA24" s="17" t="n">
        <f aca="false">SQRT(($B24-CA$16)^2+($C24-CA$17)^2+($D24-CA$18)^2)</f>
        <v>0.805275719043296</v>
      </c>
      <c r="CB24" s="17" t="n">
        <f aca="false">SQRT(($B24-CB$16)^2+($C24-CB$17)^2+($D24-CB$18)^2)</f>
        <v>4.59366902960143</v>
      </c>
      <c r="CC24" s="17" t="n">
        <f aca="false">SQRT(($B24-CC$16)^2+($C24-CC$17)^2+($D24-CC$18)^2)</f>
        <v>3.07504241328275</v>
      </c>
      <c r="CD24" s="63" t="n">
        <f aca="false">MATCH(MIN(CA24:CC24),CA24:CC24,0)</f>
        <v>1</v>
      </c>
    </row>
    <row r="25" customFormat="false" ht="15" hidden="false" customHeight="false" outlineLevel="0" collapsed="false">
      <c r="A25" s="76" t="n">
        <f aca="false">Phase_Data!A7</f>
        <v>43889</v>
      </c>
      <c r="B25" s="17" t="n">
        <f aca="false">Phase_Data!K7</f>
        <v>-2.11714711761866</v>
      </c>
      <c r="C25" s="17" t="n">
        <f aca="false">Phase_Data!L7</f>
        <v>-1.40749747652815</v>
      </c>
      <c r="D25" s="17" t="n">
        <f aca="false">Phase_Data!M7</f>
        <v>-1.27778805060034</v>
      </c>
      <c r="E25" s="63" t="n">
        <f aca="false">CD25</f>
        <v>1</v>
      </c>
      <c r="F25" s="38" t="n">
        <f aca="false">($B25-INDEX($L$16:$N$16,E25))^2+($C25-INDEX($L$17:$N$17,E25))^2+($D25-INDEX($L$18:$N$18,E25))^2</f>
        <v>0.648468983680698</v>
      </c>
      <c r="G25" s="12" t="str">
        <f aca="false">INDEX($M$5:$M$7,E25)</f>
        <v>Low activity</v>
      </c>
      <c r="X25" s="17" t="n">
        <f aca="false">SQRT(($B25-X$16)^2+($C25-X$17)^2+($D25-X$18)^2)</f>
        <v>0.553597580833412</v>
      </c>
      <c r="Y25" s="17" t="n">
        <f aca="false">SQRT(($B25-Y$16)^2+($C25-Y$17)^2+($D25-Y$18)^2)</f>
        <v>5.28919832322922</v>
      </c>
      <c r="Z25" s="17" t="n">
        <f aca="false">SQRT(($B25-Z$16)^2+($C25-Z$17)^2+($D25-Z$18)^2)</f>
        <v>3.53561953337552</v>
      </c>
      <c r="AA25" s="63" t="n">
        <f aca="false">MATCH(MIN(X25:Z25),X25:Z25,0)</f>
        <v>1</v>
      </c>
      <c r="AC25" s="17" t="n">
        <f aca="false">SQRT(($B25-AC$16)^2+($C25-AC$17)^2+($D25-AC$18)^2)</f>
        <v>0.929249293267748</v>
      </c>
      <c r="AD25" s="17" t="n">
        <f aca="false">SQRT(($B25-AD$16)^2+($C25-AD$17)^2+($D25-AD$18)^2)</f>
        <v>4.40676397246967</v>
      </c>
      <c r="AE25" s="17" t="n">
        <f aca="false">SQRT(($B25-AE$16)^2+($C25-AE$17)^2+($D25-AE$18)^2)</f>
        <v>3.10282400347785</v>
      </c>
      <c r="AF25" s="63" t="n">
        <f aca="false">MATCH(MIN(AC25:AE25),AC25:AE25,0)</f>
        <v>1</v>
      </c>
      <c r="AH25" s="17" t="n">
        <f aca="false">SQRT(($B25-AH$16)^2+($C25-AH$17)^2+($D25-AH$18)^2)</f>
        <v>0.848737637200112</v>
      </c>
      <c r="AI25" s="17" t="n">
        <f aca="false">SQRT(($B25-AI$16)^2+($C25-AI$17)^2+($D25-AI$18)^2)</f>
        <v>4.56273923576723</v>
      </c>
      <c r="AJ25" s="17" t="n">
        <f aca="false">SQRT(($B25-AJ$16)^2+($C25-AJ$17)^2+($D25-AJ$18)^2)</f>
        <v>3.088807660302</v>
      </c>
      <c r="AK25" s="63" t="n">
        <f aca="false">MATCH(MIN(AH25:AJ25),AH25:AJ25,0)</f>
        <v>1</v>
      </c>
      <c r="AM25" s="17" t="n">
        <f aca="false">SQRT(($B25-AM$16)^2+($C25-AM$17)^2+($D25-AM$18)^2)</f>
        <v>0.805275719043296</v>
      </c>
      <c r="AN25" s="17" t="n">
        <f aca="false">SQRT(($B25-AN$16)^2+($C25-AN$17)^2+($D25-AN$18)^2)</f>
        <v>4.59366902960143</v>
      </c>
      <c r="AO25" s="17" t="n">
        <f aca="false">SQRT(($B25-AO$16)^2+($C25-AO$17)^2+($D25-AO$18)^2)</f>
        <v>3.07504241328275</v>
      </c>
      <c r="AP25" s="63" t="n">
        <f aca="false">MATCH(MIN(AM25:AO25),AM25:AO25,0)</f>
        <v>1</v>
      </c>
      <c r="AR25" s="17" t="n">
        <f aca="false">SQRT(($B25-AR$16)^2+($C25-AR$17)^2+($D25-AR$18)^2)</f>
        <v>0.805275719043296</v>
      </c>
      <c r="AS25" s="17" t="n">
        <f aca="false">SQRT(($B25-AS$16)^2+($C25-AS$17)^2+($D25-AS$18)^2)</f>
        <v>4.59366902960143</v>
      </c>
      <c r="AT25" s="17" t="n">
        <f aca="false">SQRT(($B25-AT$16)^2+($C25-AT$17)^2+($D25-AT$18)^2)</f>
        <v>3.07504241328275</v>
      </c>
      <c r="AU25" s="63" t="n">
        <f aca="false">MATCH(MIN(AR25:AT25),AR25:AT25,0)</f>
        <v>1</v>
      </c>
      <c r="AW25" s="17" t="n">
        <f aca="false">SQRT(($B25-AW$16)^2+($C25-AW$17)^2+($D25-AW$18)^2)</f>
        <v>0.805275719043296</v>
      </c>
      <c r="AX25" s="17" t="n">
        <f aca="false">SQRT(($B25-AX$16)^2+($C25-AX$17)^2+($D25-AX$18)^2)</f>
        <v>4.59366902960143</v>
      </c>
      <c r="AY25" s="17" t="n">
        <f aca="false">SQRT(($B25-AY$16)^2+($C25-AY$17)^2+($D25-AY$18)^2)</f>
        <v>3.07504241328275</v>
      </c>
      <c r="AZ25" s="63" t="n">
        <f aca="false">MATCH(MIN(AW25:AY25),AW25:AY25,0)</f>
        <v>1</v>
      </c>
      <c r="BB25" s="17" t="n">
        <f aca="false">SQRT(($B25-BB$16)^2+($C25-BB$17)^2+($D25-BB$18)^2)</f>
        <v>0.805275719043296</v>
      </c>
      <c r="BC25" s="17" t="n">
        <f aca="false">SQRT(($B25-BC$16)^2+($C25-BC$17)^2+($D25-BC$18)^2)</f>
        <v>4.59366902960143</v>
      </c>
      <c r="BD25" s="17" t="n">
        <f aca="false">SQRT(($B25-BD$16)^2+($C25-BD$17)^2+($D25-BD$18)^2)</f>
        <v>3.07504241328275</v>
      </c>
      <c r="BE25" s="63" t="n">
        <f aca="false">MATCH(MIN(BB25:BD25),BB25:BD25,0)</f>
        <v>1</v>
      </c>
      <c r="BG25" s="17" t="n">
        <f aca="false">SQRT(($B25-BG$16)^2+($C25-BG$17)^2+($D25-BG$18)^2)</f>
        <v>0.805275719043296</v>
      </c>
      <c r="BH25" s="17" t="n">
        <f aca="false">SQRT(($B25-BH$16)^2+($C25-BH$17)^2+($D25-BH$18)^2)</f>
        <v>4.59366902960143</v>
      </c>
      <c r="BI25" s="17" t="n">
        <f aca="false">SQRT(($B25-BI$16)^2+($C25-BI$17)^2+($D25-BI$18)^2)</f>
        <v>3.07504241328275</v>
      </c>
      <c r="BJ25" s="63" t="n">
        <f aca="false">MATCH(MIN(BG25:BI25),BG25:BI25,0)</f>
        <v>1</v>
      </c>
      <c r="BL25" s="17" t="n">
        <f aca="false">SQRT(($B25-BL$16)^2+($C25-BL$17)^2+($D25-BL$18)^2)</f>
        <v>0.805275719043296</v>
      </c>
      <c r="BM25" s="17" t="n">
        <f aca="false">SQRT(($B25-BM$16)^2+($C25-BM$17)^2+($D25-BM$18)^2)</f>
        <v>4.59366902960143</v>
      </c>
      <c r="BN25" s="17" t="n">
        <f aca="false">SQRT(($B25-BN$16)^2+($C25-BN$17)^2+($D25-BN$18)^2)</f>
        <v>3.07504241328275</v>
      </c>
      <c r="BO25" s="63" t="n">
        <f aca="false">MATCH(MIN(BL25:BN25),BL25:BN25,0)</f>
        <v>1</v>
      </c>
      <c r="BQ25" s="17" t="n">
        <f aca="false">SQRT(($B25-BQ$16)^2+($C25-BQ$17)^2+($D25-BQ$18)^2)</f>
        <v>0.805275719043296</v>
      </c>
      <c r="BR25" s="17" t="n">
        <f aca="false">SQRT(($B25-BR$16)^2+($C25-BR$17)^2+($D25-BR$18)^2)</f>
        <v>4.59366902960143</v>
      </c>
      <c r="BS25" s="17" t="n">
        <f aca="false">SQRT(($B25-BS$16)^2+($C25-BS$17)^2+($D25-BS$18)^2)</f>
        <v>3.07504241328275</v>
      </c>
      <c r="BT25" s="63" t="n">
        <f aca="false">MATCH(MIN(BQ25:BS25),BQ25:BS25,0)</f>
        <v>1</v>
      </c>
      <c r="BV25" s="17" t="n">
        <f aca="false">SQRT(($B25-BV$16)^2+($C25-BV$17)^2+($D25-BV$18)^2)</f>
        <v>0.805275719043296</v>
      </c>
      <c r="BW25" s="17" t="n">
        <f aca="false">SQRT(($B25-BW$16)^2+($C25-BW$17)^2+($D25-BW$18)^2)</f>
        <v>4.59366902960143</v>
      </c>
      <c r="BX25" s="17" t="n">
        <f aca="false">SQRT(($B25-BX$16)^2+($C25-BX$17)^2+($D25-BX$18)^2)</f>
        <v>3.07504241328275</v>
      </c>
      <c r="BY25" s="63" t="n">
        <f aca="false">MATCH(MIN(BV25:BX25),BV25:BX25,0)</f>
        <v>1</v>
      </c>
      <c r="CA25" s="17" t="n">
        <f aca="false">SQRT(($B25-CA$16)^2+($C25-CA$17)^2+($D25-CA$18)^2)</f>
        <v>0.805275719043296</v>
      </c>
      <c r="CB25" s="17" t="n">
        <f aca="false">SQRT(($B25-CB$16)^2+($C25-CB$17)^2+($D25-CB$18)^2)</f>
        <v>4.59366902960143</v>
      </c>
      <c r="CC25" s="17" t="n">
        <f aca="false">SQRT(($B25-CC$16)^2+($C25-CC$17)^2+($D25-CC$18)^2)</f>
        <v>3.07504241328275</v>
      </c>
      <c r="CD25" s="63" t="n">
        <f aca="false">MATCH(MIN(CA25:CC25),CA25:CC25,0)</f>
        <v>1</v>
      </c>
    </row>
    <row r="26" customFormat="false" ht="15" hidden="false" customHeight="false" outlineLevel="0" collapsed="false">
      <c r="A26" s="76" t="n">
        <f aca="false">Phase_Data!A8</f>
        <v>43890</v>
      </c>
      <c r="B26" s="17" t="n">
        <f aca="false">Phase_Data!K8</f>
        <v>-1.6784314145632</v>
      </c>
      <c r="C26" s="17" t="n">
        <f aca="false">Phase_Data!L8</f>
        <v>-1.40749747652815</v>
      </c>
      <c r="D26" s="17" t="n">
        <f aca="false">Phase_Data!M8</f>
        <v>-1.27778805060034</v>
      </c>
      <c r="E26" s="63" t="n">
        <f aca="false">CD26</f>
        <v>1</v>
      </c>
      <c r="F26" s="38" t="n">
        <f aca="false">($B26-INDEX($L$16:$N$16,E26))^2+($C26-INDEX($L$17:$N$17,E26))^2+($D26-INDEX($L$18:$N$18,E26))^2</f>
        <v>0.145449145460574</v>
      </c>
      <c r="G26" s="12" t="str">
        <f aca="false">INDEX($M$5:$M$7,E26)</f>
        <v>Low activity</v>
      </c>
      <c r="X26" s="17" t="n">
        <f aca="false">SQRT(($B26-X$16)^2+($C26-X$17)^2+($D26-X$18)^2)</f>
        <v>0.114881877777958</v>
      </c>
      <c r="Y26" s="17" t="n">
        <f aca="false">SQRT(($B26-Y$16)^2+($C26-Y$17)^2+($D26-Y$18)^2)</f>
        <v>5.0240692972462</v>
      </c>
      <c r="Z26" s="17" t="n">
        <f aca="false">SQRT(($B26-Z$16)^2+($C26-Z$17)^2+($D26-Z$18)^2)</f>
        <v>3.20227609535097</v>
      </c>
      <c r="AA26" s="63" t="n">
        <f aca="false">MATCH(MIN(X26:Z26),X26:Z26,0)</f>
        <v>1</v>
      </c>
      <c r="AC26" s="17" t="n">
        <f aca="false">SQRT(($B26-AC$16)^2+($C26-AC$17)^2+($D26-AC$18)^2)</f>
        <v>0.514370436539265</v>
      </c>
      <c r="AD26" s="17" t="n">
        <f aca="false">SQRT(($B26-AD$16)^2+($C26-AD$17)^2+($D26-AD$18)^2)</f>
        <v>4.13189378113651</v>
      </c>
      <c r="AE26" s="17" t="n">
        <f aca="false">SQRT(($B26-AE$16)^2+($C26-AE$17)^2+($D26-AE$18)^2)</f>
        <v>2.77425261906562</v>
      </c>
      <c r="AF26" s="63" t="n">
        <f aca="false">MATCH(MIN(AC26:AE26),AC26:AE26,0)</f>
        <v>1</v>
      </c>
      <c r="AH26" s="17" t="n">
        <f aca="false">SQRT(($B26-AH$16)^2+($C26-AH$17)^2+($D26-AH$18)^2)</f>
        <v>0.426991963726692</v>
      </c>
      <c r="AI26" s="17" t="n">
        <f aca="false">SQRT(($B26-AI$16)^2+($C26-AI$17)^2+($D26-AI$18)^2)</f>
        <v>4.28896760451702</v>
      </c>
      <c r="AJ26" s="17" t="n">
        <f aca="false">SQRT(($B26-AJ$16)^2+($C26-AJ$17)^2+($D26-AJ$18)^2)</f>
        <v>2.76406644792745</v>
      </c>
      <c r="AK26" s="63" t="n">
        <f aca="false">MATCH(MIN(AH26:AJ26),AH26:AJ26,0)</f>
        <v>1</v>
      </c>
      <c r="AM26" s="17" t="n">
        <f aca="false">SQRT(($B26-AM$16)^2+($C26-AM$17)^2+($D26-AM$18)^2)</f>
        <v>0.381377956180708</v>
      </c>
      <c r="AN26" s="17" t="n">
        <f aca="false">SQRT(($B26-AN$16)^2+($C26-AN$17)^2+($D26-AN$18)^2)</f>
        <v>4.32050451691203</v>
      </c>
      <c r="AO26" s="17" t="n">
        <f aca="false">SQRT(($B26-AO$16)^2+($C26-AO$17)^2+($D26-AO$18)^2)</f>
        <v>2.74960813491154</v>
      </c>
      <c r="AP26" s="63" t="n">
        <f aca="false">MATCH(MIN(AM26:AO26),AM26:AO26,0)</f>
        <v>1</v>
      </c>
      <c r="AR26" s="17" t="n">
        <f aca="false">SQRT(($B26-AR$16)^2+($C26-AR$17)^2+($D26-AR$18)^2)</f>
        <v>0.381377956180708</v>
      </c>
      <c r="AS26" s="17" t="n">
        <f aca="false">SQRT(($B26-AS$16)^2+($C26-AS$17)^2+($D26-AS$18)^2)</f>
        <v>4.32050451691203</v>
      </c>
      <c r="AT26" s="17" t="n">
        <f aca="false">SQRT(($B26-AT$16)^2+($C26-AT$17)^2+($D26-AT$18)^2)</f>
        <v>2.74960813491154</v>
      </c>
      <c r="AU26" s="63" t="n">
        <f aca="false">MATCH(MIN(AR26:AT26),AR26:AT26,0)</f>
        <v>1</v>
      </c>
      <c r="AW26" s="17" t="n">
        <f aca="false">SQRT(($B26-AW$16)^2+($C26-AW$17)^2+($D26-AW$18)^2)</f>
        <v>0.381377956180708</v>
      </c>
      <c r="AX26" s="17" t="n">
        <f aca="false">SQRT(($B26-AX$16)^2+($C26-AX$17)^2+($D26-AX$18)^2)</f>
        <v>4.32050451691203</v>
      </c>
      <c r="AY26" s="17" t="n">
        <f aca="false">SQRT(($B26-AY$16)^2+($C26-AY$17)^2+($D26-AY$18)^2)</f>
        <v>2.74960813491154</v>
      </c>
      <c r="AZ26" s="63" t="n">
        <f aca="false">MATCH(MIN(AW26:AY26),AW26:AY26,0)</f>
        <v>1</v>
      </c>
      <c r="BB26" s="17" t="n">
        <f aca="false">SQRT(($B26-BB$16)^2+($C26-BB$17)^2+($D26-BB$18)^2)</f>
        <v>0.381377956180708</v>
      </c>
      <c r="BC26" s="17" t="n">
        <f aca="false">SQRT(($B26-BC$16)^2+($C26-BC$17)^2+($D26-BC$18)^2)</f>
        <v>4.32050451691203</v>
      </c>
      <c r="BD26" s="17" t="n">
        <f aca="false">SQRT(($B26-BD$16)^2+($C26-BD$17)^2+($D26-BD$18)^2)</f>
        <v>2.74960813491154</v>
      </c>
      <c r="BE26" s="63" t="n">
        <f aca="false">MATCH(MIN(BB26:BD26),BB26:BD26,0)</f>
        <v>1</v>
      </c>
      <c r="BG26" s="17" t="n">
        <f aca="false">SQRT(($B26-BG$16)^2+($C26-BG$17)^2+($D26-BG$18)^2)</f>
        <v>0.381377956180708</v>
      </c>
      <c r="BH26" s="17" t="n">
        <f aca="false">SQRT(($B26-BH$16)^2+($C26-BH$17)^2+($D26-BH$18)^2)</f>
        <v>4.32050451691203</v>
      </c>
      <c r="BI26" s="17" t="n">
        <f aca="false">SQRT(($B26-BI$16)^2+($C26-BI$17)^2+($D26-BI$18)^2)</f>
        <v>2.74960813491154</v>
      </c>
      <c r="BJ26" s="63" t="n">
        <f aca="false">MATCH(MIN(BG26:BI26),BG26:BI26,0)</f>
        <v>1</v>
      </c>
      <c r="BL26" s="17" t="n">
        <f aca="false">SQRT(($B26-BL$16)^2+($C26-BL$17)^2+($D26-BL$18)^2)</f>
        <v>0.381377956180708</v>
      </c>
      <c r="BM26" s="17" t="n">
        <f aca="false">SQRT(($B26-BM$16)^2+($C26-BM$17)^2+($D26-BM$18)^2)</f>
        <v>4.32050451691203</v>
      </c>
      <c r="BN26" s="17" t="n">
        <f aca="false">SQRT(($B26-BN$16)^2+($C26-BN$17)^2+($D26-BN$18)^2)</f>
        <v>2.74960813491154</v>
      </c>
      <c r="BO26" s="63" t="n">
        <f aca="false">MATCH(MIN(BL26:BN26),BL26:BN26,0)</f>
        <v>1</v>
      </c>
      <c r="BQ26" s="17" t="n">
        <f aca="false">SQRT(($B26-BQ$16)^2+($C26-BQ$17)^2+($D26-BQ$18)^2)</f>
        <v>0.381377956180708</v>
      </c>
      <c r="BR26" s="17" t="n">
        <f aca="false">SQRT(($B26-BR$16)^2+($C26-BR$17)^2+($D26-BR$18)^2)</f>
        <v>4.32050451691203</v>
      </c>
      <c r="BS26" s="17" t="n">
        <f aca="false">SQRT(($B26-BS$16)^2+($C26-BS$17)^2+($D26-BS$18)^2)</f>
        <v>2.74960813491154</v>
      </c>
      <c r="BT26" s="63" t="n">
        <f aca="false">MATCH(MIN(BQ26:BS26),BQ26:BS26,0)</f>
        <v>1</v>
      </c>
      <c r="BV26" s="17" t="n">
        <f aca="false">SQRT(($B26-BV$16)^2+($C26-BV$17)^2+($D26-BV$18)^2)</f>
        <v>0.381377956180708</v>
      </c>
      <c r="BW26" s="17" t="n">
        <f aca="false">SQRT(($B26-BW$16)^2+($C26-BW$17)^2+($D26-BW$18)^2)</f>
        <v>4.32050451691203</v>
      </c>
      <c r="BX26" s="17" t="n">
        <f aca="false">SQRT(($B26-BX$16)^2+($C26-BX$17)^2+($D26-BX$18)^2)</f>
        <v>2.74960813491154</v>
      </c>
      <c r="BY26" s="63" t="n">
        <f aca="false">MATCH(MIN(BV26:BX26),BV26:BX26,0)</f>
        <v>1</v>
      </c>
      <c r="CA26" s="17" t="n">
        <f aca="false">SQRT(($B26-CA$16)^2+($C26-CA$17)^2+($D26-CA$18)^2)</f>
        <v>0.381377956180708</v>
      </c>
      <c r="CB26" s="17" t="n">
        <f aca="false">SQRT(($B26-CB$16)^2+($C26-CB$17)^2+($D26-CB$18)^2)</f>
        <v>4.32050451691203</v>
      </c>
      <c r="CC26" s="17" t="n">
        <f aca="false">SQRT(($B26-CC$16)^2+($C26-CC$17)^2+($D26-CC$18)^2)</f>
        <v>2.74960813491154</v>
      </c>
      <c r="CD26" s="63" t="n">
        <f aca="false">MATCH(MIN(CA26:CC26),CA26:CC26,0)</f>
        <v>1</v>
      </c>
    </row>
    <row r="27" customFormat="false" ht="15" hidden="false" customHeight="false" outlineLevel="0" collapsed="false">
      <c r="A27" s="76" t="n">
        <f aca="false">Phase_Data!A9</f>
        <v>43891</v>
      </c>
      <c r="B27" s="17" t="n">
        <f aca="false">Phase_Data!K9</f>
        <v>-2.11714711761866</v>
      </c>
      <c r="C27" s="17" t="n">
        <f aca="false">Phase_Data!L9</f>
        <v>-1.40749747652815</v>
      </c>
      <c r="D27" s="17" t="n">
        <f aca="false">Phase_Data!M9</f>
        <v>-1.27778805060034</v>
      </c>
      <c r="E27" s="63" t="n">
        <f aca="false">CD27</f>
        <v>1</v>
      </c>
      <c r="F27" s="38" t="n">
        <f aca="false">($B27-INDEX($L$16:$N$16,E27))^2+($C27-INDEX($L$17:$N$17,E27))^2+($D27-INDEX($L$18:$N$18,E27))^2</f>
        <v>0.648468983680698</v>
      </c>
      <c r="G27" s="12" t="str">
        <f aca="false">INDEX($M$5:$M$7,E27)</f>
        <v>Low activity</v>
      </c>
      <c r="X27" s="17" t="n">
        <f aca="false">SQRT(($B27-X$16)^2+($C27-X$17)^2+($D27-X$18)^2)</f>
        <v>0.553597580833412</v>
      </c>
      <c r="Y27" s="17" t="n">
        <f aca="false">SQRT(($B27-Y$16)^2+($C27-Y$17)^2+($D27-Y$18)^2)</f>
        <v>5.28919832322922</v>
      </c>
      <c r="Z27" s="17" t="n">
        <f aca="false">SQRT(($B27-Z$16)^2+($C27-Z$17)^2+($D27-Z$18)^2)</f>
        <v>3.53561953337552</v>
      </c>
      <c r="AA27" s="63" t="n">
        <f aca="false">MATCH(MIN(X27:Z27),X27:Z27,0)</f>
        <v>1</v>
      </c>
      <c r="AC27" s="17" t="n">
        <f aca="false">SQRT(($B27-AC$16)^2+($C27-AC$17)^2+($D27-AC$18)^2)</f>
        <v>0.929249293267748</v>
      </c>
      <c r="AD27" s="17" t="n">
        <f aca="false">SQRT(($B27-AD$16)^2+($C27-AD$17)^2+($D27-AD$18)^2)</f>
        <v>4.40676397246967</v>
      </c>
      <c r="AE27" s="17" t="n">
        <f aca="false">SQRT(($B27-AE$16)^2+($C27-AE$17)^2+($D27-AE$18)^2)</f>
        <v>3.10282400347785</v>
      </c>
      <c r="AF27" s="63" t="n">
        <f aca="false">MATCH(MIN(AC27:AE27),AC27:AE27,0)</f>
        <v>1</v>
      </c>
      <c r="AH27" s="17" t="n">
        <f aca="false">SQRT(($B27-AH$16)^2+($C27-AH$17)^2+($D27-AH$18)^2)</f>
        <v>0.848737637200112</v>
      </c>
      <c r="AI27" s="17" t="n">
        <f aca="false">SQRT(($B27-AI$16)^2+($C27-AI$17)^2+($D27-AI$18)^2)</f>
        <v>4.56273923576723</v>
      </c>
      <c r="AJ27" s="17" t="n">
        <f aca="false">SQRT(($B27-AJ$16)^2+($C27-AJ$17)^2+($D27-AJ$18)^2)</f>
        <v>3.088807660302</v>
      </c>
      <c r="AK27" s="63" t="n">
        <f aca="false">MATCH(MIN(AH27:AJ27),AH27:AJ27,0)</f>
        <v>1</v>
      </c>
      <c r="AM27" s="17" t="n">
        <f aca="false">SQRT(($B27-AM$16)^2+($C27-AM$17)^2+($D27-AM$18)^2)</f>
        <v>0.805275719043296</v>
      </c>
      <c r="AN27" s="17" t="n">
        <f aca="false">SQRT(($B27-AN$16)^2+($C27-AN$17)^2+($D27-AN$18)^2)</f>
        <v>4.59366902960143</v>
      </c>
      <c r="AO27" s="17" t="n">
        <f aca="false">SQRT(($B27-AO$16)^2+($C27-AO$17)^2+($D27-AO$18)^2)</f>
        <v>3.07504241328275</v>
      </c>
      <c r="AP27" s="63" t="n">
        <f aca="false">MATCH(MIN(AM27:AO27),AM27:AO27,0)</f>
        <v>1</v>
      </c>
      <c r="AR27" s="17" t="n">
        <f aca="false">SQRT(($B27-AR$16)^2+($C27-AR$17)^2+($D27-AR$18)^2)</f>
        <v>0.805275719043296</v>
      </c>
      <c r="AS27" s="17" t="n">
        <f aca="false">SQRT(($B27-AS$16)^2+($C27-AS$17)^2+($D27-AS$18)^2)</f>
        <v>4.59366902960143</v>
      </c>
      <c r="AT27" s="17" t="n">
        <f aca="false">SQRT(($B27-AT$16)^2+($C27-AT$17)^2+($D27-AT$18)^2)</f>
        <v>3.07504241328275</v>
      </c>
      <c r="AU27" s="63" t="n">
        <f aca="false">MATCH(MIN(AR27:AT27),AR27:AT27,0)</f>
        <v>1</v>
      </c>
      <c r="AW27" s="17" t="n">
        <f aca="false">SQRT(($B27-AW$16)^2+($C27-AW$17)^2+($D27-AW$18)^2)</f>
        <v>0.805275719043296</v>
      </c>
      <c r="AX27" s="17" t="n">
        <f aca="false">SQRT(($B27-AX$16)^2+($C27-AX$17)^2+($D27-AX$18)^2)</f>
        <v>4.59366902960143</v>
      </c>
      <c r="AY27" s="17" t="n">
        <f aca="false">SQRT(($B27-AY$16)^2+($C27-AY$17)^2+($D27-AY$18)^2)</f>
        <v>3.07504241328275</v>
      </c>
      <c r="AZ27" s="63" t="n">
        <f aca="false">MATCH(MIN(AW27:AY27),AW27:AY27,0)</f>
        <v>1</v>
      </c>
      <c r="BB27" s="17" t="n">
        <f aca="false">SQRT(($B27-BB$16)^2+($C27-BB$17)^2+($D27-BB$18)^2)</f>
        <v>0.805275719043296</v>
      </c>
      <c r="BC27" s="17" t="n">
        <f aca="false">SQRT(($B27-BC$16)^2+($C27-BC$17)^2+($D27-BC$18)^2)</f>
        <v>4.59366902960143</v>
      </c>
      <c r="BD27" s="17" t="n">
        <f aca="false">SQRT(($B27-BD$16)^2+($C27-BD$17)^2+($D27-BD$18)^2)</f>
        <v>3.07504241328275</v>
      </c>
      <c r="BE27" s="63" t="n">
        <f aca="false">MATCH(MIN(BB27:BD27),BB27:BD27,0)</f>
        <v>1</v>
      </c>
      <c r="BG27" s="17" t="n">
        <f aca="false">SQRT(($B27-BG$16)^2+($C27-BG$17)^2+($D27-BG$18)^2)</f>
        <v>0.805275719043296</v>
      </c>
      <c r="BH27" s="17" t="n">
        <f aca="false">SQRT(($B27-BH$16)^2+($C27-BH$17)^2+($D27-BH$18)^2)</f>
        <v>4.59366902960143</v>
      </c>
      <c r="BI27" s="17" t="n">
        <f aca="false">SQRT(($B27-BI$16)^2+($C27-BI$17)^2+($D27-BI$18)^2)</f>
        <v>3.07504241328275</v>
      </c>
      <c r="BJ27" s="63" t="n">
        <f aca="false">MATCH(MIN(BG27:BI27),BG27:BI27,0)</f>
        <v>1</v>
      </c>
      <c r="BL27" s="17" t="n">
        <f aca="false">SQRT(($B27-BL$16)^2+($C27-BL$17)^2+($D27-BL$18)^2)</f>
        <v>0.805275719043296</v>
      </c>
      <c r="BM27" s="17" t="n">
        <f aca="false">SQRT(($B27-BM$16)^2+($C27-BM$17)^2+($D27-BM$18)^2)</f>
        <v>4.59366902960143</v>
      </c>
      <c r="BN27" s="17" t="n">
        <f aca="false">SQRT(($B27-BN$16)^2+($C27-BN$17)^2+($D27-BN$18)^2)</f>
        <v>3.07504241328275</v>
      </c>
      <c r="BO27" s="63" t="n">
        <f aca="false">MATCH(MIN(BL27:BN27),BL27:BN27,0)</f>
        <v>1</v>
      </c>
      <c r="BQ27" s="17" t="n">
        <f aca="false">SQRT(($B27-BQ$16)^2+($C27-BQ$17)^2+($D27-BQ$18)^2)</f>
        <v>0.805275719043296</v>
      </c>
      <c r="BR27" s="17" t="n">
        <f aca="false">SQRT(($B27-BR$16)^2+($C27-BR$17)^2+($D27-BR$18)^2)</f>
        <v>4.59366902960143</v>
      </c>
      <c r="BS27" s="17" t="n">
        <f aca="false">SQRT(($B27-BS$16)^2+($C27-BS$17)^2+($D27-BS$18)^2)</f>
        <v>3.07504241328275</v>
      </c>
      <c r="BT27" s="63" t="n">
        <f aca="false">MATCH(MIN(BQ27:BS27),BQ27:BS27,0)</f>
        <v>1</v>
      </c>
      <c r="BV27" s="17" t="n">
        <f aca="false">SQRT(($B27-BV$16)^2+($C27-BV$17)^2+($D27-BV$18)^2)</f>
        <v>0.805275719043296</v>
      </c>
      <c r="BW27" s="17" t="n">
        <f aca="false">SQRT(($B27-BW$16)^2+($C27-BW$17)^2+($D27-BW$18)^2)</f>
        <v>4.59366902960143</v>
      </c>
      <c r="BX27" s="17" t="n">
        <f aca="false">SQRT(($B27-BX$16)^2+($C27-BX$17)^2+($D27-BX$18)^2)</f>
        <v>3.07504241328275</v>
      </c>
      <c r="BY27" s="63" t="n">
        <f aca="false">MATCH(MIN(BV27:BX27),BV27:BX27,0)</f>
        <v>1</v>
      </c>
      <c r="CA27" s="17" t="n">
        <f aca="false">SQRT(($B27-CA$16)^2+($C27-CA$17)^2+($D27-CA$18)^2)</f>
        <v>0.805275719043296</v>
      </c>
      <c r="CB27" s="17" t="n">
        <f aca="false">SQRT(($B27-CB$16)^2+($C27-CB$17)^2+($D27-CB$18)^2)</f>
        <v>4.59366902960143</v>
      </c>
      <c r="CC27" s="17" t="n">
        <f aca="false">SQRT(($B27-CC$16)^2+($C27-CC$17)^2+($D27-CC$18)^2)</f>
        <v>3.07504241328275</v>
      </c>
      <c r="CD27" s="63" t="n">
        <f aca="false">MATCH(MIN(CA27:CC27),CA27:CC27,0)</f>
        <v>1</v>
      </c>
    </row>
    <row r="28" customFormat="false" ht="15" hidden="false" customHeight="false" outlineLevel="0" collapsed="false">
      <c r="A28" s="76" t="n">
        <f aca="false">Phase_Data!A10</f>
        <v>43892</v>
      </c>
      <c r="B28" s="17" t="n">
        <f aca="false">Phase_Data!K10</f>
        <v>-1.84034832720195</v>
      </c>
      <c r="C28" s="17" t="n">
        <f aca="false">Phase_Data!L10</f>
        <v>-1.40749747652815</v>
      </c>
      <c r="D28" s="17" t="n">
        <f aca="false">Phase_Data!M10</f>
        <v>-1.27778805060034</v>
      </c>
      <c r="E28" s="63" t="n">
        <f aca="false">CD28</f>
        <v>1</v>
      </c>
      <c r="F28" s="38" t="n">
        <f aca="false">($B28-INDEX($L$16:$N$16,E28))^2+($C28-INDEX($L$17:$N$17,E28))^2+($D28-INDEX($L$18:$N$18,E28))^2</f>
        <v>0.286280395544508</v>
      </c>
      <c r="G28" s="12" t="str">
        <f aca="false">INDEX($M$5:$M$7,E28)</f>
        <v>Low activity</v>
      </c>
      <c r="X28" s="17" t="n">
        <f aca="false">SQRT(($B28-X$16)^2+($C28-X$17)^2+($D28-X$18)^2)</f>
        <v>0.276798790416706</v>
      </c>
      <c r="Y28" s="17" t="n">
        <f aca="false">SQRT(($B28-Y$16)^2+($C28-Y$17)^2+($D28-Y$18)^2)</f>
        <v>5.11914249372388</v>
      </c>
      <c r="Z28" s="17" t="n">
        <f aca="false">SQRT(($B28-Z$16)^2+($C28-Z$17)^2+($D28-Z$18)^2)</f>
        <v>3.32245358832406</v>
      </c>
      <c r="AA28" s="63" t="n">
        <f aca="false">MATCH(MIN(X28:Z28),X28:Z28,0)</f>
        <v>1</v>
      </c>
      <c r="AC28" s="17" t="n">
        <f aca="false">SQRT(($B28-AC$16)^2+($C28-AC$17)^2+($D28-AC$18)^2)</f>
        <v>0.663931312523924</v>
      </c>
      <c r="AD28" s="17" t="n">
        <f aca="false">SQRT(($B28-AD$16)^2+($C28-AD$17)^2+($D28-AD$18)^2)</f>
        <v>4.23012340032254</v>
      </c>
      <c r="AE28" s="17" t="n">
        <f aca="false">SQRT(($B28-AE$16)^2+($C28-AE$17)^2+($D28-AE$18)^2)</f>
        <v>2.89211830723305</v>
      </c>
      <c r="AF28" s="63" t="n">
        <f aca="false">MATCH(MIN(AC28:AE28),AC28:AE28,0)</f>
        <v>1</v>
      </c>
      <c r="AH28" s="17" t="n">
        <f aca="false">SQRT(($B28-AH$16)^2+($C28-AH$17)^2+($D28-AH$18)^2)</f>
        <v>0.579720506539473</v>
      </c>
      <c r="AI28" s="17" t="n">
        <f aca="false">SQRT(($B28-AI$16)^2+($C28-AI$17)^2+($D28-AI$18)^2)</f>
        <v>4.38689066355671</v>
      </c>
      <c r="AJ28" s="17" t="n">
        <f aca="false">SQRT(($B28-AJ$16)^2+($C28-AJ$17)^2+($D28-AJ$18)^2)</f>
        <v>2.88040369727873</v>
      </c>
      <c r="AK28" s="63" t="n">
        <f aca="false">MATCH(MIN(AH28:AJ28),AH28:AJ28,0)</f>
        <v>1</v>
      </c>
      <c r="AM28" s="17" t="n">
        <f aca="false">SQRT(($B28-AM$16)^2+($C28-AM$17)^2+($D28-AM$18)^2)</f>
        <v>0.53505176903222</v>
      </c>
      <c r="AN28" s="17" t="n">
        <f aca="false">SQRT(($B28-AN$16)^2+($C28-AN$17)^2+($D28-AN$18)^2)</f>
        <v>4.41821685352251</v>
      </c>
      <c r="AO28" s="17" t="n">
        <f aca="false">SQRT(($B28-AO$16)^2+($C28-AO$17)^2+($D28-AO$18)^2)</f>
        <v>2.86620206105015</v>
      </c>
      <c r="AP28" s="63" t="n">
        <f aca="false">MATCH(MIN(AM28:AO28),AM28:AO28,0)</f>
        <v>1</v>
      </c>
      <c r="AR28" s="17" t="n">
        <f aca="false">SQRT(($B28-AR$16)^2+($C28-AR$17)^2+($D28-AR$18)^2)</f>
        <v>0.53505176903222</v>
      </c>
      <c r="AS28" s="17" t="n">
        <f aca="false">SQRT(($B28-AS$16)^2+($C28-AS$17)^2+($D28-AS$18)^2)</f>
        <v>4.41821685352251</v>
      </c>
      <c r="AT28" s="17" t="n">
        <f aca="false">SQRT(($B28-AT$16)^2+($C28-AT$17)^2+($D28-AT$18)^2)</f>
        <v>2.86620206105015</v>
      </c>
      <c r="AU28" s="63" t="n">
        <f aca="false">MATCH(MIN(AR28:AT28),AR28:AT28,0)</f>
        <v>1</v>
      </c>
      <c r="AW28" s="17" t="n">
        <f aca="false">SQRT(($B28-AW$16)^2+($C28-AW$17)^2+($D28-AW$18)^2)</f>
        <v>0.53505176903222</v>
      </c>
      <c r="AX28" s="17" t="n">
        <f aca="false">SQRT(($B28-AX$16)^2+($C28-AX$17)^2+($D28-AX$18)^2)</f>
        <v>4.41821685352251</v>
      </c>
      <c r="AY28" s="17" t="n">
        <f aca="false">SQRT(($B28-AY$16)^2+($C28-AY$17)^2+($D28-AY$18)^2)</f>
        <v>2.86620206105015</v>
      </c>
      <c r="AZ28" s="63" t="n">
        <f aca="false">MATCH(MIN(AW28:AY28),AW28:AY28,0)</f>
        <v>1</v>
      </c>
      <c r="BB28" s="17" t="n">
        <f aca="false">SQRT(($B28-BB$16)^2+($C28-BB$17)^2+($D28-BB$18)^2)</f>
        <v>0.53505176903222</v>
      </c>
      <c r="BC28" s="17" t="n">
        <f aca="false">SQRT(($B28-BC$16)^2+($C28-BC$17)^2+($D28-BC$18)^2)</f>
        <v>4.41821685352251</v>
      </c>
      <c r="BD28" s="17" t="n">
        <f aca="false">SQRT(($B28-BD$16)^2+($C28-BD$17)^2+($D28-BD$18)^2)</f>
        <v>2.86620206105015</v>
      </c>
      <c r="BE28" s="63" t="n">
        <f aca="false">MATCH(MIN(BB28:BD28),BB28:BD28,0)</f>
        <v>1</v>
      </c>
      <c r="BG28" s="17" t="n">
        <f aca="false">SQRT(($B28-BG$16)^2+($C28-BG$17)^2+($D28-BG$18)^2)</f>
        <v>0.53505176903222</v>
      </c>
      <c r="BH28" s="17" t="n">
        <f aca="false">SQRT(($B28-BH$16)^2+($C28-BH$17)^2+($D28-BH$18)^2)</f>
        <v>4.41821685352251</v>
      </c>
      <c r="BI28" s="17" t="n">
        <f aca="false">SQRT(($B28-BI$16)^2+($C28-BI$17)^2+($D28-BI$18)^2)</f>
        <v>2.86620206105015</v>
      </c>
      <c r="BJ28" s="63" t="n">
        <f aca="false">MATCH(MIN(BG28:BI28),BG28:BI28,0)</f>
        <v>1</v>
      </c>
      <c r="BL28" s="17" t="n">
        <f aca="false">SQRT(($B28-BL$16)^2+($C28-BL$17)^2+($D28-BL$18)^2)</f>
        <v>0.53505176903222</v>
      </c>
      <c r="BM28" s="17" t="n">
        <f aca="false">SQRT(($B28-BM$16)^2+($C28-BM$17)^2+($D28-BM$18)^2)</f>
        <v>4.41821685352251</v>
      </c>
      <c r="BN28" s="17" t="n">
        <f aca="false">SQRT(($B28-BN$16)^2+($C28-BN$17)^2+($D28-BN$18)^2)</f>
        <v>2.86620206105015</v>
      </c>
      <c r="BO28" s="63" t="n">
        <f aca="false">MATCH(MIN(BL28:BN28),BL28:BN28,0)</f>
        <v>1</v>
      </c>
      <c r="BQ28" s="17" t="n">
        <f aca="false">SQRT(($B28-BQ$16)^2+($C28-BQ$17)^2+($D28-BQ$18)^2)</f>
        <v>0.53505176903222</v>
      </c>
      <c r="BR28" s="17" t="n">
        <f aca="false">SQRT(($B28-BR$16)^2+($C28-BR$17)^2+($D28-BR$18)^2)</f>
        <v>4.41821685352251</v>
      </c>
      <c r="BS28" s="17" t="n">
        <f aca="false">SQRT(($B28-BS$16)^2+($C28-BS$17)^2+($D28-BS$18)^2)</f>
        <v>2.86620206105015</v>
      </c>
      <c r="BT28" s="63" t="n">
        <f aca="false">MATCH(MIN(BQ28:BS28),BQ28:BS28,0)</f>
        <v>1</v>
      </c>
      <c r="BV28" s="17" t="n">
        <f aca="false">SQRT(($B28-BV$16)^2+($C28-BV$17)^2+($D28-BV$18)^2)</f>
        <v>0.53505176903222</v>
      </c>
      <c r="BW28" s="17" t="n">
        <f aca="false">SQRT(($B28-BW$16)^2+($C28-BW$17)^2+($D28-BW$18)^2)</f>
        <v>4.41821685352251</v>
      </c>
      <c r="BX28" s="17" t="n">
        <f aca="false">SQRT(($B28-BX$16)^2+($C28-BX$17)^2+($D28-BX$18)^2)</f>
        <v>2.86620206105015</v>
      </c>
      <c r="BY28" s="63" t="n">
        <f aca="false">MATCH(MIN(BV28:BX28),BV28:BX28,0)</f>
        <v>1</v>
      </c>
      <c r="CA28" s="17" t="n">
        <f aca="false">SQRT(($B28-CA$16)^2+($C28-CA$17)^2+($D28-CA$18)^2)</f>
        <v>0.53505176903222</v>
      </c>
      <c r="CB28" s="17" t="n">
        <f aca="false">SQRT(($B28-CB$16)^2+($C28-CB$17)^2+($D28-CB$18)^2)</f>
        <v>4.41821685352251</v>
      </c>
      <c r="CC28" s="17" t="n">
        <f aca="false">SQRT(($B28-CC$16)^2+($C28-CC$17)^2+($D28-CC$18)^2)</f>
        <v>2.86620206105015</v>
      </c>
      <c r="CD28" s="63" t="n">
        <f aca="false">MATCH(MIN(CA28:CC28),CA28:CC28,0)</f>
        <v>1</v>
      </c>
    </row>
    <row r="29" customFormat="false" ht="15" hidden="false" customHeight="false" outlineLevel="0" collapsed="false">
      <c r="A29" s="76" t="n">
        <f aca="false">Phase_Data!A11</f>
        <v>43893</v>
      </c>
      <c r="B29" s="17" t="n">
        <f aca="false">Phase_Data!K11</f>
        <v>-2.11714711761866</v>
      </c>
      <c r="C29" s="17" t="n">
        <f aca="false">Phase_Data!L11</f>
        <v>-1.40749747652815</v>
      </c>
      <c r="D29" s="17" t="n">
        <f aca="false">Phase_Data!M11</f>
        <v>-1.27778805060034</v>
      </c>
      <c r="E29" s="63" t="n">
        <f aca="false">CD29</f>
        <v>1</v>
      </c>
      <c r="F29" s="38" t="n">
        <f aca="false">($B29-INDEX($L$16:$N$16,E29))^2+($C29-INDEX($L$17:$N$17,E29))^2+($D29-INDEX($L$18:$N$18,E29))^2</f>
        <v>0.648468983680698</v>
      </c>
      <c r="G29" s="12" t="str">
        <f aca="false">INDEX($M$5:$M$7,E29)</f>
        <v>Low activity</v>
      </c>
      <c r="X29" s="17" t="n">
        <f aca="false">SQRT(($B29-X$16)^2+($C29-X$17)^2+($D29-X$18)^2)</f>
        <v>0.553597580833412</v>
      </c>
      <c r="Y29" s="17" t="n">
        <f aca="false">SQRT(($B29-Y$16)^2+($C29-Y$17)^2+($D29-Y$18)^2)</f>
        <v>5.28919832322922</v>
      </c>
      <c r="Z29" s="17" t="n">
        <f aca="false">SQRT(($B29-Z$16)^2+($C29-Z$17)^2+($D29-Z$18)^2)</f>
        <v>3.53561953337552</v>
      </c>
      <c r="AA29" s="63" t="n">
        <f aca="false">MATCH(MIN(X29:Z29),X29:Z29,0)</f>
        <v>1</v>
      </c>
      <c r="AC29" s="17" t="n">
        <f aca="false">SQRT(($B29-AC$16)^2+($C29-AC$17)^2+($D29-AC$18)^2)</f>
        <v>0.929249293267748</v>
      </c>
      <c r="AD29" s="17" t="n">
        <f aca="false">SQRT(($B29-AD$16)^2+($C29-AD$17)^2+($D29-AD$18)^2)</f>
        <v>4.40676397246967</v>
      </c>
      <c r="AE29" s="17" t="n">
        <f aca="false">SQRT(($B29-AE$16)^2+($C29-AE$17)^2+($D29-AE$18)^2)</f>
        <v>3.10282400347785</v>
      </c>
      <c r="AF29" s="63" t="n">
        <f aca="false">MATCH(MIN(AC29:AE29),AC29:AE29,0)</f>
        <v>1</v>
      </c>
      <c r="AH29" s="17" t="n">
        <f aca="false">SQRT(($B29-AH$16)^2+($C29-AH$17)^2+($D29-AH$18)^2)</f>
        <v>0.848737637200112</v>
      </c>
      <c r="AI29" s="17" t="n">
        <f aca="false">SQRT(($B29-AI$16)^2+($C29-AI$17)^2+($D29-AI$18)^2)</f>
        <v>4.56273923576723</v>
      </c>
      <c r="AJ29" s="17" t="n">
        <f aca="false">SQRT(($B29-AJ$16)^2+($C29-AJ$17)^2+($D29-AJ$18)^2)</f>
        <v>3.088807660302</v>
      </c>
      <c r="AK29" s="63" t="n">
        <f aca="false">MATCH(MIN(AH29:AJ29),AH29:AJ29,0)</f>
        <v>1</v>
      </c>
      <c r="AM29" s="17" t="n">
        <f aca="false">SQRT(($B29-AM$16)^2+($C29-AM$17)^2+($D29-AM$18)^2)</f>
        <v>0.805275719043296</v>
      </c>
      <c r="AN29" s="17" t="n">
        <f aca="false">SQRT(($B29-AN$16)^2+($C29-AN$17)^2+($D29-AN$18)^2)</f>
        <v>4.59366902960143</v>
      </c>
      <c r="AO29" s="17" t="n">
        <f aca="false">SQRT(($B29-AO$16)^2+($C29-AO$17)^2+($D29-AO$18)^2)</f>
        <v>3.07504241328275</v>
      </c>
      <c r="AP29" s="63" t="n">
        <f aca="false">MATCH(MIN(AM29:AO29),AM29:AO29,0)</f>
        <v>1</v>
      </c>
      <c r="AR29" s="17" t="n">
        <f aca="false">SQRT(($B29-AR$16)^2+($C29-AR$17)^2+($D29-AR$18)^2)</f>
        <v>0.805275719043296</v>
      </c>
      <c r="AS29" s="17" t="n">
        <f aca="false">SQRT(($B29-AS$16)^2+($C29-AS$17)^2+($D29-AS$18)^2)</f>
        <v>4.59366902960143</v>
      </c>
      <c r="AT29" s="17" t="n">
        <f aca="false">SQRT(($B29-AT$16)^2+($C29-AT$17)^2+($D29-AT$18)^2)</f>
        <v>3.07504241328275</v>
      </c>
      <c r="AU29" s="63" t="n">
        <f aca="false">MATCH(MIN(AR29:AT29),AR29:AT29,0)</f>
        <v>1</v>
      </c>
      <c r="AW29" s="17" t="n">
        <f aca="false">SQRT(($B29-AW$16)^2+($C29-AW$17)^2+($D29-AW$18)^2)</f>
        <v>0.805275719043296</v>
      </c>
      <c r="AX29" s="17" t="n">
        <f aca="false">SQRT(($B29-AX$16)^2+($C29-AX$17)^2+($D29-AX$18)^2)</f>
        <v>4.59366902960143</v>
      </c>
      <c r="AY29" s="17" t="n">
        <f aca="false">SQRT(($B29-AY$16)^2+($C29-AY$17)^2+($D29-AY$18)^2)</f>
        <v>3.07504241328275</v>
      </c>
      <c r="AZ29" s="63" t="n">
        <f aca="false">MATCH(MIN(AW29:AY29),AW29:AY29,0)</f>
        <v>1</v>
      </c>
      <c r="BB29" s="17" t="n">
        <f aca="false">SQRT(($B29-BB$16)^2+($C29-BB$17)^2+($D29-BB$18)^2)</f>
        <v>0.805275719043296</v>
      </c>
      <c r="BC29" s="17" t="n">
        <f aca="false">SQRT(($B29-BC$16)^2+($C29-BC$17)^2+($D29-BC$18)^2)</f>
        <v>4.59366902960143</v>
      </c>
      <c r="BD29" s="17" t="n">
        <f aca="false">SQRT(($B29-BD$16)^2+($C29-BD$17)^2+($D29-BD$18)^2)</f>
        <v>3.07504241328275</v>
      </c>
      <c r="BE29" s="63" t="n">
        <f aca="false">MATCH(MIN(BB29:BD29),BB29:BD29,0)</f>
        <v>1</v>
      </c>
      <c r="BG29" s="17" t="n">
        <f aca="false">SQRT(($B29-BG$16)^2+($C29-BG$17)^2+($D29-BG$18)^2)</f>
        <v>0.805275719043296</v>
      </c>
      <c r="BH29" s="17" t="n">
        <f aca="false">SQRT(($B29-BH$16)^2+($C29-BH$17)^2+($D29-BH$18)^2)</f>
        <v>4.59366902960143</v>
      </c>
      <c r="BI29" s="17" t="n">
        <f aca="false">SQRT(($B29-BI$16)^2+($C29-BI$17)^2+($D29-BI$18)^2)</f>
        <v>3.07504241328275</v>
      </c>
      <c r="BJ29" s="63" t="n">
        <f aca="false">MATCH(MIN(BG29:BI29),BG29:BI29,0)</f>
        <v>1</v>
      </c>
      <c r="BL29" s="17" t="n">
        <f aca="false">SQRT(($B29-BL$16)^2+($C29-BL$17)^2+($D29-BL$18)^2)</f>
        <v>0.805275719043296</v>
      </c>
      <c r="BM29" s="17" t="n">
        <f aca="false">SQRT(($B29-BM$16)^2+($C29-BM$17)^2+($D29-BM$18)^2)</f>
        <v>4.59366902960143</v>
      </c>
      <c r="BN29" s="17" t="n">
        <f aca="false">SQRT(($B29-BN$16)^2+($C29-BN$17)^2+($D29-BN$18)^2)</f>
        <v>3.07504241328275</v>
      </c>
      <c r="BO29" s="63" t="n">
        <f aca="false">MATCH(MIN(BL29:BN29),BL29:BN29,0)</f>
        <v>1</v>
      </c>
      <c r="BQ29" s="17" t="n">
        <f aca="false">SQRT(($B29-BQ$16)^2+($C29-BQ$17)^2+($D29-BQ$18)^2)</f>
        <v>0.805275719043296</v>
      </c>
      <c r="BR29" s="17" t="n">
        <f aca="false">SQRT(($B29-BR$16)^2+($C29-BR$17)^2+($D29-BR$18)^2)</f>
        <v>4.59366902960143</v>
      </c>
      <c r="BS29" s="17" t="n">
        <f aca="false">SQRT(($B29-BS$16)^2+($C29-BS$17)^2+($D29-BS$18)^2)</f>
        <v>3.07504241328275</v>
      </c>
      <c r="BT29" s="63" t="n">
        <f aca="false">MATCH(MIN(BQ29:BS29),BQ29:BS29,0)</f>
        <v>1</v>
      </c>
      <c r="BV29" s="17" t="n">
        <f aca="false">SQRT(($B29-BV$16)^2+($C29-BV$17)^2+($D29-BV$18)^2)</f>
        <v>0.805275719043296</v>
      </c>
      <c r="BW29" s="17" t="n">
        <f aca="false">SQRT(($B29-BW$16)^2+($C29-BW$17)^2+($D29-BW$18)^2)</f>
        <v>4.59366902960143</v>
      </c>
      <c r="BX29" s="17" t="n">
        <f aca="false">SQRT(($B29-BX$16)^2+($C29-BX$17)^2+($D29-BX$18)^2)</f>
        <v>3.07504241328275</v>
      </c>
      <c r="BY29" s="63" t="n">
        <f aca="false">MATCH(MIN(BV29:BX29),BV29:BX29,0)</f>
        <v>1</v>
      </c>
      <c r="CA29" s="17" t="n">
        <f aca="false">SQRT(($B29-CA$16)^2+($C29-CA$17)^2+($D29-CA$18)^2)</f>
        <v>0.805275719043296</v>
      </c>
      <c r="CB29" s="17" t="n">
        <f aca="false">SQRT(($B29-CB$16)^2+($C29-CB$17)^2+($D29-CB$18)^2)</f>
        <v>4.59366902960143</v>
      </c>
      <c r="CC29" s="17" t="n">
        <f aca="false">SQRT(($B29-CC$16)^2+($C29-CC$17)^2+($D29-CC$18)^2)</f>
        <v>3.07504241328275</v>
      </c>
      <c r="CD29" s="63" t="n">
        <f aca="false">MATCH(MIN(CA29:CC29),CA29:CC29,0)</f>
        <v>1</v>
      </c>
    </row>
    <row r="30" customFormat="false" ht="15" hidden="false" customHeight="false" outlineLevel="0" collapsed="false">
      <c r="A30" s="76" t="n">
        <f aca="false">Phase_Data!A12</f>
        <v>43894</v>
      </c>
      <c r="B30" s="17" t="n">
        <f aca="false">Phase_Data!K12</f>
        <v>-2.11714711761866</v>
      </c>
      <c r="C30" s="17" t="n">
        <f aca="false">Phase_Data!L12</f>
        <v>-1.40749747652815</v>
      </c>
      <c r="D30" s="17" t="n">
        <f aca="false">Phase_Data!M12</f>
        <v>-1.27778805060034</v>
      </c>
      <c r="E30" s="63" t="n">
        <f aca="false">CD30</f>
        <v>1</v>
      </c>
      <c r="F30" s="38" t="n">
        <f aca="false">($B30-INDEX($L$16:$N$16,E30))^2+($C30-INDEX($L$17:$N$17,E30))^2+($D30-INDEX($L$18:$N$18,E30))^2</f>
        <v>0.648468983680698</v>
      </c>
      <c r="G30" s="12" t="str">
        <f aca="false">INDEX($M$5:$M$7,E30)</f>
        <v>Low activity</v>
      </c>
      <c r="X30" s="17" t="n">
        <f aca="false">SQRT(($B30-X$16)^2+($C30-X$17)^2+($D30-X$18)^2)</f>
        <v>0.553597580833412</v>
      </c>
      <c r="Y30" s="17" t="n">
        <f aca="false">SQRT(($B30-Y$16)^2+($C30-Y$17)^2+($D30-Y$18)^2)</f>
        <v>5.28919832322922</v>
      </c>
      <c r="Z30" s="17" t="n">
        <f aca="false">SQRT(($B30-Z$16)^2+($C30-Z$17)^2+($D30-Z$18)^2)</f>
        <v>3.53561953337552</v>
      </c>
      <c r="AA30" s="63" t="n">
        <f aca="false">MATCH(MIN(X30:Z30),X30:Z30,0)</f>
        <v>1</v>
      </c>
      <c r="AC30" s="17" t="n">
        <f aca="false">SQRT(($B30-AC$16)^2+($C30-AC$17)^2+($D30-AC$18)^2)</f>
        <v>0.929249293267748</v>
      </c>
      <c r="AD30" s="17" t="n">
        <f aca="false">SQRT(($B30-AD$16)^2+($C30-AD$17)^2+($D30-AD$18)^2)</f>
        <v>4.40676397246967</v>
      </c>
      <c r="AE30" s="17" t="n">
        <f aca="false">SQRT(($B30-AE$16)^2+($C30-AE$17)^2+($D30-AE$18)^2)</f>
        <v>3.10282400347785</v>
      </c>
      <c r="AF30" s="63" t="n">
        <f aca="false">MATCH(MIN(AC30:AE30),AC30:AE30,0)</f>
        <v>1</v>
      </c>
      <c r="AH30" s="17" t="n">
        <f aca="false">SQRT(($B30-AH$16)^2+($C30-AH$17)^2+($D30-AH$18)^2)</f>
        <v>0.848737637200112</v>
      </c>
      <c r="AI30" s="17" t="n">
        <f aca="false">SQRT(($B30-AI$16)^2+($C30-AI$17)^2+($D30-AI$18)^2)</f>
        <v>4.56273923576723</v>
      </c>
      <c r="AJ30" s="17" t="n">
        <f aca="false">SQRT(($B30-AJ$16)^2+($C30-AJ$17)^2+($D30-AJ$18)^2)</f>
        <v>3.088807660302</v>
      </c>
      <c r="AK30" s="63" t="n">
        <f aca="false">MATCH(MIN(AH30:AJ30),AH30:AJ30,0)</f>
        <v>1</v>
      </c>
      <c r="AM30" s="17" t="n">
        <f aca="false">SQRT(($B30-AM$16)^2+($C30-AM$17)^2+($D30-AM$18)^2)</f>
        <v>0.805275719043296</v>
      </c>
      <c r="AN30" s="17" t="n">
        <f aca="false">SQRT(($B30-AN$16)^2+($C30-AN$17)^2+($D30-AN$18)^2)</f>
        <v>4.59366902960143</v>
      </c>
      <c r="AO30" s="17" t="n">
        <f aca="false">SQRT(($B30-AO$16)^2+($C30-AO$17)^2+($D30-AO$18)^2)</f>
        <v>3.07504241328275</v>
      </c>
      <c r="AP30" s="63" t="n">
        <f aca="false">MATCH(MIN(AM30:AO30),AM30:AO30,0)</f>
        <v>1</v>
      </c>
      <c r="AR30" s="17" t="n">
        <f aca="false">SQRT(($B30-AR$16)^2+($C30-AR$17)^2+($D30-AR$18)^2)</f>
        <v>0.805275719043296</v>
      </c>
      <c r="AS30" s="17" t="n">
        <f aca="false">SQRT(($B30-AS$16)^2+($C30-AS$17)^2+($D30-AS$18)^2)</f>
        <v>4.59366902960143</v>
      </c>
      <c r="AT30" s="17" t="n">
        <f aca="false">SQRT(($B30-AT$16)^2+($C30-AT$17)^2+($D30-AT$18)^2)</f>
        <v>3.07504241328275</v>
      </c>
      <c r="AU30" s="63" t="n">
        <f aca="false">MATCH(MIN(AR30:AT30),AR30:AT30,0)</f>
        <v>1</v>
      </c>
      <c r="AW30" s="17" t="n">
        <f aca="false">SQRT(($B30-AW$16)^2+($C30-AW$17)^2+($D30-AW$18)^2)</f>
        <v>0.805275719043296</v>
      </c>
      <c r="AX30" s="17" t="n">
        <f aca="false">SQRT(($B30-AX$16)^2+($C30-AX$17)^2+($D30-AX$18)^2)</f>
        <v>4.59366902960143</v>
      </c>
      <c r="AY30" s="17" t="n">
        <f aca="false">SQRT(($B30-AY$16)^2+($C30-AY$17)^2+($D30-AY$18)^2)</f>
        <v>3.07504241328275</v>
      </c>
      <c r="AZ30" s="63" t="n">
        <f aca="false">MATCH(MIN(AW30:AY30),AW30:AY30,0)</f>
        <v>1</v>
      </c>
      <c r="BB30" s="17" t="n">
        <f aca="false">SQRT(($B30-BB$16)^2+($C30-BB$17)^2+($D30-BB$18)^2)</f>
        <v>0.805275719043296</v>
      </c>
      <c r="BC30" s="17" t="n">
        <f aca="false">SQRT(($B30-BC$16)^2+($C30-BC$17)^2+($D30-BC$18)^2)</f>
        <v>4.59366902960143</v>
      </c>
      <c r="BD30" s="17" t="n">
        <f aca="false">SQRT(($B30-BD$16)^2+($C30-BD$17)^2+($D30-BD$18)^2)</f>
        <v>3.07504241328275</v>
      </c>
      <c r="BE30" s="63" t="n">
        <f aca="false">MATCH(MIN(BB30:BD30),BB30:BD30,0)</f>
        <v>1</v>
      </c>
      <c r="BG30" s="17" t="n">
        <f aca="false">SQRT(($B30-BG$16)^2+($C30-BG$17)^2+($D30-BG$18)^2)</f>
        <v>0.805275719043296</v>
      </c>
      <c r="BH30" s="17" t="n">
        <f aca="false">SQRT(($B30-BH$16)^2+($C30-BH$17)^2+($D30-BH$18)^2)</f>
        <v>4.59366902960143</v>
      </c>
      <c r="BI30" s="17" t="n">
        <f aca="false">SQRT(($B30-BI$16)^2+($C30-BI$17)^2+($D30-BI$18)^2)</f>
        <v>3.07504241328275</v>
      </c>
      <c r="BJ30" s="63" t="n">
        <f aca="false">MATCH(MIN(BG30:BI30),BG30:BI30,0)</f>
        <v>1</v>
      </c>
      <c r="BL30" s="17" t="n">
        <f aca="false">SQRT(($B30-BL$16)^2+($C30-BL$17)^2+($D30-BL$18)^2)</f>
        <v>0.805275719043296</v>
      </c>
      <c r="BM30" s="17" t="n">
        <f aca="false">SQRT(($B30-BM$16)^2+($C30-BM$17)^2+($D30-BM$18)^2)</f>
        <v>4.59366902960143</v>
      </c>
      <c r="BN30" s="17" t="n">
        <f aca="false">SQRT(($B30-BN$16)^2+($C30-BN$17)^2+($D30-BN$18)^2)</f>
        <v>3.07504241328275</v>
      </c>
      <c r="BO30" s="63" t="n">
        <f aca="false">MATCH(MIN(BL30:BN30),BL30:BN30,0)</f>
        <v>1</v>
      </c>
      <c r="BQ30" s="17" t="n">
        <f aca="false">SQRT(($B30-BQ$16)^2+($C30-BQ$17)^2+($D30-BQ$18)^2)</f>
        <v>0.805275719043296</v>
      </c>
      <c r="BR30" s="17" t="n">
        <f aca="false">SQRT(($B30-BR$16)^2+($C30-BR$17)^2+($D30-BR$18)^2)</f>
        <v>4.59366902960143</v>
      </c>
      <c r="BS30" s="17" t="n">
        <f aca="false">SQRT(($B30-BS$16)^2+($C30-BS$17)^2+($D30-BS$18)^2)</f>
        <v>3.07504241328275</v>
      </c>
      <c r="BT30" s="63" t="n">
        <f aca="false">MATCH(MIN(BQ30:BS30),BQ30:BS30,0)</f>
        <v>1</v>
      </c>
      <c r="BV30" s="17" t="n">
        <f aca="false">SQRT(($B30-BV$16)^2+($C30-BV$17)^2+($D30-BV$18)^2)</f>
        <v>0.805275719043296</v>
      </c>
      <c r="BW30" s="17" t="n">
        <f aca="false">SQRT(($B30-BW$16)^2+($C30-BW$17)^2+($D30-BW$18)^2)</f>
        <v>4.59366902960143</v>
      </c>
      <c r="BX30" s="17" t="n">
        <f aca="false">SQRT(($B30-BX$16)^2+($C30-BX$17)^2+($D30-BX$18)^2)</f>
        <v>3.07504241328275</v>
      </c>
      <c r="BY30" s="63" t="n">
        <f aca="false">MATCH(MIN(BV30:BX30),BV30:BX30,0)</f>
        <v>1</v>
      </c>
      <c r="CA30" s="17" t="n">
        <f aca="false">SQRT(($B30-CA$16)^2+($C30-CA$17)^2+($D30-CA$18)^2)</f>
        <v>0.805275719043296</v>
      </c>
      <c r="CB30" s="17" t="n">
        <f aca="false">SQRT(($B30-CB$16)^2+($C30-CB$17)^2+($D30-CB$18)^2)</f>
        <v>4.59366902960143</v>
      </c>
      <c r="CC30" s="17" t="n">
        <f aca="false">SQRT(($B30-CC$16)^2+($C30-CC$17)^2+($D30-CC$18)^2)</f>
        <v>3.07504241328275</v>
      </c>
      <c r="CD30" s="63" t="n">
        <f aca="false">MATCH(MIN(CA30:CC30),CA30:CC30,0)</f>
        <v>1</v>
      </c>
    </row>
    <row r="31" customFormat="false" ht="15" hidden="false" customHeight="false" outlineLevel="0" collapsed="false">
      <c r="A31" s="76" t="n">
        <f aca="false">Phase_Data!A13</f>
        <v>43895</v>
      </c>
      <c r="B31" s="17" t="n">
        <f aca="false">Phase_Data!K13</f>
        <v>-2.11714711761866</v>
      </c>
      <c r="C31" s="17" t="n">
        <f aca="false">Phase_Data!L13</f>
        <v>-1.40749747652815</v>
      </c>
      <c r="D31" s="17" t="n">
        <f aca="false">Phase_Data!M13</f>
        <v>-1.27778805060034</v>
      </c>
      <c r="E31" s="63" t="n">
        <f aca="false">CD31</f>
        <v>1</v>
      </c>
      <c r="F31" s="38" t="n">
        <f aca="false">($B31-INDEX($L$16:$N$16,E31))^2+($C31-INDEX($L$17:$N$17,E31))^2+($D31-INDEX($L$18:$N$18,E31))^2</f>
        <v>0.648468983680698</v>
      </c>
      <c r="G31" s="12" t="str">
        <f aca="false">INDEX($M$5:$M$7,E31)</f>
        <v>Low activity</v>
      </c>
      <c r="X31" s="17" t="n">
        <f aca="false">SQRT(($B31-X$16)^2+($C31-X$17)^2+($D31-X$18)^2)</f>
        <v>0.553597580833412</v>
      </c>
      <c r="Y31" s="17" t="n">
        <f aca="false">SQRT(($B31-Y$16)^2+($C31-Y$17)^2+($D31-Y$18)^2)</f>
        <v>5.28919832322922</v>
      </c>
      <c r="Z31" s="17" t="n">
        <f aca="false">SQRT(($B31-Z$16)^2+($C31-Z$17)^2+($D31-Z$18)^2)</f>
        <v>3.53561953337552</v>
      </c>
      <c r="AA31" s="63" t="n">
        <f aca="false">MATCH(MIN(X31:Z31),X31:Z31,0)</f>
        <v>1</v>
      </c>
      <c r="AC31" s="17" t="n">
        <f aca="false">SQRT(($B31-AC$16)^2+($C31-AC$17)^2+($D31-AC$18)^2)</f>
        <v>0.929249293267748</v>
      </c>
      <c r="AD31" s="17" t="n">
        <f aca="false">SQRT(($B31-AD$16)^2+($C31-AD$17)^2+($D31-AD$18)^2)</f>
        <v>4.40676397246967</v>
      </c>
      <c r="AE31" s="17" t="n">
        <f aca="false">SQRT(($B31-AE$16)^2+($C31-AE$17)^2+($D31-AE$18)^2)</f>
        <v>3.10282400347785</v>
      </c>
      <c r="AF31" s="63" t="n">
        <f aca="false">MATCH(MIN(AC31:AE31),AC31:AE31,0)</f>
        <v>1</v>
      </c>
      <c r="AH31" s="17" t="n">
        <f aca="false">SQRT(($B31-AH$16)^2+($C31-AH$17)^2+($D31-AH$18)^2)</f>
        <v>0.848737637200112</v>
      </c>
      <c r="AI31" s="17" t="n">
        <f aca="false">SQRT(($B31-AI$16)^2+($C31-AI$17)^2+($D31-AI$18)^2)</f>
        <v>4.56273923576723</v>
      </c>
      <c r="AJ31" s="17" t="n">
        <f aca="false">SQRT(($B31-AJ$16)^2+($C31-AJ$17)^2+($D31-AJ$18)^2)</f>
        <v>3.088807660302</v>
      </c>
      <c r="AK31" s="63" t="n">
        <f aca="false">MATCH(MIN(AH31:AJ31),AH31:AJ31,0)</f>
        <v>1</v>
      </c>
      <c r="AM31" s="17" t="n">
        <f aca="false">SQRT(($B31-AM$16)^2+($C31-AM$17)^2+($D31-AM$18)^2)</f>
        <v>0.805275719043296</v>
      </c>
      <c r="AN31" s="17" t="n">
        <f aca="false">SQRT(($B31-AN$16)^2+($C31-AN$17)^2+($D31-AN$18)^2)</f>
        <v>4.59366902960143</v>
      </c>
      <c r="AO31" s="17" t="n">
        <f aca="false">SQRT(($B31-AO$16)^2+($C31-AO$17)^2+($D31-AO$18)^2)</f>
        <v>3.07504241328275</v>
      </c>
      <c r="AP31" s="63" t="n">
        <f aca="false">MATCH(MIN(AM31:AO31),AM31:AO31,0)</f>
        <v>1</v>
      </c>
      <c r="AR31" s="17" t="n">
        <f aca="false">SQRT(($B31-AR$16)^2+($C31-AR$17)^2+($D31-AR$18)^2)</f>
        <v>0.805275719043296</v>
      </c>
      <c r="AS31" s="17" t="n">
        <f aca="false">SQRT(($B31-AS$16)^2+($C31-AS$17)^2+($D31-AS$18)^2)</f>
        <v>4.59366902960143</v>
      </c>
      <c r="AT31" s="17" t="n">
        <f aca="false">SQRT(($B31-AT$16)^2+($C31-AT$17)^2+($D31-AT$18)^2)</f>
        <v>3.07504241328275</v>
      </c>
      <c r="AU31" s="63" t="n">
        <f aca="false">MATCH(MIN(AR31:AT31),AR31:AT31,0)</f>
        <v>1</v>
      </c>
      <c r="AW31" s="17" t="n">
        <f aca="false">SQRT(($B31-AW$16)^2+($C31-AW$17)^2+($D31-AW$18)^2)</f>
        <v>0.805275719043296</v>
      </c>
      <c r="AX31" s="17" t="n">
        <f aca="false">SQRT(($B31-AX$16)^2+($C31-AX$17)^2+($D31-AX$18)^2)</f>
        <v>4.59366902960143</v>
      </c>
      <c r="AY31" s="17" t="n">
        <f aca="false">SQRT(($B31-AY$16)^2+($C31-AY$17)^2+($D31-AY$18)^2)</f>
        <v>3.07504241328275</v>
      </c>
      <c r="AZ31" s="63" t="n">
        <f aca="false">MATCH(MIN(AW31:AY31),AW31:AY31,0)</f>
        <v>1</v>
      </c>
      <c r="BB31" s="17" t="n">
        <f aca="false">SQRT(($B31-BB$16)^2+($C31-BB$17)^2+($D31-BB$18)^2)</f>
        <v>0.805275719043296</v>
      </c>
      <c r="BC31" s="17" t="n">
        <f aca="false">SQRT(($B31-BC$16)^2+($C31-BC$17)^2+($D31-BC$18)^2)</f>
        <v>4.59366902960143</v>
      </c>
      <c r="BD31" s="17" t="n">
        <f aca="false">SQRT(($B31-BD$16)^2+($C31-BD$17)^2+($D31-BD$18)^2)</f>
        <v>3.07504241328275</v>
      </c>
      <c r="BE31" s="63" t="n">
        <f aca="false">MATCH(MIN(BB31:BD31),BB31:BD31,0)</f>
        <v>1</v>
      </c>
      <c r="BG31" s="17" t="n">
        <f aca="false">SQRT(($B31-BG$16)^2+($C31-BG$17)^2+($D31-BG$18)^2)</f>
        <v>0.805275719043296</v>
      </c>
      <c r="BH31" s="17" t="n">
        <f aca="false">SQRT(($B31-BH$16)^2+($C31-BH$17)^2+($D31-BH$18)^2)</f>
        <v>4.59366902960143</v>
      </c>
      <c r="BI31" s="17" t="n">
        <f aca="false">SQRT(($B31-BI$16)^2+($C31-BI$17)^2+($D31-BI$18)^2)</f>
        <v>3.07504241328275</v>
      </c>
      <c r="BJ31" s="63" t="n">
        <f aca="false">MATCH(MIN(BG31:BI31),BG31:BI31,0)</f>
        <v>1</v>
      </c>
      <c r="BL31" s="17" t="n">
        <f aca="false">SQRT(($B31-BL$16)^2+($C31-BL$17)^2+($D31-BL$18)^2)</f>
        <v>0.805275719043296</v>
      </c>
      <c r="BM31" s="17" t="n">
        <f aca="false">SQRT(($B31-BM$16)^2+($C31-BM$17)^2+($D31-BM$18)^2)</f>
        <v>4.59366902960143</v>
      </c>
      <c r="BN31" s="17" t="n">
        <f aca="false">SQRT(($B31-BN$16)^2+($C31-BN$17)^2+($D31-BN$18)^2)</f>
        <v>3.07504241328275</v>
      </c>
      <c r="BO31" s="63" t="n">
        <f aca="false">MATCH(MIN(BL31:BN31),BL31:BN31,0)</f>
        <v>1</v>
      </c>
      <c r="BQ31" s="17" t="n">
        <f aca="false">SQRT(($B31-BQ$16)^2+($C31-BQ$17)^2+($D31-BQ$18)^2)</f>
        <v>0.805275719043296</v>
      </c>
      <c r="BR31" s="17" t="n">
        <f aca="false">SQRT(($B31-BR$16)^2+($C31-BR$17)^2+($D31-BR$18)^2)</f>
        <v>4.59366902960143</v>
      </c>
      <c r="BS31" s="17" t="n">
        <f aca="false">SQRT(($B31-BS$16)^2+($C31-BS$17)^2+($D31-BS$18)^2)</f>
        <v>3.07504241328275</v>
      </c>
      <c r="BT31" s="63" t="n">
        <f aca="false">MATCH(MIN(BQ31:BS31),BQ31:BS31,0)</f>
        <v>1</v>
      </c>
      <c r="BV31" s="17" t="n">
        <f aca="false">SQRT(($B31-BV$16)^2+($C31-BV$17)^2+($D31-BV$18)^2)</f>
        <v>0.805275719043296</v>
      </c>
      <c r="BW31" s="17" t="n">
        <f aca="false">SQRT(($B31-BW$16)^2+($C31-BW$17)^2+($D31-BW$18)^2)</f>
        <v>4.59366902960143</v>
      </c>
      <c r="BX31" s="17" t="n">
        <f aca="false">SQRT(($B31-BX$16)^2+($C31-BX$17)^2+($D31-BX$18)^2)</f>
        <v>3.07504241328275</v>
      </c>
      <c r="BY31" s="63" t="n">
        <f aca="false">MATCH(MIN(BV31:BX31),BV31:BX31,0)</f>
        <v>1</v>
      </c>
      <c r="CA31" s="17" t="n">
        <f aca="false">SQRT(($B31-CA$16)^2+($C31-CA$17)^2+($D31-CA$18)^2)</f>
        <v>0.805275719043296</v>
      </c>
      <c r="CB31" s="17" t="n">
        <f aca="false">SQRT(($B31-CB$16)^2+($C31-CB$17)^2+($D31-CB$18)^2)</f>
        <v>4.59366902960143</v>
      </c>
      <c r="CC31" s="17" t="n">
        <f aca="false">SQRT(($B31-CC$16)^2+($C31-CC$17)^2+($D31-CC$18)^2)</f>
        <v>3.07504241328275</v>
      </c>
      <c r="CD31" s="63" t="n">
        <f aca="false">MATCH(MIN(CA31:CC31),CA31:CC31,0)</f>
        <v>1</v>
      </c>
    </row>
    <row r="32" customFormat="false" ht="15" hidden="false" customHeight="false" outlineLevel="0" collapsed="false">
      <c r="A32" s="76" t="n">
        <f aca="false">Phase_Data!A14</f>
        <v>43896</v>
      </c>
      <c r="B32" s="17" t="n">
        <f aca="false">Phase_Data!K14</f>
        <v>-2.11714711761866</v>
      </c>
      <c r="C32" s="17" t="n">
        <f aca="false">Phase_Data!L14</f>
        <v>-1.40749747652815</v>
      </c>
      <c r="D32" s="17" t="n">
        <f aca="false">Phase_Data!M14</f>
        <v>-1.01027561104517</v>
      </c>
      <c r="E32" s="63" t="n">
        <f aca="false">CD32</f>
        <v>1</v>
      </c>
      <c r="F32" s="38" t="n">
        <f aca="false">($B32-INDEX($L$16:$N$16,E32))^2+($C32-INDEX($L$17:$N$17,E32))^2+($D32-INDEX($L$18:$N$18,E32))^2</f>
        <v>0.672381584881452</v>
      </c>
      <c r="G32" s="12" t="str">
        <f aca="false">INDEX($M$5:$M$7,E32)</f>
        <v>Low activity</v>
      </c>
      <c r="X32" s="17" t="n">
        <f aca="false">SQRT(($B32-X$16)^2+($C32-X$17)^2+($D32-X$18)^2)</f>
        <v>0.614844034549708</v>
      </c>
      <c r="Y32" s="17" t="n">
        <f aca="false">SQRT(($B32-Y$16)^2+($C32-Y$17)^2+($D32-Y$18)^2)</f>
        <v>5.14634216923962</v>
      </c>
      <c r="Z32" s="17" t="n">
        <f aca="false">SQRT(($B32-Z$16)^2+($C32-Z$17)^2+($D32-Z$18)^2)</f>
        <v>3.54572536868034</v>
      </c>
      <c r="AA32" s="63" t="n">
        <f aca="false">MATCH(MIN(X32:Z32),X32:Z32,0)</f>
        <v>1</v>
      </c>
      <c r="AC32" s="17" t="n">
        <f aca="false">SQRT(($B32-AC$16)^2+($C32-AC$17)^2+($D32-AC$18)^2)</f>
        <v>0.921165732245208</v>
      </c>
      <c r="AD32" s="17" t="n">
        <f aca="false">SQRT(($B32-AD$16)^2+($C32-AD$17)^2+($D32-AD$18)^2)</f>
        <v>4.26990794656025</v>
      </c>
      <c r="AE32" s="17" t="n">
        <f aca="false">SQRT(($B32-AE$16)^2+($C32-AE$17)^2+($D32-AE$18)^2)</f>
        <v>3.01400970542132</v>
      </c>
      <c r="AF32" s="63" t="n">
        <f aca="false">MATCH(MIN(AC32:AE32),AC32:AE32,0)</f>
        <v>1</v>
      </c>
      <c r="AH32" s="17" t="n">
        <f aca="false">SQRT(($B32-AH$16)^2+($C32-AH$17)^2+($D32-AH$18)^2)</f>
        <v>0.856243854501294</v>
      </c>
      <c r="AI32" s="17" t="n">
        <f aca="false">SQRT(($B32-AI$16)^2+($C32-AI$17)^2+($D32-AI$18)^2)</f>
        <v>4.42679276321113</v>
      </c>
      <c r="AJ32" s="17" t="n">
        <f aca="false">SQRT(($B32-AJ$16)^2+($C32-AJ$17)^2+($D32-AJ$18)^2)</f>
        <v>2.99146616681258</v>
      </c>
      <c r="AK32" s="63" t="n">
        <f aca="false">MATCH(MIN(AH32:AJ32),AH32:AJ32,0)</f>
        <v>1</v>
      </c>
      <c r="AM32" s="17" t="n">
        <f aca="false">SQRT(($B32-AM$16)^2+($C32-AM$17)^2+($D32-AM$18)^2)</f>
        <v>0.819988771192296</v>
      </c>
      <c r="AN32" s="17" t="n">
        <f aca="false">SQRT(($B32-AN$16)^2+($C32-AN$17)^2+($D32-AN$18)^2)</f>
        <v>4.45814249517602</v>
      </c>
      <c r="AO32" s="17" t="n">
        <f aca="false">SQRT(($B32-AO$16)^2+($C32-AO$17)^2+($D32-AO$18)^2)</f>
        <v>2.97644460695727</v>
      </c>
      <c r="AP32" s="63" t="n">
        <f aca="false">MATCH(MIN(AM32:AO32),AM32:AO32,0)</f>
        <v>1</v>
      </c>
      <c r="AR32" s="17" t="n">
        <f aca="false">SQRT(($B32-AR$16)^2+($C32-AR$17)^2+($D32-AR$18)^2)</f>
        <v>0.819988771192296</v>
      </c>
      <c r="AS32" s="17" t="n">
        <f aca="false">SQRT(($B32-AS$16)^2+($C32-AS$17)^2+($D32-AS$18)^2)</f>
        <v>4.45814249517602</v>
      </c>
      <c r="AT32" s="17" t="n">
        <f aca="false">SQRT(($B32-AT$16)^2+($C32-AT$17)^2+($D32-AT$18)^2)</f>
        <v>2.97644460695727</v>
      </c>
      <c r="AU32" s="63" t="n">
        <f aca="false">MATCH(MIN(AR32:AT32),AR32:AT32,0)</f>
        <v>1</v>
      </c>
      <c r="AW32" s="17" t="n">
        <f aca="false">SQRT(($B32-AW$16)^2+($C32-AW$17)^2+($D32-AW$18)^2)</f>
        <v>0.819988771192296</v>
      </c>
      <c r="AX32" s="17" t="n">
        <f aca="false">SQRT(($B32-AX$16)^2+($C32-AX$17)^2+($D32-AX$18)^2)</f>
        <v>4.45814249517602</v>
      </c>
      <c r="AY32" s="17" t="n">
        <f aca="false">SQRT(($B32-AY$16)^2+($C32-AY$17)^2+($D32-AY$18)^2)</f>
        <v>2.97644460695727</v>
      </c>
      <c r="AZ32" s="63" t="n">
        <f aca="false">MATCH(MIN(AW32:AY32),AW32:AY32,0)</f>
        <v>1</v>
      </c>
      <c r="BB32" s="17" t="n">
        <f aca="false">SQRT(($B32-BB$16)^2+($C32-BB$17)^2+($D32-BB$18)^2)</f>
        <v>0.819988771192296</v>
      </c>
      <c r="BC32" s="17" t="n">
        <f aca="false">SQRT(($B32-BC$16)^2+($C32-BC$17)^2+($D32-BC$18)^2)</f>
        <v>4.45814249517602</v>
      </c>
      <c r="BD32" s="17" t="n">
        <f aca="false">SQRT(($B32-BD$16)^2+($C32-BD$17)^2+($D32-BD$18)^2)</f>
        <v>2.97644460695727</v>
      </c>
      <c r="BE32" s="63" t="n">
        <f aca="false">MATCH(MIN(BB32:BD32),BB32:BD32,0)</f>
        <v>1</v>
      </c>
      <c r="BG32" s="17" t="n">
        <f aca="false">SQRT(($B32-BG$16)^2+($C32-BG$17)^2+($D32-BG$18)^2)</f>
        <v>0.819988771192296</v>
      </c>
      <c r="BH32" s="17" t="n">
        <f aca="false">SQRT(($B32-BH$16)^2+($C32-BH$17)^2+($D32-BH$18)^2)</f>
        <v>4.45814249517602</v>
      </c>
      <c r="BI32" s="17" t="n">
        <f aca="false">SQRT(($B32-BI$16)^2+($C32-BI$17)^2+($D32-BI$18)^2)</f>
        <v>2.97644460695727</v>
      </c>
      <c r="BJ32" s="63" t="n">
        <f aca="false">MATCH(MIN(BG32:BI32),BG32:BI32,0)</f>
        <v>1</v>
      </c>
      <c r="BL32" s="17" t="n">
        <f aca="false">SQRT(($B32-BL$16)^2+($C32-BL$17)^2+($D32-BL$18)^2)</f>
        <v>0.819988771192296</v>
      </c>
      <c r="BM32" s="17" t="n">
        <f aca="false">SQRT(($B32-BM$16)^2+($C32-BM$17)^2+($D32-BM$18)^2)</f>
        <v>4.45814249517602</v>
      </c>
      <c r="BN32" s="17" t="n">
        <f aca="false">SQRT(($B32-BN$16)^2+($C32-BN$17)^2+($D32-BN$18)^2)</f>
        <v>2.97644460695727</v>
      </c>
      <c r="BO32" s="63" t="n">
        <f aca="false">MATCH(MIN(BL32:BN32),BL32:BN32,0)</f>
        <v>1</v>
      </c>
      <c r="BQ32" s="17" t="n">
        <f aca="false">SQRT(($B32-BQ$16)^2+($C32-BQ$17)^2+($D32-BQ$18)^2)</f>
        <v>0.819988771192296</v>
      </c>
      <c r="BR32" s="17" t="n">
        <f aca="false">SQRT(($B32-BR$16)^2+($C32-BR$17)^2+($D32-BR$18)^2)</f>
        <v>4.45814249517602</v>
      </c>
      <c r="BS32" s="17" t="n">
        <f aca="false">SQRT(($B32-BS$16)^2+($C32-BS$17)^2+($D32-BS$18)^2)</f>
        <v>2.97644460695727</v>
      </c>
      <c r="BT32" s="63" t="n">
        <f aca="false">MATCH(MIN(BQ32:BS32),BQ32:BS32,0)</f>
        <v>1</v>
      </c>
      <c r="BV32" s="17" t="n">
        <f aca="false">SQRT(($B32-BV$16)^2+($C32-BV$17)^2+($D32-BV$18)^2)</f>
        <v>0.819988771192296</v>
      </c>
      <c r="BW32" s="17" t="n">
        <f aca="false">SQRT(($B32-BW$16)^2+($C32-BW$17)^2+($D32-BW$18)^2)</f>
        <v>4.45814249517602</v>
      </c>
      <c r="BX32" s="17" t="n">
        <f aca="false">SQRT(($B32-BX$16)^2+($C32-BX$17)^2+($D32-BX$18)^2)</f>
        <v>2.97644460695727</v>
      </c>
      <c r="BY32" s="63" t="n">
        <f aca="false">MATCH(MIN(BV32:BX32),BV32:BX32,0)</f>
        <v>1</v>
      </c>
      <c r="CA32" s="17" t="n">
        <f aca="false">SQRT(($B32-CA$16)^2+($C32-CA$17)^2+($D32-CA$18)^2)</f>
        <v>0.819988771192296</v>
      </c>
      <c r="CB32" s="17" t="n">
        <f aca="false">SQRT(($B32-CB$16)^2+($C32-CB$17)^2+($D32-CB$18)^2)</f>
        <v>4.45814249517602</v>
      </c>
      <c r="CC32" s="17" t="n">
        <f aca="false">SQRT(($B32-CC$16)^2+($C32-CC$17)^2+($D32-CC$18)^2)</f>
        <v>2.97644460695727</v>
      </c>
      <c r="CD32" s="63" t="n">
        <f aca="false">MATCH(MIN(CA32:CC32),CA32:CC32,0)</f>
        <v>1</v>
      </c>
    </row>
    <row r="33" customFormat="false" ht="15" hidden="false" customHeight="false" outlineLevel="0" collapsed="false">
      <c r="A33" s="76" t="n">
        <f aca="false">Phase_Data!A15</f>
        <v>43897</v>
      </c>
      <c r="B33" s="17" t="n">
        <f aca="false">Phase_Data!K15</f>
        <v>-1.84034832720195</v>
      </c>
      <c r="C33" s="17" t="n">
        <f aca="false">Phase_Data!L15</f>
        <v>-1.40749747652815</v>
      </c>
      <c r="D33" s="17" t="n">
        <f aca="false">Phase_Data!M15</f>
        <v>-1.27778805060034</v>
      </c>
      <c r="E33" s="63" t="n">
        <f aca="false">CD33</f>
        <v>1</v>
      </c>
      <c r="F33" s="38" t="n">
        <f aca="false">($B33-INDEX($L$16:$N$16,E33))^2+($C33-INDEX($L$17:$N$17,E33))^2+($D33-INDEX($L$18:$N$18,E33))^2</f>
        <v>0.286280395544508</v>
      </c>
      <c r="G33" s="12" t="str">
        <f aca="false">INDEX($M$5:$M$7,E33)</f>
        <v>Low activity</v>
      </c>
      <c r="X33" s="17" t="n">
        <f aca="false">SQRT(($B33-X$16)^2+($C33-X$17)^2+($D33-X$18)^2)</f>
        <v>0.276798790416706</v>
      </c>
      <c r="Y33" s="17" t="n">
        <f aca="false">SQRT(($B33-Y$16)^2+($C33-Y$17)^2+($D33-Y$18)^2)</f>
        <v>5.11914249372388</v>
      </c>
      <c r="Z33" s="17" t="n">
        <f aca="false">SQRT(($B33-Z$16)^2+($C33-Z$17)^2+($D33-Z$18)^2)</f>
        <v>3.32245358832406</v>
      </c>
      <c r="AA33" s="63" t="n">
        <f aca="false">MATCH(MIN(X33:Z33),X33:Z33,0)</f>
        <v>1</v>
      </c>
      <c r="AC33" s="17" t="n">
        <f aca="false">SQRT(($B33-AC$16)^2+($C33-AC$17)^2+($D33-AC$18)^2)</f>
        <v>0.663931312523924</v>
      </c>
      <c r="AD33" s="17" t="n">
        <f aca="false">SQRT(($B33-AD$16)^2+($C33-AD$17)^2+($D33-AD$18)^2)</f>
        <v>4.23012340032254</v>
      </c>
      <c r="AE33" s="17" t="n">
        <f aca="false">SQRT(($B33-AE$16)^2+($C33-AE$17)^2+($D33-AE$18)^2)</f>
        <v>2.89211830723305</v>
      </c>
      <c r="AF33" s="63" t="n">
        <f aca="false">MATCH(MIN(AC33:AE33),AC33:AE33,0)</f>
        <v>1</v>
      </c>
      <c r="AH33" s="17" t="n">
        <f aca="false">SQRT(($B33-AH$16)^2+($C33-AH$17)^2+($D33-AH$18)^2)</f>
        <v>0.579720506539473</v>
      </c>
      <c r="AI33" s="17" t="n">
        <f aca="false">SQRT(($B33-AI$16)^2+($C33-AI$17)^2+($D33-AI$18)^2)</f>
        <v>4.38689066355671</v>
      </c>
      <c r="AJ33" s="17" t="n">
        <f aca="false">SQRT(($B33-AJ$16)^2+($C33-AJ$17)^2+($D33-AJ$18)^2)</f>
        <v>2.88040369727873</v>
      </c>
      <c r="AK33" s="63" t="n">
        <f aca="false">MATCH(MIN(AH33:AJ33),AH33:AJ33,0)</f>
        <v>1</v>
      </c>
      <c r="AM33" s="17" t="n">
        <f aca="false">SQRT(($B33-AM$16)^2+($C33-AM$17)^2+($D33-AM$18)^2)</f>
        <v>0.53505176903222</v>
      </c>
      <c r="AN33" s="17" t="n">
        <f aca="false">SQRT(($B33-AN$16)^2+($C33-AN$17)^2+($D33-AN$18)^2)</f>
        <v>4.41821685352251</v>
      </c>
      <c r="AO33" s="17" t="n">
        <f aca="false">SQRT(($B33-AO$16)^2+($C33-AO$17)^2+($D33-AO$18)^2)</f>
        <v>2.86620206105015</v>
      </c>
      <c r="AP33" s="63" t="n">
        <f aca="false">MATCH(MIN(AM33:AO33),AM33:AO33,0)</f>
        <v>1</v>
      </c>
      <c r="AR33" s="17" t="n">
        <f aca="false">SQRT(($B33-AR$16)^2+($C33-AR$17)^2+($D33-AR$18)^2)</f>
        <v>0.53505176903222</v>
      </c>
      <c r="AS33" s="17" t="n">
        <f aca="false">SQRT(($B33-AS$16)^2+($C33-AS$17)^2+($D33-AS$18)^2)</f>
        <v>4.41821685352251</v>
      </c>
      <c r="AT33" s="17" t="n">
        <f aca="false">SQRT(($B33-AT$16)^2+($C33-AT$17)^2+($D33-AT$18)^2)</f>
        <v>2.86620206105015</v>
      </c>
      <c r="AU33" s="63" t="n">
        <f aca="false">MATCH(MIN(AR33:AT33),AR33:AT33,0)</f>
        <v>1</v>
      </c>
      <c r="AW33" s="17" t="n">
        <f aca="false">SQRT(($B33-AW$16)^2+($C33-AW$17)^2+($D33-AW$18)^2)</f>
        <v>0.53505176903222</v>
      </c>
      <c r="AX33" s="17" t="n">
        <f aca="false">SQRT(($B33-AX$16)^2+($C33-AX$17)^2+($D33-AX$18)^2)</f>
        <v>4.41821685352251</v>
      </c>
      <c r="AY33" s="17" t="n">
        <f aca="false">SQRT(($B33-AY$16)^2+($C33-AY$17)^2+($D33-AY$18)^2)</f>
        <v>2.86620206105015</v>
      </c>
      <c r="AZ33" s="63" t="n">
        <f aca="false">MATCH(MIN(AW33:AY33),AW33:AY33,0)</f>
        <v>1</v>
      </c>
      <c r="BB33" s="17" t="n">
        <f aca="false">SQRT(($B33-BB$16)^2+($C33-BB$17)^2+($D33-BB$18)^2)</f>
        <v>0.53505176903222</v>
      </c>
      <c r="BC33" s="17" t="n">
        <f aca="false">SQRT(($B33-BC$16)^2+($C33-BC$17)^2+($D33-BC$18)^2)</f>
        <v>4.41821685352251</v>
      </c>
      <c r="BD33" s="17" t="n">
        <f aca="false">SQRT(($B33-BD$16)^2+($C33-BD$17)^2+($D33-BD$18)^2)</f>
        <v>2.86620206105015</v>
      </c>
      <c r="BE33" s="63" t="n">
        <f aca="false">MATCH(MIN(BB33:BD33),BB33:BD33,0)</f>
        <v>1</v>
      </c>
      <c r="BG33" s="17" t="n">
        <f aca="false">SQRT(($B33-BG$16)^2+($C33-BG$17)^2+($D33-BG$18)^2)</f>
        <v>0.53505176903222</v>
      </c>
      <c r="BH33" s="17" t="n">
        <f aca="false">SQRT(($B33-BH$16)^2+($C33-BH$17)^2+($D33-BH$18)^2)</f>
        <v>4.41821685352251</v>
      </c>
      <c r="BI33" s="17" t="n">
        <f aca="false">SQRT(($B33-BI$16)^2+($C33-BI$17)^2+($D33-BI$18)^2)</f>
        <v>2.86620206105015</v>
      </c>
      <c r="BJ33" s="63" t="n">
        <f aca="false">MATCH(MIN(BG33:BI33),BG33:BI33,0)</f>
        <v>1</v>
      </c>
      <c r="BL33" s="17" t="n">
        <f aca="false">SQRT(($B33-BL$16)^2+($C33-BL$17)^2+($D33-BL$18)^2)</f>
        <v>0.53505176903222</v>
      </c>
      <c r="BM33" s="17" t="n">
        <f aca="false">SQRT(($B33-BM$16)^2+($C33-BM$17)^2+($D33-BM$18)^2)</f>
        <v>4.41821685352251</v>
      </c>
      <c r="BN33" s="17" t="n">
        <f aca="false">SQRT(($B33-BN$16)^2+($C33-BN$17)^2+($D33-BN$18)^2)</f>
        <v>2.86620206105015</v>
      </c>
      <c r="BO33" s="63" t="n">
        <f aca="false">MATCH(MIN(BL33:BN33),BL33:BN33,0)</f>
        <v>1</v>
      </c>
      <c r="BQ33" s="17" t="n">
        <f aca="false">SQRT(($B33-BQ$16)^2+($C33-BQ$17)^2+($D33-BQ$18)^2)</f>
        <v>0.53505176903222</v>
      </c>
      <c r="BR33" s="17" t="n">
        <f aca="false">SQRT(($B33-BR$16)^2+($C33-BR$17)^2+($D33-BR$18)^2)</f>
        <v>4.41821685352251</v>
      </c>
      <c r="BS33" s="17" t="n">
        <f aca="false">SQRT(($B33-BS$16)^2+($C33-BS$17)^2+($D33-BS$18)^2)</f>
        <v>2.86620206105015</v>
      </c>
      <c r="BT33" s="63" t="n">
        <f aca="false">MATCH(MIN(BQ33:BS33),BQ33:BS33,0)</f>
        <v>1</v>
      </c>
      <c r="BV33" s="17" t="n">
        <f aca="false">SQRT(($B33-BV$16)^2+($C33-BV$17)^2+($D33-BV$18)^2)</f>
        <v>0.53505176903222</v>
      </c>
      <c r="BW33" s="17" t="n">
        <f aca="false">SQRT(($B33-BW$16)^2+($C33-BW$17)^2+($D33-BW$18)^2)</f>
        <v>4.41821685352251</v>
      </c>
      <c r="BX33" s="17" t="n">
        <f aca="false">SQRT(($B33-BX$16)^2+($C33-BX$17)^2+($D33-BX$18)^2)</f>
        <v>2.86620206105015</v>
      </c>
      <c r="BY33" s="63" t="n">
        <f aca="false">MATCH(MIN(BV33:BX33),BV33:BX33,0)</f>
        <v>1</v>
      </c>
      <c r="CA33" s="17" t="n">
        <f aca="false">SQRT(($B33-CA$16)^2+($C33-CA$17)^2+($D33-CA$18)^2)</f>
        <v>0.53505176903222</v>
      </c>
      <c r="CB33" s="17" t="n">
        <f aca="false">SQRT(($B33-CB$16)^2+($C33-CB$17)^2+($D33-CB$18)^2)</f>
        <v>4.41821685352251</v>
      </c>
      <c r="CC33" s="17" t="n">
        <f aca="false">SQRT(($B33-CC$16)^2+($C33-CC$17)^2+($D33-CC$18)^2)</f>
        <v>2.86620206105015</v>
      </c>
      <c r="CD33" s="63" t="n">
        <f aca="false">MATCH(MIN(CA33:CC33),CA33:CC33,0)</f>
        <v>1</v>
      </c>
    </row>
    <row r="34" customFormat="false" ht="15" hidden="false" customHeight="false" outlineLevel="0" collapsed="false">
      <c r="A34" s="76" t="n">
        <f aca="false">Phase_Data!A16</f>
        <v>43898</v>
      </c>
      <c r="B34" s="17" t="n">
        <f aca="false">Phase_Data!K16</f>
        <v>-2.11714711761866</v>
      </c>
      <c r="C34" s="17" t="n">
        <f aca="false">Phase_Data!L16</f>
        <v>-1.40749747652815</v>
      </c>
      <c r="D34" s="17" t="n">
        <f aca="false">Phase_Data!M16</f>
        <v>-1.27778805060034</v>
      </c>
      <c r="E34" s="63" t="n">
        <f aca="false">CD34</f>
        <v>1</v>
      </c>
      <c r="F34" s="38" t="n">
        <f aca="false">($B34-INDEX($L$16:$N$16,E34))^2+($C34-INDEX($L$17:$N$17,E34))^2+($D34-INDEX($L$18:$N$18,E34))^2</f>
        <v>0.648468983680698</v>
      </c>
      <c r="G34" s="12" t="str">
        <f aca="false">INDEX($M$5:$M$7,E34)</f>
        <v>Low activity</v>
      </c>
      <c r="X34" s="17" t="n">
        <f aca="false">SQRT(($B34-X$16)^2+($C34-X$17)^2+($D34-X$18)^2)</f>
        <v>0.553597580833412</v>
      </c>
      <c r="Y34" s="17" t="n">
        <f aca="false">SQRT(($B34-Y$16)^2+($C34-Y$17)^2+($D34-Y$18)^2)</f>
        <v>5.28919832322922</v>
      </c>
      <c r="Z34" s="17" t="n">
        <f aca="false">SQRT(($B34-Z$16)^2+($C34-Z$17)^2+($D34-Z$18)^2)</f>
        <v>3.53561953337552</v>
      </c>
      <c r="AA34" s="63" t="n">
        <f aca="false">MATCH(MIN(X34:Z34),X34:Z34,0)</f>
        <v>1</v>
      </c>
      <c r="AC34" s="17" t="n">
        <f aca="false">SQRT(($B34-AC$16)^2+($C34-AC$17)^2+($D34-AC$18)^2)</f>
        <v>0.929249293267748</v>
      </c>
      <c r="AD34" s="17" t="n">
        <f aca="false">SQRT(($B34-AD$16)^2+($C34-AD$17)^2+($D34-AD$18)^2)</f>
        <v>4.40676397246967</v>
      </c>
      <c r="AE34" s="17" t="n">
        <f aca="false">SQRT(($B34-AE$16)^2+($C34-AE$17)^2+($D34-AE$18)^2)</f>
        <v>3.10282400347785</v>
      </c>
      <c r="AF34" s="63" t="n">
        <f aca="false">MATCH(MIN(AC34:AE34),AC34:AE34,0)</f>
        <v>1</v>
      </c>
      <c r="AH34" s="17" t="n">
        <f aca="false">SQRT(($B34-AH$16)^2+($C34-AH$17)^2+($D34-AH$18)^2)</f>
        <v>0.848737637200112</v>
      </c>
      <c r="AI34" s="17" t="n">
        <f aca="false">SQRT(($B34-AI$16)^2+($C34-AI$17)^2+($D34-AI$18)^2)</f>
        <v>4.56273923576723</v>
      </c>
      <c r="AJ34" s="17" t="n">
        <f aca="false">SQRT(($B34-AJ$16)^2+($C34-AJ$17)^2+($D34-AJ$18)^2)</f>
        <v>3.088807660302</v>
      </c>
      <c r="AK34" s="63" t="n">
        <f aca="false">MATCH(MIN(AH34:AJ34),AH34:AJ34,0)</f>
        <v>1</v>
      </c>
      <c r="AM34" s="17" t="n">
        <f aca="false">SQRT(($B34-AM$16)^2+($C34-AM$17)^2+($D34-AM$18)^2)</f>
        <v>0.805275719043296</v>
      </c>
      <c r="AN34" s="17" t="n">
        <f aca="false">SQRT(($B34-AN$16)^2+($C34-AN$17)^2+($D34-AN$18)^2)</f>
        <v>4.59366902960143</v>
      </c>
      <c r="AO34" s="17" t="n">
        <f aca="false">SQRT(($B34-AO$16)^2+($C34-AO$17)^2+($D34-AO$18)^2)</f>
        <v>3.07504241328275</v>
      </c>
      <c r="AP34" s="63" t="n">
        <f aca="false">MATCH(MIN(AM34:AO34),AM34:AO34,0)</f>
        <v>1</v>
      </c>
      <c r="AR34" s="17" t="n">
        <f aca="false">SQRT(($B34-AR$16)^2+($C34-AR$17)^2+($D34-AR$18)^2)</f>
        <v>0.805275719043296</v>
      </c>
      <c r="AS34" s="17" t="n">
        <f aca="false">SQRT(($B34-AS$16)^2+($C34-AS$17)^2+($D34-AS$18)^2)</f>
        <v>4.59366902960143</v>
      </c>
      <c r="AT34" s="17" t="n">
        <f aca="false">SQRT(($B34-AT$16)^2+($C34-AT$17)^2+($D34-AT$18)^2)</f>
        <v>3.07504241328275</v>
      </c>
      <c r="AU34" s="63" t="n">
        <f aca="false">MATCH(MIN(AR34:AT34),AR34:AT34,0)</f>
        <v>1</v>
      </c>
      <c r="AW34" s="17" t="n">
        <f aca="false">SQRT(($B34-AW$16)^2+($C34-AW$17)^2+($D34-AW$18)^2)</f>
        <v>0.805275719043296</v>
      </c>
      <c r="AX34" s="17" t="n">
        <f aca="false">SQRT(($B34-AX$16)^2+($C34-AX$17)^2+($D34-AX$18)^2)</f>
        <v>4.59366902960143</v>
      </c>
      <c r="AY34" s="17" t="n">
        <f aca="false">SQRT(($B34-AY$16)^2+($C34-AY$17)^2+($D34-AY$18)^2)</f>
        <v>3.07504241328275</v>
      </c>
      <c r="AZ34" s="63" t="n">
        <f aca="false">MATCH(MIN(AW34:AY34),AW34:AY34,0)</f>
        <v>1</v>
      </c>
      <c r="BB34" s="17" t="n">
        <f aca="false">SQRT(($B34-BB$16)^2+($C34-BB$17)^2+($D34-BB$18)^2)</f>
        <v>0.805275719043296</v>
      </c>
      <c r="BC34" s="17" t="n">
        <f aca="false">SQRT(($B34-BC$16)^2+($C34-BC$17)^2+($D34-BC$18)^2)</f>
        <v>4.59366902960143</v>
      </c>
      <c r="BD34" s="17" t="n">
        <f aca="false">SQRT(($B34-BD$16)^2+($C34-BD$17)^2+($D34-BD$18)^2)</f>
        <v>3.07504241328275</v>
      </c>
      <c r="BE34" s="63" t="n">
        <f aca="false">MATCH(MIN(BB34:BD34),BB34:BD34,0)</f>
        <v>1</v>
      </c>
      <c r="BG34" s="17" t="n">
        <f aca="false">SQRT(($B34-BG$16)^2+($C34-BG$17)^2+($D34-BG$18)^2)</f>
        <v>0.805275719043296</v>
      </c>
      <c r="BH34" s="17" t="n">
        <f aca="false">SQRT(($B34-BH$16)^2+($C34-BH$17)^2+($D34-BH$18)^2)</f>
        <v>4.59366902960143</v>
      </c>
      <c r="BI34" s="17" t="n">
        <f aca="false">SQRT(($B34-BI$16)^2+($C34-BI$17)^2+($D34-BI$18)^2)</f>
        <v>3.07504241328275</v>
      </c>
      <c r="BJ34" s="63" t="n">
        <f aca="false">MATCH(MIN(BG34:BI34),BG34:BI34,0)</f>
        <v>1</v>
      </c>
      <c r="BL34" s="17" t="n">
        <f aca="false">SQRT(($B34-BL$16)^2+($C34-BL$17)^2+($D34-BL$18)^2)</f>
        <v>0.805275719043296</v>
      </c>
      <c r="BM34" s="17" t="n">
        <f aca="false">SQRT(($B34-BM$16)^2+($C34-BM$17)^2+($D34-BM$18)^2)</f>
        <v>4.59366902960143</v>
      </c>
      <c r="BN34" s="17" t="n">
        <f aca="false">SQRT(($B34-BN$16)^2+($C34-BN$17)^2+($D34-BN$18)^2)</f>
        <v>3.07504241328275</v>
      </c>
      <c r="BO34" s="63" t="n">
        <f aca="false">MATCH(MIN(BL34:BN34),BL34:BN34,0)</f>
        <v>1</v>
      </c>
      <c r="BQ34" s="17" t="n">
        <f aca="false">SQRT(($B34-BQ$16)^2+($C34-BQ$17)^2+($D34-BQ$18)^2)</f>
        <v>0.805275719043296</v>
      </c>
      <c r="BR34" s="17" t="n">
        <f aca="false">SQRT(($B34-BR$16)^2+($C34-BR$17)^2+($D34-BR$18)^2)</f>
        <v>4.59366902960143</v>
      </c>
      <c r="BS34" s="17" t="n">
        <f aca="false">SQRT(($B34-BS$16)^2+($C34-BS$17)^2+($D34-BS$18)^2)</f>
        <v>3.07504241328275</v>
      </c>
      <c r="BT34" s="63" t="n">
        <f aca="false">MATCH(MIN(BQ34:BS34),BQ34:BS34,0)</f>
        <v>1</v>
      </c>
      <c r="BV34" s="17" t="n">
        <f aca="false">SQRT(($B34-BV$16)^2+($C34-BV$17)^2+($D34-BV$18)^2)</f>
        <v>0.805275719043296</v>
      </c>
      <c r="BW34" s="17" t="n">
        <f aca="false">SQRT(($B34-BW$16)^2+($C34-BW$17)^2+($D34-BW$18)^2)</f>
        <v>4.59366902960143</v>
      </c>
      <c r="BX34" s="17" t="n">
        <f aca="false">SQRT(($B34-BX$16)^2+($C34-BX$17)^2+($D34-BX$18)^2)</f>
        <v>3.07504241328275</v>
      </c>
      <c r="BY34" s="63" t="n">
        <f aca="false">MATCH(MIN(BV34:BX34),BV34:BX34,0)</f>
        <v>1</v>
      </c>
      <c r="CA34" s="17" t="n">
        <f aca="false">SQRT(($B34-CA$16)^2+($C34-CA$17)^2+($D34-CA$18)^2)</f>
        <v>0.805275719043296</v>
      </c>
      <c r="CB34" s="17" t="n">
        <f aca="false">SQRT(($B34-CB$16)^2+($C34-CB$17)^2+($D34-CB$18)^2)</f>
        <v>4.59366902960143</v>
      </c>
      <c r="CC34" s="17" t="n">
        <f aca="false">SQRT(($B34-CC$16)^2+($C34-CC$17)^2+($D34-CC$18)^2)</f>
        <v>3.07504241328275</v>
      </c>
      <c r="CD34" s="63" t="n">
        <f aca="false">MATCH(MIN(CA34:CC34),CA34:CC34,0)</f>
        <v>1</v>
      </c>
    </row>
    <row r="35" customFormat="false" ht="15" hidden="false" customHeight="false" outlineLevel="0" collapsed="false">
      <c r="A35" s="76" t="n">
        <f aca="false">Phase_Data!A17</f>
        <v>43899</v>
      </c>
      <c r="B35" s="17" t="n">
        <f aca="false">Phase_Data!K17</f>
        <v>-1.19764143910256</v>
      </c>
      <c r="C35" s="17" t="n">
        <f aca="false">Phase_Data!L17</f>
        <v>-1.40749747652815</v>
      </c>
      <c r="D35" s="17" t="n">
        <f aca="false">Phase_Data!M17</f>
        <v>-1.27778805060034</v>
      </c>
      <c r="E35" s="63" t="n">
        <f aca="false">CD35</f>
        <v>1</v>
      </c>
      <c r="F35" s="38" t="n">
        <f aca="false">($B35-INDEX($L$16:$N$16,E35))^2+($C35-INDEX($L$17:$N$17,E35))^2+($D35-INDEX($L$18:$N$18,E35))^2</f>
        <v>0.0362771703322955</v>
      </c>
      <c r="G35" s="12" t="str">
        <f aca="false">INDEX($M$5:$M$7,E35)</f>
        <v>Low activity</v>
      </c>
      <c r="X35" s="17" t="n">
        <f aca="false">SQRT(($B35-X$16)^2+($C35-X$17)^2+($D35-X$18)^2)</f>
        <v>0.365908097682682</v>
      </c>
      <c r="Y35" s="17" t="n">
        <f aca="false">SQRT(($B35-Y$16)^2+($C35-Y$17)^2+($D35-Y$18)^2)</f>
        <v>4.76306435242527</v>
      </c>
      <c r="Z35" s="17" t="n">
        <f aca="false">SQRT(($B35-Z$16)^2+($C35-Z$17)^2+($D35-Z$18)^2)</f>
        <v>2.86970835843728</v>
      </c>
      <c r="AA35" s="63" t="n">
        <f aca="false">MATCH(MIN(X35:Z35),X35:Z35,0)</f>
        <v>1</v>
      </c>
      <c r="AC35" s="17" t="n">
        <f aca="false">SQRT(($B35-AC$16)^2+($C35-AC$17)^2+($D35-AC$18)^2)</f>
        <v>0.22427587056604</v>
      </c>
      <c r="AD35" s="17" t="n">
        <f aca="false">SQRT(($B35-AD$16)^2+($C35-AD$17)^2+($D35-AD$18)^2)</f>
        <v>3.86555632465445</v>
      </c>
      <c r="AE35" s="17" t="n">
        <f aca="false">SQRT(($B35-AE$16)^2+($C35-AE$17)^2+($D35-AE$18)^2)</f>
        <v>2.45404452334658</v>
      </c>
      <c r="AF35" s="63" t="n">
        <f aca="false">MATCH(MIN(AC35:AE35),AC35:AE35,0)</f>
        <v>1</v>
      </c>
      <c r="AH35" s="17" t="n">
        <f aca="false">SQRT(($B35-AH$16)^2+($C35-AH$17)^2+($D35-AH$18)^2)</f>
        <v>0.186490325321055</v>
      </c>
      <c r="AI35" s="17" t="n">
        <f aca="false">SQRT(($B35-AI$16)^2+($C35-AI$17)^2+($D35-AI$18)^2)</f>
        <v>4.02263336222192</v>
      </c>
      <c r="AJ35" s="17" t="n">
        <f aca="false">SQRT(($B35-AJ$16)^2+($C35-AJ$17)^2+($D35-AJ$18)^2)</f>
        <v>2.44932696578966</v>
      </c>
      <c r="AK35" s="63" t="n">
        <f aca="false">MATCH(MIN(AH35:AJ35),AH35:AJ35,0)</f>
        <v>1</v>
      </c>
      <c r="AM35" s="17" t="n">
        <f aca="false">SQRT(($B35-AM$16)^2+($C35-AM$17)^2+($D35-AM$18)^2)</f>
        <v>0.190465667069673</v>
      </c>
      <c r="AN35" s="17" t="n">
        <f aca="false">SQRT(($B35-AN$16)^2+($C35-AN$17)^2+($D35-AN$18)^2)</f>
        <v>4.05466208298363</v>
      </c>
      <c r="AO35" s="17" t="n">
        <f aca="false">SQRT(($B35-AO$16)^2+($C35-AO$17)^2+($D35-AO$18)^2)</f>
        <v>2.43415374962441</v>
      </c>
      <c r="AP35" s="63" t="n">
        <f aca="false">MATCH(MIN(AM35:AO35),AM35:AO35,0)</f>
        <v>1</v>
      </c>
      <c r="AR35" s="17" t="n">
        <f aca="false">SQRT(($B35-AR$16)^2+($C35-AR$17)^2+($D35-AR$18)^2)</f>
        <v>0.190465667069673</v>
      </c>
      <c r="AS35" s="17" t="n">
        <f aca="false">SQRT(($B35-AS$16)^2+($C35-AS$17)^2+($D35-AS$18)^2)</f>
        <v>4.05466208298363</v>
      </c>
      <c r="AT35" s="17" t="n">
        <f aca="false">SQRT(($B35-AT$16)^2+($C35-AT$17)^2+($D35-AT$18)^2)</f>
        <v>2.43415374962441</v>
      </c>
      <c r="AU35" s="63" t="n">
        <f aca="false">MATCH(MIN(AR35:AT35),AR35:AT35,0)</f>
        <v>1</v>
      </c>
      <c r="AW35" s="17" t="n">
        <f aca="false">SQRT(($B35-AW$16)^2+($C35-AW$17)^2+($D35-AW$18)^2)</f>
        <v>0.190465667069673</v>
      </c>
      <c r="AX35" s="17" t="n">
        <f aca="false">SQRT(($B35-AX$16)^2+($C35-AX$17)^2+($D35-AX$18)^2)</f>
        <v>4.05466208298363</v>
      </c>
      <c r="AY35" s="17" t="n">
        <f aca="false">SQRT(($B35-AY$16)^2+($C35-AY$17)^2+($D35-AY$18)^2)</f>
        <v>2.43415374962441</v>
      </c>
      <c r="AZ35" s="63" t="n">
        <f aca="false">MATCH(MIN(AW35:AY35),AW35:AY35,0)</f>
        <v>1</v>
      </c>
      <c r="BB35" s="17" t="n">
        <f aca="false">SQRT(($B35-BB$16)^2+($C35-BB$17)^2+($D35-BB$18)^2)</f>
        <v>0.190465667069673</v>
      </c>
      <c r="BC35" s="17" t="n">
        <f aca="false">SQRT(($B35-BC$16)^2+($C35-BC$17)^2+($D35-BC$18)^2)</f>
        <v>4.05466208298363</v>
      </c>
      <c r="BD35" s="17" t="n">
        <f aca="false">SQRT(($B35-BD$16)^2+($C35-BD$17)^2+($D35-BD$18)^2)</f>
        <v>2.43415374962441</v>
      </c>
      <c r="BE35" s="63" t="n">
        <f aca="false">MATCH(MIN(BB35:BD35),BB35:BD35,0)</f>
        <v>1</v>
      </c>
      <c r="BG35" s="17" t="n">
        <f aca="false">SQRT(($B35-BG$16)^2+($C35-BG$17)^2+($D35-BG$18)^2)</f>
        <v>0.190465667069673</v>
      </c>
      <c r="BH35" s="17" t="n">
        <f aca="false">SQRT(($B35-BH$16)^2+($C35-BH$17)^2+($D35-BH$18)^2)</f>
        <v>4.05466208298363</v>
      </c>
      <c r="BI35" s="17" t="n">
        <f aca="false">SQRT(($B35-BI$16)^2+($C35-BI$17)^2+($D35-BI$18)^2)</f>
        <v>2.43415374962441</v>
      </c>
      <c r="BJ35" s="63" t="n">
        <f aca="false">MATCH(MIN(BG35:BI35),BG35:BI35,0)</f>
        <v>1</v>
      </c>
      <c r="BL35" s="17" t="n">
        <f aca="false">SQRT(($B35-BL$16)^2+($C35-BL$17)^2+($D35-BL$18)^2)</f>
        <v>0.190465667069673</v>
      </c>
      <c r="BM35" s="17" t="n">
        <f aca="false">SQRT(($B35-BM$16)^2+($C35-BM$17)^2+($D35-BM$18)^2)</f>
        <v>4.05466208298363</v>
      </c>
      <c r="BN35" s="17" t="n">
        <f aca="false">SQRT(($B35-BN$16)^2+($C35-BN$17)^2+($D35-BN$18)^2)</f>
        <v>2.43415374962441</v>
      </c>
      <c r="BO35" s="63" t="n">
        <f aca="false">MATCH(MIN(BL35:BN35),BL35:BN35,0)</f>
        <v>1</v>
      </c>
      <c r="BQ35" s="17" t="n">
        <f aca="false">SQRT(($B35-BQ$16)^2+($C35-BQ$17)^2+($D35-BQ$18)^2)</f>
        <v>0.190465667069673</v>
      </c>
      <c r="BR35" s="17" t="n">
        <f aca="false">SQRT(($B35-BR$16)^2+($C35-BR$17)^2+($D35-BR$18)^2)</f>
        <v>4.05466208298363</v>
      </c>
      <c r="BS35" s="17" t="n">
        <f aca="false">SQRT(($B35-BS$16)^2+($C35-BS$17)^2+($D35-BS$18)^2)</f>
        <v>2.43415374962441</v>
      </c>
      <c r="BT35" s="63" t="n">
        <f aca="false">MATCH(MIN(BQ35:BS35),BQ35:BS35,0)</f>
        <v>1</v>
      </c>
      <c r="BV35" s="17" t="n">
        <f aca="false">SQRT(($B35-BV$16)^2+($C35-BV$17)^2+($D35-BV$18)^2)</f>
        <v>0.190465667069673</v>
      </c>
      <c r="BW35" s="17" t="n">
        <f aca="false">SQRT(($B35-BW$16)^2+($C35-BW$17)^2+($D35-BW$18)^2)</f>
        <v>4.05466208298363</v>
      </c>
      <c r="BX35" s="17" t="n">
        <f aca="false">SQRT(($B35-BX$16)^2+($C35-BX$17)^2+($D35-BX$18)^2)</f>
        <v>2.43415374962441</v>
      </c>
      <c r="BY35" s="63" t="n">
        <f aca="false">MATCH(MIN(BV35:BX35),BV35:BX35,0)</f>
        <v>1</v>
      </c>
      <c r="CA35" s="17" t="n">
        <f aca="false">SQRT(($B35-CA$16)^2+($C35-CA$17)^2+($D35-CA$18)^2)</f>
        <v>0.190465667069673</v>
      </c>
      <c r="CB35" s="17" t="n">
        <f aca="false">SQRT(($B35-CB$16)^2+($C35-CB$17)^2+($D35-CB$18)^2)</f>
        <v>4.05466208298363</v>
      </c>
      <c r="CC35" s="17" t="n">
        <f aca="false">SQRT(($B35-CC$16)^2+($C35-CC$17)^2+($D35-CC$18)^2)</f>
        <v>2.43415374962441</v>
      </c>
      <c r="CD35" s="63" t="n">
        <f aca="false">MATCH(MIN(CA35:CC35),CA35:CC35,0)</f>
        <v>1</v>
      </c>
    </row>
    <row r="36" customFormat="false" ht="15" hidden="false" customHeight="false" outlineLevel="0" collapsed="false">
      <c r="A36" s="76" t="n">
        <f aca="false">Phase_Data!A18</f>
        <v>43900</v>
      </c>
      <c r="B36" s="17" t="n">
        <f aca="false">Phase_Data!K18</f>
        <v>-1.56354953678524</v>
      </c>
      <c r="C36" s="17" t="n">
        <f aca="false">Phase_Data!L18</f>
        <v>-1.40749747652815</v>
      </c>
      <c r="D36" s="17" t="n">
        <f aca="false">Phase_Data!M18</f>
        <v>-1.27778805060034</v>
      </c>
      <c r="E36" s="63" t="n">
        <f aca="false">CD36</f>
        <v>1</v>
      </c>
      <c r="F36" s="38" t="n">
        <f aca="false">($B36-INDEX($L$16:$N$16,E36))^2+($C36-INDEX($L$17:$N$17,E36))^2+($D36-INDEX($L$18:$N$18,E36))^2</f>
        <v>0.0773269481606208</v>
      </c>
      <c r="G36" s="12" t="str">
        <f aca="false">INDEX($M$5:$M$7,E36)</f>
        <v>Low activity</v>
      </c>
      <c r="X36" s="17" t="n">
        <f aca="false">SQRT(($B36-X$16)^2+($C36-X$17)^2+($D36-X$18)^2)</f>
        <v>0</v>
      </c>
      <c r="Y36" s="17" t="n">
        <f aca="false">SQRT(($B36-Y$16)^2+($C36-Y$17)^2+($D36-Y$18)^2)</f>
        <v>4.95871515419071</v>
      </c>
      <c r="Z36" s="17" t="n">
        <f aca="false">SQRT(($B36-Z$16)^2+($C36-Z$17)^2+($D36-Z$18)^2)</f>
        <v>3.11929885536808</v>
      </c>
      <c r="AA36" s="63" t="n">
        <f aca="false">MATCH(MIN(X36:Z36),X36:Z36,0)</f>
        <v>1</v>
      </c>
      <c r="AC36" s="17" t="n">
        <f aca="false">SQRT(($B36-AC$16)^2+($C36-AC$17)^2+($D36-AC$18)^2)</f>
        <v>0.413932925983393</v>
      </c>
      <c r="AD36" s="17" t="n">
        <f aca="false">SQRT(($B36-AD$16)^2+($C36-AD$17)^2+($D36-AD$18)^2)</f>
        <v>4.06467149910154</v>
      </c>
      <c r="AE36" s="17" t="n">
        <f aca="false">SQRT(($B36-AE$16)^2+($C36-AE$17)^2+($D36-AE$18)^2)</f>
        <v>2.69340211447513</v>
      </c>
      <c r="AF36" s="63" t="n">
        <f aca="false">MATCH(MIN(AC36:AE36),AC36:AE36,0)</f>
        <v>1</v>
      </c>
      <c r="AH36" s="17" t="n">
        <f aca="false">SQRT(($B36-AH$16)^2+($C36-AH$17)^2+($D36-AH$18)^2)</f>
        <v>0.324085321107018</v>
      </c>
      <c r="AI36" s="17" t="n">
        <f aca="false">SQRT(($B36-AI$16)^2+($C36-AI$17)^2+($D36-AI$18)^2)</f>
        <v>4.22187934398233</v>
      </c>
      <c r="AJ36" s="17" t="n">
        <f aca="false">SQRT(($B36-AJ$16)^2+($C36-AJ$17)^2+($D36-AJ$18)^2)</f>
        <v>2.68439067518235</v>
      </c>
      <c r="AK36" s="63" t="n">
        <f aca="false">MATCH(MIN(AH36:AJ36),AH36:AJ36,0)</f>
        <v>1</v>
      </c>
      <c r="AM36" s="17" t="n">
        <f aca="false">SQRT(($B36-AM$16)^2+($C36-AM$17)^2+($D36-AM$18)^2)</f>
        <v>0.278077234164577</v>
      </c>
      <c r="AN36" s="17" t="n">
        <f aca="false">SQRT(($B36-AN$16)^2+($C36-AN$17)^2+($D36-AN$18)^2)</f>
        <v>4.2535538455195</v>
      </c>
      <c r="AO36" s="17" t="n">
        <f aca="false">SQRT(($B36-AO$16)^2+($C36-AO$17)^2+($D36-AO$18)^2)</f>
        <v>2.66975238679558</v>
      </c>
      <c r="AP36" s="63" t="n">
        <f aca="false">MATCH(MIN(AM36:AO36),AM36:AO36,0)</f>
        <v>1</v>
      </c>
      <c r="AR36" s="17" t="n">
        <f aca="false">SQRT(($B36-AR$16)^2+($C36-AR$17)^2+($D36-AR$18)^2)</f>
        <v>0.278077234164577</v>
      </c>
      <c r="AS36" s="17" t="n">
        <f aca="false">SQRT(($B36-AS$16)^2+($C36-AS$17)^2+($D36-AS$18)^2)</f>
        <v>4.2535538455195</v>
      </c>
      <c r="AT36" s="17" t="n">
        <f aca="false">SQRT(($B36-AT$16)^2+($C36-AT$17)^2+($D36-AT$18)^2)</f>
        <v>2.66975238679558</v>
      </c>
      <c r="AU36" s="63" t="n">
        <f aca="false">MATCH(MIN(AR36:AT36),AR36:AT36,0)</f>
        <v>1</v>
      </c>
      <c r="AW36" s="17" t="n">
        <f aca="false">SQRT(($B36-AW$16)^2+($C36-AW$17)^2+($D36-AW$18)^2)</f>
        <v>0.278077234164577</v>
      </c>
      <c r="AX36" s="17" t="n">
        <f aca="false">SQRT(($B36-AX$16)^2+($C36-AX$17)^2+($D36-AX$18)^2)</f>
        <v>4.2535538455195</v>
      </c>
      <c r="AY36" s="17" t="n">
        <f aca="false">SQRT(($B36-AY$16)^2+($C36-AY$17)^2+($D36-AY$18)^2)</f>
        <v>2.66975238679558</v>
      </c>
      <c r="AZ36" s="63" t="n">
        <f aca="false">MATCH(MIN(AW36:AY36),AW36:AY36,0)</f>
        <v>1</v>
      </c>
      <c r="BB36" s="17" t="n">
        <f aca="false">SQRT(($B36-BB$16)^2+($C36-BB$17)^2+($D36-BB$18)^2)</f>
        <v>0.278077234164577</v>
      </c>
      <c r="BC36" s="17" t="n">
        <f aca="false">SQRT(($B36-BC$16)^2+($C36-BC$17)^2+($D36-BC$18)^2)</f>
        <v>4.2535538455195</v>
      </c>
      <c r="BD36" s="17" t="n">
        <f aca="false">SQRT(($B36-BD$16)^2+($C36-BD$17)^2+($D36-BD$18)^2)</f>
        <v>2.66975238679558</v>
      </c>
      <c r="BE36" s="63" t="n">
        <f aca="false">MATCH(MIN(BB36:BD36),BB36:BD36,0)</f>
        <v>1</v>
      </c>
      <c r="BG36" s="17" t="n">
        <f aca="false">SQRT(($B36-BG$16)^2+($C36-BG$17)^2+($D36-BG$18)^2)</f>
        <v>0.278077234164577</v>
      </c>
      <c r="BH36" s="17" t="n">
        <f aca="false">SQRT(($B36-BH$16)^2+($C36-BH$17)^2+($D36-BH$18)^2)</f>
        <v>4.2535538455195</v>
      </c>
      <c r="BI36" s="17" t="n">
        <f aca="false">SQRT(($B36-BI$16)^2+($C36-BI$17)^2+($D36-BI$18)^2)</f>
        <v>2.66975238679558</v>
      </c>
      <c r="BJ36" s="63" t="n">
        <f aca="false">MATCH(MIN(BG36:BI36),BG36:BI36,0)</f>
        <v>1</v>
      </c>
      <c r="BL36" s="17" t="n">
        <f aca="false">SQRT(($B36-BL$16)^2+($C36-BL$17)^2+($D36-BL$18)^2)</f>
        <v>0.278077234164577</v>
      </c>
      <c r="BM36" s="17" t="n">
        <f aca="false">SQRT(($B36-BM$16)^2+($C36-BM$17)^2+($D36-BM$18)^2)</f>
        <v>4.2535538455195</v>
      </c>
      <c r="BN36" s="17" t="n">
        <f aca="false">SQRT(($B36-BN$16)^2+($C36-BN$17)^2+($D36-BN$18)^2)</f>
        <v>2.66975238679558</v>
      </c>
      <c r="BO36" s="63" t="n">
        <f aca="false">MATCH(MIN(BL36:BN36),BL36:BN36,0)</f>
        <v>1</v>
      </c>
      <c r="BQ36" s="17" t="n">
        <f aca="false">SQRT(($B36-BQ$16)^2+($C36-BQ$17)^2+($D36-BQ$18)^2)</f>
        <v>0.278077234164577</v>
      </c>
      <c r="BR36" s="17" t="n">
        <f aca="false">SQRT(($B36-BR$16)^2+($C36-BR$17)^2+($D36-BR$18)^2)</f>
        <v>4.2535538455195</v>
      </c>
      <c r="BS36" s="17" t="n">
        <f aca="false">SQRT(($B36-BS$16)^2+($C36-BS$17)^2+($D36-BS$18)^2)</f>
        <v>2.66975238679558</v>
      </c>
      <c r="BT36" s="63" t="n">
        <f aca="false">MATCH(MIN(BQ36:BS36),BQ36:BS36,0)</f>
        <v>1</v>
      </c>
      <c r="BV36" s="17" t="n">
        <f aca="false">SQRT(($B36-BV$16)^2+($C36-BV$17)^2+($D36-BV$18)^2)</f>
        <v>0.278077234164577</v>
      </c>
      <c r="BW36" s="17" t="n">
        <f aca="false">SQRT(($B36-BW$16)^2+($C36-BW$17)^2+($D36-BW$18)^2)</f>
        <v>4.2535538455195</v>
      </c>
      <c r="BX36" s="17" t="n">
        <f aca="false">SQRT(($B36-BX$16)^2+($C36-BX$17)^2+($D36-BX$18)^2)</f>
        <v>2.66975238679558</v>
      </c>
      <c r="BY36" s="63" t="n">
        <f aca="false">MATCH(MIN(BV36:BX36),BV36:BX36,0)</f>
        <v>1</v>
      </c>
      <c r="CA36" s="17" t="n">
        <f aca="false">SQRT(($B36-CA$16)^2+($C36-CA$17)^2+($D36-CA$18)^2)</f>
        <v>0.278077234164577</v>
      </c>
      <c r="CB36" s="17" t="n">
        <f aca="false">SQRT(($B36-CB$16)^2+($C36-CB$17)^2+($D36-CB$18)^2)</f>
        <v>4.2535538455195</v>
      </c>
      <c r="CC36" s="17" t="n">
        <f aca="false">SQRT(($B36-CC$16)^2+($C36-CC$17)^2+($D36-CC$18)^2)</f>
        <v>2.66975238679558</v>
      </c>
      <c r="CD36" s="63" t="n">
        <f aca="false">MATCH(MIN(CA36:CC36),CA36:CC36,0)</f>
        <v>1</v>
      </c>
    </row>
    <row r="37" customFormat="false" ht="15" hidden="false" customHeight="false" outlineLevel="0" collapsed="false">
      <c r="A37" s="76" t="n">
        <f aca="false">Phase_Data!A19</f>
        <v>43901</v>
      </c>
      <c r="B37" s="17" t="n">
        <f aca="false">Phase_Data!K19</f>
        <v>-1.84034832720195</v>
      </c>
      <c r="C37" s="17" t="n">
        <f aca="false">Phase_Data!L19</f>
        <v>-1.40749747652815</v>
      </c>
      <c r="D37" s="17" t="n">
        <f aca="false">Phase_Data!M19</f>
        <v>-1.01027561104517</v>
      </c>
      <c r="E37" s="63" t="n">
        <f aca="false">CD37</f>
        <v>1</v>
      </c>
      <c r="F37" s="38" t="n">
        <f aca="false">($B37-INDEX($L$16:$N$16,E37))^2+($C37-INDEX($L$17:$N$17,E37))^2+($D37-INDEX($L$18:$N$18,E37))^2</f>
        <v>0.310192996745262</v>
      </c>
      <c r="G37" s="12" t="str">
        <f aca="false">INDEX($M$5:$M$7,E37)</f>
        <v>Low activity</v>
      </c>
      <c r="X37" s="17" t="n">
        <f aca="false">SQRT(($B37-X$16)^2+($C37-X$17)^2+($D37-X$18)^2)</f>
        <v>0.384942171881581</v>
      </c>
      <c r="Y37" s="17" t="n">
        <f aca="false">SQRT(($B37-Y$16)^2+($C37-Y$17)^2+($D37-Y$18)^2)</f>
        <v>4.97140208507547</v>
      </c>
      <c r="Z37" s="17" t="n">
        <f aca="false">SQRT(($B37-Z$16)^2+($C37-Z$17)^2+($D37-Z$18)^2)</f>
        <v>3.3332057770087</v>
      </c>
      <c r="AA37" s="63" t="n">
        <f aca="false">MATCH(MIN(X37:Z37),X37:Z37,0)</f>
        <v>1</v>
      </c>
      <c r="AC37" s="17" t="n">
        <f aca="false">SQRT(($B37-AC$16)^2+($C37-AC$17)^2+($D37-AC$18)^2)</f>
        <v>0.652569417743416</v>
      </c>
      <c r="AD37" s="17" t="n">
        <f aca="false">SQRT(($B37-AD$16)^2+($C37-AD$17)^2+($D37-AD$18)^2)</f>
        <v>4.08735723236886</v>
      </c>
      <c r="AE37" s="17" t="n">
        <f aca="false">SQRT(($B37-AE$16)^2+($C37-AE$17)^2+($D37-AE$18)^2)</f>
        <v>2.79662046242392</v>
      </c>
      <c r="AF37" s="63" t="n">
        <f aca="false">MATCH(MIN(AC37:AE37),AC37:AE37,0)</f>
        <v>1</v>
      </c>
      <c r="AH37" s="17" t="n">
        <f aca="false">SQRT(($B37-AH$16)^2+($C37-AH$17)^2+($D37-AH$18)^2)</f>
        <v>0.590655421776172</v>
      </c>
      <c r="AI37" s="17" t="n">
        <f aca="false">SQRT(($B37-AI$16)^2+($C37-AI$17)^2+($D37-AI$18)^2)</f>
        <v>4.24531677602624</v>
      </c>
      <c r="AJ37" s="17" t="n">
        <f aca="false">SQRT(($B37-AJ$16)^2+($C37-AJ$17)^2+($D37-AJ$18)^2)</f>
        <v>2.77576341285438</v>
      </c>
      <c r="AK37" s="63" t="n">
        <f aca="false">MATCH(MIN(AH37:AJ37),AH37:AJ37,0)</f>
        <v>1</v>
      </c>
      <c r="AM37" s="17" t="n">
        <f aca="false">SQRT(($B37-AM$16)^2+($C37-AM$17)^2+($D37-AM$18)^2)</f>
        <v>0.556949725509639</v>
      </c>
      <c r="AN37" s="17" t="n">
        <f aca="false">SQRT(($B37-AN$16)^2+($C37-AN$17)^2+($D37-AN$18)^2)</f>
        <v>4.27713449853114</v>
      </c>
      <c r="AO37" s="17" t="n">
        <f aca="false">SQRT(($B37-AO$16)^2+($C37-AO$17)^2+($D37-AO$18)^2)</f>
        <v>2.76015414597904</v>
      </c>
      <c r="AP37" s="63" t="n">
        <f aca="false">MATCH(MIN(AM37:AO37),AM37:AO37,0)</f>
        <v>1</v>
      </c>
      <c r="AR37" s="17" t="n">
        <f aca="false">SQRT(($B37-AR$16)^2+($C37-AR$17)^2+($D37-AR$18)^2)</f>
        <v>0.556949725509639</v>
      </c>
      <c r="AS37" s="17" t="n">
        <f aca="false">SQRT(($B37-AS$16)^2+($C37-AS$17)^2+($D37-AS$18)^2)</f>
        <v>4.27713449853114</v>
      </c>
      <c r="AT37" s="17" t="n">
        <f aca="false">SQRT(($B37-AT$16)^2+($C37-AT$17)^2+($D37-AT$18)^2)</f>
        <v>2.76015414597904</v>
      </c>
      <c r="AU37" s="63" t="n">
        <f aca="false">MATCH(MIN(AR37:AT37),AR37:AT37,0)</f>
        <v>1</v>
      </c>
      <c r="AW37" s="17" t="n">
        <f aca="false">SQRT(($B37-AW$16)^2+($C37-AW$17)^2+($D37-AW$18)^2)</f>
        <v>0.556949725509639</v>
      </c>
      <c r="AX37" s="17" t="n">
        <f aca="false">SQRT(($B37-AX$16)^2+($C37-AX$17)^2+($D37-AX$18)^2)</f>
        <v>4.27713449853114</v>
      </c>
      <c r="AY37" s="17" t="n">
        <f aca="false">SQRT(($B37-AY$16)^2+($C37-AY$17)^2+($D37-AY$18)^2)</f>
        <v>2.76015414597904</v>
      </c>
      <c r="AZ37" s="63" t="n">
        <f aca="false">MATCH(MIN(AW37:AY37),AW37:AY37,0)</f>
        <v>1</v>
      </c>
      <c r="BB37" s="17" t="n">
        <f aca="false">SQRT(($B37-BB$16)^2+($C37-BB$17)^2+($D37-BB$18)^2)</f>
        <v>0.556949725509639</v>
      </c>
      <c r="BC37" s="17" t="n">
        <f aca="false">SQRT(($B37-BC$16)^2+($C37-BC$17)^2+($D37-BC$18)^2)</f>
        <v>4.27713449853114</v>
      </c>
      <c r="BD37" s="17" t="n">
        <f aca="false">SQRT(($B37-BD$16)^2+($C37-BD$17)^2+($D37-BD$18)^2)</f>
        <v>2.76015414597904</v>
      </c>
      <c r="BE37" s="63" t="n">
        <f aca="false">MATCH(MIN(BB37:BD37),BB37:BD37,0)</f>
        <v>1</v>
      </c>
      <c r="BG37" s="17" t="n">
        <f aca="false">SQRT(($B37-BG$16)^2+($C37-BG$17)^2+($D37-BG$18)^2)</f>
        <v>0.556949725509639</v>
      </c>
      <c r="BH37" s="17" t="n">
        <f aca="false">SQRT(($B37-BH$16)^2+($C37-BH$17)^2+($D37-BH$18)^2)</f>
        <v>4.27713449853114</v>
      </c>
      <c r="BI37" s="17" t="n">
        <f aca="false">SQRT(($B37-BI$16)^2+($C37-BI$17)^2+($D37-BI$18)^2)</f>
        <v>2.76015414597904</v>
      </c>
      <c r="BJ37" s="63" t="n">
        <f aca="false">MATCH(MIN(BG37:BI37),BG37:BI37,0)</f>
        <v>1</v>
      </c>
      <c r="BL37" s="17" t="n">
        <f aca="false">SQRT(($B37-BL$16)^2+($C37-BL$17)^2+($D37-BL$18)^2)</f>
        <v>0.556949725509639</v>
      </c>
      <c r="BM37" s="17" t="n">
        <f aca="false">SQRT(($B37-BM$16)^2+($C37-BM$17)^2+($D37-BM$18)^2)</f>
        <v>4.27713449853114</v>
      </c>
      <c r="BN37" s="17" t="n">
        <f aca="false">SQRT(($B37-BN$16)^2+($C37-BN$17)^2+($D37-BN$18)^2)</f>
        <v>2.76015414597904</v>
      </c>
      <c r="BO37" s="63" t="n">
        <f aca="false">MATCH(MIN(BL37:BN37),BL37:BN37,0)</f>
        <v>1</v>
      </c>
      <c r="BQ37" s="17" t="n">
        <f aca="false">SQRT(($B37-BQ$16)^2+($C37-BQ$17)^2+($D37-BQ$18)^2)</f>
        <v>0.556949725509639</v>
      </c>
      <c r="BR37" s="17" t="n">
        <f aca="false">SQRT(($B37-BR$16)^2+($C37-BR$17)^2+($D37-BR$18)^2)</f>
        <v>4.27713449853114</v>
      </c>
      <c r="BS37" s="17" t="n">
        <f aca="false">SQRT(($B37-BS$16)^2+($C37-BS$17)^2+($D37-BS$18)^2)</f>
        <v>2.76015414597904</v>
      </c>
      <c r="BT37" s="63" t="n">
        <f aca="false">MATCH(MIN(BQ37:BS37),BQ37:BS37,0)</f>
        <v>1</v>
      </c>
      <c r="BV37" s="17" t="n">
        <f aca="false">SQRT(($B37-BV$16)^2+($C37-BV$17)^2+($D37-BV$18)^2)</f>
        <v>0.556949725509639</v>
      </c>
      <c r="BW37" s="17" t="n">
        <f aca="false">SQRT(($B37-BW$16)^2+($C37-BW$17)^2+($D37-BW$18)^2)</f>
        <v>4.27713449853114</v>
      </c>
      <c r="BX37" s="17" t="n">
        <f aca="false">SQRT(($B37-BX$16)^2+($C37-BX$17)^2+($D37-BX$18)^2)</f>
        <v>2.76015414597904</v>
      </c>
      <c r="BY37" s="63" t="n">
        <f aca="false">MATCH(MIN(BV37:BX37),BV37:BX37,0)</f>
        <v>1</v>
      </c>
      <c r="CA37" s="17" t="n">
        <f aca="false">SQRT(($B37-CA$16)^2+($C37-CA$17)^2+($D37-CA$18)^2)</f>
        <v>0.556949725509639</v>
      </c>
      <c r="CB37" s="17" t="n">
        <f aca="false">SQRT(($B37-CB$16)^2+($C37-CB$17)^2+($D37-CB$18)^2)</f>
        <v>4.27713449853114</v>
      </c>
      <c r="CC37" s="17" t="n">
        <f aca="false">SQRT(($B37-CC$16)^2+($C37-CC$17)^2+($D37-CC$18)^2)</f>
        <v>2.76015414597904</v>
      </c>
      <c r="CD37" s="63" t="n">
        <f aca="false">MATCH(MIN(CA37:CC37),CA37:CC37,0)</f>
        <v>1</v>
      </c>
    </row>
    <row r="38" customFormat="false" ht="15" hidden="false" customHeight="false" outlineLevel="0" collapsed="false">
      <c r="A38" s="76" t="n">
        <f aca="false">Phase_Data!A20</f>
        <v>43902</v>
      </c>
      <c r="B38" s="17" t="n">
        <f aca="false">Phase_Data!K20</f>
        <v>-1.84034832720195</v>
      </c>
      <c r="C38" s="17" t="n">
        <f aca="false">Phase_Data!L20</f>
        <v>-1.40749747652815</v>
      </c>
      <c r="D38" s="17" t="n">
        <f aca="false">Phase_Data!M20</f>
        <v>-1.27778805060034</v>
      </c>
      <c r="E38" s="63" t="n">
        <f aca="false">CD38</f>
        <v>1</v>
      </c>
      <c r="F38" s="38" t="n">
        <f aca="false">($B38-INDEX($L$16:$N$16,E38))^2+($C38-INDEX($L$17:$N$17,E38))^2+($D38-INDEX($L$18:$N$18,E38))^2</f>
        <v>0.286280395544508</v>
      </c>
      <c r="G38" s="12" t="str">
        <f aca="false">INDEX($M$5:$M$7,E38)</f>
        <v>Low activity</v>
      </c>
      <c r="X38" s="17" t="n">
        <f aca="false">SQRT(($B38-X$16)^2+($C38-X$17)^2+($D38-X$18)^2)</f>
        <v>0.276798790416706</v>
      </c>
      <c r="Y38" s="17" t="n">
        <f aca="false">SQRT(($B38-Y$16)^2+($C38-Y$17)^2+($D38-Y$18)^2)</f>
        <v>5.11914249372388</v>
      </c>
      <c r="Z38" s="17" t="n">
        <f aca="false">SQRT(($B38-Z$16)^2+($C38-Z$17)^2+($D38-Z$18)^2)</f>
        <v>3.32245358832406</v>
      </c>
      <c r="AA38" s="63" t="n">
        <f aca="false">MATCH(MIN(X38:Z38),X38:Z38,0)</f>
        <v>1</v>
      </c>
      <c r="AC38" s="17" t="n">
        <f aca="false">SQRT(($B38-AC$16)^2+($C38-AC$17)^2+($D38-AC$18)^2)</f>
        <v>0.663931312523924</v>
      </c>
      <c r="AD38" s="17" t="n">
        <f aca="false">SQRT(($B38-AD$16)^2+($C38-AD$17)^2+($D38-AD$18)^2)</f>
        <v>4.23012340032254</v>
      </c>
      <c r="AE38" s="17" t="n">
        <f aca="false">SQRT(($B38-AE$16)^2+($C38-AE$17)^2+($D38-AE$18)^2)</f>
        <v>2.89211830723305</v>
      </c>
      <c r="AF38" s="63" t="n">
        <f aca="false">MATCH(MIN(AC38:AE38),AC38:AE38,0)</f>
        <v>1</v>
      </c>
      <c r="AH38" s="17" t="n">
        <f aca="false">SQRT(($B38-AH$16)^2+($C38-AH$17)^2+($D38-AH$18)^2)</f>
        <v>0.579720506539473</v>
      </c>
      <c r="AI38" s="17" t="n">
        <f aca="false">SQRT(($B38-AI$16)^2+($C38-AI$17)^2+($D38-AI$18)^2)</f>
        <v>4.38689066355671</v>
      </c>
      <c r="AJ38" s="17" t="n">
        <f aca="false">SQRT(($B38-AJ$16)^2+($C38-AJ$17)^2+($D38-AJ$18)^2)</f>
        <v>2.88040369727873</v>
      </c>
      <c r="AK38" s="63" t="n">
        <f aca="false">MATCH(MIN(AH38:AJ38),AH38:AJ38,0)</f>
        <v>1</v>
      </c>
      <c r="AM38" s="17" t="n">
        <f aca="false">SQRT(($B38-AM$16)^2+($C38-AM$17)^2+($D38-AM$18)^2)</f>
        <v>0.53505176903222</v>
      </c>
      <c r="AN38" s="17" t="n">
        <f aca="false">SQRT(($B38-AN$16)^2+($C38-AN$17)^2+($D38-AN$18)^2)</f>
        <v>4.41821685352251</v>
      </c>
      <c r="AO38" s="17" t="n">
        <f aca="false">SQRT(($B38-AO$16)^2+($C38-AO$17)^2+($D38-AO$18)^2)</f>
        <v>2.86620206105015</v>
      </c>
      <c r="AP38" s="63" t="n">
        <f aca="false">MATCH(MIN(AM38:AO38),AM38:AO38,0)</f>
        <v>1</v>
      </c>
      <c r="AR38" s="17" t="n">
        <f aca="false">SQRT(($B38-AR$16)^2+($C38-AR$17)^2+($D38-AR$18)^2)</f>
        <v>0.53505176903222</v>
      </c>
      <c r="AS38" s="17" t="n">
        <f aca="false">SQRT(($B38-AS$16)^2+($C38-AS$17)^2+($D38-AS$18)^2)</f>
        <v>4.41821685352251</v>
      </c>
      <c r="AT38" s="17" t="n">
        <f aca="false">SQRT(($B38-AT$16)^2+($C38-AT$17)^2+($D38-AT$18)^2)</f>
        <v>2.86620206105015</v>
      </c>
      <c r="AU38" s="63" t="n">
        <f aca="false">MATCH(MIN(AR38:AT38),AR38:AT38,0)</f>
        <v>1</v>
      </c>
      <c r="AW38" s="17" t="n">
        <f aca="false">SQRT(($B38-AW$16)^2+($C38-AW$17)^2+($D38-AW$18)^2)</f>
        <v>0.53505176903222</v>
      </c>
      <c r="AX38" s="17" t="n">
        <f aca="false">SQRT(($B38-AX$16)^2+($C38-AX$17)^2+($D38-AX$18)^2)</f>
        <v>4.41821685352251</v>
      </c>
      <c r="AY38" s="17" t="n">
        <f aca="false">SQRT(($B38-AY$16)^2+($C38-AY$17)^2+($D38-AY$18)^2)</f>
        <v>2.86620206105015</v>
      </c>
      <c r="AZ38" s="63" t="n">
        <f aca="false">MATCH(MIN(AW38:AY38),AW38:AY38,0)</f>
        <v>1</v>
      </c>
      <c r="BB38" s="17" t="n">
        <f aca="false">SQRT(($B38-BB$16)^2+($C38-BB$17)^2+($D38-BB$18)^2)</f>
        <v>0.53505176903222</v>
      </c>
      <c r="BC38" s="17" t="n">
        <f aca="false">SQRT(($B38-BC$16)^2+($C38-BC$17)^2+($D38-BC$18)^2)</f>
        <v>4.41821685352251</v>
      </c>
      <c r="BD38" s="17" t="n">
        <f aca="false">SQRT(($B38-BD$16)^2+($C38-BD$17)^2+($D38-BD$18)^2)</f>
        <v>2.86620206105015</v>
      </c>
      <c r="BE38" s="63" t="n">
        <f aca="false">MATCH(MIN(BB38:BD38),BB38:BD38,0)</f>
        <v>1</v>
      </c>
      <c r="BG38" s="17" t="n">
        <f aca="false">SQRT(($B38-BG$16)^2+($C38-BG$17)^2+($D38-BG$18)^2)</f>
        <v>0.53505176903222</v>
      </c>
      <c r="BH38" s="17" t="n">
        <f aca="false">SQRT(($B38-BH$16)^2+($C38-BH$17)^2+($D38-BH$18)^2)</f>
        <v>4.41821685352251</v>
      </c>
      <c r="BI38" s="17" t="n">
        <f aca="false">SQRT(($B38-BI$16)^2+($C38-BI$17)^2+($D38-BI$18)^2)</f>
        <v>2.86620206105015</v>
      </c>
      <c r="BJ38" s="63" t="n">
        <f aca="false">MATCH(MIN(BG38:BI38),BG38:BI38,0)</f>
        <v>1</v>
      </c>
      <c r="BL38" s="17" t="n">
        <f aca="false">SQRT(($B38-BL$16)^2+($C38-BL$17)^2+($D38-BL$18)^2)</f>
        <v>0.53505176903222</v>
      </c>
      <c r="BM38" s="17" t="n">
        <f aca="false">SQRT(($B38-BM$16)^2+($C38-BM$17)^2+($D38-BM$18)^2)</f>
        <v>4.41821685352251</v>
      </c>
      <c r="BN38" s="17" t="n">
        <f aca="false">SQRT(($B38-BN$16)^2+($C38-BN$17)^2+($D38-BN$18)^2)</f>
        <v>2.86620206105015</v>
      </c>
      <c r="BO38" s="63" t="n">
        <f aca="false">MATCH(MIN(BL38:BN38),BL38:BN38,0)</f>
        <v>1</v>
      </c>
      <c r="BQ38" s="17" t="n">
        <f aca="false">SQRT(($B38-BQ$16)^2+($C38-BQ$17)^2+($D38-BQ$18)^2)</f>
        <v>0.53505176903222</v>
      </c>
      <c r="BR38" s="17" t="n">
        <f aca="false">SQRT(($B38-BR$16)^2+($C38-BR$17)^2+($D38-BR$18)^2)</f>
        <v>4.41821685352251</v>
      </c>
      <c r="BS38" s="17" t="n">
        <f aca="false">SQRT(($B38-BS$16)^2+($C38-BS$17)^2+($D38-BS$18)^2)</f>
        <v>2.86620206105015</v>
      </c>
      <c r="BT38" s="63" t="n">
        <f aca="false">MATCH(MIN(BQ38:BS38),BQ38:BS38,0)</f>
        <v>1</v>
      </c>
      <c r="BV38" s="17" t="n">
        <f aca="false">SQRT(($B38-BV$16)^2+($C38-BV$17)^2+($D38-BV$18)^2)</f>
        <v>0.53505176903222</v>
      </c>
      <c r="BW38" s="17" t="n">
        <f aca="false">SQRT(($B38-BW$16)^2+($C38-BW$17)^2+($D38-BW$18)^2)</f>
        <v>4.41821685352251</v>
      </c>
      <c r="BX38" s="17" t="n">
        <f aca="false">SQRT(($B38-BX$16)^2+($C38-BX$17)^2+($D38-BX$18)^2)</f>
        <v>2.86620206105015</v>
      </c>
      <c r="BY38" s="63" t="n">
        <f aca="false">MATCH(MIN(BV38:BX38),BV38:BX38,0)</f>
        <v>1</v>
      </c>
      <c r="CA38" s="17" t="n">
        <f aca="false">SQRT(($B38-CA$16)^2+($C38-CA$17)^2+($D38-CA$18)^2)</f>
        <v>0.53505176903222</v>
      </c>
      <c r="CB38" s="17" t="n">
        <f aca="false">SQRT(($B38-CB$16)^2+($C38-CB$17)^2+($D38-CB$18)^2)</f>
        <v>4.41821685352251</v>
      </c>
      <c r="CC38" s="17" t="n">
        <f aca="false">SQRT(($B38-CC$16)^2+($C38-CC$17)^2+($D38-CC$18)^2)</f>
        <v>2.86620206105015</v>
      </c>
      <c r="CD38" s="63" t="n">
        <f aca="false">MATCH(MIN(CA38:CC38),CA38:CC38,0)</f>
        <v>1</v>
      </c>
    </row>
    <row r="39" customFormat="false" ht="15" hidden="false" customHeight="false" outlineLevel="0" collapsed="false">
      <c r="A39" s="76" t="n">
        <f aca="false">Phase_Data!A21</f>
        <v>43903</v>
      </c>
      <c r="B39" s="17" t="n">
        <f aca="false">Phase_Data!K21</f>
        <v>-1.19764143910256</v>
      </c>
      <c r="C39" s="17" t="n">
        <f aca="false">Phase_Data!L21</f>
        <v>-1.40749747652815</v>
      </c>
      <c r="D39" s="17" t="n">
        <f aca="false">Phase_Data!M21</f>
        <v>-1.01027561104517</v>
      </c>
      <c r="E39" s="63" t="n">
        <f aca="false">CD39</f>
        <v>1</v>
      </c>
      <c r="F39" s="38" t="n">
        <f aca="false">($B39-INDEX($L$16:$N$16,E39))^2+($C39-INDEX($L$17:$N$17,E39))^2+($D39-INDEX($L$18:$N$18,E39))^2</f>
        <v>0.0601897715330498</v>
      </c>
      <c r="G39" s="12" t="str">
        <f aca="false">INDEX($M$5:$M$7,E39)</f>
        <v>Low activity</v>
      </c>
      <c r="X39" s="17" t="n">
        <f aca="false">SQRT(($B39-X$16)^2+($C39-X$17)^2+($D39-X$18)^2)</f>
        <v>0.453267736847127</v>
      </c>
      <c r="Y39" s="17" t="n">
        <f aca="false">SQRT(($B39-Y$16)^2+($C39-Y$17)^2+($D39-Y$18)^2)</f>
        <v>4.6039114724099</v>
      </c>
      <c r="Z39" s="17" t="n">
        <f aca="false">SQRT(($B39-Z$16)^2+($C39-Z$17)^2+($D39-Z$18)^2)</f>
        <v>2.88215005990347</v>
      </c>
      <c r="AA39" s="63" t="n">
        <f aca="false">MATCH(MIN(X39:Z39),X39:Z39,0)</f>
        <v>1</v>
      </c>
      <c r="AC39" s="17" t="n">
        <f aca="false">SQRT(($B39-AC$16)^2+($C39-AC$17)^2+($D39-AC$18)^2)</f>
        <v>0.187993944962053</v>
      </c>
      <c r="AD39" s="17" t="n">
        <f aca="false">SQRT(($B39-AD$16)^2+($C39-AD$17)^2+($D39-AD$18)^2)</f>
        <v>3.70878293542743</v>
      </c>
      <c r="AE39" s="17" t="n">
        <f aca="false">SQRT(($B39-AE$16)^2+($C39-AE$17)^2+($D39-AE$18)^2)</f>
        <v>2.34074181198674</v>
      </c>
      <c r="AF39" s="63" t="n">
        <f aca="false">MATCH(MIN(AC39:AE39),AC39:AE39,0)</f>
        <v>1</v>
      </c>
      <c r="AH39" s="17" t="n">
        <f aca="false">SQRT(($B39-AH$16)^2+($C39-AH$17)^2+($D39-AH$18)^2)</f>
        <v>0.218120615737159</v>
      </c>
      <c r="AI39" s="17" t="n">
        <f aca="false">SQRT(($B39-AI$16)^2+($C39-AI$17)^2+($D39-AI$18)^2)</f>
        <v>3.86774921649136</v>
      </c>
      <c r="AJ39" s="17" t="n">
        <f aca="false">SQRT(($B39-AJ$16)^2+($C39-AJ$17)^2+($D39-AJ$18)^2)</f>
        <v>2.32536871273964</v>
      </c>
      <c r="AK39" s="63" t="n">
        <f aca="false">MATCH(MIN(AH39:AJ39),AH39:AJ39,0)</f>
        <v>1</v>
      </c>
      <c r="AM39" s="17" t="n">
        <f aca="false">SQRT(($B39-AM$16)^2+($C39-AM$17)^2+($D39-AM$18)^2)</f>
        <v>0.245336037982702</v>
      </c>
      <c r="AN39" s="17" t="n">
        <f aca="false">SQRT(($B39-AN$16)^2+($C39-AN$17)^2+($D39-AN$18)^2)</f>
        <v>3.90045176370123</v>
      </c>
      <c r="AO39" s="17" t="n">
        <f aca="false">SQRT(($B39-AO$16)^2+($C39-AO$17)^2+($D39-AO$18)^2)</f>
        <v>2.30834164100719</v>
      </c>
      <c r="AP39" s="63" t="n">
        <f aca="false">MATCH(MIN(AM39:AO39),AM39:AO39,0)</f>
        <v>1</v>
      </c>
      <c r="AR39" s="17" t="n">
        <f aca="false">SQRT(($B39-AR$16)^2+($C39-AR$17)^2+($D39-AR$18)^2)</f>
        <v>0.245336037982702</v>
      </c>
      <c r="AS39" s="17" t="n">
        <f aca="false">SQRT(($B39-AS$16)^2+($C39-AS$17)^2+($D39-AS$18)^2)</f>
        <v>3.90045176370123</v>
      </c>
      <c r="AT39" s="17" t="n">
        <f aca="false">SQRT(($B39-AT$16)^2+($C39-AT$17)^2+($D39-AT$18)^2)</f>
        <v>2.30834164100719</v>
      </c>
      <c r="AU39" s="63" t="n">
        <f aca="false">MATCH(MIN(AR39:AT39),AR39:AT39,0)</f>
        <v>1</v>
      </c>
      <c r="AW39" s="17" t="n">
        <f aca="false">SQRT(($B39-AW$16)^2+($C39-AW$17)^2+($D39-AW$18)^2)</f>
        <v>0.245336037982702</v>
      </c>
      <c r="AX39" s="17" t="n">
        <f aca="false">SQRT(($B39-AX$16)^2+($C39-AX$17)^2+($D39-AX$18)^2)</f>
        <v>3.90045176370123</v>
      </c>
      <c r="AY39" s="17" t="n">
        <f aca="false">SQRT(($B39-AY$16)^2+($C39-AY$17)^2+($D39-AY$18)^2)</f>
        <v>2.30834164100719</v>
      </c>
      <c r="AZ39" s="63" t="n">
        <f aca="false">MATCH(MIN(AW39:AY39),AW39:AY39,0)</f>
        <v>1</v>
      </c>
      <c r="BB39" s="17" t="n">
        <f aca="false">SQRT(($B39-BB$16)^2+($C39-BB$17)^2+($D39-BB$18)^2)</f>
        <v>0.245336037982702</v>
      </c>
      <c r="BC39" s="17" t="n">
        <f aca="false">SQRT(($B39-BC$16)^2+($C39-BC$17)^2+($D39-BC$18)^2)</f>
        <v>3.90045176370123</v>
      </c>
      <c r="BD39" s="17" t="n">
        <f aca="false">SQRT(($B39-BD$16)^2+($C39-BD$17)^2+($D39-BD$18)^2)</f>
        <v>2.30834164100719</v>
      </c>
      <c r="BE39" s="63" t="n">
        <f aca="false">MATCH(MIN(BB39:BD39),BB39:BD39,0)</f>
        <v>1</v>
      </c>
      <c r="BG39" s="17" t="n">
        <f aca="false">SQRT(($B39-BG$16)^2+($C39-BG$17)^2+($D39-BG$18)^2)</f>
        <v>0.245336037982702</v>
      </c>
      <c r="BH39" s="17" t="n">
        <f aca="false">SQRT(($B39-BH$16)^2+($C39-BH$17)^2+($D39-BH$18)^2)</f>
        <v>3.90045176370123</v>
      </c>
      <c r="BI39" s="17" t="n">
        <f aca="false">SQRT(($B39-BI$16)^2+($C39-BI$17)^2+($D39-BI$18)^2)</f>
        <v>2.30834164100719</v>
      </c>
      <c r="BJ39" s="63" t="n">
        <f aca="false">MATCH(MIN(BG39:BI39),BG39:BI39,0)</f>
        <v>1</v>
      </c>
      <c r="BL39" s="17" t="n">
        <f aca="false">SQRT(($B39-BL$16)^2+($C39-BL$17)^2+($D39-BL$18)^2)</f>
        <v>0.245336037982702</v>
      </c>
      <c r="BM39" s="17" t="n">
        <f aca="false">SQRT(($B39-BM$16)^2+($C39-BM$17)^2+($D39-BM$18)^2)</f>
        <v>3.90045176370123</v>
      </c>
      <c r="BN39" s="17" t="n">
        <f aca="false">SQRT(($B39-BN$16)^2+($C39-BN$17)^2+($D39-BN$18)^2)</f>
        <v>2.30834164100719</v>
      </c>
      <c r="BO39" s="63" t="n">
        <f aca="false">MATCH(MIN(BL39:BN39),BL39:BN39,0)</f>
        <v>1</v>
      </c>
      <c r="BQ39" s="17" t="n">
        <f aca="false">SQRT(($B39-BQ$16)^2+($C39-BQ$17)^2+($D39-BQ$18)^2)</f>
        <v>0.245336037982702</v>
      </c>
      <c r="BR39" s="17" t="n">
        <f aca="false">SQRT(($B39-BR$16)^2+($C39-BR$17)^2+($D39-BR$18)^2)</f>
        <v>3.90045176370123</v>
      </c>
      <c r="BS39" s="17" t="n">
        <f aca="false">SQRT(($B39-BS$16)^2+($C39-BS$17)^2+($D39-BS$18)^2)</f>
        <v>2.30834164100719</v>
      </c>
      <c r="BT39" s="63" t="n">
        <f aca="false">MATCH(MIN(BQ39:BS39),BQ39:BS39,0)</f>
        <v>1</v>
      </c>
      <c r="BV39" s="17" t="n">
        <f aca="false">SQRT(($B39-BV$16)^2+($C39-BV$17)^2+($D39-BV$18)^2)</f>
        <v>0.245336037982702</v>
      </c>
      <c r="BW39" s="17" t="n">
        <f aca="false">SQRT(($B39-BW$16)^2+($C39-BW$17)^2+($D39-BW$18)^2)</f>
        <v>3.90045176370123</v>
      </c>
      <c r="BX39" s="17" t="n">
        <f aca="false">SQRT(($B39-BX$16)^2+($C39-BX$17)^2+($D39-BX$18)^2)</f>
        <v>2.30834164100719</v>
      </c>
      <c r="BY39" s="63" t="n">
        <f aca="false">MATCH(MIN(BV39:BX39),BV39:BX39,0)</f>
        <v>1</v>
      </c>
      <c r="CA39" s="17" t="n">
        <f aca="false">SQRT(($B39-CA$16)^2+($C39-CA$17)^2+($D39-CA$18)^2)</f>
        <v>0.245336037982702</v>
      </c>
      <c r="CB39" s="17" t="n">
        <f aca="false">SQRT(($B39-CB$16)^2+($C39-CB$17)^2+($D39-CB$18)^2)</f>
        <v>3.90045176370123</v>
      </c>
      <c r="CC39" s="17" t="n">
        <f aca="false">SQRT(($B39-CC$16)^2+($C39-CC$17)^2+($D39-CC$18)^2)</f>
        <v>2.30834164100719</v>
      </c>
      <c r="CD39" s="63" t="n">
        <f aca="false">MATCH(MIN(CA39:CC39),CA39:CC39,0)</f>
        <v>1</v>
      </c>
    </row>
    <row r="40" customFormat="false" ht="15" hidden="false" customHeight="false" outlineLevel="0" collapsed="false">
      <c r="A40" s="76" t="n">
        <f aca="false">Phase_Data!A22</f>
        <v>43904</v>
      </c>
      <c r="B40" s="17" t="n">
        <f aca="false">Phase_Data!K22</f>
        <v>-2.11714711761866</v>
      </c>
      <c r="C40" s="17" t="n">
        <f aca="false">Phase_Data!L22</f>
        <v>-1.40749747652815</v>
      </c>
      <c r="D40" s="17" t="n">
        <f aca="false">Phase_Data!M22</f>
        <v>-1.27778805060034</v>
      </c>
      <c r="E40" s="63" t="n">
        <f aca="false">CD40</f>
        <v>1</v>
      </c>
      <c r="F40" s="38" t="n">
        <f aca="false">($B40-INDEX($L$16:$N$16,E40))^2+($C40-INDEX($L$17:$N$17,E40))^2+($D40-INDEX($L$18:$N$18,E40))^2</f>
        <v>0.648468983680698</v>
      </c>
      <c r="G40" s="12" t="str">
        <f aca="false">INDEX($M$5:$M$7,E40)</f>
        <v>Low activity</v>
      </c>
      <c r="X40" s="17" t="n">
        <f aca="false">SQRT(($B40-X$16)^2+($C40-X$17)^2+($D40-X$18)^2)</f>
        <v>0.553597580833412</v>
      </c>
      <c r="Y40" s="17" t="n">
        <f aca="false">SQRT(($B40-Y$16)^2+($C40-Y$17)^2+($D40-Y$18)^2)</f>
        <v>5.28919832322922</v>
      </c>
      <c r="Z40" s="17" t="n">
        <f aca="false">SQRT(($B40-Z$16)^2+($C40-Z$17)^2+($D40-Z$18)^2)</f>
        <v>3.53561953337552</v>
      </c>
      <c r="AA40" s="63" t="n">
        <f aca="false">MATCH(MIN(X40:Z40),X40:Z40,0)</f>
        <v>1</v>
      </c>
      <c r="AC40" s="17" t="n">
        <f aca="false">SQRT(($B40-AC$16)^2+($C40-AC$17)^2+($D40-AC$18)^2)</f>
        <v>0.929249293267748</v>
      </c>
      <c r="AD40" s="17" t="n">
        <f aca="false">SQRT(($B40-AD$16)^2+($C40-AD$17)^2+($D40-AD$18)^2)</f>
        <v>4.40676397246967</v>
      </c>
      <c r="AE40" s="17" t="n">
        <f aca="false">SQRT(($B40-AE$16)^2+($C40-AE$17)^2+($D40-AE$18)^2)</f>
        <v>3.10282400347785</v>
      </c>
      <c r="AF40" s="63" t="n">
        <f aca="false">MATCH(MIN(AC40:AE40),AC40:AE40,0)</f>
        <v>1</v>
      </c>
      <c r="AH40" s="17" t="n">
        <f aca="false">SQRT(($B40-AH$16)^2+($C40-AH$17)^2+($D40-AH$18)^2)</f>
        <v>0.848737637200112</v>
      </c>
      <c r="AI40" s="17" t="n">
        <f aca="false">SQRT(($B40-AI$16)^2+($C40-AI$17)^2+($D40-AI$18)^2)</f>
        <v>4.56273923576723</v>
      </c>
      <c r="AJ40" s="17" t="n">
        <f aca="false">SQRT(($B40-AJ$16)^2+($C40-AJ$17)^2+($D40-AJ$18)^2)</f>
        <v>3.088807660302</v>
      </c>
      <c r="AK40" s="63" t="n">
        <f aca="false">MATCH(MIN(AH40:AJ40),AH40:AJ40,0)</f>
        <v>1</v>
      </c>
      <c r="AM40" s="17" t="n">
        <f aca="false">SQRT(($B40-AM$16)^2+($C40-AM$17)^2+($D40-AM$18)^2)</f>
        <v>0.805275719043296</v>
      </c>
      <c r="AN40" s="17" t="n">
        <f aca="false">SQRT(($B40-AN$16)^2+($C40-AN$17)^2+($D40-AN$18)^2)</f>
        <v>4.59366902960143</v>
      </c>
      <c r="AO40" s="17" t="n">
        <f aca="false">SQRT(($B40-AO$16)^2+($C40-AO$17)^2+($D40-AO$18)^2)</f>
        <v>3.07504241328275</v>
      </c>
      <c r="AP40" s="63" t="n">
        <f aca="false">MATCH(MIN(AM40:AO40),AM40:AO40,0)</f>
        <v>1</v>
      </c>
      <c r="AR40" s="17" t="n">
        <f aca="false">SQRT(($B40-AR$16)^2+($C40-AR$17)^2+($D40-AR$18)^2)</f>
        <v>0.805275719043296</v>
      </c>
      <c r="AS40" s="17" t="n">
        <f aca="false">SQRT(($B40-AS$16)^2+($C40-AS$17)^2+($D40-AS$18)^2)</f>
        <v>4.59366902960143</v>
      </c>
      <c r="AT40" s="17" t="n">
        <f aca="false">SQRT(($B40-AT$16)^2+($C40-AT$17)^2+($D40-AT$18)^2)</f>
        <v>3.07504241328275</v>
      </c>
      <c r="AU40" s="63" t="n">
        <f aca="false">MATCH(MIN(AR40:AT40),AR40:AT40,0)</f>
        <v>1</v>
      </c>
      <c r="AW40" s="17" t="n">
        <f aca="false">SQRT(($B40-AW$16)^2+($C40-AW$17)^2+($D40-AW$18)^2)</f>
        <v>0.805275719043296</v>
      </c>
      <c r="AX40" s="17" t="n">
        <f aca="false">SQRT(($B40-AX$16)^2+($C40-AX$17)^2+($D40-AX$18)^2)</f>
        <v>4.59366902960143</v>
      </c>
      <c r="AY40" s="17" t="n">
        <f aca="false">SQRT(($B40-AY$16)^2+($C40-AY$17)^2+($D40-AY$18)^2)</f>
        <v>3.07504241328275</v>
      </c>
      <c r="AZ40" s="63" t="n">
        <f aca="false">MATCH(MIN(AW40:AY40),AW40:AY40,0)</f>
        <v>1</v>
      </c>
      <c r="BB40" s="17" t="n">
        <f aca="false">SQRT(($B40-BB$16)^2+($C40-BB$17)^2+($D40-BB$18)^2)</f>
        <v>0.805275719043296</v>
      </c>
      <c r="BC40" s="17" t="n">
        <f aca="false">SQRT(($B40-BC$16)^2+($C40-BC$17)^2+($D40-BC$18)^2)</f>
        <v>4.59366902960143</v>
      </c>
      <c r="BD40" s="17" t="n">
        <f aca="false">SQRT(($B40-BD$16)^2+($C40-BD$17)^2+($D40-BD$18)^2)</f>
        <v>3.07504241328275</v>
      </c>
      <c r="BE40" s="63" t="n">
        <f aca="false">MATCH(MIN(BB40:BD40),BB40:BD40,0)</f>
        <v>1</v>
      </c>
      <c r="BG40" s="17" t="n">
        <f aca="false">SQRT(($B40-BG$16)^2+($C40-BG$17)^2+($D40-BG$18)^2)</f>
        <v>0.805275719043296</v>
      </c>
      <c r="BH40" s="17" t="n">
        <f aca="false">SQRT(($B40-BH$16)^2+($C40-BH$17)^2+($D40-BH$18)^2)</f>
        <v>4.59366902960143</v>
      </c>
      <c r="BI40" s="17" t="n">
        <f aca="false">SQRT(($B40-BI$16)^2+($C40-BI$17)^2+($D40-BI$18)^2)</f>
        <v>3.07504241328275</v>
      </c>
      <c r="BJ40" s="63" t="n">
        <f aca="false">MATCH(MIN(BG40:BI40),BG40:BI40,0)</f>
        <v>1</v>
      </c>
      <c r="BL40" s="17" t="n">
        <f aca="false">SQRT(($B40-BL$16)^2+($C40-BL$17)^2+($D40-BL$18)^2)</f>
        <v>0.805275719043296</v>
      </c>
      <c r="BM40" s="17" t="n">
        <f aca="false">SQRT(($B40-BM$16)^2+($C40-BM$17)^2+($D40-BM$18)^2)</f>
        <v>4.59366902960143</v>
      </c>
      <c r="BN40" s="17" t="n">
        <f aca="false">SQRT(($B40-BN$16)^2+($C40-BN$17)^2+($D40-BN$18)^2)</f>
        <v>3.07504241328275</v>
      </c>
      <c r="BO40" s="63" t="n">
        <f aca="false">MATCH(MIN(BL40:BN40),BL40:BN40,0)</f>
        <v>1</v>
      </c>
      <c r="BQ40" s="17" t="n">
        <f aca="false">SQRT(($B40-BQ$16)^2+($C40-BQ$17)^2+($D40-BQ$18)^2)</f>
        <v>0.805275719043296</v>
      </c>
      <c r="BR40" s="17" t="n">
        <f aca="false">SQRT(($B40-BR$16)^2+($C40-BR$17)^2+($D40-BR$18)^2)</f>
        <v>4.59366902960143</v>
      </c>
      <c r="BS40" s="17" t="n">
        <f aca="false">SQRT(($B40-BS$16)^2+($C40-BS$17)^2+($D40-BS$18)^2)</f>
        <v>3.07504241328275</v>
      </c>
      <c r="BT40" s="63" t="n">
        <f aca="false">MATCH(MIN(BQ40:BS40),BQ40:BS40,0)</f>
        <v>1</v>
      </c>
      <c r="BV40" s="17" t="n">
        <f aca="false">SQRT(($B40-BV$16)^2+($C40-BV$17)^2+($D40-BV$18)^2)</f>
        <v>0.805275719043296</v>
      </c>
      <c r="BW40" s="17" t="n">
        <f aca="false">SQRT(($B40-BW$16)^2+($C40-BW$17)^2+($D40-BW$18)^2)</f>
        <v>4.59366902960143</v>
      </c>
      <c r="BX40" s="17" t="n">
        <f aca="false">SQRT(($B40-BX$16)^2+($C40-BX$17)^2+($D40-BX$18)^2)</f>
        <v>3.07504241328275</v>
      </c>
      <c r="BY40" s="63" t="n">
        <f aca="false">MATCH(MIN(BV40:BX40),BV40:BX40,0)</f>
        <v>1</v>
      </c>
      <c r="CA40" s="17" t="n">
        <f aca="false">SQRT(($B40-CA$16)^2+($C40-CA$17)^2+($D40-CA$18)^2)</f>
        <v>0.805275719043296</v>
      </c>
      <c r="CB40" s="17" t="n">
        <f aca="false">SQRT(($B40-CB$16)^2+($C40-CB$17)^2+($D40-CB$18)^2)</f>
        <v>4.59366902960143</v>
      </c>
      <c r="CC40" s="17" t="n">
        <f aca="false">SQRT(($B40-CC$16)^2+($C40-CC$17)^2+($D40-CC$18)^2)</f>
        <v>3.07504241328275</v>
      </c>
      <c r="CD40" s="63" t="n">
        <f aca="false">MATCH(MIN(CA40:CC40),CA40:CC40,0)</f>
        <v>1</v>
      </c>
    </row>
    <row r="41" customFormat="false" ht="15" hidden="false" customHeight="false" outlineLevel="0" collapsed="false">
      <c r="A41" s="76" t="n">
        <f aca="false">Phase_Data!A23</f>
        <v>43905</v>
      </c>
      <c r="B41" s="17" t="n">
        <f aca="false">Phase_Data!K23</f>
        <v>-0.697367782823338</v>
      </c>
      <c r="C41" s="17" t="n">
        <f aca="false">Phase_Data!L23</f>
        <v>-0.936847300841807</v>
      </c>
      <c r="D41" s="17" t="n">
        <f aca="false">Phase_Data!M23</f>
        <v>-1.27778805060034</v>
      </c>
      <c r="E41" s="63" t="n">
        <f aca="false">CD41</f>
        <v>1</v>
      </c>
      <c r="F41" s="38" t="n">
        <f aca="false">($B41-INDEX($L$16:$N$16,E41))^2+($C41-INDEX($L$17:$N$17,E41))^2+($D41-INDEX($L$18:$N$18,E41))^2</f>
        <v>0.530803990219135</v>
      </c>
      <c r="G41" s="12" t="str">
        <f aca="false">INDEX($M$5:$M$7,E41)</f>
        <v>Low activity</v>
      </c>
      <c r="X41" s="17" t="n">
        <f aca="false">SQRT(($B41-X$16)^2+($C41-X$17)^2+($D41-X$18)^2)</f>
        <v>0.985790250900315</v>
      </c>
      <c r="Y41" s="17" t="n">
        <f aca="false">SQRT(($B41-Y$16)^2+($C41-Y$17)^2+($D41-Y$18)^2)</f>
        <v>4.24566487706114</v>
      </c>
      <c r="Z41" s="17" t="n">
        <f aca="false">SQRT(($B41-Z$16)^2+($C41-Z$17)^2+($D41-Z$18)^2)</f>
        <v>2.18838371673603</v>
      </c>
      <c r="AA41" s="63" t="n">
        <f aca="false">MATCH(MIN(X41:Z41),X41:Z41,0)</f>
        <v>1</v>
      </c>
      <c r="AC41" s="17" t="n">
        <f aca="false">SQRT(($B41-AC$16)^2+($C41-AC$17)^2+($D41-AC$18)^2)</f>
        <v>0.627942444701322</v>
      </c>
      <c r="AD41" s="17" t="n">
        <f aca="false">SQRT(($B41-AD$16)^2+($C41-AD$17)^2+($D41-AD$18)^2)</f>
        <v>3.35109881827391</v>
      </c>
      <c r="AE41" s="17" t="n">
        <f aca="false">SQRT(($B41-AE$16)^2+($C41-AE$17)^2+($D41-AE$18)^2)</f>
        <v>1.87598824040907</v>
      </c>
      <c r="AF41" s="63" t="n">
        <f aca="false">MATCH(MIN(AC41:AE41),AC41:AE41,0)</f>
        <v>1</v>
      </c>
      <c r="AH41" s="17" t="n">
        <f aca="false">SQRT(($B41-AH$16)^2+($C41-AH$17)^2+($D41-AH$18)^2)</f>
        <v>0.691154847468957</v>
      </c>
      <c r="AI41" s="17" t="n">
        <f aca="false">SQRT(($B41-AI$16)^2+($C41-AI$17)^2+($D41-AI$18)^2)</f>
        <v>3.50266191964396</v>
      </c>
      <c r="AJ41" s="17" t="n">
        <f aca="false">SQRT(($B41-AJ$16)^2+($C41-AJ$17)^2+($D41-AJ$18)^2)</f>
        <v>1.89017612687434</v>
      </c>
      <c r="AK41" s="63" t="n">
        <f aca="false">MATCH(MIN(AH41:AJ41),AH41:AJ41,0)</f>
        <v>1</v>
      </c>
      <c r="AM41" s="17" t="n">
        <f aca="false">SQRT(($B41-AM$16)^2+($C41-AM$17)^2+($D41-AM$18)^2)</f>
        <v>0.728562962426128</v>
      </c>
      <c r="AN41" s="17" t="n">
        <f aca="false">SQRT(($B41-AN$16)^2+($C41-AN$17)^2+($D41-AN$18)^2)</f>
        <v>3.53319002963319</v>
      </c>
      <c r="AO41" s="17" t="n">
        <f aca="false">SQRT(($B41-AO$16)^2+($C41-AO$17)^2+($D41-AO$18)^2)</f>
        <v>1.87863831958945</v>
      </c>
      <c r="AP41" s="63" t="n">
        <f aca="false">MATCH(MIN(AM41:AO41),AM41:AO41,0)</f>
        <v>1</v>
      </c>
      <c r="AR41" s="17" t="n">
        <f aca="false">SQRT(($B41-AR$16)^2+($C41-AR$17)^2+($D41-AR$18)^2)</f>
        <v>0.728562962426128</v>
      </c>
      <c r="AS41" s="17" t="n">
        <f aca="false">SQRT(($B41-AS$16)^2+($C41-AS$17)^2+($D41-AS$18)^2)</f>
        <v>3.53319002963319</v>
      </c>
      <c r="AT41" s="17" t="n">
        <f aca="false">SQRT(($B41-AT$16)^2+($C41-AT$17)^2+($D41-AT$18)^2)</f>
        <v>1.87863831958945</v>
      </c>
      <c r="AU41" s="63" t="n">
        <f aca="false">MATCH(MIN(AR41:AT41),AR41:AT41,0)</f>
        <v>1</v>
      </c>
      <c r="AW41" s="17" t="n">
        <f aca="false">SQRT(($B41-AW$16)^2+($C41-AW$17)^2+($D41-AW$18)^2)</f>
        <v>0.728562962426128</v>
      </c>
      <c r="AX41" s="17" t="n">
        <f aca="false">SQRT(($B41-AX$16)^2+($C41-AX$17)^2+($D41-AX$18)^2)</f>
        <v>3.53319002963319</v>
      </c>
      <c r="AY41" s="17" t="n">
        <f aca="false">SQRT(($B41-AY$16)^2+($C41-AY$17)^2+($D41-AY$18)^2)</f>
        <v>1.87863831958945</v>
      </c>
      <c r="AZ41" s="63" t="n">
        <f aca="false">MATCH(MIN(AW41:AY41),AW41:AY41,0)</f>
        <v>1</v>
      </c>
      <c r="BB41" s="17" t="n">
        <f aca="false">SQRT(($B41-BB$16)^2+($C41-BB$17)^2+($D41-BB$18)^2)</f>
        <v>0.728562962426128</v>
      </c>
      <c r="BC41" s="17" t="n">
        <f aca="false">SQRT(($B41-BC$16)^2+($C41-BC$17)^2+($D41-BC$18)^2)</f>
        <v>3.53319002963319</v>
      </c>
      <c r="BD41" s="17" t="n">
        <f aca="false">SQRT(($B41-BD$16)^2+($C41-BD$17)^2+($D41-BD$18)^2)</f>
        <v>1.87863831958945</v>
      </c>
      <c r="BE41" s="63" t="n">
        <f aca="false">MATCH(MIN(BB41:BD41),BB41:BD41,0)</f>
        <v>1</v>
      </c>
      <c r="BG41" s="17" t="n">
        <f aca="false">SQRT(($B41-BG$16)^2+($C41-BG$17)^2+($D41-BG$18)^2)</f>
        <v>0.728562962426128</v>
      </c>
      <c r="BH41" s="17" t="n">
        <f aca="false">SQRT(($B41-BH$16)^2+($C41-BH$17)^2+($D41-BH$18)^2)</f>
        <v>3.53319002963319</v>
      </c>
      <c r="BI41" s="17" t="n">
        <f aca="false">SQRT(($B41-BI$16)^2+($C41-BI$17)^2+($D41-BI$18)^2)</f>
        <v>1.87863831958945</v>
      </c>
      <c r="BJ41" s="63" t="n">
        <f aca="false">MATCH(MIN(BG41:BI41),BG41:BI41,0)</f>
        <v>1</v>
      </c>
      <c r="BL41" s="17" t="n">
        <f aca="false">SQRT(($B41-BL$16)^2+($C41-BL$17)^2+($D41-BL$18)^2)</f>
        <v>0.728562962426128</v>
      </c>
      <c r="BM41" s="17" t="n">
        <f aca="false">SQRT(($B41-BM$16)^2+($C41-BM$17)^2+($D41-BM$18)^2)</f>
        <v>3.53319002963319</v>
      </c>
      <c r="BN41" s="17" t="n">
        <f aca="false">SQRT(($B41-BN$16)^2+($C41-BN$17)^2+($D41-BN$18)^2)</f>
        <v>1.87863831958945</v>
      </c>
      <c r="BO41" s="63" t="n">
        <f aca="false">MATCH(MIN(BL41:BN41),BL41:BN41,0)</f>
        <v>1</v>
      </c>
      <c r="BQ41" s="17" t="n">
        <f aca="false">SQRT(($B41-BQ$16)^2+($C41-BQ$17)^2+($D41-BQ$18)^2)</f>
        <v>0.728562962426128</v>
      </c>
      <c r="BR41" s="17" t="n">
        <f aca="false">SQRT(($B41-BR$16)^2+($C41-BR$17)^2+($D41-BR$18)^2)</f>
        <v>3.53319002963319</v>
      </c>
      <c r="BS41" s="17" t="n">
        <f aca="false">SQRT(($B41-BS$16)^2+($C41-BS$17)^2+($D41-BS$18)^2)</f>
        <v>1.87863831958945</v>
      </c>
      <c r="BT41" s="63" t="n">
        <f aca="false">MATCH(MIN(BQ41:BS41),BQ41:BS41,0)</f>
        <v>1</v>
      </c>
      <c r="BV41" s="17" t="n">
        <f aca="false">SQRT(($B41-BV$16)^2+($C41-BV$17)^2+($D41-BV$18)^2)</f>
        <v>0.728562962426128</v>
      </c>
      <c r="BW41" s="17" t="n">
        <f aca="false">SQRT(($B41-BW$16)^2+($C41-BW$17)^2+($D41-BW$18)^2)</f>
        <v>3.53319002963319</v>
      </c>
      <c r="BX41" s="17" t="n">
        <f aca="false">SQRT(($B41-BX$16)^2+($C41-BX$17)^2+($D41-BX$18)^2)</f>
        <v>1.87863831958945</v>
      </c>
      <c r="BY41" s="63" t="n">
        <f aca="false">MATCH(MIN(BV41:BX41),BV41:BX41,0)</f>
        <v>1</v>
      </c>
      <c r="CA41" s="17" t="n">
        <f aca="false">SQRT(($B41-CA$16)^2+($C41-CA$17)^2+($D41-CA$18)^2)</f>
        <v>0.728562962426128</v>
      </c>
      <c r="CB41" s="17" t="n">
        <f aca="false">SQRT(($B41-CB$16)^2+($C41-CB$17)^2+($D41-CB$18)^2)</f>
        <v>3.53319002963319</v>
      </c>
      <c r="CC41" s="17" t="n">
        <f aca="false">SQRT(($B41-CC$16)^2+($C41-CC$17)^2+($D41-CC$18)^2)</f>
        <v>1.87863831958945</v>
      </c>
      <c r="CD41" s="63" t="n">
        <f aca="false">MATCH(MIN(CA41:CC41),CA41:CC41,0)</f>
        <v>1</v>
      </c>
    </row>
    <row r="42" customFormat="false" ht="15" hidden="false" customHeight="false" outlineLevel="0" collapsed="false">
      <c r="A42" s="76" t="n">
        <f aca="false">Phase_Data!A24</f>
        <v>43906</v>
      </c>
      <c r="B42" s="17" t="n">
        <f aca="false">Phase_Data!K24</f>
        <v>-0.11092954886951</v>
      </c>
      <c r="C42" s="17" t="n">
        <f aca="false">Phase_Data!L24</f>
        <v>-1.40749747652815</v>
      </c>
      <c r="D42" s="17" t="n">
        <f aca="false">Phase_Data!M24</f>
        <v>-1.01027561104517</v>
      </c>
      <c r="E42" s="63" t="n">
        <f aca="false">CD42</f>
        <v>1</v>
      </c>
      <c r="F42" s="38" t="n">
        <f aca="false">($B42-INDEX($L$16:$N$16,E42))^2+($C42-INDEX($L$17:$N$17,E42))^2+($D42-INDEX($L$18:$N$18,E42))^2</f>
        <v>1.5168552886891</v>
      </c>
      <c r="G42" s="12" t="str">
        <f aca="false">INDEX($M$5:$M$7,E42)</f>
        <v>Low activity</v>
      </c>
      <c r="X42" s="17" t="n">
        <f aca="false">SQRT(($B42-X$16)^2+($C42-X$17)^2+($D42-X$18)^2)</f>
        <v>1.47704696425302</v>
      </c>
      <c r="Y42" s="17" t="n">
        <f aca="false">SQRT(($B42-Y$16)^2+($C42-Y$17)^2+($D42-Y$18)^2)</f>
        <v>4.13830924185802</v>
      </c>
      <c r="Z42" s="17" t="n">
        <f aca="false">SQRT(($B42-Z$16)^2+($C42-Z$17)^2+($D42-Z$18)^2)</f>
        <v>2.33365767278682</v>
      </c>
      <c r="AA42" s="63" t="n">
        <f aca="false">MATCH(MIN(X42:Z42),X42:Z42,0)</f>
        <v>1</v>
      </c>
      <c r="AC42" s="17" t="n">
        <f aca="false">SQRT(($B42-AC$16)^2+($C42-AC$17)^2+($D42-AC$18)^2)</f>
        <v>1.12001856577679</v>
      </c>
      <c r="AD42" s="17" t="n">
        <f aca="false">SQRT(($B42-AD$16)^2+($C42-AD$17)^2+($D42-AD$18)^2)</f>
        <v>3.26252766642267</v>
      </c>
      <c r="AE42" s="17" t="n">
        <f aca="false">SQRT(($B42-AE$16)^2+($C42-AE$17)^2+($D42-AE$18)^2)</f>
        <v>1.84349970513931</v>
      </c>
      <c r="AF42" s="63" t="n">
        <f aca="false">MATCH(MIN(AC42:AE42),AC42:AE42,0)</f>
        <v>1</v>
      </c>
      <c r="AH42" s="17" t="n">
        <f aca="false">SQRT(($B42-AH$16)^2+($C42-AH$17)^2+($D42-AH$18)^2)</f>
        <v>1.19059329086959</v>
      </c>
      <c r="AI42" s="17" t="n">
        <f aca="false">SQRT(($B42-AI$16)^2+($C42-AI$17)^2+($D42-AI$18)^2)</f>
        <v>3.41459276564815</v>
      </c>
      <c r="AJ42" s="17" t="n">
        <f aca="false">SQRT(($B42-AJ$16)^2+($C42-AJ$17)^2+($D42-AJ$18)^2)</f>
        <v>1.844447181501</v>
      </c>
      <c r="AK42" s="63" t="n">
        <f aca="false">MATCH(MIN(AH42:AJ42),AH42:AJ42,0)</f>
        <v>1</v>
      </c>
      <c r="AM42" s="17" t="n">
        <f aca="false">SQRT(($B42-AM$16)^2+($C42-AM$17)^2+($D42-AM$18)^2)</f>
        <v>1.231606791427</v>
      </c>
      <c r="AN42" s="17" t="n">
        <f aca="false">SQRT(($B42-AN$16)^2+($C42-AN$17)^2+($D42-AN$18)^2)</f>
        <v>3.44739439258003</v>
      </c>
      <c r="AO42" s="17" t="n">
        <f aca="false">SQRT(($B42-AO$16)^2+($C42-AO$17)^2+($D42-AO$18)^2)</f>
        <v>1.82641460225205</v>
      </c>
      <c r="AP42" s="63" t="n">
        <f aca="false">MATCH(MIN(AM42:AO42),AM42:AO42,0)</f>
        <v>1</v>
      </c>
      <c r="AR42" s="17" t="n">
        <f aca="false">SQRT(($B42-AR$16)^2+($C42-AR$17)^2+($D42-AR$18)^2)</f>
        <v>1.231606791427</v>
      </c>
      <c r="AS42" s="17" t="n">
        <f aca="false">SQRT(($B42-AS$16)^2+($C42-AS$17)^2+($D42-AS$18)^2)</f>
        <v>3.44739439258003</v>
      </c>
      <c r="AT42" s="17" t="n">
        <f aca="false">SQRT(($B42-AT$16)^2+($C42-AT$17)^2+($D42-AT$18)^2)</f>
        <v>1.82641460225205</v>
      </c>
      <c r="AU42" s="63" t="n">
        <f aca="false">MATCH(MIN(AR42:AT42),AR42:AT42,0)</f>
        <v>1</v>
      </c>
      <c r="AW42" s="17" t="n">
        <f aca="false">SQRT(($B42-AW$16)^2+($C42-AW$17)^2+($D42-AW$18)^2)</f>
        <v>1.231606791427</v>
      </c>
      <c r="AX42" s="17" t="n">
        <f aca="false">SQRT(($B42-AX$16)^2+($C42-AX$17)^2+($D42-AX$18)^2)</f>
        <v>3.44739439258003</v>
      </c>
      <c r="AY42" s="17" t="n">
        <f aca="false">SQRT(($B42-AY$16)^2+($C42-AY$17)^2+($D42-AY$18)^2)</f>
        <v>1.82641460225205</v>
      </c>
      <c r="AZ42" s="63" t="n">
        <f aca="false">MATCH(MIN(AW42:AY42),AW42:AY42,0)</f>
        <v>1</v>
      </c>
      <c r="BB42" s="17" t="n">
        <f aca="false">SQRT(($B42-BB$16)^2+($C42-BB$17)^2+($D42-BB$18)^2)</f>
        <v>1.231606791427</v>
      </c>
      <c r="BC42" s="17" t="n">
        <f aca="false">SQRT(($B42-BC$16)^2+($C42-BC$17)^2+($D42-BC$18)^2)</f>
        <v>3.44739439258003</v>
      </c>
      <c r="BD42" s="17" t="n">
        <f aca="false">SQRT(($B42-BD$16)^2+($C42-BD$17)^2+($D42-BD$18)^2)</f>
        <v>1.82641460225205</v>
      </c>
      <c r="BE42" s="63" t="n">
        <f aca="false">MATCH(MIN(BB42:BD42),BB42:BD42,0)</f>
        <v>1</v>
      </c>
      <c r="BG42" s="17" t="n">
        <f aca="false">SQRT(($B42-BG$16)^2+($C42-BG$17)^2+($D42-BG$18)^2)</f>
        <v>1.231606791427</v>
      </c>
      <c r="BH42" s="17" t="n">
        <f aca="false">SQRT(($B42-BH$16)^2+($C42-BH$17)^2+($D42-BH$18)^2)</f>
        <v>3.44739439258003</v>
      </c>
      <c r="BI42" s="17" t="n">
        <f aca="false">SQRT(($B42-BI$16)^2+($C42-BI$17)^2+($D42-BI$18)^2)</f>
        <v>1.82641460225205</v>
      </c>
      <c r="BJ42" s="63" t="n">
        <f aca="false">MATCH(MIN(BG42:BI42),BG42:BI42,0)</f>
        <v>1</v>
      </c>
      <c r="BL42" s="17" t="n">
        <f aca="false">SQRT(($B42-BL$16)^2+($C42-BL$17)^2+($D42-BL$18)^2)</f>
        <v>1.231606791427</v>
      </c>
      <c r="BM42" s="17" t="n">
        <f aca="false">SQRT(($B42-BM$16)^2+($C42-BM$17)^2+($D42-BM$18)^2)</f>
        <v>3.44739439258003</v>
      </c>
      <c r="BN42" s="17" t="n">
        <f aca="false">SQRT(($B42-BN$16)^2+($C42-BN$17)^2+($D42-BN$18)^2)</f>
        <v>1.82641460225205</v>
      </c>
      <c r="BO42" s="63" t="n">
        <f aca="false">MATCH(MIN(BL42:BN42),BL42:BN42,0)</f>
        <v>1</v>
      </c>
      <c r="BQ42" s="17" t="n">
        <f aca="false">SQRT(($B42-BQ$16)^2+($C42-BQ$17)^2+($D42-BQ$18)^2)</f>
        <v>1.231606791427</v>
      </c>
      <c r="BR42" s="17" t="n">
        <f aca="false">SQRT(($B42-BR$16)^2+($C42-BR$17)^2+($D42-BR$18)^2)</f>
        <v>3.44739439258003</v>
      </c>
      <c r="BS42" s="17" t="n">
        <f aca="false">SQRT(($B42-BS$16)^2+($C42-BS$17)^2+($D42-BS$18)^2)</f>
        <v>1.82641460225205</v>
      </c>
      <c r="BT42" s="63" t="n">
        <f aca="false">MATCH(MIN(BQ42:BS42),BQ42:BS42,0)</f>
        <v>1</v>
      </c>
      <c r="BV42" s="17" t="n">
        <f aca="false">SQRT(($B42-BV$16)^2+($C42-BV$17)^2+($D42-BV$18)^2)</f>
        <v>1.231606791427</v>
      </c>
      <c r="BW42" s="17" t="n">
        <f aca="false">SQRT(($B42-BW$16)^2+($C42-BW$17)^2+($D42-BW$18)^2)</f>
        <v>3.44739439258003</v>
      </c>
      <c r="BX42" s="17" t="n">
        <f aca="false">SQRT(($B42-BX$16)^2+($C42-BX$17)^2+($D42-BX$18)^2)</f>
        <v>1.82641460225205</v>
      </c>
      <c r="BY42" s="63" t="n">
        <f aca="false">MATCH(MIN(BV42:BX42),BV42:BX42,0)</f>
        <v>1</v>
      </c>
      <c r="CA42" s="17" t="n">
        <f aca="false">SQRT(($B42-CA$16)^2+($C42-CA$17)^2+($D42-CA$18)^2)</f>
        <v>1.231606791427</v>
      </c>
      <c r="CB42" s="17" t="n">
        <f aca="false">SQRT(($B42-CB$16)^2+($C42-CB$17)^2+($D42-CB$18)^2)</f>
        <v>3.44739439258003</v>
      </c>
      <c r="CC42" s="17" t="n">
        <f aca="false">SQRT(($B42-CC$16)^2+($C42-CC$17)^2+($D42-CC$18)^2)</f>
        <v>1.82641460225205</v>
      </c>
      <c r="CD42" s="63" t="n">
        <f aca="false">MATCH(MIN(CA42:CC42),CA42:CC42,0)</f>
        <v>1</v>
      </c>
    </row>
    <row r="43" customFormat="false" ht="15" hidden="false" customHeight="false" outlineLevel="0" collapsed="false">
      <c r="A43" s="76" t="n">
        <f aca="false">Phase_Data!A25</f>
        <v>43907</v>
      </c>
      <c r="B43" s="17" t="n">
        <f aca="false">Phase_Data!K25</f>
        <v>-0.531665664192455</v>
      </c>
      <c r="C43" s="17" t="n">
        <f aca="false">Phase_Data!L25</f>
        <v>-1.40749747652815</v>
      </c>
      <c r="D43" s="17" t="n">
        <f aca="false">Phase_Data!M25</f>
        <v>-1.27778805060034</v>
      </c>
      <c r="E43" s="63" t="n">
        <f aca="false">CD43</f>
        <v>1</v>
      </c>
      <c r="F43" s="38" t="n">
        <f aca="false">($B43-INDEX($L$16:$N$16,E43))^2+($C43-INDEX($L$17:$N$17,E43))^2+($D43-INDEX($L$18:$N$18,E43))^2</f>
        <v>0.648773651908015</v>
      </c>
      <c r="G43" s="12" t="str">
        <f aca="false">INDEX($M$5:$M$7,E43)</f>
        <v>Low activity</v>
      </c>
      <c r="X43" s="17" t="n">
        <f aca="false">SQRT(($B43-X$16)^2+($C43-X$17)^2+($D43-X$18)^2)</f>
        <v>1.03188387259279</v>
      </c>
      <c r="Y43" s="17" t="n">
        <f aca="false">SQRT(($B43-Y$16)^2+($C43-Y$17)^2+($D43-Y$18)^2)</f>
        <v>4.46229731601923</v>
      </c>
      <c r="Z43" s="17" t="n">
        <f aca="false">SQRT(($B43-Z$16)^2+($C43-Z$17)^2+($D43-Z$18)^2)</f>
        <v>2.49034272978059</v>
      </c>
      <c r="AA43" s="63" t="n">
        <f aca="false">MATCH(MIN(X43:Z43),X43:Z43,0)</f>
        <v>1</v>
      </c>
      <c r="AC43" s="17" t="n">
        <f aca="false">SQRT(($B43-AC$16)^2+($C43-AC$17)^2+($D43-AC$18)^2)</f>
        <v>0.719171362897059</v>
      </c>
      <c r="AD43" s="17" t="n">
        <f aca="false">SQRT(($B43-AD$16)^2+($C43-AD$17)^2+($D43-AD$18)^2)</f>
        <v>3.57152680506997</v>
      </c>
      <c r="AE43" s="17" t="n">
        <f aca="false">SQRT(($B43-AE$16)^2+($C43-AE$17)^2+($D43-AE$18)^2)</f>
        <v>2.11354683779525</v>
      </c>
      <c r="AF43" s="63" t="n">
        <f aca="false">MATCH(MIN(AC43:AE43),AC43:AE43,0)</f>
        <v>1</v>
      </c>
      <c r="AH43" s="17" t="n">
        <f aca="false">SQRT(($B43-AH$16)^2+($C43-AH$17)^2+($D43-AH$18)^2)</f>
        <v>0.77079442781597</v>
      </c>
      <c r="AI43" s="17" t="n">
        <f aca="false">SQRT(($B43-AI$16)^2+($C43-AI$17)^2+($D43-AI$18)^2)</f>
        <v>3.72545256788247</v>
      </c>
      <c r="AJ43" s="17" t="n">
        <f aca="false">SQRT(($B43-AJ$16)^2+($C43-AJ$17)^2+($D43-AJ$18)^2)</f>
        <v>2.11897380263049</v>
      </c>
      <c r="AK43" s="63" t="n">
        <f aca="false">MATCH(MIN(AH43:AJ43),AH43:AJ43,0)</f>
        <v>1</v>
      </c>
      <c r="AM43" s="17" t="n">
        <f aca="false">SQRT(($B43-AM$16)^2+($C43-AM$17)^2+($D43-AM$18)^2)</f>
        <v>0.805464866960698</v>
      </c>
      <c r="AN43" s="17" t="n">
        <f aca="false">SQRT(($B43-AN$16)^2+($C43-AN$17)^2+($D43-AN$18)^2)</f>
        <v>3.75765315617832</v>
      </c>
      <c r="AO43" s="17" t="n">
        <f aca="false">SQRT(($B43-AO$16)^2+($C43-AO$17)^2+($D43-AO$18)^2)</f>
        <v>2.10326816446246</v>
      </c>
      <c r="AP43" s="63" t="n">
        <f aca="false">MATCH(MIN(AM43:AO43),AM43:AO43,0)</f>
        <v>1</v>
      </c>
      <c r="AR43" s="17" t="n">
        <f aca="false">SQRT(($B43-AR$16)^2+($C43-AR$17)^2+($D43-AR$18)^2)</f>
        <v>0.805464866960698</v>
      </c>
      <c r="AS43" s="17" t="n">
        <f aca="false">SQRT(($B43-AS$16)^2+($C43-AS$17)^2+($D43-AS$18)^2)</f>
        <v>3.75765315617832</v>
      </c>
      <c r="AT43" s="17" t="n">
        <f aca="false">SQRT(($B43-AT$16)^2+($C43-AT$17)^2+($D43-AT$18)^2)</f>
        <v>2.10326816446246</v>
      </c>
      <c r="AU43" s="63" t="n">
        <f aca="false">MATCH(MIN(AR43:AT43),AR43:AT43,0)</f>
        <v>1</v>
      </c>
      <c r="AW43" s="17" t="n">
        <f aca="false">SQRT(($B43-AW$16)^2+($C43-AW$17)^2+($D43-AW$18)^2)</f>
        <v>0.805464866960698</v>
      </c>
      <c r="AX43" s="17" t="n">
        <f aca="false">SQRT(($B43-AX$16)^2+($C43-AX$17)^2+($D43-AX$18)^2)</f>
        <v>3.75765315617832</v>
      </c>
      <c r="AY43" s="17" t="n">
        <f aca="false">SQRT(($B43-AY$16)^2+($C43-AY$17)^2+($D43-AY$18)^2)</f>
        <v>2.10326816446246</v>
      </c>
      <c r="AZ43" s="63" t="n">
        <f aca="false">MATCH(MIN(AW43:AY43),AW43:AY43,0)</f>
        <v>1</v>
      </c>
      <c r="BB43" s="17" t="n">
        <f aca="false">SQRT(($B43-BB$16)^2+($C43-BB$17)^2+($D43-BB$18)^2)</f>
        <v>0.805464866960698</v>
      </c>
      <c r="BC43" s="17" t="n">
        <f aca="false">SQRT(($B43-BC$16)^2+($C43-BC$17)^2+($D43-BC$18)^2)</f>
        <v>3.75765315617832</v>
      </c>
      <c r="BD43" s="17" t="n">
        <f aca="false">SQRT(($B43-BD$16)^2+($C43-BD$17)^2+($D43-BD$18)^2)</f>
        <v>2.10326816446246</v>
      </c>
      <c r="BE43" s="63" t="n">
        <f aca="false">MATCH(MIN(BB43:BD43),BB43:BD43,0)</f>
        <v>1</v>
      </c>
      <c r="BG43" s="17" t="n">
        <f aca="false">SQRT(($B43-BG$16)^2+($C43-BG$17)^2+($D43-BG$18)^2)</f>
        <v>0.805464866960698</v>
      </c>
      <c r="BH43" s="17" t="n">
        <f aca="false">SQRT(($B43-BH$16)^2+($C43-BH$17)^2+($D43-BH$18)^2)</f>
        <v>3.75765315617832</v>
      </c>
      <c r="BI43" s="17" t="n">
        <f aca="false">SQRT(($B43-BI$16)^2+($C43-BI$17)^2+($D43-BI$18)^2)</f>
        <v>2.10326816446246</v>
      </c>
      <c r="BJ43" s="63" t="n">
        <f aca="false">MATCH(MIN(BG43:BI43),BG43:BI43,0)</f>
        <v>1</v>
      </c>
      <c r="BL43" s="17" t="n">
        <f aca="false">SQRT(($B43-BL$16)^2+($C43-BL$17)^2+($D43-BL$18)^2)</f>
        <v>0.805464866960698</v>
      </c>
      <c r="BM43" s="17" t="n">
        <f aca="false">SQRT(($B43-BM$16)^2+($C43-BM$17)^2+($D43-BM$18)^2)</f>
        <v>3.75765315617832</v>
      </c>
      <c r="BN43" s="17" t="n">
        <f aca="false">SQRT(($B43-BN$16)^2+($C43-BN$17)^2+($D43-BN$18)^2)</f>
        <v>2.10326816446246</v>
      </c>
      <c r="BO43" s="63" t="n">
        <f aca="false">MATCH(MIN(BL43:BN43),BL43:BN43,0)</f>
        <v>1</v>
      </c>
      <c r="BQ43" s="17" t="n">
        <f aca="false">SQRT(($B43-BQ$16)^2+($C43-BQ$17)^2+($D43-BQ$18)^2)</f>
        <v>0.805464866960698</v>
      </c>
      <c r="BR43" s="17" t="n">
        <f aca="false">SQRT(($B43-BR$16)^2+($C43-BR$17)^2+($D43-BR$18)^2)</f>
        <v>3.75765315617832</v>
      </c>
      <c r="BS43" s="17" t="n">
        <f aca="false">SQRT(($B43-BS$16)^2+($C43-BS$17)^2+($D43-BS$18)^2)</f>
        <v>2.10326816446246</v>
      </c>
      <c r="BT43" s="63" t="n">
        <f aca="false">MATCH(MIN(BQ43:BS43),BQ43:BS43,0)</f>
        <v>1</v>
      </c>
      <c r="BV43" s="17" t="n">
        <f aca="false">SQRT(($B43-BV$16)^2+($C43-BV$17)^2+($D43-BV$18)^2)</f>
        <v>0.805464866960698</v>
      </c>
      <c r="BW43" s="17" t="n">
        <f aca="false">SQRT(($B43-BW$16)^2+($C43-BW$17)^2+($D43-BW$18)^2)</f>
        <v>3.75765315617832</v>
      </c>
      <c r="BX43" s="17" t="n">
        <f aca="false">SQRT(($B43-BX$16)^2+($C43-BX$17)^2+($D43-BX$18)^2)</f>
        <v>2.10326816446246</v>
      </c>
      <c r="BY43" s="63" t="n">
        <f aca="false">MATCH(MIN(BV43:BX43),BV43:BX43,0)</f>
        <v>1</v>
      </c>
      <c r="CA43" s="17" t="n">
        <f aca="false">SQRT(($B43-CA$16)^2+($C43-CA$17)^2+($D43-CA$18)^2)</f>
        <v>0.805464866960698</v>
      </c>
      <c r="CB43" s="17" t="n">
        <f aca="false">SQRT(($B43-CB$16)^2+($C43-CB$17)^2+($D43-CB$18)^2)</f>
        <v>3.75765315617832</v>
      </c>
      <c r="CC43" s="17" t="n">
        <f aca="false">SQRT(($B43-CC$16)^2+($C43-CC$17)^2+($D43-CC$18)^2)</f>
        <v>2.10326816446246</v>
      </c>
      <c r="CD43" s="63" t="n">
        <f aca="false">MATCH(MIN(CA43:CC43),CA43:CC43,0)</f>
        <v>1</v>
      </c>
    </row>
    <row r="44" customFormat="false" ht="15" hidden="false" customHeight="false" outlineLevel="0" collapsed="false">
      <c r="A44" s="76" t="n">
        <f aca="false">Phase_Data!A26</f>
        <v>43908</v>
      </c>
      <c r="B44" s="17" t="n">
        <f aca="false">Phase_Data!K26</f>
        <v>-0.495665063883294</v>
      </c>
      <c r="C44" s="17" t="n">
        <f aca="false">Phase_Data!L26</f>
        <v>-0.661534597107475</v>
      </c>
      <c r="D44" s="17" t="n">
        <f aca="false">Phase_Data!M26</f>
        <v>-1.27778805060034</v>
      </c>
      <c r="E44" s="63" t="n">
        <f aca="false">CD44</f>
        <v>1</v>
      </c>
      <c r="F44" s="38" t="n">
        <f aca="false">($B44-INDEX($L$16:$N$16,E44))^2+($C44-INDEX($L$17:$N$17,E44))^2+($D44-INDEX($L$18:$N$18,E44))^2</f>
        <v>1.09847991329077</v>
      </c>
      <c r="G44" s="12" t="str">
        <f aca="false">INDEX($M$5:$M$7,E44)</f>
        <v>Low activity</v>
      </c>
      <c r="X44" s="17" t="n">
        <f aca="false">SQRT(($B44-X$16)^2+($C44-X$17)^2+($D44-X$18)^2)</f>
        <v>1.30262729318046</v>
      </c>
      <c r="Y44" s="17" t="n">
        <f aca="false">SQRT(($B44-Y$16)^2+($C44-Y$17)^2+($D44-Y$18)^2)</f>
        <v>4.00499794893205</v>
      </c>
      <c r="Z44" s="17" t="n">
        <f aca="false">SQRT(($B44-Z$16)^2+($C44-Z$17)^2+($D44-Z$18)^2)</f>
        <v>1.84738150924101</v>
      </c>
      <c r="AA44" s="63" t="n">
        <f aca="false">MATCH(MIN(X44:Z44),X44:Z44,0)</f>
        <v>1</v>
      </c>
      <c r="AC44" s="17" t="n">
        <f aca="false">SQRT(($B44-AC$16)^2+($C44-AC$17)^2+($D44-AC$18)^2)</f>
        <v>0.945421700983795</v>
      </c>
      <c r="AD44" s="17" t="n">
        <f aca="false">SQRT(($B44-AD$16)^2+($C44-AD$17)^2+($D44-AD$18)^2)</f>
        <v>3.11748664083492</v>
      </c>
      <c r="AE44" s="17" t="n">
        <f aca="false">SQRT(($B44-AE$16)^2+($C44-AE$17)^2+($D44-AE$18)^2)</f>
        <v>1.6215950770465</v>
      </c>
      <c r="AF44" s="63" t="n">
        <f aca="false">MATCH(MIN(AC44:AE44),AC44:AE44,0)</f>
        <v>1</v>
      </c>
      <c r="AH44" s="17" t="n">
        <f aca="false">SQRT(($B44-AH$16)^2+($C44-AH$17)^2+($D44-AH$18)^2)</f>
        <v>1.011157022342</v>
      </c>
      <c r="AI44" s="17" t="n">
        <f aca="false">SQRT(($B44-AI$16)^2+($C44-AI$17)^2+($D44-AI$18)^2)</f>
        <v>3.26437846564634</v>
      </c>
      <c r="AJ44" s="17" t="n">
        <f aca="false">SQRT(($B44-AJ$16)^2+($C44-AJ$17)^2+($D44-AJ$18)^2)</f>
        <v>1.64969618402141</v>
      </c>
      <c r="AK44" s="63" t="n">
        <f aca="false">MATCH(MIN(AH44:AJ44),AH44:AJ44,0)</f>
        <v>1</v>
      </c>
      <c r="AM44" s="17" t="n">
        <f aca="false">SQRT(($B44-AM$16)^2+($C44-AM$17)^2+($D44-AM$18)^2)</f>
        <v>1.04808392473636</v>
      </c>
      <c r="AN44" s="17" t="n">
        <f aca="false">SQRT(($B44-AN$16)^2+($C44-AN$17)^2+($D44-AN$18)^2)</f>
        <v>3.2935836038974</v>
      </c>
      <c r="AO44" s="17" t="n">
        <f aca="false">SQRT(($B44-AO$16)^2+($C44-AO$17)^2+($D44-AO$18)^2)</f>
        <v>1.64160250479742</v>
      </c>
      <c r="AP44" s="63" t="n">
        <f aca="false">MATCH(MIN(AM44:AO44),AM44:AO44,0)</f>
        <v>1</v>
      </c>
      <c r="AR44" s="17" t="n">
        <f aca="false">SQRT(($B44-AR$16)^2+($C44-AR$17)^2+($D44-AR$18)^2)</f>
        <v>1.04808392473636</v>
      </c>
      <c r="AS44" s="17" t="n">
        <f aca="false">SQRT(($B44-AS$16)^2+($C44-AS$17)^2+($D44-AS$18)^2)</f>
        <v>3.2935836038974</v>
      </c>
      <c r="AT44" s="17" t="n">
        <f aca="false">SQRT(($B44-AT$16)^2+($C44-AT$17)^2+($D44-AT$18)^2)</f>
        <v>1.64160250479742</v>
      </c>
      <c r="AU44" s="63" t="n">
        <f aca="false">MATCH(MIN(AR44:AT44),AR44:AT44,0)</f>
        <v>1</v>
      </c>
      <c r="AW44" s="17" t="n">
        <f aca="false">SQRT(($B44-AW$16)^2+($C44-AW$17)^2+($D44-AW$18)^2)</f>
        <v>1.04808392473636</v>
      </c>
      <c r="AX44" s="17" t="n">
        <f aca="false">SQRT(($B44-AX$16)^2+($C44-AX$17)^2+($D44-AX$18)^2)</f>
        <v>3.2935836038974</v>
      </c>
      <c r="AY44" s="17" t="n">
        <f aca="false">SQRT(($B44-AY$16)^2+($C44-AY$17)^2+($D44-AY$18)^2)</f>
        <v>1.64160250479742</v>
      </c>
      <c r="AZ44" s="63" t="n">
        <f aca="false">MATCH(MIN(AW44:AY44),AW44:AY44,0)</f>
        <v>1</v>
      </c>
      <c r="BB44" s="17" t="n">
        <f aca="false">SQRT(($B44-BB$16)^2+($C44-BB$17)^2+($D44-BB$18)^2)</f>
        <v>1.04808392473636</v>
      </c>
      <c r="BC44" s="17" t="n">
        <f aca="false">SQRT(($B44-BC$16)^2+($C44-BC$17)^2+($D44-BC$18)^2)</f>
        <v>3.2935836038974</v>
      </c>
      <c r="BD44" s="17" t="n">
        <f aca="false">SQRT(($B44-BD$16)^2+($C44-BD$17)^2+($D44-BD$18)^2)</f>
        <v>1.64160250479742</v>
      </c>
      <c r="BE44" s="63" t="n">
        <f aca="false">MATCH(MIN(BB44:BD44),BB44:BD44,0)</f>
        <v>1</v>
      </c>
      <c r="BG44" s="17" t="n">
        <f aca="false">SQRT(($B44-BG$16)^2+($C44-BG$17)^2+($D44-BG$18)^2)</f>
        <v>1.04808392473636</v>
      </c>
      <c r="BH44" s="17" t="n">
        <f aca="false">SQRT(($B44-BH$16)^2+($C44-BH$17)^2+($D44-BH$18)^2)</f>
        <v>3.2935836038974</v>
      </c>
      <c r="BI44" s="17" t="n">
        <f aca="false">SQRT(($B44-BI$16)^2+($C44-BI$17)^2+($D44-BI$18)^2)</f>
        <v>1.64160250479742</v>
      </c>
      <c r="BJ44" s="63" t="n">
        <f aca="false">MATCH(MIN(BG44:BI44),BG44:BI44,0)</f>
        <v>1</v>
      </c>
      <c r="BL44" s="17" t="n">
        <f aca="false">SQRT(($B44-BL$16)^2+($C44-BL$17)^2+($D44-BL$18)^2)</f>
        <v>1.04808392473636</v>
      </c>
      <c r="BM44" s="17" t="n">
        <f aca="false">SQRT(($B44-BM$16)^2+($C44-BM$17)^2+($D44-BM$18)^2)</f>
        <v>3.2935836038974</v>
      </c>
      <c r="BN44" s="17" t="n">
        <f aca="false">SQRT(($B44-BN$16)^2+($C44-BN$17)^2+($D44-BN$18)^2)</f>
        <v>1.64160250479742</v>
      </c>
      <c r="BO44" s="63" t="n">
        <f aca="false">MATCH(MIN(BL44:BN44),BL44:BN44,0)</f>
        <v>1</v>
      </c>
      <c r="BQ44" s="17" t="n">
        <f aca="false">SQRT(($B44-BQ$16)^2+($C44-BQ$17)^2+($D44-BQ$18)^2)</f>
        <v>1.04808392473636</v>
      </c>
      <c r="BR44" s="17" t="n">
        <f aca="false">SQRT(($B44-BR$16)^2+($C44-BR$17)^2+($D44-BR$18)^2)</f>
        <v>3.2935836038974</v>
      </c>
      <c r="BS44" s="17" t="n">
        <f aca="false">SQRT(($B44-BS$16)^2+($C44-BS$17)^2+($D44-BS$18)^2)</f>
        <v>1.64160250479742</v>
      </c>
      <c r="BT44" s="63" t="n">
        <f aca="false">MATCH(MIN(BQ44:BS44),BQ44:BS44,0)</f>
        <v>1</v>
      </c>
      <c r="BV44" s="17" t="n">
        <f aca="false">SQRT(($B44-BV$16)^2+($C44-BV$17)^2+($D44-BV$18)^2)</f>
        <v>1.04808392473636</v>
      </c>
      <c r="BW44" s="17" t="n">
        <f aca="false">SQRT(($B44-BW$16)^2+($C44-BW$17)^2+($D44-BW$18)^2)</f>
        <v>3.2935836038974</v>
      </c>
      <c r="BX44" s="17" t="n">
        <f aca="false">SQRT(($B44-BX$16)^2+($C44-BX$17)^2+($D44-BX$18)^2)</f>
        <v>1.64160250479742</v>
      </c>
      <c r="BY44" s="63" t="n">
        <f aca="false">MATCH(MIN(BV44:BX44),BV44:BX44,0)</f>
        <v>1</v>
      </c>
      <c r="CA44" s="17" t="n">
        <f aca="false">SQRT(($B44-CA$16)^2+($C44-CA$17)^2+($D44-CA$18)^2)</f>
        <v>1.04808392473636</v>
      </c>
      <c r="CB44" s="17" t="n">
        <f aca="false">SQRT(($B44-CB$16)^2+($C44-CB$17)^2+($D44-CB$18)^2)</f>
        <v>3.2935836038974</v>
      </c>
      <c r="CC44" s="17" t="n">
        <f aca="false">SQRT(($B44-CC$16)^2+($C44-CC$17)^2+($D44-CC$18)^2)</f>
        <v>1.64160250479742</v>
      </c>
      <c r="CD44" s="63" t="n">
        <f aca="false">MATCH(MIN(CA44:CC44),CA44:CC44,0)</f>
        <v>1</v>
      </c>
    </row>
    <row r="45" customFormat="false" ht="15" hidden="false" customHeight="false" outlineLevel="0" collapsed="false">
      <c r="A45" s="76" t="n">
        <f aca="false">Phase_Data!A27</f>
        <v>43909</v>
      </c>
      <c r="B45" s="17" t="n">
        <f aca="false">Phase_Data!K27</f>
        <v>-0.103124683317275</v>
      </c>
      <c r="C45" s="17" t="n">
        <f aca="false">Phase_Data!L27</f>
        <v>-1.40749747652815</v>
      </c>
      <c r="D45" s="17" t="n">
        <f aca="false">Phase_Data!M27</f>
        <v>-1.01027561104517</v>
      </c>
      <c r="E45" s="63" t="n">
        <f aca="false">CD45</f>
        <v>1</v>
      </c>
      <c r="F45" s="38" t="n">
        <f aca="false">($B45-INDEX($L$16:$N$16,E45))^2+($C45-INDEX($L$17:$N$17,E45))^2+($D45-INDEX($L$18:$N$18,E45))^2</f>
        <v>1.53585975161443</v>
      </c>
      <c r="G45" s="12" t="str">
        <f aca="false">INDEX($M$5:$M$7,E45)</f>
        <v>Low activity</v>
      </c>
      <c r="X45" s="17" t="n">
        <f aca="false">SQRT(($B45-X$16)^2+($C45-X$17)^2+($D45-X$18)^2)</f>
        <v>1.48472342809821</v>
      </c>
      <c r="Y45" s="17" t="n">
        <f aca="false">SQRT(($B45-Y$16)^2+($C45-Y$17)^2+($D45-Y$18)^2)</f>
        <v>4.13580850202062</v>
      </c>
      <c r="Z45" s="17" t="n">
        <f aca="false">SQRT(($B45-Z$16)^2+($C45-Z$17)^2+($D45-Z$18)^2)</f>
        <v>2.33108428367205</v>
      </c>
      <c r="AA45" s="63" t="n">
        <f aca="false">MATCH(MIN(X45:Z45),X45:Z45,0)</f>
        <v>1</v>
      </c>
      <c r="AC45" s="17" t="n">
        <f aca="false">SQRT(($B45-AC$16)^2+($C45-AC$17)^2+($D45-AC$18)^2)</f>
        <v>1.12771442841934</v>
      </c>
      <c r="AD45" s="17" t="n">
        <f aca="false">SQRT(($B45-AD$16)^2+($C45-AD$17)^2+($D45-AD$18)^2)</f>
        <v>3.26041193013037</v>
      </c>
      <c r="AE45" s="17" t="n">
        <f aca="false">SQRT(($B45-AE$16)^2+($C45-AE$17)^2+($D45-AE$18)^2)</f>
        <v>1.84176295783149</v>
      </c>
      <c r="AF45" s="63" t="n">
        <f aca="false">MATCH(MIN(AC45:AE45),AC45:AE45,0)</f>
        <v>1</v>
      </c>
      <c r="AH45" s="17" t="n">
        <f aca="false">SQRT(($B45-AH$16)^2+($C45-AH$17)^2+($D45-AH$18)^2)</f>
        <v>1.19828792290686</v>
      </c>
      <c r="AI45" s="17" t="n">
        <f aca="false">SQRT(($B45-AI$16)^2+($C45-AI$17)^2+($D45-AI$18)^2)</f>
        <v>3.41237235897853</v>
      </c>
      <c r="AJ45" s="17" t="n">
        <f aca="false">SQRT(($B45-AJ$16)^2+($C45-AJ$17)^2+($D45-AJ$18)^2)</f>
        <v>1.84285792218332</v>
      </c>
      <c r="AK45" s="63" t="n">
        <f aca="false">MATCH(MIN(AH45:AJ45),AH45:AJ45,0)</f>
        <v>1</v>
      </c>
      <c r="AM45" s="17" t="n">
        <f aca="false">SQRT(($B45-AM$16)^2+($C45-AM$17)^2+($D45-AM$18)^2)</f>
        <v>1.23929808827999</v>
      </c>
      <c r="AN45" s="17" t="n">
        <f aca="false">SQRT(($B45-AN$16)^2+($C45-AN$17)^2+($D45-AN$18)^2)</f>
        <v>3.44516494484281</v>
      </c>
      <c r="AO45" s="17" t="n">
        <f aca="false">SQRT(($B45-AO$16)^2+($C45-AO$17)^2+($D45-AO$18)^2)</f>
        <v>1.82483463700499</v>
      </c>
      <c r="AP45" s="63" t="n">
        <f aca="false">MATCH(MIN(AM45:AO45),AM45:AO45,0)</f>
        <v>1</v>
      </c>
      <c r="AR45" s="17" t="n">
        <f aca="false">SQRT(($B45-AR$16)^2+($C45-AR$17)^2+($D45-AR$18)^2)</f>
        <v>1.23929808827999</v>
      </c>
      <c r="AS45" s="17" t="n">
        <f aca="false">SQRT(($B45-AS$16)^2+($C45-AS$17)^2+($D45-AS$18)^2)</f>
        <v>3.44516494484281</v>
      </c>
      <c r="AT45" s="17" t="n">
        <f aca="false">SQRT(($B45-AT$16)^2+($C45-AT$17)^2+($D45-AT$18)^2)</f>
        <v>1.82483463700499</v>
      </c>
      <c r="AU45" s="63" t="n">
        <f aca="false">MATCH(MIN(AR45:AT45),AR45:AT45,0)</f>
        <v>1</v>
      </c>
      <c r="AW45" s="17" t="n">
        <f aca="false">SQRT(($B45-AW$16)^2+($C45-AW$17)^2+($D45-AW$18)^2)</f>
        <v>1.23929808827999</v>
      </c>
      <c r="AX45" s="17" t="n">
        <f aca="false">SQRT(($B45-AX$16)^2+($C45-AX$17)^2+($D45-AX$18)^2)</f>
        <v>3.44516494484281</v>
      </c>
      <c r="AY45" s="17" t="n">
        <f aca="false">SQRT(($B45-AY$16)^2+($C45-AY$17)^2+($D45-AY$18)^2)</f>
        <v>1.82483463700499</v>
      </c>
      <c r="AZ45" s="63" t="n">
        <f aca="false">MATCH(MIN(AW45:AY45),AW45:AY45,0)</f>
        <v>1</v>
      </c>
      <c r="BB45" s="17" t="n">
        <f aca="false">SQRT(($B45-BB$16)^2+($C45-BB$17)^2+($D45-BB$18)^2)</f>
        <v>1.23929808827999</v>
      </c>
      <c r="BC45" s="17" t="n">
        <f aca="false">SQRT(($B45-BC$16)^2+($C45-BC$17)^2+($D45-BC$18)^2)</f>
        <v>3.44516494484281</v>
      </c>
      <c r="BD45" s="17" t="n">
        <f aca="false">SQRT(($B45-BD$16)^2+($C45-BD$17)^2+($D45-BD$18)^2)</f>
        <v>1.82483463700499</v>
      </c>
      <c r="BE45" s="63" t="n">
        <f aca="false">MATCH(MIN(BB45:BD45),BB45:BD45,0)</f>
        <v>1</v>
      </c>
      <c r="BG45" s="17" t="n">
        <f aca="false">SQRT(($B45-BG$16)^2+($C45-BG$17)^2+($D45-BG$18)^2)</f>
        <v>1.23929808827999</v>
      </c>
      <c r="BH45" s="17" t="n">
        <f aca="false">SQRT(($B45-BH$16)^2+($C45-BH$17)^2+($D45-BH$18)^2)</f>
        <v>3.44516494484281</v>
      </c>
      <c r="BI45" s="17" t="n">
        <f aca="false">SQRT(($B45-BI$16)^2+($C45-BI$17)^2+($D45-BI$18)^2)</f>
        <v>1.82483463700499</v>
      </c>
      <c r="BJ45" s="63" t="n">
        <f aca="false">MATCH(MIN(BG45:BI45),BG45:BI45,0)</f>
        <v>1</v>
      </c>
      <c r="BL45" s="17" t="n">
        <f aca="false">SQRT(($B45-BL$16)^2+($C45-BL$17)^2+($D45-BL$18)^2)</f>
        <v>1.23929808827999</v>
      </c>
      <c r="BM45" s="17" t="n">
        <f aca="false">SQRT(($B45-BM$16)^2+($C45-BM$17)^2+($D45-BM$18)^2)</f>
        <v>3.44516494484281</v>
      </c>
      <c r="BN45" s="17" t="n">
        <f aca="false">SQRT(($B45-BN$16)^2+($C45-BN$17)^2+($D45-BN$18)^2)</f>
        <v>1.82483463700499</v>
      </c>
      <c r="BO45" s="63" t="n">
        <f aca="false">MATCH(MIN(BL45:BN45),BL45:BN45,0)</f>
        <v>1</v>
      </c>
      <c r="BQ45" s="17" t="n">
        <f aca="false">SQRT(($B45-BQ$16)^2+($C45-BQ$17)^2+($D45-BQ$18)^2)</f>
        <v>1.23929808827999</v>
      </c>
      <c r="BR45" s="17" t="n">
        <f aca="false">SQRT(($B45-BR$16)^2+($C45-BR$17)^2+($D45-BR$18)^2)</f>
        <v>3.44516494484281</v>
      </c>
      <c r="BS45" s="17" t="n">
        <f aca="false">SQRT(($B45-BS$16)^2+($C45-BS$17)^2+($D45-BS$18)^2)</f>
        <v>1.82483463700499</v>
      </c>
      <c r="BT45" s="63" t="n">
        <f aca="false">MATCH(MIN(BQ45:BS45),BQ45:BS45,0)</f>
        <v>1</v>
      </c>
      <c r="BV45" s="17" t="n">
        <f aca="false">SQRT(($B45-BV$16)^2+($C45-BV$17)^2+($D45-BV$18)^2)</f>
        <v>1.23929808827999</v>
      </c>
      <c r="BW45" s="17" t="n">
        <f aca="false">SQRT(($B45-BW$16)^2+($C45-BW$17)^2+($D45-BW$18)^2)</f>
        <v>3.44516494484281</v>
      </c>
      <c r="BX45" s="17" t="n">
        <f aca="false">SQRT(($B45-BX$16)^2+($C45-BX$17)^2+($D45-BX$18)^2)</f>
        <v>1.82483463700499</v>
      </c>
      <c r="BY45" s="63" t="n">
        <f aca="false">MATCH(MIN(BV45:BX45),BV45:BX45,0)</f>
        <v>1</v>
      </c>
      <c r="CA45" s="17" t="n">
        <f aca="false">SQRT(($B45-CA$16)^2+($C45-CA$17)^2+($D45-CA$18)^2)</f>
        <v>1.23929808827999</v>
      </c>
      <c r="CB45" s="17" t="n">
        <f aca="false">SQRT(($B45-CB$16)^2+($C45-CB$17)^2+($D45-CB$18)^2)</f>
        <v>3.44516494484281</v>
      </c>
      <c r="CC45" s="17" t="n">
        <f aca="false">SQRT(($B45-CC$16)^2+($C45-CC$17)^2+($D45-CC$18)^2)</f>
        <v>1.82483463700499</v>
      </c>
      <c r="CD45" s="63" t="n">
        <f aca="false">MATCH(MIN(CA45:CC45),CA45:CC45,0)</f>
        <v>1</v>
      </c>
    </row>
    <row r="46" customFormat="false" ht="15" hidden="false" customHeight="false" outlineLevel="0" collapsed="false">
      <c r="A46" s="76" t="n">
        <f aca="false">Phase_Data!A28</f>
        <v>43910</v>
      </c>
      <c r="B46" s="17" t="n">
        <f aca="false">Phase_Data!K28</f>
        <v>-0.547026644231878</v>
      </c>
      <c r="C46" s="17" t="n">
        <f aca="false">Phase_Data!L28</f>
        <v>-0.936847300841807</v>
      </c>
      <c r="D46" s="17" t="n">
        <f aca="false">Phase_Data!M28</f>
        <v>-1.27778805060034</v>
      </c>
      <c r="E46" s="63" t="n">
        <f aca="false">CD46</f>
        <v>1</v>
      </c>
      <c r="F46" s="38" t="n">
        <f aca="false">($B46-INDEX($L$16:$N$16,E46))^2+($C46-INDEX($L$17:$N$17,E46))^2+($D46-INDEX($L$18:$N$18,E46))^2</f>
        <v>0.741974734485268</v>
      </c>
      <c r="G46" s="12" t="str">
        <f aca="false">INDEX($M$5:$M$7,E46)</f>
        <v>Low activity</v>
      </c>
      <c r="X46" s="17" t="n">
        <f aca="false">SQRT(($B46-X$16)^2+($C46-X$17)^2+($D46-X$18)^2)</f>
        <v>1.12019211698648</v>
      </c>
      <c r="Y46" s="17" t="n">
        <f aca="false">SQRT(($B46-Y$16)^2+($C46-Y$17)^2+($D46-Y$18)^2)</f>
        <v>4.17997602328352</v>
      </c>
      <c r="Z46" s="17" t="n">
        <f aca="false">SQRT(($B46-Z$16)^2+($C46-Z$17)^2+($D46-Z$18)^2)</f>
        <v>2.09830647766324</v>
      </c>
      <c r="AA46" s="63" t="n">
        <f aca="false">MATCH(MIN(X46:Z46),X46:Z46,0)</f>
        <v>1</v>
      </c>
      <c r="AC46" s="17" t="n">
        <f aca="false">SQRT(($B46-AC$16)^2+($C46-AC$17)^2+($D46-AC$18)^2)</f>
        <v>0.756714240509635</v>
      </c>
      <c r="AD46" s="17" t="n">
        <f aca="false">SQRT(($B46-AD$16)^2+($C46-AD$17)^2+($D46-AD$18)^2)</f>
        <v>3.28772301518331</v>
      </c>
      <c r="AE46" s="17" t="n">
        <f aca="false">SQRT(($B46-AE$16)^2+($C46-AE$17)^2+($D46-AE$18)^2)</f>
        <v>1.800317278094</v>
      </c>
      <c r="AF46" s="63" t="n">
        <f aca="false">MATCH(MIN(AC46:AE46),AC46:AE46,0)</f>
        <v>1</v>
      </c>
      <c r="AH46" s="17" t="n">
        <f aca="false">SQRT(($B46-AH$16)^2+($C46-AH$17)^2+($D46-AH$18)^2)</f>
        <v>0.822719358930029</v>
      </c>
      <c r="AI46" s="17" t="n">
        <f aca="false">SQRT(($B46-AI$16)^2+($C46-AI$17)^2+($D46-AI$18)^2)</f>
        <v>3.43827644131649</v>
      </c>
      <c r="AJ46" s="17" t="n">
        <f aca="false">SQRT(($B46-AJ$16)^2+($C46-AJ$17)^2+($D46-AJ$18)^2)</f>
        <v>1.81796134937056</v>
      </c>
      <c r="AK46" s="63" t="n">
        <f aca="false">MATCH(MIN(AH46:AJ46),AH46:AJ46,0)</f>
        <v>1</v>
      </c>
      <c r="AM46" s="17" t="n">
        <f aca="false">SQRT(($B46-AM$16)^2+($C46-AM$17)^2+($D46-AM$18)^2)</f>
        <v>0.861379553092171</v>
      </c>
      <c r="AN46" s="17" t="n">
        <f aca="false">SQRT(($B46-AN$16)^2+($C46-AN$17)^2+($D46-AN$18)^2)</f>
        <v>3.46879377951423</v>
      </c>
      <c r="AO46" s="17" t="n">
        <f aca="false">SQRT(($B46-AO$16)^2+($C46-AO$17)^2+($D46-AO$18)^2)</f>
        <v>1.80644874447915</v>
      </c>
      <c r="AP46" s="63" t="n">
        <f aca="false">MATCH(MIN(AM46:AO46),AM46:AO46,0)</f>
        <v>1</v>
      </c>
      <c r="AR46" s="17" t="n">
        <f aca="false">SQRT(($B46-AR$16)^2+($C46-AR$17)^2+($D46-AR$18)^2)</f>
        <v>0.861379553092171</v>
      </c>
      <c r="AS46" s="17" t="n">
        <f aca="false">SQRT(($B46-AS$16)^2+($C46-AS$17)^2+($D46-AS$18)^2)</f>
        <v>3.46879377951423</v>
      </c>
      <c r="AT46" s="17" t="n">
        <f aca="false">SQRT(($B46-AT$16)^2+($C46-AT$17)^2+($D46-AT$18)^2)</f>
        <v>1.80644874447915</v>
      </c>
      <c r="AU46" s="63" t="n">
        <f aca="false">MATCH(MIN(AR46:AT46),AR46:AT46,0)</f>
        <v>1</v>
      </c>
      <c r="AW46" s="17" t="n">
        <f aca="false">SQRT(($B46-AW$16)^2+($C46-AW$17)^2+($D46-AW$18)^2)</f>
        <v>0.861379553092171</v>
      </c>
      <c r="AX46" s="17" t="n">
        <f aca="false">SQRT(($B46-AX$16)^2+($C46-AX$17)^2+($D46-AX$18)^2)</f>
        <v>3.46879377951423</v>
      </c>
      <c r="AY46" s="17" t="n">
        <f aca="false">SQRT(($B46-AY$16)^2+($C46-AY$17)^2+($D46-AY$18)^2)</f>
        <v>1.80644874447915</v>
      </c>
      <c r="AZ46" s="63" t="n">
        <f aca="false">MATCH(MIN(AW46:AY46),AW46:AY46,0)</f>
        <v>1</v>
      </c>
      <c r="BB46" s="17" t="n">
        <f aca="false">SQRT(($B46-BB$16)^2+($C46-BB$17)^2+($D46-BB$18)^2)</f>
        <v>0.861379553092171</v>
      </c>
      <c r="BC46" s="17" t="n">
        <f aca="false">SQRT(($B46-BC$16)^2+($C46-BC$17)^2+($D46-BC$18)^2)</f>
        <v>3.46879377951423</v>
      </c>
      <c r="BD46" s="17" t="n">
        <f aca="false">SQRT(($B46-BD$16)^2+($C46-BD$17)^2+($D46-BD$18)^2)</f>
        <v>1.80644874447915</v>
      </c>
      <c r="BE46" s="63" t="n">
        <f aca="false">MATCH(MIN(BB46:BD46),BB46:BD46,0)</f>
        <v>1</v>
      </c>
      <c r="BG46" s="17" t="n">
        <f aca="false">SQRT(($B46-BG$16)^2+($C46-BG$17)^2+($D46-BG$18)^2)</f>
        <v>0.861379553092171</v>
      </c>
      <c r="BH46" s="17" t="n">
        <f aca="false">SQRT(($B46-BH$16)^2+($C46-BH$17)^2+($D46-BH$18)^2)</f>
        <v>3.46879377951423</v>
      </c>
      <c r="BI46" s="17" t="n">
        <f aca="false">SQRT(($B46-BI$16)^2+($C46-BI$17)^2+($D46-BI$18)^2)</f>
        <v>1.80644874447915</v>
      </c>
      <c r="BJ46" s="63" t="n">
        <f aca="false">MATCH(MIN(BG46:BI46),BG46:BI46,0)</f>
        <v>1</v>
      </c>
      <c r="BL46" s="17" t="n">
        <f aca="false">SQRT(($B46-BL$16)^2+($C46-BL$17)^2+($D46-BL$18)^2)</f>
        <v>0.861379553092171</v>
      </c>
      <c r="BM46" s="17" t="n">
        <f aca="false">SQRT(($B46-BM$16)^2+($C46-BM$17)^2+($D46-BM$18)^2)</f>
        <v>3.46879377951423</v>
      </c>
      <c r="BN46" s="17" t="n">
        <f aca="false">SQRT(($B46-BN$16)^2+($C46-BN$17)^2+($D46-BN$18)^2)</f>
        <v>1.80644874447915</v>
      </c>
      <c r="BO46" s="63" t="n">
        <f aca="false">MATCH(MIN(BL46:BN46),BL46:BN46,0)</f>
        <v>1</v>
      </c>
      <c r="BQ46" s="17" t="n">
        <f aca="false">SQRT(($B46-BQ$16)^2+($C46-BQ$17)^2+($D46-BQ$18)^2)</f>
        <v>0.861379553092171</v>
      </c>
      <c r="BR46" s="17" t="n">
        <f aca="false">SQRT(($B46-BR$16)^2+($C46-BR$17)^2+($D46-BR$18)^2)</f>
        <v>3.46879377951423</v>
      </c>
      <c r="BS46" s="17" t="n">
        <f aca="false">SQRT(($B46-BS$16)^2+($C46-BS$17)^2+($D46-BS$18)^2)</f>
        <v>1.80644874447915</v>
      </c>
      <c r="BT46" s="63" t="n">
        <f aca="false">MATCH(MIN(BQ46:BS46),BQ46:BS46,0)</f>
        <v>1</v>
      </c>
      <c r="BV46" s="17" t="n">
        <f aca="false">SQRT(($B46-BV$16)^2+($C46-BV$17)^2+($D46-BV$18)^2)</f>
        <v>0.861379553092171</v>
      </c>
      <c r="BW46" s="17" t="n">
        <f aca="false">SQRT(($B46-BW$16)^2+($C46-BW$17)^2+($D46-BW$18)^2)</f>
        <v>3.46879377951423</v>
      </c>
      <c r="BX46" s="17" t="n">
        <f aca="false">SQRT(($B46-BX$16)^2+($C46-BX$17)^2+($D46-BX$18)^2)</f>
        <v>1.80644874447915</v>
      </c>
      <c r="BY46" s="63" t="n">
        <f aca="false">MATCH(MIN(BV46:BX46),BV46:BX46,0)</f>
        <v>1</v>
      </c>
      <c r="CA46" s="17" t="n">
        <f aca="false">SQRT(($B46-CA$16)^2+($C46-CA$17)^2+($D46-CA$18)^2)</f>
        <v>0.861379553092171</v>
      </c>
      <c r="CB46" s="17" t="n">
        <f aca="false">SQRT(($B46-CB$16)^2+($C46-CB$17)^2+($D46-CB$18)^2)</f>
        <v>3.46879377951423</v>
      </c>
      <c r="CC46" s="17" t="n">
        <f aca="false">SQRT(($B46-CC$16)^2+($C46-CC$17)^2+($D46-CC$18)^2)</f>
        <v>1.80644874447915</v>
      </c>
      <c r="CD46" s="63" t="n">
        <f aca="false">MATCH(MIN(CA46:CC46),CA46:CC46,0)</f>
        <v>1</v>
      </c>
    </row>
    <row r="47" customFormat="false" ht="15" hidden="false" customHeight="false" outlineLevel="0" collapsed="false">
      <c r="A47" s="76" t="n">
        <f aca="false">Phase_Data!A29</f>
        <v>43911</v>
      </c>
      <c r="B47" s="17" t="n">
        <f aca="false">Phase_Data!K29</f>
        <v>-0.158293120352909</v>
      </c>
      <c r="C47" s="17" t="n">
        <f aca="false">Phase_Data!L29</f>
        <v>-1.40749747652815</v>
      </c>
      <c r="D47" s="17" t="n">
        <f aca="false">Phase_Data!M29</f>
        <v>-0.742763171490007</v>
      </c>
      <c r="E47" s="63" t="n">
        <f aca="false">CD47</f>
        <v>1</v>
      </c>
      <c r="F47" s="38" t="n">
        <f aca="false">($B47-INDEX($L$16:$N$16,E47))^2+($C47-INDEX($L$17:$N$17,E47))^2+($D47-INDEX($L$18:$N$18,E47))^2</f>
        <v>1.57117871267762</v>
      </c>
      <c r="G47" s="12" t="str">
        <f aca="false">INDEX($M$5:$M$7,E47)</f>
        <v>Low activity</v>
      </c>
      <c r="X47" s="17" t="n">
        <f aca="false">SQRT(($B47-X$16)^2+($C47-X$17)^2+($D47-X$18)^2)</f>
        <v>1.50366127076256</v>
      </c>
      <c r="Y47" s="17" t="n">
        <f aca="false">SQRT(($B47-Y$16)^2+($C47-Y$17)^2+($D47-Y$18)^2)</f>
        <v>3.98824850872452</v>
      </c>
      <c r="Z47" s="17" t="n">
        <f aca="false">SQRT(($B47-Z$16)^2+($C47-Z$17)^2+($D47-Z$18)^2)</f>
        <v>2.39501709722804</v>
      </c>
      <c r="AA47" s="63" t="n">
        <f aca="false">MATCH(MIN(X47:Z47),X47:Z47,0)</f>
        <v>1</v>
      </c>
      <c r="AC47" s="17" t="n">
        <f aca="false">SQRT(($B47-AC$16)^2+($C47-AC$17)^2+($D47-AC$18)^2)</f>
        <v>1.13148071091135</v>
      </c>
      <c r="AD47" s="17" t="n">
        <f aca="false">SQRT(($B47-AD$16)^2+($C47-AD$17)^2+($D47-AD$18)^2)</f>
        <v>3.11225329100019</v>
      </c>
      <c r="AE47" s="17" t="n">
        <f aca="false">SQRT(($B47-AE$16)^2+($C47-AE$17)^2+($D47-AE$18)^2)</f>
        <v>1.74350454306682</v>
      </c>
      <c r="AF47" s="63" t="n">
        <f aca="false">MATCH(MIN(AC47:AE47),AC47:AE47,0)</f>
        <v>1</v>
      </c>
      <c r="AH47" s="17" t="n">
        <f aca="false">SQRT(($B47-AH$16)^2+($C47-AH$17)^2+($D47-AH$18)^2)</f>
        <v>1.21016578327428</v>
      </c>
      <c r="AI47" s="17" t="n">
        <f aca="false">SQRT(($B47-AI$16)^2+($C47-AI$17)^2+($D47-AI$18)^2)</f>
        <v>3.26727364625539</v>
      </c>
      <c r="AJ47" s="17" t="n">
        <f aca="false">SQRT(($B47-AJ$16)^2+($C47-AJ$17)^2+($D47-AJ$18)^2)</f>
        <v>1.72957306385059</v>
      </c>
      <c r="AK47" s="63" t="n">
        <f aca="false">MATCH(MIN(AH47:AJ47),AH47:AJ47,0)</f>
        <v>1</v>
      </c>
      <c r="AM47" s="17" t="n">
        <f aca="false">SQRT(($B47-AM$16)^2+($C47-AM$17)^2+($D47-AM$18)^2)</f>
        <v>1.2534666779287</v>
      </c>
      <c r="AN47" s="17" t="n">
        <f aca="false">SQRT(($B47-AN$16)^2+($C47-AN$17)^2+($D47-AN$18)^2)</f>
        <v>3.30102377322332</v>
      </c>
      <c r="AO47" s="17" t="n">
        <f aca="false">SQRT(($B47-AO$16)^2+($C47-AO$17)^2+($D47-AO$18)^2)</f>
        <v>1.70876382155182</v>
      </c>
      <c r="AP47" s="63" t="n">
        <f aca="false">MATCH(MIN(AM47:AO47),AM47:AO47,0)</f>
        <v>1</v>
      </c>
      <c r="AR47" s="17" t="n">
        <f aca="false">SQRT(($B47-AR$16)^2+($C47-AR$17)^2+($D47-AR$18)^2)</f>
        <v>1.2534666779287</v>
      </c>
      <c r="AS47" s="17" t="n">
        <f aca="false">SQRT(($B47-AS$16)^2+($C47-AS$17)^2+($D47-AS$18)^2)</f>
        <v>3.30102377322332</v>
      </c>
      <c r="AT47" s="17" t="n">
        <f aca="false">SQRT(($B47-AT$16)^2+($C47-AT$17)^2+($D47-AT$18)^2)</f>
        <v>1.70876382155182</v>
      </c>
      <c r="AU47" s="63" t="n">
        <f aca="false">MATCH(MIN(AR47:AT47),AR47:AT47,0)</f>
        <v>1</v>
      </c>
      <c r="AW47" s="17" t="n">
        <f aca="false">SQRT(($B47-AW$16)^2+($C47-AW$17)^2+($D47-AW$18)^2)</f>
        <v>1.2534666779287</v>
      </c>
      <c r="AX47" s="17" t="n">
        <f aca="false">SQRT(($B47-AX$16)^2+($C47-AX$17)^2+($D47-AX$18)^2)</f>
        <v>3.30102377322332</v>
      </c>
      <c r="AY47" s="17" t="n">
        <f aca="false">SQRT(($B47-AY$16)^2+($C47-AY$17)^2+($D47-AY$18)^2)</f>
        <v>1.70876382155182</v>
      </c>
      <c r="AZ47" s="63" t="n">
        <f aca="false">MATCH(MIN(AW47:AY47),AW47:AY47,0)</f>
        <v>1</v>
      </c>
      <c r="BB47" s="17" t="n">
        <f aca="false">SQRT(($B47-BB$16)^2+($C47-BB$17)^2+($D47-BB$18)^2)</f>
        <v>1.2534666779287</v>
      </c>
      <c r="BC47" s="17" t="n">
        <f aca="false">SQRT(($B47-BC$16)^2+($C47-BC$17)^2+($D47-BC$18)^2)</f>
        <v>3.30102377322332</v>
      </c>
      <c r="BD47" s="17" t="n">
        <f aca="false">SQRT(($B47-BD$16)^2+($C47-BD$17)^2+($D47-BD$18)^2)</f>
        <v>1.70876382155182</v>
      </c>
      <c r="BE47" s="63" t="n">
        <f aca="false">MATCH(MIN(BB47:BD47),BB47:BD47,0)</f>
        <v>1</v>
      </c>
      <c r="BG47" s="17" t="n">
        <f aca="false">SQRT(($B47-BG$16)^2+($C47-BG$17)^2+($D47-BG$18)^2)</f>
        <v>1.2534666779287</v>
      </c>
      <c r="BH47" s="17" t="n">
        <f aca="false">SQRT(($B47-BH$16)^2+($C47-BH$17)^2+($D47-BH$18)^2)</f>
        <v>3.30102377322332</v>
      </c>
      <c r="BI47" s="17" t="n">
        <f aca="false">SQRT(($B47-BI$16)^2+($C47-BI$17)^2+($D47-BI$18)^2)</f>
        <v>1.70876382155182</v>
      </c>
      <c r="BJ47" s="63" t="n">
        <f aca="false">MATCH(MIN(BG47:BI47),BG47:BI47,0)</f>
        <v>1</v>
      </c>
      <c r="BL47" s="17" t="n">
        <f aca="false">SQRT(($B47-BL$16)^2+($C47-BL$17)^2+($D47-BL$18)^2)</f>
        <v>1.2534666779287</v>
      </c>
      <c r="BM47" s="17" t="n">
        <f aca="false">SQRT(($B47-BM$16)^2+($C47-BM$17)^2+($D47-BM$18)^2)</f>
        <v>3.30102377322332</v>
      </c>
      <c r="BN47" s="17" t="n">
        <f aca="false">SQRT(($B47-BN$16)^2+($C47-BN$17)^2+($D47-BN$18)^2)</f>
        <v>1.70876382155182</v>
      </c>
      <c r="BO47" s="63" t="n">
        <f aca="false">MATCH(MIN(BL47:BN47),BL47:BN47,0)</f>
        <v>1</v>
      </c>
      <c r="BQ47" s="17" t="n">
        <f aca="false">SQRT(($B47-BQ$16)^2+($C47-BQ$17)^2+($D47-BQ$18)^2)</f>
        <v>1.2534666779287</v>
      </c>
      <c r="BR47" s="17" t="n">
        <f aca="false">SQRT(($B47-BR$16)^2+($C47-BR$17)^2+($D47-BR$18)^2)</f>
        <v>3.30102377322332</v>
      </c>
      <c r="BS47" s="17" t="n">
        <f aca="false">SQRT(($B47-BS$16)^2+($C47-BS$17)^2+($D47-BS$18)^2)</f>
        <v>1.70876382155182</v>
      </c>
      <c r="BT47" s="63" t="n">
        <f aca="false">MATCH(MIN(BQ47:BS47),BQ47:BS47,0)</f>
        <v>1</v>
      </c>
      <c r="BV47" s="17" t="n">
        <f aca="false">SQRT(($B47-BV$16)^2+($C47-BV$17)^2+($D47-BV$18)^2)</f>
        <v>1.2534666779287</v>
      </c>
      <c r="BW47" s="17" t="n">
        <f aca="false">SQRT(($B47-BW$16)^2+($C47-BW$17)^2+($D47-BW$18)^2)</f>
        <v>3.30102377322332</v>
      </c>
      <c r="BX47" s="17" t="n">
        <f aca="false">SQRT(($B47-BX$16)^2+($C47-BX$17)^2+($D47-BX$18)^2)</f>
        <v>1.70876382155182</v>
      </c>
      <c r="BY47" s="63" t="n">
        <f aca="false">MATCH(MIN(BV47:BX47),BV47:BX47,0)</f>
        <v>1</v>
      </c>
      <c r="CA47" s="17" t="n">
        <f aca="false">SQRT(($B47-CA$16)^2+($C47-CA$17)^2+($D47-CA$18)^2)</f>
        <v>1.2534666779287</v>
      </c>
      <c r="CB47" s="17" t="n">
        <f aca="false">SQRT(($B47-CB$16)^2+($C47-CB$17)^2+($D47-CB$18)^2)</f>
        <v>3.30102377322332</v>
      </c>
      <c r="CC47" s="17" t="n">
        <f aca="false">SQRT(($B47-CC$16)^2+($C47-CC$17)^2+($D47-CC$18)^2)</f>
        <v>1.70876382155182</v>
      </c>
      <c r="CD47" s="63" t="n">
        <f aca="false">MATCH(MIN(CA47:CC47),CA47:CC47,0)</f>
        <v>1</v>
      </c>
    </row>
    <row r="48" customFormat="false" ht="15" hidden="false" customHeight="false" outlineLevel="0" collapsed="false">
      <c r="A48" s="76" t="n">
        <f aca="false">Phase_Data!A30</f>
        <v>43912</v>
      </c>
      <c r="B48" s="17" t="n">
        <f aca="false">Phase_Data!K30</f>
        <v>-0.236461024224873</v>
      </c>
      <c r="C48" s="17" t="n">
        <f aca="false">Phase_Data!L30</f>
        <v>-0.936847300841807</v>
      </c>
      <c r="D48" s="17" t="n">
        <f aca="false">Phase_Data!M30</f>
        <v>-1.27778805060034</v>
      </c>
      <c r="E48" s="63" t="n">
        <f aca="false">CD48</f>
        <v>1</v>
      </c>
      <c r="F48" s="38" t="n">
        <f aca="false">($B48-INDEX($L$16:$N$16,E48))^2+($C48-INDEX($L$17:$N$17,E48))^2+($D48-INDEX($L$18:$N$18,E48))^2</f>
        <v>1.32134026353189</v>
      </c>
      <c r="G48" s="12" t="str">
        <f aca="false">INDEX($M$5:$M$7,E48)</f>
        <v>Low activity</v>
      </c>
      <c r="X48" s="17" t="n">
        <f aca="false">SQRT(($B48-X$16)^2+($C48-X$17)^2+($D48-X$18)^2)</f>
        <v>1.40807510738713</v>
      </c>
      <c r="Y48" s="17" t="n">
        <f aca="false">SQRT(($B48-Y$16)^2+($C48-Y$17)^2+($D48-Y$18)^2)</f>
        <v>4.05857303824966</v>
      </c>
      <c r="Z48" s="17" t="n">
        <f aca="false">SQRT(($B48-Z$16)^2+($C48-Z$17)^2+($D48-Z$18)^2)</f>
        <v>1.93607366842753</v>
      </c>
      <c r="AA48" s="63" t="n">
        <f aca="false">MATCH(MIN(X48:Z48),X48:Z48,0)</f>
        <v>1</v>
      </c>
      <c r="AC48" s="17" t="n">
        <f aca="false">SQRT(($B48-AC$16)^2+($C48-AC$17)^2+($D48-AC$18)^2)</f>
        <v>1.04119611242912</v>
      </c>
      <c r="AD48" s="17" t="n">
        <f aca="false">SQRT(($B48-AD$16)^2+($C48-AD$17)^2+($D48-AD$18)^2)</f>
        <v>3.17539349214791</v>
      </c>
      <c r="AE48" s="17" t="n">
        <f aca="false">SQRT(($B48-AE$16)^2+($C48-AE$17)^2+($D48-AE$18)^2)</f>
        <v>1.67619119265905</v>
      </c>
      <c r="AF48" s="63" t="n">
        <f aca="false">MATCH(MIN(AC48:AE48),AC48:AE48,0)</f>
        <v>1</v>
      </c>
      <c r="AH48" s="17" t="n">
        <f aca="false">SQRT(($B48-AH$16)^2+($C48-AH$17)^2+($D48-AH$18)^2)</f>
        <v>1.10970565555431</v>
      </c>
      <c r="AI48" s="17" t="n">
        <f aca="false">SQRT(($B48-AI$16)^2+($C48-AI$17)^2+($D48-AI$18)^2)</f>
        <v>3.32290787365292</v>
      </c>
      <c r="AJ48" s="17" t="n">
        <f aca="false">SQRT(($B48-AJ$16)^2+($C48-AJ$17)^2+($D48-AJ$18)^2)</f>
        <v>1.70145724439561</v>
      </c>
      <c r="AK48" s="63" t="n">
        <f aca="false">MATCH(MIN(AH48:AJ48),AH48:AJ48,0)</f>
        <v>1</v>
      </c>
      <c r="AM48" s="17" t="n">
        <f aca="false">SQRT(($B48-AM$16)^2+($C48-AM$17)^2+($D48-AM$18)^2)</f>
        <v>1.14949565616051</v>
      </c>
      <c r="AN48" s="17" t="n">
        <f aca="false">SQRT(($B48-AN$16)^2+($C48-AN$17)^2+($D48-AN$18)^2)</f>
        <v>3.35324127715221</v>
      </c>
      <c r="AO48" s="17" t="n">
        <f aca="false">SQRT(($B48-AO$16)^2+($C48-AO$17)^2+($D48-AO$18)^2)</f>
        <v>1.69022507197772</v>
      </c>
      <c r="AP48" s="63" t="n">
        <f aca="false">MATCH(MIN(AM48:AO48),AM48:AO48,0)</f>
        <v>1</v>
      </c>
      <c r="AR48" s="17" t="n">
        <f aca="false">SQRT(($B48-AR$16)^2+($C48-AR$17)^2+($D48-AR$18)^2)</f>
        <v>1.14949565616051</v>
      </c>
      <c r="AS48" s="17" t="n">
        <f aca="false">SQRT(($B48-AS$16)^2+($C48-AS$17)^2+($D48-AS$18)^2)</f>
        <v>3.35324127715221</v>
      </c>
      <c r="AT48" s="17" t="n">
        <f aca="false">SQRT(($B48-AT$16)^2+($C48-AT$17)^2+($D48-AT$18)^2)</f>
        <v>1.69022507197772</v>
      </c>
      <c r="AU48" s="63" t="n">
        <f aca="false">MATCH(MIN(AR48:AT48),AR48:AT48,0)</f>
        <v>1</v>
      </c>
      <c r="AW48" s="17" t="n">
        <f aca="false">SQRT(($B48-AW$16)^2+($C48-AW$17)^2+($D48-AW$18)^2)</f>
        <v>1.14949565616051</v>
      </c>
      <c r="AX48" s="17" t="n">
        <f aca="false">SQRT(($B48-AX$16)^2+($C48-AX$17)^2+($D48-AX$18)^2)</f>
        <v>3.35324127715221</v>
      </c>
      <c r="AY48" s="17" t="n">
        <f aca="false">SQRT(($B48-AY$16)^2+($C48-AY$17)^2+($D48-AY$18)^2)</f>
        <v>1.69022507197772</v>
      </c>
      <c r="AZ48" s="63" t="n">
        <f aca="false">MATCH(MIN(AW48:AY48),AW48:AY48,0)</f>
        <v>1</v>
      </c>
      <c r="BB48" s="17" t="n">
        <f aca="false">SQRT(($B48-BB$16)^2+($C48-BB$17)^2+($D48-BB$18)^2)</f>
        <v>1.14949565616051</v>
      </c>
      <c r="BC48" s="17" t="n">
        <f aca="false">SQRT(($B48-BC$16)^2+($C48-BC$17)^2+($D48-BC$18)^2)</f>
        <v>3.35324127715221</v>
      </c>
      <c r="BD48" s="17" t="n">
        <f aca="false">SQRT(($B48-BD$16)^2+($C48-BD$17)^2+($D48-BD$18)^2)</f>
        <v>1.69022507197772</v>
      </c>
      <c r="BE48" s="63" t="n">
        <f aca="false">MATCH(MIN(BB48:BD48),BB48:BD48,0)</f>
        <v>1</v>
      </c>
      <c r="BG48" s="17" t="n">
        <f aca="false">SQRT(($B48-BG$16)^2+($C48-BG$17)^2+($D48-BG$18)^2)</f>
        <v>1.14949565616051</v>
      </c>
      <c r="BH48" s="17" t="n">
        <f aca="false">SQRT(($B48-BH$16)^2+($C48-BH$17)^2+($D48-BH$18)^2)</f>
        <v>3.35324127715221</v>
      </c>
      <c r="BI48" s="17" t="n">
        <f aca="false">SQRT(($B48-BI$16)^2+($C48-BI$17)^2+($D48-BI$18)^2)</f>
        <v>1.69022507197772</v>
      </c>
      <c r="BJ48" s="63" t="n">
        <f aca="false">MATCH(MIN(BG48:BI48),BG48:BI48,0)</f>
        <v>1</v>
      </c>
      <c r="BL48" s="17" t="n">
        <f aca="false">SQRT(($B48-BL$16)^2+($C48-BL$17)^2+($D48-BL$18)^2)</f>
        <v>1.14949565616051</v>
      </c>
      <c r="BM48" s="17" t="n">
        <f aca="false">SQRT(($B48-BM$16)^2+($C48-BM$17)^2+($D48-BM$18)^2)</f>
        <v>3.35324127715221</v>
      </c>
      <c r="BN48" s="17" t="n">
        <f aca="false">SQRT(($B48-BN$16)^2+($C48-BN$17)^2+($D48-BN$18)^2)</f>
        <v>1.69022507197772</v>
      </c>
      <c r="BO48" s="63" t="n">
        <f aca="false">MATCH(MIN(BL48:BN48),BL48:BN48,0)</f>
        <v>1</v>
      </c>
      <c r="BQ48" s="17" t="n">
        <f aca="false">SQRT(($B48-BQ$16)^2+($C48-BQ$17)^2+($D48-BQ$18)^2)</f>
        <v>1.14949565616051</v>
      </c>
      <c r="BR48" s="17" t="n">
        <f aca="false">SQRT(($B48-BR$16)^2+($C48-BR$17)^2+($D48-BR$18)^2)</f>
        <v>3.35324127715221</v>
      </c>
      <c r="BS48" s="17" t="n">
        <f aca="false">SQRT(($B48-BS$16)^2+($C48-BS$17)^2+($D48-BS$18)^2)</f>
        <v>1.69022507197772</v>
      </c>
      <c r="BT48" s="63" t="n">
        <f aca="false">MATCH(MIN(BQ48:BS48),BQ48:BS48,0)</f>
        <v>1</v>
      </c>
      <c r="BV48" s="17" t="n">
        <f aca="false">SQRT(($B48-BV$16)^2+($C48-BV$17)^2+($D48-BV$18)^2)</f>
        <v>1.14949565616051</v>
      </c>
      <c r="BW48" s="17" t="n">
        <f aca="false">SQRT(($B48-BW$16)^2+($C48-BW$17)^2+($D48-BW$18)^2)</f>
        <v>3.35324127715221</v>
      </c>
      <c r="BX48" s="17" t="n">
        <f aca="false">SQRT(($B48-BX$16)^2+($C48-BX$17)^2+($D48-BX$18)^2)</f>
        <v>1.69022507197772</v>
      </c>
      <c r="BY48" s="63" t="n">
        <f aca="false">MATCH(MIN(BV48:BX48),BV48:BX48,0)</f>
        <v>1</v>
      </c>
      <c r="CA48" s="17" t="n">
        <f aca="false">SQRT(($B48-CA$16)^2+($C48-CA$17)^2+($D48-CA$18)^2)</f>
        <v>1.14949565616051</v>
      </c>
      <c r="CB48" s="17" t="n">
        <f aca="false">SQRT(($B48-CB$16)^2+($C48-CB$17)^2+($D48-CB$18)^2)</f>
        <v>3.35324127715221</v>
      </c>
      <c r="CC48" s="17" t="n">
        <f aca="false">SQRT(($B48-CC$16)^2+($C48-CC$17)^2+($D48-CC$18)^2)</f>
        <v>1.69022507197772</v>
      </c>
      <c r="CD48" s="63" t="n">
        <f aca="false">MATCH(MIN(CA48:CC48),CA48:CC48,0)</f>
        <v>1</v>
      </c>
    </row>
    <row r="49" customFormat="false" ht="15" hidden="false" customHeight="false" outlineLevel="0" collapsed="false">
      <c r="A49" s="76" t="n">
        <f aca="false">Phase_Data!A31</f>
        <v>43913</v>
      </c>
      <c r="B49" s="17" t="n">
        <f aca="false">Phase_Data!K31</f>
        <v>-0.352543914163024</v>
      </c>
      <c r="C49" s="17" t="n">
        <f aca="false">Phase_Data!L31</f>
        <v>-0.936847300841807</v>
      </c>
      <c r="D49" s="17" t="n">
        <f aca="false">Phase_Data!M31</f>
        <v>-1.27778805060034</v>
      </c>
      <c r="E49" s="63" t="n">
        <f aca="false">CD49</f>
        <v>1</v>
      </c>
      <c r="F49" s="38" t="n">
        <f aca="false">($B49-INDEX($L$16:$N$16,E49))^2+($C49-INDEX($L$17:$N$17,E49))^2+($D49-INDEX($L$18:$N$18,E49))^2</f>
        <v>1.08220950970735</v>
      </c>
      <c r="G49" s="12" t="str">
        <f aca="false">INDEX($M$5:$M$7,E49)</f>
        <v>Low activity</v>
      </c>
      <c r="X49" s="17" t="n">
        <f aca="false">SQRT(($B49-X$16)^2+($C49-X$17)^2+($D49-X$18)^2)</f>
        <v>1.29924832341482</v>
      </c>
      <c r="Y49" s="17" t="n">
        <f aca="false">SQRT(($B49-Y$16)^2+($C49-Y$17)^2+($D49-Y$18)^2)</f>
        <v>4.10162003089502</v>
      </c>
      <c r="Z49" s="17" t="n">
        <f aca="false">SQRT(($B49-Z$16)^2+($C49-Z$17)^2+($D49-Z$18)^2)</f>
        <v>1.99259799018336</v>
      </c>
      <c r="AA49" s="63" t="n">
        <f aca="false">MATCH(MIN(X49:Z49),X49:Z49,0)</f>
        <v>1</v>
      </c>
      <c r="AC49" s="17" t="n">
        <f aca="false">SQRT(($B49-AC$16)^2+($C49-AC$17)^2+($D49-AC$18)^2)</f>
        <v>0.932917694641211</v>
      </c>
      <c r="AD49" s="17" t="n">
        <f aca="false">SQRT(($B49-AD$16)^2+($C49-AD$17)^2+($D49-AD$18)^2)</f>
        <v>3.21432897763489</v>
      </c>
      <c r="AE49" s="17" t="n">
        <f aca="false">SQRT(($B49-AE$16)^2+($C49-AE$17)^2+($D49-AE$18)^2)</f>
        <v>1.71707189752061</v>
      </c>
      <c r="AF49" s="63" t="n">
        <f aca="false">MATCH(MIN(AC49:AE49),AC49:AE49,0)</f>
        <v>1</v>
      </c>
      <c r="AH49" s="17" t="n">
        <f aca="false">SQRT(($B49-AH$16)^2+($C49-AH$17)^2+($D49-AH$18)^2)</f>
        <v>1.00078988031328</v>
      </c>
      <c r="AI49" s="17" t="n">
        <f aca="false">SQRT(($B49-AI$16)^2+($C49-AI$17)^2+($D49-AI$18)^2)</f>
        <v>3.36313822475501</v>
      </c>
      <c r="AJ49" s="17" t="n">
        <f aca="false">SQRT(($B49-AJ$16)^2+($C49-AJ$17)^2+($D49-AJ$18)^2)</f>
        <v>1.73943668745333</v>
      </c>
      <c r="AK49" s="63" t="n">
        <f aca="false">MATCH(MIN(AH49:AJ49),AH49:AJ49,0)</f>
        <v>1</v>
      </c>
      <c r="AM49" s="17" t="n">
        <f aca="false">SQRT(($B49-AM$16)^2+($C49-AM$17)^2+($D49-AM$18)^2)</f>
        <v>1.04029299224178</v>
      </c>
      <c r="AN49" s="17" t="n">
        <f aca="false">SQRT(($B49-AN$16)^2+($C49-AN$17)^2+($D49-AN$18)^2)</f>
        <v>3.39356775274325</v>
      </c>
      <c r="AO49" s="17" t="n">
        <f aca="false">SQRT(($B49-AO$16)^2+($C49-AO$17)^2+($D49-AO$18)^2)</f>
        <v>1.7280587509563</v>
      </c>
      <c r="AP49" s="63" t="n">
        <f aca="false">MATCH(MIN(AM49:AO49),AM49:AO49,0)</f>
        <v>1</v>
      </c>
      <c r="AR49" s="17" t="n">
        <f aca="false">SQRT(($B49-AR$16)^2+($C49-AR$17)^2+($D49-AR$18)^2)</f>
        <v>1.04029299224178</v>
      </c>
      <c r="AS49" s="17" t="n">
        <f aca="false">SQRT(($B49-AS$16)^2+($C49-AS$17)^2+($D49-AS$18)^2)</f>
        <v>3.39356775274325</v>
      </c>
      <c r="AT49" s="17" t="n">
        <f aca="false">SQRT(($B49-AT$16)^2+($C49-AT$17)^2+($D49-AT$18)^2)</f>
        <v>1.7280587509563</v>
      </c>
      <c r="AU49" s="63" t="n">
        <f aca="false">MATCH(MIN(AR49:AT49),AR49:AT49,0)</f>
        <v>1</v>
      </c>
      <c r="AW49" s="17" t="n">
        <f aca="false">SQRT(($B49-AW$16)^2+($C49-AW$17)^2+($D49-AW$18)^2)</f>
        <v>1.04029299224178</v>
      </c>
      <c r="AX49" s="17" t="n">
        <f aca="false">SQRT(($B49-AX$16)^2+($C49-AX$17)^2+($D49-AX$18)^2)</f>
        <v>3.39356775274325</v>
      </c>
      <c r="AY49" s="17" t="n">
        <f aca="false">SQRT(($B49-AY$16)^2+($C49-AY$17)^2+($D49-AY$18)^2)</f>
        <v>1.7280587509563</v>
      </c>
      <c r="AZ49" s="63" t="n">
        <f aca="false">MATCH(MIN(AW49:AY49),AW49:AY49,0)</f>
        <v>1</v>
      </c>
      <c r="BB49" s="17" t="n">
        <f aca="false">SQRT(($B49-BB$16)^2+($C49-BB$17)^2+($D49-BB$18)^2)</f>
        <v>1.04029299224178</v>
      </c>
      <c r="BC49" s="17" t="n">
        <f aca="false">SQRT(($B49-BC$16)^2+($C49-BC$17)^2+($D49-BC$18)^2)</f>
        <v>3.39356775274325</v>
      </c>
      <c r="BD49" s="17" t="n">
        <f aca="false">SQRT(($B49-BD$16)^2+($C49-BD$17)^2+($D49-BD$18)^2)</f>
        <v>1.7280587509563</v>
      </c>
      <c r="BE49" s="63" t="n">
        <f aca="false">MATCH(MIN(BB49:BD49),BB49:BD49,0)</f>
        <v>1</v>
      </c>
      <c r="BG49" s="17" t="n">
        <f aca="false">SQRT(($B49-BG$16)^2+($C49-BG$17)^2+($D49-BG$18)^2)</f>
        <v>1.04029299224178</v>
      </c>
      <c r="BH49" s="17" t="n">
        <f aca="false">SQRT(($B49-BH$16)^2+($C49-BH$17)^2+($D49-BH$18)^2)</f>
        <v>3.39356775274325</v>
      </c>
      <c r="BI49" s="17" t="n">
        <f aca="false">SQRT(($B49-BI$16)^2+($C49-BI$17)^2+($D49-BI$18)^2)</f>
        <v>1.7280587509563</v>
      </c>
      <c r="BJ49" s="63" t="n">
        <f aca="false">MATCH(MIN(BG49:BI49),BG49:BI49,0)</f>
        <v>1</v>
      </c>
      <c r="BL49" s="17" t="n">
        <f aca="false">SQRT(($B49-BL$16)^2+($C49-BL$17)^2+($D49-BL$18)^2)</f>
        <v>1.04029299224178</v>
      </c>
      <c r="BM49" s="17" t="n">
        <f aca="false">SQRT(($B49-BM$16)^2+($C49-BM$17)^2+($D49-BM$18)^2)</f>
        <v>3.39356775274325</v>
      </c>
      <c r="BN49" s="17" t="n">
        <f aca="false">SQRT(($B49-BN$16)^2+($C49-BN$17)^2+($D49-BN$18)^2)</f>
        <v>1.7280587509563</v>
      </c>
      <c r="BO49" s="63" t="n">
        <f aca="false">MATCH(MIN(BL49:BN49),BL49:BN49,0)</f>
        <v>1</v>
      </c>
      <c r="BQ49" s="17" t="n">
        <f aca="false">SQRT(($B49-BQ$16)^2+($C49-BQ$17)^2+($D49-BQ$18)^2)</f>
        <v>1.04029299224178</v>
      </c>
      <c r="BR49" s="17" t="n">
        <f aca="false">SQRT(($B49-BR$16)^2+($C49-BR$17)^2+($D49-BR$18)^2)</f>
        <v>3.39356775274325</v>
      </c>
      <c r="BS49" s="17" t="n">
        <f aca="false">SQRT(($B49-BS$16)^2+($C49-BS$17)^2+($D49-BS$18)^2)</f>
        <v>1.7280587509563</v>
      </c>
      <c r="BT49" s="63" t="n">
        <f aca="false">MATCH(MIN(BQ49:BS49),BQ49:BS49,0)</f>
        <v>1</v>
      </c>
      <c r="BV49" s="17" t="n">
        <f aca="false">SQRT(($B49-BV$16)^2+($C49-BV$17)^2+($D49-BV$18)^2)</f>
        <v>1.04029299224178</v>
      </c>
      <c r="BW49" s="17" t="n">
        <f aca="false">SQRT(($B49-BW$16)^2+($C49-BW$17)^2+($D49-BW$18)^2)</f>
        <v>3.39356775274325</v>
      </c>
      <c r="BX49" s="17" t="n">
        <f aca="false">SQRT(($B49-BX$16)^2+($C49-BX$17)^2+($D49-BX$18)^2)</f>
        <v>1.7280587509563</v>
      </c>
      <c r="BY49" s="63" t="n">
        <f aca="false">MATCH(MIN(BV49:BX49),BV49:BX49,0)</f>
        <v>1</v>
      </c>
      <c r="CA49" s="17" t="n">
        <f aca="false">SQRT(($B49-CA$16)^2+($C49-CA$17)^2+($D49-CA$18)^2)</f>
        <v>1.04029299224178</v>
      </c>
      <c r="CB49" s="17" t="n">
        <f aca="false">SQRT(($B49-CB$16)^2+($C49-CB$17)^2+($D49-CB$18)^2)</f>
        <v>3.39356775274325</v>
      </c>
      <c r="CC49" s="17" t="n">
        <f aca="false">SQRT(($B49-CC$16)^2+($C49-CC$17)^2+($D49-CC$18)^2)</f>
        <v>1.7280587509563</v>
      </c>
      <c r="CD49" s="63" t="n">
        <f aca="false">MATCH(MIN(CA49:CC49),CA49:CC49,0)</f>
        <v>1</v>
      </c>
    </row>
    <row r="50" customFormat="false" ht="15" hidden="false" customHeight="false" outlineLevel="0" collapsed="false">
      <c r="A50" s="76" t="n">
        <f aca="false">Phase_Data!A32</f>
        <v>43914</v>
      </c>
      <c r="B50" s="17" t="n">
        <f aca="false">Phase_Data!K32</f>
        <v>-0.22232375170766</v>
      </c>
      <c r="C50" s="17" t="n">
        <f aca="false">Phase_Data!L32</f>
        <v>-0.936847300841807</v>
      </c>
      <c r="D50" s="17" t="n">
        <f aca="false">Phase_Data!M32</f>
        <v>-0.14141459842553</v>
      </c>
      <c r="E50" s="63" t="n">
        <f aca="false">CD50</f>
        <v>3</v>
      </c>
      <c r="F50" s="38" t="n">
        <f aca="false">($B50-INDEX($L$16:$N$16,E50))^2+($C50-INDEX($L$17:$N$17,E50))^2+($D50-INDEX($L$18:$N$18,E50))^2</f>
        <v>1.29571957098574</v>
      </c>
      <c r="G50" s="12" t="str">
        <f aca="false">INDEX($M$5:$M$7,E50)</f>
        <v>Medium activity</v>
      </c>
      <c r="X50" s="17" t="n">
        <f aca="false">SQRT(($B50-X$16)^2+($C50-X$17)^2+($D50-X$18)^2)</f>
        <v>1.8198194463293</v>
      </c>
      <c r="Y50" s="17" t="n">
        <f aca="false">SQRT(($B50-Y$16)^2+($C50-Y$17)^2+($D50-Y$18)^2)</f>
        <v>3.32951892545126</v>
      </c>
      <c r="Z50" s="17" t="n">
        <f aca="false">SQRT(($B50-Z$16)^2+($C50-Z$17)^2+($D50-Z$18)^2)</f>
        <v>2.23931292096413</v>
      </c>
      <c r="AA50" s="63" t="n">
        <f aca="false">MATCH(MIN(X50:Z50),X50:Z50,0)</f>
        <v>1</v>
      </c>
      <c r="AC50" s="17" t="n">
        <f aca="false">SQRT(($B50-AC$16)^2+($C50-AC$17)^2+($D50-AC$18)^2)</f>
        <v>1.42680512759021</v>
      </c>
      <c r="AD50" s="17" t="n">
        <f aca="false">SQRT(($B50-AD$16)^2+($C50-AD$17)^2+($D50-AD$18)^2)</f>
        <v>2.44903951228039</v>
      </c>
      <c r="AE50" s="17" t="n">
        <f aca="false">SQRT(($B50-AE$16)^2+($C50-AE$17)^2+($D50-AE$18)^2)</f>
        <v>1.21415632852813</v>
      </c>
      <c r="AF50" s="63" t="n">
        <f aca="false">MATCH(MIN(AC50:AE50),AC50:AE50,0)</f>
        <v>3</v>
      </c>
      <c r="AH50" s="17" t="n">
        <f aca="false">SQRT(($B50-AH$16)^2+($C50-AH$17)^2+($D50-AH$18)^2)</f>
        <v>1.51756301243103</v>
      </c>
      <c r="AI50" s="17" t="n">
        <f aca="false">SQRT(($B50-AI$16)^2+($C50-AI$17)^2+($D50-AI$18)^2)</f>
        <v>2.60898033017762</v>
      </c>
      <c r="AJ50" s="17" t="n">
        <f aca="false">SQRT(($B50-AJ$16)^2+($C50-AJ$17)^2+($D50-AJ$18)^2)</f>
        <v>1.16363313118573</v>
      </c>
      <c r="AK50" s="63" t="n">
        <f aca="false">MATCH(MIN(AH50:AJ50),AH50:AJ50,0)</f>
        <v>3</v>
      </c>
      <c r="AM50" s="17" t="n">
        <f aca="false">SQRT(($B50-AM$16)^2+($C50-AM$17)^2+($D50-AM$18)^2)</f>
        <v>1.56244474713118</v>
      </c>
      <c r="AN50" s="17" t="n">
        <f aca="false">SQRT(($B50-AN$16)^2+($C50-AN$17)^2+($D50-AN$18)^2)</f>
        <v>2.64368934901116</v>
      </c>
      <c r="AO50" s="17" t="n">
        <f aca="false">SQRT(($B50-AO$16)^2+($C50-AO$17)^2+($D50-AO$18)^2)</f>
        <v>1.13829678510736</v>
      </c>
      <c r="AP50" s="63" t="n">
        <f aca="false">MATCH(MIN(AM50:AO50),AM50:AO50,0)</f>
        <v>3</v>
      </c>
      <c r="AR50" s="17" t="n">
        <f aca="false">SQRT(($B50-AR$16)^2+($C50-AR$17)^2+($D50-AR$18)^2)</f>
        <v>1.56244474713118</v>
      </c>
      <c r="AS50" s="17" t="n">
        <f aca="false">SQRT(($B50-AS$16)^2+($C50-AS$17)^2+($D50-AS$18)^2)</f>
        <v>2.64368934901116</v>
      </c>
      <c r="AT50" s="17" t="n">
        <f aca="false">SQRT(($B50-AT$16)^2+($C50-AT$17)^2+($D50-AT$18)^2)</f>
        <v>1.13829678510736</v>
      </c>
      <c r="AU50" s="63" t="n">
        <f aca="false">MATCH(MIN(AR50:AT50),AR50:AT50,0)</f>
        <v>3</v>
      </c>
      <c r="AW50" s="17" t="n">
        <f aca="false">SQRT(($B50-AW$16)^2+($C50-AW$17)^2+($D50-AW$18)^2)</f>
        <v>1.56244474713118</v>
      </c>
      <c r="AX50" s="17" t="n">
        <f aca="false">SQRT(($B50-AX$16)^2+($C50-AX$17)^2+($D50-AX$18)^2)</f>
        <v>2.64368934901116</v>
      </c>
      <c r="AY50" s="17" t="n">
        <f aca="false">SQRT(($B50-AY$16)^2+($C50-AY$17)^2+($D50-AY$18)^2)</f>
        <v>1.13829678510736</v>
      </c>
      <c r="AZ50" s="63" t="n">
        <f aca="false">MATCH(MIN(AW50:AY50),AW50:AY50,0)</f>
        <v>3</v>
      </c>
      <c r="BB50" s="17" t="n">
        <f aca="false">SQRT(($B50-BB$16)^2+($C50-BB$17)^2+($D50-BB$18)^2)</f>
        <v>1.56244474713118</v>
      </c>
      <c r="BC50" s="17" t="n">
        <f aca="false">SQRT(($B50-BC$16)^2+($C50-BC$17)^2+($D50-BC$18)^2)</f>
        <v>2.64368934901116</v>
      </c>
      <c r="BD50" s="17" t="n">
        <f aca="false">SQRT(($B50-BD$16)^2+($C50-BD$17)^2+($D50-BD$18)^2)</f>
        <v>1.13829678510736</v>
      </c>
      <c r="BE50" s="63" t="n">
        <f aca="false">MATCH(MIN(BB50:BD50),BB50:BD50,0)</f>
        <v>3</v>
      </c>
      <c r="BG50" s="17" t="n">
        <f aca="false">SQRT(($B50-BG$16)^2+($C50-BG$17)^2+($D50-BG$18)^2)</f>
        <v>1.56244474713118</v>
      </c>
      <c r="BH50" s="17" t="n">
        <f aca="false">SQRT(($B50-BH$16)^2+($C50-BH$17)^2+($D50-BH$18)^2)</f>
        <v>2.64368934901116</v>
      </c>
      <c r="BI50" s="17" t="n">
        <f aca="false">SQRT(($B50-BI$16)^2+($C50-BI$17)^2+($D50-BI$18)^2)</f>
        <v>1.13829678510736</v>
      </c>
      <c r="BJ50" s="63" t="n">
        <f aca="false">MATCH(MIN(BG50:BI50),BG50:BI50,0)</f>
        <v>3</v>
      </c>
      <c r="BL50" s="17" t="n">
        <f aca="false">SQRT(($B50-BL$16)^2+($C50-BL$17)^2+($D50-BL$18)^2)</f>
        <v>1.56244474713118</v>
      </c>
      <c r="BM50" s="17" t="n">
        <f aca="false">SQRT(($B50-BM$16)^2+($C50-BM$17)^2+($D50-BM$18)^2)</f>
        <v>2.64368934901116</v>
      </c>
      <c r="BN50" s="17" t="n">
        <f aca="false">SQRT(($B50-BN$16)^2+($C50-BN$17)^2+($D50-BN$18)^2)</f>
        <v>1.13829678510736</v>
      </c>
      <c r="BO50" s="63" t="n">
        <f aca="false">MATCH(MIN(BL50:BN50),BL50:BN50,0)</f>
        <v>3</v>
      </c>
      <c r="BQ50" s="17" t="n">
        <f aca="false">SQRT(($B50-BQ$16)^2+($C50-BQ$17)^2+($D50-BQ$18)^2)</f>
        <v>1.56244474713118</v>
      </c>
      <c r="BR50" s="17" t="n">
        <f aca="false">SQRT(($B50-BR$16)^2+($C50-BR$17)^2+($D50-BR$18)^2)</f>
        <v>2.64368934901116</v>
      </c>
      <c r="BS50" s="17" t="n">
        <f aca="false">SQRT(($B50-BS$16)^2+($C50-BS$17)^2+($D50-BS$18)^2)</f>
        <v>1.13829678510736</v>
      </c>
      <c r="BT50" s="63" t="n">
        <f aca="false">MATCH(MIN(BQ50:BS50),BQ50:BS50,0)</f>
        <v>3</v>
      </c>
      <c r="BV50" s="17" t="n">
        <f aca="false">SQRT(($B50-BV$16)^2+($C50-BV$17)^2+($D50-BV$18)^2)</f>
        <v>1.56244474713118</v>
      </c>
      <c r="BW50" s="17" t="n">
        <f aca="false">SQRT(($B50-BW$16)^2+($C50-BW$17)^2+($D50-BW$18)^2)</f>
        <v>2.64368934901116</v>
      </c>
      <c r="BX50" s="17" t="n">
        <f aca="false">SQRT(($B50-BX$16)^2+($C50-BX$17)^2+($D50-BX$18)^2)</f>
        <v>1.13829678510736</v>
      </c>
      <c r="BY50" s="63" t="n">
        <f aca="false">MATCH(MIN(BV50:BX50),BV50:BX50,0)</f>
        <v>3</v>
      </c>
      <c r="CA50" s="17" t="n">
        <f aca="false">SQRT(($B50-CA$16)^2+($C50-CA$17)^2+($D50-CA$18)^2)</f>
        <v>1.56244474713118</v>
      </c>
      <c r="CB50" s="17" t="n">
        <f aca="false">SQRT(($B50-CB$16)^2+($C50-CB$17)^2+($D50-CB$18)^2)</f>
        <v>2.64368934901116</v>
      </c>
      <c r="CC50" s="17" t="n">
        <f aca="false">SQRT(($B50-CC$16)^2+($C50-CC$17)^2+($D50-CC$18)^2)</f>
        <v>1.13829678510736</v>
      </c>
      <c r="CD50" s="63" t="n">
        <f aca="false">MATCH(MIN(CA50:CC50),CA50:CC50,0)</f>
        <v>3</v>
      </c>
    </row>
    <row r="51" customFormat="false" ht="15" hidden="false" customHeight="false" outlineLevel="0" collapsed="false">
      <c r="A51" s="76" t="n">
        <f aca="false">Phase_Data!A33</f>
        <v>43915</v>
      </c>
      <c r="B51" s="17" t="n">
        <f aca="false">Phase_Data!K33</f>
        <v>-0.236461024224873</v>
      </c>
      <c r="C51" s="17" t="n">
        <f aca="false">Phase_Data!L33</f>
        <v>-0.936847300841807</v>
      </c>
      <c r="D51" s="17" t="n">
        <f aca="false">Phase_Data!M33</f>
        <v>-0.656643401465341</v>
      </c>
      <c r="E51" s="63" t="n">
        <f aca="false">CD51</f>
        <v>1</v>
      </c>
      <c r="F51" s="38" t="n">
        <f aca="false">($B51-INDEX($L$16:$N$16,E51))^2+($C51-INDEX($L$17:$N$17,E51))^2+($D51-INDEX($L$18:$N$18,E51))^2</f>
        <v>1.59652035882406</v>
      </c>
      <c r="G51" s="12" t="str">
        <f aca="false">INDEX($M$5:$M$7,E51)</f>
        <v>Low activity</v>
      </c>
      <c r="X51" s="17" t="n">
        <f aca="false">SQRT(($B51-X$16)^2+($C51-X$17)^2+($D51-X$18)^2)</f>
        <v>1.53899193733831</v>
      </c>
      <c r="Y51" s="17" t="n">
        <f aca="false">SQRT(($B51-Y$16)^2+($C51-Y$17)^2+($D51-Y$18)^2)</f>
        <v>3.63733214834817</v>
      </c>
      <c r="Z51" s="17" t="n">
        <f aca="false">SQRT(($B51-Z$16)^2+($C51-Z$17)^2+($D51-Z$18)^2)</f>
        <v>2.0332736964628</v>
      </c>
      <c r="AA51" s="63" t="n">
        <f aca="false">MATCH(MIN(X51:Z51),X51:Z51,0)</f>
        <v>1</v>
      </c>
      <c r="AC51" s="17" t="n">
        <f aca="false">SQRT(($B51-AC$16)^2+($C51-AC$17)^2+($D51-AC$18)^2)</f>
        <v>1.12650558441007</v>
      </c>
      <c r="AD51" s="17" t="n">
        <f aca="false">SQRT(($B51-AD$16)^2+($C51-AD$17)^2+($D51-AD$18)^2)</f>
        <v>2.74692479645407</v>
      </c>
      <c r="AE51" s="17" t="n">
        <f aca="false">SQRT(($B51-AE$16)^2+($C51-AE$17)^2+($D51-AE$18)^2)</f>
        <v>1.32960809638563</v>
      </c>
      <c r="AF51" s="63" t="n">
        <f aca="false">MATCH(MIN(AC51:AE51),AC51:AE51,0)</f>
        <v>1</v>
      </c>
      <c r="AH51" s="17" t="n">
        <f aca="false">SQRT(($B51-AH$16)^2+($C51-AH$17)^2+($D51-AH$18)^2)</f>
        <v>1.21688920746344</v>
      </c>
      <c r="AI51" s="17" t="n">
        <f aca="false">SQRT(($B51-AI$16)^2+($C51-AI$17)^2+($D51-AI$18)^2)</f>
        <v>2.90237082276597</v>
      </c>
      <c r="AJ51" s="17" t="n">
        <f aca="false">SQRT(($B51-AJ$16)^2+($C51-AJ$17)^2+($D51-AJ$18)^2)</f>
        <v>1.31922338206516</v>
      </c>
      <c r="AK51" s="63" t="n">
        <f aca="false">MATCH(MIN(AH51:AJ51),AH51:AJ51,0)</f>
        <v>1</v>
      </c>
      <c r="AM51" s="17" t="n">
        <f aca="false">SQRT(($B51-AM$16)^2+($C51-AM$17)^2+($D51-AM$18)^2)</f>
        <v>1.26353486648531</v>
      </c>
      <c r="AN51" s="17" t="n">
        <f aca="false">SQRT(($B51-AN$16)^2+($C51-AN$17)^2+($D51-AN$18)^2)</f>
        <v>2.93520592248098</v>
      </c>
      <c r="AO51" s="17" t="n">
        <f aca="false">SQRT(($B51-AO$16)^2+($C51-AO$17)^2+($D51-AO$18)^2)</f>
        <v>1.30042614717963</v>
      </c>
      <c r="AP51" s="63" t="n">
        <f aca="false">MATCH(MIN(AM51:AO51),AM51:AO51,0)</f>
        <v>1</v>
      </c>
      <c r="AR51" s="17" t="n">
        <f aca="false">SQRT(($B51-AR$16)^2+($C51-AR$17)^2+($D51-AR$18)^2)</f>
        <v>1.26353486648531</v>
      </c>
      <c r="AS51" s="17" t="n">
        <f aca="false">SQRT(($B51-AS$16)^2+($C51-AS$17)^2+($D51-AS$18)^2)</f>
        <v>2.93520592248098</v>
      </c>
      <c r="AT51" s="17" t="n">
        <f aca="false">SQRT(($B51-AT$16)^2+($C51-AT$17)^2+($D51-AT$18)^2)</f>
        <v>1.30042614717963</v>
      </c>
      <c r="AU51" s="63" t="n">
        <f aca="false">MATCH(MIN(AR51:AT51),AR51:AT51,0)</f>
        <v>1</v>
      </c>
      <c r="AW51" s="17" t="n">
        <f aca="false">SQRT(($B51-AW$16)^2+($C51-AW$17)^2+($D51-AW$18)^2)</f>
        <v>1.26353486648531</v>
      </c>
      <c r="AX51" s="17" t="n">
        <f aca="false">SQRT(($B51-AX$16)^2+($C51-AX$17)^2+($D51-AX$18)^2)</f>
        <v>2.93520592248098</v>
      </c>
      <c r="AY51" s="17" t="n">
        <f aca="false">SQRT(($B51-AY$16)^2+($C51-AY$17)^2+($D51-AY$18)^2)</f>
        <v>1.30042614717963</v>
      </c>
      <c r="AZ51" s="63" t="n">
        <f aca="false">MATCH(MIN(AW51:AY51),AW51:AY51,0)</f>
        <v>1</v>
      </c>
      <c r="BB51" s="17" t="n">
        <f aca="false">SQRT(($B51-BB$16)^2+($C51-BB$17)^2+($D51-BB$18)^2)</f>
        <v>1.26353486648531</v>
      </c>
      <c r="BC51" s="17" t="n">
        <f aca="false">SQRT(($B51-BC$16)^2+($C51-BC$17)^2+($D51-BC$18)^2)</f>
        <v>2.93520592248098</v>
      </c>
      <c r="BD51" s="17" t="n">
        <f aca="false">SQRT(($B51-BD$16)^2+($C51-BD$17)^2+($D51-BD$18)^2)</f>
        <v>1.30042614717963</v>
      </c>
      <c r="BE51" s="63" t="n">
        <f aca="false">MATCH(MIN(BB51:BD51),BB51:BD51,0)</f>
        <v>1</v>
      </c>
      <c r="BG51" s="17" t="n">
        <f aca="false">SQRT(($B51-BG$16)^2+($C51-BG$17)^2+($D51-BG$18)^2)</f>
        <v>1.26353486648531</v>
      </c>
      <c r="BH51" s="17" t="n">
        <f aca="false">SQRT(($B51-BH$16)^2+($C51-BH$17)^2+($D51-BH$18)^2)</f>
        <v>2.93520592248098</v>
      </c>
      <c r="BI51" s="17" t="n">
        <f aca="false">SQRT(($B51-BI$16)^2+($C51-BI$17)^2+($D51-BI$18)^2)</f>
        <v>1.30042614717963</v>
      </c>
      <c r="BJ51" s="63" t="n">
        <f aca="false">MATCH(MIN(BG51:BI51),BG51:BI51,0)</f>
        <v>1</v>
      </c>
      <c r="BL51" s="17" t="n">
        <f aca="false">SQRT(($B51-BL$16)^2+($C51-BL$17)^2+($D51-BL$18)^2)</f>
        <v>1.26353486648531</v>
      </c>
      <c r="BM51" s="17" t="n">
        <f aca="false">SQRT(($B51-BM$16)^2+($C51-BM$17)^2+($D51-BM$18)^2)</f>
        <v>2.93520592248098</v>
      </c>
      <c r="BN51" s="17" t="n">
        <f aca="false">SQRT(($B51-BN$16)^2+($C51-BN$17)^2+($D51-BN$18)^2)</f>
        <v>1.30042614717963</v>
      </c>
      <c r="BO51" s="63" t="n">
        <f aca="false">MATCH(MIN(BL51:BN51),BL51:BN51,0)</f>
        <v>1</v>
      </c>
      <c r="BQ51" s="17" t="n">
        <f aca="false">SQRT(($B51-BQ$16)^2+($C51-BQ$17)^2+($D51-BQ$18)^2)</f>
        <v>1.26353486648531</v>
      </c>
      <c r="BR51" s="17" t="n">
        <f aca="false">SQRT(($B51-BR$16)^2+($C51-BR$17)^2+($D51-BR$18)^2)</f>
        <v>2.93520592248098</v>
      </c>
      <c r="BS51" s="17" t="n">
        <f aca="false">SQRT(($B51-BS$16)^2+($C51-BS$17)^2+($D51-BS$18)^2)</f>
        <v>1.30042614717963</v>
      </c>
      <c r="BT51" s="63" t="n">
        <f aca="false">MATCH(MIN(BQ51:BS51),BQ51:BS51,0)</f>
        <v>1</v>
      </c>
      <c r="BV51" s="17" t="n">
        <f aca="false">SQRT(($B51-BV$16)^2+($C51-BV$17)^2+($D51-BV$18)^2)</f>
        <v>1.26353486648531</v>
      </c>
      <c r="BW51" s="17" t="n">
        <f aca="false">SQRT(($B51-BW$16)^2+($C51-BW$17)^2+($D51-BW$18)^2)</f>
        <v>2.93520592248098</v>
      </c>
      <c r="BX51" s="17" t="n">
        <f aca="false">SQRT(($B51-BX$16)^2+($C51-BX$17)^2+($D51-BX$18)^2)</f>
        <v>1.30042614717963</v>
      </c>
      <c r="BY51" s="63" t="n">
        <f aca="false">MATCH(MIN(BV51:BX51),BV51:BX51,0)</f>
        <v>1</v>
      </c>
      <c r="CA51" s="17" t="n">
        <f aca="false">SQRT(($B51-CA$16)^2+($C51-CA$17)^2+($D51-CA$18)^2)</f>
        <v>1.26353486648531</v>
      </c>
      <c r="CB51" s="17" t="n">
        <f aca="false">SQRT(($B51-CB$16)^2+($C51-CB$17)^2+($D51-CB$18)^2)</f>
        <v>2.93520592248098</v>
      </c>
      <c r="CC51" s="17" t="n">
        <f aca="false">SQRT(($B51-CC$16)^2+($C51-CC$17)^2+($D51-CC$18)^2)</f>
        <v>1.30042614717963</v>
      </c>
      <c r="CD51" s="63" t="n">
        <f aca="false">MATCH(MIN(CA51:CC51),CA51:CC51,0)</f>
        <v>1</v>
      </c>
    </row>
    <row r="52" customFormat="false" ht="15" hidden="false" customHeight="false" outlineLevel="0" collapsed="false">
      <c r="A52" s="76" t="n">
        <f aca="false">Phase_Data!A34</f>
        <v>43916</v>
      </c>
      <c r="B52" s="17" t="n">
        <f aca="false">Phase_Data!K34</f>
        <v>-0.167267346161681</v>
      </c>
      <c r="C52" s="17" t="n">
        <f aca="false">Phase_Data!L34</f>
        <v>-0.936847300841807</v>
      </c>
      <c r="D52" s="17" t="n">
        <f aca="false">Phase_Data!M34</f>
        <v>-0.586278425873798</v>
      </c>
      <c r="E52" s="63" t="n">
        <f aca="false">CD52</f>
        <v>3</v>
      </c>
      <c r="F52" s="38" t="n">
        <f aca="false">($B52-INDEX($L$16:$N$16,E52))^2+($C52-INDEX($L$17:$N$17,E52))^2+($D52-INDEX($L$18:$N$18,E52))^2</f>
        <v>1.54343885617031</v>
      </c>
      <c r="G52" s="12" t="str">
        <f aca="false">INDEX($M$5:$M$7,E52)</f>
        <v>Medium activity</v>
      </c>
      <c r="X52" s="17" t="n">
        <f aca="false">SQRT(($B52-X$16)^2+($C52-X$17)^2+($D52-X$18)^2)</f>
        <v>1.62766738150507</v>
      </c>
      <c r="Y52" s="17" t="n">
        <f aca="false">SQRT(($B52-Y$16)^2+($C52-Y$17)^2+($D52-Y$18)^2)</f>
        <v>3.56581501825862</v>
      </c>
      <c r="Z52" s="17" t="n">
        <f aca="false">SQRT(($B52-Z$16)^2+($C52-Z$17)^2+($D52-Z$18)^2)</f>
        <v>2.02657837451855</v>
      </c>
      <c r="AA52" s="63" t="n">
        <f aca="false">MATCH(MIN(X52:Z52),X52:Z52,0)</f>
        <v>1</v>
      </c>
      <c r="AC52" s="17" t="n">
        <f aca="false">SQRT(($B52-AC$16)^2+($C52-AC$17)^2+($D52-AC$18)^2)</f>
        <v>1.21608153499534</v>
      </c>
      <c r="AD52" s="17" t="n">
        <f aca="false">SQRT(($B52-AD$16)^2+($C52-AD$17)^2+($D52-AD$18)^2)</f>
        <v>2.67793221541812</v>
      </c>
      <c r="AE52" s="17" t="n">
        <f aca="false">SQRT(($B52-AE$16)^2+($C52-AE$17)^2+($D52-AE$18)^2)</f>
        <v>1.27618022120368</v>
      </c>
      <c r="AF52" s="63" t="n">
        <f aca="false">MATCH(MIN(AC52:AE52),AC52:AE52,0)</f>
        <v>1</v>
      </c>
      <c r="AH52" s="17" t="n">
        <f aca="false">SQRT(($B52-AH$16)^2+($C52-AH$17)^2+($D52-AH$18)^2)</f>
        <v>1.3067377973919</v>
      </c>
      <c r="AI52" s="17" t="n">
        <f aca="false">SQRT(($B52-AI$16)^2+($C52-AI$17)^2+($D52-AI$18)^2)</f>
        <v>2.83343117558658</v>
      </c>
      <c r="AJ52" s="17" t="n">
        <f aca="false">SQRT(($B52-AJ$16)^2+($C52-AJ$17)^2+($D52-AJ$18)^2)</f>
        <v>1.26219445351335</v>
      </c>
      <c r="AK52" s="63" t="n">
        <f aca="false">MATCH(MIN(AH52:AJ52),AH52:AJ52,0)</f>
        <v>3</v>
      </c>
      <c r="AM52" s="17" t="n">
        <f aca="false">SQRT(($B52-AM$16)^2+($C52-AM$17)^2+($D52-AM$18)^2)</f>
        <v>1.35340700444162</v>
      </c>
      <c r="AN52" s="17" t="n">
        <f aca="false">SQRT(($B52-AN$16)^2+($C52-AN$17)^2+($D52-AN$18)^2)</f>
        <v>2.86652032652484</v>
      </c>
      <c r="AO52" s="17" t="n">
        <f aca="false">SQRT(($B52-AO$16)^2+($C52-AO$17)^2+($D52-AO$18)^2)</f>
        <v>1.24235214660349</v>
      </c>
      <c r="AP52" s="63" t="n">
        <f aca="false">MATCH(MIN(AM52:AO52),AM52:AO52,0)</f>
        <v>3</v>
      </c>
      <c r="AR52" s="17" t="n">
        <f aca="false">SQRT(($B52-AR$16)^2+($C52-AR$17)^2+($D52-AR$18)^2)</f>
        <v>1.35340700444162</v>
      </c>
      <c r="AS52" s="17" t="n">
        <f aca="false">SQRT(($B52-AS$16)^2+($C52-AS$17)^2+($D52-AS$18)^2)</f>
        <v>2.86652032652484</v>
      </c>
      <c r="AT52" s="17" t="n">
        <f aca="false">SQRT(($B52-AT$16)^2+($C52-AT$17)^2+($D52-AT$18)^2)</f>
        <v>1.24235214660349</v>
      </c>
      <c r="AU52" s="63" t="n">
        <f aca="false">MATCH(MIN(AR52:AT52),AR52:AT52,0)</f>
        <v>3</v>
      </c>
      <c r="AW52" s="17" t="n">
        <f aca="false">SQRT(($B52-AW$16)^2+($C52-AW$17)^2+($D52-AW$18)^2)</f>
        <v>1.35340700444162</v>
      </c>
      <c r="AX52" s="17" t="n">
        <f aca="false">SQRT(($B52-AX$16)^2+($C52-AX$17)^2+($D52-AX$18)^2)</f>
        <v>2.86652032652484</v>
      </c>
      <c r="AY52" s="17" t="n">
        <f aca="false">SQRT(($B52-AY$16)^2+($C52-AY$17)^2+($D52-AY$18)^2)</f>
        <v>1.24235214660349</v>
      </c>
      <c r="AZ52" s="63" t="n">
        <f aca="false">MATCH(MIN(AW52:AY52),AW52:AY52,0)</f>
        <v>3</v>
      </c>
      <c r="BB52" s="17" t="n">
        <f aca="false">SQRT(($B52-BB$16)^2+($C52-BB$17)^2+($D52-BB$18)^2)</f>
        <v>1.35340700444162</v>
      </c>
      <c r="BC52" s="17" t="n">
        <f aca="false">SQRT(($B52-BC$16)^2+($C52-BC$17)^2+($D52-BC$18)^2)</f>
        <v>2.86652032652484</v>
      </c>
      <c r="BD52" s="17" t="n">
        <f aca="false">SQRT(($B52-BD$16)^2+($C52-BD$17)^2+($D52-BD$18)^2)</f>
        <v>1.24235214660349</v>
      </c>
      <c r="BE52" s="63" t="n">
        <f aca="false">MATCH(MIN(BB52:BD52),BB52:BD52,0)</f>
        <v>3</v>
      </c>
      <c r="BG52" s="17" t="n">
        <f aca="false">SQRT(($B52-BG$16)^2+($C52-BG$17)^2+($D52-BG$18)^2)</f>
        <v>1.35340700444162</v>
      </c>
      <c r="BH52" s="17" t="n">
        <f aca="false">SQRT(($B52-BH$16)^2+($C52-BH$17)^2+($D52-BH$18)^2)</f>
        <v>2.86652032652484</v>
      </c>
      <c r="BI52" s="17" t="n">
        <f aca="false">SQRT(($B52-BI$16)^2+($C52-BI$17)^2+($D52-BI$18)^2)</f>
        <v>1.24235214660349</v>
      </c>
      <c r="BJ52" s="63" t="n">
        <f aca="false">MATCH(MIN(BG52:BI52),BG52:BI52,0)</f>
        <v>3</v>
      </c>
      <c r="BL52" s="17" t="n">
        <f aca="false">SQRT(($B52-BL$16)^2+($C52-BL$17)^2+($D52-BL$18)^2)</f>
        <v>1.35340700444162</v>
      </c>
      <c r="BM52" s="17" t="n">
        <f aca="false">SQRT(($B52-BM$16)^2+($C52-BM$17)^2+($D52-BM$18)^2)</f>
        <v>2.86652032652484</v>
      </c>
      <c r="BN52" s="17" t="n">
        <f aca="false">SQRT(($B52-BN$16)^2+($C52-BN$17)^2+($D52-BN$18)^2)</f>
        <v>1.24235214660349</v>
      </c>
      <c r="BO52" s="63" t="n">
        <f aca="false">MATCH(MIN(BL52:BN52),BL52:BN52,0)</f>
        <v>3</v>
      </c>
      <c r="BQ52" s="17" t="n">
        <f aca="false">SQRT(($B52-BQ$16)^2+($C52-BQ$17)^2+($D52-BQ$18)^2)</f>
        <v>1.35340700444162</v>
      </c>
      <c r="BR52" s="17" t="n">
        <f aca="false">SQRT(($B52-BR$16)^2+($C52-BR$17)^2+($D52-BR$18)^2)</f>
        <v>2.86652032652484</v>
      </c>
      <c r="BS52" s="17" t="n">
        <f aca="false">SQRT(($B52-BS$16)^2+($C52-BS$17)^2+($D52-BS$18)^2)</f>
        <v>1.24235214660349</v>
      </c>
      <c r="BT52" s="63" t="n">
        <f aca="false">MATCH(MIN(BQ52:BS52),BQ52:BS52,0)</f>
        <v>3</v>
      </c>
      <c r="BV52" s="17" t="n">
        <f aca="false">SQRT(($B52-BV$16)^2+($C52-BV$17)^2+($D52-BV$18)^2)</f>
        <v>1.35340700444162</v>
      </c>
      <c r="BW52" s="17" t="n">
        <f aca="false">SQRT(($B52-BW$16)^2+($C52-BW$17)^2+($D52-BW$18)^2)</f>
        <v>2.86652032652484</v>
      </c>
      <c r="BX52" s="17" t="n">
        <f aca="false">SQRT(($B52-BX$16)^2+($C52-BX$17)^2+($D52-BX$18)^2)</f>
        <v>1.24235214660349</v>
      </c>
      <c r="BY52" s="63" t="n">
        <f aca="false">MATCH(MIN(BV52:BX52),BV52:BX52,0)</f>
        <v>3</v>
      </c>
      <c r="CA52" s="17" t="n">
        <f aca="false">SQRT(($B52-CA$16)^2+($C52-CA$17)^2+($D52-CA$18)^2)</f>
        <v>1.35340700444162</v>
      </c>
      <c r="CB52" s="17" t="n">
        <f aca="false">SQRT(($B52-CB$16)^2+($C52-CB$17)^2+($D52-CB$18)^2)</f>
        <v>2.86652032652484</v>
      </c>
      <c r="CC52" s="17" t="n">
        <f aca="false">SQRT(($B52-CC$16)^2+($C52-CC$17)^2+($D52-CC$18)^2)</f>
        <v>1.24235214660349</v>
      </c>
      <c r="CD52" s="63" t="n">
        <f aca="false">MATCH(MIN(CA52:CC52),CA52:CC52,0)</f>
        <v>3</v>
      </c>
    </row>
    <row r="53" customFormat="false" ht="15" hidden="false" customHeight="false" outlineLevel="0" collapsed="false">
      <c r="A53" s="76" t="n">
        <f aca="false">Phase_Data!A35</f>
        <v>43917</v>
      </c>
      <c r="B53" s="17" t="n">
        <f aca="false">Phase_Data!K35</f>
        <v>-0.195467500090321</v>
      </c>
      <c r="C53" s="17" t="n">
        <f aca="false">Phase_Data!L35</f>
        <v>-0.661534597107475</v>
      </c>
      <c r="D53" s="17" t="n">
        <f aca="false">Phase_Data!M35</f>
        <v>-0.586278425873798</v>
      </c>
      <c r="E53" s="63" t="n">
        <f aca="false">CD53</f>
        <v>3</v>
      </c>
      <c r="F53" s="38" t="n">
        <f aca="false">($B53-INDEX($L$16:$N$16,E53))^2+($C53-INDEX($L$17:$N$17,E53))^2+($D53-INDEX($L$18:$N$18,E53))^2</f>
        <v>1.08060035806495</v>
      </c>
      <c r="G53" s="12" t="str">
        <f aca="false">INDEX($M$5:$M$7,E53)</f>
        <v>Medium activity</v>
      </c>
      <c r="X53" s="17" t="n">
        <f aca="false">SQRT(($B53-X$16)^2+($C53-X$17)^2+($D53-X$18)^2)</f>
        <v>1.70478580404999</v>
      </c>
      <c r="Y53" s="17" t="n">
        <f aca="false">SQRT(($B53-Y$16)^2+($C53-Y$17)^2+($D53-Y$18)^2)</f>
        <v>3.39713470090825</v>
      </c>
      <c r="Z53" s="17" t="n">
        <f aca="false">SQRT(($B53-Z$16)^2+($C53-Z$17)^2+($D53-Z$18)^2)</f>
        <v>1.81275215034656</v>
      </c>
      <c r="AA53" s="63" t="n">
        <f aca="false">MATCH(MIN(X53:Z53),X53:Z53,0)</f>
        <v>1</v>
      </c>
      <c r="AC53" s="17" t="n">
        <f aca="false">SQRT(($B53-AC$16)^2+($C53-AC$17)^2+($D53-AC$18)^2)</f>
        <v>1.29246936316056</v>
      </c>
      <c r="AD53" s="17" t="n">
        <f aca="false">SQRT(($B53-AD$16)^2+($C53-AD$17)^2+($D53-AD$18)^2)</f>
        <v>2.50366888867044</v>
      </c>
      <c r="AE53" s="17" t="n">
        <f aca="false">SQRT(($B53-AE$16)^2+($C53-AE$17)^2+($D53-AE$18)^2)</f>
        <v>1.06257314758737</v>
      </c>
      <c r="AF53" s="63" t="n">
        <f aca="false">MATCH(MIN(AC53:AE53),AC53:AE53,0)</f>
        <v>3</v>
      </c>
      <c r="AH53" s="17" t="n">
        <f aca="false">SQRT(($B53-AH$16)^2+($C53-AH$17)^2+($D53-AH$18)^2)</f>
        <v>1.38293487348318</v>
      </c>
      <c r="AI53" s="17" t="n">
        <f aca="false">SQRT(($B53-AI$16)^2+($C53-AI$17)^2+($D53-AI$18)^2)</f>
        <v>2.65782470255209</v>
      </c>
      <c r="AJ53" s="17" t="n">
        <f aca="false">SQRT(($B53-AJ$16)^2+($C53-AJ$17)^2+($D53-AJ$18)^2)</f>
        <v>1.05647466284256</v>
      </c>
      <c r="AK53" s="63" t="n">
        <f aca="false">MATCH(MIN(AH53:AJ53),AH53:AJ53,0)</f>
        <v>3</v>
      </c>
      <c r="AM53" s="17" t="n">
        <f aca="false">SQRT(($B53-AM$16)^2+($C53-AM$17)^2+($D53-AM$18)^2)</f>
        <v>1.42871961683757</v>
      </c>
      <c r="AN53" s="17" t="n">
        <f aca="false">SQRT(($B53-AN$16)^2+($C53-AN$17)^2+($D53-AN$18)^2)</f>
        <v>2.68988836785993</v>
      </c>
      <c r="AO53" s="17" t="n">
        <f aca="false">SQRT(($B53-AO$16)^2+($C53-AO$17)^2+($D53-AO$18)^2)</f>
        <v>1.03951929181952</v>
      </c>
      <c r="AP53" s="63" t="n">
        <f aca="false">MATCH(MIN(AM53:AO53),AM53:AO53,0)</f>
        <v>3</v>
      </c>
      <c r="AR53" s="17" t="n">
        <f aca="false">SQRT(($B53-AR$16)^2+($C53-AR$17)^2+($D53-AR$18)^2)</f>
        <v>1.42871961683757</v>
      </c>
      <c r="AS53" s="17" t="n">
        <f aca="false">SQRT(($B53-AS$16)^2+($C53-AS$17)^2+($D53-AS$18)^2)</f>
        <v>2.68988836785993</v>
      </c>
      <c r="AT53" s="17" t="n">
        <f aca="false">SQRT(($B53-AT$16)^2+($C53-AT$17)^2+($D53-AT$18)^2)</f>
        <v>1.03951929181952</v>
      </c>
      <c r="AU53" s="63" t="n">
        <f aca="false">MATCH(MIN(AR53:AT53),AR53:AT53,0)</f>
        <v>3</v>
      </c>
      <c r="AW53" s="17" t="n">
        <f aca="false">SQRT(($B53-AW$16)^2+($C53-AW$17)^2+($D53-AW$18)^2)</f>
        <v>1.42871961683757</v>
      </c>
      <c r="AX53" s="17" t="n">
        <f aca="false">SQRT(($B53-AX$16)^2+($C53-AX$17)^2+($D53-AX$18)^2)</f>
        <v>2.68988836785993</v>
      </c>
      <c r="AY53" s="17" t="n">
        <f aca="false">SQRT(($B53-AY$16)^2+($C53-AY$17)^2+($D53-AY$18)^2)</f>
        <v>1.03951929181952</v>
      </c>
      <c r="AZ53" s="63" t="n">
        <f aca="false">MATCH(MIN(AW53:AY53),AW53:AY53,0)</f>
        <v>3</v>
      </c>
      <c r="BB53" s="17" t="n">
        <f aca="false">SQRT(($B53-BB$16)^2+($C53-BB$17)^2+($D53-BB$18)^2)</f>
        <v>1.42871961683757</v>
      </c>
      <c r="BC53" s="17" t="n">
        <f aca="false">SQRT(($B53-BC$16)^2+($C53-BC$17)^2+($D53-BC$18)^2)</f>
        <v>2.68988836785993</v>
      </c>
      <c r="BD53" s="17" t="n">
        <f aca="false">SQRT(($B53-BD$16)^2+($C53-BD$17)^2+($D53-BD$18)^2)</f>
        <v>1.03951929181952</v>
      </c>
      <c r="BE53" s="63" t="n">
        <f aca="false">MATCH(MIN(BB53:BD53),BB53:BD53,0)</f>
        <v>3</v>
      </c>
      <c r="BG53" s="17" t="n">
        <f aca="false">SQRT(($B53-BG$16)^2+($C53-BG$17)^2+($D53-BG$18)^2)</f>
        <v>1.42871961683757</v>
      </c>
      <c r="BH53" s="17" t="n">
        <f aca="false">SQRT(($B53-BH$16)^2+($C53-BH$17)^2+($D53-BH$18)^2)</f>
        <v>2.68988836785993</v>
      </c>
      <c r="BI53" s="17" t="n">
        <f aca="false">SQRT(($B53-BI$16)^2+($C53-BI$17)^2+($D53-BI$18)^2)</f>
        <v>1.03951929181952</v>
      </c>
      <c r="BJ53" s="63" t="n">
        <f aca="false">MATCH(MIN(BG53:BI53),BG53:BI53,0)</f>
        <v>3</v>
      </c>
      <c r="BL53" s="17" t="n">
        <f aca="false">SQRT(($B53-BL$16)^2+($C53-BL$17)^2+($D53-BL$18)^2)</f>
        <v>1.42871961683757</v>
      </c>
      <c r="BM53" s="17" t="n">
        <f aca="false">SQRT(($B53-BM$16)^2+($C53-BM$17)^2+($D53-BM$18)^2)</f>
        <v>2.68988836785993</v>
      </c>
      <c r="BN53" s="17" t="n">
        <f aca="false">SQRT(($B53-BN$16)^2+($C53-BN$17)^2+($D53-BN$18)^2)</f>
        <v>1.03951929181952</v>
      </c>
      <c r="BO53" s="63" t="n">
        <f aca="false">MATCH(MIN(BL53:BN53),BL53:BN53,0)</f>
        <v>3</v>
      </c>
      <c r="BQ53" s="17" t="n">
        <f aca="false">SQRT(($B53-BQ$16)^2+($C53-BQ$17)^2+($D53-BQ$18)^2)</f>
        <v>1.42871961683757</v>
      </c>
      <c r="BR53" s="17" t="n">
        <f aca="false">SQRT(($B53-BR$16)^2+($C53-BR$17)^2+($D53-BR$18)^2)</f>
        <v>2.68988836785993</v>
      </c>
      <c r="BS53" s="17" t="n">
        <f aca="false">SQRT(($B53-BS$16)^2+($C53-BS$17)^2+($D53-BS$18)^2)</f>
        <v>1.03951929181952</v>
      </c>
      <c r="BT53" s="63" t="n">
        <f aca="false">MATCH(MIN(BQ53:BS53),BQ53:BS53,0)</f>
        <v>3</v>
      </c>
      <c r="BV53" s="17" t="n">
        <f aca="false">SQRT(($B53-BV$16)^2+($C53-BV$17)^2+($D53-BV$18)^2)</f>
        <v>1.42871961683757</v>
      </c>
      <c r="BW53" s="17" t="n">
        <f aca="false">SQRT(($B53-BW$16)^2+($C53-BW$17)^2+($D53-BW$18)^2)</f>
        <v>2.68988836785993</v>
      </c>
      <c r="BX53" s="17" t="n">
        <f aca="false">SQRT(($B53-BX$16)^2+($C53-BX$17)^2+($D53-BX$18)^2)</f>
        <v>1.03951929181952</v>
      </c>
      <c r="BY53" s="63" t="n">
        <f aca="false">MATCH(MIN(BV53:BX53),BV53:BX53,0)</f>
        <v>3</v>
      </c>
      <c r="CA53" s="17" t="n">
        <f aca="false">SQRT(($B53-CA$16)^2+($C53-CA$17)^2+($D53-CA$18)^2)</f>
        <v>1.42871961683757</v>
      </c>
      <c r="CB53" s="17" t="n">
        <f aca="false">SQRT(($B53-CB$16)^2+($C53-CB$17)^2+($D53-CB$18)^2)</f>
        <v>2.68988836785993</v>
      </c>
      <c r="CC53" s="17" t="n">
        <f aca="false">SQRT(($B53-CC$16)^2+($C53-CC$17)^2+($D53-CC$18)^2)</f>
        <v>1.03951929181952</v>
      </c>
      <c r="CD53" s="63" t="n">
        <f aca="false">MATCH(MIN(CA53:CC53),CA53:CC53,0)</f>
        <v>3</v>
      </c>
    </row>
    <row r="54" customFormat="false" ht="15" hidden="false" customHeight="false" outlineLevel="0" collapsed="false">
      <c r="A54" s="76" t="n">
        <f aca="false">Phase_Data!A36</f>
        <v>43918</v>
      </c>
      <c r="B54" s="17" t="n">
        <f aca="false">Phase_Data!K36</f>
        <v>-0.0324698391809385</v>
      </c>
      <c r="C54" s="17" t="n">
        <f aca="false">Phase_Data!L36</f>
        <v>-0.661534597107475</v>
      </c>
      <c r="D54" s="17" t="n">
        <f aca="false">Phase_Data!M36</f>
        <v>-1.01027561104517</v>
      </c>
      <c r="E54" s="63" t="n">
        <f aca="false">CD54</f>
        <v>3</v>
      </c>
      <c r="F54" s="38" t="n">
        <f aca="false">($B54-INDEX($L$16:$N$16,E54))^2+($C54-INDEX($L$17:$N$17,E54))^2+($D54-INDEX($L$18:$N$18,E54))^2</f>
        <v>1.61035111127388</v>
      </c>
      <c r="G54" s="12" t="str">
        <f aca="false">INDEX($M$5:$M$7,E54)</f>
        <v>Medium activity</v>
      </c>
      <c r="X54" s="17" t="n">
        <f aca="false">SQRT(($B54-X$16)^2+($C54-X$17)^2+($D54-X$18)^2)</f>
        <v>1.72401524448203</v>
      </c>
      <c r="Y54" s="17" t="n">
        <f aca="false">SQRT(($B54-Y$16)^2+($C54-Y$17)^2+($D54-Y$18)^2)</f>
        <v>3.62984484726729</v>
      </c>
      <c r="Z54" s="17" t="n">
        <f aca="false">SQRT(($B54-Z$16)^2+($C54-Z$17)^2+($D54-Z$18)^2)</f>
        <v>1.62064427021335</v>
      </c>
      <c r="AA54" s="63" t="n">
        <f aca="false">MATCH(MIN(X54:Z54),X54:Z54,0)</f>
        <v>3</v>
      </c>
      <c r="AC54" s="17" t="n">
        <f aca="false">SQRT(($B54-AC$16)^2+($C54-AC$17)^2+($D54-AC$18)^2)</f>
        <v>1.32664320802513</v>
      </c>
      <c r="AD54" s="17" t="n">
        <f aca="false">SQRT(($B54-AD$16)^2+($C54-AD$17)^2+($D54-AD$18)^2)</f>
        <v>2.75077269457364</v>
      </c>
      <c r="AE54" s="17" t="n">
        <f aca="false">SQRT(($B54-AE$16)^2+($C54-AE$17)^2+($D54-AE$18)^2)</f>
        <v>1.2493938464355</v>
      </c>
      <c r="AF54" s="63" t="n">
        <f aca="false">MATCH(MIN(AC54:AE54),AC54:AE54,0)</f>
        <v>3</v>
      </c>
      <c r="AH54" s="17" t="n">
        <f aca="false">SQRT(($B54-AH$16)^2+($C54-AH$17)^2+($D54-AH$18)^2)</f>
        <v>1.40735427833105</v>
      </c>
      <c r="AI54" s="17" t="n">
        <f aca="false">SQRT(($B54-AI$16)^2+($C54-AI$17)^2+($D54-AI$18)^2)</f>
        <v>2.89637211821411</v>
      </c>
      <c r="AJ54" s="17" t="n">
        <f aca="false">SQRT(($B54-AJ$16)^2+($C54-AJ$17)^2+($D54-AJ$18)^2)</f>
        <v>1.27920897092043</v>
      </c>
      <c r="AK54" s="63" t="n">
        <f aca="false">MATCH(MIN(AH54:AJ54),AH54:AJ54,0)</f>
        <v>3</v>
      </c>
      <c r="AM54" s="17" t="n">
        <f aca="false">SQRT(($B54-AM$16)^2+($C54-AM$17)^2+($D54-AM$18)^2)</f>
        <v>1.45078233697208</v>
      </c>
      <c r="AN54" s="17" t="n">
        <f aca="false">SQRT(($B54-AN$16)^2+($C54-AN$17)^2+($D54-AN$18)^2)</f>
        <v>2.92634417700707</v>
      </c>
      <c r="AO54" s="17" t="n">
        <f aca="false">SQRT(($B54-AO$16)^2+($C54-AO$17)^2+($D54-AO$18)^2)</f>
        <v>1.26899610372683</v>
      </c>
      <c r="AP54" s="63" t="n">
        <f aca="false">MATCH(MIN(AM54:AO54),AM54:AO54,0)</f>
        <v>3</v>
      </c>
      <c r="AR54" s="17" t="n">
        <f aca="false">SQRT(($B54-AR$16)^2+($C54-AR$17)^2+($D54-AR$18)^2)</f>
        <v>1.45078233697208</v>
      </c>
      <c r="AS54" s="17" t="n">
        <f aca="false">SQRT(($B54-AS$16)^2+($C54-AS$17)^2+($D54-AS$18)^2)</f>
        <v>2.92634417700707</v>
      </c>
      <c r="AT54" s="17" t="n">
        <f aca="false">SQRT(($B54-AT$16)^2+($C54-AT$17)^2+($D54-AT$18)^2)</f>
        <v>1.26899610372683</v>
      </c>
      <c r="AU54" s="63" t="n">
        <f aca="false">MATCH(MIN(AR54:AT54),AR54:AT54,0)</f>
        <v>3</v>
      </c>
      <c r="AW54" s="17" t="n">
        <f aca="false">SQRT(($B54-AW$16)^2+($C54-AW$17)^2+($D54-AW$18)^2)</f>
        <v>1.45078233697208</v>
      </c>
      <c r="AX54" s="17" t="n">
        <f aca="false">SQRT(($B54-AX$16)^2+($C54-AX$17)^2+($D54-AX$18)^2)</f>
        <v>2.92634417700707</v>
      </c>
      <c r="AY54" s="17" t="n">
        <f aca="false">SQRT(($B54-AY$16)^2+($C54-AY$17)^2+($D54-AY$18)^2)</f>
        <v>1.26899610372683</v>
      </c>
      <c r="AZ54" s="63" t="n">
        <f aca="false">MATCH(MIN(AW54:AY54),AW54:AY54,0)</f>
        <v>3</v>
      </c>
      <c r="BB54" s="17" t="n">
        <f aca="false">SQRT(($B54-BB$16)^2+($C54-BB$17)^2+($D54-BB$18)^2)</f>
        <v>1.45078233697208</v>
      </c>
      <c r="BC54" s="17" t="n">
        <f aca="false">SQRT(($B54-BC$16)^2+($C54-BC$17)^2+($D54-BC$18)^2)</f>
        <v>2.92634417700707</v>
      </c>
      <c r="BD54" s="17" t="n">
        <f aca="false">SQRT(($B54-BD$16)^2+($C54-BD$17)^2+($D54-BD$18)^2)</f>
        <v>1.26899610372683</v>
      </c>
      <c r="BE54" s="63" t="n">
        <f aca="false">MATCH(MIN(BB54:BD54),BB54:BD54,0)</f>
        <v>3</v>
      </c>
      <c r="BG54" s="17" t="n">
        <f aca="false">SQRT(($B54-BG$16)^2+($C54-BG$17)^2+($D54-BG$18)^2)</f>
        <v>1.45078233697208</v>
      </c>
      <c r="BH54" s="17" t="n">
        <f aca="false">SQRT(($B54-BH$16)^2+($C54-BH$17)^2+($D54-BH$18)^2)</f>
        <v>2.92634417700707</v>
      </c>
      <c r="BI54" s="17" t="n">
        <f aca="false">SQRT(($B54-BI$16)^2+($C54-BI$17)^2+($D54-BI$18)^2)</f>
        <v>1.26899610372683</v>
      </c>
      <c r="BJ54" s="63" t="n">
        <f aca="false">MATCH(MIN(BG54:BI54),BG54:BI54,0)</f>
        <v>3</v>
      </c>
      <c r="BL54" s="17" t="n">
        <f aca="false">SQRT(($B54-BL$16)^2+($C54-BL$17)^2+($D54-BL$18)^2)</f>
        <v>1.45078233697208</v>
      </c>
      <c r="BM54" s="17" t="n">
        <f aca="false">SQRT(($B54-BM$16)^2+($C54-BM$17)^2+($D54-BM$18)^2)</f>
        <v>2.92634417700707</v>
      </c>
      <c r="BN54" s="17" t="n">
        <f aca="false">SQRT(($B54-BN$16)^2+($C54-BN$17)^2+($D54-BN$18)^2)</f>
        <v>1.26899610372683</v>
      </c>
      <c r="BO54" s="63" t="n">
        <f aca="false">MATCH(MIN(BL54:BN54),BL54:BN54,0)</f>
        <v>3</v>
      </c>
      <c r="BQ54" s="17" t="n">
        <f aca="false">SQRT(($B54-BQ$16)^2+($C54-BQ$17)^2+($D54-BQ$18)^2)</f>
        <v>1.45078233697208</v>
      </c>
      <c r="BR54" s="17" t="n">
        <f aca="false">SQRT(($B54-BR$16)^2+($C54-BR$17)^2+($D54-BR$18)^2)</f>
        <v>2.92634417700707</v>
      </c>
      <c r="BS54" s="17" t="n">
        <f aca="false">SQRT(($B54-BS$16)^2+($C54-BS$17)^2+($D54-BS$18)^2)</f>
        <v>1.26899610372683</v>
      </c>
      <c r="BT54" s="63" t="n">
        <f aca="false">MATCH(MIN(BQ54:BS54),BQ54:BS54,0)</f>
        <v>3</v>
      </c>
      <c r="BV54" s="17" t="n">
        <f aca="false">SQRT(($B54-BV$16)^2+($C54-BV$17)^2+($D54-BV$18)^2)</f>
        <v>1.45078233697208</v>
      </c>
      <c r="BW54" s="17" t="n">
        <f aca="false">SQRT(($B54-BW$16)^2+($C54-BW$17)^2+($D54-BW$18)^2)</f>
        <v>2.92634417700707</v>
      </c>
      <c r="BX54" s="17" t="n">
        <f aca="false">SQRT(($B54-BX$16)^2+($C54-BX$17)^2+($D54-BX$18)^2)</f>
        <v>1.26899610372683</v>
      </c>
      <c r="BY54" s="63" t="n">
        <f aca="false">MATCH(MIN(BV54:BX54),BV54:BX54,0)</f>
        <v>3</v>
      </c>
      <c r="CA54" s="17" t="n">
        <f aca="false">SQRT(($B54-CA$16)^2+($C54-CA$17)^2+($D54-CA$18)^2)</f>
        <v>1.45078233697208</v>
      </c>
      <c r="CB54" s="17" t="n">
        <f aca="false">SQRT(($B54-CB$16)^2+($C54-CB$17)^2+($D54-CB$18)^2)</f>
        <v>2.92634417700707</v>
      </c>
      <c r="CC54" s="17" t="n">
        <f aca="false">SQRT(($B54-CC$16)^2+($C54-CC$17)^2+($D54-CC$18)^2)</f>
        <v>1.26899610372683</v>
      </c>
      <c r="CD54" s="63" t="n">
        <f aca="false">MATCH(MIN(CA54:CC54),CA54:CC54,0)</f>
        <v>3</v>
      </c>
    </row>
    <row r="55" customFormat="false" ht="15" hidden="false" customHeight="false" outlineLevel="0" collapsed="false">
      <c r="A55" s="76" t="n">
        <f aca="false">Phase_Data!A37</f>
        <v>43919</v>
      </c>
      <c r="B55" s="17" t="n">
        <f aca="false">Phase_Data!K37</f>
        <v>-0.329184258800429</v>
      </c>
      <c r="C55" s="17" t="n">
        <f aca="false">Phase_Data!L37</f>
        <v>-0.0862153892478259</v>
      </c>
      <c r="D55" s="17" t="n">
        <f aca="false">Phase_Data!M37</f>
        <v>-0.475250731934839</v>
      </c>
      <c r="E55" s="63" t="n">
        <f aca="false">CD55</f>
        <v>3</v>
      </c>
      <c r="F55" s="38" t="n">
        <f aca="false">($B55-INDEX($L$16:$N$16,E55))^2+($C55-INDEX($L$17:$N$17,E55))^2+($D55-INDEX($L$18:$N$18,E55))^2</f>
        <v>0.579384317251461</v>
      </c>
      <c r="G55" s="12" t="str">
        <f aca="false">INDEX($M$5:$M$7,E55)</f>
        <v>Medium activity</v>
      </c>
      <c r="X55" s="17" t="n">
        <f aca="false">SQRT(($B55-X$16)^2+($C55-X$17)^2+($D55-X$18)^2)</f>
        <v>1.97825937164801</v>
      </c>
      <c r="Y55" s="17" t="n">
        <f aca="false">SQRT(($B55-Y$16)^2+($C55-Y$17)^2+($D55-Y$18)^2)</f>
        <v>3.05352658604081</v>
      </c>
      <c r="Z55" s="17" t="n">
        <f aca="false">SQRT(($B55-Z$16)^2+($C55-Z$17)^2+($D55-Z$18)^2)</f>
        <v>1.5406487854773</v>
      </c>
      <c r="AA55" s="63" t="n">
        <f aca="false">MATCH(MIN(X55:Z55),X55:Z55,0)</f>
        <v>3</v>
      </c>
      <c r="AC55" s="17" t="n">
        <f aca="false">SQRT(($B55-AC$16)^2+($C55-AC$17)^2+($D55-AC$18)^2)</f>
        <v>1.59915061762778</v>
      </c>
      <c r="AD55" s="17" t="n">
        <f aca="false">SQRT(($B55-AD$16)^2+($C55-AD$17)^2+($D55-AD$18)^2)</f>
        <v>2.16314100644131</v>
      </c>
      <c r="AE55" s="17" t="n">
        <f aca="false">SQRT(($B55-AE$16)^2+($C55-AE$17)^2+($D55-AE$18)^2)</f>
        <v>0.761113606252885</v>
      </c>
      <c r="AF55" s="63" t="n">
        <f aca="false">MATCH(MIN(AC55:AE55),AC55:AE55,0)</f>
        <v>3</v>
      </c>
      <c r="AH55" s="17" t="n">
        <f aca="false">SQRT(($B55-AH$16)^2+($C55-AH$17)^2+($D55-AH$18)^2)</f>
        <v>1.68175313164325</v>
      </c>
      <c r="AI55" s="17" t="n">
        <f aca="false">SQRT(($B55-AI$16)^2+($C55-AI$17)^2+($D55-AI$18)^2)</f>
        <v>2.31199294741404</v>
      </c>
      <c r="AJ55" s="17" t="n">
        <f aca="false">SQRT(($B55-AJ$16)^2+($C55-AJ$17)^2+($D55-AJ$18)^2)</f>
        <v>0.766944693475438</v>
      </c>
      <c r="AK55" s="63" t="n">
        <f aca="false">MATCH(MIN(AH55:AJ55),AH55:AJ55,0)</f>
        <v>3</v>
      </c>
      <c r="AM55" s="17" t="n">
        <f aca="false">SQRT(($B55-AM$16)^2+($C55-AM$17)^2+($D55-AM$18)^2)</f>
        <v>1.72198954162953</v>
      </c>
      <c r="AN55" s="17" t="n">
        <f aca="false">SQRT(($B55-AN$16)^2+($C55-AN$17)^2+($D55-AN$18)^2)</f>
        <v>2.34115766326016</v>
      </c>
      <c r="AO55" s="17" t="n">
        <f aca="false">SQRT(($B55-AO$16)^2+($C55-AO$17)^2+($D55-AO$18)^2)</f>
        <v>0.761172987731081</v>
      </c>
      <c r="AP55" s="63" t="n">
        <f aca="false">MATCH(MIN(AM55:AO55),AM55:AO55,0)</f>
        <v>3</v>
      </c>
      <c r="AR55" s="17" t="n">
        <f aca="false">SQRT(($B55-AR$16)^2+($C55-AR$17)^2+($D55-AR$18)^2)</f>
        <v>1.72198954162953</v>
      </c>
      <c r="AS55" s="17" t="n">
        <f aca="false">SQRT(($B55-AS$16)^2+($C55-AS$17)^2+($D55-AS$18)^2)</f>
        <v>2.34115766326016</v>
      </c>
      <c r="AT55" s="17" t="n">
        <f aca="false">SQRT(($B55-AT$16)^2+($C55-AT$17)^2+($D55-AT$18)^2)</f>
        <v>0.761172987731081</v>
      </c>
      <c r="AU55" s="63" t="n">
        <f aca="false">MATCH(MIN(AR55:AT55),AR55:AT55,0)</f>
        <v>3</v>
      </c>
      <c r="AW55" s="17" t="n">
        <f aca="false">SQRT(($B55-AW$16)^2+($C55-AW$17)^2+($D55-AW$18)^2)</f>
        <v>1.72198954162953</v>
      </c>
      <c r="AX55" s="17" t="n">
        <f aca="false">SQRT(($B55-AX$16)^2+($C55-AX$17)^2+($D55-AX$18)^2)</f>
        <v>2.34115766326016</v>
      </c>
      <c r="AY55" s="17" t="n">
        <f aca="false">SQRT(($B55-AY$16)^2+($C55-AY$17)^2+($D55-AY$18)^2)</f>
        <v>0.761172987731081</v>
      </c>
      <c r="AZ55" s="63" t="n">
        <f aca="false">MATCH(MIN(AW55:AY55),AW55:AY55,0)</f>
        <v>3</v>
      </c>
      <c r="BB55" s="17" t="n">
        <f aca="false">SQRT(($B55-BB$16)^2+($C55-BB$17)^2+($D55-BB$18)^2)</f>
        <v>1.72198954162953</v>
      </c>
      <c r="BC55" s="17" t="n">
        <f aca="false">SQRT(($B55-BC$16)^2+($C55-BC$17)^2+($D55-BC$18)^2)</f>
        <v>2.34115766326016</v>
      </c>
      <c r="BD55" s="17" t="n">
        <f aca="false">SQRT(($B55-BD$16)^2+($C55-BD$17)^2+($D55-BD$18)^2)</f>
        <v>0.761172987731081</v>
      </c>
      <c r="BE55" s="63" t="n">
        <f aca="false">MATCH(MIN(BB55:BD55),BB55:BD55,0)</f>
        <v>3</v>
      </c>
      <c r="BG55" s="17" t="n">
        <f aca="false">SQRT(($B55-BG$16)^2+($C55-BG$17)^2+($D55-BG$18)^2)</f>
        <v>1.72198954162953</v>
      </c>
      <c r="BH55" s="17" t="n">
        <f aca="false">SQRT(($B55-BH$16)^2+($C55-BH$17)^2+($D55-BH$18)^2)</f>
        <v>2.34115766326016</v>
      </c>
      <c r="BI55" s="17" t="n">
        <f aca="false">SQRT(($B55-BI$16)^2+($C55-BI$17)^2+($D55-BI$18)^2)</f>
        <v>0.761172987731081</v>
      </c>
      <c r="BJ55" s="63" t="n">
        <f aca="false">MATCH(MIN(BG55:BI55),BG55:BI55,0)</f>
        <v>3</v>
      </c>
      <c r="BL55" s="17" t="n">
        <f aca="false">SQRT(($B55-BL$16)^2+($C55-BL$17)^2+($D55-BL$18)^2)</f>
        <v>1.72198954162953</v>
      </c>
      <c r="BM55" s="17" t="n">
        <f aca="false">SQRT(($B55-BM$16)^2+($C55-BM$17)^2+($D55-BM$18)^2)</f>
        <v>2.34115766326016</v>
      </c>
      <c r="BN55" s="17" t="n">
        <f aca="false">SQRT(($B55-BN$16)^2+($C55-BN$17)^2+($D55-BN$18)^2)</f>
        <v>0.761172987731081</v>
      </c>
      <c r="BO55" s="63" t="n">
        <f aca="false">MATCH(MIN(BL55:BN55),BL55:BN55,0)</f>
        <v>3</v>
      </c>
      <c r="BQ55" s="17" t="n">
        <f aca="false">SQRT(($B55-BQ$16)^2+($C55-BQ$17)^2+($D55-BQ$18)^2)</f>
        <v>1.72198954162953</v>
      </c>
      <c r="BR55" s="17" t="n">
        <f aca="false">SQRT(($B55-BR$16)^2+($C55-BR$17)^2+($D55-BR$18)^2)</f>
        <v>2.34115766326016</v>
      </c>
      <c r="BS55" s="17" t="n">
        <f aca="false">SQRT(($B55-BS$16)^2+($C55-BS$17)^2+($D55-BS$18)^2)</f>
        <v>0.761172987731081</v>
      </c>
      <c r="BT55" s="63" t="n">
        <f aca="false">MATCH(MIN(BQ55:BS55),BQ55:BS55,0)</f>
        <v>3</v>
      </c>
      <c r="BV55" s="17" t="n">
        <f aca="false">SQRT(($B55-BV$16)^2+($C55-BV$17)^2+($D55-BV$18)^2)</f>
        <v>1.72198954162953</v>
      </c>
      <c r="BW55" s="17" t="n">
        <f aca="false">SQRT(($B55-BW$16)^2+($C55-BW$17)^2+($D55-BW$18)^2)</f>
        <v>2.34115766326016</v>
      </c>
      <c r="BX55" s="17" t="n">
        <f aca="false">SQRT(($B55-BX$16)^2+($C55-BX$17)^2+($D55-BX$18)^2)</f>
        <v>0.761172987731081</v>
      </c>
      <c r="BY55" s="63" t="n">
        <f aca="false">MATCH(MIN(BV55:BX55),BV55:BX55,0)</f>
        <v>3</v>
      </c>
      <c r="CA55" s="17" t="n">
        <f aca="false">SQRT(($B55-CA$16)^2+($C55-CA$17)^2+($D55-CA$18)^2)</f>
        <v>1.72198954162953</v>
      </c>
      <c r="CB55" s="17" t="n">
        <f aca="false">SQRT(($B55-CB$16)^2+($C55-CB$17)^2+($D55-CB$18)^2)</f>
        <v>2.34115766326016</v>
      </c>
      <c r="CC55" s="17" t="n">
        <f aca="false">SQRT(($B55-CC$16)^2+($C55-CC$17)^2+($D55-CC$18)^2)</f>
        <v>0.761172987731081</v>
      </c>
      <c r="CD55" s="63" t="n">
        <f aca="false">MATCH(MIN(CA55:CC55),CA55:CC55,0)</f>
        <v>3</v>
      </c>
    </row>
    <row r="56" customFormat="false" ht="15" hidden="false" customHeight="false" outlineLevel="0" collapsed="false">
      <c r="A56" s="76" t="n">
        <f aca="false">Phase_Data!A38</f>
        <v>43920</v>
      </c>
      <c r="B56" s="17" t="n">
        <f aca="false">Phase_Data!K38</f>
        <v>-0.127012376412343</v>
      </c>
      <c r="C56" s="17" t="n">
        <f aca="false">Phase_Data!L38</f>
        <v>-0.314681610738362</v>
      </c>
      <c r="D56" s="17" t="n">
        <f aca="false">Phase_Data!M38</f>
        <v>0.0716501263469808</v>
      </c>
      <c r="E56" s="63" t="n">
        <f aca="false">CD56</f>
        <v>3</v>
      </c>
      <c r="F56" s="38" t="n">
        <f aca="false">($B56-INDEX($L$16:$N$16,E56))^2+($C56-INDEX($L$17:$N$17,E56))^2+($D56-INDEX($L$18:$N$18,E56))^2</f>
        <v>0.323071759183567</v>
      </c>
      <c r="G56" s="12" t="str">
        <f aca="false">INDEX($M$5:$M$7,E56)</f>
        <v>Medium activity</v>
      </c>
      <c r="X56" s="17" t="n">
        <f aca="false">SQRT(($B56-X$16)^2+($C56-X$17)^2+($D56-X$18)^2)</f>
        <v>2.25363460282652</v>
      </c>
      <c r="Y56" s="17" t="n">
        <f aca="false">SQRT(($B56-Y$16)^2+($C56-Y$17)^2+($D56-Y$18)^2)</f>
        <v>2.73652322194819</v>
      </c>
      <c r="Z56" s="17" t="n">
        <f aca="false">SQRT(($B56-Z$16)^2+($C56-Z$17)^2+($D56-Z$18)^2)</f>
        <v>1.90729108621779</v>
      </c>
      <c r="AA56" s="63" t="n">
        <f aca="false">MATCH(MIN(X56:Z56),X56:Z56,0)</f>
        <v>3</v>
      </c>
      <c r="AC56" s="17" t="n">
        <f aca="false">SQRT(($B56-AC$16)^2+($C56-AC$17)^2+($D56-AC$18)^2)</f>
        <v>1.86425759096889</v>
      </c>
      <c r="AD56" s="17" t="n">
        <f aca="false">SQRT(($B56-AD$16)^2+($C56-AD$17)^2+($D56-AD$18)^2)</f>
        <v>1.84291015468925</v>
      </c>
      <c r="AE56" s="17" t="n">
        <f aca="false">SQRT(($B56-AE$16)^2+($C56-AE$17)^2+($D56-AE$18)^2)</f>
        <v>0.669458027343087</v>
      </c>
      <c r="AF56" s="63" t="n">
        <f aca="false">MATCH(MIN(AC56:AE56),AC56:AE56,0)</f>
        <v>3</v>
      </c>
      <c r="AH56" s="17" t="n">
        <f aca="false">SQRT(($B56-AH$16)^2+($C56-AH$17)^2+($D56-AH$18)^2)</f>
        <v>1.95370650221952</v>
      </c>
      <c r="AI56" s="17" t="n">
        <f aca="false">SQRT(($B56-AI$16)^2+($C56-AI$17)^2+($D56-AI$18)^2)</f>
        <v>2.00285571548508</v>
      </c>
      <c r="AJ56" s="17" t="n">
        <f aca="false">SQRT(($B56-AJ$16)^2+($C56-AJ$17)^2+($D56-AJ$18)^2)</f>
        <v>0.592759947246053</v>
      </c>
      <c r="AK56" s="63" t="n">
        <f aca="false">MATCH(MIN(AH56:AJ56),AH56:AJ56,0)</f>
        <v>3</v>
      </c>
      <c r="AM56" s="17" t="n">
        <f aca="false">SQRT(($B56-AM$16)^2+($C56-AM$17)^2+($D56-AM$18)^2)</f>
        <v>1.99677482194261</v>
      </c>
      <c r="AN56" s="17" t="n">
        <f aca="false">SQRT(($B56-AN$16)^2+($C56-AN$17)^2+($D56-AN$18)^2)</f>
        <v>2.03643322732856</v>
      </c>
      <c r="AO56" s="17" t="n">
        <f aca="false">SQRT(($B56-AO$16)^2+($C56-AO$17)^2+($D56-AO$18)^2)</f>
        <v>0.568394017547306</v>
      </c>
      <c r="AP56" s="63" t="n">
        <f aca="false">MATCH(MIN(AM56:AO56),AM56:AO56,0)</f>
        <v>3</v>
      </c>
      <c r="AR56" s="17" t="n">
        <f aca="false">SQRT(($B56-AR$16)^2+($C56-AR$17)^2+($D56-AR$18)^2)</f>
        <v>1.99677482194261</v>
      </c>
      <c r="AS56" s="17" t="n">
        <f aca="false">SQRT(($B56-AS$16)^2+($C56-AS$17)^2+($D56-AS$18)^2)</f>
        <v>2.03643322732856</v>
      </c>
      <c r="AT56" s="17" t="n">
        <f aca="false">SQRT(($B56-AT$16)^2+($C56-AT$17)^2+($D56-AT$18)^2)</f>
        <v>0.568394017547306</v>
      </c>
      <c r="AU56" s="63" t="n">
        <f aca="false">MATCH(MIN(AR56:AT56),AR56:AT56,0)</f>
        <v>3</v>
      </c>
      <c r="AW56" s="17" t="n">
        <f aca="false">SQRT(($B56-AW$16)^2+($C56-AW$17)^2+($D56-AW$18)^2)</f>
        <v>1.99677482194261</v>
      </c>
      <c r="AX56" s="17" t="n">
        <f aca="false">SQRT(($B56-AX$16)^2+($C56-AX$17)^2+($D56-AX$18)^2)</f>
        <v>2.03643322732856</v>
      </c>
      <c r="AY56" s="17" t="n">
        <f aca="false">SQRT(($B56-AY$16)^2+($C56-AY$17)^2+($D56-AY$18)^2)</f>
        <v>0.568394017547306</v>
      </c>
      <c r="AZ56" s="63" t="n">
        <f aca="false">MATCH(MIN(AW56:AY56),AW56:AY56,0)</f>
        <v>3</v>
      </c>
      <c r="BB56" s="17" t="n">
        <f aca="false">SQRT(($B56-BB$16)^2+($C56-BB$17)^2+($D56-BB$18)^2)</f>
        <v>1.99677482194261</v>
      </c>
      <c r="BC56" s="17" t="n">
        <f aca="false">SQRT(($B56-BC$16)^2+($C56-BC$17)^2+($D56-BC$18)^2)</f>
        <v>2.03643322732856</v>
      </c>
      <c r="BD56" s="17" t="n">
        <f aca="false">SQRT(($B56-BD$16)^2+($C56-BD$17)^2+($D56-BD$18)^2)</f>
        <v>0.568394017547306</v>
      </c>
      <c r="BE56" s="63" t="n">
        <f aca="false">MATCH(MIN(BB56:BD56),BB56:BD56,0)</f>
        <v>3</v>
      </c>
      <c r="BG56" s="17" t="n">
        <f aca="false">SQRT(($B56-BG$16)^2+($C56-BG$17)^2+($D56-BG$18)^2)</f>
        <v>1.99677482194261</v>
      </c>
      <c r="BH56" s="17" t="n">
        <f aca="false">SQRT(($B56-BH$16)^2+($C56-BH$17)^2+($D56-BH$18)^2)</f>
        <v>2.03643322732856</v>
      </c>
      <c r="BI56" s="17" t="n">
        <f aca="false">SQRT(($B56-BI$16)^2+($C56-BI$17)^2+($D56-BI$18)^2)</f>
        <v>0.568394017547306</v>
      </c>
      <c r="BJ56" s="63" t="n">
        <f aca="false">MATCH(MIN(BG56:BI56),BG56:BI56,0)</f>
        <v>3</v>
      </c>
      <c r="BL56" s="17" t="n">
        <f aca="false">SQRT(($B56-BL$16)^2+($C56-BL$17)^2+($D56-BL$18)^2)</f>
        <v>1.99677482194261</v>
      </c>
      <c r="BM56" s="17" t="n">
        <f aca="false">SQRT(($B56-BM$16)^2+($C56-BM$17)^2+($D56-BM$18)^2)</f>
        <v>2.03643322732856</v>
      </c>
      <c r="BN56" s="17" t="n">
        <f aca="false">SQRT(($B56-BN$16)^2+($C56-BN$17)^2+($D56-BN$18)^2)</f>
        <v>0.568394017547306</v>
      </c>
      <c r="BO56" s="63" t="n">
        <f aca="false">MATCH(MIN(BL56:BN56),BL56:BN56,0)</f>
        <v>3</v>
      </c>
      <c r="BQ56" s="17" t="n">
        <f aca="false">SQRT(($B56-BQ$16)^2+($C56-BQ$17)^2+($D56-BQ$18)^2)</f>
        <v>1.99677482194261</v>
      </c>
      <c r="BR56" s="17" t="n">
        <f aca="false">SQRT(($B56-BR$16)^2+($C56-BR$17)^2+($D56-BR$18)^2)</f>
        <v>2.03643322732856</v>
      </c>
      <c r="BS56" s="17" t="n">
        <f aca="false">SQRT(($B56-BS$16)^2+($C56-BS$17)^2+($D56-BS$18)^2)</f>
        <v>0.568394017547306</v>
      </c>
      <c r="BT56" s="63" t="n">
        <f aca="false">MATCH(MIN(BQ56:BS56),BQ56:BS56,0)</f>
        <v>3</v>
      </c>
      <c r="BV56" s="17" t="n">
        <f aca="false">SQRT(($B56-BV$16)^2+($C56-BV$17)^2+($D56-BV$18)^2)</f>
        <v>1.99677482194261</v>
      </c>
      <c r="BW56" s="17" t="n">
        <f aca="false">SQRT(($B56-BW$16)^2+($C56-BW$17)^2+($D56-BW$18)^2)</f>
        <v>2.03643322732856</v>
      </c>
      <c r="BX56" s="17" t="n">
        <f aca="false">SQRT(($B56-BX$16)^2+($C56-BX$17)^2+($D56-BX$18)^2)</f>
        <v>0.568394017547306</v>
      </c>
      <c r="BY56" s="63" t="n">
        <f aca="false">MATCH(MIN(BV56:BX56),BV56:BX56,0)</f>
        <v>3</v>
      </c>
      <c r="CA56" s="17" t="n">
        <f aca="false">SQRT(($B56-CA$16)^2+($C56-CA$17)^2+($D56-CA$18)^2)</f>
        <v>1.99677482194261</v>
      </c>
      <c r="CB56" s="17" t="n">
        <f aca="false">SQRT(($B56-CB$16)^2+($C56-CB$17)^2+($D56-CB$18)^2)</f>
        <v>2.03643322732856</v>
      </c>
      <c r="CC56" s="17" t="n">
        <f aca="false">SQRT(($B56-CC$16)^2+($C56-CC$17)^2+($D56-CC$18)^2)</f>
        <v>0.568394017547306</v>
      </c>
      <c r="CD56" s="63" t="n">
        <f aca="false">MATCH(MIN(CA56:CC56),CA56:CC56,0)</f>
        <v>3</v>
      </c>
    </row>
    <row r="57" customFormat="false" ht="15" hidden="false" customHeight="false" outlineLevel="0" collapsed="false">
      <c r="A57" s="76" t="n">
        <f aca="false">Phase_Data!A39</f>
        <v>43921</v>
      </c>
      <c r="B57" s="17" t="n">
        <f aca="false">Phase_Data!K39</f>
        <v>0.0439192811608024</v>
      </c>
      <c r="C57" s="17" t="n">
        <f aca="false">Phase_Data!L39</f>
        <v>-0.314681610738362</v>
      </c>
      <c r="D57" s="17" t="n">
        <f aca="false">Phase_Data!M39</f>
        <v>0.173805271602241</v>
      </c>
      <c r="E57" s="63" t="n">
        <f aca="false">CD57</f>
        <v>3</v>
      </c>
      <c r="F57" s="38" t="n">
        <f aca="false">($B57-INDEX($L$16:$N$16,E57))^2+($C57-INDEX($L$17:$N$17,E57))^2+($D57-INDEX($L$18:$N$18,E57))^2</f>
        <v>0.250079441919183</v>
      </c>
      <c r="G57" s="12" t="str">
        <f aca="false">INDEX($M$5:$M$7,E57)</f>
        <v>Medium activity</v>
      </c>
      <c r="X57" s="17" t="n">
        <f aca="false">SQRT(($B57-X$16)^2+($C57-X$17)^2+($D57-X$18)^2)</f>
        <v>2.42596902087679</v>
      </c>
      <c r="Y57" s="17" t="n">
        <f aca="false">SQRT(($B57-Y$16)^2+($C57-Y$17)^2+($D57-Y$18)^2)</f>
        <v>2.59755955978641</v>
      </c>
      <c r="Z57" s="17" t="n">
        <f aca="false">SQRT(($B57-Z$16)^2+($C57-Z$17)^2+($D57-Z$18)^2)</f>
        <v>1.91921461233017</v>
      </c>
      <c r="AA57" s="63" t="n">
        <f aca="false">MATCH(MIN(X57:Z57),X57:Z57,0)</f>
        <v>3</v>
      </c>
      <c r="AC57" s="17" t="n">
        <f aca="false">SQRT(($B57-AC$16)^2+($C57-AC$17)^2+($D57-AC$18)^2)</f>
        <v>2.03218715619064</v>
      </c>
      <c r="AD57" s="17" t="n">
        <f aca="false">SQRT(($B57-AD$16)^2+($C57-AD$17)^2+($D57-AD$18)^2)</f>
        <v>1.7093314882385</v>
      </c>
      <c r="AE57" s="17" t="n">
        <f aca="false">SQRT(($B57-AE$16)^2+($C57-AE$17)^2+($D57-AE$18)^2)</f>
        <v>0.617853751623268</v>
      </c>
      <c r="AF57" s="63" t="n">
        <f aca="false">MATCH(MIN(AC57:AE57),AC57:AE57,0)</f>
        <v>3</v>
      </c>
      <c r="AH57" s="17" t="n">
        <f aca="false">SQRT(($B57-AH$16)^2+($C57-AH$17)^2+($D57-AH$18)^2)</f>
        <v>2.12264502360433</v>
      </c>
      <c r="AI57" s="17" t="n">
        <f aca="false">SQRT(($B57-AI$16)^2+($C57-AI$17)^2+($D57-AI$18)^2)</f>
        <v>1.86921429234778</v>
      </c>
      <c r="AJ57" s="17" t="n">
        <f aca="false">SQRT(($B57-AJ$16)^2+($C57-AJ$17)^2+($D57-AJ$18)^2)</f>
        <v>0.527453335933945</v>
      </c>
      <c r="AK57" s="63" t="n">
        <f aca="false">MATCH(MIN(AH57:AJ57),AH57:AJ57,0)</f>
        <v>3</v>
      </c>
      <c r="AM57" s="17" t="n">
        <f aca="false">SQRT(($B57-AM$16)^2+($C57-AM$17)^2+($D57-AM$18)^2)</f>
        <v>2.16648304462409</v>
      </c>
      <c r="AN57" s="17" t="n">
        <f aca="false">SQRT(($B57-AN$16)^2+($C57-AN$17)^2+($D57-AN$18)^2)</f>
        <v>1.90348502247369</v>
      </c>
      <c r="AO57" s="17" t="n">
        <f aca="false">SQRT(($B57-AO$16)^2+($C57-AO$17)^2+($D57-AO$18)^2)</f>
        <v>0.500079435609167</v>
      </c>
      <c r="AP57" s="63" t="n">
        <f aca="false">MATCH(MIN(AM57:AO57),AM57:AO57,0)</f>
        <v>3</v>
      </c>
      <c r="AR57" s="17" t="n">
        <f aca="false">SQRT(($B57-AR$16)^2+($C57-AR$17)^2+($D57-AR$18)^2)</f>
        <v>2.16648304462409</v>
      </c>
      <c r="AS57" s="17" t="n">
        <f aca="false">SQRT(($B57-AS$16)^2+($C57-AS$17)^2+($D57-AS$18)^2)</f>
        <v>1.90348502247369</v>
      </c>
      <c r="AT57" s="17" t="n">
        <f aca="false">SQRT(($B57-AT$16)^2+($C57-AT$17)^2+($D57-AT$18)^2)</f>
        <v>0.500079435609167</v>
      </c>
      <c r="AU57" s="63" t="n">
        <f aca="false">MATCH(MIN(AR57:AT57),AR57:AT57,0)</f>
        <v>3</v>
      </c>
      <c r="AW57" s="17" t="n">
        <f aca="false">SQRT(($B57-AW$16)^2+($C57-AW$17)^2+($D57-AW$18)^2)</f>
        <v>2.16648304462409</v>
      </c>
      <c r="AX57" s="17" t="n">
        <f aca="false">SQRT(($B57-AX$16)^2+($C57-AX$17)^2+($D57-AX$18)^2)</f>
        <v>1.90348502247369</v>
      </c>
      <c r="AY57" s="17" t="n">
        <f aca="false">SQRT(($B57-AY$16)^2+($C57-AY$17)^2+($D57-AY$18)^2)</f>
        <v>0.500079435609167</v>
      </c>
      <c r="AZ57" s="63" t="n">
        <f aca="false">MATCH(MIN(AW57:AY57),AW57:AY57,0)</f>
        <v>3</v>
      </c>
      <c r="BB57" s="17" t="n">
        <f aca="false">SQRT(($B57-BB$16)^2+($C57-BB$17)^2+($D57-BB$18)^2)</f>
        <v>2.16648304462409</v>
      </c>
      <c r="BC57" s="17" t="n">
        <f aca="false">SQRT(($B57-BC$16)^2+($C57-BC$17)^2+($D57-BC$18)^2)</f>
        <v>1.90348502247369</v>
      </c>
      <c r="BD57" s="17" t="n">
        <f aca="false">SQRT(($B57-BD$16)^2+($C57-BD$17)^2+($D57-BD$18)^2)</f>
        <v>0.500079435609167</v>
      </c>
      <c r="BE57" s="63" t="n">
        <f aca="false">MATCH(MIN(BB57:BD57),BB57:BD57,0)</f>
        <v>3</v>
      </c>
      <c r="BG57" s="17" t="n">
        <f aca="false">SQRT(($B57-BG$16)^2+($C57-BG$17)^2+($D57-BG$18)^2)</f>
        <v>2.16648304462409</v>
      </c>
      <c r="BH57" s="17" t="n">
        <f aca="false">SQRT(($B57-BH$16)^2+($C57-BH$17)^2+($D57-BH$18)^2)</f>
        <v>1.90348502247369</v>
      </c>
      <c r="BI57" s="17" t="n">
        <f aca="false">SQRT(($B57-BI$16)^2+($C57-BI$17)^2+($D57-BI$18)^2)</f>
        <v>0.500079435609167</v>
      </c>
      <c r="BJ57" s="63" t="n">
        <f aca="false">MATCH(MIN(BG57:BI57),BG57:BI57,0)</f>
        <v>3</v>
      </c>
      <c r="BL57" s="17" t="n">
        <f aca="false">SQRT(($B57-BL$16)^2+($C57-BL$17)^2+($D57-BL$18)^2)</f>
        <v>2.16648304462409</v>
      </c>
      <c r="BM57" s="17" t="n">
        <f aca="false">SQRT(($B57-BM$16)^2+($C57-BM$17)^2+($D57-BM$18)^2)</f>
        <v>1.90348502247369</v>
      </c>
      <c r="BN57" s="17" t="n">
        <f aca="false">SQRT(($B57-BN$16)^2+($C57-BN$17)^2+($D57-BN$18)^2)</f>
        <v>0.500079435609167</v>
      </c>
      <c r="BO57" s="63" t="n">
        <f aca="false">MATCH(MIN(BL57:BN57),BL57:BN57,0)</f>
        <v>3</v>
      </c>
      <c r="BQ57" s="17" t="n">
        <f aca="false">SQRT(($B57-BQ$16)^2+($C57-BQ$17)^2+($D57-BQ$18)^2)</f>
        <v>2.16648304462409</v>
      </c>
      <c r="BR57" s="17" t="n">
        <f aca="false">SQRT(($B57-BR$16)^2+($C57-BR$17)^2+($D57-BR$18)^2)</f>
        <v>1.90348502247369</v>
      </c>
      <c r="BS57" s="17" t="n">
        <f aca="false">SQRT(($B57-BS$16)^2+($C57-BS$17)^2+($D57-BS$18)^2)</f>
        <v>0.500079435609167</v>
      </c>
      <c r="BT57" s="63" t="n">
        <f aca="false">MATCH(MIN(BQ57:BS57),BQ57:BS57,0)</f>
        <v>3</v>
      </c>
      <c r="BV57" s="17" t="n">
        <f aca="false">SQRT(($B57-BV$16)^2+($C57-BV$17)^2+($D57-BV$18)^2)</f>
        <v>2.16648304462409</v>
      </c>
      <c r="BW57" s="17" t="n">
        <f aca="false">SQRT(($B57-BW$16)^2+($C57-BW$17)^2+($D57-BW$18)^2)</f>
        <v>1.90348502247369</v>
      </c>
      <c r="BX57" s="17" t="n">
        <f aca="false">SQRT(($B57-BX$16)^2+($C57-BX$17)^2+($D57-BX$18)^2)</f>
        <v>0.500079435609167</v>
      </c>
      <c r="BY57" s="63" t="n">
        <f aca="false">MATCH(MIN(BV57:BX57),BV57:BX57,0)</f>
        <v>3</v>
      </c>
      <c r="CA57" s="17" t="n">
        <f aca="false">SQRT(($B57-CA$16)^2+($C57-CA$17)^2+($D57-CA$18)^2)</f>
        <v>2.16648304462409</v>
      </c>
      <c r="CB57" s="17" t="n">
        <f aca="false">SQRT(($B57-CB$16)^2+($C57-CB$17)^2+($D57-CB$18)^2)</f>
        <v>1.90348502247369</v>
      </c>
      <c r="CC57" s="17" t="n">
        <f aca="false">SQRT(($B57-CC$16)^2+($C57-CC$17)^2+($D57-CC$18)^2)</f>
        <v>0.500079435609167</v>
      </c>
      <c r="CD57" s="63" t="n">
        <f aca="false">MATCH(MIN(CA57:CC57),CA57:CC57,0)</f>
        <v>3</v>
      </c>
    </row>
    <row r="58" customFormat="false" ht="15" hidden="false" customHeight="false" outlineLevel="0" collapsed="false">
      <c r="A58" s="76" t="n">
        <f aca="false">Phase_Data!A40</f>
        <v>43922</v>
      </c>
      <c r="B58" s="17" t="n">
        <f aca="false">Phase_Data!K40</f>
        <v>0.104967551810907</v>
      </c>
      <c r="C58" s="17" t="n">
        <f aca="false">Phase_Data!L40</f>
        <v>-0.314681610738362</v>
      </c>
      <c r="D58" s="17" t="n">
        <f aca="false">Phase_Data!M40</f>
        <v>-0.20773829237967</v>
      </c>
      <c r="E58" s="63" t="n">
        <f aca="false">CD58</f>
        <v>3</v>
      </c>
      <c r="F58" s="38" t="n">
        <f aca="false">($B58-INDEX($L$16:$N$16,E58))^2+($C58-INDEX($L$17:$N$17,E58))^2+($D58-INDEX($L$18:$N$18,E58))^2</f>
        <v>0.218064332778001</v>
      </c>
      <c r="G58" s="12" t="str">
        <f aca="false">INDEX($M$5:$M$7,E58)</f>
        <v>Medium activity</v>
      </c>
      <c r="X58" s="17" t="n">
        <f aca="false">SQRT(($B58-X$16)^2+($C58-X$17)^2+($D58-X$18)^2)</f>
        <v>2.26344919901627</v>
      </c>
      <c r="Y58" s="17" t="n">
        <f aca="false">SQRT(($B58-Y$16)^2+($C58-Y$17)^2+($D58-Y$18)^2)</f>
        <v>2.80603414627146</v>
      </c>
      <c r="Z58" s="17" t="n">
        <f aca="false">SQRT(($B58-Z$16)^2+($C58-Z$17)^2+($D58-Z$18)^2)</f>
        <v>1.62773777876756</v>
      </c>
      <c r="AA58" s="63" t="n">
        <f aca="false">MATCH(MIN(X58:Z58),X58:Z58,0)</f>
        <v>3</v>
      </c>
      <c r="AC58" s="17" t="n">
        <f aca="false">SQRT(($B58-AC$16)^2+($C58-AC$17)^2+($D58-AC$18)^2)</f>
        <v>1.85702189062944</v>
      </c>
      <c r="AD58" s="17" t="n">
        <f aca="false">SQRT(($B58-AD$16)^2+($C58-AD$17)^2+($D58-AD$18)^2)</f>
        <v>1.91561985891333</v>
      </c>
      <c r="AE58" s="17" t="n">
        <f aca="false">SQRT(($B58-AE$16)^2+($C58-AE$17)^2+($D58-AE$18)^2)</f>
        <v>0.518289926632647</v>
      </c>
      <c r="AF58" s="63" t="n">
        <f aca="false">MATCH(MIN(AC58:AE58),AC58:AE58,0)</f>
        <v>3</v>
      </c>
      <c r="AH58" s="17" t="n">
        <f aca="false">SQRT(($B58-AH$16)^2+($C58-AH$17)^2+($D58-AH$18)^2)</f>
        <v>1.94762773902128</v>
      </c>
      <c r="AI58" s="17" t="n">
        <f aca="false">SQRT(($B58-AI$16)^2+($C58-AI$17)^2+($D58-AI$18)^2)</f>
        <v>2.06894490971847</v>
      </c>
      <c r="AJ58" s="17" t="n">
        <f aca="false">SQRT(($B58-AJ$16)^2+($C58-AJ$17)^2+($D58-AJ$18)^2)</f>
        <v>0.488499351604324</v>
      </c>
      <c r="AK58" s="63" t="n">
        <f aca="false">MATCH(MIN(AH58:AJ58),AH58:AJ58,0)</f>
        <v>3</v>
      </c>
      <c r="AM58" s="17" t="n">
        <f aca="false">SQRT(($B58-AM$16)^2+($C58-AM$17)^2+($D58-AM$18)^2)</f>
        <v>1.99256129099159</v>
      </c>
      <c r="AN58" s="17" t="n">
        <f aca="false">SQRT(($B58-AN$16)^2+($C58-AN$17)^2+($D58-AN$18)^2)</f>
        <v>2.10115534159054</v>
      </c>
      <c r="AO58" s="17" t="n">
        <f aca="false">SQRT(($B58-AO$16)^2+($C58-AO$17)^2+($D58-AO$18)^2)</f>
        <v>0.466973588951239</v>
      </c>
      <c r="AP58" s="63" t="n">
        <f aca="false">MATCH(MIN(AM58:AO58),AM58:AO58,0)</f>
        <v>3</v>
      </c>
      <c r="AR58" s="17" t="n">
        <f aca="false">SQRT(($B58-AR$16)^2+($C58-AR$17)^2+($D58-AR$18)^2)</f>
        <v>1.99256129099159</v>
      </c>
      <c r="AS58" s="17" t="n">
        <f aca="false">SQRT(($B58-AS$16)^2+($C58-AS$17)^2+($D58-AS$18)^2)</f>
        <v>2.10115534159054</v>
      </c>
      <c r="AT58" s="17" t="n">
        <f aca="false">SQRT(($B58-AT$16)^2+($C58-AT$17)^2+($D58-AT$18)^2)</f>
        <v>0.466973588951239</v>
      </c>
      <c r="AU58" s="63" t="n">
        <f aca="false">MATCH(MIN(AR58:AT58),AR58:AT58,0)</f>
        <v>3</v>
      </c>
      <c r="AW58" s="17" t="n">
        <f aca="false">SQRT(($B58-AW$16)^2+($C58-AW$17)^2+($D58-AW$18)^2)</f>
        <v>1.99256129099159</v>
      </c>
      <c r="AX58" s="17" t="n">
        <f aca="false">SQRT(($B58-AX$16)^2+($C58-AX$17)^2+($D58-AX$18)^2)</f>
        <v>2.10115534159054</v>
      </c>
      <c r="AY58" s="17" t="n">
        <f aca="false">SQRT(($B58-AY$16)^2+($C58-AY$17)^2+($D58-AY$18)^2)</f>
        <v>0.466973588951239</v>
      </c>
      <c r="AZ58" s="63" t="n">
        <f aca="false">MATCH(MIN(AW58:AY58),AW58:AY58,0)</f>
        <v>3</v>
      </c>
      <c r="BB58" s="17" t="n">
        <f aca="false">SQRT(($B58-BB$16)^2+($C58-BB$17)^2+($D58-BB$18)^2)</f>
        <v>1.99256129099159</v>
      </c>
      <c r="BC58" s="17" t="n">
        <f aca="false">SQRT(($B58-BC$16)^2+($C58-BC$17)^2+($D58-BC$18)^2)</f>
        <v>2.10115534159054</v>
      </c>
      <c r="BD58" s="17" t="n">
        <f aca="false">SQRT(($B58-BD$16)^2+($C58-BD$17)^2+($D58-BD$18)^2)</f>
        <v>0.466973588951239</v>
      </c>
      <c r="BE58" s="63" t="n">
        <f aca="false">MATCH(MIN(BB58:BD58),BB58:BD58,0)</f>
        <v>3</v>
      </c>
      <c r="BG58" s="17" t="n">
        <f aca="false">SQRT(($B58-BG$16)^2+($C58-BG$17)^2+($D58-BG$18)^2)</f>
        <v>1.99256129099159</v>
      </c>
      <c r="BH58" s="17" t="n">
        <f aca="false">SQRT(($B58-BH$16)^2+($C58-BH$17)^2+($D58-BH$18)^2)</f>
        <v>2.10115534159054</v>
      </c>
      <c r="BI58" s="17" t="n">
        <f aca="false">SQRT(($B58-BI$16)^2+($C58-BI$17)^2+($D58-BI$18)^2)</f>
        <v>0.466973588951239</v>
      </c>
      <c r="BJ58" s="63" t="n">
        <f aca="false">MATCH(MIN(BG58:BI58),BG58:BI58,0)</f>
        <v>3</v>
      </c>
      <c r="BL58" s="17" t="n">
        <f aca="false">SQRT(($B58-BL$16)^2+($C58-BL$17)^2+($D58-BL$18)^2)</f>
        <v>1.99256129099159</v>
      </c>
      <c r="BM58" s="17" t="n">
        <f aca="false">SQRT(($B58-BM$16)^2+($C58-BM$17)^2+($D58-BM$18)^2)</f>
        <v>2.10115534159054</v>
      </c>
      <c r="BN58" s="17" t="n">
        <f aca="false">SQRT(($B58-BN$16)^2+($C58-BN$17)^2+($D58-BN$18)^2)</f>
        <v>0.466973588951239</v>
      </c>
      <c r="BO58" s="63" t="n">
        <f aca="false">MATCH(MIN(BL58:BN58),BL58:BN58,0)</f>
        <v>3</v>
      </c>
      <c r="BQ58" s="17" t="n">
        <f aca="false">SQRT(($B58-BQ$16)^2+($C58-BQ$17)^2+($D58-BQ$18)^2)</f>
        <v>1.99256129099159</v>
      </c>
      <c r="BR58" s="17" t="n">
        <f aca="false">SQRT(($B58-BR$16)^2+($C58-BR$17)^2+($D58-BR$18)^2)</f>
        <v>2.10115534159054</v>
      </c>
      <c r="BS58" s="17" t="n">
        <f aca="false">SQRT(($B58-BS$16)^2+($C58-BS$17)^2+($D58-BS$18)^2)</f>
        <v>0.466973588951239</v>
      </c>
      <c r="BT58" s="63" t="n">
        <f aca="false">MATCH(MIN(BQ58:BS58),BQ58:BS58,0)</f>
        <v>3</v>
      </c>
      <c r="BV58" s="17" t="n">
        <f aca="false">SQRT(($B58-BV$16)^2+($C58-BV$17)^2+($D58-BV$18)^2)</f>
        <v>1.99256129099159</v>
      </c>
      <c r="BW58" s="17" t="n">
        <f aca="false">SQRT(($B58-BW$16)^2+($C58-BW$17)^2+($D58-BW$18)^2)</f>
        <v>2.10115534159054</v>
      </c>
      <c r="BX58" s="17" t="n">
        <f aca="false">SQRT(($B58-BX$16)^2+($C58-BX$17)^2+($D58-BX$18)^2)</f>
        <v>0.466973588951239</v>
      </c>
      <c r="BY58" s="63" t="n">
        <f aca="false">MATCH(MIN(BV58:BX58),BV58:BX58,0)</f>
        <v>3</v>
      </c>
      <c r="CA58" s="17" t="n">
        <f aca="false">SQRT(($B58-CA$16)^2+($C58-CA$17)^2+($D58-CA$18)^2)</f>
        <v>1.99256129099159</v>
      </c>
      <c r="CB58" s="17" t="n">
        <f aca="false">SQRT(($B58-CB$16)^2+($C58-CB$17)^2+($D58-CB$18)^2)</f>
        <v>2.10115534159054</v>
      </c>
      <c r="CC58" s="17" t="n">
        <f aca="false">SQRT(($B58-CC$16)^2+($C58-CC$17)^2+($D58-CC$18)^2)</f>
        <v>0.466973588951239</v>
      </c>
      <c r="CD58" s="63" t="n">
        <f aca="false">MATCH(MIN(CA58:CC58),CA58:CC58,0)</f>
        <v>3</v>
      </c>
    </row>
    <row r="59" customFormat="false" ht="15" hidden="false" customHeight="false" outlineLevel="0" collapsed="false">
      <c r="A59" s="76" t="n">
        <f aca="false">Phase_Data!A41</f>
        <v>43923</v>
      </c>
      <c r="B59" s="17" t="n">
        <f aca="false">Phase_Data!K41</f>
        <v>-0.0346342685569303</v>
      </c>
      <c r="C59" s="17" t="n">
        <f aca="false">Phase_Data!L41</f>
        <v>-0.190884421421135</v>
      </c>
      <c r="D59" s="17" t="n">
        <f aca="false">Phase_Data!M41</f>
        <v>-0.232646216293964</v>
      </c>
      <c r="E59" s="63" t="n">
        <f aca="false">CD59</f>
        <v>3</v>
      </c>
      <c r="F59" s="38" t="n">
        <f aca="false">($B59-INDEX($L$16:$N$16,E59))^2+($C59-INDEX($L$17:$N$17,E59))^2+($D59-INDEX($L$18:$N$18,E59))^2</f>
        <v>0.20699049187488</v>
      </c>
      <c r="G59" s="12" t="str">
        <f aca="false">INDEX($M$5:$M$7,E59)</f>
        <v>Medium activity</v>
      </c>
      <c r="X59" s="17" t="n">
        <f aca="false">SQRT(($B59-X$16)^2+($C59-X$17)^2+($D59-X$18)^2)</f>
        <v>2.21586341571311</v>
      </c>
      <c r="Y59" s="17" t="n">
        <f aca="false">SQRT(($B59-Y$16)^2+($C59-Y$17)^2+($D59-Y$18)^2)</f>
        <v>2.80511339440993</v>
      </c>
      <c r="Z59" s="17" t="n">
        <f aca="false">SQRT(($B59-Z$16)^2+($C59-Z$17)^2+($D59-Z$18)^2)</f>
        <v>1.58638208088533</v>
      </c>
      <c r="AA59" s="63" t="n">
        <f aca="false">MATCH(MIN(X59:Z59),X59:Z59,0)</f>
        <v>3</v>
      </c>
      <c r="AC59" s="17" t="n">
        <f aca="false">SQRT(($B59-AC$16)^2+($C59-AC$17)^2+($D59-AC$18)^2)</f>
        <v>1.81726897560361</v>
      </c>
      <c r="AD59" s="17" t="n">
        <f aca="false">SQRT(($B59-AD$16)^2+($C59-AD$17)^2+($D59-AD$18)^2)</f>
        <v>1.9095135061859</v>
      </c>
      <c r="AE59" s="17" t="n">
        <f aca="false">SQRT(($B59-AE$16)^2+($C59-AE$17)^2+($D59-AE$18)^2)</f>
        <v>0.496315996448138</v>
      </c>
      <c r="AF59" s="63" t="n">
        <f aca="false">MATCH(MIN(AC59:AE59),AC59:AE59,0)</f>
        <v>3</v>
      </c>
      <c r="AH59" s="17" t="n">
        <f aca="false">SQRT(($B59-AH$16)^2+($C59-AH$17)^2+($D59-AH$18)^2)</f>
        <v>1.9060376586861</v>
      </c>
      <c r="AI59" s="17" t="n">
        <f aca="false">SQRT(($B59-AI$16)^2+($C59-AI$17)^2+($D59-AI$18)^2)</f>
        <v>2.06274102768429</v>
      </c>
      <c r="AJ59" s="17" t="n">
        <f aca="false">SQRT(($B59-AJ$16)^2+($C59-AJ$17)^2+($D59-AJ$18)^2)</f>
        <v>0.471411042338101</v>
      </c>
      <c r="AK59" s="63" t="n">
        <f aca="false">MATCH(MIN(AH59:AJ59),AH59:AJ59,0)</f>
        <v>3</v>
      </c>
      <c r="AM59" s="17" t="n">
        <f aca="false">SQRT(($B59-AM$16)^2+($C59-AM$17)^2+($D59-AM$18)^2)</f>
        <v>1.94959562960334</v>
      </c>
      <c r="AN59" s="17" t="n">
        <f aca="false">SQRT(($B59-AN$16)^2+($C59-AN$17)^2+($D59-AN$18)^2)</f>
        <v>2.09411811188373</v>
      </c>
      <c r="AO59" s="17" t="n">
        <f aca="false">SQRT(($B59-AO$16)^2+($C59-AO$17)^2+($D59-AO$18)^2)</f>
        <v>0.454962077403029</v>
      </c>
      <c r="AP59" s="63" t="n">
        <f aca="false">MATCH(MIN(AM59:AO59),AM59:AO59,0)</f>
        <v>3</v>
      </c>
      <c r="AR59" s="17" t="n">
        <f aca="false">SQRT(($B59-AR$16)^2+($C59-AR$17)^2+($D59-AR$18)^2)</f>
        <v>1.94959562960334</v>
      </c>
      <c r="AS59" s="17" t="n">
        <f aca="false">SQRT(($B59-AS$16)^2+($C59-AS$17)^2+($D59-AS$18)^2)</f>
        <v>2.09411811188373</v>
      </c>
      <c r="AT59" s="17" t="n">
        <f aca="false">SQRT(($B59-AT$16)^2+($C59-AT$17)^2+($D59-AT$18)^2)</f>
        <v>0.454962077403029</v>
      </c>
      <c r="AU59" s="63" t="n">
        <f aca="false">MATCH(MIN(AR59:AT59),AR59:AT59,0)</f>
        <v>3</v>
      </c>
      <c r="AW59" s="17" t="n">
        <f aca="false">SQRT(($B59-AW$16)^2+($C59-AW$17)^2+($D59-AW$18)^2)</f>
        <v>1.94959562960334</v>
      </c>
      <c r="AX59" s="17" t="n">
        <f aca="false">SQRT(($B59-AX$16)^2+($C59-AX$17)^2+($D59-AX$18)^2)</f>
        <v>2.09411811188373</v>
      </c>
      <c r="AY59" s="17" t="n">
        <f aca="false">SQRT(($B59-AY$16)^2+($C59-AY$17)^2+($D59-AY$18)^2)</f>
        <v>0.454962077403029</v>
      </c>
      <c r="AZ59" s="63" t="n">
        <f aca="false">MATCH(MIN(AW59:AY59),AW59:AY59,0)</f>
        <v>3</v>
      </c>
      <c r="BB59" s="17" t="n">
        <f aca="false">SQRT(($B59-BB$16)^2+($C59-BB$17)^2+($D59-BB$18)^2)</f>
        <v>1.94959562960334</v>
      </c>
      <c r="BC59" s="17" t="n">
        <f aca="false">SQRT(($B59-BC$16)^2+($C59-BC$17)^2+($D59-BC$18)^2)</f>
        <v>2.09411811188373</v>
      </c>
      <c r="BD59" s="17" t="n">
        <f aca="false">SQRT(($B59-BD$16)^2+($C59-BD$17)^2+($D59-BD$18)^2)</f>
        <v>0.454962077403029</v>
      </c>
      <c r="BE59" s="63" t="n">
        <f aca="false">MATCH(MIN(BB59:BD59),BB59:BD59,0)</f>
        <v>3</v>
      </c>
      <c r="BG59" s="17" t="n">
        <f aca="false">SQRT(($B59-BG$16)^2+($C59-BG$17)^2+($D59-BG$18)^2)</f>
        <v>1.94959562960334</v>
      </c>
      <c r="BH59" s="17" t="n">
        <f aca="false">SQRT(($B59-BH$16)^2+($C59-BH$17)^2+($D59-BH$18)^2)</f>
        <v>2.09411811188373</v>
      </c>
      <c r="BI59" s="17" t="n">
        <f aca="false">SQRT(($B59-BI$16)^2+($C59-BI$17)^2+($D59-BI$18)^2)</f>
        <v>0.454962077403029</v>
      </c>
      <c r="BJ59" s="63" t="n">
        <f aca="false">MATCH(MIN(BG59:BI59),BG59:BI59,0)</f>
        <v>3</v>
      </c>
      <c r="BL59" s="17" t="n">
        <f aca="false">SQRT(($B59-BL$16)^2+($C59-BL$17)^2+($D59-BL$18)^2)</f>
        <v>1.94959562960334</v>
      </c>
      <c r="BM59" s="17" t="n">
        <f aca="false">SQRT(($B59-BM$16)^2+($C59-BM$17)^2+($D59-BM$18)^2)</f>
        <v>2.09411811188373</v>
      </c>
      <c r="BN59" s="17" t="n">
        <f aca="false">SQRT(($B59-BN$16)^2+($C59-BN$17)^2+($D59-BN$18)^2)</f>
        <v>0.454962077403029</v>
      </c>
      <c r="BO59" s="63" t="n">
        <f aca="false">MATCH(MIN(BL59:BN59),BL59:BN59,0)</f>
        <v>3</v>
      </c>
      <c r="BQ59" s="17" t="n">
        <f aca="false">SQRT(($B59-BQ$16)^2+($C59-BQ$17)^2+($D59-BQ$18)^2)</f>
        <v>1.94959562960334</v>
      </c>
      <c r="BR59" s="17" t="n">
        <f aca="false">SQRT(($B59-BR$16)^2+($C59-BR$17)^2+($D59-BR$18)^2)</f>
        <v>2.09411811188373</v>
      </c>
      <c r="BS59" s="17" t="n">
        <f aca="false">SQRT(($B59-BS$16)^2+($C59-BS$17)^2+($D59-BS$18)^2)</f>
        <v>0.454962077403029</v>
      </c>
      <c r="BT59" s="63" t="n">
        <f aca="false">MATCH(MIN(BQ59:BS59),BQ59:BS59,0)</f>
        <v>3</v>
      </c>
      <c r="BV59" s="17" t="n">
        <f aca="false">SQRT(($B59-BV$16)^2+($C59-BV$17)^2+($D59-BV$18)^2)</f>
        <v>1.94959562960334</v>
      </c>
      <c r="BW59" s="17" t="n">
        <f aca="false">SQRT(($B59-BW$16)^2+($C59-BW$17)^2+($D59-BW$18)^2)</f>
        <v>2.09411811188373</v>
      </c>
      <c r="BX59" s="17" t="n">
        <f aca="false">SQRT(($B59-BX$16)^2+($C59-BX$17)^2+($D59-BX$18)^2)</f>
        <v>0.454962077403029</v>
      </c>
      <c r="BY59" s="63" t="n">
        <f aca="false">MATCH(MIN(BV59:BX59),BV59:BX59,0)</f>
        <v>3</v>
      </c>
      <c r="CA59" s="17" t="n">
        <f aca="false">SQRT(($B59-CA$16)^2+($C59-CA$17)^2+($D59-CA$18)^2)</f>
        <v>1.94959562960334</v>
      </c>
      <c r="CB59" s="17" t="n">
        <f aca="false">SQRT(($B59-CB$16)^2+($C59-CB$17)^2+($D59-CB$18)^2)</f>
        <v>2.09411811188373</v>
      </c>
      <c r="CC59" s="17" t="n">
        <f aca="false">SQRT(($B59-CC$16)^2+($C59-CC$17)^2+($D59-CC$18)^2)</f>
        <v>0.454962077403029</v>
      </c>
      <c r="CD59" s="63" t="n">
        <f aca="false">MATCH(MIN(CA59:CC59),CA59:CC59,0)</f>
        <v>3</v>
      </c>
    </row>
    <row r="60" customFormat="false" ht="15" hidden="false" customHeight="false" outlineLevel="0" collapsed="false">
      <c r="A60" s="76" t="n">
        <f aca="false">Phase_Data!A42</f>
        <v>43924</v>
      </c>
      <c r="B60" s="17" t="n">
        <f aca="false">Phase_Data!K42</f>
        <v>0.0714706352030077</v>
      </c>
      <c r="C60" s="17" t="n">
        <f aca="false">Phase_Data!L42</f>
        <v>-0.190884421421135</v>
      </c>
      <c r="D60" s="17" t="n">
        <f aca="false">Phase_Data!M42</f>
        <v>-1.01027561104517</v>
      </c>
      <c r="E60" s="63" t="n">
        <f aca="false">CD60</f>
        <v>3</v>
      </c>
      <c r="F60" s="38" t="n">
        <f aca="false">($B60-INDEX($L$16:$N$16,E60))^2+($C60-INDEX($L$17:$N$17,E60))^2+($D60-INDEX($L$18:$N$18,E60))^2</f>
        <v>1.07688745409131</v>
      </c>
      <c r="G60" s="12" t="str">
        <f aca="false">INDEX($M$5:$M$7,E60)</f>
        <v>Medium activity</v>
      </c>
      <c r="X60" s="17" t="n">
        <f aca="false">SQRT(($B60-X$16)^2+($C60-X$17)^2+($D60-X$18)^2)</f>
        <v>2.0554807695481</v>
      </c>
      <c r="Y60" s="17" t="n">
        <f aca="false">SQRT(($B60-Y$16)^2+($C60-Y$17)^2+($D60-Y$18)^2)</f>
        <v>3.33688369682663</v>
      </c>
      <c r="Z60" s="17" t="n">
        <f aca="false">SQRT(($B60-Z$16)^2+($C60-Z$17)^2+($D60-Z$18)^2)</f>
        <v>1.16588021871287</v>
      </c>
      <c r="AA60" s="63" t="n">
        <f aca="false">MATCH(MIN(X60:Z60),X60:Z60,0)</f>
        <v>3</v>
      </c>
      <c r="AC60" s="17" t="n">
        <f aca="false">SQRT(($B60-AC$16)^2+($C60-AC$17)^2+($D60-AC$18)^2)</f>
        <v>1.67182535087878</v>
      </c>
      <c r="AD60" s="17" t="n">
        <f aca="false">SQRT(($B60-AD$16)^2+($C60-AD$17)^2+($D60-AD$18)^2)</f>
        <v>2.47473486617555</v>
      </c>
      <c r="AE60" s="17" t="n">
        <f aca="false">SQRT(($B60-AE$16)^2+($C60-AE$17)^2+($D60-AE$18)^2)</f>
        <v>0.975915025338987</v>
      </c>
      <c r="AF60" s="63" t="n">
        <f aca="false">MATCH(MIN(AC60:AE60),AC60:AE60,0)</f>
        <v>3</v>
      </c>
      <c r="AH60" s="17" t="n">
        <f aca="false">SQRT(($B60-AH$16)^2+($C60-AH$17)^2+($D60-AH$18)^2)</f>
        <v>1.74915895324956</v>
      </c>
      <c r="AI60" s="17" t="n">
        <f aca="false">SQRT(($B60-AI$16)^2+($C60-AI$17)^2+($D60-AI$18)^2)</f>
        <v>2.61059530799399</v>
      </c>
      <c r="AJ60" s="17" t="n">
        <f aca="false">SQRT(($B60-AJ$16)^2+($C60-AJ$17)^2+($D60-AJ$18)^2)</f>
        <v>1.03775272790046</v>
      </c>
      <c r="AK60" s="63" t="n">
        <f aca="false">MATCH(MIN(AH60:AJ60),AH60:AJ60,0)</f>
        <v>3</v>
      </c>
      <c r="AM60" s="17" t="n">
        <f aca="false">SQRT(($B60-AM$16)^2+($C60-AM$17)^2+($D60-AM$18)^2)</f>
        <v>1.78987701395101</v>
      </c>
      <c r="AN60" s="17" t="n">
        <f aca="false">SQRT(($B60-AN$16)^2+($C60-AN$17)^2+($D60-AN$18)^2)</f>
        <v>2.63749366667089</v>
      </c>
      <c r="AO60" s="17" t="n">
        <f aca="false">SQRT(($B60-AO$16)^2+($C60-AO$17)^2+($D60-AO$18)^2)</f>
        <v>1.03773187967379</v>
      </c>
      <c r="AP60" s="63" t="n">
        <f aca="false">MATCH(MIN(AM60:AO60),AM60:AO60,0)</f>
        <v>3</v>
      </c>
      <c r="AR60" s="17" t="n">
        <f aca="false">SQRT(($B60-AR$16)^2+($C60-AR$17)^2+($D60-AR$18)^2)</f>
        <v>1.78987701395101</v>
      </c>
      <c r="AS60" s="17" t="n">
        <f aca="false">SQRT(($B60-AS$16)^2+($C60-AS$17)^2+($D60-AS$18)^2)</f>
        <v>2.63749366667089</v>
      </c>
      <c r="AT60" s="17" t="n">
        <f aca="false">SQRT(($B60-AT$16)^2+($C60-AT$17)^2+($D60-AT$18)^2)</f>
        <v>1.03773187967379</v>
      </c>
      <c r="AU60" s="63" t="n">
        <f aca="false">MATCH(MIN(AR60:AT60),AR60:AT60,0)</f>
        <v>3</v>
      </c>
      <c r="AW60" s="17" t="n">
        <f aca="false">SQRT(($B60-AW$16)^2+($C60-AW$17)^2+($D60-AW$18)^2)</f>
        <v>1.78987701395101</v>
      </c>
      <c r="AX60" s="17" t="n">
        <f aca="false">SQRT(($B60-AX$16)^2+($C60-AX$17)^2+($D60-AX$18)^2)</f>
        <v>2.63749366667089</v>
      </c>
      <c r="AY60" s="17" t="n">
        <f aca="false">SQRT(($B60-AY$16)^2+($C60-AY$17)^2+($D60-AY$18)^2)</f>
        <v>1.03773187967379</v>
      </c>
      <c r="AZ60" s="63" t="n">
        <f aca="false">MATCH(MIN(AW60:AY60),AW60:AY60,0)</f>
        <v>3</v>
      </c>
      <c r="BB60" s="17" t="n">
        <f aca="false">SQRT(($B60-BB$16)^2+($C60-BB$17)^2+($D60-BB$18)^2)</f>
        <v>1.78987701395101</v>
      </c>
      <c r="BC60" s="17" t="n">
        <f aca="false">SQRT(($B60-BC$16)^2+($C60-BC$17)^2+($D60-BC$18)^2)</f>
        <v>2.63749366667089</v>
      </c>
      <c r="BD60" s="17" t="n">
        <f aca="false">SQRT(($B60-BD$16)^2+($C60-BD$17)^2+($D60-BD$18)^2)</f>
        <v>1.03773187967379</v>
      </c>
      <c r="BE60" s="63" t="n">
        <f aca="false">MATCH(MIN(BB60:BD60),BB60:BD60,0)</f>
        <v>3</v>
      </c>
      <c r="BG60" s="17" t="n">
        <f aca="false">SQRT(($B60-BG$16)^2+($C60-BG$17)^2+($D60-BG$18)^2)</f>
        <v>1.78987701395101</v>
      </c>
      <c r="BH60" s="17" t="n">
        <f aca="false">SQRT(($B60-BH$16)^2+($C60-BH$17)^2+($D60-BH$18)^2)</f>
        <v>2.63749366667089</v>
      </c>
      <c r="BI60" s="17" t="n">
        <f aca="false">SQRT(($B60-BI$16)^2+($C60-BI$17)^2+($D60-BI$18)^2)</f>
        <v>1.03773187967379</v>
      </c>
      <c r="BJ60" s="63" t="n">
        <f aca="false">MATCH(MIN(BG60:BI60),BG60:BI60,0)</f>
        <v>3</v>
      </c>
      <c r="BL60" s="17" t="n">
        <f aca="false">SQRT(($B60-BL$16)^2+($C60-BL$17)^2+($D60-BL$18)^2)</f>
        <v>1.78987701395101</v>
      </c>
      <c r="BM60" s="17" t="n">
        <f aca="false">SQRT(($B60-BM$16)^2+($C60-BM$17)^2+($D60-BM$18)^2)</f>
        <v>2.63749366667089</v>
      </c>
      <c r="BN60" s="17" t="n">
        <f aca="false">SQRT(($B60-BN$16)^2+($C60-BN$17)^2+($D60-BN$18)^2)</f>
        <v>1.03773187967379</v>
      </c>
      <c r="BO60" s="63" t="n">
        <f aca="false">MATCH(MIN(BL60:BN60),BL60:BN60,0)</f>
        <v>3</v>
      </c>
      <c r="BQ60" s="17" t="n">
        <f aca="false">SQRT(($B60-BQ$16)^2+($C60-BQ$17)^2+($D60-BQ$18)^2)</f>
        <v>1.78987701395101</v>
      </c>
      <c r="BR60" s="17" t="n">
        <f aca="false">SQRT(($B60-BR$16)^2+($C60-BR$17)^2+($D60-BR$18)^2)</f>
        <v>2.63749366667089</v>
      </c>
      <c r="BS60" s="17" t="n">
        <f aca="false">SQRT(($B60-BS$16)^2+($C60-BS$17)^2+($D60-BS$18)^2)</f>
        <v>1.03773187967379</v>
      </c>
      <c r="BT60" s="63" t="n">
        <f aca="false">MATCH(MIN(BQ60:BS60),BQ60:BS60,0)</f>
        <v>3</v>
      </c>
      <c r="BV60" s="17" t="n">
        <f aca="false">SQRT(($B60-BV$16)^2+($C60-BV$17)^2+($D60-BV$18)^2)</f>
        <v>1.78987701395101</v>
      </c>
      <c r="BW60" s="17" t="n">
        <f aca="false">SQRT(($B60-BW$16)^2+($C60-BW$17)^2+($D60-BW$18)^2)</f>
        <v>2.63749366667089</v>
      </c>
      <c r="BX60" s="17" t="n">
        <f aca="false">SQRT(($B60-BX$16)^2+($C60-BX$17)^2+($D60-BX$18)^2)</f>
        <v>1.03773187967379</v>
      </c>
      <c r="BY60" s="63" t="n">
        <f aca="false">MATCH(MIN(BV60:BX60),BV60:BX60,0)</f>
        <v>3</v>
      </c>
      <c r="CA60" s="17" t="n">
        <f aca="false">SQRT(($B60-CA$16)^2+($C60-CA$17)^2+($D60-CA$18)^2)</f>
        <v>1.78987701395101</v>
      </c>
      <c r="CB60" s="17" t="n">
        <f aca="false">SQRT(($B60-CB$16)^2+($C60-CB$17)^2+($D60-CB$18)^2)</f>
        <v>2.63749366667089</v>
      </c>
      <c r="CC60" s="17" t="n">
        <f aca="false">SQRT(($B60-CC$16)^2+($C60-CC$17)^2+($D60-CC$18)^2)</f>
        <v>1.03773187967379</v>
      </c>
      <c r="CD60" s="63" t="n">
        <f aca="false">MATCH(MIN(CA60:CC60),CA60:CC60,0)</f>
        <v>3</v>
      </c>
    </row>
    <row r="61" customFormat="false" ht="15" hidden="false" customHeight="false" outlineLevel="0" collapsed="false">
      <c r="A61" s="76" t="n">
        <f aca="false">Phase_Data!A43</f>
        <v>43925</v>
      </c>
      <c r="B61" s="17" t="n">
        <f aca="false">Phase_Data!K43</f>
        <v>-0.367245067852446</v>
      </c>
      <c r="C61" s="17" t="n">
        <f aca="false">Phase_Data!L43</f>
        <v>-0.314681610738362</v>
      </c>
      <c r="D61" s="17" t="n">
        <f aca="false">Phase_Data!M43</f>
        <v>0.0831715452088024</v>
      </c>
      <c r="E61" s="63" t="n">
        <f aca="false">CD61</f>
        <v>3</v>
      </c>
      <c r="F61" s="38" t="n">
        <f aca="false">($B61-INDEX($L$16:$N$16,E61))^2+($C61-INDEX($L$17:$N$17,E61))^2+($D61-INDEX($L$18:$N$18,E61))^2</f>
        <v>0.57039802516238</v>
      </c>
      <c r="G61" s="12" t="str">
        <f aca="false">INDEX($M$5:$M$7,E61)</f>
        <v>Medium activity</v>
      </c>
      <c r="X61" s="17" t="n">
        <f aca="false">SQRT(($B61-X$16)^2+($C61-X$17)^2+($D61-X$18)^2)</f>
        <v>2.11603447994957</v>
      </c>
      <c r="Y61" s="17" t="n">
        <f aca="false">SQRT(($B61-Y$16)^2+($C61-Y$17)^2+($D61-Y$18)^2)</f>
        <v>2.85599224859685</v>
      </c>
      <c r="Z61" s="17" t="n">
        <f aca="false">SQRT(($B61-Z$16)^2+($C61-Z$17)^2+($D61-Z$18)^2)</f>
        <v>2.02627451237758</v>
      </c>
      <c r="AA61" s="63" t="n">
        <f aca="false">MATCH(MIN(X61:Z61),X61:Z61,0)</f>
        <v>3</v>
      </c>
      <c r="AC61" s="17" t="n">
        <f aca="false">SQRT(($B61-AC$16)^2+($C61-AC$17)^2+($D61-AC$18)^2)</f>
        <v>1.74293833309612</v>
      </c>
      <c r="AD61" s="17" t="n">
        <f aca="false">SQRT(($B61-AD$16)^2+($C61-AD$17)^2+($D61-AD$18)^2)</f>
        <v>1.96606777638483</v>
      </c>
      <c r="AE61" s="17" t="n">
        <f aca="false">SQRT(($B61-AE$16)^2+($C61-AE$17)^2+($D61-AE$18)^2)</f>
        <v>0.846899300944123</v>
      </c>
      <c r="AF61" s="63" t="n">
        <f aca="false">MATCH(MIN(AC61:AE61),AC61:AE61,0)</f>
        <v>3</v>
      </c>
      <c r="AH61" s="17" t="n">
        <f aca="false">SQRT(($B61-AH$16)^2+($C61-AH$17)^2+($D61-AH$18)^2)</f>
        <v>1.82953486173189</v>
      </c>
      <c r="AI61" s="17" t="n">
        <f aca="false">SQRT(($B61-AI$16)^2+($C61-AI$17)^2+($D61-AI$18)^2)</f>
        <v>2.12622605659893</v>
      </c>
      <c r="AJ61" s="17" t="n">
        <f aca="false">SQRT(($B61-AJ$16)^2+($C61-AJ$17)^2+($D61-AJ$18)^2)</f>
        <v>0.775696869648962</v>
      </c>
      <c r="AK61" s="63" t="n">
        <f aca="false">MATCH(MIN(AH61:AJ61),AH61:AJ61,0)</f>
        <v>3</v>
      </c>
      <c r="AM61" s="17" t="n">
        <f aca="false">SQRT(($B61-AM$16)^2+($C61-AM$17)^2+($D61-AM$18)^2)</f>
        <v>1.87046632924538</v>
      </c>
      <c r="AN61" s="17" t="n">
        <f aca="false">SQRT(($B61-AN$16)^2+($C61-AN$17)^2+($D61-AN$18)^2)</f>
        <v>2.15932086990994</v>
      </c>
      <c r="AO61" s="17" t="n">
        <f aca="false">SQRT(($B61-AO$16)^2+($C61-AO$17)^2+($D61-AO$18)^2)</f>
        <v>0.755246996129332</v>
      </c>
      <c r="AP61" s="63" t="n">
        <f aca="false">MATCH(MIN(AM61:AO61),AM61:AO61,0)</f>
        <v>3</v>
      </c>
      <c r="AR61" s="17" t="n">
        <f aca="false">SQRT(($B61-AR$16)^2+($C61-AR$17)^2+($D61-AR$18)^2)</f>
        <v>1.87046632924538</v>
      </c>
      <c r="AS61" s="17" t="n">
        <f aca="false">SQRT(($B61-AS$16)^2+($C61-AS$17)^2+($D61-AS$18)^2)</f>
        <v>2.15932086990994</v>
      </c>
      <c r="AT61" s="17" t="n">
        <f aca="false">SQRT(($B61-AT$16)^2+($C61-AT$17)^2+($D61-AT$18)^2)</f>
        <v>0.755246996129332</v>
      </c>
      <c r="AU61" s="63" t="n">
        <f aca="false">MATCH(MIN(AR61:AT61),AR61:AT61,0)</f>
        <v>3</v>
      </c>
      <c r="AW61" s="17" t="n">
        <f aca="false">SQRT(($B61-AW$16)^2+($C61-AW$17)^2+($D61-AW$18)^2)</f>
        <v>1.87046632924538</v>
      </c>
      <c r="AX61" s="17" t="n">
        <f aca="false">SQRT(($B61-AX$16)^2+($C61-AX$17)^2+($D61-AX$18)^2)</f>
        <v>2.15932086990994</v>
      </c>
      <c r="AY61" s="17" t="n">
        <f aca="false">SQRT(($B61-AY$16)^2+($C61-AY$17)^2+($D61-AY$18)^2)</f>
        <v>0.755246996129332</v>
      </c>
      <c r="AZ61" s="63" t="n">
        <f aca="false">MATCH(MIN(AW61:AY61),AW61:AY61,0)</f>
        <v>3</v>
      </c>
      <c r="BB61" s="17" t="n">
        <f aca="false">SQRT(($B61-BB$16)^2+($C61-BB$17)^2+($D61-BB$18)^2)</f>
        <v>1.87046632924538</v>
      </c>
      <c r="BC61" s="17" t="n">
        <f aca="false">SQRT(($B61-BC$16)^2+($C61-BC$17)^2+($D61-BC$18)^2)</f>
        <v>2.15932086990994</v>
      </c>
      <c r="BD61" s="17" t="n">
        <f aca="false">SQRT(($B61-BD$16)^2+($C61-BD$17)^2+($D61-BD$18)^2)</f>
        <v>0.755246996129332</v>
      </c>
      <c r="BE61" s="63" t="n">
        <f aca="false">MATCH(MIN(BB61:BD61),BB61:BD61,0)</f>
        <v>3</v>
      </c>
      <c r="BG61" s="17" t="n">
        <f aca="false">SQRT(($B61-BG$16)^2+($C61-BG$17)^2+($D61-BG$18)^2)</f>
        <v>1.87046632924538</v>
      </c>
      <c r="BH61" s="17" t="n">
        <f aca="false">SQRT(($B61-BH$16)^2+($C61-BH$17)^2+($D61-BH$18)^2)</f>
        <v>2.15932086990994</v>
      </c>
      <c r="BI61" s="17" t="n">
        <f aca="false">SQRT(($B61-BI$16)^2+($C61-BI$17)^2+($D61-BI$18)^2)</f>
        <v>0.755246996129332</v>
      </c>
      <c r="BJ61" s="63" t="n">
        <f aca="false">MATCH(MIN(BG61:BI61),BG61:BI61,0)</f>
        <v>3</v>
      </c>
      <c r="BL61" s="17" t="n">
        <f aca="false">SQRT(($B61-BL$16)^2+($C61-BL$17)^2+($D61-BL$18)^2)</f>
        <v>1.87046632924538</v>
      </c>
      <c r="BM61" s="17" t="n">
        <f aca="false">SQRT(($B61-BM$16)^2+($C61-BM$17)^2+($D61-BM$18)^2)</f>
        <v>2.15932086990994</v>
      </c>
      <c r="BN61" s="17" t="n">
        <f aca="false">SQRT(($B61-BN$16)^2+($C61-BN$17)^2+($D61-BN$18)^2)</f>
        <v>0.755246996129332</v>
      </c>
      <c r="BO61" s="63" t="n">
        <f aca="false">MATCH(MIN(BL61:BN61),BL61:BN61,0)</f>
        <v>3</v>
      </c>
      <c r="BQ61" s="17" t="n">
        <f aca="false">SQRT(($B61-BQ$16)^2+($C61-BQ$17)^2+($D61-BQ$18)^2)</f>
        <v>1.87046632924538</v>
      </c>
      <c r="BR61" s="17" t="n">
        <f aca="false">SQRT(($B61-BR$16)^2+($C61-BR$17)^2+($D61-BR$18)^2)</f>
        <v>2.15932086990994</v>
      </c>
      <c r="BS61" s="17" t="n">
        <f aca="false">SQRT(($B61-BS$16)^2+($C61-BS$17)^2+($D61-BS$18)^2)</f>
        <v>0.755246996129332</v>
      </c>
      <c r="BT61" s="63" t="n">
        <f aca="false">MATCH(MIN(BQ61:BS61),BQ61:BS61,0)</f>
        <v>3</v>
      </c>
      <c r="BV61" s="17" t="n">
        <f aca="false">SQRT(($B61-BV$16)^2+($C61-BV$17)^2+($D61-BV$18)^2)</f>
        <v>1.87046632924538</v>
      </c>
      <c r="BW61" s="17" t="n">
        <f aca="false">SQRT(($B61-BW$16)^2+($C61-BW$17)^2+($D61-BW$18)^2)</f>
        <v>2.15932086990994</v>
      </c>
      <c r="BX61" s="17" t="n">
        <f aca="false">SQRT(($B61-BX$16)^2+($C61-BX$17)^2+($D61-BX$18)^2)</f>
        <v>0.755246996129332</v>
      </c>
      <c r="BY61" s="63" t="n">
        <f aca="false">MATCH(MIN(BV61:BX61),BV61:BX61,0)</f>
        <v>3</v>
      </c>
      <c r="CA61" s="17" t="n">
        <f aca="false">SQRT(($B61-CA$16)^2+($C61-CA$17)^2+($D61-CA$18)^2)</f>
        <v>1.87046632924538</v>
      </c>
      <c r="CB61" s="17" t="n">
        <f aca="false">SQRT(($B61-CB$16)^2+($C61-CB$17)^2+($D61-CB$18)^2)</f>
        <v>2.15932086990994</v>
      </c>
      <c r="CC61" s="17" t="n">
        <f aca="false">SQRT(($B61-CC$16)^2+($C61-CC$17)^2+($D61-CC$18)^2)</f>
        <v>0.755246996129332</v>
      </c>
      <c r="CD61" s="63" t="n">
        <f aca="false">MATCH(MIN(CA61:CC61),CA61:CC61,0)</f>
        <v>3</v>
      </c>
    </row>
    <row r="62" customFormat="false" ht="15" hidden="false" customHeight="false" outlineLevel="0" collapsed="false">
      <c r="A62" s="76" t="n">
        <f aca="false">Phase_Data!A44</f>
        <v>43926</v>
      </c>
      <c r="B62" s="17" t="n">
        <f aca="false">Phase_Data!K44</f>
        <v>-0.0411988477623194</v>
      </c>
      <c r="C62" s="17" t="n">
        <f aca="false">Phase_Data!L44</f>
        <v>-0.466197125155468</v>
      </c>
      <c r="D62" s="17" t="n">
        <f aca="false">Phase_Data!M44</f>
        <v>0.199833483298585</v>
      </c>
      <c r="E62" s="63" t="n">
        <f aca="false">CD62</f>
        <v>3</v>
      </c>
      <c r="F62" s="38" t="n">
        <f aca="false">($B62-INDEX($L$16:$N$16,E62))^2+($C62-INDEX($L$17:$N$17,E62))^2+($D62-INDEX($L$18:$N$18,E62))^2</f>
        <v>0.450400020430697</v>
      </c>
      <c r="G62" s="12" t="str">
        <f aca="false">INDEX($M$5:$M$7,E62)</f>
        <v>Medium activity</v>
      </c>
      <c r="X62" s="17" t="n">
        <f aca="false">SQRT(($B62-X$16)^2+($C62-X$17)^2+($D62-X$18)^2)</f>
        <v>2.32098327639488</v>
      </c>
      <c r="Y62" s="17" t="n">
        <f aca="false">SQRT(($B62-Y$16)^2+($C62-Y$17)^2+($D62-Y$18)^2)</f>
        <v>2.72850118943132</v>
      </c>
      <c r="Z62" s="17" t="n">
        <f aca="false">SQRT(($B62-Z$16)^2+($C62-Z$17)^2+($D62-Z$18)^2)</f>
        <v>2.05577349461726</v>
      </c>
      <c r="AA62" s="63" t="n">
        <f aca="false">MATCH(MIN(X62:Z62),X62:Z62,0)</f>
        <v>3</v>
      </c>
      <c r="AC62" s="17" t="n">
        <f aca="false">SQRT(($B62-AC$16)^2+($C62-AC$17)^2+($D62-AC$18)^2)</f>
        <v>1.93108646671494</v>
      </c>
      <c r="AD62" s="17" t="n">
        <f aca="false">SQRT(($B62-AD$16)^2+($C62-AD$17)^2+($D62-AD$18)^2)</f>
        <v>1.84673672914811</v>
      </c>
      <c r="AE62" s="17" t="n">
        <f aca="false">SQRT(($B62-AE$16)^2+($C62-AE$17)^2+($D62-AE$18)^2)</f>
        <v>0.784614408093076</v>
      </c>
      <c r="AF62" s="63" t="n">
        <f aca="false">MATCH(MIN(AC62:AE62),AC62:AE62,0)</f>
        <v>3</v>
      </c>
      <c r="AH62" s="17" t="n">
        <f aca="false">SQRT(($B62-AH$16)^2+($C62-AH$17)^2+($D62-AH$18)^2)</f>
        <v>2.02146787044265</v>
      </c>
      <c r="AI62" s="17" t="n">
        <f aca="false">SQRT(($B62-AI$16)^2+($C62-AI$17)^2+($D62-AI$18)^2)</f>
        <v>2.00760511987228</v>
      </c>
      <c r="AJ62" s="17" t="n">
        <f aca="false">SQRT(($B62-AJ$16)^2+($C62-AJ$17)^2+($D62-AJ$18)^2)</f>
        <v>0.698543201049084</v>
      </c>
      <c r="AK62" s="63" t="n">
        <f aca="false">MATCH(MIN(AH62:AJ62),AH62:AJ62,0)</f>
        <v>3</v>
      </c>
      <c r="AM62" s="17" t="n">
        <f aca="false">SQRT(($B62-AM$16)^2+($C62-AM$17)^2+($D62-AM$18)^2)</f>
        <v>2.06516005507166</v>
      </c>
      <c r="AN62" s="17" t="n">
        <f aca="false">SQRT(($B62-AN$16)^2+($C62-AN$17)^2+($D62-AN$18)^2)</f>
        <v>2.04240825315407</v>
      </c>
      <c r="AO62" s="17" t="n">
        <f aca="false">SQRT(($B62-AO$16)^2+($C62-AO$17)^2+($D62-AO$18)^2)</f>
        <v>0.67111848464388</v>
      </c>
      <c r="AP62" s="63" t="n">
        <f aca="false">MATCH(MIN(AM62:AO62),AM62:AO62,0)</f>
        <v>3</v>
      </c>
      <c r="AR62" s="17" t="n">
        <f aca="false">SQRT(($B62-AR$16)^2+($C62-AR$17)^2+($D62-AR$18)^2)</f>
        <v>2.06516005507166</v>
      </c>
      <c r="AS62" s="17" t="n">
        <f aca="false">SQRT(($B62-AS$16)^2+($C62-AS$17)^2+($D62-AS$18)^2)</f>
        <v>2.04240825315407</v>
      </c>
      <c r="AT62" s="17" t="n">
        <f aca="false">SQRT(($B62-AT$16)^2+($C62-AT$17)^2+($D62-AT$18)^2)</f>
        <v>0.67111848464388</v>
      </c>
      <c r="AU62" s="63" t="n">
        <f aca="false">MATCH(MIN(AR62:AT62),AR62:AT62,0)</f>
        <v>3</v>
      </c>
      <c r="AW62" s="17" t="n">
        <f aca="false">SQRT(($B62-AW$16)^2+($C62-AW$17)^2+($D62-AW$18)^2)</f>
        <v>2.06516005507166</v>
      </c>
      <c r="AX62" s="17" t="n">
        <f aca="false">SQRT(($B62-AX$16)^2+($C62-AX$17)^2+($D62-AX$18)^2)</f>
        <v>2.04240825315407</v>
      </c>
      <c r="AY62" s="17" t="n">
        <f aca="false">SQRT(($B62-AY$16)^2+($C62-AY$17)^2+($D62-AY$18)^2)</f>
        <v>0.67111848464388</v>
      </c>
      <c r="AZ62" s="63" t="n">
        <f aca="false">MATCH(MIN(AW62:AY62),AW62:AY62,0)</f>
        <v>3</v>
      </c>
      <c r="BB62" s="17" t="n">
        <f aca="false">SQRT(($B62-BB$16)^2+($C62-BB$17)^2+($D62-BB$18)^2)</f>
        <v>2.06516005507166</v>
      </c>
      <c r="BC62" s="17" t="n">
        <f aca="false">SQRT(($B62-BC$16)^2+($C62-BC$17)^2+($D62-BC$18)^2)</f>
        <v>2.04240825315407</v>
      </c>
      <c r="BD62" s="17" t="n">
        <f aca="false">SQRT(($B62-BD$16)^2+($C62-BD$17)^2+($D62-BD$18)^2)</f>
        <v>0.67111848464388</v>
      </c>
      <c r="BE62" s="63" t="n">
        <f aca="false">MATCH(MIN(BB62:BD62),BB62:BD62,0)</f>
        <v>3</v>
      </c>
      <c r="BG62" s="17" t="n">
        <f aca="false">SQRT(($B62-BG$16)^2+($C62-BG$17)^2+($D62-BG$18)^2)</f>
        <v>2.06516005507166</v>
      </c>
      <c r="BH62" s="17" t="n">
        <f aca="false">SQRT(($B62-BH$16)^2+($C62-BH$17)^2+($D62-BH$18)^2)</f>
        <v>2.04240825315407</v>
      </c>
      <c r="BI62" s="17" t="n">
        <f aca="false">SQRT(($B62-BI$16)^2+($C62-BI$17)^2+($D62-BI$18)^2)</f>
        <v>0.67111848464388</v>
      </c>
      <c r="BJ62" s="63" t="n">
        <f aca="false">MATCH(MIN(BG62:BI62),BG62:BI62,0)</f>
        <v>3</v>
      </c>
      <c r="BL62" s="17" t="n">
        <f aca="false">SQRT(($B62-BL$16)^2+($C62-BL$17)^2+($D62-BL$18)^2)</f>
        <v>2.06516005507166</v>
      </c>
      <c r="BM62" s="17" t="n">
        <f aca="false">SQRT(($B62-BM$16)^2+($C62-BM$17)^2+($D62-BM$18)^2)</f>
        <v>2.04240825315407</v>
      </c>
      <c r="BN62" s="17" t="n">
        <f aca="false">SQRT(($B62-BN$16)^2+($C62-BN$17)^2+($D62-BN$18)^2)</f>
        <v>0.67111848464388</v>
      </c>
      <c r="BO62" s="63" t="n">
        <f aca="false">MATCH(MIN(BL62:BN62),BL62:BN62,0)</f>
        <v>3</v>
      </c>
      <c r="BQ62" s="17" t="n">
        <f aca="false">SQRT(($B62-BQ$16)^2+($C62-BQ$17)^2+($D62-BQ$18)^2)</f>
        <v>2.06516005507166</v>
      </c>
      <c r="BR62" s="17" t="n">
        <f aca="false">SQRT(($B62-BR$16)^2+($C62-BR$17)^2+($D62-BR$18)^2)</f>
        <v>2.04240825315407</v>
      </c>
      <c r="BS62" s="17" t="n">
        <f aca="false">SQRT(($B62-BS$16)^2+($C62-BS$17)^2+($D62-BS$18)^2)</f>
        <v>0.67111848464388</v>
      </c>
      <c r="BT62" s="63" t="n">
        <f aca="false">MATCH(MIN(BQ62:BS62),BQ62:BS62,0)</f>
        <v>3</v>
      </c>
      <c r="BV62" s="17" t="n">
        <f aca="false">SQRT(($B62-BV$16)^2+($C62-BV$17)^2+($D62-BV$18)^2)</f>
        <v>2.06516005507166</v>
      </c>
      <c r="BW62" s="17" t="n">
        <f aca="false">SQRT(($B62-BW$16)^2+($C62-BW$17)^2+($D62-BW$18)^2)</f>
        <v>2.04240825315407</v>
      </c>
      <c r="BX62" s="17" t="n">
        <f aca="false">SQRT(($B62-BX$16)^2+($C62-BX$17)^2+($D62-BX$18)^2)</f>
        <v>0.67111848464388</v>
      </c>
      <c r="BY62" s="63" t="n">
        <f aca="false">MATCH(MIN(BV62:BX62),BV62:BX62,0)</f>
        <v>3</v>
      </c>
      <c r="CA62" s="17" t="n">
        <f aca="false">SQRT(($B62-CA$16)^2+($C62-CA$17)^2+($D62-CA$18)^2)</f>
        <v>2.06516005507166</v>
      </c>
      <c r="CB62" s="17" t="n">
        <f aca="false">SQRT(($B62-CB$16)^2+($C62-CB$17)^2+($D62-CB$18)^2)</f>
        <v>2.04240825315407</v>
      </c>
      <c r="CC62" s="17" t="n">
        <f aca="false">SQRT(($B62-CC$16)^2+($C62-CC$17)^2+($D62-CC$18)^2)</f>
        <v>0.67111848464388</v>
      </c>
      <c r="CD62" s="63" t="n">
        <f aca="false">MATCH(MIN(CA62:CC62),CA62:CC62,0)</f>
        <v>3</v>
      </c>
    </row>
    <row r="63" customFormat="false" ht="15" hidden="false" customHeight="false" outlineLevel="0" collapsed="false">
      <c r="A63" s="76" t="n">
        <f aca="false">Phase_Data!A45</f>
        <v>43927</v>
      </c>
      <c r="B63" s="17" t="n">
        <f aca="false">Phase_Data!K45</f>
        <v>0.0877723370962129</v>
      </c>
      <c r="C63" s="17" t="n">
        <f aca="false">Phase_Data!L45</f>
        <v>-0.190884421421135</v>
      </c>
      <c r="D63" s="17" t="n">
        <f aca="false">Phase_Data!M45</f>
        <v>0.717702699396277</v>
      </c>
      <c r="E63" s="63" t="n">
        <f aca="false">CD63</f>
        <v>3</v>
      </c>
      <c r="F63" s="38" t="n">
        <f aca="false">($B63-INDEX($L$16:$N$16,E63))^2+($C63-INDEX($L$17:$N$17,E63))^2+($D63-INDEX($L$18:$N$18,E63))^2</f>
        <v>0.664982337402591</v>
      </c>
      <c r="G63" s="12" t="str">
        <f aca="false">INDEX($M$5:$M$7,E63)</f>
        <v>Medium activity</v>
      </c>
      <c r="X63" s="17" t="n">
        <f aca="false">SQRT(($B63-X$16)^2+($C63-X$17)^2+($D63-X$18)^2)</f>
        <v>2.86164193957564</v>
      </c>
      <c r="Y63" s="17" t="n">
        <f aca="false">SQRT(($B63-Y$16)^2+($C63-Y$17)^2+($D63-Y$18)^2)</f>
        <v>2.21725653071477</v>
      </c>
      <c r="Z63" s="17" t="n">
        <f aca="false">SQRT(($B63-Z$16)^2+($C63-Z$17)^2+($D63-Z$18)^2)</f>
        <v>2.29144273787698</v>
      </c>
      <c r="AA63" s="63" t="n">
        <f aca="false">MATCH(MIN(X63:Z63),X63:Z63,0)</f>
        <v>2</v>
      </c>
      <c r="AC63" s="17" t="n">
        <f aca="false">SQRT(($B63-AC$16)^2+($C63-AC$17)^2+($D63-AC$18)^2)</f>
        <v>2.48772193820332</v>
      </c>
      <c r="AD63" s="17" t="n">
        <f aca="false">SQRT(($B63-AD$16)^2+($C63-AD$17)^2+($D63-AD$18)^2)</f>
        <v>1.37093189004826</v>
      </c>
      <c r="AE63" s="17" t="n">
        <f aca="false">SQRT(($B63-AE$16)^2+($C63-AE$17)^2+($D63-AE$18)^2)</f>
        <v>0.94027997638047</v>
      </c>
      <c r="AF63" s="63" t="n">
        <f aca="false">MATCH(MIN(AC63:AE63),AC63:AE63,0)</f>
        <v>3</v>
      </c>
      <c r="AH63" s="17" t="n">
        <f aca="false">SQRT(($B63-AH$16)^2+($C63-AH$17)^2+($D63-AH$18)^2)</f>
        <v>2.57582366024426</v>
      </c>
      <c r="AI63" s="17" t="n">
        <f aca="false">SQRT(($B63-AI$16)^2+($C63-AI$17)^2+($D63-AI$18)^2)</f>
        <v>1.53093324462398</v>
      </c>
      <c r="AJ63" s="17" t="n">
        <f aca="false">SQRT(($B63-AJ$16)^2+($C63-AJ$17)^2+($D63-AJ$18)^2)</f>
        <v>0.834172023543032</v>
      </c>
      <c r="AK63" s="63" t="n">
        <f aca="false">MATCH(MIN(AH63:AJ63),AH63:AJ63,0)</f>
        <v>3</v>
      </c>
      <c r="AM63" s="17" t="n">
        <f aca="false">SQRT(($B63-AM$16)^2+($C63-AM$17)^2+($D63-AM$18)^2)</f>
        <v>2.61764502795751</v>
      </c>
      <c r="AN63" s="17" t="n">
        <f aca="false">SQRT(($B63-AN$16)^2+($C63-AN$17)^2+($D63-AN$18)^2)</f>
        <v>1.5666367996053</v>
      </c>
      <c r="AO63" s="17" t="n">
        <f aca="false">SQRT(($B63-AO$16)^2+($C63-AO$17)^2+($D63-AO$18)^2)</f>
        <v>0.815464491809785</v>
      </c>
      <c r="AP63" s="63" t="n">
        <f aca="false">MATCH(MIN(AM63:AO63),AM63:AO63,0)</f>
        <v>3</v>
      </c>
      <c r="AR63" s="17" t="n">
        <f aca="false">SQRT(($B63-AR$16)^2+($C63-AR$17)^2+($D63-AR$18)^2)</f>
        <v>2.61764502795751</v>
      </c>
      <c r="AS63" s="17" t="n">
        <f aca="false">SQRT(($B63-AS$16)^2+($C63-AS$17)^2+($D63-AS$18)^2)</f>
        <v>1.5666367996053</v>
      </c>
      <c r="AT63" s="17" t="n">
        <f aca="false">SQRT(($B63-AT$16)^2+($C63-AT$17)^2+($D63-AT$18)^2)</f>
        <v>0.815464491809785</v>
      </c>
      <c r="AU63" s="63" t="n">
        <f aca="false">MATCH(MIN(AR63:AT63),AR63:AT63,0)</f>
        <v>3</v>
      </c>
      <c r="AW63" s="17" t="n">
        <f aca="false">SQRT(($B63-AW$16)^2+($C63-AW$17)^2+($D63-AW$18)^2)</f>
        <v>2.61764502795751</v>
      </c>
      <c r="AX63" s="17" t="n">
        <f aca="false">SQRT(($B63-AX$16)^2+($C63-AX$17)^2+($D63-AX$18)^2)</f>
        <v>1.5666367996053</v>
      </c>
      <c r="AY63" s="17" t="n">
        <f aca="false">SQRT(($B63-AY$16)^2+($C63-AY$17)^2+($D63-AY$18)^2)</f>
        <v>0.815464491809785</v>
      </c>
      <c r="AZ63" s="63" t="n">
        <f aca="false">MATCH(MIN(AW63:AY63),AW63:AY63,0)</f>
        <v>3</v>
      </c>
      <c r="BB63" s="17" t="n">
        <f aca="false">SQRT(($B63-BB$16)^2+($C63-BB$17)^2+($D63-BB$18)^2)</f>
        <v>2.61764502795751</v>
      </c>
      <c r="BC63" s="17" t="n">
        <f aca="false">SQRT(($B63-BC$16)^2+($C63-BC$17)^2+($D63-BC$18)^2)</f>
        <v>1.5666367996053</v>
      </c>
      <c r="BD63" s="17" t="n">
        <f aca="false">SQRT(($B63-BD$16)^2+($C63-BD$17)^2+($D63-BD$18)^2)</f>
        <v>0.815464491809785</v>
      </c>
      <c r="BE63" s="63" t="n">
        <f aca="false">MATCH(MIN(BB63:BD63),BB63:BD63,0)</f>
        <v>3</v>
      </c>
      <c r="BG63" s="17" t="n">
        <f aca="false">SQRT(($B63-BG$16)^2+($C63-BG$17)^2+($D63-BG$18)^2)</f>
        <v>2.61764502795751</v>
      </c>
      <c r="BH63" s="17" t="n">
        <f aca="false">SQRT(($B63-BH$16)^2+($C63-BH$17)^2+($D63-BH$18)^2)</f>
        <v>1.5666367996053</v>
      </c>
      <c r="BI63" s="17" t="n">
        <f aca="false">SQRT(($B63-BI$16)^2+($C63-BI$17)^2+($D63-BI$18)^2)</f>
        <v>0.815464491809785</v>
      </c>
      <c r="BJ63" s="63" t="n">
        <f aca="false">MATCH(MIN(BG63:BI63),BG63:BI63,0)</f>
        <v>3</v>
      </c>
      <c r="BL63" s="17" t="n">
        <f aca="false">SQRT(($B63-BL$16)^2+($C63-BL$17)^2+($D63-BL$18)^2)</f>
        <v>2.61764502795751</v>
      </c>
      <c r="BM63" s="17" t="n">
        <f aca="false">SQRT(($B63-BM$16)^2+($C63-BM$17)^2+($D63-BM$18)^2)</f>
        <v>1.5666367996053</v>
      </c>
      <c r="BN63" s="17" t="n">
        <f aca="false">SQRT(($B63-BN$16)^2+($C63-BN$17)^2+($D63-BN$18)^2)</f>
        <v>0.815464491809785</v>
      </c>
      <c r="BO63" s="63" t="n">
        <f aca="false">MATCH(MIN(BL63:BN63),BL63:BN63,0)</f>
        <v>3</v>
      </c>
      <c r="BQ63" s="17" t="n">
        <f aca="false">SQRT(($B63-BQ$16)^2+($C63-BQ$17)^2+($D63-BQ$18)^2)</f>
        <v>2.61764502795751</v>
      </c>
      <c r="BR63" s="17" t="n">
        <f aca="false">SQRT(($B63-BR$16)^2+($C63-BR$17)^2+($D63-BR$18)^2)</f>
        <v>1.5666367996053</v>
      </c>
      <c r="BS63" s="17" t="n">
        <f aca="false">SQRT(($B63-BS$16)^2+($C63-BS$17)^2+($D63-BS$18)^2)</f>
        <v>0.815464491809785</v>
      </c>
      <c r="BT63" s="63" t="n">
        <f aca="false">MATCH(MIN(BQ63:BS63),BQ63:BS63,0)</f>
        <v>3</v>
      </c>
      <c r="BV63" s="17" t="n">
        <f aca="false">SQRT(($B63-BV$16)^2+($C63-BV$17)^2+($D63-BV$18)^2)</f>
        <v>2.61764502795751</v>
      </c>
      <c r="BW63" s="17" t="n">
        <f aca="false">SQRT(($B63-BW$16)^2+($C63-BW$17)^2+($D63-BW$18)^2)</f>
        <v>1.5666367996053</v>
      </c>
      <c r="BX63" s="17" t="n">
        <f aca="false">SQRT(($B63-BX$16)^2+($C63-BX$17)^2+($D63-BX$18)^2)</f>
        <v>0.815464491809785</v>
      </c>
      <c r="BY63" s="63" t="n">
        <f aca="false">MATCH(MIN(BV63:BX63),BV63:BX63,0)</f>
        <v>3</v>
      </c>
      <c r="CA63" s="17" t="n">
        <f aca="false">SQRT(($B63-CA$16)^2+($C63-CA$17)^2+($D63-CA$18)^2)</f>
        <v>2.61764502795751</v>
      </c>
      <c r="CB63" s="17" t="n">
        <f aca="false">SQRT(($B63-CB$16)^2+($C63-CB$17)^2+($D63-CB$18)^2)</f>
        <v>1.5666367996053</v>
      </c>
      <c r="CC63" s="17" t="n">
        <f aca="false">SQRT(($B63-CC$16)^2+($C63-CC$17)^2+($D63-CC$18)^2)</f>
        <v>0.815464491809785</v>
      </c>
      <c r="CD63" s="63" t="n">
        <f aca="false">MATCH(MIN(CA63:CC63),CA63:CC63,0)</f>
        <v>3</v>
      </c>
    </row>
    <row r="64" customFormat="false" ht="15" hidden="false" customHeight="false" outlineLevel="0" collapsed="false">
      <c r="A64" s="76" t="n">
        <f aca="false">Phase_Data!A46</f>
        <v>43928</v>
      </c>
      <c r="B64" s="17" t="n">
        <f aca="false">Phase_Data!K46</f>
        <v>-0.247402427618885</v>
      </c>
      <c r="C64" s="17" t="n">
        <f aca="false">Phase_Data!L46</f>
        <v>-0.466197125155468</v>
      </c>
      <c r="D64" s="17" t="n">
        <f aca="false">Phase_Data!M46</f>
        <v>0.427614299939665</v>
      </c>
      <c r="E64" s="63" t="n">
        <f aca="false">CD64</f>
        <v>3</v>
      </c>
      <c r="F64" s="38" t="n">
        <f aca="false">($B64-INDEX($L$16:$N$16,E64))^2+($C64-INDEX($L$17:$N$17,E64))^2+($D64-INDEX($L$18:$N$18,E64))^2</f>
        <v>0.774236286435045</v>
      </c>
      <c r="G64" s="12" t="str">
        <f aca="false">INDEX($M$5:$M$7,E64)</f>
        <v>Medium activity</v>
      </c>
      <c r="X64" s="17" t="n">
        <f aca="false">SQRT(($B64-X$16)^2+($C64-X$17)^2+($D64-X$18)^2)</f>
        <v>2.35089062733439</v>
      </c>
      <c r="Y64" s="17" t="n">
        <f aca="false">SQRT(($B64-Y$16)^2+($C64-Y$17)^2+($D64-Y$18)^2)</f>
        <v>2.72056726281126</v>
      </c>
      <c r="Z64" s="17" t="n">
        <f aca="false">SQRT(($B64-Z$16)^2+($C64-Z$17)^2+($D64-Z$18)^2)</f>
        <v>2.29864257381888</v>
      </c>
      <c r="AA64" s="63" t="n">
        <f aca="false">MATCH(MIN(X64:Z64),X64:Z64,0)</f>
        <v>3</v>
      </c>
      <c r="AC64" s="17" t="n">
        <f aca="false">SQRT(($B64-AC$16)^2+($C64-AC$17)^2+($D64-AC$18)^2)</f>
        <v>1.98464368705224</v>
      </c>
      <c r="AD64" s="17" t="n">
        <f aca="false">SQRT(($B64-AD$16)^2+($C64-AD$17)^2+($D64-AD$18)^2)</f>
        <v>1.85564837694905</v>
      </c>
      <c r="AE64" s="17" t="n">
        <f aca="false">SQRT(($B64-AE$16)^2+($C64-AE$17)^2+($D64-AE$18)^2)</f>
        <v>1.00080497162288</v>
      </c>
      <c r="AF64" s="63" t="n">
        <f aca="false">MATCH(MIN(AC64:AE64),AC64:AE64,0)</f>
        <v>3</v>
      </c>
      <c r="AH64" s="17" t="n">
        <f aca="false">SQRT(($B64-AH$16)^2+($C64-AH$17)^2+($D64-AH$18)^2)</f>
        <v>2.0714874815371</v>
      </c>
      <c r="AI64" s="17" t="n">
        <f aca="false">SQRT(($B64-AI$16)^2+($C64-AI$17)^2+($D64-AI$18)^2)</f>
        <v>2.0173870764054</v>
      </c>
      <c r="AJ64" s="17" t="n">
        <f aca="false">SQRT(($B64-AJ$16)^2+($C64-AJ$17)^2+($D64-AJ$18)^2)</f>
        <v>0.904597580850116</v>
      </c>
      <c r="AK64" s="63" t="n">
        <f aca="false">MATCH(MIN(AH64:AJ64),AH64:AJ64,0)</f>
        <v>3</v>
      </c>
      <c r="AM64" s="17" t="n">
        <f aca="false">SQRT(($B64-AM$16)^2+($C64-AM$17)^2+($D64-AM$18)^2)</f>
        <v>2.11249165347573</v>
      </c>
      <c r="AN64" s="17" t="n">
        <f aca="false">SQRT(($B64-AN$16)^2+($C64-AN$17)^2+($D64-AN$18)^2)</f>
        <v>2.05239507586843</v>
      </c>
      <c r="AO64" s="17" t="n">
        <f aca="false">SQRT(($B64-AO$16)^2+($C64-AO$17)^2+($D64-AO$18)^2)</f>
        <v>0.879906976012263</v>
      </c>
      <c r="AP64" s="63" t="n">
        <f aca="false">MATCH(MIN(AM64:AO64),AM64:AO64,0)</f>
        <v>3</v>
      </c>
      <c r="AR64" s="17" t="n">
        <f aca="false">SQRT(($B64-AR$16)^2+($C64-AR$17)^2+($D64-AR$18)^2)</f>
        <v>2.11249165347573</v>
      </c>
      <c r="AS64" s="17" t="n">
        <f aca="false">SQRT(($B64-AS$16)^2+($C64-AS$17)^2+($D64-AS$18)^2)</f>
        <v>2.05239507586843</v>
      </c>
      <c r="AT64" s="17" t="n">
        <f aca="false">SQRT(($B64-AT$16)^2+($C64-AT$17)^2+($D64-AT$18)^2)</f>
        <v>0.879906976012263</v>
      </c>
      <c r="AU64" s="63" t="n">
        <f aca="false">MATCH(MIN(AR64:AT64),AR64:AT64,0)</f>
        <v>3</v>
      </c>
      <c r="AW64" s="17" t="n">
        <f aca="false">SQRT(($B64-AW$16)^2+($C64-AW$17)^2+($D64-AW$18)^2)</f>
        <v>2.11249165347573</v>
      </c>
      <c r="AX64" s="17" t="n">
        <f aca="false">SQRT(($B64-AX$16)^2+($C64-AX$17)^2+($D64-AX$18)^2)</f>
        <v>2.05239507586843</v>
      </c>
      <c r="AY64" s="17" t="n">
        <f aca="false">SQRT(($B64-AY$16)^2+($C64-AY$17)^2+($D64-AY$18)^2)</f>
        <v>0.879906976012263</v>
      </c>
      <c r="AZ64" s="63" t="n">
        <f aca="false">MATCH(MIN(AW64:AY64),AW64:AY64,0)</f>
        <v>3</v>
      </c>
      <c r="BB64" s="17" t="n">
        <f aca="false">SQRT(($B64-BB$16)^2+($C64-BB$17)^2+($D64-BB$18)^2)</f>
        <v>2.11249165347573</v>
      </c>
      <c r="BC64" s="17" t="n">
        <f aca="false">SQRT(($B64-BC$16)^2+($C64-BC$17)^2+($D64-BC$18)^2)</f>
        <v>2.05239507586843</v>
      </c>
      <c r="BD64" s="17" t="n">
        <f aca="false">SQRT(($B64-BD$16)^2+($C64-BD$17)^2+($D64-BD$18)^2)</f>
        <v>0.879906976012263</v>
      </c>
      <c r="BE64" s="63" t="n">
        <f aca="false">MATCH(MIN(BB64:BD64),BB64:BD64,0)</f>
        <v>3</v>
      </c>
      <c r="BG64" s="17" t="n">
        <f aca="false">SQRT(($B64-BG$16)^2+($C64-BG$17)^2+($D64-BG$18)^2)</f>
        <v>2.11249165347573</v>
      </c>
      <c r="BH64" s="17" t="n">
        <f aca="false">SQRT(($B64-BH$16)^2+($C64-BH$17)^2+($D64-BH$18)^2)</f>
        <v>2.05239507586843</v>
      </c>
      <c r="BI64" s="17" t="n">
        <f aca="false">SQRT(($B64-BI$16)^2+($C64-BI$17)^2+($D64-BI$18)^2)</f>
        <v>0.879906976012263</v>
      </c>
      <c r="BJ64" s="63" t="n">
        <f aca="false">MATCH(MIN(BG64:BI64),BG64:BI64,0)</f>
        <v>3</v>
      </c>
      <c r="BL64" s="17" t="n">
        <f aca="false">SQRT(($B64-BL$16)^2+($C64-BL$17)^2+($D64-BL$18)^2)</f>
        <v>2.11249165347573</v>
      </c>
      <c r="BM64" s="17" t="n">
        <f aca="false">SQRT(($B64-BM$16)^2+($C64-BM$17)^2+($D64-BM$18)^2)</f>
        <v>2.05239507586843</v>
      </c>
      <c r="BN64" s="17" t="n">
        <f aca="false">SQRT(($B64-BN$16)^2+($C64-BN$17)^2+($D64-BN$18)^2)</f>
        <v>0.879906976012263</v>
      </c>
      <c r="BO64" s="63" t="n">
        <f aca="false">MATCH(MIN(BL64:BN64),BL64:BN64,0)</f>
        <v>3</v>
      </c>
      <c r="BQ64" s="17" t="n">
        <f aca="false">SQRT(($B64-BQ$16)^2+($C64-BQ$17)^2+($D64-BQ$18)^2)</f>
        <v>2.11249165347573</v>
      </c>
      <c r="BR64" s="17" t="n">
        <f aca="false">SQRT(($B64-BR$16)^2+($C64-BR$17)^2+($D64-BR$18)^2)</f>
        <v>2.05239507586843</v>
      </c>
      <c r="BS64" s="17" t="n">
        <f aca="false">SQRT(($B64-BS$16)^2+($C64-BS$17)^2+($D64-BS$18)^2)</f>
        <v>0.879906976012263</v>
      </c>
      <c r="BT64" s="63" t="n">
        <f aca="false">MATCH(MIN(BQ64:BS64),BQ64:BS64,0)</f>
        <v>3</v>
      </c>
      <c r="BV64" s="17" t="n">
        <f aca="false">SQRT(($B64-BV$16)^2+($C64-BV$17)^2+($D64-BV$18)^2)</f>
        <v>2.11249165347573</v>
      </c>
      <c r="BW64" s="17" t="n">
        <f aca="false">SQRT(($B64-BW$16)^2+($C64-BW$17)^2+($D64-BW$18)^2)</f>
        <v>2.05239507586843</v>
      </c>
      <c r="BX64" s="17" t="n">
        <f aca="false">SQRT(($B64-BX$16)^2+($C64-BX$17)^2+($D64-BX$18)^2)</f>
        <v>0.879906976012263</v>
      </c>
      <c r="BY64" s="63" t="n">
        <f aca="false">MATCH(MIN(BV64:BX64),BV64:BX64,0)</f>
        <v>3</v>
      </c>
      <c r="CA64" s="17" t="n">
        <f aca="false">SQRT(($B64-CA$16)^2+($C64-CA$17)^2+($D64-CA$18)^2)</f>
        <v>2.11249165347573</v>
      </c>
      <c r="CB64" s="17" t="n">
        <f aca="false">SQRT(($B64-CB$16)^2+($C64-CB$17)^2+($D64-CB$18)^2)</f>
        <v>2.05239507586843</v>
      </c>
      <c r="CC64" s="17" t="n">
        <f aca="false">SQRT(($B64-CC$16)^2+($C64-CC$17)^2+($D64-CC$18)^2)</f>
        <v>0.879906976012263</v>
      </c>
      <c r="CD64" s="63" t="n">
        <f aca="false">MATCH(MIN(CA64:CC64),CA64:CC64,0)</f>
        <v>3</v>
      </c>
    </row>
    <row r="65" customFormat="false" ht="15" hidden="false" customHeight="false" outlineLevel="0" collapsed="false">
      <c r="A65" s="76" t="n">
        <f aca="false">Phase_Data!A47</f>
        <v>43929</v>
      </c>
      <c r="B65" s="17" t="n">
        <f aca="false">Phase_Data!K47</f>
        <v>0.208206148780829</v>
      </c>
      <c r="C65" s="17" t="n">
        <f aca="false">Phase_Data!L47</f>
        <v>0.00445305053087125</v>
      </c>
      <c r="D65" s="17" t="n">
        <f aca="false">Phase_Data!M47</f>
        <v>0.546694661838179</v>
      </c>
      <c r="E65" s="63" t="n">
        <f aca="false">CD65</f>
        <v>3</v>
      </c>
      <c r="F65" s="38" t="n">
        <f aca="false">($B65-INDEX($L$16:$N$16,E65))^2+($C65-INDEX($L$17:$N$17,E65))^2+($D65-INDEX($L$18:$N$18,E65))^2</f>
        <v>0.340963959978463</v>
      </c>
      <c r="G65" s="12" t="str">
        <f aca="false">INDEX($M$5:$M$7,E65)</f>
        <v>Medium activity</v>
      </c>
      <c r="X65" s="17" t="n">
        <f aca="false">SQRT(($B65-X$16)^2+($C65-X$17)^2+($D65-X$18)^2)</f>
        <v>2.9088588257571</v>
      </c>
      <c r="Y65" s="17" t="n">
        <f aca="false">SQRT(($B65-Y$16)^2+($C65-Y$17)^2+($D65-Y$18)^2)</f>
        <v>2.09530790026597</v>
      </c>
      <c r="Z65" s="17" t="n">
        <f aca="false">SQRT(($B65-Z$16)^2+($C65-Z$17)^2+($D65-Z$18)^2)</f>
        <v>2.03303768272489</v>
      </c>
      <c r="AA65" s="63" t="n">
        <f aca="false">MATCH(MIN(X65:Z65),X65:Z65,0)</f>
        <v>3</v>
      </c>
      <c r="AC65" s="17" t="n">
        <f aca="false">SQRT(($B65-AC$16)^2+($C65-AC$17)^2+($D65-AC$18)^2)</f>
        <v>2.52434275288524</v>
      </c>
      <c r="AD65" s="17" t="n">
        <f aca="false">SQRT(($B65-AD$16)^2+($C65-AD$17)^2+($D65-AD$18)^2)</f>
        <v>1.21503037414387</v>
      </c>
      <c r="AE65" s="17" t="n">
        <f aca="false">SQRT(($B65-AE$16)^2+($C65-AE$17)^2+($D65-AE$18)^2)</f>
        <v>0.698958591415988</v>
      </c>
      <c r="AF65" s="63" t="n">
        <f aca="false">MATCH(MIN(AC65:AE65),AC65:AE65,0)</f>
        <v>3</v>
      </c>
      <c r="AH65" s="17" t="n">
        <f aca="false">SQRT(($B65-AH$16)^2+($C65-AH$17)^2+($D65-AH$18)^2)</f>
        <v>2.61335344226794</v>
      </c>
      <c r="AI65" s="17" t="n">
        <f aca="false">SQRT(($B65-AI$16)^2+($C65-AI$17)^2+($D65-AI$18)^2)</f>
        <v>1.37651477800606</v>
      </c>
      <c r="AJ65" s="17" t="n">
        <f aca="false">SQRT(($B65-AJ$16)^2+($C65-AJ$17)^2+($D65-AJ$18)^2)</f>
        <v>0.597552658661851</v>
      </c>
      <c r="AK65" s="63" t="n">
        <f aca="false">MATCH(MIN(AH65:AJ65),AH65:AJ65,0)</f>
        <v>3</v>
      </c>
      <c r="AM65" s="17" t="n">
        <f aca="false">SQRT(($B65-AM$16)^2+($C65-AM$17)^2+($D65-AM$18)^2)</f>
        <v>2.65596877392477</v>
      </c>
      <c r="AN65" s="17" t="n">
        <f aca="false">SQRT(($B65-AN$16)^2+($C65-AN$17)^2+($D65-AN$18)^2)</f>
        <v>1.41154773410594</v>
      </c>
      <c r="AO65" s="17" t="n">
        <f aca="false">SQRT(($B65-AO$16)^2+($C65-AO$17)^2+($D65-AO$18)^2)</f>
        <v>0.583921193294492</v>
      </c>
      <c r="AP65" s="63" t="n">
        <f aca="false">MATCH(MIN(AM65:AO65),AM65:AO65,0)</f>
        <v>3</v>
      </c>
      <c r="AR65" s="17" t="n">
        <f aca="false">SQRT(($B65-AR$16)^2+($C65-AR$17)^2+($D65-AR$18)^2)</f>
        <v>2.65596877392477</v>
      </c>
      <c r="AS65" s="17" t="n">
        <f aca="false">SQRT(($B65-AS$16)^2+($C65-AS$17)^2+($D65-AS$18)^2)</f>
        <v>1.41154773410594</v>
      </c>
      <c r="AT65" s="17" t="n">
        <f aca="false">SQRT(($B65-AT$16)^2+($C65-AT$17)^2+($D65-AT$18)^2)</f>
        <v>0.583921193294492</v>
      </c>
      <c r="AU65" s="63" t="n">
        <f aca="false">MATCH(MIN(AR65:AT65),AR65:AT65,0)</f>
        <v>3</v>
      </c>
      <c r="AW65" s="17" t="n">
        <f aca="false">SQRT(($B65-AW$16)^2+($C65-AW$17)^2+($D65-AW$18)^2)</f>
        <v>2.65596877392477</v>
      </c>
      <c r="AX65" s="17" t="n">
        <f aca="false">SQRT(($B65-AX$16)^2+($C65-AX$17)^2+($D65-AX$18)^2)</f>
        <v>1.41154773410594</v>
      </c>
      <c r="AY65" s="17" t="n">
        <f aca="false">SQRT(($B65-AY$16)^2+($C65-AY$17)^2+($D65-AY$18)^2)</f>
        <v>0.583921193294492</v>
      </c>
      <c r="AZ65" s="63" t="n">
        <f aca="false">MATCH(MIN(AW65:AY65),AW65:AY65,0)</f>
        <v>3</v>
      </c>
      <c r="BB65" s="17" t="n">
        <f aca="false">SQRT(($B65-BB$16)^2+($C65-BB$17)^2+($D65-BB$18)^2)</f>
        <v>2.65596877392477</v>
      </c>
      <c r="BC65" s="17" t="n">
        <f aca="false">SQRT(($B65-BC$16)^2+($C65-BC$17)^2+($D65-BC$18)^2)</f>
        <v>1.41154773410594</v>
      </c>
      <c r="BD65" s="17" t="n">
        <f aca="false">SQRT(($B65-BD$16)^2+($C65-BD$17)^2+($D65-BD$18)^2)</f>
        <v>0.583921193294492</v>
      </c>
      <c r="BE65" s="63" t="n">
        <f aca="false">MATCH(MIN(BB65:BD65),BB65:BD65,0)</f>
        <v>3</v>
      </c>
      <c r="BG65" s="17" t="n">
        <f aca="false">SQRT(($B65-BG$16)^2+($C65-BG$17)^2+($D65-BG$18)^2)</f>
        <v>2.65596877392477</v>
      </c>
      <c r="BH65" s="17" t="n">
        <f aca="false">SQRT(($B65-BH$16)^2+($C65-BH$17)^2+($D65-BH$18)^2)</f>
        <v>1.41154773410594</v>
      </c>
      <c r="BI65" s="17" t="n">
        <f aca="false">SQRT(($B65-BI$16)^2+($C65-BI$17)^2+($D65-BI$18)^2)</f>
        <v>0.583921193294492</v>
      </c>
      <c r="BJ65" s="63" t="n">
        <f aca="false">MATCH(MIN(BG65:BI65),BG65:BI65,0)</f>
        <v>3</v>
      </c>
      <c r="BL65" s="17" t="n">
        <f aca="false">SQRT(($B65-BL$16)^2+($C65-BL$17)^2+($D65-BL$18)^2)</f>
        <v>2.65596877392477</v>
      </c>
      <c r="BM65" s="17" t="n">
        <f aca="false">SQRT(($B65-BM$16)^2+($C65-BM$17)^2+($D65-BM$18)^2)</f>
        <v>1.41154773410594</v>
      </c>
      <c r="BN65" s="17" t="n">
        <f aca="false">SQRT(($B65-BN$16)^2+($C65-BN$17)^2+($D65-BN$18)^2)</f>
        <v>0.583921193294492</v>
      </c>
      <c r="BO65" s="63" t="n">
        <f aca="false">MATCH(MIN(BL65:BN65),BL65:BN65,0)</f>
        <v>3</v>
      </c>
      <c r="BQ65" s="17" t="n">
        <f aca="false">SQRT(($B65-BQ$16)^2+($C65-BQ$17)^2+($D65-BQ$18)^2)</f>
        <v>2.65596877392477</v>
      </c>
      <c r="BR65" s="17" t="n">
        <f aca="false">SQRT(($B65-BR$16)^2+($C65-BR$17)^2+($D65-BR$18)^2)</f>
        <v>1.41154773410594</v>
      </c>
      <c r="BS65" s="17" t="n">
        <f aca="false">SQRT(($B65-BS$16)^2+($C65-BS$17)^2+($D65-BS$18)^2)</f>
        <v>0.583921193294492</v>
      </c>
      <c r="BT65" s="63" t="n">
        <f aca="false">MATCH(MIN(BQ65:BS65),BQ65:BS65,0)</f>
        <v>3</v>
      </c>
      <c r="BV65" s="17" t="n">
        <f aca="false">SQRT(($B65-BV$16)^2+($C65-BV$17)^2+($D65-BV$18)^2)</f>
        <v>2.65596877392477</v>
      </c>
      <c r="BW65" s="17" t="n">
        <f aca="false">SQRT(($B65-BW$16)^2+($C65-BW$17)^2+($D65-BW$18)^2)</f>
        <v>1.41154773410594</v>
      </c>
      <c r="BX65" s="17" t="n">
        <f aca="false">SQRT(($B65-BX$16)^2+($C65-BX$17)^2+($D65-BX$18)^2)</f>
        <v>0.583921193294492</v>
      </c>
      <c r="BY65" s="63" t="n">
        <f aca="false">MATCH(MIN(BV65:BX65),BV65:BX65,0)</f>
        <v>3</v>
      </c>
      <c r="CA65" s="17" t="n">
        <f aca="false">SQRT(($B65-CA$16)^2+($C65-CA$17)^2+($D65-CA$18)^2)</f>
        <v>2.65596877392477</v>
      </c>
      <c r="CB65" s="17" t="n">
        <f aca="false">SQRT(($B65-CB$16)^2+($C65-CB$17)^2+($D65-CB$18)^2)</f>
        <v>1.41154773410594</v>
      </c>
      <c r="CC65" s="17" t="n">
        <f aca="false">SQRT(($B65-CC$16)^2+($C65-CC$17)^2+($D65-CC$18)^2)</f>
        <v>0.583921193294492</v>
      </c>
      <c r="CD65" s="63" t="n">
        <f aca="false">MATCH(MIN(CA65:CC65),CA65:CC65,0)</f>
        <v>3</v>
      </c>
    </row>
    <row r="66" customFormat="false" ht="15" hidden="false" customHeight="false" outlineLevel="0" collapsed="false">
      <c r="A66" s="76" t="n">
        <f aca="false">Phase_Data!A48</f>
        <v>43930</v>
      </c>
      <c r="B66" s="17" t="n">
        <f aca="false">Phase_Data!K48</f>
        <v>0.588045993375437</v>
      </c>
      <c r="C66" s="17" t="n">
        <f aca="false">Phase_Data!L48</f>
        <v>-0.314681610738362</v>
      </c>
      <c r="D66" s="17" t="n">
        <f aca="false">Phase_Data!M48</f>
        <v>0.550095026301014</v>
      </c>
      <c r="E66" s="63" t="n">
        <f aca="false">CD66</f>
        <v>3</v>
      </c>
      <c r="F66" s="38" t="n">
        <f aca="false">($B66-INDEX($L$16:$N$16,E66))^2+($C66-INDEX($L$17:$N$17,E66))^2+($D66-INDEX($L$18:$N$18,E66))^2</f>
        <v>0.60232777076299</v>
      </c>
      <c r="G66" s="12" t="str">
        <f aca="false">INDEX($M$5:$M$7,E66)</f>
        <v>Medium activity</v>
      </c>
      <c r="X66" s="17" t="n">
        <f aca="false">SQRT(($B66-X$16)^2+($C66-X$17)^2+($D66-X$18)^2)</f>
        <v>3.02733651660196</v>
      </c>
      <c r="Y66" s="17" t="n">
        <f aca="false">SQRT(($B66-Y$16)^2+($C66-Y$17)^2+($D66-Y$18)^2)</f>
        <v>2.19123898169688</v>
      </c>
      <c r="Z66" s="17" t="n">
        <f aca="false">SQRT(($B66-Z$16)^2+($C66-Z$17)^2+($D66-Z$18)^2)</f>
        <v>2.13093200481952</v>
      </c>
      <c r="AA66" s="63" t="n">
        <f aca="false">MATCH(MIN(X66:Z66),X66:Z66,0)</f>
        <v>3</v>
      </c>
      <c r="AC66" s="17" t="n">
        <f aca="false">SQRT(($B66-AC$16)^2+($C66-AC$17)^2+($D66-AC$18)^2)</f>
        <v>2.62838882417984</v>
      </c>
      <c r="AD66" s="17" t="n">
        <f aca="false">SQRT(($B66-AD$16)^2+($C66-AD$17)^2+($D66-AD$18)^2)</f>
        <v>1.37225376927277</v>
      </c>
      <c r="AE66" s="17" t="n">
        <f aca="false">SQRT(($B66-AE$16)^2+($C66-AE$17)^2+($D66-AE$18)^2)</f>
        <v>0.87468815803324</v>
      </c>
      <c r="AF66" s="63" t="n">
        <f aca="false">MATCH(MIN(AC66:AE66),AC66:AE66,0)</f>
        <v>3</v>
      </c>
      <c r="AH66" s="17" t="n">
        <f aca="false">SQRT(($B66-AH$16)^2+($C66-AH$17)^2+($D66-AH$18)^2)</f>
        <v>2.72007944126999</v>
      </c>
      <c r="AI66" s="17" t="n">
        <f aca="false">SQRT(($B66-AI$16)^2+($C66-AI$17)^2+($D66-AI$18)^2)</f>
        <v>1.52047367961111</v>
      </c>
      <c r="AJ66" s="17" t="n">
        <f aca="false">SQRT(($B66-AJ$16)^2+($C66-AJ$17)^2+($D66-AJ$18)^2)</f>
        <v>0.794258781564469</v>
      </c>
      <c r="AK66" s="63" t="n">
        <f aca="false">MATCH(MIN(AH66:AJ66),AH66:AJ66,0)</f>
        <v>3</v>
      </c>
      <c r="AM66" s="17" t="n">
        <f aca="false">SQRT(($B66-AM$16)^2+($C66-AM$17)^2+($D66-AM$18)^2)</f>
        <v>2.76512559722556</v>
      </c>
      <c r="AN66" s="17" t="n">
        <f aca="false">SQRT(($B66-AN$16)^2+($C66-AN$17)^2+($D66-AN$18)^2)</f>
        <v>1.55565820201985</v>
      </c>
      <c r="AO66" s="17" t="n">
        <f aca="false">SQRT(($B66-AO$16)^2+($C66-AO$17)^2+($D66-AO$18)^2)</f>
        <v>0.776097784279139</v>
      </c>
      <c r="AP66" s="63" t="n">
        <f aca="false">MATCH(MIN(AM66:AO66),AM66:AO66,0)</f>
        <v>3</v>
      </c>
      <c r="AR66" s="17" t="n">
        <f aca="false">SQRT(($B66-AR$16)^2+($C66-AR$17)^2+($D66-AR$18)^2)</f>
        <v>2.76512559722556</v>
      </c>
      <c r="AS66" s="17" t="n">
        <f aca="false">SQRT(($B66-AS$16)^2+($C66-AS$17)^2+($D66-AS$18)^2)</f>
        <v>1.55565820201985</v>
      </c>
      <c r="AT66" s="17" t="n">
        <f aca="false">SQRT(($B66-AT$16)^2+($C66-AT$17)^2+($D66-AT$18)^2)</f>
        <v>0.776097784279139</v>
      </c>
      <c r="AU66" s="63" t="n">
        <f aca="false">MATCH(MIN(AR66:AT66),AR66:AT66,0)</f>
        <v>3</v>
      </c>
      <c r="AW66" s="17" t="n">
        <f aca="false">SQRT(($B66-AW$16)^2+($C66-AW$17)^2+($D66-AW$18)^2)</f>
        <v>2.76512559722556</v>
      </c>
      <c r="AX66" s="17" t="n">
        <f aca="false">SQRT(($B66-AX$16)^2+($C66-AX$17)^2+($D66-AX$18)^2)</f>
        <v>1.55565820201985</v>
      </c>
      <c r="AY66" s="17" t="n">
        <f aca="false">SQRT(($B66-AY$16)^2+($C66-AY$17)^2+($D66-AY$18)^2)</f>
        <v>0.776097784279139</v>
      </c>
      <c r="AZ66" s="63" t="n">
        <f aca="false">MATCH(MIN(AW66:AY66),AW66:AY66,0)</f>
        <v>3</v>
      </c>
      <c r="BB66" s="17" t="n">
        <f aca="false">SQRT(($B66-BB$16)^2+($C66-BB$17)^2+($D66-BB$18)^2)</f>
        <v>2.76512559722556</v>
      </c>
      <c r="BC66" s="17" t="n">
        <f aca="false">SQRT(($B66-BC$16)^2+($C66-BC$17)^2+($D66-BC$18)^2)</f>
        <v>1.55565820201985</v>
      </c>
      <c r="BD66" s="17" t="n">
        <f aca="false">SQRT(($B66-BD$16)^2+($C66-BD$17)^2+($D66-BD$18)^2)</f>
        <v>0.776097784279139</v>
      </c>
      <c r="BE66" s="63" t="n">
        <f aca="false">MATCH(MIN(BB66:BD66),BB66:BD66,0)</f>
        <v>3</v>
      </c>
      <c r="BG66" s="17" t="n">
        <f aca="false">SQRT(($B66-BG$16)^2+($C66-BG$17)^2+($D66-BG$18)^2)</f>
        <v>2.76512559722556</v>
      </c>
      <c r="BH66" s="17" t="n">
        <f aca="false">SQRT(($B66-BH$16)^2+($C66-BH$17)^2+($D66-BH$18)^2)</f>
        <v>1.55565820201985</v>
      </c>
      <c r="BI66" s="17" t="n">
        <f aca="false">SQRT(($B66-BI$16)^2+($C66-BI$17)^2+($D66-BI$18)^2)</f>
        <v>0.776097784279139</v>
      </c>
      <c r="BJ66" s="63" t="n">
        <f aca="false">MATCH(MIN(BG66:BI66),BG66:BI66,0)</f>
        <v>3</v>
      </c>
      <c r="BL66" s="17" t="n">
        <f aca="false">SQRT(($B66-BL$16)^2+($C66-BL$17)^2+($D66-BL$18)^2)</f>
        <v>2.76512559722556</v>
      </c>
      <c r="BM66" s="17" t="n">
        <f aca="false">SQRT(($B66-BM$16)^2+($C66-BM$17)^2+($D66-BM$18)^2)</f>
        <v>1.55565820201985</v>
      </c>
      <c r="BN66" s="17" t="n">
        <f aca="false">SQRT(($B66-BN$16)^2+($C66-BN$17)^2+($D66-BN$18)^2)</f>
        <v>0.776097784279139</v>
      </c>
      <c r="BO66" s="63" t="n">
        <f aca="false">MATCH(MIN(BL66:BN66),BL66:BN66,0)</f>
        <v>3</v>
      </c>
      <c r="BQ66" s="17" t="n">
        <f aca="false">SQRT(($B66-BQ$16)^2+($C66-BQ$17)^2+($D66-BQ$18)^2)</f>
        <v>2.76512559722556</v>
      </c>
      <c r="BR66" s="17" t="n">
        <f aca="false">SQRT(($B66-BR$16)^2+($C66-BR$17)^2+($D66-BR$18)^2)</f>
        <v>1.55565820201985</v>
      </c>
      <c r="BS66" s="17" t="n">
        <f aca="false">SQRT(($B66-BS$16)^2+($C66-BS$17)^2+($D66-BS$18)^2)</f>
        <v>0.776097784279139</v>
      </c>
      <c r="BT66" s="63" t="n">
        <f aca="false">MATCH(MIN(BQ66:BS66),BQ66:BS66,0)</f>
        <v>3</v>
      </c>
      <c r="BV66" s="17" t="n">
        <f aca="false">SQRT(($B66-BV$16)^2+($C66-BV$17)^2+($D66-BV$18)^2)</f>
        <v>2.76512559722556</v>
      </c>
      <c r="BW66" s="17" t="n">
        <f aca="false">SQRT(($B66-BW$16)^2+($C66-BW$17)^2+($D66-BW$18)^2)</f>
        <v>1.55565820201985</v>
      </c>
      <c r="BX66" s="17" t="n">
        <f aca="false">SQRT(($B66-BX$16)^2+($C66-BX$17)^2+($D66-BX$18)^2)</f>
        <v>0.776097784279139</v>
      </c>
      <c r="BY66" s="63" t="n">
        <f aca="false">MATCH(MIN(BV66:BX66),BV66:BX66,0)</f>
        <v>3</v>
      </c>
      <c r="CA66" s="17" t="n">
        <f aca="false">SQRT(($B66-CA$16)^2+($C66-CA$17)^2+($D66-CA$18)^2)</f>
        <v>2.76512559722556</v>
      </c>
      <c r="CB66" s="17" t="n">
        <f aca="false">SQRT(($B66-CB$16)^2+($C66-CB$17)^2+($D66-CB$18)^2)</f>
        <v>1.55565820201985</v>
      </c>
      <c r="CC66" s="17" t="n">
        <f aca="false">SQRT(($B66-CC$16)^2+($C66-CC$17)^2+($D66-CC$18)^2)</f>
        <v>0.776097784279139</v>
      </c>
      <c r="CD66" s="63" t="n">
        <f aca="false">MATCH(MIN(CA66:CC66),CA66:CC66,0)</f>
        <v>3</v>
      </c>
    </row>
    <row r="67" customFormat="false" ht="15" hidden="false" customHeight="false" outlineLevel="0" collapsed="false">
      <c r="A67" s="76" t="n">
        <f aca="false">Phase_Data!A49</f>
        <v>43931</v>
      </c>
      <c r="B67" s="17" t="n">
        <f aca="false">Phase_Data!K49</f>
        <v>-0.0980049177768498</v>
      </c>
      <c r="C67" s="17" t="n">
        <f aca="false">Phase_Data!L49</f>
        <v>-0.314681610738362</v>
      </c>
      <c r="D67" s="17" t="n">
        <f aca="false">Phase_Data!M49</f>
        <v>0.261715944468954</v>
      </c>
      <c r="E67" s="63" t="n">
        <f aca="false">CD67</f>
        <v>3</v>
      </c>
      <c r="F67" s="38" t="n">
        <f aca="false">($B67-INDEX($L$16:$N$16,E67))^2+($C67-INDEX($L$17:$N$17,E67))^2+($D67-INDEX($L$18:$N$18,E67))^2</f>
        <v>0.375632157794049</v>
      </c>
      <c r="G67" s="12" t="str">
        <f aca="false">INDEX($M$5:$M$7,E67)</f>
        <v>Medium activity</v>
      </c>
      <c r="X67" s="17" t="n">
        <f aca="false">SQRT(($B67-X$16)^2+($C67-X$17)^2+($D67-X$18)^2)</f>
        <v>2.39000838861722</v>
      </c>
      <c r="Y67" s="17" t="n">
        <f aca="false">SQRT(($B67-Y$16)^2+($C67-Y$17)^2+($D67-Y$18)^2)</f>
        <v>2.61732571883461</v>
      </c>
      <c r="Z67" s="17" t="n">
        <f aca="false">SQRT(($B67-Z$16)^2+($C67-Z$17)^2+($D67-Z$18)^2)</f>
        <v>2.0351697226338</v>
      </c>
      <c r="AA67" s="63" t="n">
        <f aca="false">MATCH(MIN(X67:Z67),X67:Z67,0)</f>
        <v>3</v>
      </c>
      <c r="AC67" s="17" t="n">
        <f aca="false">SQRT(($B67-AC$16)^2+($C67-AC$17)^2+($D67-AC$18)^2)</f>
        <v>2.00674997081635</v>
      </c>
      <c r="AD67" s="17" t="n">
        <f aca="false">SQRT(($B67-AD$16)^2+($C67-AD$17)^2+($D67-AD$18)^2)</f>
        <v>1.73184100532997</v>
      </c>
      <c r="AE67" s="17" t="n">
        <f aca="false">SQRT(($B67-AE$16)^2+($C67-AE$17)^2+($D67-AE$18)^2)</f>
        <v>0.73234447734469</v>
      </c>
      <c r="AF67" s="63" t="n">
        <f aca="false">MATCH(MIN(AC67:AE67),AC67:AE67,0)</f>
        <v>3</v>
      </c>
      <c r="AH67" s="17" t="n">
        <f aca="false">SQRT(($B67-AH$16)^2+($C67-AH$17)^2+($D67-AH$18)^2)</f>
        <v>2.09578262386981</v>
      </c>
      <c r="AI67" s="17" t="n">
        <f aca="false">SQRT(($B67-AI$16)^2+($C67-AI$17)^2+($D67-AI$18)^2)</f>
        <v>1.89333786503833</v>
      </c>
      <c r="AJ67" s="17" t="n">
        <f aca="false">SQRT(($B67-AJ$16)^2+($C67-AJ$17)^2+($D67-AJ$18)^2)</f>
        <v>0.637962634258132</v>
      </c>
      <c r="AK67" s="63" t="n">
        <f aca="false">MATCH(MIN(AH67:AJ67),AH67:AJ67,0)</f>
        <v>3</v>
      </c>
      <c r="AM67" s="17" t="n">
        <f aca="false">SQRT(($B67-AM$16)^2+($C67-AM$17)^2+($D67-AM$18)^2)</f>
        <v>2.13837726855488</v>
      </c>
      <c r="AN67" s="17" t="n">
        <f aca="false">SQRT(($B67-AN$16)^2+($C67-AN$17)^2+($D67-AN$18)^2)</f>
        <v>1.92776291115124</v>
      </c>
      <c r="AO67" s="17" t="n">
        <f aca="false">SQRT(($B67-AO$16)^2+($C67-AO$17)^2+($D67-AO$18)^2)</f>
        <v>0.61288837302893</v>
      </c>
      <c r="AP67" s="63" t="n">
        <f aca="false">MATCH(MIN(AM67:AO67),AM67:AO67,0)</f>
        <v>3</v>
      </c>
      <c r="AR67" s="17" t="n">
        <f aca="false">SQRT(($B67-AR$16)^2+($C67-AR$17)^2+($D67-AR$18)^2)</f>
        <v>2.13837726855488</v>
      </c>
      <c r="AS67" s="17" t="n">
        <f aca="false">SQRT(($B67-AS$16)^2+($C67-AS$17)^2+($D67-AS$18)^2)</f>
        <v>1.92776291115124</v>
      </c>
      <c r="AT67" s="17" t="n">
        <f aca="false">SQRT(($B67-AT$16)^2+($C67-AT$17)^2+($D67-AT$18)^2)</f>
        <v>0.61288837302893</v>
      </c>
      <c r="AU67" s="63" t="n">
        <f aca="false">MATCH(MIN(AR67:AT67),AR67:AT67,0)</f>
        <v>3</v>
      </c>
      <c r="AW67" s="17" t="n">
        <f aca="false">SQRT(($B67-AW$16)^2+($C67-AW$17)^2+($D67-AW$18)^2)</f>
        <v>2.13837726855488</v>
      </c>
      <c r="AX67" s="17" t="n">
        <f aca="false">SQRT(($B67-AX$16)^2+($C67-AX$17)^2+($D67-AX$18)^2)</f>
        <v>1.92776291115124</v>
      </c>
      <c r="AY67" s="17" t="n">
        <f aca="false">SQRT(($B67-AY$16)^2+($C67-AY$17)^2+($D67-AY$18)^2)</f>
        <v>0.61288837302893</v>
      </c>
      <c r="AZ67" s="63" t="n">
        <f aca="false">MATCH(MIN(AW67:AY67),AW67:AY67,0)</f>
        <v>3</v>
      </c>
      <c r="BB67" s="17" t="n">
        <f aca="false">SQRT(($B67-BB$16)^2+($C67-BB$17)^2+($D67-BB$18)^2)</f>
        <v>2.13837726855488</v>
      </c>
      <c r="BC67" s="17" t="n">
        <f aca="false">SQRT(($B67-BC$16)^2+($C67-BC$17)^2+($D67-BC$18)^2)</f>
        <v>1.92776291115124</v>
      </c>
      <c r="BD67" s="17" t="n">
        <f aca="false">SQRT(($B67-BD$16)^2+($C67-BD$17)^2+($D67-BD$18)^2)</f>
        <v>0.61288837302893</v>
      </c>
      <c r="BE67" s="63" t="n">
        <f aca="false">MATCH(MIN(BB67:BD67),BB67:BD67,0)</f>
        <v>3</v>
      </c>
      <c r="BG67" s="17" t="n">
        <f aca="false">SQRT(($B67-BG$16)^2+($C67-BG$17)^2+($D67-BG$18)^2)</f>
        <v>2.13837726855488</v>
      </c>
      <c r="BH67" s="17" t="n">
        <f aca="false">SQRT(($B67-BH$16)^2+($C67-BH$17)^2+($D67-BH$18)^2)</f>
        <v>1.92776291115124</v>
      </c>
      <c r="BI67" s="17" t="n">
        <f aca="false">SQRT(($B67-BI$16)^2+($C67-BI$17)^2+($D67-BI$18)^2)</f>
        <v>0.61288837302893</v>
      </c>
      <c r="BJ67" s="63" t="n">
        <f aca="false">MATCH(MIN(BG67:BI67),BG67:BI67,0)</f>
        <v>3</v>
      </c>
      <c r="BL67" s="17" t="n">
        <f aca="false">SQRT(($B67-BL$16)^2+($C67-BL$17)^2+($D67-BL$18)^2)</f>
        <v>2.13837726855488</v>
      </c>
      <c r="BM67" s="17" t="n">
        <f aca="false">SQRT(($B67-BM$16)^2+($C67-BM$17)^2+($D67-BM$18)^2)</f>
        <v>1.92776291115124</v>
      </c>
      <c r="BN67" s="17" t="n">
        <f aca="false">SQRT(($B67-BN$16)^2+($C67-BN$17)^2+($D67-BN$18)^2)</f>
        <v>0.61288837302893</v>
      </c>
      <c r="BO67" s="63" t="n">
        <f aca="false">MATCH(MIN(BL67:BN67),BL67:BN67,0)</f>
        <v>3</v>
      </c>
      <c r="BQ67" s="17" t="n">
        <f aca="false">SQRT(($B67-BQ$16)^2+($C67-BQ$17)^2+($D67-BQ$18)^2)</f>
        <v>2.13837726855488</v>
      </c>
      <c r="BR67" s="17" t="n">
        <f aca="false">SQRT(($B67-BR$16)^2+($C67-BR$17)^2+($D67-BR$18)^2)</f>
        <v>1.92776291115124</v>
      </c>
      <c r="BS67" s="17" t="n">
        <f aca="false">SQRT(($B67-BS$16)^2+($C67-BS$17)^2+($D67-BS$18)^2)</f>
        <v>0.61288837302893</v>
      </c>
      <c r="BT67" s="63" t="n">
        <f aca="false">MATCH(MIN(BQ67:BS67),BQ67:BS67,0)</f>
        <v>3</v>
      </c>
      <c r="BV67" s="17" t="n">
        <f aca="false">SQRT(($B67-BV$16)^2+($C67-BV$17)^2+($D67-BV$18)^2)</f>
        <v>2.13837726855488</v>
      </c>
      <c r="BW67" s="17" t="n">
        <f aca="false">SQRT(($B67-BW$16)^2+($C67-BW$17)^2+($D67-BW$18)^2)</f>
        <v>1.92776291115124</v>
      </c>
      <c r="BX67" s="17" t="n">
        <f aca="false">SQRT(($B67-BX$16)^2+($C67-BX$17)^2+($D67-BX$18)^2)</f>
        <v>0.61288837302893</v>
      </c>
      <c r="BY67" s="63" t="n">
        <f aca="false">MATCH(MIN(BV67:BX67),BV67:BX67,0)</f>
        <v>3</v>
      </c>
      <c r="CA67" s="17" t="n">
        <f aca="false">SQRT(($B67-CA$16)^2+($C67-CA$17)^2+($D67-CA$18)^2)</f>
        <v>2.13837726855488</v>
      </c>
      <c r="CB67" s="17" t="n">
        <f aca="false">SQRT(($B67-CB$16)^2+($C67-CB$17)^2+($D67-CB$18)^2)</f>
        <v>1.92776291115124</v>
      </c>
      <c r="CC67" s="17" t="n">
        <f aca="false">SQRT(($B67-CC$16)^2+($C67-CC$17)^2+($D67-CC$18)^2)</f>
        <v>0.61288837302893</v>
      </c>
      <c r="CD67" s="63" t="n">
        <f aca="false">MATCH(MIN(CA67:CC67),CA67:CC67,0)</f>
        <v>3</v>
      </c>
    </row>
    <row r="68" customFormat="false" ht="15" hidden="false" customHeight="false" outlineLevel="0" collapsed="false">
      <c r="A68" s="76" t="n">
        <f aca="false">Phase_Data!A50</f>
        <v>43932</v>
      </c>
      <c r="B68" s="17" t="n">
        <f aca="false">Phase_Data!K50</f>
        <v>0.157908787076335</v>
      </c>
      <c r="C68" s="17" t="n">
        <f aca="false">Phase_Data!L50</f>
        <v>0.475103226217211</v>
      </c>
      <c r="D68" s="17" t="n">
        <f aca="false">Phase_Data!M50</f>
        <v>0.126097841129638</v>
      </c>
      <c r="E68" s="63" t="n">
        <f aca="false">CD68</f>
        <v>3</v>
      </c>
      <c r="F68" s="38" t="n">
        <f aca="false">($B68-INDEX($L$16:$N$16,E68))^2+($C68-INDEX($L$17:$N$17,E68))^2+($D68-INDEX($L$18:$N$18,E68))^2</f>
        <v>0.185691726663211</v>
      </c>
      <c r="G68" s="12" t="str">
        <f aca="false">INDEX($M$5:$M$7,E68)</f>
        <v>Medium activity</v>
      </c>
      <c r="X68" s="17" t="n">
        <f aca="false">SQRT(($B68-X$16)^2+($C68-X$17)^2+($D68-X$18)^2)</f>
        <v>2.91178635269968</v>
      </c>
      <c r="Y68" s="17" t="n">
        <f aca="false">SQRT(($B68-Y$16)^2+($C68-Y$17)^2+($D68-Y$18)^2)</f>
        <v>2.10432887516857</v>
      </c>
      <c r="Z68" s="17" t="n">
        <f aca="false">SQRT(($B68-Z$16)^2+($C68-Z$17)^2+($D68-Z$18)^2)</f>
        <v>1.52211176567216</v>
      </c>
      <c r="AA68" s="63" t="n">
        <f aca="false">MATCH(MIN(X68:Z68),X68:Z68,0)</f>
        <v>3</v>
      </c>
      <c r="AC68" s="17" t="n">
        <f aca="false">SQRT(($B68-AC$16)^2+($C68-AC$17)^2+($D68-AC$18)^2)</f>
        <v>2.53280125671476</v>
      </c>
      <c r="AD68" s="17" t="n">
        <f aca="false">SQRT(($B68-AD$16)^2+($C68-AD$17)^2+($D68-AD$18)^2)</f>
        <v>1.22460243909446</v>
      </c>
      <c r="AE68" s="17" t="n">
        <f aca="false">SQRT(($B68-AE$16)^2+($C68-AE$17)^2+($D68-AE$18)^2)</f>
        <v>0.432064591241303</v>
      </c>
      <c r="AF68" s="63" t="n">
        <f aca="false">MATCH(MIN(AC68:AE68),AC68:AE68,0)</f>
        <v>3</v>
      </c>
      <c r="AH68" s="17" t="n">
        <f aca="false">SQRT(($B68-AH$16)^2+($C68-AH$17)^2+($D68-AH$18)^2)</f>
        <v>2.6174869143427</v>
      </c>
      <c r="AI68" s="17" t="n">
        <f aca="false">SQRT(($B68-AI$16)^2+($C68-AI$17)^2+($D68-AI$18)^2)</f>
        <v>1.36679026231856</v>
      </c>
      <c r="AJ68" s="17" t="n">
        <f aca="false">SQRT(($B68-AJ$16)^2+($C68-AJ$17)^2+($D68-AJ$18)^2)</f>
        <v>0.412397005288632</v>
      </c>
      <c r="AK68" s="63" t="n">
        <f aca="false">MATCH(MIN(AH68:AJ68),AH68:AJ68,0)</f>
        <v>3</v>
      </c>
      <c r="AM68" s="17" t="n">
        <f aca="false">SQRT(($B68-AM$16)^2+($C68-AM$17)^2+($D68-AM$18)^2)</f>
        <v>2.65819231668536</v>
      </c>
      <c r="AN68" s="17" t="n">
        <f aca="false">SQRT(($B68-AN$16)^2+($C68-AN$17)^2+($D68-AN$18)^2)</f>
        <v>1.39423128604378</v>
      </c>
      <c r="AO68" s="17" t="n">
        <f aca="false">SQRT(($B68-AO$16)^2+($C68-AO$17)^2+($D68-AO$18)^2)</f>
        <v>0.43091962900663</v>
      </c>
      <c r="AP68" s="63" t="n">
        <f aca="false">MATCH(MIN(AM68:AO68),AM68:AO68,0)</f>
        <v>3</v>
      </c>
      <c r="AR68" s="17" t="n">
        <f aca="false">SQRT(($B68-AR$16)^2+($C68-AR$17)^2+($D68-AR$18)^2)</f>
        <v>2.65819231668536</v>
      </c>
      <c r="AS68" s="17" t="n">
        <f aca="false">SQRT(($B68-AS$16)^2+($C68-AS$17)^2+($D68-AS$18)^2)</f>
        <v>1.39423128604378</v>
      </c>
      <c r="AT68" s="17" t="n">
        <f aca="false">SQRT(($B68-AT$16)^2+($C68-AT$17)^2+($D68-AT$18)^2)</f>
        <v>0.43091962900663</v>
      </c>
      <c r="AU68" s="63" t="n">
        <f aca="false">MATCH(MIN(AR68:AT68),AR68:AT68,0)</f>
        <v>3</v>
      </c>
      <c r="AW68" s="17" t="n">
        <f aca="false">SQRT(($B68-AW$16)^2+($C68-AW$17)^2+($D68-AW$18)^2)</f>
        <v>2.65819231668536</v>
      </c>
      <c r="AX68" s="17" t="n">
        <f aca="false">SQRT(($B68-AX$16)^2+($C68-AX$17)^2+($D68-AX$18)^2)</f>
        <v>1.39423128604378</v>
      </c>
      <c r="AY68" s="17" t="n">
        <f aca="false">SQRT(($B68-AY$16)^2+($C68-AY$17)^2+($D68-AY$18)^2)</f>
        <v>0.43091962900663</v>
      </c>
      <c r="AZ68" s="63" t="n">
        <f aca="false">MATCH(MIN(AW68:AY68),AW68:AY68,0)</f>
        <v>3</v>
      </c>
      <c r="BB68" s="17" t="n">
        <f aca="false">SQRT(($B68-BB$16)^2+($C68-BB$17)^2+($D68-BB$18)^2)</f>
        <v>2.65819231668536</v>
      </c>
      <c r="BC68" s="17" t="n">
        <f aca="false">SQRT(($B68-BC$16)^2+($C68-BC$17)^2+($D68-BC$18)^2)</f>
        <v>1.39423128604378</v>
      </c>
      <c r="BD68" s="17" t="n">
        <f aca="false">SQRT(($B68-BD$16)^2+($C68-BD$17)^2+($D68-BD$18)^2)</f>
        <v>0.43091962900663</v>
      </c>
      <c r="BE68" s="63" t="n">
        <f aca="false">MATCH(MIN(BB68:BD68),BB68:BD68,0)</f>
        <v>3</v>
      </c>
      <c r="BG68" s="17" t="n">
        <f aca="false">SQRT(($B68-BG$16)^2+($C68-BG$17)^2+($D68-BG$18)^2)</f>
        <v>2.65819231668536</v>
      </c>
      <c r="BH68" s="17" t="n">
        <f aca="false">SQRT(($B68-BH$16)^2+($C68-BH$17)^2+($D68-BH$18)^2)</f>
        <v>1.39423128604378</v>
      </c>
      <c r="BI68" s="17" t="n">
        <f aca="false">SQRT(($B68-BI$16)^2+($C68-BI$17)^2+($D68-BI$18)^2)</f>
        <v>0.43091962900663</v>
      </c>
      <c r="BJ68" s="63" t="n">
        <f aca="false">MATCH(MIN(BG68:BI68),BG68:BI68,0)</f>
        <v>3</v>
      </c>
      <c r="BL68" s="17" t="n">
        <f aca="false">SQRT(($B68-BL$16)^2+($C68-BL$17)^2+($D68-BL$18)^2)</f>
        <v>2.65819231668536</v>
      </c>
      <c r="BM68" s="17" t="n">
        <f aca="false">SQRT(($B68-BM$16)^2+($C68-BM$17)^2+($D68-BM$18)^2)</f>
        <v>1.39423128604378</v>
      </c>
      <c r="BN68" s="17" t="n">
        <f aca="false">SQRT(($B68-BN$16)^2+($C68-BN$17)^2+($D68-BN$18)^2)</f>
        <v>0.43091962900663</v>
      </c>
      <c r="BO68" s="63" t="n">
        <f aca="false">MATCH(MIN(BL68:BN68),BL68:BN68,0)</f>
        <v>3</v>
      </c>
      <c r="BQ68" s="17" t="n">
        <f aca="false">SQRT(($B68-BQ$16)^2+($C68-BQ$17)^2+($D68-BQ$18)^2)</f>
        <v>2.65819231668536</v>
      </c>
      <c r="BR68" s="17" t="n">
        <f aca="false">SQRT(($B68-BR$16)^2+($C68-BR$17)^2+($D68-BR$18)^2)</f>
        <v>1.39423128604378</v>
      </c>
      <c r="BS68" s="17" t="n">
        <f aca="false">SQRT(($B68-BS$16)^2+($C68-BS$17)^2+($D68-BS$18)^2)</f>
        <v>0.43091962900663</v>
      </c>
      <c r="BT68" s="63" t="n">
        <f aca="false">MATCH(MIN(BQ68:BS68),BQ68:BS68,0)</f>
        <v>3</v>
      </c>
      <c r="BV68" s="17" t="n">
        <f aca="false">SQRT(($B68-BV$16)^2+($C68-BV$17)^2+($D68-BV$18)^2)</f>
        <v>2.65819231668536</v>
      </c>
      <c r="BW68" s="17" t="n">
        <f aca="false">SQRT(($B68-BW$16)^2+($C68-BW$17)^2+($D68-BW$18)^2)</f>
        <v>1.39423128604378</v>
      </c>
      <c r="BX68" s="17" t="n">
        <f aca="false">SQRT(($B68-BX$16)^2+($C68-BX$17)^2+($D68-BX$18)^2)</f>
        <v>0.43091962900663</v>
      </c>
      <c r="BY68" s="63" t="n">
        <f aca="false">MATCH(MIN(BV68:BX68),BV68:BX68,0)</f>
        <v>3</v>
      </c>
      <c r="CA68" s="17" t="n">
        <f aca="false">SQRT(($B68-CA$16)^2+($C68-CA$17)^2+($D68-CA$18)^2)</f>
        <v>2.65819231668536</v>
      </c>
      <c r="CB68" s="17" t="n">
        <f aca="false">SQRT(($B68-CB$16)^2+($C68-CB$17)^2+($D68-CB$18)^2)</f>
        <v>1.39423128604378</v>
      </c>
      <c r="CC68" s="17" t="n">
        <f aca="false">SQRT(($B68-CC$16)^2+($C68-CC$17)^2+($D68-CC$18)^2)</f>
        <v>0.43091962900663</v>
      </c>
      <c r="CD68" s="63" t="n">
        <f aca="false">MATCH(MIN(CA68:CC68),CA68:CC68,0)</f>
        <v>3</v>
      </c>
    </row>
    <row r="69" customFormat="false" ht="15" hidden="false" customHeight="false" outlineLevel="0" collapsed="false">
      <c r="A69" s="76" t="n">
        <f aca="false">Phase_Data!A51</f>
        <v>43933</v>
      </c>
      <c r="B69" s="17" t="n">
        <f aca="false">Phase_Data!K51</f>
        <v>0.0941111407003391</v>
      </c>
      <c r="C69" s="17" t="n">
        <f aca="false">Phase_Data!L51</f>
        <v>0.00445305053087125</v>
      </c>
      <c r="D69" s="17" t="n">
        <f aca="false">Phase_Data!M51</f>
        <v>0.814207101393347</v>
      </c>
      <c r="E69" s="63" t="n">
        <f aca="false">CD69</f>
        <v>3</v>
      </c>
      <c r="F69" s="38" t="n">
        <f aca="false">($B69-INDEX($L$16:$N$16,E69))^2+($C69-INDEX($L$17:$N$17,E69))^2+($D69-INDEX($L$18:$N$18,E69))^2</f>
        <v>0.745860423306887</v>
      </c>
      <c r="G69" s="12" t="str">
        <f aca="false">INDEX($M$5:$M$7,E69)</f>
        <v>Medium activity</v>
      </c>
      <c r="X69" s="17" t="n">
        <f aca="false">SQRT(($B69-X$16)^2+($C69-X$17)^2+($D69-X$18)^2)</f>
        <v>3.0195838998957</v>
      </c>
      <c r="Y69" s="17" t="n">
        <f aca="false">SQRT(($B69-Y$16)^2+($C69-Y$17)^2+($D69-Y$18)^2)</f>
        <v>2.02959074669289</v>
      </c>
      <c r="Z69" s="17" t="n">
        <f aca="false">SQRT(($B69-Z$16)^2+($C69-Z$17)^2+($D69-Z$18)^2)</f>
        <v>2.30163334433581</v>
      </c>
      <c r="AA69" s="63" t="n">
        <f aca="false">MATCH(MIN(X69:Z69),X69:Z69,0)</f>
        <v>2</v>
      </c>
      <c r="AC69" s="17" t="n">
        <f aca="false">SQRT(($B69-AC$16)^2+($C69-AC$17)^2+($D69-AC$18)^2)</f>
        <v>2.64984964934847</v>
      </c>
      <c r="AD69" s="17" t="n">
        <f aca="false">SQRT(($B69-AD$16)^2+($C69-AD$17)^2+($D69-AD$18)^2)</f>
        <v>1.18651538114223</v>
      </c>
      <c r="AE69" s="17" t="n">
        <f aca="false">SQRT(($B69-AE$16)^2+($C69-AE$17)^2+($D69-AE$18)^2)</f>
        <v>0.977789606933622</v>
      </c>
      <c r="AF69" s="63" t="n">
        <f aca="false">MATCH(MIN(AC69:AE69),AC69:AE69,0)</f>
        <v>3</v>
      </c>
      <c r="AH69" s="17" t="n">
        <f aca="false">SQRT(($B69-AH$16)^2+($C69-AH$17)^2+($D69-AH$18)^2)</f>
        <v>2.73695680078483</v>
      </c>
      <c r="AI69" s="17" t="n">
        <f aca="false">SQRT(($B69-AI$16)^2+($C69-AI$17)^2+($D69-AI$18)^2)</f>
        <v>1.34592783890149</v>
      </c>
      <c r="AJ69" s="17" t="n">
        <f aca="false">SQRT(($B69-AJ$16)^2+($C69-AJ$17)^2+($D69-AJ$18)^2)</f>
        <v>0.876413029173018</v>
      </c>
      <c r="AK69" s="63" t="n">
        <f aca="false">MATCH(MIN(AH69:AJ69),AH69:AJ69,0)</f>
        <v>3</v>
      </c>
      <c r="AM69" s="17" t="n">
        <f aca="false">SQRT(($B69-AM$16)^2+($C69-AM$17)^2+($D69-AM$18)^2)</f>
        <v>2.77803801952856</v>
      </c>
      <c r="AN69" s="17" t="n">
        <f aca="false">SQRT(($B69-AN$16)^2+($C69-AN$17)^2+($D69-AN$18)^2)</f>
        <v>1.3811482245894</v>
      </c>
      <c r="AO69" s="17" t="n">
        <f aca="false">SQRT(($B69-AO$16)^2+($C69-AO$17)^2+($D69-AO$18)^2)</f>
        <v>0.863632111090647</v>
      </c>
      <c r="AP69" s="63" t="n">
        <f aca="false">MATCH(MIN(AM69:AO69),AM69:AO69,0)</f>
        <v>3</v>
      </c>
      <c r="AR69" s="17" t="n">
        <f aca="false">SQRT(($B69-AR$16)^2+($C69-AR$17)^2+($D69-AR$18)^2)</f>
        <v>2.77803801952856</v>
      </c>
      <c r="AS69" s="17" t="n">
        <f aca="false">SQRT(($B69-AS$16)^2+($C69-AS$17)^2+($D69-AS$18)^2)</f>
        <v>1.3811482245894</v>
      </c>
      <c r="AT69" s="17" t="n">
        <f aca="false">SQRT(($B69-AT$16)^2+($C69-AT$17)^2+($D69-AT$18)^2)</f>
        <v>0.863632111090647</v>
      </c>
      <c r="AU69" s="63" t="n">
        <f aca="false">MATCH(MIN(AR69:AT69),AR69:AT69,0)</f>
        <v>3</v>
      </c>
      <c r="AW69" s="17" t="n">
        <f aca="false">SQRT(($B69-AW$16)^2+($C69-AW$17)^2+($D69-AW$18)^2)</f>
        <v>2.77803801952856</v>
      </c>
      <c r="AX69" s="17" t="n">
        <f aca="false">SQRT(($B69-AX$16)^2+($C69-AX$17)^2+($D69-AX$18)^2)</f>
        <v>1.3811482245894</v>
      </c>
      <c r="AY69" s="17" t="n">
        <f aca="false">SQRT(($B69-AY$16)^2+($C69-AY$17)^2+($D69-AY$18)^2)</f>
        <v>0.863632111090647</v>
      </c>
      <c r="AZ69" s="63" t="n">
        <f aca="false">MATCH(MIN(AW69:AY69),AW69:AY69,0)</f>
        <v>3</v>
      </c>
      <c r="BB69" s="17" t="n">
        <f aca="false">SQRT(($B69-BB$16)^2+($C69-BB$17)^2+($D69-BB$18)^2)</f>
        <v>2.77803801952856</v>
      </c>
      <c r="BC69" s="17" t="n">
        <f aca="false">SQRT(($B69-BC$16)^2+($C69-BC$17)^2+($D69-BC$18)^2)</f>
        <v>1.3811482245894</v>
      </c>
      <c r="BD69" s="17" t="n">
        <f aca="false">SQRT(($B69-BD$16)^2+($C69-BD$17)^2+($D69-BD$18)^2)</f>
        <v>0.863632111090647</v>
      </c>
      <c r="BE69" s="63" t="n">
        <f aca="false">MATCH(MIN(BB69:BD69),BB69:BD69,0)</f>
        <v>3</v>
      </c>
      <c r="BG69" s="17" t="n">
        <f aca="false">SQRT(($B69-BG$16)^2+($C69-BG$17)^2+($D69-BG$18)^2)</f>
        <v>2.77803801952856</v>
      </c>
      <c r="BH69" s="17" t="n">
        <f aca="false">SQRT(($B69-BH$16)^2+($C69-BH$17)^2+($D69-BH$18)^2)</f>
        <v>1.3811482245894</v>
      </c>
      <c r="BI69" s="17" t="n">
        <f aca="false">SQRT(($B69-BI$16)^2+($C69-BI$17)^2+($D69-BI$18)^2)</f>
        <v>0.863632111090647</v>
      </c>
      <c r="BJ69" s="63" t="n">
        <f aca="false">MATCH(MIN(BG69:BI69),BG69:BI69,0)</f>
        <v>3</v>
      </c>
      <c r="BL69" s="17" t="n">
        <f aca="false">SQRT(($B69-BL$16)^2+($C69-BL$17)^2+($D69-BL$18)^2)</f>
        <v>2.77803801952856</v>
      </c>
      <c r="BM69" s="17" t="n">
        <f aca="false">SQRT(($B69-BM$16)^2+($C69-BM$17)^2+($D69-BM$18)^2)</f>
        <v>1.3811482245894</v>
      </c>
      <c r="BN69" s="17" t="n">
        <f aca="false">SQRT(($B69-BN$16)^2+($C69-BN$17)^2+($D69-BN$18)^2)</f>
        <v>0.863632111090647</v>
      </c>
      <c r="BO69" s="63" t="n">
        <f aca="false">MATCH(MIN(BL69:BN69),BL69:BN69,0)</f>
        <v>3</v>
      </c>
      <c r="BQ69" s="17" t="n">
        <f aca="false">SQRT(($B69-BQ$16)^2+($C69-BQ$17)^2+($D69-BQ$18)^2)</f>
        <v>2.77803801952856</v>
      </c>
      <c r="BR69" s="17" t="n">
        <f aca="false">SQRT(($B69-BR$16)^2+($C69-BR$17)^2+($D69-BR$18)^2)</f>
        <v>1.3811482245894</v>
      </c>
      <c r="BS69" s="17" t="n">
        <f aca="false">SQRT(($B69-BS$16)^2+($C69-BS$17)^2+($D69-BS$18)^2)</f>
        <v>0.863632111090647</v>
      </c>
      <c r="BT69" s="63" t="n">
        <f aca="false">MATCH(MIN(BQ69:BS69),BQ69:BS69,0)</f>
        <v>3</v>
      </c>
      <c r="BV69" s="17" t="n">
        <f aca="false">SQRT(($B69-BV$16)^2+($C69-BV$17)^2+($D69-BV$18)^2)</f>
        <v>2.77803801952856</v>
      </c>
      <c r="BW69" s="17" t="n">
        <f aca="false">SQRT(($B69-BW$16)^2+($C69-BW$17)^2+($D69-BW$18)^2)</f>
        <v>1.3811482245894</v>
      </c>
      <c r="BX69" s="17" t="n">
        <f aca="false">SQRT(($B69-BX$16)^2+($C69-BX$17)^2+($D69-BX$18)^2)</f>
        <v>0.863632111090647</v>
      </c>
      <c r="BY69" s="63" t="n">
        <f aca="false">MATCH(MIN(BV69:BX69),BV69:BX69,0)</f>
        <v>3</v>
      </c>
      <c r="CA69" s="17" t="n">
        <f aca="false">SQRT(($B69-CA$16)^2+($C69-CA$17)^2+($D69-CA$18)^2)</f>
        <v>2.77803801952856</v>
      </c>
      <c r="CB69" s="17" t="n">
        <f aca="false">SQRT(($B69-CB$16)^2+($C69-CB$17)^2+($D69-CB$18)^2)</f>
        <v>1.3811482245894</v>
      </c>
      <c r="CC69" s="17" t="n">
        <f aca="false">SQRT(($B69-CC$16)^2+($C69-CC$17)^2+($D69-CC$18)^2)</f>
        <v>0.863632111090647</v>
      </c>
      <c r="CD69" s="63" t="n">
        <f aca="false">MATCH(MIN(CA69:CC69),CA69:CC69,0)</f>
        <v>3</v>
      </c>
    </row>
    <row r="70" customFormat="false" ht="15" hidden="false" customHeight="false" outlineLevel="0" collapsed="false">
      <c r="A70" s="76" t="n">
        <f aca="false">Phase_Data!A52</f>
        <v>43934</v>
      </c>
      <c r="B70" s="17" t="n">
        <f aca="false">Phase_Data!K52</f>
        <v>-0.0569493608278409</v>
      </c>
      <c r="C70" s="17" t="n">
        <f aca="false">Phase_Data!L52</f>
        <v>-0.314681610738362</v>
      </c>
      <c r="D70" s="17" t="n">
        <f aca="false">Phase_Data!M52</f>
        <v>0.136122790997796</v>
      </c>
      <c r="E70" s="63" t="n">
        <f aca="false">CD70</f>
        <v>3</v>
      </c>
      <c r="F70" s="38" t="n">
        <f aca="false">($B70-INDEX($L$16:$N$16,E70))^2+($C70-INDEX($L$17:$N$17,E70))^2+($D70-INDEX($L$18:$N$18,E70))^2</f>
        <v>0.290506660498272</v>
      </c>
      <c r="G70" s="12" t="str">
        <f aca="false">INDEX($M$5:$M$7,E70)</f>
        <v>Medium activity</v>
      </c>
      <c r="X70" s="17" t="n">
        <f aca="false">SQRT(($B70-X$16)^2+($C70-X$17)^2+($D70-X$18)^2)</f>
        <v>2.33735630033282</v>
      </c>
      <c r="Y70" s="17" t="n">
        <f aca="false">SQRT(($B70-Y$16)^2+($C70-Y$17)^2+($D70-Y$18)^2)</f>
        <v>2.66581078058441</v>
      </c>
      <c r="Z70" s="17" t="n">
        <f aca="false">SQRT(($B70-Z$16)^2+($C70-Z$17)^2+($D70-Z$18)^2)</f>
        <v>1.92620570183511</v>
      </c>
      <c r="AA70" s="63" t="n">
        <f aca="false">MATCH(MIN(X70:Z70),X70:Z70,0)</f>
        <v>3</v>
      </c>
      <c r="AC70" s="17" t="n">
        <f aca="false">SQRT(($B70-AC$16)^2+($C70-AC$17)^2+($D70-AC$18)^2)</f>
        <v>1.94683243438383</v>
      </c>
      <c r="AD70" s="17" t="n">
        <f aca="false">SQRT(($B70-AD$16)^2+($C70-AD$17)^2+($D70-AD$18)^2)</f>
        <v>1.77461699568142</v>
      </c>
      <c r="AE70" s="17" t="n">
        <f aca="false">SQRT(($B70-AE$16)^2+($C70-AE$17)^2+($D70-AE$18)^2)</f>
        <v>0.650238384942306</v>
      </c>
      <c r="AF70" s="63" t="n">
        <f aca="false">MATCH(MIN(AC70:AE70),AC70:AE70,0)</f>
        <v>3</v>
      </c>
      <c r="AH70" s="17" t="n">
        <f aca="false">SQRT(($B70-AH$16)^2+($C70-AH$17)^2+($D70-AH$18)^2)</f>
        <v>2.03668441909449</v>
      </c>
      <c r="AI70" s="17" t="n">
        <f aca="false">SQRT(($B70-AI$16)^2+($C70-AI$17)^2+($D70-AI$18)^2)</f>
        <v>1.93490080888357</v>
      </c>
      <c r="AJ70" s="17" t="n">
        <f aca="false">SQRT(($B70-AJ$16)^2+($C70-AJ$17)^2+($D70-AJ$18)^2)</f>
        <v>0.564922272092493</v>
      </c>
      <c r="AK70" s="63" t="n">
        <f aca="false">MATCH(MIN(AH70:AJ70),AH70:AJ70,0)</f>
        <v>3</v>
      </c>
      <c r="AM70" s="17" t="n">
        <f aca="false">SQRT(($B70-AM$16)^2+($C70-AM$17)^2+($D70-AM$18)^2)</f>
        <v>2.08002269589676</v>
      </c>
      <c r="AN70" s="17" t="n">
        <f aca="false">SQRT(($B70-AN$16)^2+($C70-AN$17)^2+($D70-AN$18)^2)</f>
        <v>1.96887763796494</v>
      </c>
      <c r="AO70" s="17" t="n">
        <f aca="false">SQRT(($B70-AO$16)^2+($C70-AO$17)^2+($D70-AO$18)^2)</f>
        <v>0.538986697886202</v>
      </c>
      <c r="AP70" s="63" t="n">
        <f aca="false">MATCH(MIN(AM70:AO70),AM70:AO70,0)</f>
        <v>3</v>
      </c>
      <c r="AR70" s="17" t="n">
        <f aca="false">SQRT(($B70-AR$16)^2+($C70-AR$17)^2+($D70-AR$18)^2)</f>
        <v>2.08002269589676</v>
      </c>
      <c r="AS70" s="17" t="n">
        <f aca="false">SQRT(($B70-AS$16)^2+($C70-AS$17)^2+($D70-AS$18)^2)</f>
        <v>1.96887763796494</v>
      </c>
      <c r="AT70" s="17" t="n">
        <f aca="false">SQRT(($B70-AT$16)^2+($C70-AT$17)^2+($D70-AT$18)^2)</f>
        <v>0.538986697886202</v>
      </c>
      <c r="AU70" s="63" t="n">
        <f aca="false">MATCH(MIN(AR70:AT70),AR70:AT70,0)</f>
        <v>3</v>
      </c>
      <c r="AW70" s="17" t="n">
        <f aca="false">SQRT(($B70-AW$16)^2+($C70-AW$17)^2+($D70-AW$18)^2)</f>
        <v>2.08002269589676</v>
      </c>
      <c r="AX70" s="17" t="n">
        <f aca="false">SQRT(($B70-AX$16)^2+($C70-AX$17)^2+($D70-AX$18)^2)</f>
        <v>1.96887763796494</v>
      </c>
      <c r="AY70" s="17" t="n">
        <f aca="false">SQRT(($B70-AY$16)^2+($C70-AY$17)^2+($D70-AY$18)^2)</f>
        <v>0.538986697886202</v>
      </c>
      <c r="AZ70" s="63" t="n">
        <f aca="false">MATCH(MIN(AW70:AY70),AW70:AY70,0)</f>
        <v>3</v>
      </c>
      <c r="BB70" s="17" t="n">
        <f aca="false">SQRT(($B70-BB$16)^2+($C70-BB$17)^2+($D70-BB$18)^2)</f>
        <v>2.08002269589676</v>
      </c>
      <c r="BC70" s="17" t="n">
        <f aca="false">SQRT(($B70-BC$16)^2+($C70-BC$17)^2+($D70-BC$18)^2)</f>
        <v>1.96887763796494</v>
      </c>
      <c r="BD70" s="17" t="n">
        <f aca="false">SQRT(($B70-BD$16)^2+($C70-BD$17)^2+($D70-BD$18)^2)</f>
        <v>0.538986697886202</v>
      </c>
      <c r="BE70" s="63" t="n">
        <f aca="false">MATCH(MIN(BB70:BD70),BB70:BD70,0)</f>
        <v>3</v>
      </c>
      <c r="BG70" s="17" t="n">
        <f aca="false">SQRT(($B70-BG$16)^2+($C70-BG$17)^2+($D70-BG$18)^2)</f>
        <v>2.08002269589676</v>
      </c>
      <c r="BH70" s="17" t="n">
        <f aca="false">SQRT(($B70-BH$16)^2+($C70-BH$17)^2+($D70-BH$18)^2)</f>
        <v>1.96887763796494</v>
      </c>
      <c r="BI70" s="17" t="n">
        <f aca="false">SQRT(($B70-BI$16)^2+($C70-BI$17)^2+($D70-BI$18)^2)</f>
        <v>0.538986697886202</v>
      </c>
      <c r="BJ70" s="63" t="n">
        <f aca="false">MATCH(MIN(BG70:BI70),BG70:BI70,0)</f>
        <v>3</v>
      </c>
      <c r="BL70" s="17" t="n">
        <f aca="false">SQRT(($B70-BL$16)^2+($C70-BL$17)^2+($D70-BL$18)^2)</f>
        <v>2.08002269589676</v>
      </c>
      <c r="BM70" s="17" t="n">
        <f aca="false">SQRT(($B70-BM$16)^2+($C70-BM$17)^2+($D70-BM$18)^2)</f>
        <v>1.96887763796494</v>
      </c>
      <c r="BN70" s="17" t="n">
        <f aca="false">SQRT(($B70-BN$16)^2+($C70-BN$17)^2+($D70-BN$18)^2)</f>
        <v>0.538986697886202</v>
      </c>
      <c r="BO70" s="63" t="n">
        <f aca="false">MATCH(MIN(BL70:BN70),BL70:BN70,0)</f>
        <v>3</v>
      </c>
      <c r="BQ70" s="17" t="n">
        <f aca="false">SQRT(($B70-BQ$16)^2+($C70-BQ$17)^2+($D70-BQ$18)^2)</f>
        <v>2.08002269589676</v>
      </c>
      <c r="BR70" s="17" t="n">
        <f aca="false">SQRT(($B70-BR$16)^2+($C70-BR$17)^2+($D70-BR$18)^2)</f>
        <v>1.96887763796494</v>
      </c>
      <c r="BS70" s="17" t="n">
        <f aca="false">SQRT(($B70-BS$16)^2+($C70-BS$17)^2+($D70-BS$18)^2)</f>
        <v>0.538986697886202</v>
      </c>
      <c r="BT70" s="63" t="n">
        <f aca="false">MATCH(MIN(BQ70:BS70),BQ70:BS70,0)</f>
        <v>3</v>
      </c>
      <c r="BV70" s="17" t="n">
        <f aca="false">SQRT(($B70-BV$16)^2+($C70-BV$17)^2+($D70-BV$18)^2)</f>
        <v>2.08002269589676</v>
      </c>
      <c r="BW70" s="17" t="n">
        <f aca="false">SQRT(($B70-BW$16)^2+($C70-BW$17)^2+($D70-BW$18)^2)</f>
        <v>1.96887763796494</v>
      </c>
      <c r="BX70" s="17" t="n">
        <f aca="false">SQRT(($B70-BX$16)^2+($C70-BX$17)^2+($D70-BX$18)^2)</f>
        <v>0.538986697886202</v>
      </c>
      <c r="BY70" s="63" t="n">
        <f aca="false">MATCH(MIN(BV70:BX70),BV70:BX70,0)</f>
        <v>3</v>
      </c>
      <c r="CA70" s="17" t="n">
        <f aca="false">SQRT(($B70-CA$16)^2+($C70-CA$17)^2+($D70-CA$18)^2)</f>
        <v>2.08002269589676</v>
      </c>
      <c r="CB70" s="17" t="n">
        <f aca="false">SQRT(($B70-CB$16)^2+($C70-CB$17)^2+($D70-CB$18)^2)</f>
        <v>1.96887763796494</v>
      </c>
      <c r="CC70" s="17" t="n">
        <f aca="false">SQRT(($B70-CC$16)^2+($C70-CC$17)^2+($D70-CC$18)^2)</f>
        <v>0.538986697886202</v>
      </c>
      <c r="CD70" s="63" t="n">
        <f aca="false">MATCH(MIN(CA70:CC70),CA70:CC70,0)</f>
        <v>3</v>
      </c>
    </row>
    <row r="71" customFormat="false" ht="15" hidden="false" customHeight="false" outlineLevel="0" collapsed="false">
      <c r="A71" s="76" t="n">
        <f aca="false">Phase_Data!A53</f>
        <v>43935</v>
      </c>
      <c r="B71" s="17" t="n">
        <f aca="false">Phase_Data!K53</f>
        <v>0.456228043050999</v>
      </c>
      <c r="C71" s="17" t="n">
        <f aca="false">Phase_Data!L53</f>
        <v>0.279765754265204</v>
      </c>
      <c r="D71" s="17" t="n">
        <f aca="false">Phase_Data!M53</f>
        <v>0.282582586745846</v>
      </c>
      <c r="E71" s="63" t="n">
        <f aca="false">CD71</f>
        <v>3</v>
      </c>
      <c r="F71" s="38" t="n">
        <f aca="false">($B71-INDEX($L$16:$N$16,E71))^2+($C71-INDEX($L$17:$N$17,E71))^2+($D71-INDEX($L$18:$N$18,E71))^2</f>
        <v>0.171707349304424</v>
      </c>
      <c r="G71" s="12" t="str">
        <f aca="false">INDEX($M$5:$M$7,E71)</f>
        <v>Medium activity</v>
      </c>
      <c r="X71" s="17" t="n">
        <f aca="false">SQRT(($B71-X$16)^2+($C71-X$17)^2+($D71-X$18)^2)</f>
        <v>3.05959396127795</v>
      </c>
      <c r="Y71" s="17" t="n">
        <f aca="false">SQRT(($B71-Y$16)^2+($C71-Y$17)^2+($D71-Y$18)^2)</f>
        <v>1.96570914330564</v>
      </c>
      <c r="Z71" s="17" t="n">
        <f aca="false">SQRT(($B71-Z$16)^2+($C71-Z$17)^2+($D71-Z$18)^2)</f>
        <v>1.65089880920574</v>
      </c>
      <c r="AA71" s="63" t="n">
        <f aca="false">MATCH(MIN(X71:Z71),X71:Z71,0)</f>
        <v>3</v>
      </c>
      <c r="AC71" s="17" t="n">
        <f aca="false">SQRT(($B71-AC$16)^2+($C71-AC$17)^2+($D71-AC$18)^2)</f>
        <v>2.66450131192216</v>
      </c>
      <c r="AD71" s="17" t="n">
        <f aca="false">SQRT(($B71-AD$16)^2+($C71-AD$17)^2+($D71-AD$18)^2)</f>
        <v>1.07978699185385</v>
      </c>
      <c r="AE71" s="17" t="n">
        <f aca="false">SQRT(($B71-AE$16)^2+($C71-AE$17)^2+($D71-AE$18)^2)</f>
        <v>0.455497781758721</v>
      </c>
      <c r="AF71" s="63" t="n">
        <f aca="false">MATCH(MIN(AC71:AE71),AC71:AE71,0)</f>
        <v>3</v>
      </c>
      <c r="AH71" s="17" t="n">
        <f aca="false">SQRT(($B71-AH$16)^2+($C71-AH$17)^2+($D71-AH$18)^2)</f>
        <v>2.75338630784238</v>
      </c>
      <c r="AI71" s="17" t="n">
        <f aca="false">SQRT(($B71-AI$16)^2+($C71-AI$17)^2+($D71-AI$18)^2)</f>
        <v>1.22851230265639</v>
      </c>
      <c r="AJ71" s="17" t="n">
        <f aca="false">SQRT(($B71-AJ$16)^2+($C71-AJ$17)^2+($D71-AJ$18)^2)</f>
        <v>0.407046161912625</v>
      </c>
      <c r="AK71" s="63" t="n">
        <f aca="false">MATCH(MIN(AH71:AJ71),AH71:AJ71,0)</f>
        <v>3</v>
      </c>
      <c r="AM71" s="17" t="n">
        <f aca="false">SQRT(($B71-AM$16)^2+($C71-AM$17)^2+($D71-AM$18)^2)</f>
        <v>2.79666691571467</v>
      </c>
      <c r="AN71" s="17" t="n">
        <f aca="false">SQRT(($B71-AN$16)^2+($C71-AN$17)^2+($D71-AN$18)^2)</f>
        <v>1.25977119824206</v>
      </c>
      <c r="AO71" s="17" t="n">
        <f aca="false">SQRT(($B71-AO$16)^2+($C71-AO$17)^2+($D71-AO$18)^2)</f>
        <v>0.414375855117578</v>
      </c>
      <c r="AP71" s="63" t="n">
        <f aca="false">MATCH(MIN(AM71:AO71),AM71:AO71,0)</f>
        <v>3</v>
      </c>
      <c r="AR71" s="17" t="n">
        <f aca="false">SQRT(($B71-AR$16)^2+($C71-AR$17)^2+($D71-AR$18)^2)</f>
        <v>2.79666691571467</v>
      </c>
      <c r="AS71" s="17" t="n">
        <f aca="false">SQRT(($B71-AS$16)^2+($C71-AS$17)^2+($D71-AS$18)^2)</f>
        <v>1.25977119824206</v>
      </c>
      <c r="AT71" s="17" t="n">
        <f aca="false">SQRT(($B71-AT$16)^2+($C71-AT$17)^2+($D71-AT$18)^2)</f>
        <v>0.414375855117578</v>
      </c>
      <c r="AU71" s="63" t="n">
        <f aca="false">MATCH(MIN(AR71:AT71),AR71:AT71,0)</f>
        <v>3</v>
      </c>
      <c r="AW71" s="17" t="n">
        <f aca="false">SQRT(($B71-AW$16)^2+($C71-AW$17)^2+($D71-AW$18)^2)</f>
        <v>2.79666691571467</v>
      </c>
      <c r="AX71" s="17" t="n">
        <f aca="false">SQRT(($B71-AX$16)^2+($C71-AX$17)^2+($D71-AX$18)^2)</f>
        <v>1.25977119824206</v>
      </c>
      <c r="AY71" s="17" t="n">
        <f aca="false">SQRT(($B71-AY$16)^2+($C71-AY$17)^2+($D71-AY$18)^2)</f>
        <v>0.414375855117578</v>
      </c>
      <c r="AZ71" s="63" t="n">
        <f aca="false">MATCH(MIN(AW71:AY71),AW71:AY71,0)</f>
        <v>3</v>
      </c>
      <c r="BB71" s="17" t="n">
        <f aca="false">SQRT(($B71-BB$16)^2+($C71-BB$17)^2+($D71-BB$18)^2)</f>
        <v>2.79666691571467</v>
      </c>
      <c r="BC71" s="17" t="n">
        <f aca="false">SQRT(($B71-BC$16)^2+($C71-BC$17)^2+($D71-BC$18)^2)</f>
        <v>1.25977119824206</v>
      </c>
      <c r="BD71" s="17" t="n">
        <f aca="false">SQRT(($B71-BD$16)^2+($C71-BD$17)^2+($D71-BD$18)^2)</f>
        <v>0.414375855117578</v>
      </c>
      <c r="BE71" s="63" t="n">
        <f aca="false">MATCH(MIN(BB71:BD71),BB71:BD71,0)</f>
        <v>3</v>
      </c>
      <c r="BG71" s="17" t="n">
        <f aca="false">SQRT(($B71-BG$16)^2+($C71-BG$17)^2+($D71-BG$18)^2)</f>
        <v>2.79666691571467</v>
      </c>
      <c r="BH71" s="17" t="n">
        <f aca="false">SQRT(($B71-BH$16)^2+($C71-BH$17)^2+($D71-BH$18)^2)</f>
        <v>1.25977119824206</v>
      </c>
      <c r="BI71" s="17" t="n">
        <f aca="false">SQRT(($B71-BI$16)^2+($C71-BI$17)^2+($D71-BI$18)^2)</f>
        <v>0.414375855117578</v>
      </c>
      <c r="BJ71" s="63" t="n">
        <f aca="false">MATCH(MIN(BG71:BI71),BG71:BI71,0)</f>
        <v>3</v>
      </c>
      <c r="BL71" s="17" t="n">
        <f aca="false">SQRT(($B71-BL$16)^2+($C71-BL$17)^2+($D71-BL$18)^2)</f>
        <v>2.79666691571467</v>
      </c>
      <c r="BM71" s="17" t="n">
        <f aca="false">SQRT(($B71-BM$16)^2+($C71-BM$17)^2+($D71-BM$18)^2)</f>
        <v>1.25977119824206</v>
      </c>
      <c r="BN71" s="17" t="n">
        <f aca="false">SQRT(($B71-BN$16)^2+($C71-BN$17)^2+($D71-BN$18)^2)</f>
        <v>0.414375855117578</v>
      </c>
      <c r="BO71" s="63" t="n">
        <f aca="false">MATCH(MIN(BL71:BN71),BL71:BN71,0)</f>
        <v>3</v>
      </c>
      <c r="BQ71" s="17" t="n">
        <f aca="false">SQRT(($B71-BQ$16)^2+($C71-BQ$17)^2+($D71-BQ$18)^2)</f>
        <v>2.79666691571467</v>
      </c>
      <c r="BR71" s="17" t="n">
        <f aca="false">SQRT(($B71-BR$16)^2+($C71-BR$17)^2+($D71-BR$18)^2)</f>
        <v>1.25977119824206</v>
      </c>
      <c r="BS71" s="17" t="n">
        <f aca="false">SQRT(($B71-BS$16)^2+($C71-BS$17)^2+($D71-BS$18)^2)</f>
        <v>0.414375855117578</v>
      </c>
      <c r="BT71" s="63" t="n">
        <f aca="false">MATCH(MIN(BQ71:BS71),BQ71:BS71,0)</f>
        <v>3</v>
      </c>
      <c r="BV71" s="17" t="n">
        <f aca="false">SQRT(($B71-BV$16)^2+($C71-BV$17)^2+($D71-BV$18)^2)</f>
        <v>2.79666691571467</v>
      </c>
      <c r="BW71" s="17" t="n">
        <f aca="false">SQRT(($B71-BW$16)^2+($C71-BW$17)^2+($D71-BW$18)^2)</f>
        <v>1.25977119824206</v>
      </c>
      <c r="BX71" s="17" t="n">
        <f aca="false">SQRT(($B71-BX$16)^2+($C71-BX$17)^2+($D71-BX$18)^2)</f>
        <v>0.414375855117578</v>
      </c>
      <c r="BY71" s="63" t="n">
        <f aca="false">MATCH(MIN(BV71:BX71),BV71:BX71,0)</f>
        <v>3</v>
      </c>
      <c r="CA71" s="17" t="n">
        <f aca="false">SQRT(($B71-CA$16)^2+($C71-CA$17)^2+($D71-CA$18)^2)</f>
        <v>2.79666691571467</v>
      </c>
      <c r="CB71" s="17" t="n">
        <f aca="false">SQRT(($B71-CB$16)^2+($C71-CB$17)^2+($D71-CB$18)^2)</f>
        <v>1.25977119824206</v>
      </c>
      <c r="CC71" s="17" t="n">
        <f aca="false">SQRT(($B71-CC$16)^2+($C71-CC$17)^2+($D71-CC$18)^2)</f>
        <v>0.414375855117578</v>
      </c>
      <c r="CD71" s="63" t="n">
        <f aca="false">MATCH(MIN(CA71:CC71),CA71:CC71,0)</f>
        <v>3</v>
      </c>
    </row>
    <row r="72" customFormat="false" ht="15" hidden="false" customHeight="false" outlineLevel="0" collapsed="false">
      <c r="A72" s="76" t="n">
        <f aca="false">Phase_Data!A54</f>
        <v>43936</v>
      </c>
      <c r="B72" s="17" t="n">
        <f aca="false">Phase_Data!K54</f>
        <v>0.188840597305588</v>
      </c>
      <c r="C72" s="17" t="n">
        <f aca="false">Phase_Data!L54</f>
        <v>0.279765754265204</v>
      </c>
      <c r="D72" s="17" t="n">
        <f aca="false">Phase_Data!M54</f>
        <v>0.785868587158042</v>
      </c>
      <c r="E72" s="63" t="n">
        <f aca="false">CD72</f>
        <v>3</v>
      </c>
      <c r="F72" s="38" t="n">
        <f aca="false">($B72-INDEX($L$16:$N$16,E72))^2+($C72-INDEX($L$17:$N$17,E72))^2+($D72-INDEX($L$18:$N$18,E72))^2</f>
        <v>0.706375075215823</v>
      </c>
      <c r="G72" s="12" t="str">
        <f aca="false">INDEX($M$5:$M$7,E72)</f>
        <v>Medium activity</v>
      </c>
      <c r="X72" s="17" t="n">
        <f aca="false">SQRT(($B72-X$16)^2+($C72-X$17)^2+($D72-X$18)^2)</f>
        <v>3.19004813609612</v>
      </c>
      <c r="Y72" s="17" t="n">
        <f aca="false">SQRT(($B72-Y$16)^2+($C72-Y$17)^2+($D72-Y$18)^2)</f>
        <v>1.79659678501896</v>
      </c>
      <c r="Z72" s="17" t="n">
        <f aca="false">SQRT(($B72-Z$16)^2+($C72-Z$17)^2+($D72-Z$18)^2)</f>
        <v>2.17506850777844</v>
      </c>
      <c r="AA72" s="63" t="n">
        <f aca="false">MATCH(MIN(X72:Z72),X72:Z72,0)</f>
        <v>2</v>
      </c>
      <c r="AC72" s="17" t="n">
        <f aca="false">SQRT(($B72-AC$16)^2+($C72-AC$17)^2+($D72-AC$18)^2)</f>
        <v>2.81751175710763</v>
      </c>
      <c r="AD72" s="17" t="n">
        <f aca="false">SQRT(($B72-AD$16)^2+($C72-AD$17)^2+($D72-AD$18)^2)</f>
        <v>0.929670258599475</v>
      </c>
      <c r="AE72" s="17" t="n">
        <f aca="false">SQRT(($B72-AE$16)^2+($C72-AE$17)^2+($D72-AE$18)^2)</f>
        <v>0.9296492430463</v>
      </c>
      <c r="AF72" s="63" t="n">
        <f aca="false">MATCH(MIN(AC72:AE72),AC72:AE72,0)</f>
        <v>3</v>
      </c>
      <c r="AH72" s="17" t="n">
        <f aca="false">SQRT(($B72-AH$16)^2+($C72-AH$17)^2+($D72-AH$18)^2)</f>
        <v>2.90431518450054</v>
      </c>
      <c r="AI72" s="17" t="n">
        <f aca="false">SQRT(($B72-AI$16)^2+($C72-AI$17)^2+($D72-AI$18)^2)</f>
        <v>1.09038349250221</v>
      </c>
      <c r="AJ72" s="17" t="n">
        <f aca="false">SQRT(($B72-AJ$16)^2+($C72-AJ$17)^2+($D72-AJ$18)^2)</f>
        <v>0.844103832217688</v>
      </c>
      <c r="AK72" s="63" t="n">
        <f aca="false">MATCH(MIN(AH72:AJ72),AH72:AJ72,0)</f>
        <v>3</v>
      </c>
      <c r="AM72" s="17" t="n">
        <f aca="false">SQRT(($B72-AM$16)^2+($C72-AM$17)^2+($D72-AM$18)^2)</f>
        <v>2.94530591732737</v>
      </c>
      <c r="AN72" s="17" t="n">
        <f aca="false">SQRT(($B72-AN$16)^2+($C72-AN$17)^2+($D72-AN$18)^2)</f>
        <v>1.12475077629768</v>
      </c>
      <c r="AO72" s="17" t="n">
        <f aca="false">SQRT(($B72-AO$16)^2+($C72-AO$17)^2+($D72-AO$18)^2)</f>
        <v>0.840461227669559</v>
      </c>
      <c r="AP72" s="63" t="n">
        <f aca="false">MATCH(MIN(AM72:AO72),AM72:AO72,0)</f>
        <v>3</v>
      </c>
      <c r="AR72" s="17" t="n">
        <f aca="false">SQRT(($B72-AR$16)^2+($C72-AR$17)^2+($D72-AR$18)^2)</f>
        <v>2.94530591732737</v>
      </c>
      <c r="AS72" s="17" t="n">
        <f aca="false">SQRT(($B72-AS$16)^2+($C72-AS$17)^2+($D72-AS$18)^2)</f>
        <v>1.12475077629768</v>
      </c>
      <c r="AT72" s="17" t="n">
        <f aca="false">SQRT(($B72-AT$16)^2+($C72-AT$17)^2+($D72-AT$18)^2)</f>
        <v>0.840461227669559</v>
      </c>
      <c r="AU72" s="63" t="n">
        <f aca="false">MATCH(MIN(AR72:AT72),AR72:AT72,0)</f>
        <v>3</v>
      </c>
      <c r="AW72" s="17" t="n">
        <f aca="false">SQRT(($B72-AW$16)^2+($C72-AW$17)^2+($D72-AW$18)^2)</f>
        <v>2.94530591732737</v>
      </c>
      <c r="AX72" s="17" t="n">
        <f aca="false">SQRT(($B72-AX$16)^2+($C72-AX$17)^2+($D72-AX$18)^2)</f>
        <v>1.12475077629768</v>
      </c>
      <c r="AY72" s="17" t="n">
        <f aca="false">SQRT(($B72-AY$16)^2+($C72-AY$17)^2+($D72-AY$18)^2)</f>
        <v>0.840461227669559</v>
      </c>
      <c r="AZ72" s="63" t="n">
        <f aca="false">MATCH(MIN(AW72:AY72),AW72:AY72,0)</f>
        <v>3</v>
      </c>
      <c r="BB72" s="17" t="n">
        <f aca="false">SQRT(($B72-BB$16)^2+($C72-BB$17)^2+($D72-BB$18)^2)</f>
        <v>2.94530591732737</v>
      </c>
      <c r="BC72" s="17" t="n">
        <f aca="false">SQRT(($B72-BC$16)^2+($C72-BC$17)^2+($D72-BC$18)^2)</f>
        <v>1.12475077629768</v>
      </c>
      <c r="BD72" s="17" t="n">
        <f aca="false">SQRT(($B72-BD$16)^2+($C72-BD$17)^2+($D72-BD$18)^2)</f>
        <v>0.840461227669559</v>
      </c>
      <c r="BE72" s="63" t="n">
        <f aca="false">MATCH(MIN(BB72:BD72),BB72:BD72,0)</f>
        <v>3</v>
      </c>
      <c r="BG72" s="17" t="n">
        <f aca="false">SQRT(($B72-BG$16)^2+($C72-BG$17)^2+($D72-BG$18)^2)</f>
        <v>2.94530591732737</v>
      </c>
      <c r="BH72" s="17" t="n">
        <f aca="false">SQRT(($B72-BH$16)^2+($C72-BH$17)^2+($D72-BH$18)^2)</f>
        <v>1.12475077629768</v>
      </c>
      <c r="BI72" s="17" t="n">
        <f aca="false">SQRT(($B72-BI$16)^2+($C72-BI$17)^2+($D72-BI$18)^2)</f>
        <v>0.840461227669559</v>
      </c>
      <c r="BJ72" s="63" t="n">
        <f aca="false">MATCH(MIN(BG72:BI72),BG72:BI72,0)</f>
        <v>3</v>
      </c>
      <c r="BL72" s="17" t="n">
        <f aca="false">SQRT(($B72-BL$16)^2+($C72-BL$17)^2+($D72-BL$18)^2)</f>
        <v>2.94530591732737</v>
      </c>
      <c r="BM72" s="17" t="n">
        <f aca="false">SQRT(($B72-BM$16)^2+($C72-BM$17)^2+($D72-BM$18)^2)</f>
        <v>1.12475077629768</v>
      </c>
      <c r="BN72" s="17" t="n">
        <f aca="false">SQRT(($B72-BN$16)^2+($C72-BN$17)^2+($D72-BN$18)^2)</f>
        <v>0.840461227669559</v>
      </c>
      <c r="BO72" s="63" t="n">
        <f aca="false">MATCH(MIN(BL72:BN72),BL72:BN72,0)</f>
        <v>3</v>
      </c>
      <c r="BQ72" s="17" t="n">
        <f aca="false">SQRT(($B72-BQ$16)^2+($C72-BQ$17)^2+($D72-BQ$18)^2)</f>
        <v>2.94530591732737</v>
      </c>
      <c r="BR72" s="17" t="n">
        <f aca="false">SQRT(($B72-BR$16)^2+($C72-BR$17)^2+($D72-BR$18)^2)</f>
        <v>1.12475077629768</v>
      </c>
      <c r="BS72" s="17" t="n">
        <f aca="false">SQRT(($B72-BS$16)^2+($C72-BS$17)^2+($D72-BS$18)^2)</f>
        <v>0.840461227669559</v>
      </c>
      <c r="BT72" s="63" t="n">
        <f aca="false">MATCH(MIN(BQ72:BS72),BQ72:BS72,0)</f>
        <v>3</v>
      </c>
      <c r="BV72" s="17" t="n">
        <f aca="false">SQRT(($B72-BV$16)^2+($C72-BV$17)^2+($D72-BV$18)^2)</f>
        <v>2.94530591732737</v>
      </c>
      <c r="BW72" s="17" t="n">
        <f aca="false">SQRT(($B72-BW$16)^2+($C72-BW$17)^2+($D72-BW$18)^2)</f>
        <v>1.12475077629768</v>
      </c>
      <c r="BX72" s="17" t="n">
        <f aca="false">SQRT(($B72-BX$16)^2+($C72-BX$17)^2+($D72-BX$18)^2)</f>
        <v>0.840461227669559</v>
      </c>
      <c r="BY72" s="63" t="n">
        <f aca="false">MATCH(MIN(BV72:BX72),BV72:BX72,0)</f>
        <v>3</v>
      </c>
      <c r="CA72" s="17" t="n">
        <f aca="false">SQRT(($B72-CA$16)^2+($C72-CA$17)^2+($D72-CA$18)^2)</f>
        <v>2.94530591732737</v>
      </c>
      <c r="CB72" s="17" t="n">
        <f aca="false">SQRT(($B72-CB$16)^2+($C72-CB$17)^2+($D72-CB$18)^2)</f>
        <v>1.12475077629768</v>
      </c>
      <c r="CC72" s="17" t="n">
        <f aca="false">SQRT(($B72-CC$16)^2+($C72-CC$17)^2+($D72-CC$18)^2)</f>
        <v>0.840461227669559</v>
      </c>
      <c r="CD72" s="63" t="n">
        <f aca="false">MATCH(MIN(CA72:CC72),CA72:CC72,0)</f>
        <v>3</v>
      </c>
    </row>
    <row r="73" customFormat="false" ht="15" hidden="false" customHeight="false" outlineLevel="0" collapsed="false">
      <c r="A73" s="76" t="n">
        <f aca="false">Phase_Data!A55</f>
        <v>43937</v>
      </c>
      <c r="B73" s="17" t="n">
        <f aca="false">Phase_Data!K55</f>
        <v>0.48970306682469</v>
      </c>
      <c r="C73" s="17" t="n">
        <f aca="false">Phase_Data!L55</f>
        <v>0.51626762781771</v>
      </c>
      <c r="D73" s="17" t="n">
        <f aca="false">Phase_Data!M55</f>
        <v>0.782175364047092</v>
      </c>
      <c r="E73" s="63" t="n">
        <f aca="false">CD73</f>
        <v>2</v>
      </c>
      <c r="F73" s="38" t="n">
        <f aca="false">($B73-INDEX($L$16:$N$16,E73))^2+($C73-INDEX($L$17:$N$17,E73))^2+($D73-INDEX($L$18:$N$18,E73))^2</f>
        <v>0.615856890641599</v>
      </c>
      <c r="G73" s="12" t="str">
        <f aca="false">INDEX($M$5:$M$7,E73)</f>
        <v>High activity</v>
      </c>
      <c r="X73" s="17" t="n">
        <f aca="false">SQRT(($B73-X$16)^2+($C73-X$17)^2+($D73-X$18)^2)</f>
        <v>3.48714320047453</v>
      </c>
      <c r="Y73" s="17" t="n">
        <f aca="false">SQRT(($B73-Y$16)^2+($C73-Y$17)^2+($D73-Y$18)^2)</f>
        <v>1.48140251500666</v>
      </c>
      <c r="Z73" s="17" t="n">
        <f aca="false">SQRT(($B73-Z$16)^2+($C73-Z$17)^2+($D73-Z$18)^2)</f>
        <v>2.08367636594354</v>
      </c>
      <c r="AA73" s="63" t="n">
        <f aca="false">MATCH(MIN(X73:Z73),X73:Z73,0)</f>
        <v>2</v>
      </c>
      <c r="AC73" s="17" t="n">
        <f aca="false">SQRT(($B73-AC$16)^2+($C73-AC$17)^2+($D73-AC$18)^2)</f>
        <v>3.10494486625506</v>
      </c>
      <c r="AD73" s="17" t="n">
        <f aca="false">SQRT(($B73-AD$16)^2+($C73-AD$17)^2+($D73-AD$18)^2)</f>
        <v>0.589209573848933</v>
      </c>
      <c r="AE73" s="17" t="n">
        <f aca="false">SQRT(($B73-AE$16)^2+($C73-AE$17)^2+($D73-AE$18)^2)</f>
        <v>0.996494309085797</v>
      </c>
      <c r="AF73" s="63" t="n">
        <f aca="false">MATCH(MIN(AC73:AE73),AC73:AE73,0)</f>
        <v>2</v>
      </c>
      <c r="AH73" s="17" t="n">
        <f aca="false">SQRT(($B73-AH$16)^2+($C73-AH$17)^2+($D73-AH$18)^2)</f>
        <v>3.19273240272412</v>
      </c>
      <c r="AI73" s="17" t="n">
        <f aca="false">SQRT(($B73-AI$16)^2+($C73-AI$17)^2+($D73-AI$18)^2)</f>
        <v>0.750366234027147</v>
      </c>
      <c r="AJ73" s="17" t="n">
        <f aca="false">SQRT(($B73-AJ$16)^2+($C73-AJ$17)^2+($D73-AJ$18)^2)</f>
        <v>0.94012481305253</v>
      </c>
      <c r="AK73" s="63" t="n">
        <f aca="false">MATCH(MIN(AH73:AJ73),AH73:AJ73,0)</f>
        <v>2</v>
      </c>
      <c r="AM73" s="17" t="n">
        <f aca="false">SQRT(($B73-AM$16)^2+($C73-AM$17)^2+($D73-AM$18)^2)</f>
        <v>3.23466378723237</v>
      </c>
      <c r="AN73" s="17" t="n">
        <f aca="false">SQRT(($B73-AN$16)^2+($C73-AN$17)^2+($D73-AN$18)^2)</f>
        <v>0.784765500414996</v>
      </c>
      <c r="AO73" s="17" t="n">
        <f aca="false">SQRT(($B73-AO$16)^2+($C73-AO$17)^2+($D73-AO$18)^2)</f>
        <v>0.945371226084067</v>
      </c>
      <c r="AP73" s="63" t="n">
        <f aca="false">MATCH(MIN(AM73:AO73),AM73:AO73,0)</f>
        <v>2</v>
      </c>
      <c r="AR73" s="17" t="n">
        <f aca="false">SQRT(($B73-AR$16)^2+($C73-AR$17)^2+($D73-AR$18)^2)</f>
        <v>3.23466378723237</v>
      </c>
      <c r="AS73" s="17" t="n">
        <f aca="false">SQRT(($B73-AS$16)^2+($C73-AS$17)^2+($D73-AS$18)^2)</f>
        <v>0.784765500414996</v>
      </c>
      <c r="AT73" s="17" t="n">
        <f aca="false">SQRT(($B73-AT$16)^2+($C73-AT$17)^2+($D73-AT$18)^2)</f>
        <v>0.945371226084067</v>
      </c>
      <c r="AU73" s="63" t="n">
        <f aca="false">MATCH(MIN(AR73:AT73),AR73:AT73,0)</f>
        <v>2</v>
      </c>
      <c r="AW73" s="17" t="n">
        <f aca="false">SQRT(($B73-AW$16)^2+($C73-AW$17)^2+($D73-AW$18)^2)</f>
        <v>3.23466378723237</v>
      </c>
      <c r="AX73" s="17" t="n">
        <f aca="false">SQRT(($B73-AX$16)^2+($C73-AX$17)^2+($D73-AX$18)^2)</f>
        <v>0.784765500414996</v>
      </c>
      <c r="AY73" s="17" t="n">
        <f aca="false">SQRT(($B73-AY$16)^2+($C73-AY$17)^2+($D73-AY$18)^2)</f>
        <v>0.945371226084067</v>
      </c>
      <c r="AZ73" s="63" t="n">
        <f aca="false">MATCH(MIN(AW73:AY73),AW73:AY73,0)</f>
        <v>2</v>
      </c>
      <c r="BB73" s="17" t="n">
        <f aca="false">SQRT(($B73-BB$16)^2+($C73-BB$17)^2+($D73-BB$18)^2)</f>
        <v>3.23466378723237</v>
      </c>
      <c r="BC73" s="17" t="n">
        <f aca="false">SQRT(($B73-BC$16)^2+($C73-BC$17)^2+($D73-BC$18)^2)</f>
        <v>0.784765500414996</v>
      </c>
      <c r="BD73" s="17" t="n">
        <f aca="false">SQRT(($B73-BD$16)^2+($C73-BD$17)^2+($D73-BD$18)^2)</f>
        <v>0.945371226084067</v>
      </c>
      <c r="BE73" s="63" t="n">
        <f aca="false">MATCH(MIN(BB73:BD73),BB73:BD73,0)</f>
        <v>2</v>
      </c>
      <c r="BG73" s="17" t="n">
        <f aca="false">SQRT(($B73-BG$16)^2+($C73-BG$17)^2+($D73-BG$18)^2)</f>
        <v>3.23466378723237</v>
      </c>
      <c r="BH73" s="17" t="n">
        <f aca="false">SQRT(($B73-BH$16)^2+($C73-BH$17)^2+($D73-BH$18)^2)</f>
        <v>0.784765500414996</v>
      </c>
      <c r="BI73" s="17" t="n">
        <f aca="false">SQRT(($B73-BI$16)^2+($C73-BI$17)^2+($D73-BI$18)^2)</f>
        <v>0.945371226084067</v>
      </c>
      <c r="BJ73" s="63" t="n">
        <f aca="false">MATCH(MIN(BG73:BI73),BG73:BI73,0)</f>
        <v>2</v>
      </c>
      <c r="BL73" s="17" t="n">
        <f aca="false">SQRT(($B73-BL$16)^2+($C73-BL$17)^2+($D73-BL$18)^2)</f>
        <v>3.23466378723237</v>
      </c>
      <c r="BM73" s="17" t="n">
        <f aca="false">SQRT(($B73-BM$16)^2+($C73-BM$17)^2+($D73-BM$18)^2)</f>
        <v>0.784765500414996</v>
      </c>
      <c r="BN73" s="17" t="n">
        <f aca="false">SQRT(($B73-BN$16)^2+($C73-BN$17)^2+($D73-BN$18)^2)</f>
        <v>0.945371226084067</v>
      </c>
      <c r="BO73" s="63" t="n">
        <f aca="false">MATCH(MIN(BL73:BN73),BL73:BN73,0)</f>
        <v>2</v>
      </c>
      <c r="BQ73" s="17" t="n">
        <f aca="false">SQRT(($B73-BQ$16)^2+($C73-BQ$17)^2+($D73-BQ$18)^2)</f>
        <v>3.23466378723237</v>
      </c>
      <c r="BR73" s="17" t="n">
        <f aca="false">SQRT(($B73-BR$16)^2+($C73-BR$17)^2+($D73-BR$18)^2)</f>
        <v>0.784765500414996</v>
      </c>
      <c r="BS73" s="17" t="n">
        <f aca="false">SQRT(($B73-BS$16)^2+($C73-BS$17)^2+($D73-BS$18)^2)</f>
        <v>0.945371226084067</v>
      </c>
      <c r="BT73" s="63" t="n">
        <f aca="false">MATCH(MIN(BQ73:BS73),BQ73:BS73,0)</f>
        <v>2</v>
      </c>
      <c r="BV73" s="17" t="n">
        <f aca="false">SQRT(($B73-BV$16)^2+($C73-BV$17)^2+($D73-BV$18)^2)</f>
        <v>3.23466378723237</v>
      </c>
      <c r="BW73" s="17" t="n">
        <f aca="false">SQRT(($B73-BW$16)^2+($C73-BW$17)^2+($D73-BW$18)^2)</f>
        <v>0.784765500414996</v>
      </c>
      <c r="BX73" s="17" t="n">
        <f aca="false">SQRT(($B73-BX$16)^2+($C73-BX$17)^2+($D73-BX$18)^2)</f>
        <v>0.945371226084067</v>
      </c>
      <c r="BY73" s="63" t="n">
        <f aca="false">MATCH(MIN(BV73:BX73),BV73:BX73,0)</f>
        <v>2</v>
      </c>
      <c r="CA73" s="17" t="n">
        <f aca="false">SQRT(($B73-CA$16)^2+($C73-CA$17)^2+($D73-CA$18)^2)</f>
        <v>3.23466378723237</v>
      </c>
      <c r="CB73" s="17" t="n">
        <f aca="false">SQRT(($B73-CB$16)^2+($C73-CB$17)^2+($D73-CB$18)^2)</f>
        <v>0.784765500414996</v>
      </c>
      <c r="CC73" s="17" t="n">
        <f aca="false">SQRT(($B73-CC$16)^2+($C73-CC$17)^2+($D73-CC$18)^2)</f>
        <v>0.945371226084067</v>
      </c>
      <c r="CD73" s="63" t="n">
        <f aca="false">MATCH(MIN(CA73:CC73),CA73:CC73,0)</f>
        <v>2</v>
      </c>
    </row>
    <row r="74" customFormat="false" ht="15" hidden="false" customHeight="false" outlineLevel="0" collapsed="false">
      <c r="A74" s="76" t="n">
        <f aca="false">Phase_Data!A56</f>
        <v>43938</v>
      </c>
      <c r="B74" s="17" t="n">
        <f aca="false">Phase_Data!K56</f>
        <v>0.374821189046732</v>
      </c>
      <c r="C74" s="17" t="n">
        <f aca="false">Phase_Data!L56</f>
        <v>-0.314681610738362</v>
      </c>
      <c r="D74" s="17" t="n">
        <f aca="false">Phase_Data!M56</f>
        <v>-0.232646216293964</v>
      </c>
      <c r="E74" s="63" t="n">
        <f aca="false">CD74</f>
        <v>3</v>
      </c>
      <c r="F74" s="38" t="n">
        <f aca="false">($B74-INDEX($L$16:$N$16,E74))^2+($C74-INDEX($L$17:$N$17,E74))^2+($D74-INDEX($L$18:$N$18,E74))^2</f>
        <v>0.215375314258172</v>
      </c>
      <c r="G74" s="12" t="str">
        <f aca="false">INDEX($M$5:$M$7,E74)</f>
        <v>Medium activity</v>
      </c>
      <c r="X74" s="17" t="n">
        <f aca="false">SQRT(($B74-X$16)^2+($C74-X$17)^2+($D74-X$18)^2)</f>
        <v>2.45842409707958</v>
      </c>
      <c r="Y74" s="17" t="n">
        <f aca="false">SQRT(($B74-Y$16)^2+($C74-Y$17)^2+($D74-Y$18)^2)</f>
        <v>2.72735050617662</v>
      </c>
      <c r="Z74" s="17" t="n">
        <f aca="false">SQRT(($B74-Z$16)^2+($C74-Z$17)^2+($D74-Z$18)^2)</f>
        <v>1.53916717111283</v>
      </c>
      <c r="AA74" s="63" t="n">
        <f aca="false">MATCH(MIN(X74:Z74),X74:Z74,0)</f>
        <v>3</v>
      </c>
      <c r="AC74" s="17" t="n">
        <f aca="false">SQRT(($B74-AC$16)^2+($C74-AC$17)^2+($D74-AC$18)^2)</f>
        <v>2.04675961838733</v>
      </c>
      <c r="AD74" s="17" t="n">
        <f aca="false">SQRT(($B74-AD$16)^2+($C74-AD$17)^2+($D74-AD$18)^2)</f>
        <v>1.85585903978505</v>
      </c>
      <c r="AE74" s="17" t="n">
        <f aca="false">SQRT(($B74-AE$16)^2+($C74-AE$17)^2+($D74-AE$18)^2)</f>
        <v>0.489007509957351</v>
      </c>
      <c r="AF74" s="63" t="n">
        <f aca="false">MATCH(MIN(AC74:AE74),AC74:AE74,0)</f>
        <v>3</v>
      </c>
      <c r="AH74" s="17" t="n">
        <f aca="false">SQRT(($B74-AH$16)^2+($C74-AH$17)^2+($D74-AH$18)^2)</f>
        <v>2.13747979364432</v>
      </c>
      <c r="AI74" s="17" t="n">
        <f aca="false">SQRT(($B74-AI$16)^2+($C74-AI$17)^2+($D74-AI$18)^2)</f>
        <v>2.00285422658592</v>
      </c>
      <c r="AJ74" s="17" t="n">
        <f aca="false">SQRT(($B74-AJ$16)^2+($C74-AJ$17)^2+($D74-AJ$18)^2)</f>
        <v>0.482017746146951</v>
      </c>
      <c r="AK74" s="63" t="n">
        <f aca="false">MATCH(MIN(AH74:AJ74),AH74:AJ74,0)</f>
        <v>3</v>
      </c>
      <c r="AM74" s="17" t="n">
        <f aca="false">SQRT(($B74-AM$16)^2+($C74-AM$17)^2+($D74-AM$18)^2)</f>
        <v>2.18320143695687</v>
      </c>
      <c r="AN74" s="17" t="n">
        <f aca="false">SQRT(($B74-AN$16)^2+($C74-AN$17)^2+($D74-AN$18)^2)</f>
        <v>2.03445075849551</v>
      </c>
      <c r="AO74" s="17" t="n">
        <f aca="false">SQRT(($B74-AO$16)^2+($C74-AO$17)^2+($D74-AO$18)^2)</f>
        <v>0.464085460080546</v>
      </c>
      <c r="AP74" s="63" t="n">
        <f aca="false">MATCH(MIN(AM74:AO74),AM74:AO74,0)</f>
        <v>3</v>
      </c>
      <c r="AR74" s="17" t="n">
        <f aca="false">SQRT(($B74-AR$16)^2+($C74-AR$17)^2+($D74-AR$18)^2)</f>
        <v>2.18320143695687</v>
      </c>
      <c r="AS74" s="17" t="n">
        <f aca="false">SQRT(($B74-AS$16)^2+($C74-AS$17)^2+($D74-AS$18)^2)</f>
        <v>2.03445075849551</v>
      </c>
      <c r="AT74" s="17" t="n">
        <f aca="false">SQRT(($B74-AT$16)^2+($C74-AT$17)^2+($D74-AT$18)^2)</f>
        <v>0.464085460080546</v>
      </c>
      <c r="AU74" s="63" t="n">
        <f aca="false">MATCH(MIN(AR74:AT74),AR74:AT74,0)</f>
        <v>3</v>
      </c>
      <c r="AW74" s="17" t="n">
        <f aca="false">SQRT(($B74-AW$16)^2+($C74-AW$17)^2+($D74-AW$18)^2)</f>
        <v>2.18320143695687</v>
      </c>
      <c r="AX74" s="17" t="n">
        <f aca="false">SQRT(($B74-AX$16)^2+($C74-AX$17)^2+($D74-AX$18)^2)</f>
        <v>2.03445075849551</v>
      </c>
      <c r="AY74" s="17" t="n">
        <f aca="false">SQRT(($B74-AY$16)^2+($C74-AY$17)^2+($D74-AY$18)^2)</f>
        <v>0.464085460080546</v>
      </c>
      <c r="AZ74" s="63" t="n">
        <f aca="false">MATCH(MIN(AW74:AY74),AW74:AY74,0)</f>
        <v>3</v>
      </c>
      <c r="BB74" s="17" t="n">
        <f aca="false">SQRT(($B74-BB$16)^2+($C74-BB$17)^2+($D74-BB$18)^2)</f>
        <v>2.18320143695687</v>
      </c>
      <c r="BC74" s="17" t="n">
        <f aca="false">SQRT(($B74-BC$16)^2+($C74-BC$17)^2+($D74-BC$18)^2)</f>
        <v>2.03445075849551</v>
      </c>
      <c r="BD74" s="17" t="n">
        <f aca="false">SQRT(($B74-BD$16)^2+($C74-BD$17)^2+($D74-BD$18)^2)</f>
        <v>0.464085460080546</v>
      </c>
      <c r="BE74" s="63" t="n">
        <f aca="false">MATCH(MIN(BB74:BD74),BB74:BD74,0)</f>
        <v>3</v>
      </c>
      <c r="BG74" s="17" t="n">
        <f aca="false">SQRT(($B74-BG$16)^2+($C74-BG$17)^2+($D74-BG$18)^2)</f>
        <v>2.18320143695687</v>
      </c>
      <c r="BH74" s="17" t="n">
        <f aca="false">SQRT(($B74-BH$16)^2+($C74-BH$17)^2+($D74-BH$18)^2)</f>
        <v>2.03445075849551</v>
      </c>
      <c r="BI74" s="17" t="n">
        <f aca="false">SQRT(($B74-BI$16)^2+($C74-BI$17)^2+($D74-BI$18)^2)</f>
        <v>0.464085460080546</v>
      </c>
      <c r="BJ74" s="63" t="n">
        <f aca="false">MATCH(MIN(BG74:BI74),BG74:BI74,0)</f>
        <v>3</v>
      </c>
      <c r="BL74" s="17" t="n">
        <f aca="false">SQRT(($B74-BL$16)^2+($C74-BL$17)^2+($D74-BL$18)^2)</f>
        <v>2.18320143695687</v>
      </c>
      <c r="BM74" s="17" t="n">
        <f aca="false">SQRT(($B74-BM$16)^2+($C74-BM$17)^2+($D74-BM$18)^2)</f>
        <v>2.03445075849551</v>
      </c>
      <c r="BN74" s="17" t="n">
        <f aca="false">SQRT(($B74-BN$16)^2+($C74-BN$17)^2+($D74-BN$18)^2)</f>
        <v>0.464085460080546</v>
      </c>
      <c r="BO74" s="63" t="n">
        <f aca="false">MATCH(MIN(BL74:BN74),BL74:BN74,0)</f>
        <v>3</v>
      </c>
      <c r="BQ74" s="17" t="n">
        <f aca="false">SQRT(($B74-BQ$16)^2+($C74-BQ$17)^2+($D74-BQ$18)^2)</f>
        <v>2.18320143695687</v>
      </c>
      <c r="BR74" s="17" t="n">
        <f aca="false">SQRT(($B74-BR$16)^2+($C74-BR$17)^2+($D74-BR$18)^2)</f>
        <v>2.03445075849551</v>
      </c>
      <c r="BS74" s="17" t="n">
        <f aca="false">SQRT(($B74-BS$16)^2+($C74-BS$17)^2+($D74-BS$18)^2)</f>
        <v>0.464085460080546</v>
      </c>
      <c r="BT74" s="63" t="n">
        <f aca="false">MATCH(MIN(BQ74:BS74),BQ74:BS74,0)</f>
        <v>3</v>
      </c>
      <c r="BV74" s="17" t="n">
        <f aca="false">SQRT(($B74-BV$16)^2+($C74-BV$17)^2+($D74-BV$18)^2)</f>
        <v>2.18320143695687</v>
      </c>
      <c r="BW74" s="17" t="n">
        <f aca="false">SQRT(($B74-BW$16)^2+($C74-BW$17)^2+($D74-BW$18)^2)</f>
        <v>2.03445075849551</v>
      </c>
      <c r="BX74" s="17" t="n">
        <f aca="false">SQRT(($B74-BX$16)^2+($C74-BX$17)^2+($D74-BX$18)^2)</f>
        <v>0.464085460080546</v>
      </c>
      <c r="BY74" s="63" t="n">
        <f aca="false">MATCH(MIN(BV74:BX74),BV74:BX74,0)</f>
        <v>3</v>
      </c>
      <c r="CA74" s="17" t="n">
        <f aca="false">SQRT(($B74-CA$16)^2+($C74-CA$17)^2+($D74-CA$18)^2)</f>
        <v>2.18320143695687</v>
      </c>
      <c r="CB74" s="17" t="n">
        <f aca="false">SQRT(($B74-CB$16)^2+($C74-CB$17)^2+($D74-CB$18)^2)</f>
        <v>2.03445075849551</v>
      </c>
      <c r="CC74" s="17" t="n">
        <f aca="false">SQRT(($B74-CC$16)^2+($C74-CC$17)^2+($D74-CC$18)^2)</f>
        <v>0.464085460080546</v>
      </c>
      <c r="CD74" s="63" t="n">
        <f aca="false">MATCH(MIN(CA74:CC74),CA74:CC74,0)</f>
        <v>3</v>
      </c>
    </row>
    <row r="75" customFormat="false" ht="15" hidden="false" customHeight="false" outlineLevel="0" collapsed="false">
      <c r="A75" s="76" t="n">
        <f aca="false">Phase_Data!A57</f>
        <v>43939</v>
      </c>
      <c r="B75" s="17" t="n">
        <f aca="false">Phase_Data!K57</f>
        <v>0.14149539835755</v>
      </c>
      <c r="C75" s="17" t="n">
        <f aca="false">Phase_Data!L57</f>
        <v>0.279765754265204</v>
      </c>
      <c r="D75" s="17" t="n">
        <f aca="false">Phase_Data!M57</f>
        <v>0.145893917200164</v>
      </c>
      <c r="E75" s="63" t="n">
        <f aca="false">CD75</f>
        <v>3</v>
      </c>
      <c r="F75" s="38" t="n">
        <f aca="false">($B75-INDEX($L$16:$N$16,E75))^2+($C75-INDEX($L$17:$N$17,E75))^2+($D75-INDEX($L$18:$N$18,E75))^2</f>
        <v>0.0823962190298508</v>
      </c>
      <c r="G75" s="12" t="str">
        <f aca="false">INDEX($M$5:$M$7,E75)</f>
        <v>Medium activity</v>
      </c>
      <c r="X75" s="17" t="n">
        <f aca="false">SQRT(($B75-X$16)^2+($C75-X$17)^2+($D75-X$18)^2)</f>
        <v>2.78942750152852</v>
      </c>
      <c r="Y75" s="17" t="n">
        <f aca="false">SQRT(($B75-Y$16)^2+($C75-Y$17)^2+($D75-Y$18)^2)</f>
        <v>2.19848057060328</v>
      </c>
      <c r="Z75" s="17" t="n">
        <f aca="false">SQRT(($B75-Z$16)^2+($C75-Z$17)^2+($D75-Z$18)^2)</f>
        <v>1.59566888518985</v>
      </c>
      <c r="AA75" s="63" t="n">
        <f aca="false">MATCH(MIN(X75:Z75),X75:Z75,0)</f>
        <v>3</v>
      </c>
      <c r="AC75" s="17" t="n">
        <f aca="false">SQRT(($B75-AC$16)^2+($C75-AC$17)^2+($D75-AC$18)^2)</f>
        <v>2.40475405940284</v>
      </c>
      <c r="AD75" s="17" t="n">
        <f aca="false">SQRT(($B75-AD$16)^2+($C75-AD$17)^2+($D75-AD$18)^2)</f>
        <v>1.30475728461279</v>
      </c>
      <c r="AE75" s="17" t="n">
        <f aca="false">SQRT(($B75-AE$16)^2+($C75-AE$17)^2+($D75-AE$18)^2)</f>
        <v>0.341097464204392</v>
      </c>
      <c r="AF75" s="63" t="n">
        <f aca="false">MATCH(MIN(AC75:AE75),AC75:AE75,0)</f>
        <v>3</v>
      </c>
      <c r="AH75" s="17" t="n">
        <f aca="false">SQRT(($B75-AH$16)^2+($C75-AH$17)^2+($D75-AH$18)^2)</f>
        <v>2.49129360276373</v>
      </c>
      <c r="AI75" s="17" t="n">
        <f aca="false">SQRT(($B75-AI$16)^2+($C75-AI$17)^2+($D75-AI$18)^2)</f>
        <v>1.4553859579464</v>
      </c>
      <c r="AJ75" s="17" t="n">
        <f aca="false">SQRT(($B75-AJ$16)^2+($C75-AJ$17)^2+($D75-AJ$18)^2)</f>
        <v>0.278570948404831</v>
      </c>
      <c r="AK75" s="63" t="n">
        <f aca="false">MATCH(MIN(AH75:AJ75),AH75:AJ75,0)</f>
        <v>3</v>
      </c>
      <c r="AM75" s="17" t="n">
        <f aca="false">SQRT(($B75-AM$16)^2+($C75-AM$17)^2+($D75-AM$18)^2)</f>
        <v>2.53297369444993</v>
      </c>
      <c r="AN75" s="17" t="n">
        <f aca="false">SQRT(($B75-AN$16)^2+($C75-AN$17)^2+($D75-AN$18)^2)</f>
        <v>1.48549630319332</v>
      </c>
      <c r="AO75" s="17" t="n">
        <f aca="false">SQRT(($B75-AO$16)^2+($C75-AO$17)^2+($D75-AO$18)^2)</f>
        <v>0.287047415995774</v>
      </c>
      <c r="AP75" s="63" t="n">
        <f aca="false">MATCH(MIN(AM75:AO75),AM75:AO75,0)</f>
        <v>3</v>
      </c>
      <c r="AR75" s="17" t="n">
        <f aca="false">SQRT(($B75-AR$16)^2+($C75-AR$17)^2+($D75-AR$18)^2)</f>
        <v>2.53297369444993</v>
      </c>
      <c r="AS75" s="17" t="n">
        <f aca="false">SQRT(($B75-AS$16)^2+($C75-AS$17)^2+($D75-AS$18)^2)</f>
        <v>1.48549630319332</v>
      </c>
      <c r="AT75" s="17" t="n">
        <f aca="false">SQRT(($B75-AT$16)^2+($C75-AT$17)^2+($D75-AT$18)^2)</f>
        <v>0.287047415995774</v>
      </c>
      <c r="AU75" s="63" t="n">
        <f aca="false">MATCH(MIN(AR75:AT75),AR75:AT75,0)</f>
        <v>3</v>
      </c>
      <c r="AW75" s="17" t="n">
        <f aca="false">SQRT(($B75-AW$16)^2+($C75-AW$17)^2+($D75-AW$18)^2)</f>
        <v>2.53297369444993</v>
      </c>
      <c r="AX75" s="17" t="n">
        <f aca="false">SQRT(($B75-AX$16)^2+($C75-AX$17)^2+($D75-AX$18)^2)</f>
        <v>1.48549630319332</v>
      </c>
      <c r="AY75" s="17" t="n">
        <f aca="false">SQRT(($B75-AY$16)^2+($C75-AY$17)^2+($D75-AY$18)^2)</f>
        <v>0.287047415995774</v>
      </c>
      <c r="AZ75" s="63" t="n">
        <f aca="false">MATCH(MIN(AW75:AY75),AW75:AY75,0)</f>
        <v>3</v>
      </c>
      <c r="BB75" s="17" t="n">
        <f aca="false">SQRT(($B75-BB$16)^2+($C75-BB$17)^2+($D75-BB$18)^2)</f>
        <v>2.53297369444993</v>
      </c>
      <c r="BC75" s="17" t="n">
        <f aca="false">SQRT(($B75-BC$16)^2+($C75-BC$17)^2+($D75-BC$18)^2)</f>
        <v>1.48549630319332</v>
      </c>
      <c r="BD75" s="17" t="n">
        <f aca="false">SQRT(($B75-BD$16)^2+($C75-BD$17)^2+($D75-BD$18)^2)</f>
        <v>0.287047415995774</v>
      </c>
      <c r="BE75" s="63" t="n">
        <f aca="false">MATCH(MIN(BB75:BD75),BB75:BD75,0)</f>
        <v>3</v>
      </c>
      <c r="BG75" s="17" t="n">
        <f aca="false">SQRT(($B75-BG$16)^2+($C75-BG$17)^2+($D75-BG$18)^2)</f>
        <v>2.53297369444993</v>
      </c>
      <c r="BH75" s="17" t="n">
        <f aca="false">SQRT(($B75-BH$16)^2+($C75-BH$17)^2+($D75-BH$18)^2)</f>
        <v>1.48549630319332</v>
      </c>
      <c r="BI75" s="17" t="n">
        <f aca="false">SQRT(($B75-BI$16)^2+($C75-BI$17)^2+($D75-BI$18)^2)</f>
        <v>0.287047415995774</v>
      </c>
      <c r="BJ75" s="63" t="n">
        <f aca="false">MATCH(MIN(BG75:BI75),BG75:BI75,0)</f>
        <v>3</v>
      </c>
      <c r="BL75" s="17" t="n">
        <f aca="false">SQRT(($B75-BL$16)^2+($C75-BL$17)^2+($D75-BL$18)^2)</f>
        <v>2.53297369444993</v>
      </c>
      <c r="BM75" s="17" t="n">
        <f aca="false">SQRT(($B75-BM$16)^2+($C75-BM$17)^2+($D75-BM$18)^2)</f>
        <v>1.48549630319332</v>
      </c>
      <c r="BN75" s="17" t="n">
        <f aca="false">SQRT(($B75-BN$16)^2+($C75-BN$17)^2+($D75-BN$18)^2)</f>
        <v>0.287047415995774</v>
      </c>
      <c r="BO75" s="63" t="n">
        <f aca="false">MATCH(MIN(BL75:BN75),BL75:BN75,0)</f>
        <v>3</v>
      </c>
      <c r="BQ75" s="17" t="n">
        <f aca="false">SQRT(($B75-BQ$16)^2+($C75-BQ$17)^2+($D75-BQ$18)^2)</f>
        <v>2.53297369444993</v>
      </c>
      <c r="BR75" s="17" t="n">
        <f aca="false">SQRT(($B75-BR$16)^2+($C75-BR$17)^2+($D75-BR$18)^2)</f>
        <v>1.48549630319332</v>
      </c>
      <c r="BS75" s="17" t="n">
        <f aca="false">SQRT(($B75-BS$16)^2+($C75-BS$17)^2+($D75-BS$18)^2)</f>
        <v>0.287047415995774</v>
      </c>
      <c r="BT75" s="63" t="n">
        <f aca="false">MATCH(MIN(BQ75:BS75),BQ75:BS75,0)</f>
        <v>3</v>
      </c>
      <c r="BV75" s="17" t="n">
        <f aca="false">SQRT(($B75-BV$16)^2+($C75-BV$17)^2+($D75-BV$18)^2)</f>
        <v>2.53297369444993</v>
      </c>
      <c r="BW75" s="17" t="n">
        <f aca="false">SQRT(($B75-BW$16)^2+($C75-BW$17)^2+($D75-BW$18)^2)</f>
        <v>1.48549630319332</v>
      </c>
      <c r="BX75" s="17" t="n">
        <f aca="false">SQRT(($B75-BX$16)^2+($C75-BX$17)^2+($D75-BX$18)^2)</f>
        <v>0.287047415995774</v>
      </c>
      <c r="BY75" s="63" t="n">
        <f aca="false">MATCH(MIN(BV75:BX75),BV75:BX75,0)</f>
        <v>3</v>
      </c>
      <c r="CA75" s="17" t="n">
        <f aca="false">SQRT(($B75-CA$16)^2+($C75-CA$17)^2+($D75-CA$18)^2)</f>
        <v>2.53297369444993</v>
      </c>
      <c r="CB75" s="17" t="n">
        <f aca="false">SQRT(($B75-CB$16)^2+($C75-CB$17)^2+($D75-CB$18)^2)</f>
        <v>1.48549630319332</v>
      </c>
      <c r="CC75" s="17" t="n">
        <f aca="false">SQRT(($B75-CC$16)^2+($C75-CC$17)^2+($D75-CC$18)^2)</f>
        <v>0.287047415995774</v>
      </c>
      <c r="CD75" s="63" t="n">
        <f aca="false">MATCH(MIN(CA75:CC75),CA75:CC75,0)</f>
        <v>3</v>
      </c>
    </row>
    <row r="76" customFormat="false" ht="15" hidden="false" customHeight="false" outlineLevel="0" collapsed="false">
      <c r="A76" s="76" t="n">
        <f aca="false">Phase_Data!A58</f>
        <v>43940</v>
      </c>
      <c r="B76" s="17" t="n">
        <f aca="false">Phase_Data!K58</f>
        <v>0.426585204421069</v>
      </c>
      <c r="C76" s="17" t="n">
        <f aca="false">Phase_Data!L58</f>
        <v>0.591790353976911</v>
      </c>
      <c r="D76" s="17" t="n">
        <f aca="false">Phase_Data!M58</f>
        <v>0.436803754788636</v>
      </c>
      <c r="E76" s="63" t="n">
        <f aca="false">CD76</f>
        <v>3</v>
      </c>
      <c r="F76" s="38" t="n">
        <f aca="false">($B76-INDEX($L$16:$N$16,E76))^2+($C76-INDEX($L$17:$N$17,E76))^2+($D76-INDEX($L$18:$N$18,E76))^2</f>
        <v>0.498688740348222</v>
      </c>
      <c r="G76" s="12" t="str">
        <f aca="false">INDEX($M$5:$M$7,E76)</f>
        <v>Medium activity</v>
      </c>
      <c r="X76" s="17" t="n">
        <f aca="false">SQRT(($B76-X$16)^2+($C76-X$17)^2+($D76-X$18)^2)</f>
        <v>3.30115331005226</v>
      </c>
      <c r="Y76" s="17" t="n">
        <f aca="false">SQRT(($B76-Y$16)^2+($C76-Y$17)^2+($D76-Y$18)^2)</f>
        <v>1.69249214077839</v>
      </c>
      <c r="Z76" s="17" t="n">
        <f aca="false">SQRT(($B76-Z$16)^2+($C76-Z$17)^2+($D76-Z$18)^2)</f>
        <v>1.7406797255838</v>
      </c>
      <c r="AA76" s="63" t="n">
        <f aca="false">MATCH(MIN(X76:Z76),X76:Z76,0)</f>
        <v>2</v>
      </c>
      <c r="AC76" s="17" t="n">
        <f aca="false">SQRT(($B76-AC$16)^2+($C76-AC$17)^2+($D76-AC$18)^2)</f>
        <v>2.91727328016867</v>
      </c>
      <c r="AD76" s="17" t="n">
        <f aca="false">SQRT(($B76-AD$16)^2+($C76-AD$17)^2+($D76-AD$18)^2)</f>
        <v>0.806926816455771</v>
      </c>
      <c r="AE76" s="17" t="n">
        <f aca="false">SQRT(($B76-AE$16)^2+($C76-AE$17)^2+($D76-AE$18)^2)</f>
        <v>0.723480133524842</v>
      </c>
      <c r="AF76" s="63" t="n">
        <f aca="false">MATCH(MIN(AC76:AE76),AC76:AE76,0)</f>
        <v>3</v>
      </c>
      <c r="AH76" s="17" t="n">
        <f aca="false">SQRT(($B76-AH$16)^2+($C76-AH$17)^2+($D76-AH$18)^2)</f>
        <v>3.00390982656446</v>
      </c>
      <c r="AI76" s="17" t="n">
        <f aca="false">SQRT(($B76-AI$16)^2+($C76-AI$17)^2+($D76-AI$18)^2)</f>
        <v>0.951075146691503</v>
      </c>
      <c r="AJ76" s="17" t="n">
        <f aca="false">SQRT(($B76-AJ$16)^2+($C76-AJ$17)^2+($D76-AJ$18)^2)</f>
        <v>0.69236032805093</v>
      </c>
      <c r="AK76" s="63" t="n">
        <f aca="false">MATCH(MIN(AH76:AJ76),AH76:AJ76,0)</f>
        <v>3</v>
      </c>
      <c r="AM76" s="17" t="n">
        <f aca="false">SQRT(($B76-AM$16)^2+($C76-AM$17)^2+($D76-AM$18)^2)</f>
        <v>3.04556592293142</v>
      </c>
      <c r="AN76" s="17" t="n">
        <f aca="false">SQRT(($B76-AN$16)^2+($C76-AN$17)^2+($D76-AN$18)^2)</f>
        <v>0.979871822803991</v>
      </c>
      <c r="AO76" s="17" t="n">
        <f aca="false">SQRT(($B76-AO$16)^2+($C76-AO$17)^2+($D76-AO$18)^2)</f>
        <v>0.706178971896092</v>
      </c>
      <c r="AP76" s="63" t="n">
        <f aca="false">MATCH(MIN(AM76:AO76),AM76:AO76,0)</f>
        <v>3</v>
      </c>
      <c r="AR76" s="17" t="n">
        <f aca="false">SQRT(($B76-AR$16)^2+($C76-AR$17)^2+($D76-AR$18)^2)</f>
        <v>3.04556592293142</v>
      </c>
      <c r="AS76" s="17" t="n">
        <f aca="false">SQRT(($B76-AS$16)^2+($C76-AS$17)^2+($D76-AS$18)^2)</f>
        <v>0.979871822803991</v>
      </c>
      <c r="AT76" s="17" t="n">
        <f aca="false">SQRT(($B76-AT$16)^2+($C76-AT$17)^2+($D76-AT$18)^2)</f>
        <v>0.706178971896092</v>
      </c>
      <c r="AU76" s="63" t="n">
        <f aca="false">MATCH(MIN(AR76:AT76),AR76:AT76,0)</f>
        <v>3</v>
      </c>
      <c r="AW76" s="17" t="n">
        <f aca="false">SQRT(($B76-AW$16)^2+($C76-AW$17)^2+($D76-AW$18)^2)</f>
        <v>3.04556592293142</v>
      </c>
      <c r="AX76" s="17" t="n">
        <f aca="false">SQRT(($B76-AX$16)^2+($C76-AX$17)^2+($D76-AX$18)^2)</f>
        <v>0.979871822803991</v>
      </c>
      <c r="AY76" s="17" t="n">
        <f aca="false">SQRT(($B76-AY$16)^2+($C76-AY$17)^2+($D76-AY$18)^2)</f>
        <v>0.706178971896092</v>
      </c>
      <c r="AZ76" s="63" t="n">
        <f aca="false">MATCH(MIN(AW76:AY76),AW76:AY76,0)</f>
        <v>3</v>
      </c>
      <c r="BB76" s="17" t="n">
        <f aca="false">SQRT(($B76-BB$16)^2+($C76-BB$17)^2+($D76-BB$18)^2)</f>
        <v>3.04556592293142</v>
      </c>
      <c r="BC76" s="17" t="n">
        <f aca="false">SQRT(($B76-BC$16)^2+($C76-BC$17)^2+($D76-BC$18)^2)</f>
        <v>0.979871822803991</v>
      </c>
      <c r="BD76" s="17" t="n">
        <f aca="false">SQRT(($B76-BD$16)^2+($C76-BD$17)^2+($D76-BD$18)^2)</f>
        <v>0.706178971896092</v>
      </c>
      <c r="BE76" s="63" t="n">
        <f aca="false">MATCH(MIN(BB76:BD76),BB76:BD76,0)</f>
        <v>3</v>
      </c>
      <c r="BG76" s="17" t="n">
        <f aca="false">SQRT(($B76-BG$16)^2+($C76-BG$17)^2+($D76-BG$18)^2)</f>
        <v>3.04556592293142</v>
      </c>
      <c r="BH76" s="17" t="n">
        <f aca="false">SQRT(($B76-BH$16)^2+($C76-BH$17)^2+($D76-BH$18)^2)</f>
        <v>0.979871822803991</v>
      </c>
      <c r="BI76" s="17" t="n">
        <f aca="false">SQRT(($B76-BI$16)^2+($C76-BI$17)^2+($D76-BI$18)^2)</f>
        <v>0.706178971896092</v>
      </c>
      <c r="BJ76" s="63" t="n">
        <f aca="false">MATCH(MIN(BG76:BI76),BG76:BI76,0)</f>
        <v>3</v>
      </c>
      <c r="BL76" s="17" t="n">
        <f aca="false">SQRT(($B76-BL$16)^2+($C76-BL$17)^2+($D76-BL$18)^2)</f>
        <v>3.04556592293142</v>
      </c>
      <c r="BM76" s="17" t="n">
        <f aca="false">SQRT(($B76-BM$16)^2+($C76-BM$17)^2+($D76-BM$18)^2)</f>
        <v>0.979871822803991</v>
      </c>
      <c r="BN76" s="17" t="n">
        <f aca="false">SQRT(($B76-BN$16)^2+($C76-BN$17)^2+($D76-BN$18)^2)</f>
        <v>0.706178971896092</v>
      </c>
      <c r="BO76" s="63" t="n">
        <f aca="false">MATCH(MIN(BL76:BN76),BL76:BN76,0)</f>
        <v>3</v>
      </c>
      <c r="BQ76" s="17" t="n">
        <f aca="false">SQRT(($B76-BQ$16)^2+($C76-BQ$17)^2+($D76-BQ$18)^2)</f>
        <v>3.04556592293142</v>
      </c>
      <c r="BR76" s="17" t="n">
        <f aca="false">SQRT(($B76-BR$16)^2+($C76-BR$17)^2+($D76-BR$18)^2)</f>
        <v>0.979871822803991</v>
      </c>
      <c r="BS76" s="17" t="n">
        <f aca="false">SQRT(($B76-BS$16)^2+($C76-BS$17)^2+($D76-BS$18)^2)</f>
        <v>0.706178971896092</v>
      </c>
      <c r="BT76" s="63" t="n">
        <f aca="false">MATCH(MIN(BQ76:BS76),BQ76:BS76,0)</f>
        <v>3</v>
      </c>
      <c r="BV76" s="17" t="n">
        <f aca="false">SQRT(($B76-BV$16)^2+($C76-BV$17)^2+($D76-BV$18)^2)</f>
        <v>3.04556592293142</v>
      </c>
      <c r="BW76" s="17" t="n">
        <f aca="false">SQRT(($B76-BW$16)^2+($C76-BW$17)^2+($D76-BW$18)^2)</f>
        <v>0.979871822803991</v>
      </c>
      <c r="BX76" s="17" t="n">
        <f aca="false">SQRT(($B76-BX$16)^2+($C76-BX$17)^2+($D76-BX$18)^2)</f>
        <v>0.706178971896092</v>
      </c>
      <c r="BY76" s="63" t="n">
        <f aca="false">MATCH(MIN(BV76:BX76),BV76:BX76,0)</f>
        <v>3</v>
      </c>
      <c r="CA76" s="17" t="n">
        <f aca="false">SQRT(($B76-CA$16)^2+($C76-CA$17)^2+($D76-CA$18)^2)</f>
        <v>3.04556592293142</v>
      </c>
      <c r="CB76" s="17" t="n">
        <f aca="false">SQRT(($B76-CB$16)^2+($C76-CB$17)^2+($D76-CB$18)^2)</f>
        <v>0.979871822803991</v>
      </c>
      <c r="CC76" s="17" t="n">
        <f aca="false">SQRT(($B76-CC$16)^2+($C76-CC$17)^2+($D76-CC$18)^2)</f>
        <v>0.706178971896092</v>
      </c>
      <c r="CD76" s="63" t="n">
        <f aca="false">MATCH(MIN(CA76:CC76),CA76:CC76,0)</f>
        <v>3</v>
      </c>
    </row>
    <row r="77" customFormat="false" ht="15" hidden="false" customHeight="false" outlineLevel="0" collapsed="false">
      <c r="A77" s="76" t="n">
        <f aca="false">Phase_Data!A59</f>
        <v>43941</v>
      </c>
      <c r="B77" s="17" t="n">
        <f aca="false">Phase_Data!K59</f>
        <v>0.503474646786807</v>
      </c>
      <c r="C77" s="17" t="n">
        <f aca="false">Phase_Data!L59</f>
        <v>0.591790353976911</v>
      </c>
      <c r="D77" s="17" t="n">
        <f aca="false">Phase_Data!M59</f>
        <v>0.321208683639248</v>
      </c>
      <c r="E77" s="63" t="n">
        <f aca="false">CD77</f>
        <v>3</v>
      </c>
      <c r="F77" s="38" t="n">
        <f aca="false">($B77-INDEX($L$16:$N$16,E77))^2+($C77-INDEX($L$17:$N$17,E77))^2+($D77-INDEX($L$18:$N$18,E77))^2</f>
        <v>0.435540798605512</v>
      </c>
      <c r="G77" s="12" t="str">
        <f aca="false">INDEX($M$5:$M$7,E77)</f>
        <v>Medium activity</v>
      </c>
      <c r="X77" s="17" t="n">
        <f aca="false">SQRT(($B77-X$16)^2+($C77-X$17)^2+($D77-X$18)^2)</f>
        <v>3.29036948697045</v>
      </c>
      <c r="Y77" s="17" t="n">
        <f aca="false">SQRT(($B77-Y$16)^2+($C77-Y$17)^2+($D77-Y$18)^2)</f>
        <v>1.74376906271278</v>
      </c>
      <c r="Z77" s="17" t="n">
        <f aca="false">SQRT(($B77-Z$16)^2+($C77-Z$17)^2+($D77-Z$18)^2)</f>
        <v>1.61760398506927</v>
      </c>
      <c r="AA77" s="63" t="n">
        <f aca="false">MATCH(MIN(X77:Z77),X77:Z77,0)</f>
        <v>3</v>
      </c>
      <c r="AC77" s="17" t="n">
        <f aca="false">SQRT(($B77-AC$16)^2+($C77-AC$17)^2+($D77-AC$18)^2)</f>
        <v>2.90227824740789</v>
      </c>
      <c r="AD77" s="17" t="n">
        <f aca="false">SQRT(($B77-AD$16)^2+($C77-AD$17)^2+($D77-AD$18)^2)</f>
        <v>0.874153114738108</v>
      </c>
      <c r="AE77" s="17" t="n">
        <f aca="false">SQRT(($B77-AE$16)^2+($C77-AE$17)^2+($D77-AE$18)^2)</f>
        <v>0.656489866144019</v>
      </c>
      <c r="AF77" s="63" t="n">
        <f aca="false">MATCH(MIN(AC77:AE77),AC77:AE77,0)</f>
        <v>3</v>
      </c>
      <c r="AH77" s="17" t="n">
        <f aca="false">SQRT(($B77-AH$16)^2+($C77-AH$17)^2+($D77-AH$18)^2)</f>
        <v>2.98912838879117</v>
      </c>
      <c r="AI77" s="17" t="n">
        <f aca="false">SQRT(($B77-AI$16)^2+($C77-AI$17)^2+($D77-AI$18)^2)</f>
        <v>1.00952893149634</v>
      </c>
      <c r="AJ77" s="17" t="n">
        <f aca="false">SQRT(($B77-AJ$16)^2+($C77-AJ$17)^2+($D77-AJ$18)^2)</f>
        <v>0.642838822830107</v>
      </c>
      <c r="AK77" s="63" t="n">
        <f aca="false">MATCH(MIN(AH77:AJ77),AH77:AJ77,0)</f>
        <v>3</v>
      </c>
      <c r="AM77" s="17" t="n">
        <f aca="false">SQRT(($B77-AM$16)^2+($C77-AM$17)^2+($D77-AM$18)^2)</f>
        <v>3.0312076480036</v>
      </c>
      <c r="AN77" s="17" t="n">
        <f aca="false">SQRT(($B77-AN$16)^2+($C77-AN$17)^2+($D77-AN$18)^2)</f>
        <v>1.03668741283612</v>
      </c>
      <c r="AO77" s="17" t="n">
        <f aca="false">SQRT(($B77-AO$16)^2+($C77-AO$17)^2+($D77-AO$18)^2)</f>
        <v>0.659955148934769</v>
      </c>
      <c r="AP77" s="63" t="n">
        <f aca="false">MATCH(MIN(AM77:AO77),AM77:AO77,0)</f>
        <v>3</v>
      </c>
      <c r="AR77" s="17" t="n">
        <f aca="false">SQRT(($B77-AR$16)^2+($C77-AR$17)^2+($D77-AR$18)^2)</f>
        <v>3.0312076480036</v>
      </c>
      <c r="AS77" s="17" t="n">
        <f aca="false">SQRT(($B77-AS$16)^2+($C77-AS$17)^2+($D77-AS$18)^2)</f>
        <v>1.03668741283612</v>
      </c>
      <c r="AT77" s="17" t="n">
        <f aca="false">SQRT(($B77-AT$16)^2+($C77-AT$17)^2+($D77-AT$18)^2)</f>
        <v>0.659955148934769</v>
      </c>
      <c r="AU77" s="63" t="n">
        <f aca="false">MATCH(MIN(AR77:AT77),AR77:AT77,0)</f>
        <v>3</v>
      </c>
      <c r="AW77" s="17" t="n">
        <f aca="false">SQRT(($B77-AW$16)^2+($C77-AW$17)^2+($D77-AW$18)^2)</f>
        <v>3.0312076480036</v>
      </c>
      <c r="AX77" s="17" t="n">
        <f aca="false">SQRT(($B77-AX$16)^2+($C77-AX$17)^2+($D77-AX$18)^2)</f>
        <v>1.03668741283612</v>
      </c>
      <c r="AY77" s="17" t="n">
        <f aca="false">SQRT(($B77-AY$16)^2+($C77-AY$17)^2+($D77-AY$18)^2)</f>
        <v>0.659955148934769</v>
      </c>
      <c r="AZ77" s="63" t="n">
        <f aca="false">MATCH(MIN(AW77:AY77),AW77:AY77,0)</f>
        <v>3</v>
      </c>
      <c r="BB77" s="17" t="n">
        <f aca="false">SQRT(($B77-BB$16)^2+($C77-BB$17)^2+($D77-BB$18)^2)</f>
        <v>3.0312076480036</v>
      </c>
      <c r="BC77" s="17" t="n">
        <f aca="false">SQRT(($B77-BC$16)^2+($C77-BC$17)^2+($D77-BC$18)^2)</f>
        <v>1.03668741283612</v>
      </c>
      <c r="BD77" s="17" t="n">
        <f aca="false">SQRT(($B77-BD$16)^2+($C77-BD$17)^2+($D77-BD$18)^2)</f>
        <v>0.659955148934769</v>
      </c>
      <c r="BE77" s="63" t="n">
        <f aca="false">MATCH(MIN(BB77:BD77),BB77:BD77,0)</f>
        <v>3</v>
      </c>
      <c r="BG77" s="17" t="n">
        <f aca="false">SQRT(($B77-BG$16)^2+($C77-BG$17)^2+($D77-BG$18)^2)</f>
        <v>3.0312076480036</v>
      </c>
      <c r="BH77" s="17" t="n">
        <f aca="false">SQRT(($B77-BH$16)^2+($C77-BH$17)^2+($D77-BH$18)^2)</f>
        <v>1.03668741283612</v>
      </c>
      <c r="BI77" s="17" t="n">
        <f aca="false">SQRT(($B77-BI$16)^2+($C77-BI$17)^2+($D77-BI$18)^2)</f>
        <v>0.659955148934769</v>
      </c>
      <c r="BJ77" s="63" t="n">
        <f aca="false">MATCH(MIN(BG77:BI77),BG77:BI77,0)</f>
        <v>3</v>
      </c>
      <c r="BL77" s="17" t="n">
        <f aca="false">SQRT(($B77-BL$16)^2+($C77-BL$17)^2+($D77-BL$18)^2)</f>
        <v>3.0312076480036</v>
      </c>
      <c r="BM77" s="17" t="n">
        <f aca="false">SQRT(($B77-BM$16)^2+($C77-BM$17)^2+($D77-BM$18)^2)</f>
        <v>1.03668741283612</v>
      </c>
      <c r="BN77" s="17" t="n">
        <f aca="false">SQRT(($B77-BN$16)^2+($C77-BN$17)^2+($D77-BN$18)^2)</f>
        <v>0.659955148934769</v>
      </c>
      <c r="BO77" s="63" t="n">
        <f aca="false">MATCH(MIN(BL77:BN77),BL77:BN77,0)</f>
        <v>3</v>
      </c>
      <c r="BQ77" s="17" t="n">
        <f aca="false">SQRT(($B77-BQ$16)^2+($C77-BQ$17)^2+($D77-BQ$18)^2)</f>
        <v>3.0312076480036</v>
      </c>
      <c r="BR77" s="17" t="n">
        <f aca="false">SQRT(($B77-BR$16)^2+($C77-BR$17)^2+($D77-BR$18)^2)</f>
        <v>1.03668741283612</v>
      </c>
      <c r="BS77" s="17" t="n">
        <f aca="false">SQRT(($B77-BS$16)^2+($C77-BS$17)^2+($D77-BS$18)^2)</f>
        <v>0.659955148934769</v>
      </c>
      <c r="BT77" s="63" t="n">
        <f aca="false">MATCH(MIN(BQ77:BS77),BQ77:BS77,0)</f>
        <v>3</v>
      </c>
      <c r="BV77" s="17" t="n">
        <f aca="false">SQRT(($B77-BV$16)^2+($C77-BV$17)^2+($D77-BV$18)^2)</f>
        <v>3.0312076480036</v>
      </c>
      <c r="BW77" s="17" t="n">
        <f aca="false">SQRT(($B77-BW$16)^2+($C77-BW$17)^2+($D77-BW$18)^2)</f>
        <v>1.03668741283612</v>
      </c>
      <c r="BX77" s="17" t="n">
        <f aca="false">SQRT(($B77-BX$16)^2+($C77-BX$17)^2+($D77-BX$18)^2)</f>
        <v>0.659955148934769</v>
      </c>
      <c r="BY77" s="63" t="n">
        <f aca="false">MATCH(MIN(BV77:BX77),BV77:BX77,0)</f>
        <v>3</v>
      </c>
      <c r="CA77" s="17" t="n">
        <f aca="false">SQRT(($B77-CA$16)^2+($C77-CA$17)^2+($D77-CA$18)^2)</f>
        <v>3.0312076480036</v>
      </c>
      <c r="CB77" s="17" t="n">
        <f aca="false">SQRT(($B77-CB$16)^2+($C77-CB$17)^2+($D77-CB$18)^2)</f>
        <v>1.03668741283612</v>
      </c>
      <c r="CC77" s="17" t="n">
        <f aca="false">SQRT(($B77-CC$16)^2+($C77-CC$17)^2+($D77-CC$18)^2)</f>
        <v>0.659955148934769</v>
      </c>
      <c r="CD77" s="63" t="n">
        <f aca="false">MATCH(MIN(CA77:CC77),CA77:CC77,0)</f>
        <v>3</v>
      </c>
    </row>
    <row r="78" customFormat="false" ht="15" hidden="false" customHeight="false" outlineLevel="0" collapsed="false">
      <c r="A78" s="76" t="n">
        <f aca="false">Phase_Data!A60</f>
        <v>43942</v>
      </c>
      <c r="B78" s="17" t="n">
        <f aca="false">Phase_Data!K60</f>
        <v>0.48618466307549</v>
      </c>
      <c r="C78" s="17" t="n">
        <f aca="false">Phase_Data!L60</f>
        <v>0.750415929951543</v>
      </c>
      <c r="D78" s="17" t="n">
        <f aca="false">Phase_Data!M60</f>
        <v>0.514662924491924</v>
      </c>
      <c r="E78" s="63" t="n">
        <f aca="false">CD78</f>
        <v>2</v>
      </c>
      <c r="F78" s="38" t="n">
        <f aca="false">($B78-INDEX($L$16:$N$16,E78))^2+($C78-INDEX($L$17:$N$17,E78))^2+($D78-INDEX($L$18:$N$18,E78))^2</f>
        <v>0.67172039217551</v>
      </c>
      <c r="G78" s="12" t="str">
        <f aca="false">INDEX($M$5:$M$7,E78)</f>
        <v>High activity</v>
      </c>
      <c r="X78" s="17" t="n">
        <f aca="false">SQRT(($B78-X$16)^2+($C78-X$17)^2+($D78-X$18)^2)</f>
        <v>3.47431735137318</v>
      </c>
      <c r="Y78" s="17" t="n">
        <f aca="false">SQRT(($B78-Y$16)^2+($C78-Y$17)^2+($D78-Y$18)^2)</f>
        <v>1.52848617281719</v>
      </c>
      <c r="Z78" s="17" t="n">
        <f aca="false">SQRT(($B78-Z$16)^2+($C78-Z$17)^2+($D78-Z$18)^2)</f>
        <v>1.80126548606441</v>
      </c>
      <c r="AA78" s="63" t="n">
        <f aca="false">MATCH(MIN(X78:Z78),X78:Z78,0)</f>
        <v>2</v>
      </c>
      <c r="AC78" s="17" t="n">
        <f aca="false">SQRT(($B78-AC$16)^2+($C78-AC$17)^2+($D78-AC$18)^2)</f>
        <v>3.09322840319276</v>
      </c>
      <c r="AD78" s="17" t="n">
        <f aca="false">SQRT(($B78-AD$16)^2+($C78-AD$17)^2+($D78-AD$18)^2)</f>
        <v>0.65922219980948</v>
      </c>
      <c r="AE78" s="17" t="n">
        <f aca="false">SQRT(($B78-AE$16)^2+($C78-AE$17)^2+($D78-AE$18)^2)</f>
        <v>0.893696723748381</v>
      </c>
      <c r="AF78" s="63" t="n">
        <f aca="false">MATCH(MIN(AC78:AE78),AC78:AE78,0)</f>
        <v>2</v>
      </c>
      <c r="AH78" s="17" t="n">
        <f aca="false">SQRT(($B78-AH$16)^2+($C78-AH$17)^2+($D78-AH$18)^2)</f>
        <v>3.17920346888915</v>
      </c>
      <c r="AI78" s="17" t="n">
        <f aca="false">SQRT(($B78-AI$16)^2+($C78-AI$17)^2+($D78-AI$18)^2)</f>
        <v>0.793328077353983</v>
      </c>
      <c r="AJ78" s="17" t="n">
        <f aca="false">SQRT(($B78-AJ$16)^2+($C78-AJ$17)^2+($D78-AJ$18)^2)</f>
        <v>0.871060969077931</v>
      </c>
      <c r="AK78" s="63" t="n">
        <f aca="false">MATCH(MIN(AH78:AJ78),AH78:AJ78,0)</f>
        <v>2</v>
      </c>
      <c r="AM78" s="17" t="n">
        <f aca="false">SQRT(($B78-AM$16)^2+($C78-AM$17)^2+($D78-AM$18)^2)</f>
        <v>3.22044432212809</v>
      </c>
      <c r="AN78" s="17" t="n">
        <f aca="false">SQRT(($B78-AN$16)^2+($C78-AN$17)^2+($D78-AN$18)^2)</f>
        <v>0.819585500222832</v>
      </c>
      <c r="AO78" s="17" t="n">
        <f aca="false">SQRT(($B78-AO$16)^2+($C78-AO$17)^2+($D78-AO$18)^2)</f>
        <v>0.886408339577867</v>
      </c>
      <c r="AP78" s="63" t="n">
        <f aca="false">MATCH(MIN(AM78:AO78),AM78:AO78,0)</f>
        <v>2</v>
      </c>
      <c r="AR78" s="17" t="n">
        <f aca="false">SQRT(($B78-AR$16)^2+($C78-AR$17)^2+($D78-AR$18)^2)</f>
        <v>3.22044432212809</v>
      </c>
      <c r="AS78" s="17" t="n">
        <f aca="false">SQRT(($B78-AS$16)^2+($C78-AS$17)^2+($D78-AS$18)^2)</f>
        <v>0.819585500222832</v>
      </c>
      <c r="AT78" s="17" t="n">
        <f aca="false">SQRT(($B78-AT$16)^2+($C78-AT$17)^2+($D78-AT$18)^2)</f>
        <v>0.886408339577867</v>
      </c>
      <c r="AU78" s="63" t="n">
        <f aca="false">MATCH(MIN(AR78:AT78),AR78:AT78,0)</f>
        <v>2</v>
      </c>
      <c r="AW78" s="17" t="n">
        <f aca="false">SQRT(($B78-AW$16)^2+($C78-AW$17)^2+($D78-AW$18)^2)</f>
        <v>3.22044432212809</v>
      </c>
      <c r="AX78" s="17" t="n">
        <f aca="false">SQRT(($B78-AX$16)^2+($C78-AX$17)^2+($D78-AX$18)^2)</f>
        <v>0.819585500222832</v>
      </c>
      <c r="AY78" s="17" t="n">
        <f aca="false">SQRT(($B78-AY$16)^2+($C78-AY$17)^2+($D78-AY$18)^2)</f>
        <v>0.886408339577867</v>
      </c>
      <c r="AZ78" s="63" t="n">
        <f aca="false">MATCH(MIN(AW78:AY78),AW78:AY78,0)</f>
        <v>2</v>
      </c>
      <c r="BB78" s="17" t="n">
        <f aca="false">SQRT(($B78-BB$16)^2+($C78-BB$17)^2+($D78-BB$18)^2)</f>
        <v>3.22044432212809</v>
      </c>
      <c r="BC78" s="17" t="n">
        <f aca="false">SQRT(($B78-BC$16)^2+($C78-BC$17)^2+($D78-BC$18)^2)</f>
        <v>0.819585500222832</v>
      </c>
      <c r="BD78" s="17" t="n">
        <f aca="false">SQRT(($B78-BD$16)^2+($C78-BD$17)^2+($D78-BD$18)^2)</f>
        <v>0.886408339577867</v>
      </c>
      <c r="BE78" s="63" t="n">
        <f aca="false">MATCH(MIN(BB78:BD78),BB78:BD78,0)</f>
        <v>2</v>
      </c>
      <c r="BG78" s="17" t="n">
        <f aca="false">SQRT(($B78-BG$16)^2+($C78-BG$17)^2+($D78-BG$18)^2)</f>
        <v>3.22044432212809</v>
      </c>
      <c r="BH78" s="17" t="n">
        <f aca="false">SQRT(($B78-BH$16)^2+($C78-BH$17)^2+($D78-BH$18)^2)</f>
        <v>0.819585500222832</v>
      </c>
      <c r="BI78" s="17" t="n">
        <f aca="false">SQRT(($B78-BI$16)^2+($C78-BI$17)^2+($D78-BI$18)^2)</f>
        <v>0.886408339577867</v>
      </c>
      <c r="BJ78" s="63" t="n">
        <f aca="false">MATCH(MIN(BG78:BI78),BG78:BI78,0)</f>
        <v>2</v>
      </c>
      <c r="BL78" s="17" t="n">
        <f aca="false">SQRT(($B78-BL$16)^2+($C78-BL$17)^2+($D78-BL$18)^2)</f>
        <v>3.22044432212809</v>
      </c>
      <c r="BM78" s="17" t="n">
        <f aca="false">SQRT(($B78-BM$16)^2+($C78-BM$17)^2+($D78-BM$18)^2)</f>
        <v>0.819585500222832</v>
      </c>
      <c r="BN78" s="17" t="n">
        <f aca="false">SQRT(($B78-BN$16)^2+($C78-BN$17)^2+($D78-BN$18)^2)</f>
        <v>0.886408339577867</v>
      </c>
      <c r="BO78" s="63" t="n">
        <f aca="false">MATCH(MIN(BL78:BN78),BL78:BN78,0)</f>
        <v>2</v>
      </c>
      <c r="BQ78" s="17" t="n">
        <f aca="false">SQRT(($B78-BQ$16)^2+($C78-BQ$17)^2+($D78-BQ$18)^2)</f>
        <v>3.22044432212809</v>
      </c>
      <c r="BR78" s="17" t="n">
        <f aca="false">SQRT(($B78-BR$16)^2+($C78-BR$17)^2+($D78-BR$18)^2)</f>
        <v>0.819585500222832</v>
      </c>
      <c r="BS78" s="17" t="n">
        <f aca="false">SQRT(($B78-BS$16)^2+($C78-BS$17)^2+($D78-BS$18)^2)</f>
        <v>0.886408339577867</v>
      </c>
      <c r="BT78" s="63" t="n">
        <f aca="false">MATCH(MIN(BQ78:BS78),BQ78:BS78,0)</f>
        <v>2</v>
      </c>
      <c r="BV78" s="17" t="n">
        <f aca="false">SQRT(($B78-BV$16)^2+($C78-BV$17)^2+($D78-BV$18)^2)</f>
        <v>3.22044432212809</v>
      </c>
      <c r="BW78" s="17" t="n">
        <f aca="false">SQRT(($B78-BW$16)^2+($C78-BW$17)^2+($D78-BW$18)^2)</f>
        <v>0.819585500222832</v>
      </c>
      <c r="BX78" s="17" t="n">
        <f aca="false">SQRT(($B78-BX$16)^2+($C78-BX$17)^2+($D78-BX$18)^2)</f>
        <v>0.886408339577867</v>
      </c>
      <c r="BY78" s="63" t="n">
        <f aca="false">MATCH(MIN(BV78:BX78),BV78:BX78,0)</f>
        <v>2</v>
      </c>
      <c r="CA78" s="17" t="n">
        <f aca="false">SQRT(($B78-CA$16)^2+($C78-CA$17)^2+($D78-CA$18)^2)</f>
        <v>3.22044432212809</v>
      </c>
      <c r="CB78" s="17" t="n">
        <f aca="false">SQRT(($B78-CB$16)^2+($C78-CB$17)^2+($D78-CB$18)^2)</f>
        <v>0.819585500222832</v>
      </c>
      <c r="CC78" s="17" t="n">
        <f aca="false">SQRT(($B78-CC$16)^2+($C78-CC$17)^2+($D78-CC$18)^2)</f>
        <v>0.886408339577867</v>
      </c>
      <c r="CD78" s="63" t="n">
        <f aca="false">MATCH(MIN(CA78:CC78),CA78:CC78,0)</f>
        <v>2</v>
      </c>
    </row>
    <row r="79" customFormat="false" ht="15" hidden="false" customHeight="false" outlineLevel="0" collapsed="false">
      <c r="A79" s="76" t="n">
        <f aca="false">Phase_Data!A61</f>
        <v>43943</v>
      </c>
      <c r="B79" s="17" t="n">
        <f aca="false">Phase_Data!K61</f>
        <v>0.535958908770443</v>
      </c>
      <c r="C79" s="17" t="n">
        <f aca="false">Phase_Data!L61</f>
        <v>0.384434786438513</v>
      </c>
      <c r="D79" s="17" t="n">
        <f aca="false">Phase_Data!M61</f>
        <v>0.356318228914793</v>
      </c>
      <c r="E79" s="63" t="n">
        <f aca="false">CD79</f>
        <v>3</v>
      </c>
      <c r="F79" s="38" t="n">
        <f aca="false">($B79-INDEX($L$16:$N$16,E79))^2+($C79-INDEX($L$17:$N$17,E79))^2+($D79-INDEX($L$18:$N$18,E79))^2</f>
        <v>0.311651628329673</v>
      </c>
      <c r="G79" s="12" t="str">
        <f aca="false">INDEX($M$5:$M$7,E79)</f>
        <v>Medium activity</v>
      </c>
      <c r="X79" s="17" t="n">
        <f aca="false">SQRT(($B79-X$16)^2+($C79-X$17)^2+($D79-X$18)^2)</f>
        <v>3.20768768441868</v>
      </c>
      <c r="Y79" s="17" t="n">
        <f aca="false">SQRT(($B79-Y$16)^2+($C79-Y$17)^2+($D79-Y$18)^2)</f>
        <v>1.82043968288528</v>
      </c>
      <c r="Z79" s="17" t="n">
        <f aca="false">SQRT(($B79-Z$16)^2+($C79-Z$17)^2+($D79-Z$18)^2)</f>
        <v>1.68558214854637</v>
      </c>
      <c r="AA79" s="63" t="n">
        <f aca="false">MATCH(MIN(X79:Z79),X79:Z79,0)</f>
        <v>3</v>
      </c>
      <c r="AC79" s="17" t="n">
        <f aca="false">SQRT(($B79-AC$16)^2+($C79-AC$17)^2+($D79-AC$18)^2)</f>
        <v>2.81353746726233</v>
      </c>
      <c r="AD79" s="17" t="n">
        <f aca="false">SQRT(($B79-AD$16)^2+($C79-AD$17)^2+($D79-AD$18)^2)</f>
        <v>0.939483952198155</v>
      </c>
      <c r="AE79" s="17" t="n">
        <f aca="false">SQRT(($B79-AE$16)^2+($C79-AE$17)^2+($D79-AE$18)^2)</f>
        <v>0.583829210556591</v>
      </c>
      <c r="AF79" s="63" t="n">
        <f aca="false">MATCH(MIN(AC79:AE79),AC79:AE79,0)</f>
        <v>3</v>
      </c>
      <c r="AH79" s="17" t="n">
        <f aca="false">SQRT(($B79-AH$16)^2+($C79-AH$17)^2+($D79-AH$18)^2)</f>
        <v>2.90221160672314</v>
      </c>
      <c r="AI79" s="17" t="n">
        <f aca="false">SQRT(($B79-AI$16)^2+($C79-AI$17)^2+($D79-AI$18)^2)</f>
        <v>1.08504805504454</v>
      </c>
      <c r="AJ79" s="17" t="n">
        <f aca="false">SQRT(($B79-AJ$16)^2+($C79-AJ$17)^2+($D79-AJ$18)^2)</f>
        <v>0.548191728657573</v>
      </c>
      <c r="AK79" s="63" t="n">
        <f aca="false">MATCH(MIN(AH79:AJ79),AH79:AJ79,0)</f>
        <v>3</v>
      </c>
      <c r="AM79" s="17" t="n">
        <f aca="false">SQRT(($B79-AM$16)^2+($C79-AM$17)^2+($D79-AM$18)^2)</f>
        <v>2.9453466944263</v>
      </c>
      <c r="AN79" s="17" t="n">
        <f aca="false">SQRT(($B79-AN$16)^2+($C79-AN$17)^2+($D79-AN$18)^2)</f>
        <v>1.11575003880813</v>
      </c>
      <c r="AO79" s="17" t="n">
        <f aca="false">SQRT(($B79-AO$16)^2+($C79-AO$17)^2+($D79-AO$18)^2)</f>
        <v>0.558257671984607</v>
      </c>
      <c r="AP79" s="63" t="n">
        <f aca="false">MATCH(MIN(AM79:AO79),AM79:AO79,0)</f>
        <v>3</v>
      </c>
      <c r="AR79" s="17" t="n">
        <f aca="false">SQRT(($B79-AR$16)^2+($C79-AR$17)^2+($D79-AR$18)^2)</f>
        <v>2.9453466944263</v>
      </c>
      <c r="AS79" s="17" t="n">
        <f aca="false">SQRT(($B79-AS$16)^2+($C79-AS$17)^2+($D79-AS$18)^2)</f>
        <v>1.11575003880813</v>
      </c>
      <c r="AT79" s="17" t="n">
        <f aca="false">SQRT(($B79-AT$16)^2+($C79-AT$17)^2+($D79-AT$18)^2)</f>
        <v>0.558257671984607</v>
      </c>
      <c r="AU79" s="63" t="n">
        <f aca="false">MATCH(MIN(AR79:AT79),AR79:AT79,0)</f>
        <v>3</v>
      </c>
      <c r="AW79" s="17" t="n">
        <f aca="false">SQRT(($B79-AW$16)^2+($C79-AW$17)^2+($D79-AW$18)^2)</f>
        <v>2.9453466944263</v>
      </c>
      <c r="AX79" s="17" t="n">
        <f aca="false">SQRT(($B79-AX$16)^2+($C79-AX$17)^2+($D79-AX$18)^2)</f>
        <v>1.11575003880813</v>
      </c>
      <c r="AY79" s="17" t="n">
        <f aca="false">SQRT(($B79-AY$16)^2+($C79-AY$17)^2+($D79-AY$18)^2)</f>
        <v>0.558257671984607</v>
      </c>
      <c r="AZ79" s="63" t="n">
        <f aca="false">MATCH(MIN(AW79:AY79),AW79:AY79,0)</f>
        <v>3</v>
      </c>
      <c r="BB79" s="17" t="n">
        <f aca="false">SQRT(($B79-BB$16)^2+($C79-BB$17)^2+($D79-BB$18)^2)</f>
        <v>2.9453466944263</v>
      </c>
      <c r="BC79" s="17" t="n">
        <f aca="false">SQRT(($B79-BC$16)^2+($C79-BC$17)^2+($D79-BC$18)^2)</f>
        <v>1.11575003880813</v>
      </c>
      <c r="BD79" s="17" t="n">
        <f aca="false">SQRT(($B79-BD$16)^2+($C79-BD$17)^2+($D79-BD$18)^2)</f>
        <v>0.558257671984607</v>
      </c>
      <c r="BE79" s="63" t="n">
        <f aca="false">MATCH(MIN(BB79:BD79),BB79:BD79,0)</f>
        <v>3</v>
      </c>
      <c r="BG79" s="17" t="n">
        <f aca="false">SQRT(($B79-BG$16)^2+($C79-BG$17)^2+($D79-BG$18)^2)</f>
        <v>2.9453466944263</v>
      </c>
      <c r="BH79" s="17" t="n">
        <f aca="false">SQRT(($B79-BH$16)^2+($C79-BH$17)^2+($D79-BH$18)^2)</f>
        <v>1.11575003880813</v>
      </c>
      <c r="BI79" s="17" t="n">
        <f aca="false">SQRT(($B79-BI$16)^2+($C79-BI$17)^2+($D79-BI$18)^2)</f>
        <v>0.558257671984607</v>
      </c>
      <c r="BJ79" s="63" t="n">
        <f aca="false">MATCH(MIN(BG79:BI79),BG79:BI79,0)</f>
        <v>3</v>
      </c>
      <c r="BL79" s="17" t="n">
        <f aca="false">SQRT(($B79-BL$16)^2+($C79-BL$17)^2+($D79-BL$18)^2)</f>
        <v>2.9453466944263</v>
      </c>
      <c r="BM79" s="17" t="n">
        <f aca="false">SQRT(($B79-BM$16)^2+($C79-BM$17)^2+($D79-BM$18)^2)</f>
        <v>1.11575003880813</v>
      </c>
      <c r="BN79" s="17" t="n">
        <f aca="false">SQRT(($B79-BN$16)^2+($C79-BN$17)^2+($D79-BN$18)^2)</f>
        <v>0.558257671984607</v>
      </c>
      <c r="BO79" s="63" t="n">
        <f aca="false">MATCH(MIN(BL79:BN79),BL79:BN79,0)</f>
        <v>3</v>
      </c>
      <c r="BQ79" s="17" t="n">
        <f aca="false">SQRT(($B79-BQ$16)^2+($C79-BQ$17)^2+($D79-BQ$18)^2)</f>
        <v>2.9453466944263</v>
      </c>
      <c r="BR79" s="17" t="n">
        <f aca="false">SQRT(($B79-BR$16)^2+($C79-BR$17)^2+($D79-BR$18)^2)</f>
        <v>1.11575003880813</v>
      </c>
      <c r="BS79" s="17" t="n">
        <f aca="false">SQRT(($B79-BS$16)^2+($C79-BS$17)^2+($D79-BS$18)^2)</f>
        <v>0.558257671984607</v>
      </c>
      <c r="BT79" s="63" t="n">
        <f aca="false">MATCH(MIN(BQ79:BS79),BQ79:BS79,0)</f>
        <v>3</v>
      </c>
      <c r="BV79" s="17" t="n">
        <f aca="false">SQRT(($B79-BV$16)^2+($C79-BV$17)^2+($D79-BV$18)^2)</f>
        <v>2.9453466944263</v>
      </c>
      <c r="BW79" s="17" t="n">
        <f aca="false">SQRT(($B79-BW$16)^2+($C79-BW$17)^2+($D79-BW$18)^2)</f>
        <v>1.11575003880813</v>
      </c>
      <c r="BX79" s="17" t="n">
        <f aca="false">SQRT(($B79-BX$16)^2+($C79-BX$17)^2+($D79-BX$18)^2)</f>
        <v>0.558257671984607</v>
      </c>
      <c r="BY79" s="63" t="n">
        <f aca="false">MATCH(MIN(BV79:BX79),BV79:BX79,0)</f>
        <v>3</v>
      </c>
      <c r="CA79" s="17" t="n">
        <f aca="false">SQRT(($B79-CA$16)^2+($C79-CA$17)^2+($D79-CA$18)^2)</f>
        <v>2.9453466944263</v>
      </c>
      <c r="CB79" s="17" t="n">
        <f aca="false">SQRT(($B79-CB$16)^2+($C79-CB$17)^2+($D79-CB$18)^2)</f>
        <v>1.11575003880813</v>
      </c>
      <c r="CC79" s="17" t="n">
        <f aca="false">SQRT(($B79-CC$16)^2+($C79-CC$17)^2+($D79-CC$18)^2)</f>
        <v>0.558257671984607</v>
      </c>
      <c r="CD79" s="63" t="n">
        <f aca="false">MATCH(MIN(CA79:CC79),CA79:CC79,0)</f>
        <v>3</v>
      </c>
    </row>
    <row r="80" customFormat="false" ht="15" hidden="false" customHeight="false" outlineLevel="0" collapsed="false">
      <c r="A80" s="76" t="n">
        <f aca="false">Phase_Data!A62</f>
        <v>43944</v>
      </c>
      <c r="B80" s="17" t="n">
        <f aca="false">Phase_Data!K62</f>
        <v>0.464397283323495</v>
      </c>
      <c r="C80" s="17" t="n">
        <f aca="false">Phase_Data!L62</f>
        <v>0.0844282823131973</v>
      </c>
      <c r="D80" s="17" t="n">
        <f aca="false">Phase_Data!M62</f>
        <v>0.878548382597813</v>
      </c>
      <c r="E80" s="63" t="n">
        <f aca="false">CD80</f>
        <v>3</v>
      </c>
      <c r="F80" s="38" t="n">
        <f aca="false">($B80-INDEX($L$16:$N$16,E80))^2+($C80-INDEX($L$17:$N$17,E80))^2+($D80-INDEX($L$18:$N$18,E80))^2</f>
        <v>0.864078760899841</v>
      </c>
      <c r="G80" s="12" t="str">
        <f aca="false">INDEX($M$5:$M$7,E80)</f>
        <v>Medium activity</v>
      </c>
      <c r="X80" s="17" t="n">
        <f aca="false">SQRT(($B80-X$16)^2+($C80-X$17)^2+($D80-X$18)^2)</f>
        <v>3.31484503230863</v>
      </c>
      <c r="Y80" s="17" t="n">
        <f aca="false">SQRT(($B80-Y$16)^2+($C80-Y$17)^2+($D80-Y$18)^2)</f>
        <v>1.75841959222869</v>
      </c>
      <c r="Z80" s="17" t="n">
        <f aca="false">SQRT(($B80-Z$16)^2+($C80-Z$17)^2+($D80-Z$18)^2)</f>
        <v>2.27377633692527</v>
      </c>
      <c r="AA80" s="63" t="n">
        <f aca="false">MATCH(MIN(X80:Z80),X80:Z80,0)</f>
        <v>2</v>
      </c>
      <c r="AC80" s="17" t="n">
        <f aca="false">SQRT(($B80-AC$16)^2+($C80-AC$17)^2+($D80-AC$18)^2)</f>
        <v>2.93061897994236</v>
      </c>
      <c r="AD80" s="17" t="n">
        <f aca="false">SQRT(($B80-AD$16)^2+($C80-AD$17)^2+($D80-AD$18)^2)</f>
        <v>0.930913260242868</v>
      </c>
      <c r="AE80" s="17" t="n">
        <f aca="false">SQRT(($B80-AE$16)^2+($C80-AE$17)^2+($D80-AE$18)^2)</f>
        <v>1.02266280412218</v>
      </c>
      <c r="AF80" s="63" t="n">
        <f aca="false">MATCH(MIN(AC80:AE80),AC80:AE80,0)</f>
        <v>2</v>
      </c>
      <c r="AH80" s="17" t="n">
        <f aca="false">SQRT(($B80-AH$16)^2+($C80-AH$17)^2+($D80-AH$18)^2)</f>
        <v>3.02007211892756</v>
      </c>
      <c r="AI80" s="17" t="n">
        <f aca="false">SQRT(($B80-AI$16)^2+($C80-AI$17)^2+($D80-AI$18)^2)</f>
        <v>1.08549945725</v>
      </c>
      <c r="AJ80" s="17" t="n">
        <f aca="false">SQRT(($B80-AJ$16)^2+($C80-AJ$17)^2+($D80-AJ$18)^2)</f>
        <v>0.937515740649058</v>
      </c>
      <c r="AK80" s="63" t="n">
        <f aca="false">MATCH(MIN(AH80:AJ80),AH80:AJ80,0)</f>
        <v>3</v>
      </c>
      <c r="AM80" s="17" t="n">
        <f aca="false">SQRT(($B80-AM$16)^2+($C80-AM$17)^2+($D80-AM$18)^2)</f>
        <v>3.06294127427517</v>
      </c>
      <c r="AN80" s="17" t="n">
        <f aca="false">SQRT(($B80-AN$16)^2+($C80-AN$17)^2+($D80-AN$18)^2)</f>
        <v>1.12168277249167</v>
      </c>
      <c r="AO80" s="17" t="n">
        <f aca="false">SQRT(($B80-AO$16)^2+($C80-AO$17)^2+($D80-AO$18)^2)</f>
        <v>0.929558368742835</v>
      </c>
      <c r="AP80" s="63" t="n">
        <f aca="false">MATCH(MIN(AM80:AO80),AM80:AO80,0)</f>
        <v>3</v>
      </c>
      <c r="AR80" s="17" t="n">
        <f aca="false">SQRT(($B80-AR$16)^2+($C80-AR$17)^2+($D80-AR$18)^2)</f>
        <v>3.06294127427517</v>
      </c>
      <c r="AS80" s="17" t="n">
        <f aca="false">SQRT(($B80-AS$16)^2+($C80-AS$17)^2+($D80-AS$18)^2)</f>
        <v>1.12168277249167</v>
      </c>
      <c r="AT80" s="17" t="n">
        <f aca="false">SQRT(($B80-AT$16)^2+($C80-AT$17)^2+($D80-AT$18)^2)</f>
        <v>0.929558368742835</v>
      </c>
      <c r="AU80" s="63" t="n">
        <f aca="false">MATCH(MIN(AR80:AT80),AR80:AT80,0)</f>
        <v>3</v>
      </c>
      <c r="AW80" s="17" t="n">
        <f aca="false">SQRT(($B80-AW$16)^2+($C80-AW$17)^2+($D80-AW$18)^2)</f>
        <v>3.06294127427517</v>
      </c>
      <c r="AX80" s="17" t="n">
        <f aca="false">SQRT(($B80-AX$16)^2+($C80-AX$17)^2+($D80-AX$18)^2)</f>
        <v>1.12168277249167</v>
      </c>
      <c r="AY80" s="17" t="n">
        <f aca="false">SQRT(($B80-AY$16)^2+($C80-AY$17)^2+($D80-AY$18)^2)</f>
        <v>0.929558368742835</v>
      </c>
      <c r="AZ80" s="63" t="n">
        <f aca="false">MATCH(MIN(AW80:AY80),AW80:AY80,0)</f>
        <v>3</v>
      </c>
      <c r="BB80" s="17" t="n">
        <f aca="false">SQRT(($B80-BB$16)^2+($C80-BB$17)^2+($D80-BB$18)^2)</f>
        <v>3.06294127427517</v>
      </c>
      <c r="BC80" s="17" t="n">
        <f aca="false">SQRT(($B80-BC$16)^2+($C80-BC$17)^2+($D80-BC$18)^2)</f>
        <v>1.12168277249167</v>
      </c>
      <c r="BD80" s="17" t="n">
        <f aca="false">SQRT(($B80-BD$16)^2+($C80-BD$17)^2+($D80-BD$18)^2)</f>
        <v>0.929558368742835</v>
      </c>
      <c r="BE80" s="63" t="n">
        <f aca="false">MATCH(MIN(BB80:BD80),BB80:BD80,0)</f>
        <v>3</v>
      </c>
      <c r="BG80" s="17" t="n">
        <f aca="false">SQRT(($B80-BG$16)^2+($C80-BG$17)^2+($D80-BG$18)^2)</f>
        <v>3.06294127427517</v>
      </c>
      <c r="BH80" s="17" t="n">
        <f aca="false">SQRT(($B80-BH$16)^2+($C80-BH$17)^2+($D80-BH$18)^2)</f>
        <v>1.12168277249167</v>
      </c>
      <c r="BI80" s="17" t="n">
        <f aca="false">SQRT(($B80-BI$16)^2+($C80-BI$17)^2+($D80-BI$18)^2)</f>
        <v>0.929558368742835</v>
      </c>
      <c r="BJ80" s="63" t="n">
        <f aca="false">MATCH(MIN(BG80:BI80),BG80:BI80,0)</f>
        <v>3</v>
      </c>
      <c r="BL80" s="17" t="n">
        <f aca="false">SQRT(($B80-BL$16)^2+($C80-BL$17)^2+($D80-BL$18)^2)</f>
        <v>3.06294127427517</v>
      </c>
      <c r="BM80" s="17" t="n">
        <f aca="false">SQRT(($B80-BM$16)^2+($C80-BM$17)^2+($D80-BM$18)^2)</f>
        <v>1.12168277249167</v>
      </c>
      <c r="BN80" s="17" t="n">
        <f aca="false">SQRT(($B80-BN$16)^2+($C80-BN$17)^2+($D80-BN$18)^2)</f>
        <v>0.929558368742835</v>
      </c>
      <c r="BO80" s="63" t="n">
        <f aca="false">MATCH(MIN(BL80:BN80),BL80:BN80,0)</f>
        <v>3</v>
      </c>
      <c r="BQ80" s="17" t="n">
        <f aca="false">SQRT(($B80-BQ$16)^2+($C80-BQ$17)^2+($D80-BQ$18)^2)</f>
        <v>3.06294127427517</v>
      </c>
      <c r="BR80" s="17" t="n">
        <f aca="false">SQRT(($B80-BR$16)^2+($C80-BR$17)^2+($D80-BR$18)^2)</f>
        <v>1.12168277249167</v>
      </c>
      <c r="BS80" s="17" t="n">
        <f aca="false">SQRT(($B80-BS$16)^2+($C80-BS$17)^2+($D80-BS$18)^2)</f>
        <v>0.929558368742835</v>
      </c>
      <c r="BT80" s="63" t="n">
        <f aca="false">MATCH(MIN(BQ80:BS80),BQ80:BS80,0)</f>
        <v>3</v>
      </c>
      <c r="BV80" s="17" t="n">
        <f aca="false">SQRT(($B80-BV$16)^2+($C80-BV$17)^2+($D80-BV$18)^2)</f>
        <v>3.06294127427517</v>
      </c>
      <c r="BW80" s="17" t="n">
        <f aca="false">SQRT(($B80-BW$16)^2+($C80-BW$17)^2+($D80-BW$18)^2)</f>
        <v>1.12168277249167</v>
      </c>
      <c r="BX80" s="17" t="n">
        <f aca="false">SQRT(($B80-BX$16)^2+($C80-BX$17)^2+($D80-BX$18)^2)</f>
        <v>0.929558368742835</v>
      </c>
      <c r="BY80" s="63" t="n">
        <f aca="false">MATCH(MIN(BV80:BX80),BV80:BX80,0)</f>
        <v>3</v>
      </c>
      <c r="CA80" s="17" t="n">
        <f aca="false">SQRT(($B80-CA$16)^2+($C80-CA$17)^2+($D80-CA$18)^2)</f>
        <v>3.06294127427517</v>
      </c>
      <c r="CB80" s="17" t="n">
        <f aca="false">SQRT(($B80-CB$16)^2+($C80-CB$17)^2+($D80-CB$18)^2)</f>
        <v>1.12168277249167</v>
      </c>
      <c r="CC80" s="17" t="n">
        <f aca="false">SQRT(($B80-CC$16)^2+($C80-CC$17)^2+($D80-CC$18)^2)</f>
        <v>0.929558368742835</v>
      </c>
      <c r="CD80" s="63" t="n">
        <f aca="false">MATCH(MIN(CA80:CC80),CA80:CC80,0)</f>
        <v>3</v>
      </c>
    </row>
    <row r="81" customFormat="false" ht="15" hidden="false" customHeight="false" outlineLevel="0" collapsed="false">
      <c r="A81" s="76" t="n">
        <f aca="false">Phase_Data!A63</f>
        <v>43945</v>
      </c>
      <c r="B81" s="17" t="n">
        <f aca="false">Phase_Data!K63</f>
        <v>0.391589677950723</v>
      </c>
      <c r="C81" s="17" t="n">
        <f aca="false">Phase_Data!L63</f>
        <v>0.279765754265204</v>
      </c>
      <c r="D81" s="17" t="n">
        <f aca="false">Phase_Data!M63</f>
        <v>0.615348154048788</v>
      </c>
      <c r="E81" s="63" t="n">
        <f aca="false">CD81</f>
        <v>3</v>
      </c>
      <c r="F81" s="38" t="n">
        <f aca="false">($B81-INDEX($L$16:$N$16,E81))^2+($C81-INDEX($L$17:$N$17,E81))^2+($D81-INDEX($L$18:$N$18,E81))^2</f>
        <v>0.46883057575353</v>
      </c>
      <c r="G81" s="12" t="str">
        <f aca="false">INDEX($M$5:$M$7,E81)</f>
        <v>Medium activity</v>
      </c>
      <c r="X81" s="17" t="n">
        <f aca="false">SQRT(($B81-X$16)^2+($C81-X$17)^2+($D81-X$18)^2)</f>
        <v>3.20209169892727</v>
      </c>
      <c r="Y81" s="17" t="n">
        <f aca="false">SQRT(($B81-Y$16)^2+($C81-Y$17)^2+($D81-Y$18)^2)</f>
        <v>1.78115282959251</v>
      </c>
      <c r="Z81" s="17" t="n">
        <f aca="false">SQRT(($B81-Z$16)^2+($C81-Z$17)^2+($D81-Z$18)^2)</f>
        <v>1.97622209583113</v>
      </c>
      <c r="AA81" s="63" t="n">
        <f aca="false">MATCH(MIN(X81:Z81),X81:Z81,0)</f>
        <v>2</v>
      </c>
      <c r="AC81" s="17" t="n">
        <f aca="false">SQRT(($B81-AC$16)^2+($C81-AC$17)^2+($D81-AC$18)^2)</f>
        <v>2.81589267825569</v>
      </c>
      <c r="AD81" s="17" t="n">
        <f aca="false">SQRT(($B81-AD$16)^2+($C81-AD$17)^2+($D81-AD$18)^2)</f>
        <v>0.891449240833449</v>
      </c>
      <c r="AE81" s="17" t="n">
        <f aca="false">SQRT(($B81-AE$16)^2+($C81-AE$17)^2+($D81-AE$18)^2)</f>
        <v>0.759116948868199</v>
      </c>
      <c r="AF81" s="63" t="n">
        <f aca="false">MATCH(MIN(AC81:AE81),AC81:AE81,0)</f>
        <v>3</v>
      </c>
      <c r="AH81" s="17" t="n">
        <f aca="false">SQRT(($B81-AH$16)^2+($C81-AH$17)^2+($D81-AH$18)^2)</f>
        <v>2.90454384553181</v>
      </c>
      <c r="AI81" s="17" t="n">
        <f aca="false">SQRT(($B81-AI$16)^2+($C81-AI$17)^2+($D81-AI$18)^2)</f>
        <v>1.05173165677703</v>
      </c>
      <c r="AJ81" s="17" t="n">
        <f aca="false">SQRT(($B81-AJ$16)^2+($C81-AJ$17)^2+($D81-AJ$18)^2)</f>
        <v>0.685227527828136</v>
      </c>
      <c r="AK81" s="63" t="n">
        <f aca="false">MATCH(MIN(AH81:AJ81),AH81:AJ81,0)</f>
        <v>3</v>
      </c>
      <c r="AM81" s="17" t="n">
        <f aca="false">SQRT(($B81-AM$16)^2+($C81-AM$17)^2+($D81-AM$18)^2)</f>
        <v>2.94707510398634</v>
      </c>
      <c r="AN81" s="17" t="n">
        <f aca="false">SQRT(($B81-AN$16)^2+($C81-AN$17)^2+($D81-AN$18)^2)</f>
        <v>1.08620406030919</v>
      </c>
      <c r="AO81" s="17" t="n">
        <f aca="false">SQRT(($B81-AO$16)^2+($C81-AO$17)^2+($D81-AO$18)^2)</f>
        <v>0.684712038563315</v>
      </c>
      <c r="AP81" s="63" t="n">
        <f aca="false">MATCH(MIN(AM81:AO81),AM81:AO81,0)</f>
        <v>3</v>
      </c>
      <c r="AR81" s="17" t="n">
        <f aca="false">SQRT(($B81-AR$16)^2+($C81-AR$17)^2+($D81-AR$18)^2)</f>
        <v>2.94707510398634</v>
      </c>
      <c r="AS81" s="17" t="n">
        <f aca="false">SQRT(($B81-AS$16)^2+($C81-AS$17)^2+($D81-AS$18)^2)</f>
        <v>1.08620406030919</v>
      </c>
      <c r="AT81" s="17" t="n">
        <f aca="false">SQRT(($B81-AT$16)^2+($C81-AT$17)^2+($D81-AT$18)^2)</f>
        <v>0.684712038563315</v>
      </c>
      <c r="AU81" s="63" t="n">
        <f aca="false">MATCH(MIN(AR81:AT81),AR81:AT81,0)</f>
        <v>3</v>
      </c>
      <c r="AW81" s="17" t="n">
        <f aca="false">SQRT(($B81-AW$16)^2+($C81-AW$17)^2+($D81-AW$18)^2)</f>
        <v>2.94707510398634</v>
      </c>
      <c r="AX81" s="17" t="n">
        <f aca="false">SQRT(($B81-AX$16)^2+($C81-AX$17)^2+($D81-AX$18)^2)</f>
        <v>1.08620406030919</v>
      </c>
      <c r="AY81" s="17" t="n">
        <f aca="false">SQRT(($B81-AY$16)^2+($C81-AY$17)^2+($D81-AY$18)^2)</f>
        <v>0.684712038563315</v>
      </c>
      <c r="AZ81" s="63" t="n">
        <f aca="false">MATCH(MIN(AW81:AY81),AW81:AY81,0)</f>
        <v>3</v>
      </c>
      <c r="BB81" s="17" t="n">
        <f aca="false">SQRT(($B81-BB$16)^2+($C81-BB$17)^2+($D81-BB$18)^2)</f>
        <v>2.94707510398634</v>
      </c>
      <c r="BC81" s="17" t="n">
        <f aca="false">SQRT(($B81-BC$16)^2+($C81-BC$17)^2+($D81-BC$18)^2)</f>
        <v>1.08620406030919</v>
      </c>
      <c r="BD81" s="17" t="n">
        <f aca="false">SQRT(($B81-BD$16)^2+($C81-BD$17)^2+($D81-BD$18)^2)</f>
        <v>0.684712038563315</v>
      </c>
      <c r="BE81" s="63" t="n">
        <f aca="false">MATCH(MIN(BB81:BD81),BB81:BD81,0)</f>
        <v>3</v>
      </c>
      <c r="BG81" s="17" t="n">
        <f aca="false">SQRT(($B81-BG$16)^2+($C81-BG$17)^2+($D81-BG$18)^2)</f>
        <v>2.94707510398634</v>
      </c>
      <c r="BH81" s="17" t="n">
        <f aca="false">SQRT(($B81-BH$16)^2+($C81-BH$17)^2+($D81-BH$18)^2)</f>
        <v>1.08620406030919</v>
      </c>
      <c r="BI81" s="17" t="n">
        <f aca="false">SQRT(($B81-BI$16)^2+($C81-BI$17)^2+($D81-BI$18)^2)</f>
        <v>0.684712038563315</v>
      </c>
      <c r="BJ81" s="63" t="n">
        <f aca="false">MATCH(MIN(BG81:BI81),BG81:BI81,0)</f>
        <v>3</v>
      </c>
      <c r="BL81" s="17" t="n">
        <f aca="false">SQRT(($B81-BL$16)^2+($C81-BL$17)^2+($D81-BL$18)^2)</f>
        <v>2.94707510398634</v>
      </c>
      <c r="BM81" s="17" t="n">
        <f aca="false">SQRT(($B81-BM$16)^2+($C81-BM$17)^2+($D81-BM$18)^2)</f>
        <v>1.08620406030919</v>
      </c>
      <c r="BN81" s="17" t="n">
        <f aca="false">SQRT(($B81-BN$16)^2+($C81-BN$17)^2+($D81-BN$18)^2)</f>
        <v>0.684712038563315</v>
      </c>
      <c r="BO81" s="63" t="n">
        <f aca="false">MATCH(MIN(BL81:BN81),BL81:BN81,0)</f>
        <v>3</v>
      </c>
      <c r="BQ81" s="17" t="n">
        <f aca="false">SQRT(($B81-BQ$16)^2+($C81-BQ$17)^2+($D81-BQ$18)^2)</f>
        <v>2.94707510398634</v>
      </c>
      <c r="BR81" s="17" t="n">
        <f aca="false">SQRT(($B81-BR$16)^2+($C81-BR$17)^2+($D81-BR$18)^2)</f>
        <v>1.08620406030919</v>
      </c>
      <c r="BS81" s="17" t="n">
        <f aca="false">SQRT(($B81-BS$16)^2+($C81-BS$17)^2+($D81-BS$18)^2)</f>
        <v>0.684712038563315</v>
      </c>
      <c r="BT81" s="63" t="n">
        <f aca="false">MATCH(MIN(BQ81:BS81),BQ81:BS81,0)</f>
        <v>3</v>
      </c>
      <c r="BV81" s="17" t="n">
        <f aca="false">SQRT(($B81-BV$16)^2+($C81-BV$17)^2+($D81-BV$18)^2)</f>
        <v>2.94707510398634</v>
      </c>
      <c r="BW81" s="17" t="n">
        <f aca="false">SQRT(($B81-BW$16)^2+($C81-BW$17)^2+($D81-BW$18)^2)</f>
        <v>1.08620406030919</v>
      </c>
      <c r="BX81" s="17" t="n">
        <f aca="false">SQRT(($B81-BX$16)^2+($C81-BX$17)^2+($D81-BX$18)^2)</f>
        <v>0.684712038563315</v>
      </c>
      <c r="BY81" s="63" t="n">
        <f aca="false">MATCH(MIN(BV81:BX81),BV81:BX81,0)</f>
        <v>3</v>
      </c>
      <c r="CA81" s="17" t="n">
        <f aca="false">SQRT(($B81-CA$16)^2+($C81-CA$17)^2+($D81-CA$18)^2)</f>
        <v>2.94707510398634</v>
      </c>
      <c r="CB81" s="17" t="n">
        <f aca="false">SQRT(($B81-CB$16)^2+($C81-CB$17)^2+($D81-CB$18)^2)</f>
        <v>1.08620406030919</v>
      </c>
      <c r="CC81" s="17" t="n">
        <f aca="false">SQRT(($B81-CC$16)^2+($C81-CC$17)^2+($D81-CC$18)^2)</f>
        <v>0.684712038563315</v>
      </c>
      <c r="CD81" s="63" t="n">
        <f aca="false">MATCH(MIN(CA81:CC81),CA81:CC81,0)</f>
        <v>3</v>
      </c>
    </row>
    <row r="82" customFormat="false" ht="15" hidden="false" customHeight="false" outlineLevel="0" collapsed="false">
      <c r="A82" s="76" t="n">
        <f aca="false">Phase_Data!A64</f>
        <v>43946</v>
      </c>
      <c r="B82" s="17" t="n">
        <f aca="false">Phase_Data!K64</f>
        <v>0.60937268442025</v>
      </c>
      <c r="C82" s="17" t="n">
        <f aca="false">Phase_Data!L64</f>
        <v>0.43128126868231</v>
      </c>
      <c r="D82" s="17" t="n">
        <f aca="false">Phase_Data!M64</f>
        <v>0.0831715452088024</v>
      </c>
      <c r="E82" s="63" t="n">
        <f aca="false">CD82</f>
        <v>3</v>
      </c>
      <c r="F82" s="38" t="n">
        <f aca="false">($B82-INDEX($L$16:$N$16,E82))^2+($C82-INDEX($L$17:$N$17,E82))^2+($D82-INDEX($L$18:$N$18,E82))^2</f>
        <v>0.25147094079798</v>
      </c>
      <c r="G82" s="12" t="str">
        <f aca="false">INDEX($M$5:$M$7,E82)</f>
        <v>Medium activity</v>
      </c>
      <c r="X82" s="17" t="n">
        <f aca="false">SQRT(($B82-X$16)^2+($C82-X$17)^2+($D82-X$18)^2)</f>
        <v>3.1551401355045</v>
      </c>
      <c r="Y82" s="17" t="n">
        <f aca="false">SQRT(($B82-Y$16)^2+($C82-Y$17)^2+($D82-Y$18)^2)</f>
        <v>1.973862790999</v>
      </c>
      <c r="Z82" s="17" t="n">
        <f aca="false">SQRT(($B82-Z$16)^2+($C82-Z$17)^2+($D82-Z$18)^2)</f>
        <v>1.40544900515675</v>
      </c>
      <c r="AA82" s="63" t="n">
        <f aca="false">MATCH(MIN(X82:Z82),X82:Z82,0)</f>
        <v>3</v>
      </c>
      <c r="AC82" s="17" t="n">
        <f aca="false">SQRT(($B82-AC$16)^2+($C82-AC$17)^2+($D82-AC$18)^2)</f>
        <v>2.75760242106726</v>
      </c>
      <c r="AD82" s="17" t="n">
        <f aca="false">SQRT(($B82-AD$16)^2+($C82-AD$17)^2+($D82-AD$18)^2)</f>
        <v>1.12707826639284</v>
      </c>
      <c r="AE82" s="17" t="n">
        <f aca="false">SQRT(($B82-AE$16)^2+($C82-AE$17)^2+($D82-AE$18)^2)</f>
        <v>0.462137172449766</v>
      </c>
      <c r="AF82" s="63" t="n">
        <f aca="false">MATCH(MIN(AC82:AE82),AC82:AE82,0)</f>
        <v>3</v>
      </c>
      <c r="AH82" s="17" t="n">
        <f aca="false">SQRT(($B82-AH$16)^2+($C82-AH$17)^2+($D82-AH$18)^2)</f>
        <v>2.84534576922042</v>
      </c>
      <c r="AI82" s="17" t="n">
        <f aca="false">SQRT(($B82-AI$16)^2+($C82-AI$17)^2+($D82-AI$18)^2)</f>
        <v>1.25552017859787</v>
      </c>
      <c r="AJ82" s="17" t="n">
        <f aca="false">SQRT(($B82-AJ$16)^2+($C82-AJ$17)^2+($D82-AJ$18)^2)</f>
        <v>0.481776568386196</v>
      </c>
      <c r="AK82" s="63" t="n">
        <f aca="false">MATCH(MIN(AH82:AJ82),AH82:AJ82,0)</f>
        <v>3</v>
      </c>
      <c r="AM82" s="17" t="n">
        <f aca="false">SQRT(($B82-AM$16)^2+($C82-AM$17)^2+($D82-AM$18)^2)</f>
        <v>2.88858110961149</v>
      </c>
      <c r="AN82" s="17" t="n">
        <f aca="false">SQRT(($B82-AN$16)^2+($C82-AN$17)^2+($D82-AN$18)^2)</f>
        <v>1.2820542805861</v>
      </c>
      <c r="AO82" s="17" t="n">
        <f aca="false">SQRT(($B82-AO$16)^2+($C82-AO$17)^2+($D82-AO$18)^2)</f>
        <v>0.501468783473089</v>
      </c>
      <c r="AP82" s="63" t="n">
        <f aca="false">MATCH(MIN(AM82:AO82),AM82:AO82,0)</f>
        <v>3</v>
      </c>
      <c r="AR82" s="17" t="n">
        <f aca="false">SQRT(($B82-AR$16)^2+($C82-AR$17)^2+($D82-AR$18)^2)</f>
        <v>2.88858110961149</v>
      </c>
      <c r="AS82" s="17" t="n">
        <f aca="false">SQRT(($B82-AS$16)^2+($C82-AS$17)^2+($D82-AS$18)^2)</f>
        <v>1.2820542805861</v>
      </c>
      <c r="AT82" s="17" t="n">
        <f aca="false">SQRT(($B82-AT$16)^2+($C82-AT$17)^2+($D82-AT$18)^2)</f>
        <v>0.501468783473089</v>
      </c>
      <c r="AU82" s="63" t="n">
        <f aca="false">MATCH(MIN(AR82:AT82),AR82:AT82,0)</f>
        <v>3</v>
      </c>
      <c r="AW82" s="17" t="n">
        <f aca="false">SQRT(($B82-AW$16)^2+($C82-AW$17)^2+($D82-AW$18)^2)</f>
        <v>2.88858110961149</v>
      </c>
      <c r="AX82" s="17" t="n">
        <f aca="false">SQRT(($B82-AX$16)^2+($C82-AX$17)^2+($D82-AX$18)^2)</f>
        <v>1.2820542805861</v>
      </c>
      <c r="AY82" s="17" t="n">
        <f aca="false">SQRT(($B82-AY$16)^2+($C82-AY$17)^2+($D82-AY$18)^2)</f>
        <v>0.501468783473089</v>
      </c>
      <c r="AZ82" s="63" t="n">
        <f aca="false">MATCH(MIN(AW82:AY82),AW82:AY82,0)</f>
        <v>3</v>
      </c>
      <c r="BB82" s="17" t="n">
        <f aca="false">SQRT(($B82-BB$16)^2+($C82-BB$17)^2+($D82-BB$18)^2)</f>
        <v>2.88858110961149</v>
      </c>
      <c r="BC82" s="17" t="n">
        <f aca="false">SQRT(($B82-BC$16)^2+($C82-BC$17)^2+($D82-BC$18)^2)</f>
        <v>1.2820542805861</v>
      </c>
      <c r="BD82" s="17" t="n">
        <f aca="false">SQRT(($B82-BD$16)^2+($C82-BD$17)^2+($D82-BD$18)^2)</f>
        <v>0.501468783473089</v>
      </c>
      <c r="BE82" s="63" t="n">
        <f aca="false">MATCH(MIN(BB82:BD82),BB82:BD82,0)</f>
        <v>3</v>
      </c>
      <c r="BG82" s="17" t="n">
        <f aca="false">SQRT(($B82-BG$16)^2+($C82-BG$17)^2+($D82-BG$18)^2)</f>
        <v>2.88858110961149</v>
      </c>
      <c r="BH82" s="17" t="n">
        <f aca="false">SQRT(($B82-BH$16)^2+($C82-BH$17)^2+($D82-BH$18)^2)</f>
        <v>1.2820542805861</v>
      </c>
      <c r="BI82" s="17" t="n">
        <f aca="false">SQRT(($B82-BI$16)^2+($C82-BI$17)^2+($D82-BI$18)^2)</f>
        <v>0.501468783473089</v>
      </c>
      <c r="BJ82" s="63" t="n">
        <f aca="false">MATCH(MIN(BG82:BI82),BG82:BI82,0)</f>
        <v>3</v>
      </c>
      <c r="BL82" s="17" t="n">
        <f aca="false">SQRT(($B82-BL$16)^2+($C82-BL$17)^2+($D82-BL$18)^2)</f>
        <v>2.88858110961149</v>
      </c>
      <c r="BM82" s="17" t="n">
        <f aca="false">SQRT(($B82-BM$16)^2+($C82-BM$17)^2+($D82-BM$18)^2)</f>
        <v>1.2820542805861</v>
      </c>
      <c r="BN82" s="17" t="n">
        <f aca="false">SQRT(($B82-BN$16)^2+($C82-BN$17)^2+($D82-BN$18)^2)</f>
        <v>0.501468783473089</v>
      </c>
      <c r="BO82" s="63" t="n">
        <f aca="false">MATCH(MIN(BL82:BN82),BL82:BN82,0)</f>
        <v>3</v>
      </c>
      <c r="BQ82" s="17" t="n">
        <f aca="false">SQRT(($B82-BQ$16)^2+($C82-BQ$17)^2+($D82-BQ$18)^2)</f>
        <v>2.88858110961149</v>
      </c>
      <c r="BR82" s="17" t="n">
        <f aca="false">SQRT(($B82-BR$16)^2+($C82-BR$17)^2+($D82-BR$18)^2)</f>
        <v>1.2820542805861</v>
      </c>
      <c r="BS82" s="17" t="n">
        <f aca="false">SQRT(($B82-BS$16)^2+($C82-BS$17)^2+($D82-BS$18)^2)</f>
        <v>0.501468783473089</v>
      </c>
      <c r="BT82" s="63" t="n">
        <f aca="false">MATCH(MIN(BQ82:BS82),BQ82:BS82,0)</f>
        <v>3</v>
      </c>
      <c r="BV82" s="17" t="n">
        <f aca="false">SQRT(($B82-BV$16)^2+($C82-BV$17)^2+($D82-BV$18)^2)</f>
        <v>2.88858110961149</v>
      </c>
      <c r="BW82" s="17" t="n">
        <f aca="false">SQRT(($B82-BW$16)^2+($C82-BW$17)^2+($D82-BW$18)^2)</f>
        <v>1.2820542805861</v>
      </c>
      <c r="BX82" s="17" t="n">
        <f aca="false">SQRT(($B82-BX$16)^2+($C82-BX$17)^2+($D82-BX$18)^2)</f>
        <v>0.501468783473089</v>
      </c>
      <c r="BY82" s="63" t="n">
        <f aca="false">MATCH(MIN(BV82:BX82),BV82:BX82,0)</f>
        <v>3</v>
      </c>
      <c r="CA82" s="17" t="n">
        <f aca="false">SQRT(($B82-CA$16)^2+($C82-CA$17)^2+($D82-CA$18)^2)</f>
        <v>2.88858110961149</v>
      </c>
      <c r="CB82" s="17" t="n">
        <f aca="false">SQRT(($B82-CB$16)^2+($C82-CB$17)^2+($D82-CB$18)^2)</f>
        <v>1.2820542805861</v>
      </c>
      <c r="CC82" s="17" t="n">
        <f aca="false">SQRT(($B82-CC$16)^2+($C82-CC$17)^2+($D82-CC$18)^2)</f>
        <v>0.501468783473089</v>
      </c>
      <c r="CD82" s="63" t="n">
        <f aca="false">MATCH(MIN(CA82:CC82),CA82:CC82,0)</f>
        <v>3</v>
      </c>
    </row>
    <row r="83" customFormat="false" ht="15" hidden="false" customHeight="false" outlineLevel="0" collapsed="false">
      <c r="A83" s="76" t="n">
        <f aca="false">Phase_Data!A65</f>
        <v>43947</v>
      </c>
      <c r="B83" s="17" t="n">
        <f aca="false">Phase_Data!K65</f>
        <v>0.476044138937765</v>
      </c>
      <c r="C83" s="17" t="n">
        <f aca="false">Phase_Data!L65</f>
        <v>0.334115126931666</v>
      </c>
      <c r="D83" s="17" t="n">
        <f aca="false">Phase_Data!M65</f>
        <v>0.321208683639248</v>
      </c>
      <c r="E83" s="63" t="n">
        <f aca="false">CD83</f>
        <v>3</v>
      </c>
      <c r="F83" s="38" t="n">
        <f aca="false">($B83-INDEX($L$16:$N$16,E83))^2+($C83-INDEX($L$17:$N$17,E83))^2+($D83-INDEX($L$18:$N$18,E83))^2</f>
        <v>0.229249078928772</v>
      </c>
      <c r="G83" s="12" t="str">
        <f aca="false">INDEX($M$5:$M$7,E83)</f>
        <v>Medium activity</v>
      </c>
      <c r="X83" s="17" t="n">
        <f aca="false">SQRT(($B83-X$16)^2+($C83-X$17)^2+($D83-X$18)^2)</f>
        <v>3.12249057303433</v>
      </c>
      <c r="Y83" s="17" t="n">
        <f aca="false">SQRT(($B83-Y$16)^2+($C83-Y$17)^2+($D83-Y$18)^2)</f>
        <v>1.89827024332133</v>
      </c>
      <c r="Z83" s="17" t="n">
        <f aca="false">SQRT(($B83-Z$16)^2+($C83-Z$17)^2+($D83-Z$18)^2)</f>
        <v>1.66988637221444</v>
      </c>
      <c r="AA83" s="63" t="n">
        <f aca="false">MATCH(MIN(X83:Z83),X83:Z83,0)</f>
        <v>3</v>
      </c>
      <c r="AC83" s="17" t="n">
        <f aca="false">SQRT(($B83-AC$16)^2+($C83-AC$17)^2+($D83-AC$18)^2)</f>
        <v>2.7286108865944</v>
      </c>
      <c r="AD83" s="17" t="n">
        <f aca="false">SQRT(($B83-AD$16)^2+($C83-AD$17)^2+($D83-AD$18)^2)</f>
        <v>1.01250721191214</v>
      </c>
      <c r="AE83" s="17" t="n">
        <f aca="false">SQRT(($B83-AE$16)^2+($C83-AE$17)^2+($D83-AE$18)^2)</f>
        <v>0.513249152073847</v>
      </c>
      <c r="AF83" s="63" t="n">
        <f aca="false">MATCH(MIN(AC83:AE83),AC83:AE83,0)</f>
        <v>3</v>
      </c>
      <c r="AH83" s="17" t="n">
        <f aca="false">SQRT(($B83-AH$16)^2+($C83-AH$17)^2+($D83-AH$18)^2)</f>
        <v>2.81727654260276</v>
      </c>
      <c r="AI83" s="17" t="n">
        <f aca="false">SQRT(($B83-AI$16)^2+($C83-AI$17)^2+($D83-AI$18)^2)</f>
        <v>1.16058056005658</v>
      </c>
      <c r="AJ83" s="17" t="n">
        <f aca="false">SQRT(($B83-AJ$16)^2+($C83-AJ$17)^2+($D83-AJ$18)^2)</f>
        <v>0.46992538169969</v>
      </c>
      <c r="AK83" s="63" t="n">
        <f aca="false">MATCH(MIN(AH83:AJ83),AH83:AJ83,0)</f>
        <v>3</v>
      </c>
      <c r="AM83" s="17" t="n">
        <f aca="false">SQRT(($B83-AM$16)^2+($C83-AM$17)^2+($D83-AM$18)^2)</f>
        <v>2.86038325655002</v>
      </c>
      <c r="AN83" s="17" t="n">
        <f aca="false">SQRT(($B83-AN$16)^2+($C83-AN$17)^2+($D83-AN$18)^2)</f>
        <v>1.19163534213713</v>
      </c>
      <c r="AO83" s="17" t="n">
        <f aca="false">SQRT(($B83-AO$16)^2+($C83-AO$17)^2+($D83-AO$18)^2)</f>
        <v>0.478799622941343</v>
      </c>
      <c r="AP83" s="63" t="n">
        <f aca="false">MATCH(MIN(AM83:AO83),AM83:AO83,0)</f>
        <v>3</v>
      </c>
      <c r="AR83" s="17" t="n">
        <f aca="false">SQRT(($B83-AR$16)^2+($C83-AR$17)^2+($D83-AR$18)^2)</f>
        <v>2.86038325655002</v>
      </c>
      <c r="AS83" s="17" t="n">
        <f aca="false">SQRT(($B83-AS$16)^2+($C83-AS$17)^2+($D83-AS$18)^2)</f>
        <v>1.19163534213713</v>
      </c>
      <c r="AT83" s="17" t="n">
        <f aca="false">SQRT(($B83-AT$16)^2+($C83-AT$17)^2+($D83-AT$18)^2)</f>
        <v>0.478799622941343</v>
      </c>
      <c r="AU83" s="63" t="n">
        <f aca="false">MATCH(MIN(AR83:AT83),AR83:AT83,0)</f>
        <v>3</v>
      </c>
      <c r="AW83" s="17" t="n">
        <f aca="false">SQRT(($B83-AW$16)^2+($C83-AW$17)^2+($D83-AW$18)^2)</f>
        <v>2.86038325655002</v>
      </c>
      <c r="AX83" s="17" t="n">
        <f aca="false">SQRT(($B83-AX$16)^2+($C83-AX$17)^2+($D83-AX$18)^2)</f>
        <v>1.19163534213713</v>
      </c>
      <c r="AY83" s="17" t="n">
        <f aca="false">SQRT(($B83-AY$16)^2+($C83-AY$17)^2+($D83-AY$18)^2)</f>
        <v>0.478799622941343</v>
      </c>
      <c r="AZ83" s="63" t="n">
        <f aca="false">MATCH(MIN(AW83:AY83),AW83:AY83,0)</f>
        <v>3</v>
      </c>
      <c r="BB83" s="17" t="n">
        <f aca="false">SQRT(($B83-BB$16)^2+($C83-BB$17)^2+($D83-BB$18)^2)</f>
        <v>2.86038325655002</v>
      </c>
      <c r="BC83" s="17" t="n">
        <f aca="false">SQRT(($B83-BC$16)^2+($C83-BC$17)^2+($D83-BC$18)^2)</f>
        <v>1.19163534213713</v>
      </c>
      <c r="BD83" s="17" t="n">
        <f aca="false">SQRT(($B83-BD$16)^2+($C83-BD$17)^2+($D83-BD$18)^2)</f>
        <v>0.478799622941343</v>
      </c>
      <c r="BE83" s="63" t="n">
        <f aca="false">MATCH(MIN(BB83:BD83),BB83:BD83,0)</f>
        <v>3</v>
      </c>
      <c r="BG83" s="17" t="n">
        <f aca="false">SQRT(($B83-BG$16)^2+($C83-BG$17)^2+($D83-BG$18)^2)</f>
        <v>2.86038325655002</v>
      </c>
      <c r="BH83" s="17" t="n">
        <f aca="false">SQRT(($B83-BH$16)^2+($C83-BH$17)^2+($D83-BH$18)^2)</f>
        <v>1.19163534213713</v>
      </c>
      <c r="BI83" s="17" t="n">
        <f aca="false">SQRT(($B83-BI$16)^2+($C83-BI$17)^2+($D83-BI$18)^2)</f>
        <v>0.478799622941343</v>
      </c>
      <c r="BJ83" s="63" t="n">
        <f aca="false">MATCH(MIN(BG83:BI83),BG83:BI83,0)</f>
        <v>3</v>
      </c>
      <c r="BL83" s="17" t="n">
        <f aca="false">SQRT(($B83-BL$16)^2+($C83-BL$17)^2+($D83-BL$18)^2)</f>
        <v>2.86038325655002</v>
      </c>
      <c r="BM83" s="17" t="n">
        <f aca="false">SQRT(($B83-BM$16)^2+($C83-BM$17)^2+($D83-BM$18)^2)</f>
        <v>1.19163534213713</v>
      </c>
      <c r="BN83" s="17" t="n">
        <f aca="false">SQRT(($B83-BN$16)^2+($C83-BN$17)^2+($D83-BN$18)^2)</f>
        <v>0.478799622941343</v>
      </c>
      <c r="BO83" s="63" t="n">
        <f aca="false">MATCH(MIN(BL83:BN83),BL83:BN83,0)</f>
        <v>3</v>
      </c>
      <c r="BQ83" s="17" t="n">
        <f aca="false">SQRT(($B83-BQ$16)^2+($C83-BQ$17)^2+($D83-BQ$18)^2)</f>
        <v>2.86038325655002</v>
      </c>
      <c r="BR83" s="17" t="n">
        <f aca="false">SQRT(($B83-BR$16)^2+($C83-BR$17)^2+($D83-BR$18)^2)</f>
        <v>1.19163534213713</v>
      </c>
      <c r="BS83" s="17" t="n">
        <f aca="false">SQRT(($B83-BS$16)^2+($C83-BS$17)^2+($D83-BS$18)^2)</f>
        <v>0.478799622941343</v>
      </c>
      <c r="BT83" s="63" t="n">
        <f aca="false">MATCH(MIN(BQ83:BS83),BQ83:BS83,0)</f>
        <v>3</v>
      </c>
      <c r="BV83" s="17" t="n">
        <f aca="false">SQRT(($B83-BV$16)^2+($C83-BV$17)^2+($D83-BV$18)^2)</f>
        <v>2.86038325655002</v>
      </c>
      <c r="BW83" s="17" t="n">
        <f aca="false">SQRT(($B83-BW$16)^2+($C83-BW$17)^2+($D83-BW$18)^2)</f>
        <v>1.19163534213713</v>
      </c>
      <c r="BX83" s="17" t="n">
        <f aca="false">SQRT(($B83-BX$16)^2+($C83-BX$17)^2+($D83-BX$18)^2)</f>
        <v>0.478799622941343</v>
      </c>
      <c r="BY83" s="63" t="n">
        <f aca="false">MATCH(MIN(BV83:BX83),BV83:BX83,0)</f>
        <v>3</v>
      </c>
      <c r="CA83" s="17" t="n">
        <f aca="false">SQRT(($B83-CA$16)^2+($C83-CA$17)^2+($D83-CA$18)^2)</f>
        <v>2.86038325655002</v>
      </c>
      <c r="CB83" s="17" t="n">
        <f aca="false">SQRT(($B83-CB$16)^2+($C83-CB$17)^2+($D83-CB$18)^2)</f>
        <v>1.19163534213713</v>
      </c>
      <c r="CC83" s="17" t="n">
        <f aca="false">SQRT(($B83-CC$16)^2+($C83-CC$17)^2+($D83-CC$18)^2)</f>
        <v>0.478799622941343</v>
      </c>
      <c r="CD83" s="63" t="n">
        <f aca="false">MATCH(MIN(CA83:CC83),CA83:CC83,0)</f>
        <v>3</v>
      </c>
    </row>
    <row r="84" customFormat="false" ht="15" hidden="false" customHeight="false" outlineLevel="0" collapsed="false">
      <c r="A84" s="76" t="n">
        <f aca="false">Phase_Data!A66</f>
        <v>43948</v>
      </c>
      <c r="B84" s="17" t="n">
        <f aca="false">Phase_Data!K66</f>
        <v>0.521127741652473</v>
      </c>
      <c r="C84" s="17" t="n">
        <f aca="false">Phase_Data!L66</f>
        <v>0.750415929951543</v>
      </c>
      <c r="D84" s="17" t="n">
        <f aca="false">Phase_Data!M66</f>
        <v>0.327286586730666</v>
      </c>
      <c r="E84" s="63" t="n">
        <f aca="false">CD84</f>
        <v>3</v>
      </c>
      <c r="F84" s="38" t="n">
        <f aca="false">($B84-INDEX($L$16:$N$16,E84))^2+($C84-INDEX($L$17:$N$17,E84))^2+($D84-INDEX($L$18:$N$18,E84))^2</f>
        <v>0.634006713032944</v>
      </c>
      <c r="G84" s="12" t="str">
        <f aca="false">INDEX($M$5:$M$7,E84)</f>
        <v>Medium activity</v>
      </c>
      <c r="X84" s="17" t="n">
        <f aca="false">SQRT(($B84-X$16)^2+($C84-X$17)^2+($D84-X$18)^2)</f>
        <v>3.40275391653621</v>
      </c>
      <c r="Y84" s="17" t="n">
        <f aca="false">SQRT(($B84-Y$16)^2+($C84-Y$17)^2+($D84-Y$18)^2)</f>
        <v>1.65650925803491</v>
      </c>
      <c r="Z84" s="17" t="n">
        <f aca="false">SQRT(($B84-Z$16)^2+($C84-Z$17)^2+($D84-Z$18)^2)</f>
        <v>1.61148251587436</v>
      </c>
      <c r="AA84" s="63" t="n">
        <f aca="false">MATCH(MIN(X84:Z84),X84:Z84,0)</f>
        <v>3</v>
      </c>
      <c r="AC84" s="17" t="n">
        <f aca="false">SQRT(($B84-AC$16)^2+($C84-AC$17)^2+($D84-AC$18)^2)</f>
        <v>3.01863756982923</v>
      </c>
      <c r="AD84" s="17" t="n">
        <f aca="false">SQRT(($B84-AD$16)^2+($C84-AD$17)^2+($D84-AD$18)^2)</f>
        <v>0.812843677347568</v>
      </c>
      <c r="AE84" s="17" t="n">
        <f aca="false">SQRT(($B84-AE$16)^2+($C84-AE$17)^2+($D84-AE$18)^2)</f>
        <v>0.778941075351429</v>
      </c>
      <c r="AF84" s="63" t="n">
        <f aca="false">MATCH(MIN(AC84:AE84),AC84:AE84,0)</f>
        <v>3</v>
      </c>
      <c r="AH84" s="17" t="n">
        <f aca="false">SQRT(($B84-AH$16)^2+($C84-AH$17)^2+($D84-AH$18)^2)</f>
        <v>3.10432831569227</v>
      </c>
      <c r="AI84" s="17" t="n">
        <f aca="false">SQRT(($B84-AI$16)^2+($C84-AI$17)^2+($D84-AI$18)^2)</f>
        <v>0.934716405716389</v>
      </c>
      <c r="AJ84" s="17" t="n">
        <f aca="false">SQRT(($B84-AJ$16)^2+($C84-AJ$17)^2+($D84-AJ$18)^2)</f>
        <v>0.776700267788565</v>
      </c>
      <c r="AK84" s="63" t="n">
        <f aca="false">MATCH(MIN(AH84:AJ84),AH84:AJ84,0)</f>
        <v>3</v>
      </c>
      <c r="AM84" s="17" t="n">
        <f aca="false">SQRT(($B84-AM$16)^2+($C84-AM$17)^2+($D84-AM$18)^2)</f>
        <v>3.14575664589531</v>
      </c>
      <c r="AN84" s="17" t="n">
        <f aca="false">SQRT(($B84-AN$16)^2+($C84-AN$17)^2+($D84-AN$18)^2)</f>
        <v>0.958322772939455</v>
      </c>
      <c r="AO84" s="17" t="n">
        <f aca="false">SQRT(($B84-AO$16)^2+($C84-AO$17)^2+($D84-AO$18)^2)</f>
        <v>0.796245384936669</v>
      </c>
      <c r="AP84" s="63" t="n">
        <f aca="false">MATCH(MIN(AM84:AO84),AM84:AO84,0)</f>
        <v>3</v>
      </c>
      <c r="AR84" s="17" t="n">
        <f aca="false">SQRT(($B84-AR$16)^2+($C84-AR$17)^2+($D84-AR$18)^2)</f>
        <v>3.14575664589531</v>
      </c>
      <c r="AS84" s="17" t="n">
        <f aca="false">SQRT(($B84-AS$16)^2+($C84-AS$17)^2+($D84-AS$18)^2)</f>
        <v>0.958322772939455</v>
      </c>
      <c r="AT84" s="17" t="n">
        <f aca="false">SQRT(($B84-AT$16)^2+($C84-AT$17)^2+($D84-AT$18)^2)</f>
        <v>0.796245384936669</v>
      </c>
      <c r="AU84" s="63" t="n">
        <f aca="false">MATCH(MIN(AR84:AT84),AR84:AT84,0)</f>
        <v>3</v>
      </c>
      <c r="AW84" s="17" t="n">
        <f aca="false">SQRT(($B84-AW$16)^2+($C84-AW$17)^2+($D84-AW$18)^2)</f>
        <v>3.14575664589531</v>
      </c>
      <c r="AX84" s="17" t="n">
        <f aca="false">SQRT(($B84-AX$16)^2+($C84-AX$17)^2+($D84-AX$18)^2)</f>
        <v>0.958322772939455</v>
      </c>
      <c r="AY84" s="17" t="n">
        <f aca="false">SQRT(($B84-AY$16)^2+($C84-AY$17)^2+($D84-AY$18)^2)</f>
        <v>0.796245384936669</v>
      </c>
      <c r="AZ84" s="63" t="n">
        <f aca="false">MATCH(MIN(AW84:AY84),AW84:AY84,0)</f>
        <v>3</v>
      </c>
      <c r="BB84" s="17" t="n">
        <f aca="false">SQRT(($B84-BB$16)^2+($C84-BB$17)^2+($D84-BB$18)^2)</f>
        <v>3.14575664589531</v>
      </c>
      <c r="BC84" s="17" t="n">
        <f aca="false">SQRT(($B84-BC$16)^2+($C84-BC$17)^2+($D84-BC$18)^2)</f>
        <v>0.958322772939455</v>
      </c>
      <c r="BD84" s="17" t="n">
        <f aca="false">SQRT(($B84-BD$16)^2+($C84-BD$17)^2+($D84-BD$18)^2)</f>
        <v>0.796245384936669</v>
      </c>
      <c r="BE84" s="63" t="n">
        <f aca="false">MATCH(MIN(BB84:BD84),BB84:BD84,0)</f>
        <v>3</v>
      </c>
      <c r="BG84" s="17" t="n">
        <f aca="false">SQRT(($B84-BG$16)^2+($C84-BG$17)^2+($D84-BG$18)^2)</f>
        <v>3.14575664589531</v>
      </c>
      <c r="BH84" s="17" t="n">
        <f aca="false">SQRT(($B84-BH$16)^2+($C84-BH$17)^2+($D84-BH$18)^2)</f>
        <v>0.958322772939455</v>
      </c>
      <c r="BI84" s="17" t="n">
        <f aca="false">SQRT(($B84-BI$16)^2+($C84-BI$17)^2+($D84-BI$18)^2)</f>
        <v>0.796245384936669</v>
      </c>
      <c r="BJ84" s="63" t="n">
        <f aca="false">MATCH(MIN(BG84:BI84),BG84:BI84,0)</f>
        <v>3</v>
      </c>
      <c r="BL84" s="17" t="n">
        <f aca="false">SQRT(($B84-BL$16)^2+($C84-BL$17)^2+($D84-BL$18)^2)</f>
        <v>3.14575664589531</v>
      </c>
      <c r="BM84" s="17" t="n">
        <f aca="false">SQRT(($B84-BM$16)^2+($C84-BM$17)^2+($D84-BM$18)^2)</f>
        <v>0.958322772939455</v>
      </c>
      <c r="BN84" s="17" t="n">
        <f aca="false">SQRT(($B84-BN$16)^2+($C84-BN$17)^2+($D84-BN$18)^2)</f>
        <v>0.796245384936669</v>
      </c>
      <c r="BO84" s="63" t="n">
        <f aca="false">MATCH(MIN(BL84:BN84),BL84:BN84,0)</f>
        <v>3</v>
      </c>
      <c r="BQ84" s="17" t="n">
        <f aca="false">SQRT(($B84-BQ$16)^2+($C84-BQ$17)^2+($D84-BQ$18)^2)</f>
        <v>3.14575664589531</v>
      </c>
      <c r="BR84" s="17" t="n">
        <f aca="false">SQRT(($B84-BR$16)^2+($C84-BR$17)^2+($D84-BR$18)^2)</f>
        <v>0.958322772939455</v>
      </c>
      <c r="BS84" s="17" t="n">
        <f aca="false">SQRT(($B84-BS$16)^2+($C84-BS$17)^2+($D84-BS$18)^2)</f>
        <v>0.796245384936669</v>
      </c>
      <c r="BT84" s="63" t="n">
        <f aca="false">MATCH(MIN(BQ84:BS84),BQ84:BS84,0)</f>
        <v>3</v>
      </c>
      <c r="BV84" s="17" t="n">
        <f aca="false">SQRT(($B84-BV$16)^2+($C84-BV$17)^2+($D84-BV$18)^2)</f>
        <v>3.14575664589531</v>
      </c>
      <c r="BW84" s="17" t="n">
        <f aca="false">SQRT(($B84-BW$16)^2+($C84-BW$17)^2+($D84-BW$18)^2)</f>
        <v>0.958322772939455</v>
      </c>
      <c r="BX84" s="17" t="n">
        <f aca="false">SQRT(($B84-BX$16)^2+($C84-BX$17)^2+($D84-BX$18)^2)</f>
        <v>0.796245384936669</v>
      </c>
      <c r="BY84" s="63" t="n">
        <f aca="false">MATCH(MIN(BV84:BX84),BV84:BX84,0)</f>
        <v>3</v>
      </c>
      <c r="CA84" s="17" t="n">
        <f aca="false">SQRT(($B84-CA$16)^2+($C84-CA$17)^2+($D84-CA$18)^2)</f>
        <v>3.14575664589531</v>
      </c>
      <c r="CB84" s="17" t="n">
        <f aca="false">SQRT(($B84-CB$16)^2+($C84-CB$17)^2+($D84-CB$18)^2)</f>
        <v>0.958322772939455</v>
      </c>
      <c r="CC84" s="17" t="n">
        <f aca="false">SQRT(($B84-CC$16)^2+($C84-CC$17)^2+($D84-CC$18)^2)</f>
        <v>0.796245384936669</v>
      </c>
      <c r="CD84" s="63" t="n">
        <f aca="false">MATCH(MIN(CA84:CC84),CA84:CC84,0)</f>
        <v>3</v>
      </c>
    </row>
    <row r="85" customFormat="false" ht="15" hidden="false" customHeight="false" outlineLevel="0" collapsed="false">
      <c r="A85" s="76" t="n">
        <f aca="false">Phase_Data!A67</f>
        <v>43949</v>
      </c>
      <c r="B85" s="17" t="n">
        <f aca="false">Phase_Data!K67</f>
        <v>0.516241173295012</v>
      </c>
      <c r="C85" s="17" t="n">
        <f aca="false">Phase_Data!L67</f>
        <v>-0.190884421421135</v>
      </c>
      <c r="D85" s="17" t="n">
        <f aca="false">Phase_Data!M67</f>
        <v>-1.27778805060034</v>
      </c>
      <c r="E85" s="63" t="n">
        <f aca="false">CD85</f>
        <v>3</v>
      </c>
      <c r="F85" s="38" t="n">
        <f aca="false">($B85-INDEX($L$16:$N$16,E85))^2+($C85-INDEX($L$17:$N$17,E85))^2+($D85-INDEX($L$18:$N$18,E85))^2</f>
        <v>1.701407377362</v>
      </c>
      <c r="G85" s="12" t="str">
        <f aca="false">INDEX($M$5:$M$7,E85)</f>
        <v>Medium activity</v>
      </c>
      <c r="X85" s="17" t="n">
        <f aca="false">SQRT(($B85-X$16)^2+($C85-X$17)^2+($D85-X$18)^2)</f>
        <v>2.40949719310751</v>
      </c>
      <c r="Y85" s="17" t="n">
        <f aca="false">SQRT(($B85-Y$16)^2+($C85-Y$17)^2+($D85-Y$18)^2)</f>
        <v>3.43555648000057</v>
      </c>
      <c r="Z85" s="17" t="n">
        <f aca="false">SQRT(($B85-Z$16)^2+($C85-Z$17)^2+($D85-Z$18)^2)</f>
        <v>0.979918757189358</v>
      </c>
      <c r="AA85" s="63" t="n">
        <f aca="false">MATCH(MIN(X85:Z85),X85:Z85,0)</f>
        <v>3</v>
      </c>
      <c r="AC85" s="17" t="n">
        <f aca="false">SQRT(($B85-AC$16)^2+($C85-AC$17)^2+($D85-AC$18)^2)</f>
        <v>2.03772497849699</v>
      </c>
      <c r="AD85" s="17" t="n">
        <f aca="false">SQRT(($B85-AD$16)^2+($C85-AD$17)^2+($D85-AD$18)^2)</f>
        <v>2.62333976268363</v>
      </c>
      <c r="AE85" s="17" t="n">
        <f aca="false">SQRT(($B85-AE$16)^2+($C85-AE$17)^2+($D85-AE$18)^2)</f>
        <v>1.21964783097381</v>
      </c>
      <c r="AF85" s="63" t="n">
        <f aca="false">MATCH(MIN(AC85:AE85),AC85:AE85,0)</f>
        <v>3</v>
      </c>
      <c r="AH85" s="17" t="n">
        <f aca="false">SQRT(($B85-AH$16)^2+($C85-AH$17)^2+($D85-AH$18)^2)</f>
        <v>2.1097057851006</v>
      </c>
      <c r="AI85" s="17" t="n">
        <f aca="false">SQRT(($B85-AI$16)^2+($C85-AI$17)^2+($D85-AI$18)^2)</f>
        <v>2.74409729197027</v>
      </c>
      <c r="AJ85" s="17" t="n">
        <f aca="false">SQRT(($B85-AJ$16)^2+($C85-AJ$17)^2+($D85-AJ$18)^2)</f>
        <v>1.30055794641797</v>
      </c>
      <c r="AK85" s="63" t="n">
        <f aca="false">MATCH(MIN(AH85:AJ85),AH85:AJ85,0)</f>
        <v>3</v>
      </c>
      <c r="AM85" s="17" t="n">
        <f aca="false">SQRT(($B85-AM$16)^2+($C85-AM$17)^2+($D85-AM$18)^2)</f>
        <v>2.1492657758286</v>
      </c>
      <c r="AN85" s="17" t="n">
        <f aca="false">SQRT(($B85-AN$16)^2+($C85-AN$17)^2+($D85-AN$18)^2)</f>
        <v>2.76840196223742</v>
      </c>
      <c r="AO85" s="17" t="n">
        <f aca="false">SQRT(($B85-AO$16)^2+($C85-AO$17)^2+($D85-AO$18)^2)</f>
        <v>1.30438007396694</v>
      </c>
      <c r="AP85" s="63" t="n">
        <f aca="false">MATCH(MIN(AM85:AO85),AM85:AO85,0)</f>
        <v>3</v>
      </c>
      <c r="AR85" s="17" t="n">
        <f aca="false">SQRT(($B85-AR$16)^2+($C85-AR$17)^2+($D85-AR$18)^2)</f>
        <v>2.1492657758286</v>
      </c>
      <c r="AS85" s="17" t="n">
        <f aca="false">SQRT(($B85-AS$16)^2+($C85-AS$17)^2+($D85-AS$18)^2)</f>
        <v>2.76840196223742</v>
      </c>
      <c r="AT85" s="17" t="n">
        <f aca="false">SQRT(($B85-AT$16)^2+($C85-AT$17)^2+($D85-AT$18)^2)</f>
        <v>1.30438007396694</v>
      </c>
      <c r="AU85" s="63" t="n">
        <f aca="false">MATCH(MIN(AR85:AT85),AR85:AT85,0)</f>
        <v>3</v>
      </c>
      <c r="AW85" s="17" t="n">
        <f aca="false">SQRT(($B85-AW$16)^2+($C85-AW$17)^2+($D85-AW$18)^2)</f>
        <v>2.1492657758286</v>
      </c>
      <c r="AX85" s="17" t="n">
        <f aca="false">SQRT(($B85-AX$16)^2+($C85-AX$17)^2+($D85-AX$18)^2)</f>
        <v>2.76840196223742</v>
      </c>
      <c r="AY85" s="17" t="n">
        <f aca="false">SQRT(($B85-AY$16)^2+($C85-AY$17)^2+($D85-AY$18)^2)</f>
        <v>1.30438007396694</v>
      </c>
      <c r="AZ85" s="63" t="n">
        <f aca="false">MATCH(MIN(AW85:AY85),AW85:AY85,0)</f>
        <v>3</v>
      </c>
      <c r="BB85" s="17" t="n">
        <f aca="false">SQRT(($B85-BB$16)^2+($C85-BB$17)^2+($D85-BB$18)^2)</f>
        <v>2.1492657758286</v>
      </c>
      <c r="BC85" s="17" t="n">
        <f aca="false">SQRT(($B85-BC$16)^2+($C85-BC$17)^2+($D85-BC$18)^2)</f>
        <v>2.76840196223742</v>
      </c>
      <c r="BD85" s="17" t="n">
        <f aca="false">SQRT(($B85-BD$16)^2+($C85-BD$17)^2+($D85-BD$18)^2)</f>
        <v>1.30438007396694</v>
      </c>
      <c r="BE85" s="63" t="n">
        <f aca="false">MATCH(MIN(BB85:BD85),BB85:BD85,0)</f>
        <v>3</v>
      </c>
      <c r="BG85" s="17" t="n">
        <f aca="false">SQRT(($B85-BG$16)^2+($C85-BG$17)^2+($D85-BG$18)^2)</f>
        <v>2.1492657758286</v>
      </c>
      <c r="BH85" s="17" t="n">
        <f aca="false">SQRT(($B85-BH$16)^2+($C85-BH$17)^2+($D85-BH$18)^2)</f>
        <v>2.76840196223742</v>
      </c>
      <c r="BI85" s="17" t="n">
        <f aca="false">SQRT(($B85-BI$16)^2+($C85-BI$17)^2+($D85-BI$18)^2)</f>
        <v>1.30438007396694</v>
      </c>
      <c r="BJ85" s="63" t="n">
        <f aca="false">MATCH(MIN(BG85:BI85),BG85:BI85,0)</f>
        <v>3</v>
      </c>
      <c r="BL85" s="17" t="n">
        <f aca="false">SQRT(($B85-BL$16)^2+($C85-BL$17)^2+($D85-BL$18)^2)</f>
        <v>2.1492657758286</v>
      </c>
      <c r="BM85" s="17" t="n">
        <f aca="false">SQRT(($B85-BM$16)^2+($C85-BM$17)^2+($D85-BM$18)^2)</f>
        <v>2.76840196223742</v>
      </c>
      <c r="BN85" s="17" t="n">
        <f aca="false">SQRT(($B85-BN$16)^2+($C85-BN$17)^2+($D85-BN$18)^2)</f>
        <v>1.30438007396694</v>
      </c>
      <c r="BO85" s="63" t="n">
        <f aca="false">MATCH(MIN(BL85:BN85),BL85:BN85,0)</f>
        <v>3</v>
      </c>
      <c r="BQ85" s="17" t="n">
        <f aca="false">SQRT(($B85-BQ$16)^2+($C85-BQ$17)^2+($D85-BQ$18)^2)</f>
        <v>2.1492657758286</v>
      </c>
      <c r="BR85" s="17" t="n">
        <f aca="false">SQRT(($B85-BR$16)^2+($C85-BR$17)^2+($D85-BR$18)^2)</f>
        <v>2.76840196223742</v>
      </c>
      <c r="BS85" s="17" t="n">
        <f aca="false">SQRT(($B85-BS$16)^2+($C85-BS$17)^2+($D85-BS$18)^2)</f>
        <v>1.30438007396694</v>
      </c>
      <c r="BT85" s="63" t="n">
        <f aca="false">MATCH(MIN(BQ85:BS85),BQ85:BS85,0)</f>
        <v>3</v>
      </c>
      <c r="BV85" s="17" t="n">
        <f aca="false">SQRT(($B85-BV$16)^2+($C85-BV$17)^2+($D85-BV$18)^2)</f>
        <v>2.1492657758286</v>
      </c>
      <c r="BW85" s="17" t="n">
        <f aca="false">SQRT(($B85-BW$16)^2+($C85-BW$17)^2+($D85-BW$18)^2)</f>
        <v>2.76840196223742</v>
      </c>
      <c r="BX85" s="17" t="n">
        <f aca="false">SQRT(($B85-BX$16)^2+($C85-BX$17)^2+($D85-BX$18)^2)</f>
        <v>1.30438007396694</v>
      </c>
      <c r="BY85" s="63" t="n">
        <f aca="false">MATCH(MIN(BV85:BX85),BV85:BX85,0)</f>
        <v>3</v>
      </c>
      <c r="CA85" s="17" t="n">
        <f aca="false">SQRT(($B85-CA$16)^2+($C85-CA$17)^2+($D85-CA$18)^2)</f>
        <v>2.1492657758286</v>
      </c>
      <c r="CB85" s="17" t="n">
        <f aca="false">SQRT(($B85-CB$16)^2+($C85-CB$17)^2+($D85-CB$18)^2)</f>
        <v>2.76840196223742</v>
      </c>
      <c r="CC85" s="17" t="n">
        <f aca="false">SQRT(($B85-CC$16)^2+($C85-CC$17)^2+($D85-CC$18)^2)</f>
        <v>1.30438007396694</v>
      </c>
      <c r="CD85" s="63" t="n">
        <f aca="false">MATCH(MIN(CA85:CC85),CA85:CC85,0)</f>
        <v>3</v>
      </c>
    </row>
    <row r="86" customFormat="false" ht="15" hidden="false" customHeight="false" outlineLevel="0" collapsed="false">
      <c r="A86" s="76" t="n">
        <f aca="false">Phase_Data!A68</f>
        <v>43950</v>
      </c>
      <c r="B86" s="17" t="n">
        <f aca="false">Phase_Data!K68</f>
        <v>0.620466071162342</v>
      </c>
      <c r="C86" s="17" t="n">
        <f aca="false">Phase_Data!L68</f>
        <v>0.626618740634316</v>
      </c>
      <c r="D86" s="17" t="n">
        <f aca="false">Phase_Data!M68</f>
        <v>0.784026393350417</v>
      </c>
      <c r="E86" s="63" t="n">
        <f aca="false">CD86</f>
        <v>2</v>
      </c>
      <c r="F86" s="38" t="n">
        <f aca="false">($B86-INDEX($L$16:$N$16,E86))^2+($C86-INDEX($L$17:$N$17,E86))^2+($D86-INDEX($L$18:$N$18,E86))^2</f>
        <v>0.415395229922525</v>
      </c>
      <c r="G86" s="12" t="str">
        <f aca="false">INDEX($M$5:$M$7,E86)</f>
        <v>High activity</v>
      </c>
      <c r="X86" s="17" t="n">
        <f aca="false">SQRT(($B86-X$16)^2+($C86-X$17)^2+($D86-X$18)^2)</f>
        <v>3.62748284102985</v>
      </c>
      <c r="Y86" s="17" t="n">
        <f aca="false">SQRT(($B86-Y$16)^2+($C86-Y$17)^2+($D86-Y$18)^2)</f>
        <v>1.34831502174557</v>
      </c>
      <c r="Z86" s="17" t="n">
        <f aca="false">SQRT(($B86-Z$16)^2+($C86-Z$17)^2+($D86-Z$18)^2)</f>
        <v>2.06779114820948</v>
      </c>
      <c r="AA86" s="63" t="n">
        <f aca="false">MATCH(MIN(X86:Z86),X86:Z86,0)</f>
        <v>2</v>
      </c>
      <c r="AC86" s="17" t="n">
        <f aca="false">SQRT(($B86-AC$16)^2+($C86-AC$17)^2+($D86-AC$18)^2)</f>
        <v>3.24243241493997</v>
      </c>
      <c r="AD86" s="17" t="n">
        <f aca="false">SQRT(($B86-AD$16)^2+($C86-AD$17)^2+($D86-AD$18)^2)</f>
        <v>0.454899922232935</v>
      </c>
      <c r="AE86" s="17" t="n">
        <f aca="false">SQRT(($B86-AE$16)^2+($C86-AE$17)^2+($D86-AE$18)^2)</f>
        <v>1.07406517282314</v>
      </c>
      <c r="AF86" s="63" t="n">
        <f aca="false">MATCH(MIN(AC86:AE86),AC86:AE86,0)</f>
        <v>2</v>
      </c>
      <c r="AH86" s="17" t="n">
        <f aca="false">SQRT(($B86-AH$16)^2+($C86-AH$17)^2+($D86-AH$18)^2)</f>
        <v>3.33038681493797</v>
      </c>
      <c r="AI86" s="17" t="n">
        <f aca="false">SQRT(($B86-AI$16)^2+($C86-AI$17)^2+($D86-AI$18)^2)</f>
        <v>0.61096257271495</v>
      </c>
      <c r="AJ86" s="17" t="n">
        <f aca="false">SQRT(($B86-AJ$16)^2+($C86-AJ$17)^2+($D86-AJ$18)^2)</f>
        <v>1.03101779016772</v>
      </c>
      <c r="AK86" s="63" t="n">
        <f aca="false">MATCH(MIN(AH86:AJ86),AH86:AJ86,0)</f>
        <v>2</v>
      </c>
      <c r="AM86" s="17" t="n">
        <f aca="false">SQRT(($B86-AM$16)^2+($C86-AM$17)^2+($D86-AM$18)^2)</f>
        <v>3.37257148906026</v>
      </c>
      <c r="AN86" s="17" t="n">
        <f aca="false">SQRT(($B86-AN$16)^2+($C86-AN$17)^2+($D86-AN$18)^2)</f>
        <v>0.644511621247068</v>
      </c>
      <c r="AO86" s="17" t="n">
        <f aca="false">SQRT(($B86-AO$16)^2+($C86-AO$17)^2+($D86-AO$18)^2)</f>
        <v>1.03932283451248</v>
      </c>
      <c r="AP86" s="63" t="n">
        <f aca="false">MATCH(MIN(AM86:AO86),AM86:AO86,0)</f>
        <v>2</v>
      </c>
      <c r="AR86" s="17" t="n">
        <f aca="false">SQRT(($B86-AR$16)^2+($C86-AR$17)^2+($D86-AR$18)^2)</f>
        <v>3.37257148906026</v>
      </c>
      <c r="AS86" s="17" t="n">
        <f aca="false">SQRT(($B86-AS$16)^2+($C86-AS$17)^2+($D86-AS$18)^2)</f>
        <v>0.644511621247068</v>
      </c>
      <c r="AT86" s="17" t="n">
        <f aca="false">SQRT(($B86-AT$16)^2+($C86-AT$17)^2+($D86-AT$18)^2)</f>
        <v>1.03932283451248</v>
      </c>
      <c r="AU86" s="63" t="n">
        <f aca="false">MATCH(MIN(AR86:AT86),AR86:AT86,0)</f>
        <v>2</v>
      </c>
      <c r="AW86" s="17" t="n">
        <f aca="false">SQRT(($B86-AW$16)^2+($C86-AW$17)^2+($D86-AW$18)^2)</f>
        <v>3.37257148906026</v>
      </c>
      <c r="AX86" s="17" t="n">
        <f aca="false">SQRT(($B86-AX$16)^2+($C86-AX$17)^2+($D86-AX$18)^2)</f>
        <v>0.644511621247068</v>
      </c>
      <c r="AY86" s="17" t="n">
        <f aca="false">SQRT(($B86-AY$16)^2+($C86-AY$17)^2+($D86-AY$18)^2)</f>
        <v>1.03932283451248</v>
      </c>
      <c r="AZ86" s="63" t="n">
        <f aca="false">MATCH(MIN(AW86:AY86),AW86:AY86,0)</f>
        <v>2</v>
      </c>
      <c r="BB86" s="17" t="n">
        <f aca="false">SQRT(($B86-BB$16)^2+($C86-BB$17)^2+($D86-BB$18)^2)</f>
        <v>3.37257148906026</v>
      </c>
      <c r="BC86" s="17" t="n">
        <f aca="false">SQRT(($B86-BC$16)^2+($C86-BC$17)^2+($D86-BC$18)^2)</f>
        <v>0.644511621247068</v>
      </c>
      <c r="BD86" s="17" t="n">
        <f aca="false">SQRT(($B86-BD$16)^2+($C86-BD$17)^2+($D86-BD$18)^2)</f>
        <v>1.03932283451248</v>
      </c>
      <c r="BE86" s="63" t="n">
        <f aca="false">MATCH(MIN(BB86:BD86),BB86:BD86,0)</f>
        <v>2</v>
      </c>
      <c r="BG86" s="17" t="n">
        <f aca="false">SQRT(($B86-BG$16)^2+($C86-BG$17)^2+($D86-BG$18)^2)</f>
        <v>3.37257148906026</v>
      </c>
      <c r="BH86" s="17" t="n">
        <f aca="false">SQRT(($B86-BH$16)^2+($C86-BH$17)^2+($D86-BH$18)^2)</f>
        <v>0.644511621247068</v>
      </c>
      <c r="BI86" s="17" t="n">
        <f aca="false">SQRT(($B86-BI$16)^2+($C86-BI$17)^2+($D86-BI$18)^2)</f>
        <v>1.03932283451248</v>
      </c>
      <c r="BJ86" s="63" t="n">
        <f aca="false">MATCH(MIN(BG86:BI86),BG86:BI86,0)</f>
        <v>2</v>
      </c>
      <c r="BL86" s="17" t="n">
        <f aca="false">SQRT(($B86-BL$16)^2+($C86-BL$17)^2+($D86-BL$18)^2)</f>
        <v>3.37257148906026</v>
      </c>
      <c r="BM86" s="17" t="n">
        <f aca="false">SQRT(($B86-BM$16)^2+($C86-BM$17)^2+($D86-BM$18)^2)</f>
        <v>0.644511621247068</v>
      </c>
      <c r="BN86" s="17" t="n">
        <f aca="false">SQRT(($B86-BN$16)^2+($C86-BN$17)^2+($D86-BN$18)^2)</f>
        <v>1.03932283451248</v>
      </c>
      <c r="BO86" s="63" t="n">
        <f aca="false">MATCH(MIN(BL86:BN86),BL86:BN86,0)</f>
        <v>2</v>
      </c>
      <c r="BQ86" s="17" t="n">
        <f aca="false">SQRT(($B86-BQ$16)^2+($C86-BQ$17)^2+($D86-BQ$18)^2)</f>
        <v>3.37257148906026</v>
      </c>
      <c r="BR86" s="17" t="n">
        <f aca="false">SQRT(($B86-BR$16)^2+($C86-BR$17)^2+($D86-BR$18)^2)</f>
        <v>0.644511621247068</v>
      </c>
      <c r="BS86" s="17" t="n">
        <f aca="false">SQRT(($B86-BS$16)^2+($C86-BS$17)^2+($D86-BS$18)^2)</f>
        <v>1.03932283451248</v>
      </c>
      <c r="BT86" s="63" t="n">
        <f aca="false">MATCH(MIN(BQ86:BS86),BQ86:BS86,0)</f>
        <v>2</v>
      </c>
      <c r="BV86" s="17" t="n">
        <f aca="false">SQRT(($B86-BV$16)^2+($C86-BV$17)^2+($D86-BV$18)^2)</f>
        <v>3.37257148906026</v>
      </c>
      <c r="BW86" s="17" t="n">
        <f aca="false">SQRT(($B86-BW$16)^2+($C86-BW$17)^2+($D86-BW$18)^2)</f>
        <v>0.644511621247068</v>
      </c>
      <c r="BX86" s="17" t="n">
        <f aca="false">SQRT(($B86-BX$16)^2+($C86-BX$17)^2+($D86-BX$18)^2)</f>
        <v>1.03932283451248</v>
      </c>
      <c r="BY86" s="63" t="n">
        <f aca="false">MATCH(MIN(BV86:BX86),BV86:BX86,0)</f>
        <v>2</v>
      </c>
      <c r="CA86" s="17" t="n">
        <f aca="false">SQRT(($B86-CA$16)^2+($C86-CA$17)^2+($D86-CA$18)^2)</f>
        <v>3.37257148906026</v>
      </c>
      <c r="CB86" s="17" t="n">
        <f aca="false">SQRT(($B86-CB$16)^2+($C86-CB$17)^2+($D86-CB$18)^2)</f>
        <v>0.644511621247068</v>
      </c>
      <c r="CC86" s="17" t="n">
        <f aca="false">SQRT(($B86-CC$16)^2+($C86-CC$17)^2+($D86-CC$18)^2)</f>
        <v>1.03932283451248</v>
      </c>
      <c r="CD86" s="63" t="n">
        <f aca="false">MATCH(MIN(CA86:CC86),CA86:CC86,0)</f>
        <v>2</v>
      </c>
    </row>
    <row r="87" customFormat="false" ht="15" hidden="false" customHeight="false" outlineLevel="0" collapsed="false">
      <c r="A87" s="76" t="n">
        <f aca="false">Phase_Data!A69</f>
        <v>43951</v>
      </c>
      <c r="B87" s="17" t="n">
        <f aca="false">Phase_Data!K69</f>
        <v>0.479053469247286</v>
      </c>
      <c r="C87" s="17" t="n">
        <f aca="false">Phase_Data!L69</f>
        <v>0.475103226217211</v>
      </c>
      <c r="D87" s="17" t="n">
        <f aca="false">Phase_Data!M69</f>
        <v>-1.27778805060034</v>
      </c>
      <c r="E87" s="63" t="n">
        <f aca="false">CD87</f>
        <v>3</v>
      </c>
      <c r="F87" s="38" t="n">
        <f aca="false">($B87-INDEX($L$16:$N$16,E87))^2+($C87-INDEX($L$17:$N$17,E87))^2+($D87-INDEX($L$18:$N$18,E87))^2</f>
        <v>1.75752929852812</v>
      </c>
      <c r="G87" s="12" t="str">
        <f aca="false">INDEX($M$5:$M$7,E87)</f>
        <v>Medium activity</v>
      </c>
      <c r="X87" s="17" t="n">
        <f aca="false">SQRT(($B87-X$16)^2+($C87-X$17)^2+($D87-X$18)^2)</f>
        <v>2.77784312844164</v>
      </c>
      <c r="Y87" s="17" t="n">
        <f aca="false">SQRT(($B87-Y$16)^2+($C87-Y$17)^2+($D87-Y$18)^2)</f>
        <v>3.17463199124008</v>
      </c>
      <c r="Z87" s="17" t="n">
        <f aca="false">SQRT(($B87-Z$16)^2+($C87-Z$17)^2+($D87-Z$18)^2)</f>
        <v>0.353969845729978</v>
      </c>
      <c r="AA87" s="63" t="n">
        <f aca="false">MATCH(MIN(X87:Z87),X87:Z87,0)</f>
        <v>3</v>
      </c>
      <c r="AC87" s="17" t="n">
        <f aca="false">SQRT(($B87-AC$16)^2+($C87-AC$17)^2+($D87-AC$18)^2)</f>
        <v>2.42555299452448</v>
      </c>
      <c r="AD87" s="17" t="n">
        <f aca="false">SQRT(($B87-AD$16)^2+($C87-AD$17)^2+($D87-AD$18)^2)</f>
        <v>2.41690508998724</v>
      </c>
      <c r="AE87" s="17" t="n">
        <f aca="false">SQRT(($B87-AE$16)^2+($C87-AE$17)^2+($D87-AE$18)^2)</f>
        <v>1.2051088822167</v>
      </c>
      <c r="AF87" s="63" t="n">
        <f aca="false">MATCH(MIN(AC87:AE87),AC87:AE87,0)</f>
        <v>3</v>
      </c>
      <c r="AH87" s="17" t="n">
        <f aca="false">SQRT(($B87-AH$16)^2+($C87-AH$17)^2+($D87-AH$18)^2)</f>
        <v>2.49366735319274</v>
      </c>
      <c r="AI87" s="17" t="n">
        <f aca="false">SQRT(($B87-AI$16)^2+($C87-AI$17)^2+($D87-AI$18)^2)</f>
        <v>2.51710445339337</v>
      </c>
      <c r="AJ87" s="17" t="n">
        <f aca="false">SQRT(($B87-AJ$16)^2+($C87-AJ$17)^2+($D87-AJ$18)^2)</f>
        <v>1.30880195226635</v>
      </c>
      <c r="AK87" s="63" t="n">
        <f aca="false">MATCH(MIN(AH87:AJ87),AH87:AJ87,0)</f>
        <v>3</v>
      </c>
      <c r="AM87" s="17" t="n">
        <f aca="false">SQRT(($B87-AM$16)^2+($C87-AM$17)^2+($D87-AM$18)^2)</f>
        <v>2.52990652581824</v>
      </c>
      <c r="AN87" s="17" t="n">
        <f aca="false">SQRT(($B87-AN$16)^2+($C87-AN$17)^2+($D87-AN$18)^2)</f>
        <v>2.53525289481545</v>
      </c>
      <c r="AO87" s="17" t="n">
        <f aca="false">SQRT(($B87-AO$16)^2+($C87-AO$17)^2+($D87-AO$18)^2)</f>
        <v>1.3257184084594</v>
      </c>
      <c r="AP87" s="63" t="n">
        <f aca="false">MATCH(MIN(AM87:AO87),AM87:AO87,0)</f>
        <v>3</v>
      </c>
      <c r="AR87" s="17" t="n">
        <f aca="false">SQRT(($B87-AR$16)^2+($C87-AR$17)^2+($D87-AR$18)^2)</f>
        <v>2.52990652581824</v>
      </c>
      <c r="AS87" s="17" t="n">
        <f aca="false">SQRT(($B87-AS$16)^2+($C87-AS$17)^2+($D87-AS$18)^2)</f>
        <v>2.53525289481545</v>
      </c>
      <c r="AT87" s="17" t="n">
        <f aca="false">SQRT(($B87-AT$16)^2+($C87-AT$17)^2+($D87-AT$18)^2)</f>
        <v>1.3257184084594</v>
      </c>
      <c r="AU87" s="63" t="n">
        <f aca="false">MATCH(MIN(AR87:AT87),AR87:AT87,0)</f>
        <v>3</v>
      </c>
      <c r="AW87" s="17" t="n">
        <f aca="false">SQRT(($B87-AW$16)^2+($C87-AW$17)^2+($D87-AW$18)^2)</f>
        <v>2.52990652581824</v>
      </c>
      <c r="AX87" s="17" t="n">
        <f aca="false">SQRT(($B87-AX$16)^2+($C87-AX$17)^2+($D87-AX$18)^2)</f>
        <v>2.53525289481545</v>
      </c>
      <c r="AY87" s="17" t="n">
        <f aca="false">SQRT(($B87-AY$16)^2+($C87-AY$17)^2+($D87-AY$18)^2)</f>
        <v>1.3257184084594</v>
      </c>
      <c r="AZ87" s="63" t="n">
        <f aca="false">MATCH(MIN(AW87:AY87),AW87:AY87,0)</f>
        <v>3</v>
      </c>
      <c r="BB87" s="17" t="n">
        <f aca="false">SQRT(($B87-BB$16)^2+($C87-BB$17)^2+($D87-BB$18)^2)</f>
        <v>2.52990652581824</v>
      </c>
      <c r="BC87" s="17" t="n">
        <f aca="false">SQRT(($B87-BC$16)^2+($C87-BC$17)^2+($D87-BC$18)^2)</f>
        <v>2.53525289481545</v>
      </c>
      <c r="BD87" s="17" t="n">
        <f aca="false">SQRT(($B87-BD$16)^2+($C87-BD$17)^2+($D87-BD$18)^2)</f>
        <v>1.3257184084594</v>
      </c>
      <c r="BE87" s="63" t="n">
        <f aca="false">MATCH(MIN(BB87:BD87),BB87:BD87,0)</f>
        <v>3</v>
      </c>
      <c r="BG87" s="17" t="n">
        <f aca="false">SQRT(($B87-BG$16)^2+($C87-BG$17)^2+($D87-BG$18)^2)</f>
        <v>2.52990652581824</v>
      </c>
      <c r="BH87" s="17" t="n">
        <f aca="false">SQRT(($B87-BH$16)^2+($C87-BH$17)^2+($D87-BH$18)^2)</f>
        <v>2.53525289481545</v>
      </c>
      <c r="BI87" s="17" t="n">
        <f aca="false">SQRT(($B87-BI$16)^2+($C87-BI$17)^2+($D87-BI$18)^2)</f>
        <v>1.3257184084594</v>
      </c>
      <c r="BJ87" s="63" t="n">
        <f aca="false">MATCH(MIN(BG87:BI87),BG87:BI87,0)</f>
        <v>3</v>
      </c>
      <c r="BL87" s="17" t="n">
        <f aca="false">SQRT(($B87-BL$16)^2+($C87-BL$17)^2+($D87-BL$18)^2)</f>
        <v>2.52990652581824</v>
      </c>
      <c r="BM87" s="17" t="n">
        <f aca="false">SQRT(($B87-BM$16)^2+($C87-BM$17)^2+($D87-BM$18)^2)</f>
        <v>2.53525289481545</v>
      </c>
      <c r="BN87" s="17" t="n">
        <f aca="false">SQRT(($B87-BN$16)^2+($C87-BN$17)^2+($D87-BN$18)^2)</f>
        <v>1.3257184084594</v>
      </c>
      <c r="BO87" s="63" t="n">
        <f aca="false">MATCH(MIN(BL87:BN87),BL87:BN87,0)</f>
        <v>3</v>
      </c>
      <c r="BQ87" s="17" t="n">
        <f aca="false">SQRT(($B87-BQ$16)^2+($C87-BQ$17)^2+($D87-BQ$18)^2)</f>
        <v>2.52990652581824</v>
      </c>
      <c r="BR87" s="17" t="n">
        <f aca="false">SQRT(($B87-BR$16)^2+($C87-BR$17)^2+($D87-BR$18)^2)</f>
        <v>2.53525289481545</v>
      </c>
      <c r="BS87" s="17" t="n">
        <f aca="false">SQRT(($B87-BS$16)^2+($C87-BS$17)^2+($D87-BS$18)^2)</f>
        <v>1.3257184084594</v>
      </c>
      <c r="BT87" s="63" t="n">
        <f aca="false">MATCH(MIN(BQ87:BS87),BQ87:BS87,0)</f>
        <v>3</v>
      </c>
      <c r="BV87" s="17" t="n">
        <f aca="false">SQRT(($B87-BV$16)^2+($C87-BV$17)^2+($D87-BV$18)^2)</f>
        <v>2.52990652581824</v>
      </c>
      <c r="BW87" s="17" t="n">
        <f aca="false">SQRT(($B87-BW$16)^2+($C87-BW$17)^2+($D87-BW$18)^2)</f>
        <v>2.53525289481545</v>
      </c>
      <c r="BX87" s="17" t="n">
        <f aca="false">SQRT(($B87-BX$16)^2+($C87-BX$17)^2+($D87-BX$18)^2)</f>
        <v>1.3257184084594</v>
      </c>
      <c r="BY87" s="63" t="n">
        <f aca="false">MATCH(MIN(BV87:BX87),BV87:BX87,0)</f>
        <v>3</v>
      </c>
      <c r="CA87" s="17" t="n">
        <f aca="false">SQRT(($B87-CA$16)^2+($C87-CA$17)^2+($D87-CA$18)^2)</f>
        <v>2.52990652581824</v>
      </c>
      <c r="CB87" s="17" t="n">
        <f aca="false">SQRT(($B87-CB$16)^2+($C87-CB$17)^2+($D87-CB$18)^2)</f>
        <v>2.53525289481545</v>
      </c>
      <c r="CC87" s="17" t="n">
        <f aca="false">SQRT(($B87-CC$16)^2+($C87-CC$17)^2+($D87-CC$18)^2)</f>
        <v>1.3257184084594</v>
      </c>
      <c r="CD87" s="63" t="n">
        <f aca="false">MATCH(MIN(CA87:CC87),CA87:CC87,0)</f>
        <v>3</v>
      </c>
    </row>
    <row r="88" customFormat="false" ht="15" hidden="false" customHeight="false" outlineLevel="0" collapsed="false">
      <c r="A88" s="76" t="n">
        <f aca="false">Phase_Data!A70</f>
        <v>43952</v>
      </c>
      <c r="B88" s="17" t="n">
        <f aca="false">Phase_Data!K70</f>
        <v>0.668761505519505</v>
      </c>
      <c r="C88" s="17" t="n">
        <f aca="false">Phase_Data!L70</f>
        <v>0.750415929951543</v>
      </c>
      <c r="D88" s="17" t="n">
        <f aca="false">Phase_Data!M70</f>
        <v>0.56989110237154</v>
      </c>
      <c r="E88" s="63" t="n">
        <f aca="false">CD88</f>
        <v>2</v>
      </c>
      <c r="F88" s="38" t="n">
        <f aca="false">($B88-INDEX($L$16:$N$16,E88))^2+($C88-INDEX($L$17:$N$17,E88))^2+($D88-INDEX($L$18:$N$18,E88))^2</f>
        <v>0.495199668252208</v>
      </c>
      <c r="G88" s="12" t="str">
        <f aca="false">INDEX($M$5:$M$7,E88)</f>
        <v>High activity</v>
      </c>
      <c r="X88" s="17" t="n">
        <f aca="false">SQRT(($B88-X$16)^2+($C88-X$17)^2+($D88-X$18)^2)</f>
        <v>3.61299337278487</v>
      </c>
      <c r="Y88" s="17" t="n">
        <f aca="false">SQRT(($B88-Y$16)^2+($C88-Y$17)^2+($D88-Y$18)^2)</f>
        <v>1.40736640910319</v>
      </c>
      <c r="Z88" s="17" t="n">
        <f aca="false">SQRT(($B88-Z$16)^2+($C88-Z$17)^2+($D88-Z$18)^2)</f>
        <v>1.84789944841506</v>
      </c>
      <c r="AA88" s="63" t="n">
        <f aca="false">MATCH(MIN(X88:Z88),X88:Z88,0)</f>
        <v>2</v>
      </c>
      <c r="AC88" s="17" t="n">
        <f aca="false">SQRT(($B88-AC$16)^2+($C88-AC$17)^2+($D88-AC$18)^2)</f>
        <v>3.22580807482829</v>
      </c>
      <c r="AD88" s="17" t="n">
        <f aca="false">SQRT(($B88-AD$16)^2+($C88-AD$17)^2+($D88-AD$18)^2)</f>
        <v>0.550268785673561</v>
      </c>
      <c r="AE88" s="17" t="n">
        <f aca="false">SQRT(($B88-AE$16)^2+($C88-AE$17)^2+($D88-AE$18)^2)</f>
        <v>0.986420930035755</v>
      </c>
      <c r="AF88" s="63" t="n">
        <f aca="false">MATCH(MIN(AC88:AE88),AC88:AE88,0)</f>
        <v>2</v>
      </c>
      <c r="AH88" s="17" t="n">
        <f aca="false">SQRT(($B88-AH$16)^2+($C88-AH$17)^2+($D88-AH$18)^2)</f>
        <v>3.31303221021874</v>
      </c>
      <c r="AI88" s="17" t="n">
        <f aca="false">SQRT(($B88-AI$16)^2+($C88-AI$17)^2+($D88-AI$18)^2)</f>
        <v>0.677256743749446</v>
      </c>
      <c r="AJ88" s="17" t="n">
        <f aca="false">SQRT(($B88-AJ$16)^2+($C88-AJ$17)^2+($D88-AJ$18)^2)</f>
        <v>0.967307980852379</v>
      </c>
      <c r="AK88" s="63" t="n">
        <f aca="false">MATCH(MIN(AH88:AJ88),AH88:AJ88,0)</f>
        <v>2</v>
      </c>
      <c r="AM88" s="17" t="n">
        <f aca="false">SQRT(($B88-AM$16)^2+($C88-AM$17)^2+($D88-AM$18)^2)</f>
        <v>3.3551416247069</v>
      </c>
      <c r="AN88" s="17" t="n">
        <f aca="false">SQRT(($B88-AN$16)^2+($C88-AN$17)^2+($D88-AN$18)^2)</f>
        <v>0.703704247715053</v>
      </c>
      <c r="AO88" s="17" t="n">
        <f aca="false">SQRT(($B88-AO$16)^2+($C88-AO$17)^2+($D88-AO$18)^2)</f>
        <v>0.981733413384742</v>
      </c>
      <c r="AP88" s="63" t="n">
        <f aca="false">MATCH(MIN(AM88:AO88),AM88:AO88,0)</f>
        <v>2</v>
      </c>
      <c r="AR88" s="17" t="n">
        <f aca="false">SQRT(($B88-AR$16)^2+($C88-AR$17)^2+($D88-AR$18)^2)</f>
        <v>3.3551416247069</v>
      </c>
      <c r="AS88" s="17" t="n">
        <f aca="false">SQRT(($B88-AS$16)^2+($C88-AS$17)^2+($D88-AS$18)^2)</f>
        <v>0.703704247715053</v>
      </c>
      <c r="AT88" s="17" t="n">
        <f aca="false">SQRT(($B88-AT$16)^2+($C88-AT$17)^2+($D88-AT$18)^2)</f>
        <v>0.981733413384742</v>
      </c>
      <c r="AU88" s="63" t="n">
        <f aca="false">MATCH(MIN(AR88:AT88),AR88:AT88,0)</f>
        <v>2</v>
      </c>
      <c r="AW88" s="17" t="n">
        <f aca="false">SQRT(($B88-AW$16)^2+($C88-AW$17)^2+($D88-AW$18)^2)</f>
        <v>3.3551416247069</v>
      </c>
      <c r="AX88" s="17" t="n">
        <f aca="false">SQRT(($B88-AX$16)^2+($C88-AX$17)^2+($D88-AX$18)^2)</f>
        <v>0.703704247715053</v>
      </c>
      <c r="AY88" s="17" t="n">
        <f aca="false">SQRT(($B88-AY$16)^2+($C88-AY$17)^2+($D88-AY$18)^2)</f>
        <v>0.981733413384742</v>
      </c>
      <c r="AZ88" s="63" t="n">
        <f aca="false">MATCH(MIN(AW88:AY88),AW88:AY88,0)</f>
        <v>2</v>
      </c>
      <c r="BB88" s="17" t="n">
        <f aca="false">SQRT(($B88-BB$16)^2+($C88-BB$17)^2+($D88-BB$18)^2)</f>
        <v>3.3551416247069</v>
      </c>
      <c r="BC88" s="17" t="n">
        <f aca="false">SQRT(($B88-BC$16)^2+($C88-BC$17)^2+($D88-BC$18)^2)</f>
        <v>0.703704247715053</v>
      </c>
      <c r="BD88" s="17" t="n">
        <f aca="false">SQRT(($B88-BD$16)^2+($C88-BD$17)^2+($D88-BD$18)^2)</f>
        <v>0.981733413384742</v>
      </c>
      <c r="BE88" s="63" t="n">
        <f aca="false">MATCH(MIN(BB88:BD88),BB88:BD88,0)</f>
        <v>2</v>
      </c>
      <c r="BG88" s="17" t="n">
        <f aca="false">SQRT(($B88-BG$16)^2+($C88-BG$17)^2+($D88-BG$18)^2)</f>
        <v>3.3551416247069</v>
      </c>
      <c r="BH88" s="17" t="n">
        <f aca="false">SQRT(($B88-BH$16)^2+($C88-BH$17)^2+($D88-BH$18)^2)</f>
        <v>0.703704247715053</v>
      </c>
      <c r="BI88" s="17" t="n">
        <f aca="false">SQRT(($B88-BI$16)^2+($C88-BI$17)^2+($D88-BI$18)^2)</f>
        <v>0.981733413384742</v>
      </c>
      <c r="BJ88" s="63" t="n">
        <f aca="false">MATCH(MIN(BG88:BI88),BG88:BI88,0)</f>
        <v>2</v>
      </c>
      <c r="BL88" s="17" t="n">
        <f aca="false">SQRT(($B88-BL$16)^2+($C88-BL$17)^2+($D88-BL$18)^2)</f>
        <v>3.3551416247069</v>
      </c>
      <c r="BM88" s="17" t="n">
        <f aca="false">SQRT(($B88-BM$16)^2+($C88-BM$17)^2+($D88-BM$18)^2)</f>
        <v>0.703704247715053</v>
      </c>
      <c r="BN88" s="17" t="n">
        <f aca="false">SQRT(($B88-BN$16)^2+($C88-BN$17)^2+($D88-BN$18)^2)</f>
        <v>0.981733413384742</v>
      </c>
      <c r="BO88" s="63" t="n">
        <f aca="false">MATCH(MIN(BL88:BN88),BL88:BN88,0)</f>
        <v>2</v>
      </c>
      <c r="BQ88" s="17" t="n">
        <f aca="false">SQRT(($B88-BQ$16)^2+($C88-BQ$17)^2+($D88-BQ$18)^2)</f>
        <v>3.3551416247069</v>
      </c>
      <c r="BR88" s="17" t="n">
        <f aca="false">SQRT(($B88-BR$16)^2+($C88-BR$17)^2+($D88-BR$18)^2)</f>
        <v>0.703704247715053</v>
      </c>
      <c r="BS88" s="17" t="n">
        <f aca="false">SQRT(($B88-BS$16)^2+($C88-BS$17)^2+($D88-BS$18)^2)</f>
        <v>0.981733413384742</v>
      </c>
      <c r="BT88" s="63" t="n">
        <f aca="false">MATCH(MIN(BQ88:BS88),BQ88:BS88,0)</f>
        <v>2</v>
      </c>
      <c r="BV88" s="17" t="n">
        <f aca="false">SQRT(($B88-BV$16)^2+($C88-BV$17)^2+($D88-BV$18)^2)</f>
        <v>3.3551416247069</v>
      </c>
      <c r="BW88" s="17" t="n">
        <f aca="false">SQRT(($B88-BW$16)^2+($C88-BW$17)^2+($D88-BW$18)^2)</f>
        <v>0.703704247715053</v>
      </c>
      <c r="BX88" s="17" t="n">
        <f aca="false">SQRT(($B88-BX$16)^2+($C88-BX$17)^2+($D88-BX$18)^2)</f>
        <v>0.981733413384742</v>
      </c>
      <c r="BY88" s="63" t="n">
        <f aca="false">MATCH(MIN(BV88:BX88),BV88:BX88,0)</f>
        <v>2</v>
      </c>
      <c r="CA88" s="17" t="n">
        <f aca="false">SQRT(($B88-CA$16)^2+($C88-CA$17)^2+($D88-CA$18)^2)</f>
        <v>3.3551416247069</v>
      </c>
      <c r="CB88" s="17" t="n">
        <f aca="false">SQRT(($B88-CB$16)^2+($C88-CB$17)^2+($D88-CB$18)^2)</f>
        <v>0.703704247715053</v>
      </c>
      <c r="CC88" s="17" t="n">
        <f aca="false">SQRT(($B88-CC$16)^2+($C88-CC$17)^2+($D88-CC$18)^2)</f>
        <v>0.981733413384742</v>
      </c>
      <c r="CD88" s="63" t="n">
        <f aca="false">MATCH(MIN(CA88:CC88),CA88:CC88,0)</f>
        <v>2</v>
      </c>
    </row>
    <row r="89" customFormat="false" ht="15" hidden="false" customHeight="false" outlineLevel="0" collapsed="false">
      <c r="A89" s="76" t="n">
        <f aca="false">Phase_Data!A71</f>
        <v>43953</v>
      </c>
      <c r="B89" s="17" t="n">
        <f aca="false">Phase_Data!K71</f>
        <v>0.688049829385722</v>
      </c>
      <c r="C89" s="17" t="n">
        <f aca="false">Phase_Data!L71</f>
        <v>0.778134255051422</v>
      </c>
      <c r="D89" s="17" t="n">
        <f aca="false">Phase_Data!M71</f>
        <v>0.182677820285941</v>
      </c>
      <c r="E89" s="63" t="n">
        <f aca="false">CD89</f>
        <v>3</v>
      </c>
      <c r="F89" s="38" t="n">
        <f aca="false">($B89-INDEX($L$16:$N$16,E89))^2+($C89-INDEX($L$17:$N$17,E89))^2+($D89-INDEX($L$18:$N$18,E89))^2</f>
        <v>0.703669924289364</v>
      </c>
      <c r="G89" s="12" t="str">
        <f aca="false">INDEX($M$5:$M$7,E89)</f>
        <v>Medium activity</v>
      </c>
      <c r="X89" s="17" t="n">
        <f aca="false">SQRT(($B89-X$16)^2+($C89-X$17)^2+($D89-X$18)^2)</f>
        <v>3.46116256940535</v>
      </c>
      <c r="Y89" s="17" t="n">
        <f aca="false">SQRT(($B89-Y$16)^2+($C89-Y$17)^2+($D89-Y$18)^2)</f>
        <v>1.70317079467544</v>
      </c>
      <c r="Z89" s="17" t="n">
        <f aca="false">SQRT(($B89-Z$16)^2+($C89-Z$17)^2+($D89-Z$18)^2)</f>
        <v>1.4606982994082</v>
      </c>
      <c r="AA89" s="63" t="n">
        <f aca="false">MATCH(MIN(X89:Z89),X89:Z89,0)</f>
        <v>3</v>
      </c>
      <c r="AC89" s="17" t="n">
        <f aca="false">SQRT(($B89-AC$16)^2+($C89-AC$17)^2+($D89-AC$18)^2)</f>
        <v>3.07164459699997</v>
      </c>
      <c r="AD89" s="17" t="n">
        <f aca="false">SQRT(($B89-AD$16)^2+($C89-AD$17)^2+($D89-AD$18)^2)</f>
        <v>0.911443227697527</v>
      </c>
      <c r="AE89" s="17" t="n">
        <f aca="false">SQRT(($B89-AE$16)^2+($C89-AE$17)^2+($D89-AE$18)^2)</f>
        <v>0.793795241965309</v>
      </c>
      <c r="AF89" s="63" t="n">
        <f aca="false">MATCH(MIN(AC89:AE89),AC89:AE89,0)</f>
        <v>3</v>
      </c>
      <c r="AH89" s="17" t="n">
        <f aca="false">SQRT(($B89-AH$16)^2+($C89-AH$17)^2+($D89-AH$18)^2)</f>
        <v>3.15746453444131</v>
      </c>
      <c r="AI89" s="17" t="n">
        <f aca="false">SQRT(($B89-AI$16)^2+($C89-AI$17)^2+($D89-AI$18)^2)</f>
        <v>1.01327452132805</v>
      </c>
      <c r="AJ89" s="17" t="n">
        <f aca="false">SQRT(($B89-AJ$16)^2+($C89-AJ$17)^2+($D89-AJ$18)^2)</f>
        <v>0.816652750789193</v>
      </c>
      <c r="AK89" s="63" t="n">
        <f aca="false">MATCH(MIN(AH89:AJ89),AH89:AJ89,0)</f>
        <v>3</v>
      </c>
      <c r="AM89" s="17" t="n">
        <f aca="false">SQRT(($B89-AM$16)^2+($C89-AM$17)^2+($D89-AM$18)^2)</f>
        <v>3.19945537481993</v>
      </c>
      <c r="AN89" s="17" t="n">
        <f aca="false">SQRT(($B89-AN$16)^2+($C89-AN$17)^2+($D89-AN$18)^2)</f>
        <v>1.03328899936129</v>
      </c>
      <c r="AO89" s="17" t="n">
        <f aca="false">SQRT(($B89-AO$16)^2+($C89-AO$17)^2+($D89-AO$18)^2)</f>
        <v>0.838850358698954</v>
      </c>
      <c r="AP89" s="63" t="n">
        <f aca="false">MATCH(MIN(AM89:AO89),AM89:AO89,0)</f>
        <v>3</v>
      </c>
      <c r="AR89" s="17" t="n">
        <f aca="false">SQRT(($B89-AR$16)^2+($C89-AR$17)^2+($D89-AR$18)^2)</f>
        <v>3.19945537481993</v>
      </c>
      <c r="AS89" s="17" t="n">
        <f aca="false">SQRT(($B89-AS$16)^2+($C89-AS$17)^2+($D89-AS$18)^2)</f>
        <v>1.03328899936129</v>
      </c>
      <c r="AT89" s="17" t="n">
        <f aca="false">SQRT(($B89-AT$16)^2+($C89-AT$17)^2+($D89-AT$18)^2)</f>
        <v>0.838850358698954</v>
      </c>
      <c r="AU89" s="63" t="n">
        <f aca="false">MATCH(MIN(AR89:AT89),AR89:AT89,0)</f>
        <v>3</v>
      </c>
      <c r="AW89" s="17" t="n">
        <f aca="false">SQRT(($B89-AW$16)^2+($C89-AW$17)^2+($D89-AW$18)^2)</f>
        <v>3.19945537481993</v>
      </c>
      <c r="AX89" s="17" t="n">
        <f aca="false">SQRT(($B89-AX$16)^2+($C89-AX$17)^2+($D89-AX$18)^2)</f>
        <v>1.03328899936129</v>
      </c>
      <c r="AY89" s="17" t="n">
        <f aca="false">SQRT(($B89-AY$16)^2+($C89-AY$17)^2+($D89-AY$18)^2)</f>
        <v>0.838850358698954</v>
      </c>
      <c r="AZ89" s="63" t="n">
        <f aca="false">MATCH(MIN(AW89:AY89),AW89:AY89,0)</f>
        <v>3</v>
      </c>
      <c r="BB89" s="17" t="n">
        <f aca="false">SQRT(($B89-BB$16)^2+($C89-BB$17)^2+($D89-BB$18)^2)</f>
        <v>3.19945537481993</v>
      </c>
      <c r="BC89" s="17" t="n">
        <f aca="false">SQRT(($B89-BC$16)^2+($C89-BC$17)^2+($D89-BC$18)^2)</f>
        <v>1.03328899936129</v>
      </c>
      <c r="BD89" s="17" t="n">
        <f aca="false">SQRT(($B89-BD$16)^2+($C89-BD$17)^2+($D89-BD$18)^2)</f>
        <v>0.838850358698954</v>
      </c>
      <c r="BE89" s="63" t="n">
        <f aca="false">MATCH(MIN(BB89:BD89),BB89:BD89,0)</f>
        <v>3</v>
      </c>
      <c r="BG89" s="17" t="n">
        <f aca="false">SQRT(($B89-BG$16)^2+($C89-BG$17)^2+($D89-BG$18)^2)</f>
        <v>3.19945537481993</v>
      </c>
      <c r="BH89" s="17" t="n">
        <f aca="false">SQRT(($B89-BH$16)^2+($C89-BH$17)^2+($D89-BH$18)^2)</f>
        <v>1.03328899936129</v>
      </c>
      <c r="BI89" s="17" t="n">
        <f aca="false">SQRT(($B89-BI$16)^2+($C89-BI$17)^2+($D89-BI$18)^2)</f>
        <v>0.838850358698954</v>
      </c>
      <c r="BJ89" s="63" t="n">
        <f aca="false">MATCH(MIN(BG89:BI89),BG89:BI89,0)</f>
        <v>3</v>
      </c>
      <c r="BL89" s="17" t="n">
        <f aca="false">SQRT(($B89-BL$16)^2+($C89-BL$17)^2+($D89-BL$18)^2)</f>
        <v>3.19945537481993</v>
      </c>
      <c r="BM89" s="17" t="n">
        <f aca="false">SQRT(($B89-BM$16)^2+($C89-BM$17)^2+($D89-BM$18)^2)</f>
        <v>1.03328899936129</v>
      </c>
      <c r="BN89" s="17" t="n">
        <f aca="false">SQRT(($B89-BN$16)^2+($C89-BN$17)^2+($D89-BN$18)^2)</f>
        <v>0.838850358698954</v>
      </c>
      <c r="BO89" s="63" t="n">
        <f aca="false">MATCH(MIN(BL89:BN89),BL89:BN89,0)</f>
        <v>3</v>
      </c>
      <c r="BQ89" s="17" t="n">
        <f aca="false">SQRT(($B89-BQ$16)^2+($C89-BQ$17)^2+($D89-BQ$18)^2)</f>
        <v>3.19945537481993</v>
      </c>
      <c r="BR89" s="17" t="n">
        <f aca="false">SQRT(($B89-BR$16)^2+($C89-BR$17)^2+($D89-BR$18)^2)</f>
        <v>1.03328899936129</v>
      </c>
      <c r="BS89" s="17" t="n">
        <f aca="false">SQRT(($B89-BS$16)^2+($C89-BS$17)^2+($D89-BS$18)^2)</f>
        <v>0.838850358698954</v>
      </c>
      <c r="BT89" s="63" t="n">
        <f aca="false">MATCH(MIN(BQ89:BS89),BQ89:BS89,0)</f>
        <v>3</v>
      </c>
      <c r="BV89" s="17" t="n">
        <f aca="false">SQRT(($B89-BV$16)^2+($C89-BV$17)^2+($D89-BV$18)^2)</f>
        <v>3.19945537481993</v>
      </c>
      <c r="BW89" s="17" t="n">
        <f aca="false">SQRT(($B89-BW$16)^2+($C89-BW$17)^2+($D89-BW$18)^2)</f>
        <v>1.03328899936129</v>
      </c>
      <c r="BX89" s="17" t="n">
        <f aca="false">SQRT(($B89-BX$16)^2+($C89-BX$17)^2+($D89-BX$18)^2)</f>
        <v>0.838850358698954</v>
      </c>
      <c r="BY89" s="63" t="n">
        <f aca="false">MATCH(MIN(BV89:BX89),BV89:BX89,0)</f>
        <v>3</v>
      </c>
      <c r="CA89" s="17" t="n">
        <f aca="false">SQRT(($B89-CA$16)^2+($C89-CA$17)^2+($D89-CA$18)^2)</f>
        <v>3.19945537481993</v>
      </c>
      <c r="CB89" s="17" t="n">
        <f aca="false">SQRT(($B89-CB$16)^2+($C89-CB$17)^2+($D89-CB$18)^2)</f>
        <v>1.03328899936129</v>
      </c>
      <c r="CC89" s="17" t="n">
        <f aca="false">SQRT(($B89-CC$16)^2+($C89-CC$17)^2+($D89-CC$18)^2)</f>
        <v>0.838850358698954</v>
      </c>
      <c r="CD89" s="63" t="n">
        <f aca="false">MATCH(MIN(CA89:CC89),CA89:CC89,0)</f>
        <v>3</v>
      </c>
    </row>
    <row r="90" customFormat="false" ht="15" hidden="false" customHeight="false" outlineLevel="0" collapsed="false">
      <c r="A90" s="76" t="n">
        <f aca="false">Phase_Data!A72</f>
        <v>43954</v>
      </c>
      <c r="B90" s="17" t="n">
        <f aca="false">Phase_Data!K72</f>
        <v>0.759136538860208</v>
      </c>
      <c r="C90" s="17" t="n">
        <f aca="false">Phase_Data!L72</f>
        <v>0.92419588734005</v>
      </c>
      <c r="D90" s="17" t="n">
        <f aca="false">Phase_Data!M72</f>
        <v>-1.27778805060034</v>
      </c>
      <c r="E90" s="63" t="n">
        <f aca="false">CD90</f>
        <v>3</v>
      </c>
      <c r="F90" s="38" t="n">
        <f aca="false">($B90-INDEX($L$16:$N$16,E90))^2+($C90-INDEX($L$17:$N$17,E90))^2+($D90-INDEX($L$18:$N$18,E90))^2</f>
        <v>2.50766943913598</v>
      </c>
      <c r="G90" s="12" t="str">
        <f aca="false">INDEX($M$5:$M$7,E90)</f>
        <v>Medium activity</v>
      </c>
      <c r="X90" s="17" t="n">
        <f aca="false">SQRT(($B90-X$16)^2+($C90-X$17)^2+($D90-X$18)^2)</f>
        <v>3.29114942673593</v>
      </c>
      <c r="Y90" s="17" t="n">
        <f aca="false">SQRT(($B90-Y$16)^2+($C90-Y$17)^2+($D90-Y$18)^2)</f>
        <v>3.0073379351563</v>
      </c>
      <c r="Z90" s="17" t="n">
        <f aca="false">SQRT(($B90-Z$16)^2+($C90-Z$17)^2+($D90-Z$18)^2)</f>
        <v>0.17541630672522</v>
      </c>
      <c r="AA90" s="63" t="n">
        <f aca="false">MATCH(MIN(X90:Z90),X90:Z90,0)</f>
        <v>3</v>
      </c>
      <c r="AC90" s="17" t="n">
        <f aca="false">SQRT(($B90-AC$16)^2+($C90-AC$17)^2+($D90-AC$18)^2)</f>
        <v>2.94359346173798</v>
      </c>
      <c r="AD90" s="17" t="n">
        <f aca="false">SQRT(($B90-AD$16)^2+($C90-AD$17)^2+($D90-AD$18)^2)</f>
        <v>2.35330898988638</v>
      </c>
      <c r="AE90" s="17" t="n">
        <f aca="false">SQRT(($B90-AE$16)^2+($C90-AE$17)^2+($D90-AE$18)^2)</f>
        <v>1.4546886648823</v>
      </c>
      <c r="AF90" s="63" t="n">
        <f aca="false">MATCH(MIN(AC90:AE90),AC90:AE90,0)</f>
        <v>3</v>
      </c>
      <c r="AH90" s="17" t="n">
        <f aca="false">SQRT(($B90-AH$16)^2+($C90-AH$17)^2+($D90-AH$18)^2)</f>
        <v>3.01111344264379</v>
      </c>
      <c r="AI90" s="17" t="n">
        <f aca="false">SQRT(($B90-AI$16)^2+($C90-AI$17)^2+($D90-AI$18)^2)</f>
        <v>2.42397716096561</v>
      </c>
      <c r="AJ90" s="17" t="n">
        <f aca="false">SQRT(($B90-AJ$16)^2+($C90-AJ$17)^2+($D90-AJ$18)^2)</f>
        <v>1.56083208464735</v>
      </c>
      <c r="AK90" s="63" t="n">
        <f aca="false">MATCH(MIN(AH90:AJ90),AH90:AJ90,0)</f>
        <v>3</v>
      </c>
      <c r="AM90" s="17" t="n">
        <f aca="false">SQRT(($B90-AM$16)^2+($C90-AM$17)^2+($D90-AM$18)^2)</f>
        <v>3.04669597028628</v>
      </c>
      <c r="AN90" s="17" t="n">
        <f aca="false">SQRT(($B90-AN$16)^2+($C90-AN$17)^2+($D90-AN$18)^2)</f>
        <v>2.43530519614942</v>
      </c>
      <c r="AO90" s="17" t="n">
        <f aca="false">SQRT(($B90-AO$16)^2+($C90-AO$17)^2+($D90-AO$18)^2)</f>
        <v>1.58356226247533</v>
      </c>
      <c r="AP90" s="63" t="n">
        <f aca="false">MATCH(MIN(AM90:AO90),AM90:AO90,0)</f>
        <v>3</v>
      </c>
      <c r="AR90" s="17" t="n">
        <f aca="false">SQRT(($B90-AR$16)^2+($C90-AR$17)^2+($D90-AR$18)^2)</f>
        <v>3.04669597028628</v>
      </c>
      <c r="AS90" s="17" t="n">
        <f aca="false">SQRT(($B90-AS$16)^2+($C90-AS$17)^2+($D90-AS$18)^2)</f>
        <v>2.43530519614942</v>
      </c>
      <c r="AT90" s="17" t="n">
        <f aca="false">SQRT(($B90-AT$16)^2+($C90-AT$17)^2+($D90-AT$18)^2)</f>
        <v>1.58356226247533</v>
      </c>
      <c r="AU90" s="63" t="n">
        <f aca="false">MATCH(MIN(AR90:AT90),AR90:AT90,0)</f>
        <v>3</v>
      </c>
      <c r="AW90" s="17" t="n">
        <f aca="false">SQRT(($B90-AW$16)^2+($C90-AW$17)^2+($D90-AW$18)^2)</f>
        <v>3.04669597028628</v>
      </c>
      <c r="AX90" s="17" t="n">
        <f aca="false">SQRT(($B90-AX$16)^2+($C90-AX$17)^2+($D90-AX$18)^2)</f>
        <v>2.43530519614942</v>
      </c>
      <c r="AY90" s="17" t="n">
        <f aca="false">SQRT(($B90-AY$16)^2+($C90-AY$17)^2+($D90-AY$18)^2)</f>
        <v>1.58356226247533</v>
      </c>
      <c r="AZ90" s="63" t="n">
        <f aca="false">MATCH(MIN(AW90:AY90),AW90:AY90,0)</f>
        <v>3</v>
      </c>
      <c r="BB90" s="17" t="n">
        <f aca="false">SQRT(($B90-BB$16)^2+($C90-BB$17)^2+($D90-BB$18)^2)</f>
        <v>3.04669597028628</v>
      </c>
      <c r="BC90" s="17" t="n">
        <f aca="false">SQRT(($B90-BC$16)^2+($C90-BC$17)^2+($D90-BC$18)^2)</f>
        <v>2.43530519614942</v>
      </c>
      <c r="BD90" s="17" t="n">
        <f aca="false">SQRT(($B90-BD$16)^2+($C90-BD$17)^2+($D90-BD$18)^2)</f>
        <v>1.58356226247533</v>
      </c>
      <c r="BE90" s="63" t="n">
        <f aca="false">MATCH(MIN(BB90:BD90),BB90:BD90,0)</f>
        <v>3</v>
      </c>
      <c r="BG90" s="17" t="n">
        <f aca="false">SQRT(($B90-BG$16)^2+($C90-BG$17)^2+($D90-BG$18)^2)</f>
        <v>3.04669597028628</v>
      </c>
      <c r="BH90" s="17" t="n">
        <f aca="false">SQRT(($B90-BH$16)^2+($C90-BH$17)^2+($D90-BH$18)^2)</f>
        <v>2.43530519614942</v>
      </c>
      <c r="BI90" s="17" t="n">
        <f aca="false">SQRT(($B90-BI$16)^2+($C90-BI$17)^2+($D90-BI$18)^2)</f>
        <v>1.58356226247533</v>
      </c>
      <c r="BJ90" s="63" t="n">
        <f aca="false">MATCH(MIN(BG90:BI90),BG90:BI90,0)</f>
        <v>3</v>
      </c>
      <c r="BL90" s="17" t="n">
        <f aca="false">SQRT(($B90-BL$16)^2+($C90-BL$17)^2+($D90-BL$18)^2)</f>
        <v>3.04669597028628</v>
      </c>
      <c r="BM90" s="17" t="n">
        <f aca="false">SQRT(($B90-BM$16)^2+($C90-BM$17)^2+($D90-BM$18)^2)</f>
        <v>2.43530519614942</v>
      </c>
      <c r="BN90" s="17" t="n">
        <f aca="false">SQRT(($B90-BN$16)^2+($C90-BN$17)^2+($D90-BN$18)^2)</f>
        <v>1.58356226247533</v>
      </c>
      <c r="BO90" s="63" t="n">
        <f aca="false">MATCH(MIN(BL90:BN90),BL90:BN90,0)</f>
        <v>3</v>
      </c>
      <c r="BQ90" s="17" t="n">
        <f aca="false">SQRT(($B90-BQ$16)^2+($C90-BQ$17)^2+($D90-BQ$18)^2)</f>
        <v>3.04669597028628</v>
      </c>
      <c r="BR90" s="17" t="n">
        <f aca="false">SQRT(($B90-BR$16)^2+($C90-BR$17)^2+($D90-BR$18)^2)</f>
        <v>2.43530519614942</v>
      </c>
      <c r="BS90" s="17" t="n">
        <f aca="false">SQRT(($B90-BS$16)^2+($C90-BS$17)^2+($D90-BS$18)^2)</f>
        <v>1.58356226247533</v>
      </c>
      <c r="BT90" s="63" t="n">
        <f aca="false">MATCH(MIN(BQ90:BS90),BQ90:BS90,0)</f>
        <v>3</v>
      </c>
      <c r="BV90" s="17" t="n">
        <f aca="false">SQRT(($B90-BV$16)^2+($C90-BV$17)^2+($D90-BV$18)^2)</f>
        <v>3.04669597028628</v>
      </c>
      <c r="BW90" s="17" t="n">
        <f aca="false">SQRT(($B90-BW$16)^2+($C90-BW$17)^2+($D90-BW$18)^2)</f>
        <v>2.43530519614942</v>
      </c>
      <c r="BX90" s="17" t="n">
        <f aca="false">SQRT(($B90-BX$16)^2+($C90-BX$17)^2+($D90-BX$18)^2)</f>
        <v>1.58356226247533</v>
      </c>
      <c r="BY90" s="63" t="n">
        <f aca="false">MATCH(MIN(BV90:BX90),BV90:BX90,0)</f>
        <v>3</v>
      </c>
      <c r="CA90" s="17" t="n">
        <f aca="false">SQRT(($B90-CA$16)^2+($C90-CA$17)^2+($D90-CA$18)^2)</f>
        <v>3.04669597028628</v>
      </c>
      <c r="CB90" s="17" t="n">
        <f aca="false">SQRT(($B90-CB$16)^2+($C90-CB$17)^2+($D90-CB$18)^2)</f>
        <v>2.43530519614942</v>
      </c>
      <c r="CC90" s="17" t="n">
        <f aca="false">SQRT(($B90-CC$16)^2+($C90-CC$17)^2+($D90-CC$18)^2)</f>
        <v>1.58356226247533</v>
      </c>
      <c r="CD90" s="63" t="n">
        <f aca="false">MATCH(MIN(CA90:CC90),CA90:CC90,0)</f>
        <v>3</v>
      </c>
    </row>
    <row r="91" customFormat="false" ht="15" hidden="false" customHeight="false" outlineLevel="0" collapsed="false">
      <c r="A91" s="76" t="n">
        <f aca="false">Phase_Data!A73</f>
        <v>43955</v>
      </c>
      <c r="B91" s="17" t="n">
        <f aca="false">Phase_Data!K73</f>
        <v>0.661992932594546</v>
      </c>
      <c r="C91" s="17" t="n">
        <f aca="false">Phase_Data!L73</f>
        <v>0.778134255051422</v>
      </c>
      <c r="D91" s="17" t="n">
        <f aca="false">Phase_Data!M73</f>
        <v>-1.27778805060034</v>
      </c>
      <c r="E91" s="63" t="n">
        <f aca="false">CD91</f>
        <v>3</v>
      </c>
      <c r="F91" s="38" t="n">
        <f aca="false">($B91-INDEX($L$16:$N$16,E91))^2+($C91-INDEX($L$17:$N$17,E91))^2+($D91-INDEX($L$18:$N$18,E91))^2</f>
        <v>2.19734892722608</v>
      </c>
      <c r="G91" s="12" t="str">
        <f aca="false">INDEX($M$5:$M$7,E91)</f>
        <v>Medium activity</v>
      </c>
      <c r="X91" s="17" t="n">
        <f aca="false">SQRT(($B91-X$16)^2+($C91-X$17)^2+($D91-X$18)^2)</f>
        <v>3.11929885536808</v>
      </c>
      <c r="Y91" s="17" t="n">
        <f aca="false">SQRT(($B91-Y$16)^2+($C91-Y$17)^2+($D91-Y$18)^2)</f>
        <v>3.05379511527646</v>
      </c>
      <c r="Z91" s="17" t="n">
        <f aca="false">SQRT(($B91-Z$16)^2+($C91-Z$17)^2+($D91-Z$18)^2)</f>
        <v>0</v>
      </c>
      <c r="AA91" s="63" t="n">
        <f aca="false">MATCH(MIN(X91:Z91),X91:Z91,0)</f>
        <v>3</v>
      </c>
      <c r="AC91" s="17" t="n">
        <f aca="false">SQRT(($B91-AC$16)^2+($C91-AC$17)^2+($D91-AC$18)^2)</f>
        <v>2.7705393226772</v>
      </c>
      <c r="AD91" s="17" t="n">
        <f aca="false">SQRT(($B91-AD$16)^2+($C91-AD$17)^2+($D91-AD$18)^2)</f>
        <v>2.36148440945126</v>
      </c>
      <c r="AE91" s="17" t="n">
        <f aca="false">SQRT(($B91-AE$16)^2+($C91-AE$17)^2+($D91-AE$18)^2)</f>
        <v>1.35438504873506</v>
      </c>
      <c r="AF91" s="63" t="n">
        <f aca="false">MATCH(MIN(AC91:AE91),AC91:AE91,0)</f>
        <v>3</v>
      </c>
      <c r="AH91" s="17" t="n">
        <f aca="false">SQRT(($B91-AH$16)^2+($C91-AH$17)^2+($D91-AH$18)^2)</f>
        <v>2.83818986821804</v>
      </c>
      <c r="AI91" s="17" t="n">
        <f aca="false">SQRT(($B91-AI$16)^2+($C91-AI$17)^2+($D91-AI$18)^2)</f>
        <v>2.44259181143133</v>
      </c>
      <c r="AJ91" s="17" t="n">
        <f aca="false">SQRT(($B91-AJ$16)^2+($C91-AJ$17)^2+($D91-AJ$18)^2)</f>
        <v>1.46106050766507</v>
      </c>
      <c r="AK91" s="63" t="n">
        <f aca="false">MATCH(MIN(AH91:AJ91),AH91:AJ91,0)</f>
        <v>3</v>
      </c>
      <c r="AM91" s="17" t="n">
        <f aca="false">SQRT(($B91-AM$16)^2+($C91-AM$17)^2+($D91-AM$18)^2)</f>
        <v>2.87393370470749</v>
      </c>
      <c r="AN91" s="17" t="n">
        <f aca="false">SQRT(($B91-AN$16)^2+($C91-AN$17)^2+($D91-AN$18)^2)</f>
        <v>2.45629412384998</v>
      </c>
      <c r="AO91" s="17" t="n">
        <f aca="false">SQRT(($B91-AO$16)^2+($C91-AO$17)^2+($D91-AO$18)^2)</f>
        <v>1.4823457515796</v>
      </c>
      <c r="AP91" s="63" t="n">
        <f aca="false">MATCH(MIN(AM91:AO91),AM91:AO91,0)</f>
        <v>3</v>
      </c>
      <c r="AR91" s="17" t="n">
        <f aca="false">SQRT(($B91-AR$16)^2+($C91-AR$17)^2+($D91-AR$18)^2)</f>
        <v>2.87393370470749</v>
      </c>
      <c r="AS91" s="17" t="n">
        <f aca="false">SQRT(($B91-AS$16)^2+($C91-AS$17)^2+($D91-AS$18)^2)</f>
        <v>2.45629412384998</v>
      </c>
      <c r="AT91" s="17" t="n">
        <f aca="false">SQRT(($B91-AT$16)^2+($C91-AT$17)^2+($D91-AT$18)^2)</f>
        <v>1.4823457515796</v>
      </c>
      <c r="AU91" s="63" t="n">
        <f aca="false">MATCH(MIN(AR91:AT91),AR91:AT91,0)</f>
        <v>3</v>
      </c>
      <c r="AW91" s="17" t="n">
        <f aca="false">SQRT(($B91-AW$16)^2+($C91-AW$17)^2+($D91-AW$18)^2)</f>
        <v>2.87393370470749</v>
      </c>
      <c r="AX91" s="17" t="n">
        <f aca="false">SQRT(($B91-AX$16)^2+($C91-AX$17)^2+($D91-AX$18)^2)</f>
        <v>2.45629412384998</v>
      </c>
      <c r="AY91" s="17" t="n">
        <f aca="false">SQRT(($B91-AY$16)^2+($C91-AY$17)^2+($D91-AY$18)^2)</f>
        <v>1.4823457515796</v>
      </c>
      <c r="AZ91" s="63" t="n">
        <f aca="false">MATCH(MIN(AW91:AY91),AW91:AY91,0)</f>
        <v>3</v>
      </c>
      <c r="BB91" s="17" t="n">
        <f aca="false">SQRT(($B91-BB$16)^2+($C91-BB$17)^2+($D91-BB$18)^2)</f>
        <v>2.87393370470749</v>
      </c>
      <c r="BC91" s="17" t="n">
        <f aca="false">SQRT(($B91-BC$16)^2+($C91-BC$17)^2+($D91-BC$18)^2)</f>
        <v>2.45629412384998</v>
      </c>
      <c r="BD91" s="17" t="n">
        <f aca="false">SQRT(($B91-BD$16)^2+($C91-BD$17)^2+($D91-BD$18)^2)</f>
        <v>1.4823457515796</v>
      </c>
      <c r="BE91" s="63" t="n">
        <f aca="false">MATCH(MIN(BB91:BD91),BB91:BD91,0)</f>
        <v>3</v>
      </c>
      <c r="BG91" s="17" t="n">
        <f aca="false">SQRT(($B91-BG$16)^2+($C91-BG$17)^2+($D91-BG$18)^2)</f>
        <v>2.87393370470749</v>
      </c>
      <c r="BH91" s="17" t="n">
        <f aca="false">SQRT(($B91-BH$16)^2+($C91-BH$17)^2+($D91-BH$18)^2)</f>
        <v>2.45629412384998</v>
      </c>
      <c r="BI91" s="17" t="n">
        <f aca="false">SQRT(($B91-BI$16)^2+($C91-BI$17)^2+($D91-BI$18)^2)</f>
        <v>1.4823457515796</v>
      </c>
      <c r="BJ91" s="63" t="n">
        <f aca="false">MATCH(MIN(BG91:BI91),BG91:BI91,0)</f>
        <v>3</v>
      </c>
      <c r="BL91" s="17" t="n">
        <f aca="false">SQRT(($B91-BL$16)^2+($C91-BL$17)^2+($D91-BL$18)^2)</f>
        <v>2.87393370470749</v>
      </c>
      <c r="BM91" s="17" t="n">
        <f aca="false">SQRT(($B91-BM$16)^2+($C91-BM$17)^2+($D91-BM$18)^2)</f>
        <v>2.45629412384998</v>
      </c>
      <c r="BN91" s="17" t="n">
        <f aca="false">SQRT(($B91-BN$16)^2+($C91-BN$17)^2+($D91-BN$18)^2)</f>
        <v>1.4823457515796</v>
      </c>
      <c r="BO91" s="63" t="n">
        <f aca="false">MATCH(MIN(BL91:BN91),BL91:BN91,0)</f>
        <v>3</v>
      </c>
      <c r="BQ91" s="17" t="n">
        <f aca="false">SQRT(($B91-BQ$16)^2+($C91-BQ$17)^2+($D91-BQ$18)^2)</f>
        <v>2.87393370470749</v>
      </c>
      <c r="BR91" s="17" t="n">
        <f aca="false">SQRT(($B91-BR$16)^2+($C91-BR$17)^2+($D91-BR$18)^2)</f>
        <v>2.45629412384998</v>
      </c>
      <c r="BS91" s="17" t="n">
        <f aca="false">SQRT(($B91-BS$16)^2+($C91-BS$17)^2+($D91-BS$18)^2)</f>
        <v>1.4823457515796</v>
      </c>
      <c r="BT91" s="63" t="n">
        <f aca="false">MATCH(MIN(BQ91:BS91),BQ91:BS91,0)</f>
        <v>3</v>
      </c>
      <c r="BV91" s="17" t="n">
        <f aca="false">SQRT(($B91-BV$16)^2+($C91-BV$17)^2+($D91-BV$18)^2)</f>
        <v>2.87393370470749</v>
      </c>
      <c r="BW91" s="17" t="n">
        <f aca="false">SQRT(($B91-BW$16)^2+($C91-BW$17)^2+($D91-BW$18)^2)</f>
        <v>2.45629412384998</v>
      </c>
      <c r="BX91" s="17" t="n">
        <f aca="false">SQRT(($B91-BX$16)^2+($C91-BX$17)^2+($D91-BX$18)^2)</f>
        <v>1.4823457515796</v>
      </c>
      <c r="BY91" s="63" t="n">
        <f aca="false">MATCH(MIN(BV91:BX91),BV91:BX91,0)</f>
        <v>3</v>
      </c>
      <c r="CA91" s="17" t="n">
        <f aca="false">SQRT(($B91-CA$16)^2+($C91-CA$17)^2+($D91-CA$18)^2)</f>
        <v>2.87393370470749</v>
      </c>
      <c r="CB91" s="17" t="n">
        <f aca="false">SQRT(($B91-CB$16)^2+($C91-CB$17)^2+($D91-CB$18)^2)</f>
        <v>2.45629412384998</v>
      </c>
      <c r="CC91" s="17" t="n">
        <f aca="false">SQRT(($B91-CC$16)^2+($C91-CC$17)^2+($D91-CC$18)^2)</f>
        <v>1.4823457515796</v>
      </c>
      <c r="CD91" s="63" t="n">
        <f aca="false">MATCH(MIN(CA91:CC91),CA91:CC91,0)</f>
        <v>3</v>
      </c>
    </row>
    <row r="92" customFormat="false" ht="15" hidden="false" customHeight="false" outlineLevel="0" collapsed="false">
      <c r="A92" s="76" t="n">
        <f aca="false">Phase_Data!A74</f>
        <v>43956</v>
      </c>
      <c r="B92" s="17" t="n">
        <f aca="false">Phase_Data!K74</f>
        <v>0.650840786548401</v>
      </c>
      <c r="C92" s="17" t="n">
        <f aca="false">Phase_Data!L74</f>
        <v>0.878912132309543</v>
      </c>
      <c r="D92" s="17" t="n">
        <f aca="false">Phase_Data!M74</f>
        <v>0.199833483298585</v>
      </c>
      <c r="E92" s="63" t="n">
        <f aca="false">CD92</f>
        <v>3</v>
      </c>
      <c r="F92" s="38" t="n">
        <f aca="false">($B92-INDEX($L$16:$N$16,E92))^2+($C92-INDEX($L$17:$N$17,E92))^2+($D92-INDEX($L$18:$N$18,E92))^2</f>
        <v>0.830429187473301</v>
      </c>
      <c r="G92" s="12" t="str">
        <f aca="false">INDEX($M$5:$M$7,E92)</f>
        <v>Medium activity</v>
      </c>
      <c r="X92" s="17" t="n">
        <f aca="false">SQRT(($B92-X$16)^2+($C92-X$17)^2+($D92-X$18)^2)</f>
        <v>3.50921056662333</v>
      </c>
      <c r="Y92" s="17" t="n">
        <f aca="false">SQRT(($B92-Y$16)^2+($C92-Y$17)^2+($D92-Y$18)^2)</f>
        <v>1.66165826459901</v>
      </c>
      <c r="Z92" s="17" t="n">
        <f aca="false">SQRT(($B92-Z$16)^2+($C92-Z$17)^2+($D92-Z$18)^2)</f>
        <v>1.48109619820858</v>
      </c>
      <c r="AA92" s="63" t="n">
        <f aca="false">MATCH(MIN(X92:Z92),X92:Z92,0)</f>
        <v>3</v>
      </c>
      <c r="AC92" s="17" t="n">
        <f aca="false">SQRT(($B92-AC$16)^2+($C92-AC$17)^2+($D92-AC$18)^2)</f>
        <v>3.12396660642747</v>
      </c>
      <c r="AD92" s="17" t="n">
        <f aca="false">SQRT(($B92-AD$16)^2+($C92-AD$17)^2+($D92-AD$18)^2)</f>
        <v>0.886657808621707</v>
      </c>
      <c r="AE92" s="17" t="n">
        <f aca="false">SQRT(($B92-AE$16)^2+($C92-AE$17)^2+($D92-AE$18)^2)</f>
        <v>0.865461254499988</v>
      </c>
      <c r="AF92" s="63" t="n">
        <f aca="false">MATCH(MIN(AC92:AE92),AC92:AE92,0)</f>
        <v>3</v>
      </c>
      <c r="AH92" s="17" t="n">
        <f aca="false">SQRT(($B92-AH$16)^2+($C92-AH$17)^2+($D92-AH$18)^2)</f>
        <v>3.20884308283667</v>
      </c>
      <c r="AI92" s="17" t="n">
        <f aca="false">SQRT(($B92-AI$16)^2+($C92-AI$17)^2+($D92-AI$18)^2)</f>
        <v>0.980898658364521</v>
      </c>
      <c r="AJ92" s="17" t="n">
        <f aca="false">SQRT(($B92-AJ$16)^2+($C92-AJ$17)^2+($D92-AJ$18)^2)</f>
        <v>0.888324684114643</v>
      </c>
      <c r="AK92" s="63" t="n">
        <f aca="false">MATCH(MIN(AH92:AJ92),AH92:AJ92,0)</f>
        <v>3</v>
      </c>
      <c r="AM92" s="17" t="n">
        <f aca="false">SQRT(($B92-AM$16)^2+($C92-AM$17)^2+($D92-AM$18)^2)</f>
        <v>3.25020788838479</v>
      </c>
      <c r="AN92" s="17" t="n">
        <f aca="false">SQRT(($B92-AN$16)^2+($C92-AN$17)^2+($D92-AN$18)^2)</f>
        <v>0.99863229595677</v>
      </c>
      <c r="AO92" s="17" t="n">
        <f aca="false">SQRT(($B92-AO$16)^2+($C92-AO$17)^2+($D92-AO$18)^2)</f>
        <v>0.911278874699343</v>
      </c>
      <c r="AP92" s="63" t="n">
        <f aca="false">MATCH(MIN(AM92:AO92),AM92:AO92,0)</f>
        <v>3</v>
      </c>
      <c r="AR92" s="17" t="n">
        <f aca="false">SQRT(($B92-AR$16)^2+($C92-AR$17)^2+($D92-AR$18)^2)</f>
        <v>3.25020788838479</v>
      </c>
      <c r="AS92" s="17" t="n">
        <f aca="false">SQRT(($B92-AS$16)^2+($C92-AS$17)^2+($D92-AS$18)^2)</f>
        <v>0.99863229595677</v>
      </c>
      <c r="AT92" s="17" t="n">
        <f aca="false">SQRT(($B92-AT$16)^2+($C92-AT$17)^2+($D92-AT$18)^2)</f>
        <v>0.911278874699343</v>
      </c>
      <c r="AU92" s="63" t="n">
        <f aca="false">MATCH(MIN(AR92:AT92),AR92:AT92,0)</f>
        <v>3</v>
      </c>
      <c r="AW92" s="17" t="n">
        <f aca="false">SQRT(($B92-AW$16)^2+($C92-AW$17)^2+($D92-AW$18)^2)</f>
        <v>3.25020788838479</v>
      </c>
      <c r="AX92" s="17" t="n">
        <f aca="false">SQRT(($B92-AX$16)^2+($C92-AX$17)^2+($D92-AX$18)^2)</f>
        <v>0.99863229595677</v>
      </c>
      <c r="AY92" s="17" t="n">
        <f aca="false">SQRT(($B92-AY$16)^2+($C92-AY$17)^2+($D92-AY$18)^2)</f>
        <v>0.911278874699343</v>
      </c>
      <c r="AZ92" s="63" t="n">
        <f aca="false">MATCH(MIN(AW92:AY92),AW92:AY92,0)</f>
        <v>3</v>
      </c>
      <c r="BB92" s="17" t="n">
        <f aca="false">SQRT(($B92-BB$16)^2+($C92-BB$17)^2+($D92-BB$18)^2)</f>
        <v>3.25020788838479</v>
      </c>
      <c r="BC92" s="17" t="n">
        <f aca="false">SQRT(($B92-BC$16)^2+($C92-BC$17)^2+($D92-BC$18)^2)</f>
        <v>0.99863229595677</v>
      </c>
      <c r="BD92" s="17" t="n">
        <f aca="false">SQRT(($B92-BD$16)^2+($C92-BD$17)^2+($D92-BD$18)^2)</f>
        <v>0.911278874699343</v>
      </c>
      <c r="BE92" s="63" t="n">
        <f aca="false">MATCH(MIN(BB92:BD92),BB92:BD92,0)</f>
        <v>3</v>
      </c>
      <c r="BG92" s="17" t="n">
        <f aca="false">SQRT(($B92-BG$16)^2+($C92-BG$17)^2+($D92-BG$18)^2)</f>
        <v>3.25020788838479</v>
      </c>
      <c r="BH92" s="17" t="n">
        <f aca="false">SQRT(($B92-BH$16)^2+($C92-BH$17)^2+($D92-BH$18)^2)</f>
        <v>0.99863229595677</v>
      </c>
      <c r="BI92" s="17" t="n">
        <f aca="false">SQRT(($B92-BI$16)^2+($C92-BI$17)^2+($D92-BI$18)^2)</f>
        <v>0.911278874699343</v>
      </c>
      <c r="BJ92" s="63" t="n">
        <f aca="false">MATCH(MIN(BG92:BI92),BG92:BI92,0)</f>
        <v>3</v>
      </c>
      <c r="BL92" s="17" t="n">
        <f aca="false">SQRT(($B92-BL$16)^2+($C92-BL$17)^2+($D92-BL$18)^2)</f>
        <v>3.25020788838479</v>
      </c>
      <c r="BM92" s="17" t="n">
        <f aca="false">SQRT(($B92-BM$16)^2+($C92-BM$17)^2+($D92-BM$18)^2)</f>
        <v>0.99863229595677</v>
      </c>
      <c r="BN92" s="17" t="n">
        <f aca="false">SQRT(($B92-BN$16)^2+($C92-BN$17)^2+($D92-BN$18)^2)</f>
        <v>0.911278874699343</v>
      </c>
      <c r="BO92" s="63" t="n">
        <f aca="false">MATCH(MIN(BL92:BN92),BL92:BN92,0)</f>
        <v>3</v>
      </c>
      <c r="BQ92" s="17" t="n">
        <f aca="false">SQRT(($B92-BQ$16)^2+($C92-BQ$17)^2+($D92-BQ$18)^2)</f>
        <v>3.25020788838479</v>
      </c>
      <c r="BR92" s="17" t="n">
        <f aca="false">SQRT(($B92-BR$16)^2+($C92-BR$17)^2+($D92-BR$18)^2)</f>
        <v>0.99863229595677</v>
      </c>
      <c r="BS92" s="17" t="n">
        <f aca="false">SQRT(($B92-BS$16)^2+($C92-BS$17)^2+($D92-BS$18)^2)</f>
        <v>0.911278874699343</v>
      </c>
      <c r="BT92" s="63" t="n">
        <f aca="false">MATCH(MIN(BQ92:BS92),BQ92:BS92,0)</f>
        <v>3</v>
      </c>
      <c r="BV92" s="17" t="n">
        <f aca="false">SQRT(($B92-BV$16)^2+($C92-BV$17)^2+($D92-BV$18)^2)</f>
        <v>3.25020788838479</v>
      </c>
      <c r="BW92" s="17" t="n">
        <f aca="false">SQRT(($B92-BW$16)^2+($C92-BW$17)^2+($D92-BW$18)^2)</f>
        <v>0.99863229595677</v>
      </c>
      <c r="BX92" s="17" t="n">
        <f aca="false">SQRT(($B92-BX$16)^2+($C92-BX$17)^2+($D92-BX$18)^2)</f>
        <v>0.911278874699343</v>
      </c>
      <c r="BY92" s="63" t="n">
        <f aca="false">MATCH(MIN(BV92:BX92),BV92:BX92,0)</f>
        <v>3</v>
      </c>
      <c r="CA92" s="17" t="n">
        <f aca="false">SQRT(($B92-CA$16)^2+($C92-CA$17)^2+($D92-CA$18)^2)</f>
        <v>3.25020788838479</v>
      </c>
      <c r="CB92" s="17" t="n">
        <f aca="false">SQRT(($B92-CB$16)^2+($C92-CB$17)^2+($D92-CB$18)^2)</f>
        <v>0.99863229595677</v>
      </c>
      <c r="CC92" s="17" t="n">
        <f aca="false">SQRT(($B92-CC$16)^2+($C92-CC$17)^2+($D92-CC$18)^2)</f>
        <v>0.911278874699343</v>
      </c>
      <c r="CD92" s="63" t="n">
        <f aca="false">MATCH(MIN(CA92:CC92),CA92:CC92,0)</f>
        <v>3</v>
      </c>
    </row>
    <row r="93" customFormat="false" ht="15" hidden="false" customHeight="false" outlineLevel="0" collapsed="false">
      <c r="A93" s="76" t="n">
        <f aca="false">Phase_Data!A75</f>
        <v>43957</v>
      </c>
      <c r="B93" s="17" t="n">
        <f aca="false">Phase_Data!K75</f>
        <v>0.87720216547879</v>
      </c>
      <c r="C93" s="17" t="n">
        <f aca="false">Phase_Data!L75</f>
        <v>1.24878443073776</v>
      </c>
      <c r="D93" s="17" t="n">
        <f aca="false">Phase_Data!M75</f>
        <v>0.585645896804664</v>
      </c>
      <c r="E93" s="63" t="n">
        <f aca="false">CD93</f>
        <v>2</v>
      </c>
      <c r="F93" s="38" t="n">
        <f aca="false">($B93-INDEX($L$16:$N$16,E93))^2+($C93-INDEX($L$17:$N$17,E93))^2+($D93-INDEX($L$18:$N$18,E93))^2</f>
        <v>0.341909916229572</v>
      </c>
      <c r="G93" s="12" t="str">
        <f aca="false">INDEX($M$5:$M$7,E93)</f>
        <v>High activity</v>
      </c>
      <c r="X93" s="17" t="n">
        <f aca="false">SQRT(($B93-X$16)^2+($C93-X$17)^2+($D93-X$18)^2)</f>
        <v>4.06023256960909</v>
      </c>
      <c r="Y93" s="17" t="n">
        <f aca="false">SQRT(($B93-Y$16)^2+($C93-Y$17)^2+($D93-Y$18)^2)</f>
        <v>1.13371419468644</v>
      </c>
      <c r="Z93" s="17" t="n">
        <f aca="false">SQRT(($B93-Z$16)^2+($C93-Z$17)^2+($D93-Z$18)^2)</f>
        <v>1.93396294642209</v>
      </c>
      <c r="AA93" s="63" t="n">
        <f aca="false">MATCH(MIN(X93:Z93),X93:Z93,0)</f>
        <v>2</v>
      </c>
      <c r="AC93" s="17" t="n">
        <f aca="false">SQRT(($B93-AC$16)^2+($C93-AC$17)^2+($D93-AC$18)^2)</f>
        <v>3.67877555134784</v>
      </c>
      <c r="AD93" s="17" t="n">
        <f aca="false">SQRT(($B93-AD$16)^2+($C93-AD$17)^2+($D93-AD$18)^2)</f>
        <v>0.588162758616474</v>
      </c>
      <c r="AE93" s="17" t="n">
        <f aca="false">SQRT(($B93-AE$16)^2+($C93-AE$17)^2+($D93-AE$18)^2)</f>
        <v>1.42490637176643</v>
      </c>
      <c r="AF93" s="63" t="n">
        <f aca="false">MATCH(MIN(AC93:AE93),AC93:AE93,0)</f>
        <v>2</v>
      </c>
      <c r="AH93" s="17" t="n">
        <f aca="false">SQRT(($B93-AH$16)^2+($C93-AH$17)^2+($D93-AH$18)^2)</f>
        <v>3.76370855681973</v>
      </c>
      <c r="AI93" s="17" t="n">
        <f aca="false">SQRT(($B93-AI$16)^2+($C93-AI$17)^2+($D93-AI$18)^2)</f>
        <v>0.586175037808121</v>
      </c>
      <c r="AJ93" s="17" t="n">
        <f aca="false">SQRT(($B93-AJ$16)^2+($C93-AJ$17)^2+($D93-AJ$18)^2)</f>
        <v>1.43142865591731</v>
      </c>
      <c r="AK93" s="63" t="n">
        <f aca="false">MATCH(MIN(AH93:AJ93),AH93:AJ93,0)</f>
        <v>2</v>
      </c>
      <c r="AM93" s="17" t="n">
        <f aca="false">SQRT(($B93-AM$16)^2+($C93-AM$17)^2+($D93-AM$18)^2)</f>
        <v>3.8047282602549</v>
      </c>
      <c r="AN93" s="17" t="n">
        <f aca="false">SQRT(($B93-AN$16)^2+($C93-AN$17)^2+($D93-AN$18)^2)</f>
        <v>0.584730635617437</v>
      </c>
      <c r="AO93" s="17" t="n">
        <f aca="false">SQRT(($B93-AO$16)^2+($C93-AO$17)^2+($D93-AO$18)^2)</f>
        <v>1.45102805361121</v>
      </c>
      <c r="AP93" s="63" t="n">
        <f aca="false">MATCH(MIN(AM93:AO93),AM93:AO93,0)</f>
        <v>2</v>
      </c>
      <c r="AR93" s="17" t="n">
        <f aca="false">SQRT(($B93-AR$16)^2+($C93-AR$17)^2+($D93-AR$18)^2)</f>
        <v>3.8047282602549</v>
      </c>
      <c r="AS93" s="17" t="n">
        <f aca="false">SQRT(($B93-AS$16)^2+($C93-AS$17)^2+($D93-AS$18)^2)</f>
        <v>0.584730635617437</v>
      </c>
      <c r="AT93" s="17" t="n">
        <f aca="false">SQRT(($B93-AT$16)^2+($C93-AT$17)^2+($D93-AT$18)^2)</f>
        <v>1.45102805361121</v>
      </c>
      <c r="AU93" s="63" t="n">
        <f aca="false">MATCH(MIN(AR93:AT93),AR93:AT93,0)</f>
        <v>2</v>
      </c>
      <c r="AW93" s="17" t="n">
        <f aca="false">SQRT(($B93-AW$16)^2+($C93-AW$17)^2+($D93-AW$18)^2)</f>
        <v>3.8047282602549</v>
      </c>
      <c r="AX93" s="17" t="n">
        <f aca="false">SQRT(($B93-AX$16)^2+($C93-AX$17)^2+($D93-AX$18)^2)</f>
        <v>0.584730635617437</v>
      </c>
      <c r="AY93" s="17" t="n">
        <f aca="false">SQRT(($B93-AY$16)^2+($C93-AY$17)^2+($D93-AY$18)^2)</f>
        <v>1.45102805361121</v>
      </c>
      <c r="AZ93" s="63" t="n">
        <f aca="false">MATCH(MIN(AW93:AY93),AW93:AY93,0)</f>
        <v>2</v>
      </c>
      <c r="BB93" s="17" t="n">
        <f aca="false">SQRT(($B93-BB$16)^2+($C93-BB$17)^2+($D93-BB$18)^2)</f>
        <v>3.8047282602549</v>
      </c>
      <c r="BC93" s="17" t="n">
        <f aca="false">SQRT(($B93-BC$16)^2+($C93-BC$17)^2+($D93-BC$18)^2)</f>
        <v>0.584730635617437</v>
      </c>
      <c r="BD93" s="17" t="n">
        <f aca="false">SQRT(($B93-BD$16)^2+($C93-BD$17)^2+($D93-BD$18)^2)</f>
        <v>1.45102805361121</v>
      </c>
      <c r="BE93" s="63" t="n">
        <f aca="false">MATCH(MIN(BB93:BD93),BB93:BD93,0)</f>
        <v>2</v>
      </c>
      <c r="BG93" s="17" t="n">
        <f aca="false">SQRT(($B93-BG$16)^2+($C93-BG$17)^2+($D93-BG$18)^2)</f>
        <v>3.8047282602549</v>
      </c>
      <c r="BH93" s="17" t="n">
        <f aca="false">SQRT(($B93-BH$16)^2+($C93-BH$17)^2+($D93-BH$18)^2)</f>
        <v>0.584730635617437</v>
      </c>
      <c r="BI93" s="17" t="n">
        <f aca="false">SQRT(($B93-BI$16)^2+($C93-BI$17)^2+($D93-BI$18)^2)</f>
        <v>1.45102805361121</v>
      </c>
      <c r="BJ93" s="63" t="n">
        <f aca="false">MATCH(MIN(BG93:BI93),BG93:BI93,0)</f>
        <v>2</v>
      </c>
      <c r="BL93" s="17" t="n">
        <f aca="false">SQRT(($B93-BL$16)^2+($C93-BL$17)^2+($D93-BL$18)^2)</f>
        <v>3.8047282602549</v>
      </c>
      <c r="BM93" s="17" t="n">
        <f aca="false">SQRT(($B93-BM$16)^2+($C93-BM$17)^2+($D93-BM$18)^2)</f>
        <v>0.584730635617437</v>
      </c>
      <c r="BN93" s="17" t="n">
        <f aca="false">SQRT(($B93-BN$16)^2+($C93-BN$17)^2+($D93-BN$18)^2)</f>
        <v>1.45102805361121</v>
      </c>
      <c r="BO93" s="63" t="n">
        <f aca="false">MATCH(MIN(BL93:BN93),BL93:BN93,0)</f>
        <v>2</v>
      </c>
      <c r="BQ93" s="17" t="n">
        <f aca="false">SQRT(($B93-BQ$16)^2+($C93-BQ$17)^2+($D93-BQ$18)^2)</f>
        <v>3.8047282602549</v>
      </c>
      <c r="BR93" s="17" t="n">
        <f aca="false">SQRT(($B93-BR$16)^2+($C93-BR$17)^2+($D93-BR$18)^2)</f>
        <v>0.584730635617437</v>
      </c>
      <c r="BS93" s="17" t="n">
        <f aca="false">SQRT(($B93-BS$16)^2+($C93-BS$17)^2+($D93-BS$18)^2)</f>
        <v>1.45102805361121</v>
      </c>
      <c r="BT93" s="63" t="n">
        <f aca="false">MATCH(MIN(BQ93:BS93),BQ93:BS93,0)</f>
        <v>2</v>
      </c>
      <c r="BV93" s="17" t="n">
        <f aca="false">SQRT(($B93-BV$16)^2+($C93-BV$17)^2+($D93-BV$18)^2)</f>
        <v>3.8047282602549</v>
      </c>
      <c r="BW93" s="17" t="n">
        <f aca="false">SQRT(($B93-BW$16)^2+($C93-BW$17)^2+($D93-BW$18)^2)</f>
        <v>0.584730635617437</v>
      </c>
      <c r="BX93" s="17" t="n">
        <f aca="false">SQRT(($B93-BX$16)^2+($C93-BX$17)^2+($D93-BX$18)^2)</f>
        <v>1.45102805361121</v>
      </c>
      <c r="BY93" s="63" t="n">
        <f aca="false">MATCH(MIN(BV93:BX93),BV93:BX93,0)</f>
        <v>2</v>
      </c>
      <c r="CA93" s="17" t="n">
        <f aca="false">SQRT(($B93-CA$16)^2+($C93-CA$17)^2+($D93-CA$18)^2)</f>
        <v>3.8047282602549</v>
      </c>
      <c r="CB93" s="17" t="n">
        <f aca="false">SQRT(($B93-CB$16)^2+($C93-CB$17)^2+($D93-CB$18)^2)</f>
        <v>0.584730635617437</v>
      </c>
      <c r="CC93" s="17" t="n">
        <f aca="false">SQRT(($B93-CC$16)^2+($C93-CC$17)^2+($D93-CC$18)^2)</f>
        <v>1.45102805361121</v>
      </c>
      <c r="CD93" s="63" t="n">
        <f aca="false">MATCH(MIN(CA93:CC93),CA93:CC93,0)</f>
        <v>2</v>
      </c>
    </row>
    <row r="94" customFormat="false" ht="15" hidden="false" customHeight="false" outlineLevel="0" collapsed="false">
      <c r="A94" s="76" t="n">
        <f aca="false">Phase_Data!A76</f>
        <v>43958</v>
      </c>
      <c r="B94" s="17" t="n">
        <f aca="false">Phase_Data!K76</f>
        <v>0.582993943631232</v>
      </c>
      <c r="C94" s="17" t="n">
        <f aca="false">Phase_Data!L76</f>
        <v>0.878912132309543</v>
      </c>
      <c r="D94" s="17" t="n">
        <f aca="false">Phase_Data!M76</f>
        <v>-0.232646216293964</v>
      </c>
      <c r="E94" s="63" t="n">
        <f aca="false">CD94</f>
        <v>3</v>
      </c>
      <c r="F94" s="38" t="n">
        <f aca="false">($B94-INDEX($L$16:$N$16,E94))^2+($C94-INDEX($L$17:$N$17,E94))^2+($D94-INDEX($L$18:$N$18,E94))^2</f>
        <v>0.771600745804966</v>
      </c>
      <c r="G94" s="12" t="str">
        <f aca="false">INDEX($M$5:$M$7,E94)</f>
        <v>Medium activity</v>
      </c>
      <c r="X94" s="17" t="n">
        <f aca="false">SQRT(($B94-X$16)^2+($C94-X$17)^2+($D94-X$18)^2)</f>
        <v>3.30569799989671</v>
      </c>
      <c r="Y94" s="17" t="n">
        <f aca="false">SQRT(($B94-Y$16)^2+($C94-Y$17)^2+($D94-Y$18)^2)</f>
        <v>2.06821050734867</v>
      </c>
      <c r="Z94" s="17" t="n">
        <f aca="false">SQRT(($B94-Z$16)^2+($C94-Z$17)^2+($D94-Z$18)^2)</f>
        <v>1.05295701461132</v>
      </c>
      <c r="AA94" s="63" t="n">
        <f aca="false">MATCH(MIN(X94:Z94),X94:Z94,0)</f>
        <v>3</v>
      </c>
      <c r="AC94" s="17" t="n">
        <f aca="false">SQRT(($B94-AC$16)^2+($C94-AC$17)^2+($D94-AC$18)^2)</f>
        <v>2.92564398885418</v>
      </c>
      <c r="AD94" s="17" t="n">
        <f aca="false">SQRT(($B94-AD$16)^2+($C94-AD$17)^2+($D94-AD$18)^2)</f>
        <v>1.3237334992</v>
      </c>
      <c r="AE94" s="17" t="n">
        <f aca="false">SQRT(($B94-AE$16)^2+($C94-AE$17)^2+($D94-AE$18)^2)</f>
        <v>0.780610369916058</v>
      </c>
      <c r="AF94" s="63" t="n">
        <f aca="false">MATCH(MIN(AC94:AE94),AC94:AE94,0)</f>
        <v>3</v>
      </c>
      <c r="AH94" s="17" t="n">
        <f aca="false">SQRT(($B94-AH$16)^2+($C94-AH$17)^2+($D94-AH$18)^2)</f>
        <v>3.00709327842298</v>
      </c>
      <c r="AI94" s="17" t="n">
        <f aca="false">SQRT(($B94-AI$16)^2+($C94-AI$17)^2+($D94-AI$18)^2)</f>
        <v>1.41282549621478</v>
      </c>
      <c r="AJ94" s="17" t="n">
        <f aca="false">SQRT(($B94-AJ$16)^2+($C94-AJ$17)^2+($D94-AJ$18)^2)</f>
        <v>0.850484997703109</v>
      </c>
      <c r="AK94" s="63" t="n">
        <f aca="false">MATCH(MIN(AH94:AJ94),AH94:AJ94,0)</f>
        <v>3</v>
      </c>
      <c r="AM94" s="17" t="n">
        <f aca="false">SQRT(($B94-AM$16)^2+($C94-AM$17)^2+($D94-AM$18)^2)</f>
        <v>3.04736014325297</v>
      </c>
      <c r="AN94" s="17" t="n">
        <f aca="false">SQRT(($B94-AN$16)^2+($C94-AN$17)^2+($D94-AN$18)^2)</f>
        <v>1.42847138827711</v>
      </c>
      <c r="AO94" s="17" t="n">
        <f aca="false">SQRT(($B94-AO$16)^2+($C94-AO$17)^2+($D94-AO$18)^2)</f>
        <v>0.878408074760795</v>
      </c>
      <c r="AP94" s="63" t="n">
        <f aca="false">MATCH(MIN(AM94:AO94),AM94:AO94,0)</f>
        <v>3</v>
      </c>
      <c r="AR94" s="17" t="n">
        <f aca="false">SQRT(($B94-AR$16)^2+($C94-AR$17)^2+($D94-AR$18)^2)</f>
        <v>3.04736014325297</v>
      </c>
      <c r="AS94" s="17" t="n">
        <f aca="false">SQRT(($B94-AS$16)^2+($C94-AS$17)^2+($D94-AS$18)^2)</f>
        <v>1.42847138827711</v>
      </c>
      <c r="AT94" s="17" t="n">
        <f aca="false">SQRT(($B94-AT$16)^2+($C94-AT$17)^2+($D94-AT$18)^2)</f>
        <v>0.878408074760795</v>
      </c>
      <c r="AU94" s="63" t="n">
        <f aca="false">MATCH(MIN(AR94:AT94),AR94:AT94,0)</f>
        <v>3</v>
      </c>
      <c r="AW94" s="17" t="n">
        <f aca="false">SQRT(($B94-AW$16)^2+($C94-AW$17)^2+($D94-AW$18)^2)</f>
        <v>3.04736014325297</v>
      </c>
      <c r="AX94" s="17" t="n">
        <f aca="false">SQRT(($B94-AX$16)^2+($C94-AX$17)^2+($D94-AX$18)^2)</f>
        <v>1.42847138827711</v>
      </c>
      <c r="AY94" s="17" t="n">
        <f aca="false">SQRT(($B94-AY$16)^2+($C94-AY$17)^2+($D94-AY$18)^2)</f>
        <v>0.878408074760795</v>
      </c>
      <c r="AZ94" s="63" t="n">
        <f aca="false">MATCH(MIN(AW94:AY94),AW94:AY94,0)</f>
        <v>3</v>
      </c>
      <c r="BB94" s="17" t="n">
        <f aca="false">SQRT(($B94-BB$16)^2+($C94-BB$17)^2+($D94-BB$18)^2)</f>
        <v>3.04736014325297</v>
      </c>
      <c r="BC94" s="17" t="n">
        <f aca="false">SQRT(($B94-BC$16)^2+($C94-BC$17)^2+($D94-BC$18)^2)</f>
        <v>1.42847138827711</v>
      </c>
      <c r="BD94" s="17" t="n">
        <f aca="false">SQRT(($B94-BD$16)^2+($C94-BD$17)^2+($D94-BD$18)^2)</f>
        <v>0.878408074760795</v>
      </c>
      <c r="BE94" s="63" t="n">
        <f aca="false">MATCH(MIN(BB94:BD94),BB94:BD94,0)</f>
        <v>3</v>
      </c>
      <c r="BG94" s="17" t="n">
        <f aca="false">SQRT(($B94-BG$16)^2+($C94-BG$17)^2+($D94-BG$18)^2)</f>
        <v>3.04736014325297</v>
      </c>
      <c r="BH94" s="17" t="n">
        <f aca="false">SQRT(($B94-BH$16)^2+($C94-BH$17)^2+($D94-BH$18)^2)</f>
        <v>1.42847138827711</v>
      </c>
      <c r="BI94" s="17" t="n">
        <f aca="false">SQRT(($B94-BI$16)^2+($C94-BI$17)^2+($D94-BI$18)^2)</f>
        <v>0.878408074760795</v>
      </c>
      <c r="BJ94" s="63" t="n">
        <f aca="false">MATCH(MIN(BG94:BI94),BG94:BI94,0)</f>
        <v>3</v>
      </c>
      <c r="BL94" s="17" t="n">
        <f aca="false">SQRT(($B94-BL$16)^2+($C94-BL$17)^2+($D94-BL$18)^2)</f>
        <v>3.04736014325297</v>
      </c>
      <c r="BM94" s="17" t="n">
        <f aca="false">SQRT(($B94-BM$16)^2+($C94-BM$17)^2+($D94-BM$18)^2)</f>
        <v>1.42847138827711</v>
      </c>
      <c r="BN94" s="17" t="n">
        <f aca="false">SQRT(($B94-BN$16)^2+($C94-BN$17)^2+($D94-BN$18)^2)</f>
        <v>0.878408074760795</v>
      </c>
      <c r="BO94" s="63" t="n">
        <f aca="false">MATCH(MIN(BL94:BN94),BL94:BN94,0)</f>
        <v>3</v>
      </c>
      <c r="BQ94" s="17" t="n">
        <f aca="false">SQRT(($B94-BQ$16)^2+($C94-BQ$17)^2+($D94-BQ$18)^2)</f>
        <v>3.04736014325297</v>
      </c>
      <c r="BR94" s="17" t="n">
        <f aca="false">SQRT(($B94-BR$16)^2+($C94-BR$17)^2+($D94-BR$18)^2)</f>
        <v>1.42847138827711</v>
      </c>
      <c r="BS94" s="17" t="n">
        <f aca="false">SQRT(($B94-BS$16)^2+($C94-BS$17)^2+($D94-BS$18)^2)</f>
        <v>0.878408074760795</v>
      </c>
      <c r="BT94" s="63" t="n">
        <f aca="false">MATCH(MIN(BQ94:BS94),BQ94:BS94,0)</f>
        <v>3</v>
      </c>
      <c r="BV94" s="17" t="n">
        <f aca="false">SQRT(($B94-BV$16)^2+($C94-BV$17)^2+($D94-BV$18)^2)</f>
        <v>3.04736014325297</v>
      </c>
      <c r="BW94" s="17" t="n">
        <f aca="false">SQRT(($B94-BW$16)^2+($C94-BW$17)^2+($D94-BW$18)^2)</f>
        <v>1.42847138827711</v>
      </c>
      <c r="BX94" s="17" t="n">
        <f aca="false">SQRT(($B94-BX$16)^2+($C94-BX$17)^2+($D94-BX$18)^2)</f>
        <v>0.878408074760795</v>
      </c>
      <c r="BY94" s="63" t="n">
        <f aca="false">MATCH(MIN(BV94:BX94),BV94:BX94,0)</f>
        <v>3</v>
      </c>
      <c r="CA94" s="17" t="n">
        <f aca="false">SQRT(($B94-CA$16)^2+($C94-CA$17)^2+($D94-CA$18)^2)</f>
        <v>3.04736014325297</v>
      </c>
      <c r="CB94" s="17" t="n">
        <f aca="false">SQRT(($B94-CB$16)^2+($C94-CB$17)^2+($D94-CB$18)^2)</f>
        <v>1.42847138827711</v>
      </c>
      <c r="CC94" s="17" t="n">
        <f aca="false">SQRT(($B94-CC$16)^2+($C94-CC$17)^2+($D94-CC$18)^2)</f>
        <v>0.878408074760795</v>
      </c>
      <c r="CD94" s="63" t="n">
        <f aca="false">MATCH(MIN(CA94:CC94),CA94:CC94,0)</f>
        <v>3</v>
      </c>
    </row>
    <row r="95" customFormat="false" ht="15" hidden="false" customHeight="false" outlineLevel="0" collapsed="false">
      <c r="A95" s="76" t="n">
        <f aca="false">Phase_Data!A77</f>
        <v>43959</v>
      </c>
      <c r="B95" s="17" t="n">
        <f aca="false">Phase_Data!K77</f>
        <v>0.882695185269491</v>
      </c>
      <c r="C95" s="17" t="n">
        <f aca="false">Phase_Data!L77</f>
        <v>0.94575340190355</v>
      </c>
      <c r="D95" s="17" t="n">
        <f aca="false">Phase_Data!M77</f>
        <v>-0.259273247148336</v>
      </c>
      <c r="E95" s="63" t="n">
        <f aca="false">CD95</f>
        <v>3</v>
      </c>
      <c r="F95" s="38" t="n">
        <f aca="false">($B95-INDEX($L$16:$N$16,E95))^2+($C95-INDEX($L$17:$N$17,E95))^2+($D95-INDEX($L$18:$N$18,E95))^2</f>
        <v>1.17541866100949</v>
      </c>
      <c r="G95" s="12" t="str">
        <f aca="false">INDEX($M$5:$M$7,E95)</f>
        <v>Medium activity</v>
      </c>
      <c r="X95" s="17" t="n">
        <f aca="false">SQRT(($B95-X$16)^2+($C95-X$17)^2+($D95-X$18)^2)</f>
        <v>3.54390679079897</v>
      </c>
      <c r="Y95" s="17" t="n">
        <f aca="false">SQRT(($B95-Y$16)^2+($C95-Y$17)^2+($D95-Y$18)^2)</f>
        <v>2.00285311579908</v>
      </c>
      <c r="Z95" s="17" t="n">
        <f aca="false">SQRT(($B95-Z$16)^2+($C95-Z$17)^2+($D95-Z$18)^2)</f>
        <v>1.05554633606399</v>
      </c>
      <c r="AA95" s="63" t="n">
        <f aca="false">MATCH(MIN(X95:Z95),X95:Z95,0)</f>
        <v>3</v>
      </c>
      <c r="AC95" s="17" t="n">
        <f aca="false">SQRT(($B95-AC$16)^2+($C95-AC$17)^2+($D95-AC$18)^2)</f>
        <v>3.15756185154316</v>
      </c>
      <c r="AD95" s="17" t="n">
        <f aca="false">SQRT(($B95-AD$16)^2+($C95-AD$17)^2+($D95-AD$18)^2)</f>
        <v>1.33886913865921</v>
      </c>
      <c r="AE95" s="17" t="n">
        <f aca="false">SQRT(($B95-AE$16)^2+($C95-AE$17)^2+($D95-AE$18)^2)</f>
        <v>0.986981417516502</v>
      </c>
      <c r="AF95" s="63" t="n">
        <f aca="false">MATCH(MIN(AC95:AE95),AC95:AE95,0)</f>
        <v>3</v>
      </c>
      <c r="AH95" s="17" t="n">
        <f aca="false">SQRT(($B95-AH$16)^2+($C95-AH$17)^2+($D95-AH$18)^2)</f>
        <v>3.23982017370111</v>
      </c>
      <c r="AI95" s="17" t="n">
        <f aca="false">SQRT(($B95-AI$16)^2+($C95-AI$17)^2+($D95-AI$18)^2)</f>
        <v>1.40413748084572</v>
      </c>
      <c r="AJ95" s="17" t="n">
        <f aca="false">SQRT(($B95-AJ$16)^2+($C95-AJ$17)^2+($D95-AJ$18)^2)</f>
        <v>1.05813237782427</v>
      </c>
      <c r="AK95" s="63" t="n">
        <f aca="false">MATCH(MIN(AH95:AJ95),AH95:AJ95,0)</f>
        <v>3</v>
      </c>
      <c r="AM95" s="17" t="n">
        <f aca="false">SQRT(($B95-AM$16)^2+($C95-AM$17)^2+($D95-AM$18)^2)</f>
        <v>3.280960317593</v>
      </c>
      <c r="AN95" s="17" t="n">
        <f aca="false">SQRT(($B95-AN$16)^2+($C95-AN$17)^2+($D95-AN$18)^2)</f>
        <v>1.41569485767953</v>
      </c>
      <c r="AO95" s="17" t="n">
        <f aca="false">SQRT(($B95-AO$16)^2+($C95-AO$17)^2+($D95-AO$18)^2)</f>
        <v>1.08416726615845</v>
      </c>
      <c r="AP95" s="63" t="n">
        <f aca="false">MATCH(MIN(AM95:AO95),AM95:AO95,0)</f>
        <v>3</v>
      </c>
      <c r="AR95" s="17" t="n">
        <f aca="false">SQRT(($B95-AR$16)^2+($C95-AR$17)^2+($D95-AR$18)^2)</f>
        <v>3.280960317593</v>
      </c>
      <c r="AS95" s="17" t="n">
        <f aca="false">SQRT(($B95-AS$16)^2+($C95-AS$17)^2+($D95-AS$18)^2)</f>
        <v>1.41569485767953</v>
      </c>
      <c r="AT95" s="17" t="n">
        <f aca="false">SQRT(($B95-AT$16)^2+($C95-AT$17)^2+($D95-AT$18)^2)</f>
        <v>1.08416726615845</v>
      </c>
      <c r="AU95" s="63" t="n">
        <f aca="false">MATCH(MIN(AR95:AT95),AR95:AT95,0)</f>
        <v>3</v>
      </c>
      <c r="AW95" s="17" t="n">
        <f aca="false">SQRT(($B95-AW$16)^2+($C95-AW$17)^2+($D95-AW$18)^2)</f>
        <v>3.280960317593</v>
      </c>
      <c r="AX95" s="17" t="n">
        <f aca="false">SQRT(($B95-AX$16)^2+($C95-AX$17)^2+($D95-AX$18)^2)</f>
        <v>1.41569485767953</v>
      </c>
      <c r="AY95" s="17" t="n">
        <f aca="false">SQRT(($B95-AY$16)^2+($C95-AY$17)^2+($D95-AY$18)^2)</f>
        <v>1.08416726615845</v>
      </c>
      <c r="AZ95" s="63" t="n">
        <f aca="false">MATCH(MIN(AW95:AY95),AW95:AY95,0)</f>
        <v>3</v>
      </c>
      <c r="BB95" s="17" t="n">
        <f aca="false">SQRT(($B95-BB$16)^2+($C95-BB$17)^2+($D95-BB$18)^2)</f>
        <v>3.280960317593</v>
      </c>
      <c r="BC95" s="17" t="n">
        <f aca="false">SQRT(($B95-BC$16)^2+($C95-BC$17)^2+($D95-BC$18)^2)</f>
        <v>1.41569485767953</v>
      </c>
      <c r="BD95" s="17" t="n">
        <f aca="false">SQRT(($B95-BD$16)^2+($C95-BD$17)^2+($D95-BD$18)^2)</f>
        <v>1.08416726615845</v>
      </c>
      <c r="BE95" s="63" t="n">
        <f aca="false">MATCH(MIN(BB95:BD95),BB95:BD95,0)</f>
        <v>3</v>
      </c>
      <c r="BG95" s="17" t="n">
        <f aca="false">SQRT(($B95-BG$16)^2+($C95-BG$17)^2+($D95-BG$18)^2)</f>
        <v>3.280960317593</v>
      </c>
      <c r="BH95" s="17" t="n">
        <f aca="false">SQRT(($B95-BH$16)^2+($C95-BH$17)^2+($D95-BH$18)^2)</f>
        <v>1.41569485767953</v>
      </c>
      <c r="BI95" s="17" t="n">
        <f aca="false">SQRT(($B95-BI$16)^2+($C95-BI$17)^2+($D95-BI$18)^2)</f>
        <v>1.08416726615845</v>
      </c>
      <c r="BJ95" s="63" t="n">
        <f aca="false">MATCH(MIN(BG95:BI95),BG95:BI95,0)</f>
        <v>3</v>
      </c>
      <c r="BL95" s="17" t="n">
        <f aca="false">SQRT(($B95-BL$16)^2+($C95-BL$17)^2+($D95-BL$18)^2)</f>
        <v>3.280960317593</v>
      </c>
      <c r="BM95" s="17" t="n">
        <f aca="false">SQRT(($B95-BM$16)^2+($C95-BM$17)^2+($D95-BM$18)^2)</f>
        <v>1.41569485767953</v>
      </c>
      <c r="BN95" s="17" t="n">
        <f aca="false">SQRT(($B95-BN$16)^2+($C95-BN$17)^2+($D95-BN$18)^2)</f>
        <v>1.08416726615845</v>
      </c>
      <c r="BO95" s="63" t="n">
        <f aca="false">MATCH(MIN(BL95:BN95),BL95:BN95,0)</f>
        <v>3</v>
      </c>
      <c r="BQ95" s="17" t="n">
        <f aca="false">SQRT(($B95-BQ$16)^2+($C95-BQ$17)^2+($D95-BQ$18)^2)</f>
        <v>3.280960317593</v>
      </c>
      <c r="BR95" s="17" t="n">
        <f aca="false">SQRT(($B95-BR$16)^2+($C95-BR$17)^2+($D95-BR$18)^2)</f>
        <v>1.41569485767953</v>
      </c>
      <c r="BS95" s="17" t="n">
        <f aca="false">SQRT(($B95-BS$16)^2+($C95-BS$17)^2+($D95-BS$18)^2)</f>
        <v>1.08416726615845</v>
      </c>
      <c r="BT95" s="63" t="n">
        <f aca="false">MATCH(MIN(BQ95:BS95),BQ95:BS95,0)</f>
        <v>3</v>
      </c>
      <c r="BV95" s="17" t="n">
        <f aca="false">SQRT(($B95-BV$16)^2+($C95-BV$17)^2+($D95-BV$18)^2)</f>
        <v>3.280960317593</v>
      </c>
      <c r="BW95" s="17" t="n">
        <f aca="false">SQRT(($B95-BW$16)^2+($C95-BW$17)^2+($D95-BW$18)^2)</f>
        <v>1.41569485767953</v>
      </c>
      <c r="BX95" s="17" t="n">
        <f aca="false">SQRT(($B95-BX$16)^2+($C95-BX$17)^2+($D95-BX$18)^2)</f>
        <v>1.08416726615845</v>
      </c>
      <c r="BY95" s="63" t="n">
        <f aca="false">MATCH(MIN(BV95:BX95),BV95:BX95,0)</f>
        <v>3</v>
      </c>
      <c r="CA95" s="17" t="n">
        <f aca="false">SQRT(($B95-CA$16)^2+($C95-CA$17)^2+($D95-CA$18)^2)</f>
        <v>3.280960317593</v>
      </c>
      <c r="CB95" s="17" t="n">
        <f aca="false">SQRT(($B95-CB$16)^2+($C95-CB$17)^2+($D95-CB$18)^2)</f>
        <v>1.41569485767953</v>
      </c>
      <c r="CC95" s="17" t="n">
        <f aca="false">SQRT(($B95-CC$16)^2+($C95-CC$17)^2+($D95-CC$18)^2)</f>
        <v>1.08416726615845</v>
      </c>
      <c r="CD95" s="63" t="n">
        <f aca="false">MATCH(MIN(CA95:CC95),CA95:CC95,0)</f>
        <v>3</v>
      </c>
    </row>
    <row r="96" customFormat="false" ht="15" hidden="false" customHeight="false" outlineLevel="0" collapsed="false">
      <c r="A96" s="76" t="n">
        <f aca="false">Phase_Data!A78</f>
        <v>43960</v>
      </c>
      <c r="B96" s="17" t="n">
        <f aca="false">Phase_Data!K78</f>
        <v>1.01596816796627</v>
      </c>
      <c r="C96" s="17" t="n">
        <f aca="false">Phase_Data!L78</f>
        <v>0.626618740634316</v>
      </c>
      <c r="D96" s="17" t="n">
        <f aca="false">Phase_Data!M78</f>
        <v>-0.14141459842553</v>
      </c>
      <c r="E96" s="63" t="n">
        <f aca="false">CD96</f>
        <v>3</v>
      </c>
      <c r="F96" s="38" t="n">
        <f aca="false">($B96-INDEX($L$16:$N$16,E96))^2+($C96-INDEX($L$17:$N$17,E96))^2+($D96-INDEX($L$18:$N$18,E96))^2</f>
        <v>0.871683544800922</v>
      </c>
      <c r="G96" s="12" t="str">
        <f aca="false">INDEX($M$5:$M$7,E96)</f>
        <v>Medium activity</v>
      </c>
      <c r="X96" s="17" t="n">
        <f aca="false">SQRT(($B96-X$16)^2+($C96-X$17)^2+($D96-X$18)^2)</f>
        <v>3.47604444690478</v>
      </c>
      <c r="Y96" s="17" t="n">
        <f aca="false">SQRT(($B96-Y$16)^2+($C96-Y$17)^2+($D96-Y$18)^2)</f>
        <v>1.9865551616453</v>
      </c>
      <c r="Z96" s="17" t="n">
        <f aca="false">SQRT(($B96-Z$16)^2+($C96-Z$17)^2+($D96-Z$18)^2)</f>
        <v>1.19983333891555</v>
      </c>
      <c r="AA96" s="63" t="n">
        <f aca="false">MATCH(MIN(X96:Z96),X96:Z96,0)</f>
        <v>3</v>
      </c>
      <c r="AC96" s="17" t="n">
        <f aca="false">SQRT(($B96-AC$16)^2+($C96-AC$17)^2+($D96-AC$18)^2)</f>
        <v>3.07593666567515</v>
      </c>
      <c r="AD96" s="17" t="n">
        <f aca="false">SQRT(($B96-AD$16)^2+($C96-AD$17)^2+($D96-AD$18)^2)</f>
        <v>1.27875634832903</v>
      </c>
      <c r="AE96" s="17" t="n">
        <f aca="false">SQRT(($B96-AE$16)^2+($C96-AE$17)^2+($D96-AE$18)^2)</f>
        <v>0.853445151903106</v>
      </c>
      <c r="AF96" s="63" t="n">
        <f aca="false">MATCH(MIN(AC96:AE96),AC96:AE96,0)</f>
        <v>3</v>
      </c>
      <c r="AH96" s="17" t="n">
        <f aca="false">SQRT(($B96-AH$16)^2+($C96-AH$17)^2+($D96-AH$18)^2)</f>
        <v>3.16202006514897</v>
      </c>
      <c r="AI96" s="17" t="n">
        <f aca="false">SQRT(($B96-AI$16)^2+($C96-AI$17)^2+($D96-AI$18)^2)</f>
        <v>1.36109850750407</v>
      </c>
      <c r="AJ96" s="17" t="n">
        <f aca="false">SQRT(($B96-AJ$16)^2+($C96-AJ$17)^2+($D96-AJ$18)^2)</f>
        <v>0.912830353941833</v>
      </c>
      <c r="AK96" s="63" t="n">
        <f aca="false">MATCH(MIN(AH96:AJ96),AH96:AJ96,0)</f>
        <v>3</v>
      </c>
      <c r="AM96" s="17" t="n">
        <f aca="false">SQRT(($B96-AM$16)^2+($C96-AM$17)^2+($D96-AM$18)^2)</f>
        <v>3.20534669284875</v>
      </c>
      <c r="AN96" s="17" t="n">
        <f aca="false">SQRT(($B96-AN$16)^2+($C96-AN$17)^2+($D96-AN$18)^2)</f>
        <v>1.37851761184775</v>
      </c>
      <c r="AO96" s="17" t="n">
        <f aca="false">SQRT(($B96-AO$16)^2+($C96-AO$17)^2+($D96-AO$18)^2)</f>
        <v>0.933639943876076</v>
      </c>
      <c r="AP96" s="63" t="n">
        <f aca="false">MATCH(MIN(AM96:AO96),AM96:AO96,0)</f>
        <v>3</v>
      </c>
      <c r="AR96" s="17" t="n">
        <f aca="false">SQRT(($B96-AR$16)^2+($C96-AR$17)^2+($D96-AR$18)^2)</f>
        <v>3.20534669284875</v>
      </c>
      <c r="AS96" s="17" t="n">
        <f aca="false">SQRT(($B96-AS$16)^2+($C96-AS$17)^2+($D96-AS$18)^2)</f>
        <v>1.37851761184775</v>
      </c>
      <c r="AT96" s="17" t="n">
        <f aca="false">SQRT(($B96-AT$16)^2+($C96-AT$17)^2+($D96-AT$18)^2)</f>
        <v>0.933639943876076</v>
      </c>
      <c r="AU96" s="63" t="n">
        <f aca="false">MATCH(MIN(AR96:AT96),AR96:AT96,0)</f>
        <v>3</v>
      </c>
      <c r="AW96" s="17" t="n">
        <f aca="false">SQRT(($B96-AW$16)^2+($C96-AW$17)^2+($D96-AW$18)^2)</f>
        <v>3.20534669284875</v>
      </c>
      <c r="AX96" s="17" t="n">
        <f aca="false">SQRT(($B96-AX$16)^2+($C96-AX$17)^2+($D96-AX$18)^2)</f>
        <v>1.37851761184775</v>
      </c>
      <c r="AY96" s="17" t="n">
        <f aca="false">SQRT(($B96-AY$16)^2+($C96-AY$17)^2+($D96-AY$18)^2)</f>
        <v>0.933639943876076</v>
      </c>
      <c r="AZ96" s="63" t="n">
        <f aca="false">MATCH(MIN(AW96:AY96),AW96:AY96,0)</f>
        <v>3</v>
      </c>
      <c r="BB96" s="17" t="n">
        <f aca="false">SQRT(($B96-BB$16)^2+($C96-BB$17)^2+($D96-BB$18)^2)</f>
        <v>3.20534669284875</v>
      </c>
      <c r="BC96" s="17" t="n">
        <f aca="false">SQRT(($B96-BC$16)^2+($C96-BC$17)^2+($D96-BC$18)^2)</f>
        <v>1.37851761184775</v>
      </c>
      <c r="BD96" s="17" t="n">
        <f aca="false">SQRT(($B96-BD$16)^2+($C96-BD$17)^2+($D96-BD$18)^2)</f>
        <v>0.933639943876076</v>
      </c>
      <c r="BE96" s="63" t="n">
        <f aca="false">MATCH(MIN(BB96:BD96),BB96:BD96,0)</f>
        <v>3</v>
      </c>
      <c r="BG96" s="17" t="n">
        <f aca="false">SQRT(($B96-BG$16)^2+($C96-BG$17)^2+($D96-BG$18)^2)</f>
        <v>3.20534669284875</v>
      </c>
      <c r="BH96" s="17" t="n">
        <f aca="false">SQRT(($B96-BH$16)^2+($C96-BH$17)^2+($D96-BH$18)^2)</f>
        <v>1.37851761184775</v>
      </c>
      <c r="BI96" s="17" t="n">
        <f aca="false">SQRT(($B96-BI$16)^2+($C96-BI$17)^2+($D96-BI$18)^2)</f>
        <v>0.933639943876076</v>
      </c>
      <c r="BJ96" s="63" t="n">
        <f aca="false">MATCH(MIN(BG96:BI96),BG96:BI96,0)</f>
        <v>3</v>
      </c>
      <c r="BL96" s="17" t="n">
        <f aca="false">SQRT(($B96-BL$16)^2+($C96-BL$17)^2+($D96-BL$18)^2)</f>
        <v>3.20534669284875</v>
      </c>
      <c r="BM96" s="17" t="n">
        <f aca="false">SQRT(($B96-BM$16)^2+($C96-BM$17)^2+($D96-BM$18)^2)</f>
        <v>1.37851761184775</v>
      </c>
      <c r="BN96" s="17" t="n">
        <f aca="false">SQRT(($B96-BN$16)^2+($C96-BN$17)^2+($D96-BN$18)^2)</f>
        <v>0.933639943876076</v>
      </c>
      <c r="BO96" s="63" t="n">
        <f aca="false">MATCH(MIN(BL96:BN96),BL96:BN96,0)</f>
        <v>3</v>
      </c>
      <c r="BQ96" s="17" t="n">
        <f aca="false">SQRT(($B96-BQ$16)^2+($C96-BQ$17)^2+($D96-BQ$18)^2)</f>
        <v>3.20534669284875</v>
      </c>
      <c r="BR96" s="17" t="n">
        <f aca="false">SQRT(($B96-BR$16)^2+($C96-BR$17)^2+($D96-BR$18)^2)</f>
        <v>1.37851761184775</v>
      </c>
      <c r="BS96" s="17" t="n">
        <f aca="false">SQRT(($B96-BS$16)^2+($C96-BS$17)^2+($D96-BS$18)^2)</f>
        <v>0.933639943876076</v>
      </c>
      <c r="BT96" s="63" t="n">
        <f aca="false">MATCH(MIN(BQ96:BS96),BQ96:BS96,0)</f>
        <v>3</v>
      </c>
      <c r="BV96" s="17" t="n">
        <f aca="false">SQRT(($B96-BV$16)^2+($C96-BV$17)^2+($D96-BV$18)^2)</f>
        <v>3.20534669284875</v>
      </c>
      <c r="BW96" s="17" t="n">
        <f aca="false">SQRT(($B96-BW$16)^2+($C96-BW$17)^2+($D96-BW$18)^2)</f>
        <v>1.37851761184775</v>
      </c>
      <c r="BX96" s="17" t="n">
        <f aca="false">SQRT(($B96-BX$16)^2+($C96-BX$17)^2+($D96-BX$18)^2)</f>
        <v>0.933639943876076</v>
      </c>
      <c r="BY96" s="63" t="n">
        <f aca="false">MATCH(MIN(BV96:BX96),BV96:BX96,0)</f>
        <v>3</v>
      </c>
      <c r="CA96" s="17" t="n">
        <f aca="false">SQRT(($B96-CA$16)^2+($C96-CA$17)^2+($D96-CA$18)^2)</f>
        <v>3.20534669284875</v>
      </c>
      <c r="CB96" s="17" t="n">
        <f aca="false">SQRT(($B96-CB$16)^2+($C96-CB$17)^2+($D96-CB$18)^2)</f>
        <v>1.37851761184775</v>
      </c>
      <c r="CC96" s="17" t="n">
        <f aca="false">SQRT(($B96-CC$16)^2+($C96-CC$17)^2+($D96-CC$18)^2)</f>
        <v>0.933639943876076</v>
      </c>
      <c r="CD96" s="63" t="n">
        <f aca="false">MATCH(MIN(CA96:CC96),CA96:CC96,0)</f>
        <v>3</v>
      </c>
    </row>
    <row r="97" customFormat="false" ht="15" hidden="false" customHeight="false" outlineLevel="0" collapsed="false">
      <c r="A97" s="76" t="n">
        <f aca="false">Phase_Data!A79</f>
        <v>43961</v>
      </c>
      <c r="B97" s="17" t="n">
        <f aca="false">Phase_Data!K79</f>
        <v>0.793585878003515</v>
      </c>
      <c r="C97" s="17" t="n">
        <f aca="false">Phase_Data!L79</f>
        <v>0.750415929951543</v>
      </c>
      <c r="D97" s="17" t="n">
        <f aca="false">Phase_Data!M79</f>
        <v>0.626617242813408</v>
      </c>
      <c r="E97" s="63" t="n">
        <f aca="false">CD97</f>
        <v>2</v>
      </c>
      <c r="F97" s="38" t="n">
        <f aca="false">($B97-INDEX($L$16:$N$16,E97))^2+($C97-INDEX($L$17:$N$17,E97))^2+($D97-INDEX($L$18:$N$18,E97))^2</f>
        <v>0.396226262424899</v>
      </c>
      <c r="G97" s="12" t="str">
        <f aca="false">INDEX($M$5:$M$7,E97)</f>
        <v>High activity</v>
      </c>
      <c r="X97" s="17" t="n">
        <f aca="false">SQRT(($B97-X$16)^2+($C97-X$17)^2+($D97-X$18)^2)</f>
        <v>3.72013939995512</v>
      </c>
      <c r="Y97" s="17" t="n">
        <f aca="false">SQRT(($B97-Y$16)^2+($C97-Y$17)^2+($D97-Y$18)^2)</f>
        <v>1.31930306099994</v>
      </c>
      <c r="Z97" s="17" t="n">
        <f aca="false">SQRT(($B97-Z$16)^2+($C97-Z$17)^2+($D97-Z$18)^2)</f>
        <v>1.90914759262087</v>
      </c>
      <c r="AA97" s="63" t="n">
        <f aca="false">MATCH(MIN(X97:Z97),X97:Z97,0)</f>
        <v>2</v>
      </c>
      <c r="AC97" s="17" t="n">
        <f aca="false">SQRT(($B97-AC$16)^2+($C97-AC$17)^2+($D97-AC$18)^2)</f>
        <v>3.32960078473789</v>
      </c>
      <c r="AD97" s="17" t="n">
        <f aca="false">SQRT(($B97-AD$16)^2+($C97-AD$17)^2+($D97-AD$18)^2)</f>
        <v>0.487030708028175</v>
      </c>
      <c r="AE97" s="17" t="n">
        <f aca="false">SQRT(($B97-AE$16)^2+($C97-AE$17)^2+($D97-AE$18)^2)</f>
        <v>1.07814064796068</v>
      </c>
      <c r="AF97" s="63" t="n">
        <f aca="false">MATCH(MIN(AC97:AE97),AC97:AE97,0)</f>
        <v>2</v>
      </c>
      <c r="AH97" s="17" t="n">
        <f aca="false">SQRT(($B97-AH$16)^2+($C97-AH$17)^2+($D97-AH$18)^2)</f>
        <v>3.41757185541407</v>
      </c>
      <c r="AI97" s="17" t="n">
        <f aca="false">SQRT(($B97-AI$16)^2+($C97-AI$17)^2+($D97-AI$18)^2)</f>
        <v>0.603339518413646</v>
      </c>
      <c r="AJ97" s="17" t="n">
        <f aca="false">SQRT(($B97-AJ$16)^2+($C97-AJ$17)^2+($D97-AJ$18)^2)</f>
        <v>1.05989660828231</v>
      </c>
      <c r="AK97" s="63" t="n">
        <f aca="false">MATCH(MIN(AH97:AJ97),AH97:AJ97,0)</f>
        <v>2</v>
      </c>
      <c r="AM97" s="17" t="n">
        <f aca="false">SQRT(($B97-AM$16)^2+($C97-AM$17)^2+($D97-AM$18)^2)</f>
        <v>3.4601891993951</v>
      </c>
      <c r="AN97" s="17" t="n">
        <f aca="false">SQRT(($B97-AN$16)^2+($C97-AN$17)^2+($D97-AN$18)^2)</f>
        <v>0.629465060527508</v>
      </c>
      <c r="AO97" s="17" t="n">
        <f aca="false">SQRT(($B97-AO$16)^2+($C97-AO$17)^2+($D97-AO$18)^2)</f>
        <v>1.07328366446391</v>
      </c>
      <c r="AP97" s="63" t="n">
        <f aca="false">MATCH(MIN(AM97:AO97),AM97:AO97,0)</f>
        <v>2</v>
      </c>
      <c r="AR97" s="17" t="n">
        <f aca="false">SQRT(($B97-AR$16)^2+($C97-AR$17)^2+($D97-AR$18)^2)</f>
        <v>3.4601891993951</v>
      </c>
      <c r="AS97" s="17" t="n">
        <f aca="false">SQRT(($B97-AS$16)^2+($C97-AS$17)^2+($D97-AS$18)^2)</f>
        <v>0.629465060527508</v>
      </c>
      <c r="AT97" s="17" t="n">
        <f aca="false">SQRT(($B97-AT$16)^2+($C97-AT$17)^2+($D97-AT$18)^2)</f>
        <v>1.07328366446391</v>
      </c>
      <c r="AU97" s="63" t="n">
        <f aca="false">MATCH(MIN(AR97:AT97),AR97:AT97,0)</f>
        <v>2</v>
      </c>
      <c r="AW97" s="17" t="n">
        <f aca="false">SQRT(($B97-AW$16)^2+($C97-AW$17)^2+($D97-AW$18)^2)</f>
        <v>3.4601891993951</v>
      </c>
      <c r="AX97" s="17" t="n">
        <f aca="false">SQRT(($B97-AX$16)^2+($C97-AX$17)^2+($D97-AX$18)^2)</f>
        <v>0.629465060527508</v>
      </c>
      <c r="AY97" s="17" t="n">
        <f aca="false">SQRT(($B97-AY$16)^2+($C97-AY$17)^2+($D97-AY$18)^2)</f>
        <v>1.07328366446391</v>
      </c>
      <c r="AZ97" s="63" t="n">
        <f aca="false">MATCH(MIN(AW97:AY97),AW97:AY97,0)</f>
        <v>2</v>
      </c>
      <c r="BB97" s="17" t="n">
        <f aca="false">SQRT(($B97-BB$16)^2+($C97-BB$17)^2+($D97-BB$18)^2)</f>
        <v>3.4601891993951</v>
      </c>
      <c r="BC97" s="17" t="n">
        <f aca="false">SQRT(($B97-BC$16)^2+($C97-BC$17)^2+($D97-BC$18)^2)</f>
        <v>0.629465060527508</v>
      </c>
      <c r="BD97" s="17" t="n">
        <f aca="false">SQRT(($B97-BD$16)^2+($C97-BD$17)^2+($D97-BD$18)^2)</f>
        <v>1.07328366446391</v>
      </c>
      <c r="BE97" s="63" t="n">
        <f aca="false">MATCH(MIN(BB97:BD97),BB97:BD97,0)</f>
        <v>2</v>
      </c>
      <c r="BG97" s="17" t="n">
        <f aca="false">SQRT(($B97-BG$16)^2+($C97-BG$17)^2+($D97-BG$18)^2)</f>
        <v>3.4601891993951</v>
      </c>
      <c r="BH97" s="17" t="n">
        <f aca="false">SQRT(($B97-BH$16)^2+($C97-BH$17)^2+($D97-BH$18)^2)</f>
        <v>0.629465060527508</v>
      </c>
      <c r="BI97" s="17" t="n">
        <f aca="false">SQRT(($B97-BI$16)^2+($C97-BI$17)^2+($D97-BI$18)^2)</f>
        <v>1.07328366446391</v>
      </c>
      <c r="BJ97" s="63" t="n">
        <f aca="false">MATCH(MIN(BG97:BI97),BG97:BI97,0)</f>
        <v>2</v>
      </c>
      <c r="BL97" s="17" t="n">
        <f aca="false">SQRT(($B97-BL$16)^2+($C97-BL$17)^2+($D97-BL$18)^2)</f>
        <v>3.4601891993951</v>
      </c>
      <c r="BM97" s="17" t="n">
        <f aca="false">SQRT(($B97-BM$16)^2+($C97-BM$17)^2+($D97-BM$18)^2)</f>
        <v>0.629465060527508</v>
      </c>
      <c r="BN97" s="17" t="n">
        <f aca="false">SQRT(($B97-BN$16)^2+($C97-BN$17)^2+($D97-BN$18)^2)</f>
        <v>1.07328366446391</v>
      </c>
      <c r="BO97" s="63" t="n">
        <f aca="false">MATCH(MIN(BL97:BN97),BL97:BN97,0)</f>
        <v>2</v>
      </c>
      <c r="BQ97" s="17" t="n">
        <f aca="false">SQRT(($B97-BQ$16)^2+($C97-BQ$17)^2+($D97-BQ$18)^2)</f>
        <v>3.4601891993951</v>
      </c>
      <c r="BR97" s="17" t="n">
        <f aca="false">SQRT(($B97-BR$16)^2+($C97-BR$17)^2+($D97-BR$18)^2)</f>
        <v>0.629465060527508</v>
      </c>
      <c r="BS97" s="17" t="n">
        <f aca="false">SQRT(($B97-BS$16)^2+($C97-BS$17)^2+($D97-BS$18)^2)</f>
        <v>1.07328366446391</v>
      </c>
      <c r="BT97" s="63" t="n">
        <f aca="false">MATCH(MIN(BQ97:BS97),BQ97:BS97,0)</f>
        <v>2</v>
      </c>
      <c r="BV97" s="17" t="n">
        <f aca="false">SQRT(($B97-BV$16)^2+($C97-BV$17)^2+($D97-BV$18)^2)</f>
        <v>3.4601891993951</v>
      </c>
      <c r="BW97" s="17" t="n">
        <f aca="false">SQRT(($B97-BW$16)^2+($C97-BW$17)^2+($D97-BW$18)^2)</f>
        <v>0.629465060527508</v>
      </c>
      <c r="BX97" s="17" t="n">
        <f aca="false">SQRT(($B97-BX$16)^2+($C97-BX$17)^2+($D97-BX$18)^2)</f>
        <v>1.07328366446391</v>
      </c>
      <c r="BY97" s="63" t="n">
        <f aca="false">MATCH(MIN(BV97:BX97),BV97:BX97,0)</f>
        <v>2</v>
      </c>
      <c r="CA97" s="17" t="n">
        <f aca="false">SQRT(($B97-CA$16)^2+($C97-CA$17)^2+($D97-CA$18)^2)</f>
        <v>3.4601891993951</v>
      </c>
      <c r="CB97" s="17" t="n">
        <f aca="false">SQRT(($B97-CB$16)^2+($C97-CB$17)^2+($D97-CB$18)^2)</f>
        <v>0.629465060527508</v>
      </c>
      <c r="CC97" s="17" t="n">
        <f aca="false">SQRT(($B97-CC$16)^2+($C97-CC$17)^2+($D97-CC$18)^2)</f>
        <v>1.07328366446391</v>
      </c>
      <c r="CD97" s="63" t="n">
        <f aca="false">MATCH(MIN(CA97:CC97),CA97:CC97,0)</f>
        <v>2</v>
      </c>
    </row>
    <row r="98" customFormat="false" ht="15" hidden="false" customHeight="false" outlineLevel="0" collapsed="false">
      <c r="A98" s="76" t="n">
        <f aca="false">Phase_Data!A80</f>
        <v>43962</v>
      </c>
      <c r="B98" s="17" t="n">
        <f aca="false">Phase_Data!K80</f>
        <v>0.672103250897209</v>
      </c>
      <c r="C98" s="17" t="n">
        <f aca="false">Phase_Data!L80</f>
        <v>1.08007800635234</v>
      </c>
      <c r="D98" s="17" t="n">
        <f aca="false">Phase_Data!M80</f>
        <v>0.699748817133376</v>
      </c>
      <c r="E98" s="63" t="n">
        <f aca="false">CD98</f>
        <v>2</v>
      </c>
      <c r="F98" s="38" t="n">
        <f aca="false">($B98-INDEX($L$16:$N$16,E98))^2+($C98-INDEX($L$17:$N$17,E98))^2+($D98-INDEX($L$18:$N$18,E98))^2</f>
        <v>0.243991663526036</v>
      </c>
      <c r="G98" s="12" t="str">
        <f aca="false">INDEX($M$5:$M$7,E98)</f>
        <v>High activity</v>
      </c>
      <c r="X98" s="17" t="n">
        <f aca="false">SQRT(($B98-X$16)^2+($C98-X$17)^2+($D98-X$18)^2)</f>
        <v>3.88546358023679</v>
      </c>
      <c r="Y98" s="17" t="n">
        <f aca="false">SQRT(($B98-Y$16)^2+($C98-Y$17)^2+($D98-Y$18)^2)</f>
        <v>1.15965708495288</v>
      </c>
      <c r="Z98" s="17" t="n">
        <f aca="false">SQRT(($B98-Z$16)^2+($C98-Z$17)^2+($D98-Z$18)^2)</f>
        <v>2.00048101983796</v>
      </c>
      <c r="AA98" s="63" t="n">
        <f aca="false">MATCH(MIN(X98:Z98),X98:Z98,0)</f>
        <v>2</v>
      </c>
      <c r="AC98" s="17" t="n">
        <f aca="false">SQRT(($B98-AC$16)^2+($C98-AC$17)^2+($D98-AC$18)^2)</f>
        <v>3.50753685986495</v>
      </c>
      <c r="AD98" s="17" t="n">
        <f aca="false">SQRT(($B98-AD$16)^2+($C98-AD$17)^2+($D98-AD$18)^2)</f>
        <v>0.414826158332077</v>
      </c>
      <c r="AE98" s="17" t="n">
        <f aca="false">SQRT(($B98-AE$16)^2+($C98-AE$17)^2+($D98-AE$18)^2)</f>
        <v>1.29353285902681</v>
      </c>
      <c r="AF98" s="63" t="n">
        <f aca="false">MATCH(MIN(AC98:AE98),AC98:AE98,0)</f>
        <v>2</v>
      </c>
      <c r="AH98" s="17" t="n">
        <f aca="false">SQRT(($B98-AH$16)^2+($C98-AH$17)^2+($D98-AH$18)^2)</f>
        <v>3.59273379375844</v>
      </c>
      <c r="AI98" s="17" t="n">
        <f aca="false">SQRT(($B98-AI$16)^2+($C98-AI$17)^2+($D98-AI$18)^2)</f>
        <v>0.480879345459958</v>
      </c>
      <c r="AJ98" s="17" t="n">
        <f aca="false">SQRT(($B98-AJ$16)^2+($C98-AJ$17)^2+($D98-AJ$18)^2)</f>
        <v>1.28136559725051</v>
      </c>
      <c r="AK98" s="63" t="n">
        <f aca="false">MATCH(MIN(AH98:AJ98),AH98:AJ98,0)</f>
        <v>2</v>
      </c>
      <c r="AM98" s="17" t="n">
        <f aca="false">SQRT(($B98-AM$16)^2+($C98-AM$17)^2+($D98-AM$18)^2)</f>
        <v>3.63350725193303</v>
      </c>
      <c r="AN98" s="17" t="n">
        <f aca="false">SQRT(($B98-AN$16)^2+($C98-AN$17)^2+($D98-AN$18)^2)</f>
        <v>0.493955122987945</v>
      </c>
      <c r="AO98" s="17" t="n">
        <f aca="false">SQRT(($B98-AO$16)^2+($C98-AO$17)^2+($D98-AO$18)^2)</f>
        <v>1.29810230112614</v>
      </c>
      <c r="AP98" s="63" t="n">
        <f aca="false">MATCH(MIN(AM98:AO98),AM98:AO98,0)</f>
        <v>2</v>
      </c>
      <c r="AR98" s="17" t="n">
        <f aca="false">SQRT(($B98-AR$16)^2+($C98-AR$17)^2+($D98-AR$18)^2)</f>
        <v>3.63350725193303</v>
      </c>
      <c r="AS98" s="17" t="n">
        <f aca="false">SQRT(($B98-AS$16)^2+($C98-AS$17)^2+($D98-AS$18)^2)</f>
        <v>0.493955122987945</v>
      </c>
      <c r="AT98" s="17" t="n">
        <f aca="false">SQRT(($B98-AT$16)^2+($C98-AT$17)^2+($D98-AT$18)^2)</f>
        <v>1.29810230112614</v>
      </c>
      <c r="AU98" s="63" t="n">
        <f aca="false">MATCH(MIN(AR98:AT98),AR98:AT98,0)</f>
        <v>2</v>
      </c>
      <c r="AW98" s="17" t="n">
        <f aca="false">SQRT(($B98-AW$16)^2+($C98-AW$17)^2+($D98-AW$18)^2)</f>
        <v>3.63350725193303</v>
      </c>
      <c r="AX98" s="17" t="n">
        <f aca="false">SQRT(($B98-AX$16)^2+($C98-AX$17)^2+($D98-AX$18)^2)</f>
        <v>0.493955122987945</v>
      </c>
      <c r="AY98" s="17" t="n">
        <f aca="false">SQRT(($B98-AY$16)^2+($C98-AY$17)^2+($D98-AY$18)^2)</f>
        <v>1.29810230112614</v>
      </c>
      <c r="AZ98" s="63" t="n">
        <f aca="false">MATCH(MIN(AW98:AY98),AW98:AY98,0)</f>
        <v>2</v>
      </c>
      <c r="BB98" s="17" t="n">
        <f aca="false">SQRT(($B98-BB$16)^2+($C98-BB$17)^2+($D98-BB$18)^2)</f>
        <v>3.63350725193303</v>
      </c>
      <c r="BC98" s="17" t="n">
        <f aca="false">SQRT(($B98-BC$16)^2+($C98-BC$17)^2+($D98-BC$18)^2)</f>
        <v>0.493955122987945</v>
      </c>
      <c r="BD98" s="17" t="n">
        <f aca="false">SQRT(($B98-BD$16)^2+($C98-BD$17)^2+($D98-BD$18)^2)</f>
        <v>1.29810230112614</v>
      </c>
      <c r="BE98" s="63" t="n">
        <f aca="false">MATCH(MIN(BB98:BD98),BB98:BD98,0)</f>
        <v>2</v>
      </c>
      <c r="BG98" s="17" t="n">
        <f aca="false">SQRT(($B98-BG$16)^2+($C98-BG$17)^2+($D98-BG$18)^2)</f>
        <v>3.63350725193303</v>
      </c>
      <c r="BH98" s="17" t="n">
        <f aca="false">SQRT(($B98-BH$16)^2+($C98-BH$17)^2+($D98-BH$18)^2)</f>
        <v>0.493955122987945</v>
      </c>
      <c r="BI98" s="17" t="n">
        <f aca="false">SQRT(($B98-BI$16)^2+($C98-BI$17)^2+($D98-BI$18)^2)</f>
        <v>1.29810230112614</v>
      </c>
      <c r="BJ98" s="63" t="n">
        <f aca="false">MATCH(MIN(BG98:BI98),BG98:BI98,0)</f>
        <v>2</v>
      </c>
      <c r="BL98" s="17" t="n">
        <f aca="false">SQRT(($B98-BL$16)^2+($C98-BL$17)^2+($D98-BL$18)^2)</f>
        <v>3.63350725193303</v>
      </c>
      <c r="BM98" s="17" t="n">
        <f aca="false">SQRT(($B98-BM$16)^2+($C98-BM$17)^2+($D98-BM$18)^2)</f>
        <v>0.493955122987945</v>
      </c>
      <c r="BN98" s="17" t="n">
        <f aca="false">SQRT(($B98-BN$16)^2+($C98-BN$17)^2+($D98-BN$18)^2)</f>
        <v>1.29810230112614</v>
      </c>
      <c r="BO98" s="63" t="n">
        <f aca="false">MATCH(MIN(BL98:BN98),BL98:BN98,0)</f>
        <v>2</v>
      </c>
      <c r="BQ98" s="17" t="n">
        <f aca="false">SQRT(($B98-BQ$16)^2+($C98-BQ$17)^2+($D98-BQ$18)^2)</f>
        <v>3.63350725193303</v>
      </c>
      <c r="BR98" s="17" t="n">
        <f aca="false">SQRT(($B98-BR$16)^2+($C98-BR$17)^2+($D98-BR$18)^2)</f>
        <v>0.493955122987945</v>
      </c>
      <c r="BS98" s="17" t="n">
        <f aca="false">SQRT(($B98-BS$16)^2+($C98-BS$17)^2+($D98-BS$18)^2)</f>
        <v>1.29810230112614</v>
      </c>
      <c r="BT98" s="63" t="n">
        <f aca="false">MATCH(MIN(BQ98:BS98),BQ98:BS98,0)</f>
        <v>2</v>
      </c>
      <c r="BV98" s="17" t="n">
        <f aca="false">SQRT(($B98-BV$16)^2+($C98-BV$17)^2+($D98-BV$18)^2)</f>
        <v>3.63350725193303</v>
      </c>
      <c r="BW98" s="17" t="n">
        <f aca="false">SQRT(($B98-BW$16)^2+($C98-BW$17)^2+($D98-BW$18)^2)</f>
        <v>0.493955122987945</v>
      </c>
      <c r="BX98" s="17" t="n">
        <f aca="false">SQRT(($B98-BX$16)^2+($C98-BX$17)^2+($D98-BX$18)^2)</f>
        <v>1.29810230112614</v>
      </c>
      <c r="BY98" s="63" t="n">
        <f aca="false">MATCH(MIN(BV98:BX98),BV98:BX98,0)</f>
        <v>2</v>
      </c>
      <c r="CA98" s="17" t="n">
        <f aca="false">SQRT(($B98-CA$16)^2+($C98-CA$17)^2+($D98-CA$18)^2)</f>
        <v>3.63350725193303</v>
      </c>
      <c r="CB98" s="17" t="n">
        <f aca="false">SQRT(($B98-CB$16)^2+($C98-CB$17)^2+($D98-CB$18)^2)</f>
        <v>0.493955122987945</v>
      </c>
      <c r="CC98" s="17" t="n">
        <f aca="false">SQRT(($B98-CC$16)^2+($C98-CC$17)^2+($D98-CC$18)^2)</f>
        <v>1.29810230112614</v>
      </c>
      <c r="CD98" s="63" t="n">
        <f aca="false">MATCH(MIN(CA98:CC98),CA98:CC98,0)</f>
        <v>2</v>
      </c>
    </row>
    <row r="99" customFormat="false" ht="15" hidden="false" customHeight="false" outlineLevel="0" collapsed="false">
      <c r="A99" s="76" t="n">
        <f aca="false">Phase_Data!A81</f>
        <v>43963</v>
      </c>
      <c r="B99" s="17" t="n">
        <f aca="false">Phase_Data!K81</f>
        <v>0.966090172521725</v>
      </c>
      <c r="C99" s="17" t="n">
        <f aca="false">Phase_Data!L81</f>
        <v>1.09726891632066</v>
      </c>
      <c r="D99" s="17" t="n">
        <f aca="false">Phase_Data!M81</f>
        <v>0.850058409091967</v>
      </c>
      <c r="E99" s="63" t="n">
        <f aca="false">CD99</f>
        <v>2</v>
      </c>
      <c r="F99" s="38" t="n">
        <f aca="false">($B99-INDEX($L$16:$N$16,E99))^2+($C99-INDEX($L$17:$N$17,E99))^2+($D99-INDEX($L$18:$N$18,E99))^2</f>
        <v>0.0971874306557547</v>
      </c>
      <c r="G99" s="12" t="str">
        <f aca="false">INDEX($M$5:$M$7,E99)</f>
        <v>High activity</v>
      </c>
      <c r="X99" s="17" t="n">
        <f aca="false">SQRT(($B99-X$16)^2+($C99-X$17)^2+($D99-X$18)^2)</f>
        <v>4.1473681169716</v>
      </c>
      <c r="Y99" s="17" t="n">
        <f aca="false">SQRT(($B99-Y$16)^2+($C99-Y$17)^2+($D99-Y$18)^2)</f>
        <v>0.914234728686475</v>
      </c>
      <c r="Z99" s="17" t="n">
        <f aca="false">SQRT(($B99-Z$16)^2+($C99-Z$17)^2+($D99-Z$18)^2)</f>
        <v>2.17302844421785</v>
      </c>
      <c r="AA99" s="63" t="n">
        <f aca="false">MATCH(MIN(X99:Z99),X99:Z99,0)</f>
        <v>2</v>
      </c>
      <c r="AC99" s="17" t="n">
        <f aca="false">SQRT(($B99-AC$16)^2+($C99-AC$17)^2+($D99-AC$18)^2)</f>
        <v>3.76137012617211</v>
      </c>
      <c r="AD99" s="17" t="n">
        <f aca="false">SQRT(($B99-AD$16)^2+($C99-AD$17)^2+($D99-AD$18)^2)</f>
        <v>0.334056155257011</v>
      </c>
      <c r="AE99" s="17" t="n">
        <f aca="false">SQRT(($B99-AE$16)^2+($C99-AE$17)^2+($D99-AE$18)^2)</f>
        <v>1.51006945033517</v>
      </c>
      <c r="AF99" s="63" t="n">
        <f aca="false">MATCH(MIN(AC99:AE99),AC99:AE99,0)</f>
        <v>2</v>
      </c>
      <c r="AH99" s="17" t="n">
        <f aca="false">SQRT(($B99-AH$16)^2+($C99-AH$17)^2+($D99-AH$18)^2)</f>
        <v>3.84841574144273</v>
      </c>
      <c r="AI99" s="17" t="n">
        <f aca="false">SQRT(($B99-AI$16)^2+($C99-AI$17)^2+($D99-AI$18)^2)</f>
        <v>0.309858993033997</v>
      </c>
      <c r="AJ99" s="17" t="n">
        <f aca="false">SQRT(($B99-AJ$16)^2+($C99-AJ$17)^2+($D99-AJ$18)^2)</f>
        <v>1.49785023838856</v>
      </c>
      <c r="AK99" s="63" t="n">
        <f aca="false">MATCH(MIN(AH99:AJ99),AH99:AJ99,0)</f>
        <v>2</v>
      </c>
      <c r="AM99" s="17" t="n">
        <f aca="false">SQRT(($B99-AM$16)^2+($C99-AM$17)^2+($D99-AM$18)^2)</f>
        <v>3.89038266748429</v>
      </c>
      <c r="AN99" s="17" t="n">
        <f aca="false">SQRT(($B99-AN$16)^2+($C99-AN$17)^2+($D99-AN$18)^2)</f>
        <v>0.311748986615441</v>
      </c>
      <c r="AO99" s="17" t="n">
        <f aca="false">SQRT(($B99-AO$16)^2+($C99-AO$17)^2+($D99-AO$18)^2)</f>
        <v>1.51273630340055</v>
      </c>
      <c r="AP99" s="63" t="n">
        <f aca="false">MATCH(MIN(AM99:AO99),AM99:AO99,0)</f>
        <v>2</v>
      </c>
      <c r="AR99" s="17" t="n">
        <f aca="false">SQRT(($B99-AR$16)^2+($C99-AR$17)^2+($D99-AR$18)^2)</f>
        <v>3.89038266748429</v>
      </c>
      <c r="AS99" s="17" t="n">
        <f aca="false">SQRT(($B99-AS$16)^2+($C99-AS$17)^2+($D99-AS$18)^2)</f>
        <v>0.311748986615441</v>
      </c>
      <c r="AT99" s="17" t="n">
        <f aca="false">SQRT(($B99-AT$16)^2+($C99-AT$17)^2+($D99-AT$18)^2)</f>
        <v>1.51273630340055</v>
      </c>
      <c r="AU99" s="63" t="n">
        <f aca="false">MATCH(MIN(AR99:AT99),AR99:AT99,0)</f>
        <v>2</v>
      </c>
      <c r="AW99" s="17" t="n">
        <f aca="false">SQRT(($B99-AW$16)^2+($C99-AW$17)^2+($D99-AW$18)^2)</f>
        <v>3.89038266748429</v>
      </c>
      <c r="AX99" s="17" t="n">
        <f aca="false">SQRT(($B99-AX$16)^2+($C99-AX$17)^2+($D99-AX$18)^2)</f>
        <v>0.311748986615441</v>
      </c>
      <c r="AY99" s="17" t="n">
        <f aca="false">SQRT(($B99-AY$16)^2+($C99-AY$17)^2+($D99-AY$18)^2)</f>
        <v>1.51273630340055</v>
      </c>
      <c r="AZ99" s="63" t="n">
        <f aca="false">MATCH(MIN(AW99:AY99),AW99:AY99,0)</f>
        <v>2</v>
      </c>
      <c r="BB99" s="17" t="n">
        <f aca="false">SQRT(($B99-BB$16)^2+($C99-BB$17)^2+($D99-BB$18)^2)</f>
        <v>3.89038266748429</v>
      </c>
      <c r="BC99" s="17" t="n">
        <f aca="false">SQRT(($B99-BC$16)^2+($C99-BC$17)^2+($D99-BC$18)^2)</f>
        <v>0.311748986615441</v>
      </c>
      <c r="BD99" s="17" t="n">
        <f aca="false">SQRT(($B99-BD$16)^2+($C99-BD$17)^2+($D99-BD$18)^2)</f>
        <v>1.51273630340055</v>
      </c>
      <c r="BE99" s="63" t="n">
        <f aca="false">MATCH(MIN(BB99:BD99),BB99:BD99,0)</f>
        <v>2</v>
      </c>
      <c r="BG99" s="17" t="n">
        <f aca="false">SQRT(($B99-BG$16)^2+($C99-BG$17)^2+($D99-BG$18)^2)</f>
        <v>3.89038266748429</v>
      </c>
      <c r="BH99" s="17" t="n">
        <f aca="false">SQRT(($B99-BH$16)^2+($C99-BH$17)^2+($D99-BH$18)^2)</f>
        <v>0.311748986615441</v>
      </c>
      <c r="BI99" s="17" t="n">
        <f aca="false">SQRT(($B99-BI$16)^2+($C99-BI$17)^2+($D99-BI$18)^2)</f>
        <v>1.51273630340055</v>
      </c>
      <c r="BJ99" s="63" t="n">
        <f aca="false">MATCH(MIN(BG99:BI99),BG99:BI99,0)</f>
        <v>2</v>
      </c>
      <c r="BL99" s="17" t="n">
        <f aca="false">SQRT(($B99-BL$16)^2+($C99-BL$17)^2+($D99-BL$18)^2)</f>
        <v>3.89038266748429</v>
      </c>
      <c r="BM99" s="17" t="n">
        <f aca="false">SQRT(($B99-BM$16)^2+($C99-BM$17)^2+($D99-BM$18)^2)</f>
        <v>0.311748986615441</v>
      </c>
      <c r="BN99" s="17" t="n">
        <f aca="false">SQRT(($B99-BN$16)^2+($C99-BN$17)^2+($D99-BN$18)^2)</f>
        <v>1.51273630340055</v>
      </c>
      <c r="BO99" s="63" t="n">
        <f aca="false">MATCH(MIN(BL99:BN99),BL99:BN99,0)</f>
        <v>2</v>
      </c>
      <c r="BQ99" s="17" t="n">
        <f aca="false">SQRT(($B99-BQ$16)^2+($C99-BQ$17)^2+($D99-BQ$18)^2)</f>
        <v>3.89038266748429</v>
      </c>
      <c r="BR99" s="17" t="n">
        <f aca="false">SQRT(($B99-BR$16)^2+($C99-BR$17)^2+($D99-BR$18)^2)</f>
        <v>0.311748986615441</v>
      </c>
      <c r="BS99" s="17" t="n">
        <f aca="false">SQRT(($B99-BS$16)^2+($C99-BS$17)^2+($D99-BS$18)^2)</f>
        <v>1.51273630340055</v>
      </c>
      <c r="BT99" s="63" t="n">
        <f aca="false">MATCH(MIN(BQ99:BS99),BQ99:BS99,0)</f>
        <v>2</v>
      </c>
      <c r="BV99" s="17" t="n">
        <f aca="false">SQRT(($B99-BV$16)^2+($C99-BV$17)^2+($D99-BV$18)^2)</f>
        <v>3.89038266748429</v>
      </c>
      <c r="BW99" s="17" t="n">
        <f aca="false">SQRT(($B99-BW$16)^2+($C99-BW$17)^2+($D99-BW$18)^2)</f>
        <v>0.311748986615441</v>
      </c>
      <c r="BX99" s="17" t="n">
        <f aca="false">SQRT(($B99-BX$16)^2+($C99-BX$17)^2+($D99-BX$18)^2)</f>
        <v>1.51273630340055</v>
      </c>
      <c r="BY99" s="63" t="n">
        <f aca="false">MATCH(MIN(BV99:BX99),BV99:BX99,0)</f>
        <v>2</v>
      </c>
      <c r="CA99" s="17" t="n">
        <f aca="false">SQRT(($B99-CA$16)^2+($C99-CA$17)^2+($D99-CA$18)^2)</f>
        <v>3.89038266748429</v>
      </c>
      <c r="CB99" s="17" t="n">
        <f aca="false">SQRT(($B99-CB$16)^2+($C99-CB$17)^2+($D99-CB$18)^2)</f>
        <v>0.311748986615441</v>
      </c>
      <c r="CC99" s="17" t="n">
        <f aca="false">SQRT(($B99-CC$16)^2+($C99-CC$17)^2+($D99-CC$18)^2)</f>
        <v>1.51273630340055</v>
      </c>
      <c r="CD99" s="63" t="n">
        <f aca="false">MATCH(MIN(CA99:CC99),CA99:CC99,0)</f>
        <v>2</v>
      </c>
    </row>
    <row r="100" customFormat="false" ht="15" hidden="false" customHeight="false" outlineLevel="0" collapsed="false">
      <c r="A100" s="76" t="n">
        <f aca="false">Phase_Data!A82</f>
        <v>43964</v>
      </c>
      <c r="B100" s="17" t="n">
        <f aca="false">Phase_Data!K82</f>
        <v>0.784760408479666</v>
      </c>
      <c r="C100" s="17" t="n">
        <f aca="false">Phase_Data!L82</f>
        <v>1.04433266523491</v>
      </c>
      <c r="D100" s="17" t="n">
        <f aca="false">Phase_Data!M82</f>
        <v>1.28074091173606</v>
      </c>
      <c r="E100" s="63" t="n">
        <f aca="false">CD100</f>
        <v>2</v>
      </c>
      <c r="F100" s="38" t="n">
        <f aca="false">($B100-INDEX($L$16:$N$16,E100))^2+($C100-INDEX($L$17:$N$17,E100))^2+($D100-INDEX($L$18:$N$18,E100))^2</f>
        <v>0.0282114499180787</v>
      </c>
      <c r="G100" s="12" t="str">
        <f aca="false">INDEX($M$5:$M$7,E100)</f>
        <v>High activity</v>
      </c>
      <c r="X100" s="17" t="n">
        <f aca="false">SQRT(($B100-X$16)^2+($C100-X$17)^2+($D100-X$18)^2)</f>
        <v>4.25112939043287</v>
      </c>
      <c r="Y100" s="17" t="n">
        <f aca="false">SQRT(($B100-Y$16)^2+($C100-Y$17)^2+($D100-Y$18)^2)</f>
        <v>0.711563218478868</v>
      </c>
      <c r="Z100" s="17" t="n">
        <f aca="false">SQRT(($B100-Z$16)^2+($C100-Z$17)^2+($D100-Z$18)^2)</f>
        <v>2.5752677332335</v>
      </c>
      <c r="AA100" s="63" t="n">
        <f aca="false">MATCH(MIN(X100:Z100),X100:Z100,0)</f>
        <v>2</v>
      </c>
      <c r="AC100" s="17" t="n">
        <f aca="false">SQRT(($B100-AC$16)^2+($C100-AC$17)^2+($D100-AC$18)^2)</f>
        <v>3.87591661528125</v>
      </c>
      <c r="AD100" s="17" t="n">
        <f aca="false">SQRT(($B100-AD$16)^2+($C100-AD$17)^2+($D100-AD$18)^2)</f>
        <v>0.230961980135078</v>
      </c>
      <c r="AE100" s="17" t="n">
        <f aca="false">SQRT(($B100-AE$16)^2+($C100-AE$17)^2+($D100-AE$18)^2)</f>
        <v>1.73336144472698</v>
      </c>
      <c r="AF100" s="63" t="n">
        <f aca="false">MATCH(MIN(AC100:AE100),AC100:AE100,0)</f>
        <v>2</v>
      </c>
      <c r="AH100" s="17" t="n">
        <f aca="false">SQRT(($B100-AH$16)^2+($C100-AH$17)^2+($D100-AH$18)^2)</f>
        <v>3.96249050240758</v>
      </c>
      <c r="AI100" s="17" t="n">
        <f aca="false">SQRT(($B100-AI$16)^2+($C100-AI$17)^2+($D100-AI$18)^2)</f>
        <v>0.162099655091347</v>
      </c>
      <c r="AJ100" s="17" t="n">
        <f aca="false">SQRT(($B100-AJ$16)^2+($C100-AJ$17)^2+($D100-AJ$18)^2)</f>
        <v>1.69477836583657</v>
      </c>
      <c r="AK100" s="63" t="n">
        <f aca="false">MATCH(MIN(AH100:AJ100),AH100:AJ100,0)</f>
        <v>2</v>
      </c>
      <c r="AM100" s="17" t="n">
        <f aca="false">SQRT(($B100-AM$16)^2+($C100-AM$17)^2+($D100-AM$18)^2)</f>
        <v>4.00352502911852</v>
      </c>
      <c r="AN100" s="17" t="n">
        <f aca="false">SQRT(($B100-AN$16)^2+($C100-AN$17)^2+($D100-AN$18)^2)</f>
        <v>0.167962644412616</v>
      </c>
      <c r="AO100" s="17" t="n">
        <f aca="false">SQRT(($B100-AO$16)^2+($C100-AO$17)^2+($D100-AO$18)^2)</f>
        <v>1.70424639924532</v>
      </c>
      <c r="AP100" s="63" t="n">
        <f aca="false">MATCH(MIN(AM100:AO100),AM100:AO100,0)</f>
        <v>2</v>
      </c>
      <c r="AR100" s="17" t="n">
        <f aca="false">SQRT(($B100-AR$16)^2+($C100-AR$17)^2+($D100-AR$18)^2)</f>
        <v>4.00352502911852</v>
      </c>
      <c r="AS100" s="17" t="n">
        <f aca="false">SQRT(($B100-AS$16)^2+($C100-AS$17)^2+($D100-AS$18)^2)</f>
        <v>0.167962644412616</v>
      </c>
      <c r="AT100" s="17" t="n">
        <f aca="false">SQRT(($B100-AT$16)^2+($C100-AT$17)^2+($D100-AT$18)^2)</f>
        <v>1.70424639924532</v>
      </c>
      <c r="AU100" s="63" t="n">
        <f aca="false">MATCH(MIN(AR100:AT100),AR100:AT100,0)</f>
        <v>2</v>
      </c>
      <c r="AW100" s="17" t="n">
        <f aca="false">SQRT(($B100-AW$16)^2+($C100-AW$17)^2+($D100-AW$18)^2)</f>
        <v>4.00352502911852</v>
      </c>
      <c r="AX100" s="17" t="n">
        <f aca="false">SQRT(($B100-AX$16)^2+($C100-AX$17)^2+($D100-AX$18)^2)</f>
        <v>0.167962644412616</v>
      </c>
      <c r="AY100" s="17" t="n">
        <f aca="false">SQRT(($B100-AY$16)^2+($C100-AY$17)^2+($D100-AY$18)^2)</f>
        <v>1.70424639924532</v>
      </c>
      <c r="AZ100" s="63" t="n">
        <f aca="false">MATCH(MIN(AW100:AY100),AW100:AY100,0)</f>
        <v>2</v>
      </c>
      <c r="BB100" s="17" t="n">
        <f aca="false">SQRT(($B100-BB$16)^2+($C100-BB$17)^2+($D100-BB$18)^2)</f>
        <v>4.00352502911852</v>
      </c>
      <c r="BC100" s="17" t="n">
        <f aca="false">SQRT(($B100-BC$16)^2+($C100-BC$17)^2+($D100-BC$18)^2)</f>
        <v>0.167962644412616</v>
      </c>
      <c r="BD100" s="17" t="n">
        <f aca="false">SQRT(($B100-BD$16)^2+($C100-BD$17)^2+($D100-BD$18)^2)</f>
        <v>1.70424639924532</v>
      </c>
      <c r="BE100" s="63" t="n">
        <f aca="false">MATCH(MIN(BB100:BD100),BB100:BD100,0)</f>
        <v>2</v>
      </c>
      <c r="BG100" s="17" t="n">
        <f aca="false">SQRT(($B100-BG$16)^2+($C100-BG$17)^2+($D100-BG$18)^2)</f>
        <v>4.00352502911852</v>
      </c>
      <c r="BH100" s="17" t="n">
        <f aca="false">SQRT(($B100-BH$16)^2+($C100-BH$17)^2+($D100-BH$18)^2)</f>
        <v>0.167962644412616</v>
      </c>
      <c r="BI100" s="17" t="n">
        <f aca="false">SQRT(($B100-BI$16)^2+($C100-BI$17)^2+($D100-BI$18)^2)</f>
        <v>1.70424639924532</v>
      </c>
      <c r="BJ100" s="63" t="n">
        <f aca="false">MATCH(MIN(BG100:BI100),BG100:BI100,0)</f>
        <v>2</v>
      </c>
      <c r="BL100" s="17" t="n">
        <f aca="false">SQRT(($B100-BL$16)^2+($C100-BL$17)^2+($D100-BL$18)^2)</f>
        <v>4.00352502911852</v>
      </c>
      <c r="BM100" s="17" t="n">
        <f aca="false">SQRT(($B100-BM$16)^2+($C100-BM$17)^2+($D100-BM$18)^2)</f>
        <v>0.167962644412616</v>
      </c>
      <c r="BN100" s="17" t="n">
        <f aca="false">SQRT(($B100-BN$16)^2+($C100-BN$17)^2+($D100-BN$18)^2)</f>
        <v>1.70424639924532</v>
      </c>
      <c r="BO100" s="63" t="n">
        <f aca="false">MATCH(MIN(BL100:BN100),BL100:BN100,0)</f>
        <v>2</v>
      </c>
      <c r="BQ100" s="17" t="n">
        <f aca="false">SQRT(($B100-BQ$16)^2+($C100-BQ$17)^2+($D100-BQ$18)^2)</f>
        <v>4.00352502911852</v>
      </c>
      <c r="BR100" s="17" t="n">
        <f aca="false">SQRT(($B100-BR$16)^2+($C100-BR$17)^2+($D100-BR$18)^2)</f>
        <v>0.167962644412616</v>
      </c>
      <c r="BS100" s="17" t="n">
        <f aca="false">SQRT(($B100-BS$16)^2+($C100-BS$17)^2+($D100-BS$18)^2)</f>
        <v>1.70424639924532</v>
      </c>
      <c r="BT100" s="63" t="n">
        <f aca="false">MATCH(MIN(BQ100:BS100),BQ100:BS100,0)</f>
        <v>2</v>
      </c>
      <c r="BV100" s="17" t="n">
        <f aca="false">SQRT(($B100-BV$16)^2+($C100-BV$17)^2+($D100-BV$18)^2)</f>
        <v>4.00352502911852</v>
      </c>
      <c r="BW100" s="17" t="n">
        <f aca="false">SQRT(($B100-BW$16)^2+($C100-BW$17)^2+($D100-BW$18)^2)</f>
        <v>0.167962644412616</v>
      </c>
      <c r="BX100" s="17" t="n">
        <f aca="false">SQRT(($B100-BX$16)^2+($C100-BX$17)^2+($D100-BX$18)^2)</f>
        <v>1.70424639924532</v>
      </c>
      <c r="BY100" s="63" t="n">
        <f aca="false">MATCH(MIN(BV100:BX100),BV100:BX100,0)</f>
        <v>2</v>
      </c>
      <c r="CA100" s="17" t="n">
        <f aca="false">SQRT(($B100-CA$16)^2+($C100-CA$17)^2+($D100-CA$18)^2)</f>
        <v>4.00352502911852</v>
      </c>
      <c r="CB100" s="17" t="n">
        <f aca="false">SQRT(($B100-CB$16)^2+($C100-CB$17)^2+($D100-CB$18)^2)</f>
        <v>0.167962644412616</v>
      </c>
      <c r="CC100" s="17" t="n">
        <f aca="false">SQRT(($B100-CC$16)^2+($C100-CC$17)^2+($D100-CC$18)^2)</f>
        <v>1.70424639924532</v>
      </c>
      <c r="CD100" s="63" t="n">
        <f aca="false">MATCH(MIN(CA100:CC100),CA100:CC100,0)</f>
        <v>2</v>
      </c>
    </row>
    <row r="101" customFormat="false" ht="15" hidden="false" customHeight="false" outlineLevel="0" collapsed="false">
      <c r="A101" s="76" t="n">
        <f aca="false">Phase_Data!A83</f>
        <v>43965</v>
      </c>
      <c r="B101" s="17" t="n">
        <f aca="false">Phase_Data!K83</f>
        <v>0.789748712315482</v>
      </c>
      <c r="C101" s="17" t="n">
        <f aca="false">Phase_Data!L83</f>
        <v>0.986917803504049</v>
      </c>
      <c r="D101" s="17" t="n">
        <f aca="false">Phase_Data!M83</f>
        <v>1.00964308197604</v>
      </c>
      <c r="E101" s="63" t="n">
        <f aca="false">CD101</f>
        <v>2</v>
      </c>
      <c r="F101" s="38" t="n">
        <f aca="false">($B101-INDEX($L$16:$N$16,E101))^2+($C101-INDEX($L$17:$N$17,E101))^2+($D101-INDEX($L$18:$N$18,E101))^2</f>
        <v>0.0380392319893501</v>
      </c>
      <c r="G101" s="12" t="str">
        <f aca="false">INDEX($M$5:$M$7,E101)</f>
        <v>High activity</v>
      </c>
      <c r="X101" s="17" t="n">
        <f aca="false">SQRT(($B101-X$16)^2+($C101-X$17)^2+($D101-X$18)^2)</f>
        <v>4.06245964518441</v>
      </c>
      <c r="Y101" s="17" t="n">
        <f aca="false">SQRT(($B101-Y$16)^2+($C101-Y$17)^2+($D101-Y$18)^2)</f>
        <v>0.908065215055764</v>
      </c>
      <c r="Z101" s="17" t="n">
        <f aca="false">SQRT(($B101-Z$16)^2+($C101-Z$17)^2+($D101-Z$18)^2)</f>
        <v>2.30048979472552</v>
      </c>
      <c r="AA101" s="63" t="n">
        <f aca="false">MATCH(MIN(X101:Z101),X101:Z101,0)</f>
        <v>2</v>
      </c>
      <c r="AC101" s="17" t="n">
        <f aca="false">SQRT(($B101-AC$16)^2+($C101-AC$17)^2+($D101-AC$18)^2)</f>
        <v>3.68186664196448</v>
      </c>
      <c r="AD101" s="17" t="n">
        <f aca="false">SQRT(($B101-AD$16)^2+($C101-AD$17)^2+($D101-AD$18)^2)</f>
        <v>0.0824241695957739</v>
      </c>
      <c r="AE101" s="17" t="n">
        <f aca="false">SQRT(($B101-AE$16)^2+($C101-AE$17)^2+($D101-AE$18)^2)</f>
        <v>1.49003185749134</v>
      </c>
      <c r="AF101" s="63" t="n">
        <f aca="false">MATCH(MIN(AC101:AE101),AC101:AE101,0)</f>
        <v>2</v>
      </c>
      <c r="AH101" s="17" t="n">
        <f aca="false">SQRT(($B101-AH$16)^2+($C101-AH$17)^2+($D101-AH$18)^2)</f>
        <v>3.76878139633736</v>
      </c>
      <c r="AI101" s="17" t="n">
        <f aca="false">SQRT(($B101-AI$16)^2+($C101-AI$17)^2+($D101-AI$18)^2)</f>
        <v>0.166667297268813</v>
      </c>
      <c r="AJ101" s="17" t="n">
        <f aca="false">SQRT(($B101-AJ$16)^2+($C101-AJ$17)^2+($D101-AJ$18)^2)</f>
        <v>1.46027683564156</v>
      </c>
      <c r="AK101" s="63" t="n">
        <f aca="false">MATCH(MIN(AH101:AJ101),AH101:AJ101,0)</f>
        <v>2</v>
      </c>
      <c r="AM101" s="17" t="n">
        <f aca="false">SQRT(($B101-AM$16)^2+($C101-AM$17)^2+($D101-AM$18)^2)</f>
        <v>3.81028923678954</v>
      </c>
      <c r="AN101" s="17" t="n">
        <f aca="false">SQRT(($B101-AN$16)^2+($C101-AN$17)^2+($D101-AN$18)^2)</f>
        <v>0.195036488866443</v>
      </c>
      <c r="AO101" s="17" t="n">
        <f aca="false">SQRT(($B101-AO$16)^2+($C101-AO$17)^2+($D101-AO$18)^2)</f>
        <v>1.47190092716381</v>
      </c>
      <c r="AP101" s="63" t="n">
        <f aca="false">MATCH(MIN(AM101:AO101),AM101:AO101,0)</f>
        <v>2</v>
      </c>
      <c r="AR101" s="17" t="n">
        <f aca="false">SQRT(($B101-AR$16)^2+($C101-AR$17)^2+($D101-AR$18)^2)</f>
        <v>3.81028923678954</v>
      </c>
      <c r="AS101" s="17" t="n">
        <f aca="false">SQRT(($B101-AS$16)^2+($C101-AS$17)^2+($D101-AS$18)^2)</f>
        <v>0.195036488866443</v>
      </c>
      <c r="AT101" s="17" t="n">
        <f aca="false">SQRT(($B101-AT$16)^2+($C101-AT$17)^2+($D101-AT$18)^2)</f>
        <v>1.47190092716381</v>
      </c>
      <c r="AU101" s="63" t="n">
        <f aca="false">MATCH(MIN(AR101:AT101),AR101:AT101,0)</f>
        <v>2</v>
      </c>
      <c r="AW101" s="17" t="n">
        <f aca="false">SQRT(($B101-AW$16)^2+($C101-AW$17)^2+($D101-AW$18)^2)</f>
        <v>3.81028923678954</v>
      </c>
      <c r="AX101" s="17" t="n">
        <f aca="false">SQRT(($B101-AX$16)^2+($C101-AX$17)^2+($D101-AX$18)^2)</f>
        <v>0.195036488866443</v>
      </c>
      <c r="AY101" s="17" t="n">
        <f aca="false">SQRT(($B101-AY$16)^2+($C101-AY$17)^2+($D101-AY$18)^2)</f>
        <v>1.47190092716381</v>
      </c>
      <c r="AZ101" s="63" t="n">
        <f aca="false">MATCH(MIN(AW101:AY101),AW101:AY101,0)</f>
        <v>2</v>
      </c>
      <c r="BB101" s="17" t="n">
        <f aca="false">SQRT(($B101-BB$16)^2+($C101-BB$17)^2+($D101-BB$18)^2)</f>
        <v>3.81028923678954</v>
      </c>
      <c r="BC101" s="17" t="n">
        <f aca="false">SQRT(($B101-BC$16)^2+($C101-BC$17)^2+($D101-BC$18)^2)</f>
        <v>0.195036488866443</v>
      </c>
      <c r="BD101" s="17" t="n">
        <f aca="false">SQRT(($B101-BD$16)^2+($C101-BD$17)^2+($D101-BD$18)^2)</f>
        <v>1.47190092716381</v>
      </c>
      <c r="BE101" s="63" t="n">
        <f aca="false">MATCH(MIN(BB101:BD101),BB101:BD101,0)</f>
        <v>2</v>
      </c>
      <c r="BG101" s="17" t="n">
        <f aca="false">SQRT(($B101-BG$16)^2+($C101-BG$17)^2+($D101-BG$18)^2)</f>
        <v>3.81028923678954</v>
      </c>
      <c r="BH101" s="17" t="n">
        <f aca="false">SQRT(($B101-BH$16)^2+($C101-BH$17)^2+($D101-BH$18)^2)</f>
        <v>0.195036488866443</v>
      </c>
      <c r="BI101" s="17" t="n">
        <f aca="false">SQRT(($B101-BI$16)^2+($C101-BI$17)^2+($D101-BI$18)^2)</f>
        <v>1.47190092716381</v>
      </c>
      <c r="BJ101" s="63" t="n">
        <f aca="false">MATCH(MIN(BG101:BI101),BG101:BI101,0)</f>
        <v>2</v>
      </c>
      <c r="BL101" s="17" t="n">
        <f aca="false">SQRT(($B101-BL$16)^2+($C101-BL$17)^2+($D101-BL$18)^2)</f>
        <v>3.81028923678954</v>
      </c>
      <c r="BM101" s="17" t="n">
        <f aca="false">SQRT(($B101-BM$16)^2+($C101-BM$17)^2+($D101-BM$18)^2)</f>
        <v>0.195036488866443</v>
      </c>
      <c r="BN101" s="17" t="n">
        <f aca="false">SQRT(($B101-BN$16)^2+($C101-BN$17)^2+($D101-BN$18)^2)</f>
        <v>1.47190092716381</v>
      </c>
      <c r="BO101" s="63" t="n">
        <f aca="false">MATCH(MIN(BL101:BN101),BL101:BN101,0)</f>
        <v>2</v>
      </c>
      <c r="BQ101" s="17" t="n">
        <f aca="false">SQRT(($B101-BQ$16)^2+($C101-BQ$17)^2+($D101-BQ$18)^2)</f>
        <v>3.81028923678954</v>
      </c>
      <c r="BR101" s="17" t="n">
        <f aca="false">SQRT(($B101-BR$16)^2+($C101-BR$17)^2+($D101-BR$18)^2)</f>
        <v>0.195036488866443</v>
      </c>
      <c r="BS101" s="17" t="n">
        <f aca="false">SQRT(($B101-BS$16)^2+($C101-BS$17)^2+($D101-BS$18)^2)</f>
        <v>1.47190092716381</v>
      </c>
      <c r="BT101" s="63" t="n">
        <f aca="false">MATCH(MIN(BQ101:BS101),BQ101:BS101,0)</f>
        <v>2</v>
      </c>
      <c r="BV101" s="17" t="n">
        <f aca="false">SQRT(($B101-BV$16)^2+($C101-BV$17)^2+($D101-BV$18)^2)</f>
        <v>3.81028923678954</v>
      </c>
      <c r="BW101" s="17" t="n">
        <f aca="false">SQRT(($B101-BW$16)^2+($C101-BW$17)^2+($D101-BW$18)^2)</f>
        <v>0.195036488866443</v>
      </c>
      <c r="BX101" s="17" t="n">
        <f aca="false">SQRT(($B101-BX$16)^2+($C101-BX$17)^2+($D101-BX$18)^2)</f>
        <v>1.47190092716381</v>
      </c>
      <c r="BY101" s="63" t="n">
        <f aca="false">MATCH(MIN(BV101:BX101),BV101:BX101,0)</f>
        <v>2</v>
      </c>
      <c r="CA101" s="17" t="n">
        <f aca="false">SQRT(($B101-CA$16)^2+($C101-CA$17)^2+($D101-CA$18)^2)</f>
        <v>3.81028923678954</v>
      </c>
      <c r="CB101" s="17" t="n">
        <f aca="false">SQRT(($B101-CB$16)^2+($C101-CB$17)^2+($D101-CB$18)^2)</f>
        <v>0.195036488866443</v>
      </c>
      <c r="CC101" s="17" t="n">
        <f aca="false">SQRT(($B101-CC$16)^2+($C101-CC$17)^2+($D101-CC$18)^2)</f>
        <v>1.47190092716381</v>
      </c>
      <c r="CD101" s="63" t="n">
        <f aca="false">MATCH(MIN(CA101:CC101),CA101:CC101,0)</f>
        <v>2</v>
      </c>
    </row>
    <row r="102" customFormat="false" ht="15" hidden="false" customHeight="false" outlineLevel="0" collapsed="false">
      <c r="A102" s="76" t="n">
        <f aca="false">Phase_Data!A84</f>
        <v>43966</v>
      </c>
      <c r="B102" s="17" t="n">
        <f aca="false">Phase_Data!K84</f>
        <v>0.807523859624651</v>
      </c>
      <c r="C102" s="17" t="n">
        <f aca="false">Phase_Data!L84</f>
        <v>0.94575340190355</v>
      </c>
      <c r="D102" s="17" t="n">
        <f aca="false">Phase_Data!M84</f>
        <v>1.23131233788586</v>
      </c>
      <c r="E102" s="63" t="n">
        <f aca="false">CD102</f>
        <v>2</v>
      </c>
      <c r="F102" s="38" t="n">
        <f aca="false">($B102-INDEX($L$16:$N$16,E102))^2+($C102-INDEX($L$17:$N$17,E102))^2+($D102-INDEX($L$18:$N$18,E102))^2</f>
        <v>0.0329692501500668</v>
      </c>
      <c r="G102" s="12" t="str">
        <f aca="false">INDEX($M$5:$M$7,E102)</f>
        <v>High activity</v>
      </c>
      <c r="X102" s="17" t="n">
        <f aca="false">SQRT(($B102-X$16)^2+($C102-X$17)^2+($D102-X$18)^2)</f>
        <v>4.1779616450494</v>
      </c>
      <c r="Y102" s="17" t="n">
        <f aca="false">SQRT(($B102-Y$16)^2+($C102-Y$17)^2+($D102-Y$18)^2)</f>
        <v>0.787625821105453</v>
      </c>
      <c r="Z102" s="17" t="n">
        <f aca="false">SQRT(($B102-Z$16)^2+($C102-Z$17)^2+($D102-Z$18)^2)</f>
        <v>2.51890059125311</v>
      </c>
      <c r="AA102" s="63" t="n">
        <f aca="false">MATCH(MIN(X102:Z102),X102:Z102,0)</f>
        <v>2</v>
      </c>
      <c r="AC102" s="17" t="n">
        <f aca="false">SQRT(($B102-AC$16)^2+($C102-AC$17)^2+($D102-AC$18)^2)</f>
        <v>3.79954746792019</v>
      </c>
      <c r="AD102" s="17" t="n">
        <f aca="false">SQRT(($B102-AD$16)^2+($C102-AD$17)^2+($D102-AD$18)^2)</f>
        <v>0.158997521527841</v>
      </c>
      <c r="AE102" s="17" t="n">
        <f aca="false">SQRT(($B102-AE$16)^2+($C102-AE$17)^2+($D102-AE$18)^2)</f>
        <v>1.65076396280179</v>
      </c>
      <c r="AF102" s="63" t="n">
        <f aca="false">MATCH(MIN(AC102:AE102),AC102:AE102,0)</f>
        <v>2</v>
      </c>
      <c r="AH102" s="17" t="n">
        <f aca="false">SQRT(($B102-AH$16)^2+($C102-AH$17)^2+($D102-AH$18)^2)</f>
        <v>3.8867752213285</v>
      </c>
      <c r="AI102" s="17" t="n">
        <f aca="false">SQRT(($B102-AI$16)^2+($C102-AI$17)^2+($D102-AI$18)^2)</f>
        <v>0.156117271978222</v>
      </c>
      <c r="AJ102" s="17" t="n">
        <f aca="false">SQRT(($B102-AJ$16)^2+($C102-AJ$17)^2+($D102-AJ$18)^2)</f>
        <v>1.61075319963973</v>
      </c>
      <c r="AK102" s="63" t="n">
        <f aca="false">MATCH(MIN(AH102:AJ102),AH102:AJ102,0)</f>
        <v>2</v>
      </c>
      <c r="AM102" s="17" t="n">
        <f aca="false">SQRT(($B102-AM$16)^2+($C102-AM$17)^2+($D102-AM$18)^2)</f>
        <v>3.92825904557269</v>
      </c>
      <c r="AN102" s="17" t="n">
        <f aca="false">SQRT(($B102-AN$16)^2+($C102-AN$17)^2+($D102-AN$18)^2)</f>
        <v>0.181574365343974</v>
      </c>
      <c r="AO102" s="17" t="n">
        <f aca="false">SQRT(($B102-AO$16)^2+($C102-AO$17)^2+($D102-AO$18)^2)</f>
        <v>1.61946709422897</v>
      </c>
      <c r="AP102" s="63" t="n">
        <f aca="false">MATCH(MIN(AM102:AO102),AM102:AO102,0)</f>
        <v>2</v>
      </c>
      <c r="AR102" s="17" t="n">
        <f aca="false">SQRT(($B102-AR$16)^2+($C102-AR$17)^2+($D102-AR$18)^2)</f>
        <v>3.92825904557269</v>
      </c>
      <c r="AS102" s="17" t="n">
        <f aca="false">SQRT(($B102-AS$16)^2+($C102-AS$17)^2+($D102-AS$18)^2)</f>
        <v>0.181574365343974</v>
      </c>
      <c r="AT102" s="17" t="n">
        <f aca="false">SQRT(($B102-AT$16)^2+($C102-AT$17)^2+($D102-AT$18)^2)</f>
        <v>1.61946709422897</v>
      </c>
      <c r="AU102" s="63" t="n">
        <f aca="false">MATCH(MIN(AR102:AT102),AR102:AT102,0)</f>
        <v>2</v>
      </c>
      <c r="AW102" s="17" t="n">
        <f aca="false">SQRT(($B102-AW$16)^2+($C102-AW$17)^2+($D102-AW$18)^2)</f>
        <v>3.92825904557269</v>
      </c>
      <c r="AX102" s="17" t="n">
        <f aca="false">SQRT(($B102-AX$16)^2+($C102-AX$17)^2+($D102-AX$18)^2)</f>
        <v>0.181574365343974</v>
      </c>
      <c r="AY102" s="17" t="n">
        <f aca="false">SQRT(($B102-AY$16)^2+($C102-AY$17)^2+($D102-AY$18)^2)</f>
        <v>1.61946709422897</v>
      </c>
      <c r="AZ102" s="63" t="n">
        <f aca="false">MATCH(MIN(AW102:AY102),AW102:AY102,0)</f>
        <v>2</v>
      </c>
      <c r="BB102" s="17" t="n">
        <f aca="false">SQRT(($B102-BB$16)^2+($C102-BB$17)^2+($D102-BB$18)^2)</f>
        <v>3.92825904557269</v>
      </c>
      <c r="BC102" s="17" t="n">
        <f aca="false">SQRT(($B102-BC$16)^2+($C102-BC$17)^2+($D102-BC$18)^2)</f>
        <v>0.181574365343974</v>
      </c>
      <c r="BD102" s="17" t="n">
        <f aca="false">SQRT(($B102-BD$16)^2+($C102-BD$17)^2+($D102-BD$18)^2)</f>
        <v>1.61946709422897</v>
      </c>
      <c r="BE102" s="63" t="n">
        <f aca="false">MATCH(MIN(BB102:BD102),BB102:BD102,0)</f>
        <v>2</v>
      </c>
      <c r="BG102" s="17" t="n">
        <f aca="false">SQRT(($B102-BG$16)^2+($C102-BG$17)^2+($D102-BG$18)^2)</f>
        <v>3.92825904557269</v>
      </c>
      <c r="BH102" s="17" t="n">
        <f aca="false">SQRT(($B102-BH$16)^2+($C102-BH$17)^2+($D102-BH$18)^2)</f>
        <v>0.181574365343974</v>
      </c>
      <c r="BI102" s="17" t="n">
        <f aca="false">SQRT(($B102-BI$16)^2+($C102-BI$17)^2+($D102-BI$18)^2)</f>
        <v>1.61946709422897</v>
      </c>
      <c r="BJ102" s="63" t="n">
        <f aca="false">MATCH(MIN(BG102:BI102),BG102:BI102,0)</f>
        <v>2</v>
      </c>
      <c r="BL102" s="17" t="n">
        <f aca="false">SQRT(($B102-BL$16)^2+($C102-BL$17)^2+($D102-BL$18)^2)</f>
        <v>3.92825904557269</v>
      </c>
      <c r="BM102" s="17" t="n">
        <f aca="false">SQRT(($B102-BM$16)^2+($C102-BM$17)^2+($D102-BM$18)^2)</f>
        <v>0.181574365343974</v>
      </c>
      <c r="BN102" s="17" t="n">
        <f aca="false">SQRT(($B102-BN$16)^2+($C102-BN$17)^2+($D102-BN$18)^2)</f>
        <v>1.61946709422897</v>
      </c>
      <c r="BO102" s="63" t="n">
        <f aca="false">MATCH(MIN(BL102:BN102),BL102:BN102,0)</f>
        <v>2</v>
      </c>
      <c r="BQ102" s="17" t="n">
        <f aca="false">SQRT(($B102-BQ$16)^2+($C102-BQ$17)^2+($D102-BQ$18)^2)</f>
        <v>3.92825904557269</v>
      </c>
      <c r="BR102" s="17" t="n">
        <f aca="false">SQRT(($B102-BR$16)^2+($C102-BR$17)^2+($D102-BR$18)^2)</f>
        <v>0.181574365343974</v>
      </c>
      <c r="BS102" s="17" t="n">
        <f aca="false">SQRT(($B102-BS$16)^2+($C102-BS$17)^2+($D102-BS$18)^2)</f>
        <v>1.61946709422897</v>
      </c>
      <c r="BT102" s="63" t="n">
        <f aca="false">MATCH(MIN(BQ102:BS102),BQ102:BS102,0)</f>
        <v>2</v>
      </c>
      <c r="BV102" s="17" t="n">
        <f aca="false">SQRT(($B102-BV$16)^2+($C102-BV$17)^2+($D102-BV$18)^2)</f>
        <v>3.92825904557269</v>
      </c>
      <c r="BW102" s="17" t="n">
        <f aca="false">SQRT(($B102-BW$16)^2+($C102-BW$17)^2+($D102-BW$18)^2)</f>
        <v>0.181574365343974</v>
      </c>
      <c r="BX102" s="17" t="n">
        <f aca="false">SQRT(($B102-BX$16)^2+($C102-BX$17)^2+($D102-BX$18)^2)</f>
        <v>1.61946709422897</v>
      </c>
      <c r="BY102" s="63" t="n">
        <f aca="false">MATCH(MIN(BV102:BX102),BV102:BX102,0)</f>
        <v>2</v>
      </c>
      <c r="CA102" s="17" t="n">
        <f aca="false">SQRT(($B102-CA$16)^2+($C102-CA$17)^2+($D102-CA$18)^2)</f>
        <v>3.92825904557269</v>
      </c>
      <c r="CB102" s="17" t="n">
        <f aca="false">SQRT(($B102-CB$16)^2+($C102-CB$17)^2+($D102-CB$18)^2)</f>
        <v>0.181574365343974</v>
      </c>
      <c r="CC102" s="17" t="n">
        <f aca="false">SQRT(($B102-CC$16)^2+($C102-CC$17)^2+($D102-CC$18)^2)</f>
        <v>1.61946709422897</v>
      </c>
      <c r="CD102" s="63" t="n">
        <f aca="false">MATCH(MIN(CA102:CC102),CA102:CC102,0)</f>
        <v>2</v>
      </c>
    </row>
    <row r="103" customFormat="false" ht="15" hidden="false" customHeight="false" outlineLevel="0" collapsed="false">
      <c r="A103" s="76" t="n">
        <f aca="false">Phase_Data!A85</f>
        <v>43967</v>
      </c>
      <c r="B103" s="17" t="n">
        <f aca="false">Phase_Data!K85</f>
        <v>0.767958758683182</v>
      </c>
      <c r="C103" s="17" t="n">
        <f aca="false">Phase_Data!L85</f>
        <v>1.09726891632066</v>
      </c>
      <c r="D103" s="17" t="n">
        <f aca="false">Phase_Data!M85</f>
        <v>0.903727235880848</v>
      </c>
      <c r="E103" s="63" t="n">
        <f aca="false">CD103</f>
        <v>2</v>
      </c>
      <c r="F103" s="38" t="n">
        <f aca="false">($B103-INDEX($L$16:$N$16,E103))^2+($C103-INDEX($L$17:$N$17,E103))^2+($D103-INDEX($L$18:$N$18,E103))^2</f>
        <v>0.0721041922275026</v>
      </c>
      <c r="G103" s="12" t="str">
        <f aca="false">INDEX($M$5:$M$7,E103)</f>
        <v>High activity</v>
      </c>
      <c r="X103" s="17" t="n">
        <f aca="false">SQRT(($B103-X$16)^2+($C103-X$17)^2+($D103-X$18)^2)</f>
        <v>4.05817626030881</v>
      </c>
      <c r="Y103" s="17" t="n">
        <f aca="false">SQRT(($B103-Y$16)^2+($C103-Y$17)^2+($D103-Y$18)^2)</f>
        <v>0.944958941175631</v>
      </c>
      <c r="Z103" s="17" t="n">
        <f aca="false">SQRT(($B103-Z$16)^2+($C103-Z$17)^2+($D103-Z$18)^2)</f>
        <v>2.20727991733563</v>
      </c>
      <c r="AA103" s="63" t="n">
        <f aca="false">MATCH(MIN(X103:Z103),X103:Z103,0)</f>
        <v>2</v>
      </c>
      <c r="AC103" s="17" t="n">
        <f aca="false">SQRT(($B103-AC$16)^2+($C103-AC$17)^2+($D103-AC$18)^2)</f>
        <v>3.67922796457429</v>
      </c>
      <c r="AD103" s="17" t="n">
        <f aca="false">SQRT(($B103-AD$16)^2+($C103-AD$17)^2+($D103-AD$18)^2)</f>
        <v>0.23376815452627</v>
      </c>
      <c r="AE103" s="17" t="n">
        <f aca="false">SQRT(($B103-AE$16)^2+($C103-AE$17)^2+($D103-AE$18)^2)</f>
        <v>1.47130478667249</v>
      </c>
      <c r="AF103" s="63" t="n">
        <f aca="false">MATCH(MIN(AC103:AE103),AC103:AE103,0)</f>
        <v>2</v>
      </c>
      <c r="AH103" s="17" t="n">
        <f aca="false">SQRT(($B103-AH$16)^2+($C103-AH$17)^2+($D103-AH$18)^2)</f>
        <v>3.76526023689628</v>
      </c>
      <c r="AI103" s="17" t="n">
        <f aca="false">SQRT(($B103-AI$16)^2+($C103-AI$17)^2+($D103-AI$18)^2)</f>
        <v>0.258042845901577</v>
      </c>
      <c r="AJ103" s="17" t="n">
        <f aca="false">SQRT(($B103-AJ$16)^2+($C103-AJ$17)^2+($D103-AJ$18)^2)</f>
        <v>1.45069552934367</v>
      </c>
      <c r="AK103" s="63" t="n">
        <f aca="false">MATCH(MIN(AH103:AJ103),AH103:AJ103,0)</f>
        <v>2</v>
      </c>
      <c r="AM103" s="17" t="n">
        <f aca="false">SQRT(($B103-AM$16)^2+($C103-AM$17)^2+($D103-AM$18)^2)</f>
        <v>3.80635985395687</v>
      </c>
      <c r="AN103" s="17" t="n">
        <f aca="false">SQRT(($B103-AN$16)^2+($C103-AN$17)^2+($D103-AN$18)^2)</f>
        <v>0.268522237864022</v>
      </c>
      <c r="AO103" s="17" t="n">
        <f aca="false">SQRT(($B103-AO$16)^2+($C103-AO$17)^2+($D103-AO$18)^2)</f>
        <v>1.46494168081748</v>
      </c>
      <c r="AP103" s="63" t="n">
        <f aca="false">MATCH(MIN(AM103:AO103),AM103:AO103,0)</f>
        <v>2</v>
      </c>
      <c r="AR103" s="17" t="n">
        <f aca="false">SQRT(($B103-AR$16)^2+($C103-AR$17)^2+($D103-AR$18)^2)</f>
        <v>3.80635985395687</v>
      </c>
      <c r="AS103" s="17" t="n">
        <f aca="false">SQRT(($B103-AS$16)^2+($C103-AS$17)^2+($D103-AS$18)^2)</f>
        <v>0.268522237864022</v>
      </c>
      <c r="AT103" s="17" t="n">
        <f aca="false">SQRT(($B103-AT$16)^2+($C103-AT$17)^2+($D103-AT$18)^2)</f>
        <v>1.46494168081748</v>
      </c>
      <c r="AU103" s="63" t="n">
        <f aca="false">MATCH(MIN(AR103:AT103),AR103:AT103,0)</f>
        <v>2</v>
      </c>
      <c r="AW103" s="17" t="n">
        <f aca="false">SQRT(($B103-AW$16)^2+($C103-AW$17)^2+($D103-AW$18)^2)</f>
        <v>3.80635985395687</v>
      </c>
      <c r="AX103" s="17" t="n">
        <f aca="false">SQRT(($B103-AX$16)^2+($C103-AX$17)^2+($D103-AX$18)^2)</f>
        <v>0.268522237864022</v>
      </c>
      <c r="AY103" s="17" t="n">
        <f aca="false">SQRT(($B103-AY$16)^2+($C103-AY$17)^2+($D103-AY$18)^2)</f>
        <v>1.46494168081748</v>
      </c>
      <c r="AZ103" s="63" t="n">
        <f aca="false">MATCH(MIN(AW103:AY103),AW103:AY103,0)</f>
        <v>2</v>
      </c>
      <c r="BB103" s="17" t="n">
        <f aca="false">SQRT(($B103-BB$16)^2+($C103-BB$17)^2+($D103-BB$18)^2)</f>
        <v>3.80635985395687</v>
      </c>
      <c r="BC103" s="17" t="n">
        <f aca="false">SQRT(($B103-BC$16)^2+($C103-BC$17)^2+($D103-BC$18)^2)</f>
        <v>0.268522237864022</v>
      </c>
      <c r="BD103" s="17" t="n">
        <f aca="false">SQRT(($B103-BD$16)^2+($C103-BD$17)^2+($D103-BD$18)^2)</f>
        <v>1.46494168081748</v>
      </c>
      <c r="BE103" s="63" t="n">
        <f aca="false">MATCH(MIN(BB103:BD103),BB103:BD103,0)</f>
        <v>2</v>
      </c>
      <c r="BG103" s="17" t="n">
        <f aca="false">SQRT(($B103-BG$16)^2+($C103-BG$17)^2+($D103-BG$18)^2)</f>
        <v>3.80635985395687</v>
      </c>
      <c r="BH103" s="17" t="n">
        <f aca="false">SQRT(($B103-BH$16)^2+($C103-BH$17)^2+($D103-BH$18)^2)</f>
        <v>0.268522237864022</v>
      </c>
      <c r="BI103" s="17" t="n">
        <f aca="false">SQRT(($B103-BI$16)^2+($C103-BI$17)^2+($D103-BI$18)^2)</f>
        <v>1.46494168081748</v>
      </c>
      <c r="BJ103" s="63" t="n">
        <f aca="false">MATCH(MIN(BG103:BI103),BG103:BI103,0)</f>
        <v>2</v>
      </c>
      <c r="BL103" s="17" t="n">
        <f aca="false">SQRT(($B103-BL$16)^2+($C103-BL$17)^2+($D103-BL$18)^2)</f>
        <v>3.80635985395687</v>
      </c>
      <c r="BM103" s="17" t="n">
        <f aca="false">SQRT(($B103-BM$16)^2+($C103-BM$17)^2+($D103-BM$18)^2)</f>
        <v>0.268522237864022</v>
      </c>
      <c r="BN103" s="17" t="n">
        <f aca="false">SQRT(($B103-BN$16)^2+($C103-BN$17)^2+($D103-BN$18)^2)</f>
        <v>1.46494168081748</v>
      </c>
      <c r="BO103" s="63" t="n">
        <f aca="false">MATCH(MIN(BL103:BN103),BL103:BN103,0)</f>
        <v>2</v>
      </c>
      <c r="BQ103" s="17" t="n">
        <f aca="false">SQRT(($B103-BQ$16)^2+($C103-BQ$17)^2+($D103-BQ$18)^2)</f>
        <v>3.80635985395687</v>
      </c>
      <c r="BR103" s="17" t="n">
        <f aca="false">SQRT(($B103-BR$16)^2+($C103-BR$17)^2+($D103-BR$18)^2)</f>
        <v>0.268522237864022</v>
      </c>
      <c r="BS103" s="17" t="n">
        <f aca="false">SQRT(($B103-BS$16)^2+($C103-BS$17)^2+($D103-BS$18)^2)</f>
        <v>1.46494168081748</v>
      </c>
      <c r="BT103" s="63" t="n">
        <f aca="false">MATCH(MIN(BQ103:BS103),BQ103:BS103,0)</f>
        <v>2</v>
      </c>
      <c r="BV103" s="17" t="n">
        <f aca="false">SQRT(($B103-BV$16)^2+($C103-BV$17)^2+($D103-BV$18)^2)</f>
        <v>3.80635985395687</v>
      </c>
      <c r="BW103" s="17" t="n">
        <f aca="false">SQRT(($B103-BW$16)^2+($C103-BW$17)^2+($D103-BW$18)^2)</f>
        <v>0.268522237864022</v>
      </c>
      <c r="BX103" s="17" t="n">
        <f aca="false">SQRT(($B103-BX$16)^2+($C103-BX$17)^2+($D103-BX$18)^2)</f>
        <v>1.46494168081748</v>
      </c>
      <c r="BY103" s="63" t="n">
        <f aca="false">MATCH(MIN(BV103:BX103),BV103:BX103,0)</f>
        <v>2</v>
      </c>
      <c r="CA103" s="17" t="n">
        <f aca="false">SQRT(($B103-CA$16)^2+($C103-CA$17)^2+($D103-CA$18)^2)</f>
        <v>3.80635985395687</v>
      </c>
      <c r="CB103" s="17" t="n">
        <f aca="false">SQRT(($B103-CB$16)^2+($C103-CB$17)^2+($D103-CB$18)^2)</f>
        <v>0.268522237864022</v>
      </c>
      <c r="CC103" s="17" t="n">
        <f aca="false">SQRT(($B103-CC$16)^2+($C103-CC$17)^2+($D103-CC$18)^2)</f>
        <v>1.46494168081748</v>
      </c>
      <c r="CD103" s="63" t="n">
        <f aca="false">MATCH(MIN(CA103:CC103),CA103:CC103,0)</f>
        <v>2</v>
      </c>
    </row>
    <row r="104" customFormat="false" ht="15" hidden="false" customHeight="false" outlineLevel="0" collapsed="false">
      <c r="A104" s="76" t="n">
        <f aca="false">Phase_Data!A86</f>
        <v>43968</v>
      </c>
      <c r="B104" s="17" t="n">
        <f aca="false">Phase_Data!K86</f>
        <v>0.909489337925353</v>
      </c>
      <c r="C104" s="17" t="n">
        <f aca="false">Phase_Data!L86</f>
        <v>0.92419588734005</v>
      </c>
      <c r="D104" s="17" t="n">
        <f aca="false">Phase_Data!M86</f>
        <v>1.11050361184317</v>
      </c>
      <c r="E104" s="63" t="n">
        <f aca="false">CD104</f>
        <v>2</v>
      </c>
      <c r="F104" s="38" t="n">
        <f aca="false">($B104-INDEX($L$16:$N$16,E104))^2+($C104-INDEX($L$17:$N$17,E104))^2+($D104-INDEX($L$18:$N$18,E104))^2</f>
        <v>0.0305483559296516</v>
      </c>
      <c r="G104" s="12" t="str">
        <f aca="false">INDEX($M$5:$M$7,E104)</f>
        <v>High activity</v>
      </c>
      <c r="X104" s="17" t="n">
        <f aca="false">SQRT(($B104-X$16)^2+($C104-X$17)^2+($D104-X$18)^2)</f>
        <v>4.15411269512926</v>
      </c>
      <c r="Y104" s="17" t="n">
        <f aca="false">SQRT(($B104-Y$16)^2+($C104-Y$17)^2+($D104-Y$18)^2)</f>
        <v>0.827178679060434</v>
      </c>
      <c r="Z104" s="17" t="n">
        <f aca="false">SQRT(($B104-Z$16)^2+($C104-Z$17)^2+($D104-Z$18)^2)</f>
        <v>2.40551980577498</v>
      </c>
      <c r="AA104" s="63" t="n">
        <f aca="false">MATCH(MIN(X104:Z104),X104:Z104,0)</f>
        <v>2</v>
      </c>
      <c r="AC104" s="17" t="n">
        <f aca="false">SQRT(($B104-AC$16)^2+($C104-AC$17)^2+($D104-AC$18)^2)</f>
        <v>3.76995224448584</v>
      </c>
      <c r="AD104" s="17" t="n">
        <f aca="false">SQRT(($B104-AD$16)^2+($C104-AD$17)^2+($D104-AD$18)^2)</f>
        <v>0.137756567468713</v>
      </c>
      <c r="AE104" s="17" t="n">
        <f aca="false">SQRT(($B104-AE$16)^2+($C104-AE$17)^2+($D104-AE$18)^2)</f>
        <v>1.57822778188258</v>
      </c>
      <c r="AF104" s="63" t="n">
        <f aca="false">MATCH(MIN(AC104:AE104),AC104:AE104,0)</f>
        <v>2</v>
      </c>
      <c r="AH104" s="17" t="n">
        <f aca="false">SQRT(($B104-AH$16)^2+($C104-AH$17)^2+($D104-AH$18)^2)</f>
        <v>3.85788402939445</v>
      </c>
      <c r="AI104" s="17" t="n">
        <f aca="false">SQRT(($B104-AI$16)^2+($C104-AI$17)^2+($D104-AI$18)^2)</f>
        <v>0.145467481460876</v>
      </c>
      <c r="AJ104" s="17" t="n">
        <f aca="false">SQRT(($B104-AJ$16)^2+($C104-AJ$17)^2+($D104-AJ$18)^2)</f>
        <v>1.54511906586686</v>
      </c>
      <c r="AK104" s="63" t="n">
        <f aca="false">MATCH(MIN(AH104:AJ104),AH104:AJ104,0)</f>
        <v>2</v>
      </c>
      <c r="AM104" s="17" t="n">
        <f aca="false">SQRT(($B104-AM$16)^2+($C104-AM$17)^2+($D104-AM$18)^2)</f>
        <v>3.90000640312149</v>
      </c>
      <c r="AN104" s="17" t="n">
        <f aca="false">SQRT(($B104-AN$16)^2+($C104-AN$17)^2+($D104-AN$18)^2)</f>
        <v>0.17478087975992</v>
      </c>
      <c r="AO104" s="17" t="n">
        <f aca="false">SQRT(($B104-AO$16)^2+($C104-AO$17)^2+($D104-AO$18)^2)</f>
        <v>1.55491677110404</v>
      </c>
      <c r="AP104" s="63" t="n">
        <f aca="false">MATCH(MIN(AM104:AO104),AM104:AO104,0)</f>
        <v>2</v>
      </c>
      <c r="AR104" s="17" t="n">
        <f aca="false">SQRT(($B104-AR$16)^2+($C104-AR$17)^2+($D104-AR$18)^2)</f>
        <v>3.90000640312149</v>
      </c>
      <c r="AS104" s="17" t="n">
        <f aca="false">SQRT(($B104-AS$16)^2+($C104-AS$17)^2+($D104-AS$18)^2)</f>
        <v>0.17478087975992</v>
      </c>
      <c r="AT104" s="17" t="n">
        <f aca="false">SQRT(($B104-AT$16)^2+($C104-AT$17)^2+($D104-AT$18)^2)</f>
        <v>1.55491677110404</v>
      </c>
      <c r="AU104" s="63" t="n">
        <f aca="false">MATCH(MIN(AR104:AT104),AR104:AT104,0)</f>
        <v>2</v>
      </c>
      <c r="AW104" s="17" t="n">
        <f aca="false">SQRT(($B104-AW$16)^2+($C104-AW$17)^2+($D104-AW$18)^2)</f>
        <v>3.90000640312149</v>
      </c>
      <c r="AX104" s="17" t="n">
        <f aca="false">SQRT(($B104-AX$16)^2+($C104-AX$17)^2+($D104-AX$18)^2)</f>
        <v>0.17478087975992</v>
      </c>
      <c r="AY104" s="17" t="n">
        <f aca="false">SQRT(($B104-AY$16)^2+($C104-AY$17)^2+($D104-AY$18)^2)</f>
        <v>1.55491677110404</v>
      </c>
      <c r="AZ104" s="63" t="n">
        <f aca="false">MATCH(MIN(AW104:AY104),AW104:AY104,0)</f>
        <v>2</v>
      </c>
      <c r="BB104" s="17" t="n">
        <f aca="false">SQRT(($B104-BB$16)^2+($C104-BB$17)^2+($D104-BB$18)^2)</f>
        <v>3.90000640312149</v>
      </c>
      <c r="BC104" s="17" t="n">
        <f aca="false">SQRT(($B104-BC$16)^2+($C104-BC$17)^2+($D104-BC$18)^2)</f>
        <v>0.17478087975992</v>
      </c>
      <c r="BD104" s="17" t="n">
        <f aca="false">SQRT(($B104-BD$16)^2+($C104-BD$17)^2+($D104-BD$18)^2)</f>
        <v>1.55491677110404</v>
      </c>
      <c r="BE104" s="63" t="n">
        <f aca="false">MATCH(MIN(BB104:BD104),BB104:BD104,0)</f>
        <v>2</v>
      </c>
      <c r="BG104" s="17" t="n">
        <f aca="false">SQRT(($B104-BG$16)^2+($C104-BG$17)^2+($D104-BG$18)^2)</f>
        <v>3.90000640312149</v>
      </c>
      <c r="BH104" s="17" t="n">
        <f aca="false">SQRT(($B104-BH$16)^2+($C104-BH$17)^2+($D104-BH$18)^2)</f>
        <v>0.17478087975992</v>
      </c>
      <c r="BI104" s="17" t="n">
        <f aca="false">SQRT(($B104-BI$16)^2+($C104-BI$17)^2+($D104-BI$18)^2)</f>
        <v>1.55491677110404</v>
      </c>
      <c r="BJ104" s="63" t="n">
        <f aca="false">MATCH(MIN(BG104:BI104),BG104:BI104,0)</f>
        <v>2</v>
      </c>
      <c r="BL104" s="17" t="n">
        <f aca="false">SQRT(($B104-BL$16)^2+($C104-BL$17)^2+($D104-BL$18)^2)</f>
        <v>3.90000640312149</v>
      </c>
      <c r="BM104" s="17" t="n">
        <f aca="false">SQRT(($B104-BM$16)^2+($C104-BM$17)^2+($D104-BM$18)^2)</f>
        <v>0.17478087975992</v>
      </c>
      <c r="BN104" s="17" t="n">
        <f aca="false">SQRT(($B104-BN$16)^2+($C104-BN$17)^2+($D104-BN$18)^2)</f>
        <v>1.55491677110404</v>
      </c>
      <c r="BO104" s="63" t="n">
        <f aca="false">MATCH(MIN(BL104:BN104),BL104:BN104,0)</f>
        <v>2</v>
      </c>
      <c r="BQ104" s="17" t="n">
        <f aca="false">SQRT(($B104-BQ$16)^2+($C104-BQ$17)^2+($D104-BQ$18)^2)</f>
        <v>3.90000640312149</v>
      </c>
      <c r="BR104" s="17" t="n">
        <f aca="false">SQRT(($B104-BR$16)^2+($C104-BR$17)^2+($D104-BR$18)^2)</f>
        <v>0.17478087975992</v>
      </c>
      <c r="BS104" s="17" t="n">
        <f aca="false">SQRT(($B104-BS$16)^2+($C104-BS$17)^2+($D104-BS$18)^2)</f>
        <v>1.55491677110404</v>
      </c>
      <c r="BT104" s="63" t="n">
        <f aca="false">MATCH(MIN(BQ104:BS104),BQ104:BS104,0)</f>
        <v>2</v>
      </c>
      <c r="BV104" s="17" t="n">
        <f aca="false">SQRT(($B104-BV$16)^2+($C104-BV$17)^2+($D104-BV$18)^2)</f>
        <v>3.90000640312149</v>
      </c>
      <c r="BW104" s="17" t="n">
        <f aca="false">SQRT(($B104-BW$16)^2+($C104-BW$17)^2+($D104-BW$18)^2)</f>
        <v>0.17478087975992</v>
      </c>
      <c r="BX104" s="17" t="n">
        <f aca="false">SQRT(($B104-BX$16)^2+($C104-BX$17)^2+($D104-BX$18)^2)</f>
        <v>1.55491677110404</v>
      </c>
      <c r="BY104" s="63" t="n">
        <f aca="false">MATCH(MIN(BV104:BX104),BV104:BX104,0)</f>
        <v>2</v>
      </c>
      <c r="CA104" s="17" t="n">
        <f aca="false">SQRT(($B104-CA$16)^2+($C104-CA$17)^2+($D104-CA$18)^2)</f>
        <v>3.90000640312149</v>
      </c>
      <c r="CB104" s="17" t="n">
        <f aca="false">SQRT(($B104-CB$16)^2+($C104-CB$17)^2+($D104-CB$18)^2)</f>
        <v>0.17478087975992</v>
      </c>
      <c r="CC104" s="17" t="n">
        <f aca="false">SQRT(($B104-CC$16)^2+($C104-CC$17)^2+($D104-CC$18)^2)</f>
        <v>1.55491677110404</v>
      </c>
      <c r="CD104" s="63" t="n">
        <f aca="false">MATCH(MIN(CA104:CC104),CA104:CC104,0)</f>
        <v>2</v>
      </c>
    </row>
    <row r="105" customFormat="false" ht="15" hidden="false" customHeight="false" outlineLevel="0" collapsed="false">
      <c r="A105" s="76" t="n">
        <f aca="false">Phase_Data!A87</f>
        <v>43969</v>
      </c>
      <c r="B105" s="17" t="n">
        <f aca="false">Phase_Data!K87</f>
        <v>0.876316227805916</v>
      </c>
      <c r="C105" s="17" t="n">
        <f aca="false">Phase_Data!L87</f>
        <v>1.20677074237932</v>
      </c>
      <c r="D105" s="17" t="n">
        <f aca="false">Phase_Data!M87</f>
        <v>1.37041306987816</v>
      </c>
      <c r="E105" s="63" t="n">
        <f aca="false">CD105</f>
        <v>2</v>
      </c>
      <c r="F105" s="38" t="n">
        <f aca="false">($B105-INDEX($L$16:$N$16,E105))^2+($C105-INDEX($L$17:$N$17,E105))^2+($D105-INDEX($L$18:$N$18,E105))^2</f>
        <v>0.0623306190305968</v>
      </c>
      <c r="G105" s="12" t="str">
        <f aca="false">INDEX($M$5:$M$7,E105)</f>
        <v>High activity</v>
      </c>
      <c r="X105" s="17" t="n">
        <f aca="false">SQRT(($B105-X$16)^2+($C105-X$17)^2+($D105-X$18)^2)</f>
        <v>4.4497542004157</v>
      </c>
      <c r="Y105" s="17" t="n">
        <f aca="false">SQRT(($B105-Y$16)^2+($C105-Y$17)^2+($D105-Y$18)^2)</f>
        <v>0.514012876500846</v>
      </c>
      <c r="Z105" s="17" t="n">
        <f aca="false">SQRT(($B105-Z$16)^2+($C105-Z$17)^2+($D105-Z$18)^2)</f>
        <v>2.69121401743575</v>
      </c>
      <c r="AA105" s="63" t="n">
        <f aca="false">MATCH(MIN(X105:Z105),X105:Z105,0)</f>
        <v>2</v>
      </c>
      <c r="AC105" s="17" t="n">
        <f aca="false">SQRT(($B105-AC$16)^2+($C105-AC$17)^2+($D105-AC$18)^2)</f>
        <v>4.07529011987172</v>
      </c>
      <c r="AD105" s="17" t="n">
        <f aca="false">SQRT(($B105-AD$16)^2+($C105-AD$17)^2+($D105-AD$18)^2)</f>
        <v>0.410665005617252</v>
      </c>
      <c r="AE105" s="17" t="n">
        <f aca="false">SQRT(($B105-AE$16)^2+($C105-AE$17)^2+($D105-AE$18)^2)</f>
        <v>1.9173875638285</v>
      </c>
      <c r="AF105" s="63" t="n">
        <f aca="false">MATCH(MIN(AC105:AE105),AC105:AE105,0)</f>
        <v>2</v>
      </c>
      <c r="AH105" s="17" t="n">
        <f aca="false">SQRT(($B105-AH$16)^2+($C105-AH$17)^2+($D105-AH$18)^2)</f>
        <v>4.16158295936475</v>
      </c>
      <c r="AI105" s="17" t="n">
        <f aca="false">SQRT(($B105-AI$16)^2+($C105-AI$17)^2+($D105-AI$18)^2)</f>
        <v>0.273778413770987</v>
      </c>
      <c r="AJ105" s="17" t="n">
        <f aca="false">SQRT(($B105-AJ$16)^2+($C105-AJ$17)^2+($D105-AJ$18)^2)</f>
        <v>1.88377988306007</v>
      </c>
      <c r="AK105" s="63" t="n">
        <f aca="false">MATCH(MIN(AH105:AJ105),AH105:AJ105,0)</f>
        <v>2</v>
      </c>
      <c r="AM105" s="17" t="n">
        <f aca="false">SQRT(($B105-AM$16)^2+($C105-AM$17)^2+($D105-AM$18)^2)</f>
        <v>4.20246590276773</v>
      </c>
      <c r="AN105" s="17" t="n">
        <f aca="false">SQRT(($B105-AN$16)^2+($C105-AN$17)^2+($D105-AN$18)^2)</f>
        <v>0.249661008230354</v>
      </c>
      <c r="AO105" s="17" t="n">
        <f aca="false">SQRT(($B105-AO$16)^2+($C105-AO$17)^2+($D105-AO$18)^2)</f>
        <v>1.89441746856466</v>
      </c>
      <c r="AP105" s="63" t="n">
        <f aca="false">MATCH(MIN(AM105:AO105),AM105:AO105,0)</f>
        <v>2</v>
      </c>
      <c r="AR105" s="17" t="n">
        <f aca="false">SQRT(($B105-AR$16)^2+($C105-AR$17)^2+($D105-AR$18)^2)</f>
        <v>4.20246590276773</v>
      </c>
      <c r="AS105" s="17" t="n">
        <f aca="false">SQRT(($B105-AS$16)^2+($C105-AS$17)^2+($D105-AS$18)^2)</f>
        <v>0.249661008230354</v>
      </c>
      <c r="AT105" s="17" t="n">
        <f aca="false">SQRT(($B105-AT$16)^2+($C105-AT$17)^2+($D105-AT$18)^2)</f>
        <v>1.89441746856466</v>
      </c>
      <c r="AU105" s="63" t="n">
        <f aca="false">MATCH(MIN(AR105:AT105),AR105:AT105,0)</f>
        <v>2</v>
      </c>
      <c r="AW105" s="17" t="n">
        <f aca="false">SQRT(($B105-AW$16)^2+($C105-AW$17)^2+($D105-AW$18)^2)</f>
        <v>4.20246590276773</v>
      </c>
      <c r="AX105" s="17" t="n">
        <f aca="false">SQRT(($B105-AX$16)^2+($C105-AX$17)^2+($D105-AX$18)^2)</f>
        <v>0.249661008230354</v>
      </c>
      <c r="AY105" s="17" t="n">
        <f aca="false">SQRT(($B105-AY$16)^2+($C105-AY$17)^2+($D105-AY$18)^2)</f>
        <v>1.89441746856466</v>
      </c>
      <c r="AZ105" s="63" t="n">
        <f aca="false">MATCH(MIN(AW105:AY105),AW105:AY105,0)</f>
        <v>2</v>
      </c>
      <c r="BB105" s="17" t="n">
        <f aca="false">SQRT(($B105-BB$16)^2+($C105-BB$17)^2+($D105-BB$18)^2)</f>
        <v>4.20246590276773</v>
      </c>
      <c r="BC105" s="17" t="n">
        <f aca="false">SQRT(($B105-BC$16)^2+($C105-BC$17)^2+($D105-BC$18)^2)</f>
        <v>0.249661008230354</v>
      </c>
      <c r="BD105" s="17" t="n">
        <f aca="false">SQRT(($B105-BD$16)^2+($C105-BD$17)^2+($D105-BD$18)^2)</f>
        <v>1.89441746856466</v>
      </c>
      <c r="BE105" s="63" t="n">
        <f aca="false">MATCH(MIN(BB105:BD105),BB105:BD105,0)</f>
        <v>2</v>
      </c>
      <c r="BG105" s="17" t="n">
        <f aca="false">SQRT(($B105-BG$16)^2+($C105-BG$17)^2+($D105-BG$18)^2)</f>
        <v>4.20246590276773</v>
      </c>
      <c r="BH105" s="17" t="n">
        <f aca="false">SQRT(($B105-BH$16)^2+($C105-BH$17)^2+($D105-BH$18)^2)</f>
        <v>0.249661008230354</v>
      </c>
      <c r="BI105" s="17" t="n">
        <f aca="false">SQRT(($B105-BI$16)^2+($C105-BI$17)^2+($D105-BI$18)^2)</f>
        <v>1.89441746856466</v>
      </c>
      <c r="BJ105" s="63" t="n">
        <f aca="false">MATCH(MIN(BG105:BI105),BG105:BI105,0)</f>
        <v>2</v>
      </c>
      <c r="BL105" s="17" t="n">
        <f aca="false">SQRT(($B105-BL$16)^2+($C105-BL$17)^2+($D105-BL$18)^2)</f>
        <v>4.20246590276773</v>
      </c>
      <c r="BM105" s="17" t="n">
        <f aca="false">SQRT(($B105-BM$16)^2+($C105-BM$17)^2+($D105-BM$18)^2)</f>
        <v>0.249661008230354</v>
      </c>
      <c r="BN105" s="17" t="n">
        <f aca="false">SQRT(($B105-BN$16)^2+($C105-BN$17)^2+($D105-BN$18)^2)</f>
        <v>1.89441746856466</v>
      </c>
      <c r="BO105" s="63" t="n">
        <f aca="false">MATCH(MIN(BL105:BN105),BL105:BN105,0)</f>
        <v>2</v>
      </c>
      <c r="BQ105" s="17" t="n">
        <f aca="false">SQRT(($B105-BQ$16)^2+($C105-BQ$17)^2+($D105-BQ$18)^2)</f>
        <v>4.20246590276773</v>
      </c>
      <c r="BR105" s="17" t="n">
        <f aca="false">SQRT(($B105-BR$16)^2+($C105-BR$17)^2+($D105-BR$18)^2)</f>
        <v>0.249661008230354</v>
      </c>
      <c r="BS105" s="17" t="n">
        <f aca="false">SQRT(($B105-BS$16)^2+($C105-BS$17)^2+($D105-BS$18)^2)</f>
        <v>1.89441746856466</v>
      </c>
      <c r="BT105" s="63" t="n">
        <f aca="false">MATCH(MIN(BQ105:BS105),BQ105:BS105,0)</f>
        <v>2</v>
      </c>
      <c r="BV105" s="17" t="n">
        <f aca="false">SQRT(($B105-BV$16)^2+($C105-BV$17)^2+($D105-BV$18)^2)</f>
        <v>4.20246590276773</v>
      </c>
      <c r="BW105" s="17" t="n">
        <f aca="false">SQRT(($B105-BW$16)^2+($C105-BW$17)^2+($D105-BW$18)^2)</f>
        <v>0.249661008230354</v>
      </c>
      <c r="BX105" s="17" t="n">
        <f aca="false">SQRT(($B105-BX$16)^2+($C105-BX$17)^2+($D105-BX$18)^2)</f>
        <v>1.89441746856466</v>
      </c>
      <c r="BY105" s="63" t="n">
        <f aca="false">MATCH(MIN(BV105:BX105),BV105:BX105,0)</f>
        <v>2</v>
      </c>
      <c r="CA105" s="17" t="n">
        <f aca="false">SQRT(($B105-CA$16)^2+($C105-CA$17)^2+($D105-CA$18)^2)</f>
        <v>4.20246590276773</v>
      </c>
      <c r="CB105" s="17" t="n">
        <f aca="false">SQRT(($B105-CB$16)^2+($C105-CB$17)^2+($D105-CB$18)^2)</f>
        <v>0.249661008230354</v>
      </c>
      <c r="CC105" s="17" t="n">
        <f aca="false">SQRT(($B105-CC$16)^2+($C105-CC$17)^2+($D105-CC$18)^2)</f>
        <v>1.89441746856466</v>
      </c>
      <c r="CD105" s="63" t="n">
        <f aca="false">MATCH(MIN(CA105:CC105),CA105:CC105,0)</f>
        <v>2</v>
      </c>
    </row>
    <row r="106" customFormat="false" ht="15" hidden="false" customHeight="false" outlineLevel="0" collapsed="false">
      <c r="A106" s="76" t="n">
        <f aca="false">Phase_Data!A88</f>
        <v>43970</v>
      </c>
      <c r="B106" s="17" t="n">
        <f aca="false">Phase_Data!K88</f>
        <v>0.892396137834348</v>
      </c>
      <c r="C106" s="17" t="n">
        <f aca="false">Phase_Data!L88</f>
        <v>1.20677074237932</v>
      </c>
      <c r="D106" s="17" t="n">
        <f aca="false">Phase_Data!M88</f>
        <v>1.18974713972535</v>
      </c>
      <c r="E106" s="63" t="n">
        <f aca="false">CD106</f>
        <v>2</v>
      </c>
      <c r="F106" s="38" t="n">
        <f aca="false">($B106-INDEX($L$16:$N$16,E106))^2+($C106-INDEX($L$17:$N$17,E106))^2+($D106-INDEX($L$18:$N$18,E106))^2</f>
        <v>0.0151447807142451</v>
      </c>
      <c r="G106" s="12" t="str">
        <f aca="false">INDEX($M$5:$M$7,E106)</f>
        <v>High activity</v>
      </c>
      <c r="X106" s="17" t="n">
        <f aca="false">SQRT(($B106-X$16)^2+($C106-X$17)^2+($D106-X$18)^2)</f>
        <v>4.35371076124355</v>
      </c>
      <c r="Y106" s="17" t="n">
        <f aca="false">SQRT(($B106-Y$16)^2+($C106-Y$17)^2+($D106-Y$18)^2)</f>
        <v>0.61996826166685</v>
      </c>
      <c r="Z106" s="17" t="n">
        <f aca="false">SQRT(($B106-Z$16)^2+($C106-Z$17)^2+($D106-Z$18)^2)</f>
        <v>2.51506357588615</v>
      </c>
      <c r="AA106" s="63" t="n">
        <f aca="false">MATCH(MIN(X106:Z106),X106:Z106,0)</f>
        <v>2</v>
      </c>
      <c r="AC106" s="17" t="n">
        <f aca="false">SQRT(($B106-AC$16)^2+($C106-AC$17)^2+($D106-AC$18)^2)</f>
        <v>3.97614183413257</v>
      </c>
      <c r="AD106" s="17" t="n">
        <f aca="false">SQRT(($B106-AD$16)^2+($C106-AD$17)^2+($D106-AD$18)^2)</f>
        <v>0.313273699660791</v>
      </c>
      <c r="AE106" s="17" t="n">
        <f aca="false">SQRT(($B106-AE$16)^2+($C106-AE$17)^2+($D106-AE$18)^2)</f>
        <v>1.78495311813938</v>
      </c>
      <c r="AF106" s="63" t="n">
        <f aca="false">MATCH(MIN(AC106:AE106),AC106:AE106,0)</f>
        <v>2</v>
      </c>
      <c r="AH106" s="17" t="n">
        <f aca="false">SQRT(($B106-AH$16)^2+($C106-AH$17)^2+($D106-AH$18)^2)</f>
        <v>4.0625083202443</v>
      </c>
      <c r="AI106" s="17" t="n">
        <f aca="false">SQRT(($B106-AI$16)^2+($C106-AI$17)^2+($D106-AI$18)^2)</f>
        <v>0.158260469688684</v>
      </c>
      <c r="AJ106" s="17" t="n">
        <f aca="false">SQRT(($B106-AJ$16)^2+($C106-AJ$17)^2+($D106-AJ$18)^2)</f>
        <v>1.75847804393247</v>
      </c>
      <c r="AK106" s="63" t="n">
        <f aca="false">MATCH(MIN(AH106:AJ106),AH106:AJ106,0)</f>
        <v>2</v>
      </c>
      <c r="AM106" s="17" t="n">
        <f aca="false">SQRT(($B106-AM$16)^2+($C106-AM$17)^2+($D106-AM$18)^2)</f>
        <v>4.10362008289776</v>
      </c>
      <c r="AN106" s="17" t="n">
        <f aca="false">SQRT(($B106-AN$16)^2+($C106-AN$17)^2+($D106-AN$18)^2)</f>
        <v>0.123064132525465</v>
      </c>
      <c r="AO106" s="17" t="n">
        <f aca="false">SQRT(($B106-AO$16)^2+($C106-AO$17)^2+($D106-AO$18)^2)</f>
        <v>1.77083762128325</v>
      </c>
      <c r="AP106" s="63" t="n">
        <f aca="false">MATCH(MIN(AM106:AO106),AM106:AO106,0)</f>
        <v>2</v>
      </c>
      <c r="AR106" s="17" t="n">
        <f aca="false">SQRT(($B106-AR$16)^2+($C106-AR$17)^2+($D106-AR$18)^2)</f>
        <v>4.10362008289776</v>
      </c>
      <c r="AS106" s="17" t="n">
        <f aca="false">SQRT(($B106-AS$16)^2+($C106-AS$17)^2+($D106-AS$18)^2)</f>
        <v>0.123064132525465</v>
      </c>
      <c r="AT106" s="17" t="n">
        <f aca="false">SQRT(($B106-AT$16)^2+($C106-AT$17)^2+($D106-AT$18)^2)</f>
        <v>1.77083762128325</v>
      </c>
      <c r="AU106" s="63" t="n">
        <f aca="false">MATCH(MIN(AR106:AT106),AR106:AT106,0)</f>
        <v>2</v>
      </c>
      <c r="AW106" s="17" t="n">
        <f aca="false">SQRT(($B106-AW$16)^2+($C106-AW$17)^2+($D106-AW$18)^2)</f>
        <v>4.10362008289776</v>
      </c>
      <c r="AX106" s="17" t="n">
        <f aca="false">SQRT(($B106-AX$16)^2+($C106-AX$17)^2+($D106-AX$18)^2)</f>
        <v>0.123064132525465</v>
      </c>
      <c r="AY106" s="17" t="n">
        <f aca="false">SQRT(($B106-AY$16)^2+($C106-AY$17)^2+($D106-AY$18)^2)</f>
        <v>1.77083762128325</v>
      </c>
      <c r="AZ106" s="63" t="n">
        <f aca="false">MATCH(MIN(AW106:AY106),AW106:AY106,0)</f>
        <v>2</v>
      </c>
      <c r="BB106" s="17" t="n">
        <f aca="false">SQRT(($B106-BB$16)^2+($C106-BB$17)^2+($D106-BB$18)^2)</f>
        <v>4.10362008289776</v>
      </c>
      <c r="BC106" s="17" t="n">
        <f aca="false">SQRT(($B106-BC$16)^2+($C106-BC$17)^2+($D106-BC$18)^2)</f>
        <v>0.123064132525465</v>
      </c>
      <c r="BD106" s="17" t="n">
        <f aca="false">SQRT(($B106-BD$16)^2+($C106-BD$17)^2+($D106-BD$18)^2)</f>
        <v>1.77083762128325</v>
      </c>
      <c r="BE106" s="63" t="n">
        <f aca="false">MATCH(MIN(BB106:BD106),BB106:BD106,0)</f>
        <v>2</v>
      </c>
      <c r="BG106" s="17" t="n">
        <f aca="false">SQRT(($B106-BG$16)^2+($C106-BG$17)^2+($D106-BG$18)^2)</f>
        <v>4.10362008289776</v>
      </c>
      <c r="BH106" s="17" t="n">
        <f aca="false">SQRT(($B106-BH$16)^2+($C106-BH$17)^2+($D106-BH$18)^2)</f>
        <v>0.123064132525465</v>
      </c>
      <c r="BI106" s="17" t="n">
        <f aca="false">SQRT(($B106-BI$16)^2+($C106-BI$17)^2+($D106-BI$18)^2)</f>
        <v>1.77083762128325</v>
      </c>
      <c r="BJ106" s="63" t="n">
        <f aca="false">MATCH(MIN(BG106:BI106),BG106:BI106,0)</f>
        <v>2</v>
      </c>
      <c r="BL106" s="17" t="n">
        <f aca="false">SQRT(($B106-BL$16)^2+($C106-BL$17)^2+($D106-BL$18)^2)</f>
        <v>4.10362008289776</v>
      </c>
      <c r="BM106" s="17" t="n">
        <f aca="false">SQRT(($B106-BM$16)^2+($C106-BM$17)^2+($D106-BM$18)^2)</f>
        <v>0.123064132525465</v>
      </c>
      <c r="BN106" s="17" t="n">
        <f aca="false">SQRT(($B106-BN$16)^2+($C106-BN$17)^2+($D106-BN$18)^2)</f>
        <v>1.77083762128325</v>
      </c>
      <c r="BO106" s="63" t="n">
        <f aca="false">MATCH(MIN(BL106:BN106),BL106:BN106,0)</f>
        <v>2</v>
      </c>
      <c r="BQ106" s="17" t="n">
        <f aca="false">SQRT(($B106-BQ$16)^2+($C106-BQ$17)^2+($D106-BQ$18)^2)</f>
        <v>4.10362008289776</v>
      </c>
      <c r="BR106" s="17" t="n">
        <f aca="false">SQRT(($B106-BR$16)^2+($C106-BR$17)^2+($D106-BR$18)^2)</f>
        <v>0.123064132525465</v>
      </c>
      <c r="BS106" s="17" t="n">
        <f aca="false">SQRT(($B106-BS$16)^2+($C106-BS$17)^2+($D106-BS$18)^2)</f>
        <v>1.77083762128325</v>
      </c>
      <c r="BT106" s="63" t="n">
        <f aca="false">MATCH(MIN(BQ106:BS106),BQ106:BS106,0)</f>
        <v>2</v>
      </c>
      <c r="BV106" s="17" t="n">
        <f aca="false">SQRT(($B106-BV$16)^2+($C106-BV$17)^2+($D106-BV$18)^2)</f>
        <v>4.10362008289776</v>
      </c>
      <c r="BW106" s="17" t="n">
        <f aca="false">SQRT(($B106-BW$16)^2+($C106-BW$17)^2+($D106-BW$18)^2)</f>
        <v>0.123064132525465</v>
      </c>
      <c r="BX106" s="17" t="n">
        <f aca="false">SQRT(($B106-BX$16)^2+($C106-BX$17)^2+($D106-BX$18)^2)</f>
        <v>1.77083762128325</v>
      </c>
      <c r="BY106" s="63" t="n">
        <f aca="false">MATCH(MIN(BV106:BX106),BV106:BX106,0)</f>
        <v>2</v>
      </c>
      <c r="CA106" s="17" t="n">
        <f aca="false">SQRT(($B106-CA$16)^2+($C106-CA$17)^2+($D106-CA$18)^2)</f>
        <v>4.10362008289776</v>
      </c>
      <c r="CB106" s="17" t="n">
        <f aca="false">SQRT(($B106-CB$16)^2+($C106-CB$17)^2+($D106-CB$18)^2)</f>
        <v>0.123064132525465</v>
      </c>
      <c r="CC106" s="17" t="n">
        <f aca="false">SQRT(($B106-CC$16)^2+($C106-CC$17)^2+($D106-CC$18)^2)</f>
        <v>1.77083762128325</v>
      </c>
      <c r="CD106" s="63" t="n">
        <f aca="false">MATCH(MIN(CA106:CC106),CA106:CC106,0)</f>
        <v>2</v>
      </c>
    </row>
    <row r="107" customFormat="false" ht="15" hidden="false" customHeight="false" outlineLevel="0" collapsed="false">
      <c r="A107" s="76" t="n">
        <f aca="false">Phase_Data!A89</f>
        <v>43971</v>
      </c>
      <c r="B107" s="17" t="n">
        <f aca="false">Phase_Data!K89</f>
        <v>0.940683418837973</v>
      </c>
      <c r="C107" s="17" t="n">
        <f aca="false">Phase_Data!L89</f>
        <v>0.966647501979047</v>
      </c>
      <c r="D107" s="17" t="n">
        <f aca="false">Phase_Data!M89</f>
        <v>1.40294873958932</v>
      </c>
      <c r="E107" s="63" t="n">
        <f aca="false">CD107</f>
        <v>2</v>
      </c>
      <c r="F107" s="38" t="n">
        <f aca="false">($B107-INDEX($L$16:$N$16,E107))^2+($C107-INDEX($L$17:$N$17,E107))^2+($D107-INDEX($L$18:$N$18,E107))^2</f>
        <v>0.0841897546651668</v>
      </c>
      <c r="G107" s="12" t="str">
        <f aca="false">INDEX($M$5:$M$7,E107)</f>
        <v>High activity</v>
      </c>
      <c r="X107" s="17" t="n">
        <f aca="false">SQRT(($B107-X$16)^2+($C107-X$17)^2+($D107-X$18)^2)</f>
        <v>4.36967925748295</v>
      </c>
      <c r="Y107" s="17" t="n">
        <f aca="false">SQRT(($B107-Y$16)^2+($C107-Y$17)^2+($D107-Y$18)^2)</f>
        <v>0.62866437063751</v>
      </c>
      <c r="Z107" s="17" t="n">
        <f aca="false">SQRT(($B107-Z$16)^2+($C107-Z$17)^2+($D107-Z$18)^2)</f>
        <v>2.70176893343346</v>
      </c>
      <c r="AA107" s="63" t="n">
        <f aca="false">MATCH(MIN(X107:Z107),X107:Z107,0)</f>
        <v>2</v>
      </c>
      <c r="AC107" s="17" t="n">
        <f aca="false">SQRT(($B107-AC$16)^2+($C107-AC$17)^2+($D107-AC$18)^2)</f>
        <v>3.99005731674929</v>
      </c>
      <c r="AD107" s="17" t="n">
        <f aca="false">SQRT(($B107-AD$16)^2+($C107-AD$17)^2+($D107-AD$18)^2)</f>
        <v>0.367176275754078</v>
      </c>
      <c r="AE107" s="17" t="n">
        <f aca="false">SQRT(($B107-AE$16)^2+($C107-AE$17)^2+($D107-AE$18)^2)</f>
        <v>1.84574590964295</v>
      </c>
      <c r="AF107" s="63" t="n">
        <f aca="false">MATCH(MIN(AC107:AE107),AC107:AE107,0)</f>
        <v>2</v>
      </c>
      <c r="AH107" s="17" t="n">
        <f aca="false">SQRT(($B107-AH$16)^2+($C107-AH$17)^2+($D107-AH$18)^2)</f>
        <v>4.07782012768511</v>
      </c>
      <c r="AI107" s="17" t="n">
        <f aca="false">SQRT(($B107-AI$16)^2+($C107-AI$17)^2+($D107-AI$18)^2)</f>
        <v>0.288950356716958</v>
      </c>
      <c r="AJ107" s="17" t="n">
        <f aca="false">SQRT(($B107-AJ$16)^2+($C107-AJ$17)^2+($D107-AJ$18)^2)</f>
        <v>1.80448869553789</v>
      </c>
      <c r="AK107" s="63" t="n">
        <f aca="false">MATCH(MIN(AH107:AJ107),AH107:AJ107,0)</f>
        <v>2</v>
      </c>
      <c r="AM107" s="17" t="n">
        <f aca="false">SQRT(($B107-AM$16)^2+($C107-AM$17)^2+($D107-AM$18)^2)</f>
        <v>4.11959849304419</v>
      </c>
      <c r="AN107" s="17" t="n">
        <f aca="false">SQRT(($B107-AN$16)^2+($C107-AN$17)^2+($D107-AN$18)^2)</f>
        <v>0.290154708156126</v>
      </c>
      <c r="AO107" s="17" t="n">
        <f aca="false">SQRT(($B107-AO$16)^2+($C107-AO$17)^2+($D107-AO$18)^2)</f>
        <v>1.81215434712447</v>
      </c>
      <c r="AP107" s="63" t="n">
        <f aca="false">MATCH(MIN(AM107:AO107),AM107:AO107,0)</f>
        <v>2</v>
      </c>
      <c r="AR107" s="17" t="n">
        <f aca="false">SQRT(($B107-AR$16)^2+($C107-AR$17)^2+($D107-AR$18)^2)</f>
        <v>4.11959849304419</v>
      </c>
      <c r="AS107" s="17" t="n">
        <f aca="false">SQRT(($B107-AS$16)^2+($C107-AS$17)^2+($D107-AS$18)^2)</f>
        <v>0.290154708156126</v>
      </c>
      <c r="AT107" s="17" t="n">
        <f aca="false">SQRT(($B107-AT$16)^2+($C107-AT$17)^2+($D107-AT$18)^2)</f>
        <v>1.81215434712447</v>
      </c>
      <c r="AU107" s="63" t="n">
        <f aca="false">MATCH(MIN(AR107:AT107),AR107:AT107,0)</f>
        <v>2</v>
      </c>
      <c r="AW107" s="17" t="n">
        <f aca="false">SQRT(($B107-AW$16)^2+($C107-AW$17)^2+($D107-AW$18)^2)</f>
        <v>4.11959849304419</v>
      </c>
      <c r="AX107" s="17" t="n">
        <f aca="false">SQRT(($B107-AX$16)^2+($C107-AX$17)^2+($D107-AX$18)^2)</f>
        <v>0.290154708156126</v>
      </c>
      <c r="AY107" s="17" t="n">
        <f aca="false">SQRT(($B107-AY$16)^2+($C107-AY$17)^2+($D107-AY$18)^2)</f>
        <v>1.81215434712447</v>
      </c>
      <c r="AZ107" s="63" t="n">
        <f aca="false">MATCH(MIN(AW107:AY107),AW107:AY107,0)</f>
        <v>2</v>
      </c>
      <c r="BB107" s="17" t="n">
        <f aca="false">SQRT(($B107-BB$16)^2+($C107-BB$17)^2+($D107-BB$18)^2)</f>
        <v>4.11959849304419</v>
      </c>
      <c r="BC107" s="17" t="n">
        <f aca="false">SQRT(($B107-BC$16)^2+($C107-BC$17)^2+($D107-BC$18)^2)</f>
        <v>0.290154708156126</v>
      </c>
      <c r="BD107" s="17" t="n">
        <f aca="false">SQRT(($B107-BD$16)^2+($C107-BD$17)^2+($D107-BD$18)^2)</f>
        <v>1.81215434712447</v>
      </c>
      <c r="BE107" s="63" t="n">
        <f aca="false">MATCH(MIN(BB107:BD107),BB107:BD107,0)</f>
        <v>2</v>
      </c>
      <c r="BG107" s="17" t="n">
        <f aca="false">SQRT(($B107-BG$16)^2+($C107-BG$17)^2+($D107-BG$18)^2)</f>
        <v>4.11959849304419</v>
      </c>
      <c r="BH107" s="17" t="n">
        <f aca="false">SQRT(($B107-BH$16)^2+($C107-BH$17)^2+($D107-BH$18)^2)</f>
        <v>0.290154708156126</v>
      </c>
      <c r="BI107" s="17" t="n">
        <f aca="false">SQRT(($B107-BI$16)^2+($C107-BI$17)^2+($D107-BI$18)^2)</f>
        <v>1.81215434712447</v>
      </c>
      <c r="BJ107" s="63" t="n">
        <f aca="false">MATCH(MIN(BG107:BI107),BG107:BI107,0)</f>
        <v>2</v>
      </c>
      <c r="BL107" s="17" t="n">
        <f aca="false">SQRT(($B107-BL$16)^2+($C107-BL$17)^2+($D107-BL$18)^2)</f>
        <v>4.11959849304419</v>
      </c>
      <c r="BM107" s="17" t="n">
        <f aca="false">SQRT(($B107-BM$16)^2+($C107-BM$17)^2+($D107-BM$18)^2)</f>
        <v>0.290154708156126</v>
      </c>
      <c r="BN107" s="17" t="n">
        <f aca="false">SQRT(($B107-BN$16)^2+($C107-BN$17)^2+($D107-BN$18)^2)</f>
        <v>1.81215434712447</v>
      </c>
      <c r="BO107" s="63" t="n">
        <f aca="false">MATCH(MIN(BL107:BN107),BL107:BN107,0)</f>
        <v>2</v>
      </c>
      <c r="BQ107" s="17" t="n">
        <f aca="false">SQRT(($B107-BQ$16)^2+($C107-BQ$17)^2+($D107-BQ$18)^2)</f>
        <v>4.11959849304419</v>
      </c>
      <c r="BR107" s="17" t="n">
        <f aca="false">SQRT(($B107-BR$16)^2+($C107-BR$17)^2+($D107-BR$18)^2)</f>
        <v>0.290154708156126</v>
      </c>
      <c r="BS107" s="17" t="n">
        <f aca="false">SQRT(($B107-BS$16)^2+($C107-BS$17)^2+($D107-BS$18)^2)</f>
        <v>1.81215434712447</v>
      </c>
      <c r="BT107" s="63" t="n">
        <f aca="false">MATCH(MIN(BQ107:BS107),BQ107:BS107,0)</f>
        <v>2</v>
      </c>
      <c r="BV107" s="17" t="n">
        <f aca="false">SQRT(($B107-BV$16)^2+($C107-BV$17)^2+($D107-BV$18)^2)</f>
        <v>4.11959849304419</v>
      </c>
      <c r="BW107" s="17" t="n">
        <f aca="false">SQRT(($B107-BW$16)^2+($C107-BW$17)^2+($D107-BW$18)^2)</f>
        <v>0.290154708156126</v>
      </c>
      <c r="BX107" s="17" t="n">
        <f aca="false">SQRT(($B107-BX$16)^2+($C107-BX$17)^2+($D107-BX$18)^2)</f>
        <v>1.81215434712447</v>
      </c>
      <c r="BY107" s="63" t="n">
        <f aca="false">MATCH(MIN(BV107:BX107),BV107:BX107,0)</f>
        <v>2</v>
      </c>
      <c r="CA107" s="17" t="n">
        <f aca="false">SQRT(($B107-CA$16)^2+($C107-CA$17)^2+($D107-CA$18)^2)</f>
        <v>4.11959849304419</v>
      </c>
      <c r="CB107" s="17" t="n">
        <f aca="false">SQRT(($B107-CB$16)^2+($C107-CB$17)^2+($D107-CB$18)^2)</f>
        <v>0.290154708156126</v>
      </c>
      <c r="CC107" s="17" t="n">
        <f aca="false">SQRT(($B107-CC$16)^2+($C107-CC$17)^2+($D107-CC$18)^2)</f>
        <v>1.81215434712447</v>
      </c>
      <c r="CD107" s="63" t="n">
        <f aca="false">MATCH(MIN(CA107:CC107),CA107:CC107,0)</f>
        <v>2</v>
      </c>
    </row>
    <row r="108" customFormat="false" ht="15" hidden="false" customHeight="false" outlineLevel="0" collapsed="false">
      <c r="A108" s="76" t="n">
        <f aca="false">Phase_Data!A90</f>
        <v>43972</v>
      </c>
      <c r="B108" s="17" t="n">
        <f aca="false">Phase_Data!K90</f>
        <v>1.01361681921643</v>
      </c>
      <c r="C108" s="17" t="n">
        <f aca="false">Phase_Data!L90</f>
        <v>1.16198497393105</v>
      </c>
      <c r="D108" s="17" t="n">
        <f aca="false">Phase_Data!M90</f>
        <v>1.39392930975072</v>
      </c>
      <c r="E108" s="63" t="n">
        <f aca="false">CD108</f>
        <v>2</v>
      </c>
      <c r="F108" s="38" t="n">
        <f aca="false">($B108-INDEX($L$16:$N$16,E108))^2+($C108-INDEX($L$17:$N$17,E108))^2+($D108-INDEX($L$18:$N$18,E108))^2</f>
        <v>0.0835535133834496</v>
      </c>
      <c r="G108" s="12" t="str">
        <f aca="false">INDEX($M$5:$M$7,E108)</f>
        <v>High activity</v>
      </c>
      <c r="X108" s="17" t="n">
        <f aca="false">SQRT(($B108-X$16)^2+($C108-X$17)^2+($D108-X$18)^2)</f>
        <v>4.51465393394954</v>
      </c>
      <c r="Y108" s="17" t="n">
        <f aca="false">SQRT(($B108-Y$16)^2+($C108-Y$17)^2+($D108-Y$18)^2)</f>
        <v>0.450652719471863</v>
      </c>
      <c r="Z108" s="17" t="n">
        <f aca="false">SQRT(($B108-Z$16)^2+($C108-Z$17)^2+($D108-Z$18)^2)</f>
        <v>2.72195782216197</v>
      </c>
      <c r="AA108" s="63" t="n">
        <f aca="false">MATCH(MIN(X108:Z108),X108:Z108,0)</f>
        <v>2</v>
      </c>
      <c r="AC108" s="17" t="n">
        <f aca="false">SQRT(($B108-AC$16)^2+($C108-AC$17)^2+($D108-AC$18)^2)</f>
        <v>4.13525618285016</v>
      </c>
      <c r="AD108" s="17" t="n">
        <f aca="false">SQRT(($B108-AD$16)^2+($C108-AD$17)^2+($D108-AD$18)^2)</f>
        <v>0.455172895497535</v>
      </c>
      <c r="AE108" s="17" t="n">
        <f aca="false">SQRT(($B108-AE$16)^2+($C108-AE$17)^2+($D108-AE$18)^2)</f>
        <v>1.95748745438712</v>
      </c>
      <c r="AF108" s="63" t="n">
        <f aca="false">MATCH(MIN(AC108:AE108),AC108:AE108,0)</f>
        <v>2</v>
      </c>
      <c r="AH108" s="17" t="n">
        <f aca="false">SQRT(($B108-AH$16)^2+($C108-AH$17)^2+($D108-AH$18)^2)</f>
        <v>4.2225371807687</v>
      </c>
      <c r="AI108" s="17" t="n">
        <f aca="false">SQRT(($B108-AI$16)^2+($C108-AI$17)^2+($D108-AI$18)^2)</f>
        <v>0.31198673374851</v>
      </c>
      <c r="AJ108" s="17" t="n">
        <f aca="false">SQRT(($B108-AJ$16)^2+($C108-AJ$17)^2+($D108-AJ$18)^2)</f>
        <v>1.92490272608073</v>
      </c>
      <c r="AK108" s="63" t="n">
        <f aca="false">MATCH(MIN(AH108:AJ108),AH108:AJ108,0)</f>
        <v>2</v>
      </c>
      <c r="AM108" s="17" t="n">
        <f aca="false">SQRT(($B108-AM$16)^2+($C108-AM$17)^2+($D108-AM$18)^2)</f>
        <v>4.26410486389545</v>
      </c>
      <c r="AN108" s="17" t="n">
        <f aca="false">SQRT(($B108-AN$16)^2+($C108-AN$17)^2+($D108-AN$18)^2)</f>
        <v>0.289056246055071</v>
      </c>
      <c r="AO108" s="17" t="n">
        <f aca="false">SQRT(($B108-AO$16)^2+($C108-AO$17)^2+($D108-AO$18)^2)</f>
        <v>1.93501104503581</v>
      </c>
      <c r="AP108" s="63" t="n">
        <f aca="false">MATCH(MIN(AM108:AO108),AM108:AO108,0)</f>
        <v>2</v>
      </c>
      <c r="AR108" s="17" t="n">
        <f aca="false">SQRT(($B108-AR$16)^2+($C108-AR$17)^2+($D108-AR$18)^2)</f>
        <v>4.26410486389545</v>
      </c>
      <c r="AS108" s="17" t="n">
        <f aca="false">SQRT(($B108-AS$16)^2+($C108-AS$17)^2+($D108-AS$18)^2)</f>
        <v>0.289056246055071</v>
      </c>
      <c r="AT108" s="17" t="n">
        <f aca="false">SQRT(($B108-AT$16)^2+($C108-AT$17)^2+($D108-AT$18)^2)</f>
        <v>1.93501104503581</v>
      </c>
      <c r="AU108" s="63" t="n">
        <f aca="false">MATCH(MIN(AR108:AT108),AR108:AT108,0)</f>
        <v>2</v>
      </c>
      <c r="AW108" s="17" t="n">
        <f aca="false">SQRT(($B108-AW$16)^2+($C108-AW$17)^2+($D108-AW$18)^2)</f>
        <v>4.26410486389545</v>
      </c>
      <c r="AX108" s="17" t="n">
        <f aca="false">SQRT(($B108-AX$16)^2+($C108-AX$17)^2+($D108-AX$18)^2)</f>
        <v>0.289056246055071</v>
      </c>
      <c r="AY108" s="17" t="n">
        <f aca="false">SQRT(($B108-AY$16)^2+($C108-AY$17)^2+($D108-AY$18)^2)</f>
        <v>1.93501104503581</v>
      </c>
      <c r="AZ108" s="63" t="n">
        <f aca="false">MATCH(MIN(AW108:AY108),AW108:AY108,0)</f>
        <v>2</v>
      </c>
      <c r="BB108" s="17" t="n">
        <f aca="false">SQRT(($B108-BB$16)^2+($C108-BB$17)^2+($D108-BB$18)^2)</f>
        <v>4.26410486389545</v>
      </c>
      <c r="BC108" s="17" t="n">
        <f aca="false">SQRT(($B108-BC$16)^2+($C108-BC$17)^2+($D108-BC$18)^2)</f>
        <v>0.289056246055071</v>
      </c>
      <c r="BD108" s="17" t="n">
        <f aca="false">SQRT(($B108-BD$16)^2+($C108-BD$17)^2+($D108-BD$18)^2)</f>
        <v>1.93501104503581</v>
      </c>
      <c r="BE108" s="63" t="n">
        <f aca="false">MATCH(MIN(BB108:BD108),BB108:BD108,0)</f>
        <v>2</v>
      </c>
      <c r="BG108" s="17" t="n">
        <f aca="false">SQRT(($B108-BG$16)^2+($C108-BG$17)^2+($D108-BG$18)^2)</f>
        <v>4.26410486389545</v>
      </c>
      <c r="BH108" s="17" t="n">
        <f aca="false">SQRT(($B108-BH$16)^2+($C108-BH$17)^2+($D108-BH$18)^2)</f>
        <v>0.289056246055071</v>
      </c>
      <c r="BI108" s="17" t="n">
        <f aca="false">SQRT(($B108-BI$16)^2+($C108-BI$17)^2+($D108-BI$18)^2)</f>
        <v>1.93501104503581</v>
      </c>
      <c r="BJ108" s="63" t="n">
        <f aca="false">MATCH(MIN(BG108:BI108),BG108:BI108,0)</f>
        <v>2</v>
      </c>
      <c r="BL108" s="17" t="n">
        <f aca="false">SQRT(($B108-BL$16)^2+($C108-BL$17)^2+($D108-BL$18)^2)</f>
        <v>4.26410486389545</v>
      </c>
      <c r="BM108" s="17" t="n">
        <f aca="false">SQRT(($B108-BM$16)^2+($C108-BM$17)^2+($D108-BM$18)^2)</f>
        <v>0.289056246055071</v>
      </c>
      <c r="BN108" s="17" t="n">
        <f aca="false">SQRT(($B108-BN$16)^2+($C108-BN$17)^2+($D108-BN$18)^2)</f>
        <v>1.93501104503581</v>
      </c>
      <c r="BO108" s="63" t="n">
        <f aca="false">MATCH(MIN(BL108:BN108),BL108:BN108,0)</f>
        <v>2</v>
      </c>
      <c r="BQ108" s="17" t="n">
        <f aca="false">SQRT(($B108-BQ$16)^2+($C108-BQ$17)^2+($D108-BQ$18)^2)</f>
        <v>4.26410486389545</v>
      </c>
      <c r="BR108" s="17" t="n">
        <f aca="false">SQRT(($B108-BR$16)^2+($C108-BR$17)^2+($D108-BR$18)^2)</f>
        <v>0.289056246055071</v>
      </c>
      <c r="BS108" s="17" t="n">
        <f aca="false">SQRT(($B108-BS$16)^2+($C108-BS$17)^2+($D108-BS$18)^2)</f>
        <v>1.93501104503581</v>
      </c>
      <c r="BT108" s="63" t="n">
        <f aca="false">MATCH(MIN(BQ108:BS108),BQ108:BS108,0)</f>
        <v>2</v>
      </c>
      <c r="BV108" s="17" t="n">
        <f aca="false">SQRT(($B108-BV$16)^2+($C108-BV$17)^2+($D108-BV$18)^2)</f>
        <v>4.26410486389545</v>
      </c>
      <c r="BW108" s="17" t="n">
        <f aca="false">SQRT(($B108-BW$16)^2+($C108-BW$17)^2+($D108-BW$18)^2)</f>
        <v>0.289056246055071</v>
      </c>
      <c r="BX108" s="17" t="n">
        <f aca="false">SQRT(($B108-BX$16)^2+($C108-BX$17)^2+($D108-BX$18)^2)</f>
        <v>1.93501104503581</v>
      </c>
      <c r="BY108" s="63" t="n">
        <f aca="false">MATCH(MIN(BV108:BX108),BV108:BX108,0)</f>
        <v>2</v>
      </c>
      <c r="CA108" s="17" t="n">
        <f aca="false">SQRT(($B108-CA$16)^2+($C108-CA$17)^2+($D108-CA$18)^2)</f>
        <v>4.26410486389545</v>
      </c>
      <c r="CB108" s="17" t="n">
        <f aca="false">SQRT(($B108-CB$16)^2+($C108-CB$17)^2+($D108-CB$18)^2)</f>
        <v>0.289056246055071</v>
      </c>
      <c r="CC108" s="17" t="n">
        <f aca="false">SQRT(($B108-CC$16)^2+($C108-CC$17)^2+($D108-CC$18)^2)</f>
        <v>1.93501104503581</v>
      </c>
      <c r="CD108" s="63" t="n">
        <f aca="false">MATCH(MIN(CA108:CC108),CA108:CC108,0)</f>
        <v>2</v>
      </c>
    </row>
    <row r="109" customFormat="false" ht="15" hidden="false" customHeight="false" outlineLevel="0" collapsed="false">
      <c r="A109" s="76" t="n">
        <f aca="false">Phase_Data!A91</f>
        <v>43973</v>
      </c>
      <c r="B109" s="17" t="n">
        <f aca="false">Phase_Data!K91</f>
        <v>0.860023764567693</v>
      </c>
      <c r="C109" s="17" t="n">
        <f aca="false">Phase_Data!L91</f>
        <v>1.00660047654196</v>
      </c>
      <c r="D109" s="17" t="n">
        <f aca="false">Phase_Data!M91</f>
        <v>1.52864506044593</v>
      </c>
      <c r="E109" s="63" t="n">
        <f aca="false">CD109</f>
        <v>2</v>
      </c>
      <c r="F109" s="38" t="n">
        <f aca="false">($B109-INDEX($L$16:$N$16,E109))^2+($C109-INDEX($L$17:$N$17,E109))^2+($D109-INDEX($L$18:$N$18,E109))^2</f>
        <v>0.151765528804609</v>
      </c>
      <c r="G109" s="12" t="str">
        <f aca="false">INDEX($M$5:$M$7,E109)</f>
        <v>High activity</v>
      </c>
      <c r="X109" s="17" t="n">
        <f aca="false">SQRT(($B109-X$16)^2+($C109-X$17)^2+($D109-X$18)^2)</f>
        <v>4.42466306975174</v>
      </c>
      <c r="Y109" s="17" t="n">
        <f aca="false">SQRT(($B109-Y$16)^2+($C109-Y$17)^2+($D109-Y$18)^2)</f>
        <v>0.602460029287516</v>
      </c>
      <c r="Z109" s="17" t="n">
        <f aca="false">SQRT(($B109-Z$16)^2+($C109-Z$17)^2+($D109-Z$18)^2)</f>
        <v>2.82267246267628</v>
      </c>
      <c r="AA109" s="63" t="n">
        <f aca="false">MATCH(MIN(X109:Z109),X109:Z109,0)</f>
        <v>2</v>
      </c>
      <c r="AC109" s="17" t="n">
        <f aca="false">SQRT(($B109-AC$16)^2+($C109-AC$17)^2+($D109-AC$18)^2)</f>
        <v>4.05059359002821</v>
      </c>
      <c r="AD109" s="17" t="n">
        <f aca="false">SQRT(($B109-AD$16)^2+($C109-AD$17)^2+($D109-AD$18)^2)</f>
        <v>0.465715141319844</v>
      </c>
      <c r="AE109" s="17" t="n">
        <f aca="false">SQRT(($B109-AE$16)^2+($C109-AE$17)^2+($D109-AE$18)^2)</f>
        <v>1.94357320107493</v>
      </c>
      <c r="AF109" s="63" t="n">
        <f aca="false">MATCH(MIN(AC109:AE109),AC109:AE109,0)</f>
        <v>2</v>
      </c>
      <c r="AH109" s="17" t="n">
        <f aca="false">SQRT(($B109-AH$16)^2+($C109-AH$17)^2+($D109-AH$18)^2)</f>
        <v>4.13759779321991</v>
      </c>
      <c r="AI109" s="17" t="n">
        <f aca="false">SQRT(($B109-AI$16)^2+($C109-AI$17)^2+($D109-AI$18)^2)</f>
        <v>0.392055270231758</v>
      </c>
      <c r="AJ109" s="17" t="n">
        <f aca="false">SQRT(($B109-AJ$16)^2+($C109-AJ$17)^2+($D109-AJ$18)^2)</f>
        <v>1.89789842722333</v>
      </c>
      <c r="AK109" s="63" t="n">
        <f aca="false">MATCH(MIN(AH109:AJ109),AH109:AJ109,0)</f>
        <v>2</v>
      </c>
      <c r="AM109" s="17" t="n">
        <f aca="false">SQRT(($B109-AM$16)^2+($C109-AM$17)^2+($D109-AM$18)^2)</f>
        <v>4.17875186381165</v>
      </c>
      <c r="AN109" s="17" t="n">
        <f aca="false">SQRT(($B109-AN$16)^2+($C109-AN$17)^2+($D109-AN$18)^2)</f>
        <v>0.38957095477539</v>
      </c>
      <c r="AO109" s="17" t="n">
        <f aca="false">SQRT(($B109-AO$16)^2+($C109-AO$17)^2+($D109-AO$18)^2)</f>
        <v>1.90490059382393</v>
      </c>
      <c r="AP109" s="63" t="n">
        <f aca="false">MATCH(MIN(AM109:AO109),AM109:AO109,0)</f>
        <v>2</v>
      </c>
      <c r="AR109" s="17" t="n">
        <f aca="false">SQRT(($B109-AR$16)^2+($C109-AR$17)^2+($D109-AR$18)^2)</f>
        <v>4.17875186381165</v>
      </c>
      <c r="AS109" s="17" t="n">
        <f aca="false">SQRT(($B109-AS$16)^2+($C109-AS$17)^2+($D109-AS$18)^2)</f>
        <v>0.38957095477539</v>
      </c>
      <c r="AT109" s="17" t="n">
        <f aca="false">SQRT(($B109-AT$16)^2+($C109-AT$17)^2+($D109-AT$18)^2)</f>
        <v>1.90490059382393</v>
      </c>
      <c r="AU109" s="63" t="n">
        <f aca="false">MATCH(MIN(AR109:AT109),AR109:AT109,0)</f>
        <v>2</v>
      </c>
      <c r="AW109" s="17" t="n">
        <f aca="false">SQRT(($B109-AW$16)^2+($C109-AW$17)^2+($D109-AW$18)^2)</f>
        <v>4.17875186381165</v>
      </c>
      <c r="AX109" s="17" t="n">
        <f aca="false">SQRT(($B109-AX$16)^2+($C109-AX$17)^2+($D109-AX$18)^2)</f>
        <v>0.38957095477539</v>
      </c>
      <c r="AY109" s="17" t="n">
        <f aca="false">SQRT(($B109-AY$16)^2+($C109-AY$17)^2+($D109-AY$18)^2)</f>
        <v>1.90490059382393</v>
      </c>
      <c r="AZ109" s="63" t="n">
        <f aca="false">MATCH(MIN(AW109:AY109),AW109:AY109,0)</f>
        <v>2</v>
      </c>
      <c r="BB109" s="17" t="n">
        <f aca="false">SQRT(($B109-BB$16)^2+($C109-BB$17)^2+($D109-BB$18)^2)</f>
        <v>4.17875186381165</v>
      </c>
      <c r="BC109" s="17" t="n">
        <f aca="false">SQRT(($B109-BC$16)^2+($C109-BC$17)^2+($D109-BC$18)^2)</f>
        <v>0.38957095477539</v>
      </c>
      <c r="BD109" s="17" t="n">
        <f aca="false">SQRT(($B109-BD$16)^2+($C109-BD$17)^2+($D109-BD$18)^2)</f>
        <v>1.90490059382393</v>
      </c>
      <c r="BE109" s="63" t="n">
        <f aca="false">MATCH(MIN(BB109:BD109),BB109:BD109,0)</f>
        <v>2</v>
      </c>
      <c r="BG109" s="17" t="n">
        <f aca="false">SQRT(($B109-BG$16)^2+($C109-BG$17)^2+($D109-BG$18)^2)</f>
        <v>4.17875186381165</v>
      </c>
      <c r="BH109" s="17" t="n">
        <f aca="false">SQRT(($B109-BH$16)^2+($C109-BH$17)^2+($D109-BH$18)^2)</f>
        <v>0.38957095477539</v>
      </c>
      <c r="BI109" s="17" t="n">
        <f aca="false">SQRT(($B109-BI$16)^2+($C109-BI$17)^2+($D109-BI$18)^2)</f>
        <v>1.90490059382393</v>
      </c>
      <c r="BJ109" s="63" t="n">
        <f aca="false">MATCH(MIN(BG109:BI109),BG109:BI109,0)</f>
        <v>2</v>
      </c>
      <c r="BL109" s="17" t="n">
        <f aca="false">SQRT(($B109-BL$16)^2+($C109-BL$17)^2+($D109-BL$18)^2)</f>
        <v>4.17875186381165</v>
      </c>
      <c r="BM109" s="17" t="n">
        <f aca="false">SQRT(($B109-BM$16)^2+($C109-BM$17)^2+($D109-BM$18)^2)</f>
        <v>0.38957095477539</v>
      </c>
      <c r="BN109" s="17" t="n">
        <f aca="false">SQRT(($B109-BN$16)^2+($C109-BN$17)^2+($D109-BN$18)^2)</f>
        <v>1.90490059382393</v>
      </c>
      <c r="BO109" s="63" t="n">
        <f aca="false">MATCH(MIN(BL109:BN109),BL109:BN109,0)</f>
        <v>2</v>
      </c>
      <c r="BQ109" s="17" t="n">
        <f aca="false">SQRT(($B109-BQ$16)^2+($C109-BQ$17)^2+($D109-BQ$18)^2)</f>
        <v>4.17875186381165</v>
      </c>
      <c r="BR109" s="17" t="n">
        <f aca="false">SQRT(($B109-BR$16)^2+($C109-BR$17)^2+($D109-BR$18)^2)</f>
        <v>0.38957095477539</v>
      </c>
      <c r="BS109" s="17" t="n">
        <f aca="false">SQRT(($B109-BS$16)^2+($C109-BS$17)^2+($D109-BS$18)^2)</f>
        <v>1.90490059382393</v>
      </c>
      <c r="BT109" s="63" t="n">
        <f aca="false">MATCH(MIN(BQ109:BS109),BQ109:BS109,0)</f>
        <v>2</v>
      </c>
      <c r="BV109" s="17" t="n">
        <f aca="false">SQRT(($B109-BV$16)^2+($C109-BV$17)^2+($D109-BV$18)^2)</f>
        <v>4.17875186381165</v>
      </c>
      <c r="BW109" s="17" t="n">
        <f aca="false">SQRT(($B109-BW$16)^2+($C109-BW$17)^2+($D109-BW$18)^2)</f>
        <v>0.38957095477539</v>
      </c>
      <c r="BX109" s="17" t="n">
        <f aca="false">SQRT(($B109-BX$16)^2+($C109-BX$17)^2+($D109-BX$18)^2)</f>
        <v>1.90490059382393</v>
      </c>
      <c r="BY109" s="63" t="n">
        <f aca="false">MATCH(MIN(BV109:BX109),BV109:BX109,0)</f>
        <v>2</v>
      </c>
      <c r="CA109" s="17" t="n">
        <f aca="false">SQRT(($B109-CA$16)^2+($C109-CA$17)^2+($D109-CA$18)^2)</f>
        <v>4.17875186381165</v>
      </c>
      <c r="CB109" s="17" t="n">
        <f aca="false">SQRT(($B109-CB$16)^2+($C109-CB$17)^2+($D109-CB$18)^2)</f>
        <v>0.38957095477539</v>
      </c>
      <c r="CC109" s="17" t="n">
        <f aca="false">SQRT(($B109-CC$16)^2+($C109-CC$17)^2+($D109-CC$18)^2)</f>
        <v>1.90490059382393</v>
      </c>
      <c r="CD109" s="63" t="n">
        <f aca="false">MATCH(MIN(CA109:CC109),CA109:CC109,0)</f>
        <v>2</v>
      </c>
    </row>
    <row r="110" customFormat="false" ht="15" hidden="false" customHeight="false" outlineLevel="0" collapsed="false">
      <c r="A110" s="76" t="n">
        <f aca="false">Phase_Data!A92</f>
        <v>43974</v>
      </c>
      <c r="B110" s="17" t="n">
        <f aca="false">Phase_Data!K92</f>
        <v>0.930166414867542</v>
      </c>
      <c r="C110" s="17" t="n">
        <f aca="false">Phase_Data!L92</f>
        <v>0.966647501979047</v>
      </c>
      <c r="D110" s="17" t="n">
        <f aca="false">Phase_Data!M92</f>
        <v>1.15037303315912</v>
      </c>
      <c r="E110" s="63" t="n">
        <f aca="false">CD110</f>
        <v>2</v>
      </c>
      <c r="F110" s="38" t="n">
        <f aca="false">($B110-INDEX($L$16:$N$16,E110))^2+($C110-INDEX($L$17:$N$17,E110))^2+($D110-INDEX($L$18:$N$18,E110))^2</f>
        <v>0.0184165137996815</v>
      </c>
      <c r="G110" s="12" t="str">
        <f aca="false">INDEX($M$5:$M$7,E110)</f>
        <v>High activity</v>
      </c>
      <c r="X110" s="17" t="n">
        <f aca="false">SQRT(($B110-X$16)^2+($C110-X$17)^2+($D110-X$18)^2)</f>
        <v>4.21321134945571</v>
      </c>
      <c r="Y110" s="17" t="n">
        <f aca="false">SQRT(($B110-Y$16)^2+($C110-Y$17)^2+($D110-Y$18)^2)</f>
        <v>0.765440772156658</v>
      </c>
      <c r="Z110" s="17" t="n">
        <f aca="false">SQRT(($B110-Z$16)^2+($C110-Z$17)^2+($D110-Z$18)^2)</f>
        <v>2.45018785188923</v>
      </c>
      <c r="AA110" s="63" t="n">
        <f aca="false">MATCH(MIN(X110:Z110),X110:Z110,0)</f>
        <v>2</v>
      </c>
      <c r="AC110" s="17" t="n">
        <f aca="false">SQRT(($B110-AC$16)^2+($C110-AC$17)^2+($D110-AC$18)^2)</f>
        <v>3.8297033290265</v>
      </c>
      <c r="AD110" s="17" t="n">
        <f aca="false">SQRT(($B110-AD$16)^2+($C110-AD$17)^2+($D110-AD$18)^2)</f>
        <v>0.172696710956032</v>
      </c>
      <c r="AE110" s="17" t="n">
        <f aca="false">SQRT(($B110-AE$16)^2+($C110-AE$17)^2+($D110-AE$18)^2)</f>
        <v>1.63816605160576</v>
      </c>
      <c r="AF110" s="63" t="n">
        <f aca="false">MATCH(MIN(AC110:AE110),AC110:AE110,0)</f>
        <v>2</v>
      </c>
      <c r="AH110" s="17" t="n">
        <f aca="false">SQRT(($B110-AH$16)^2+($C110-AH$17)^2+($D110-AH$18)^2)</f>
        <v>3.91752744634774</v>
      </c>
      <c r="AI110" s="17" t="n">
        <f aca="false">SQRT(($B110-AI$16)^2+($C110-AI$17)^2+($D110-AI$18)^2)</f>
        <v>0.114165930365661</v>
      </c>
      <c r="AJ110" s="17" t="n">
        <f aca="false">SQRT(($B110-AJ$16)^2+($C110-AJ$17)^2+($D110-AJ$18)^2)</f>
        <v>1.60566137908894</v>
      </c>
      <c r="AK110" s="63" t="n">
        <f aca="false">MATCH(MIN(AH110:AJ110),AH110:AJ110,0)</f>
        <v>2</v>
      </c>
      <c r="AM110" s="17" t="n">
        <f aca="false">SQRT(($B110-AM$16)^2+($C110-AM$17)^2+($D110-AM$18)^2)</f>
        <v>3.95956596632641</v>
      </c>
      <c r="AN110" s="17" t="n">
        <f aca="false">SQRT(($B110-AN$16)^2+($C110-AN$17)^2+($D110-AN$18)^2)</f>
        <v>0.135707456684154</v>
      </c>
      <c r="AO110" s="17" t="n">
        <f aca="false">SQRT(($B110-AO$16)^2+($C110-AO$17)^2+($D110-AO$18)^2)</f>
        <v>1.61563666224992</v>
      </c>
      <c r="AP110" s="63" t="n">
        <f aca="false">MATCH(MIN(AM110:AO110),AM110:AO110,0)</f>
        <v>2</v>
      </c>
      <c r="AR110" s="17" t="n">
        <f aca="false">SQRT(($B110-AR$16)^2+($C110-AR$17)^2+($D110-AR$18)^2)</f>
        <v>3.95956596632641</v>
      </c>
      <c r="AS110" s="17" t="n">
        <f aca="false">SQRT(($B110-AS$16)^2+($C110-AS$17)^2+($D110-AS$18)^2)</f>
        <v>0.135707456684154</v>
      </c>
      <c r="AT110" s="17" t="n">
        <f aca="false">SQRT(($B110-AT$16)^2+($C110-AT$17)^2+($D110-AT$18)^2)</f>
        <v>1.61563666224992</v>
      </c>
      <c r="AU110" s="63" t="n">
        <f aca="false">MATCH(MIN(AR110:AT110),AR110:AT110,0)</f>
        <v>2</v>
      </c>
      <c r="AW110" s="17" t="n">
        <f aca="false">SQRT(($B110-AW$16)^2+($C110-AW$17)^2+($D110-AW$18)^2)</f>
        <v>3.95956596632641</v>
      </c>
      <c r="AX110" s="17" t="n">
        <f aca="false">SQRT(($B110-AX$16)^2+($C110-AX$17)^2+($D110-AX$18)^2)</f>
        <v>0.135707456684154</v>
      </c>
      <c r="AY110" s="17" t="n">
        <f aca="false">SQRT(($B110-AY$16)^2+($C110-AY$17)^2+($D110-AY$18)^2)</f>
        <v>1.61563666224992</v>
      </c>
      <c r="AZ110" s="63" t="n">
        <f aca="false">MATCH(MIN(AW110:AY110),AW110:AY110,0)</f>
        <v>2</v>
      </c>
      <c r="BB110" s="17" t="n">
        <f aca="false">SQRT(($B110-BB$16)^2+($C110-BB$17)^2+($D110-BB$18)^2)</f>
        <v>3.95956596632641</v>
      </c>
      <c r="BC110" s="17" t="n">
        <f aca="false">SQRT(($B110-BC$16)^2+($C110-BC$17)^2+($D110-BC$18)^2)</f>
        <v>0.135707456684154</v>
      </c>
      <c r="BD110" s="17" t="n">
        <f aca="false">SQRT(($B110-BD$16)^2+($C110-BD$17)^2+($D110-BD$18)^2)</f>
        <v>1.61563666224992</v>
      </c>
      <c r="BE110" s="63" t="n">
        <f aca="false">MATCH(MIN(BB110:BD110),BB110:BD110,0)</f>
        <v>2</v>
      </c>
      <c r="BG110" s="17" t="n">
        <f aca="false">SQRT(($B110-BG$16)^2+($C110-BG$17)^2+($D110-BG$18)^2)</f>
        <v>3.95956596632641</v>
      </c>
      <c r="BH110" s="17" t="n">
        <f aca="false">SQRT(($B110-BH$16)^2+($C110-BH$17)^2+($D110-BH$18)^2)</f>
        <v>0.135707456684154</v>
      </c>
      <c r="BI110" s="17" t="n">
        <f aca="false">SQRT(($B110-BI$16)^2+($C110-BI$17)^2+($D110-BI$18)^2)</f>
        <v>1.61563666224992</v>
      </c>
      <c r="BJ110" s="63" t="n">
        <f aca="false">MATCH(MIN(BG110:BI110),BG110:BI110,0)</f>
        <v>2</v>
      </c>
      <c r="BL110" s="17" t="n">
        <f aca="false">SQRT(($B110-BL$16)^2+($C110-BL$17)^2+($D110-BL$18)^2)</f>
        <v>3.95956596632641</v>
      </c>
      <c r="BM110" s="17" t="n">
        <f aca="false">SQRT(($B110-BM$16)^2+($C110-BM$17)^2+($D110-BM$18)^2)</f>
        <v>0.135707456684154</v>
      </c>
      <c r="BN110" s="17" t="n">
        <f aca="false">SQRT(($B110-BN$16)^2+($C110-BN$17)^2+($D110-BN$18)^2)</f>
        <v>1.61563666224992</v>
      </c>
      <c r="BO110" s="63" t="n">
        <f aca="false">MATCH(MIN(BL110:BN110),BL110:BN110,0)</f>
        <v>2</v>
      </c>
      <c r="BQ110" s="17" t="n">
        <f aca="false">SQRT(($B110-BQ$16)^2+($C110-BQ$17)^2+($D110-BQ$18)^2)</f>
        <v>3.95956596632641</v>
      </c>
      <c r="BR110" s="17" t="n">
        <f aca="false">SQRT(($B110-BR$16)^2+($C110-BR$17)^2+($D110-BR$18)^2)</f>
        <v>0.135707456684154</v>
      </c>
      <c r="BS110" s="17" t="n">
        <f aca="false">SQRT(($B110-BS$16)^2+($C110-BS$17)^2+($D110-BS$18)^2)</f>
        <v>1.61563666224992</v>
      </c>
      <c r="BT110" s="63" t="n">
        <f aca="false">MATCH(MIN(BQ110:BS110),BQ110:BS110,0)</f>
        <v>2</v>
      </c>
      <c r="BV110" s="17" t="n">
        <f aca="false">SQRT(($B110-BV$16)^2+($C110-BV$17)^2+($D110-BV$18)^2)</f>
        <v>3.95956596632641</v>
      </c>
      <c r="BW110" s="17" t="n">
        <f aca="false">SQRT(($B110-BW$16)^2+($C110-BW$17)^2+($D110-BW$18)^2)</f>
        <v>0.135707456684154</v>
      </c>
      <c r="BX110" s="17" t="n">
        <f aca="false">SQRT(($B110-BX$16)^2+($C110-BX$17)^2+($D110-BX$18)^2)</f>
        <v>1.61563666224992</v>
      </c>
      <c r="BY110" s="63" t="n">
        <f aca="false">MATCH(MIN(BV110:BX110),BV110:BX110,0)</f>
        <v>2</v>
      </c>
      <c r="CA110" s="17" t="n">
        <f aca="false">SQRT(($B110-CA$16)^2+($C110-CA$17)^2+($D110-CA$18)^2)</f>
        <v>3.95956596632641</v>
      </c>
      <c r="CB110" s="17" t="n">
        <f aca="false">SQRT(($B110-CB$16)^2+($C110-CB$17)^2+($D110-CB$18)^2)</f>
        <v>0.135707456684154</v>
      </c>
      <c r="CC110" s="17" t="n">
        <f aca="false">SQRT(($B110-CC$16)^2+($C110-CC$17)^2+($D110-CC$18)^2)</f>
        <v>1.61563666224992</v>
      </c>
      <c r="CD110" s="63" t="n">
        <f aca="false">MATCH(MIN(CA110:CC110),CA110:CC110,0)</f>
        <v>2</v>
      </c>
    </row>
    <row r="111" customFormat="false" ht="15" hidden="false" customHeight="false" outlineLevel="0" collapsed="false">
      <c r="A111" s="76" t="n">
        <f aca="false">Phase_Data!A93</f>
        <v>43975</v>
      </c>
      <c r="B111" s="17" t="n">
        <f aca="false">Phase_Data!K93</f>
        <v>0.863702190044808</v>
      </c>
      <c r="C111" s="17" t="n">
        <f aca="false">Phase_Data!L93</f>
        <v>1.00660047654196</v>
      </c>
      <c r="D111" s="17" t="n">
        <f aca="false">Phase_Data!M93</f>
        <v>0.901009345282723</v>
      </c>
      <c r="E111" s="63" t="n">
        <f aca="false">CD111</f>
        <v>2</v>
      </c>
      <c r="F111" s="38" t="n">
        <f aca="false">($B111-INDEX($L$16:$N$16,E111))^2+($C111-INDEX($L$17:$N$17,E111))^2+($D111-INDEX($L$18:$N$18,E111))^2</f>
        <v>0.0688596835110831</v>
      </c>
      <c r="G111" s="12" t="str">
        <f aca="false">INDEX($M$5:$M$7,E111)</f>
        <v>High activity</v>
      </c>
      <c r="X111" s="17" t="n">
        <f aca="false">SQRT(($B111-X$16)^2+($C111-X$17)^2+($D111-X$18)^2)</f>
        <v>4.05790314876089</v>
      </c>
      <c r="Y111" s="17" t="n">
        <f aca="false">SQRT(($B111-Y$16)^2+($C111-Y$17)^2+($D111-Y$18)^2)</f>
        <v>0.947093285792679</v>
      </c>
      <c r="Z111" s="17" t="n">
        <f aca="false">SQRT(($B111-Z$16)^2+($C111-Z$17)^2+($D111-Z$18)^2)</f>
        <v>2.20000943889114</v>
      </c>
      <c r="AA111" s="63" t="n">
        <f aca="false">MATCH(MIN(X111:Z111),X111:Z111,0)</f>
        <v>2</v>
      </c>
      <c r="AC111" s="17" t="n">
        <f aca="false">SQRT(($B111-AC$16)^2+($C111-AC$17)^2+($D111-AC$18)^2)</f>
        <v>3.67378210012441</v>
      </c>
      <c r="AD111" s="17" t="n">
        <f aca="false">SQRT(($B111-AD$16)^2+($C111-AD$17)^2+($D111-AD$18)^2)</f>
        <v>0.206164250867038</v>
      </c>
      <c r="AE111" s="17" t="n">
        <f aca="false">SQRT(($B111-AE$16)^2+($C111-AE$17)^2+($D111-AE$18)^2)</f>
        <v>1.44747294098643</v>
      </c>
      <c r="AF111" s="63" t="n">
        <f aca="false">MATCH(MIN(AC111:AE111),AC111:AE111,0)</f>
        <v>2</v>
      </c>
      <c r="AH111" s="17" t="n">
        <f aca="false">SQRT(($B111-AH$16)^2+($C111-AH$17)^2+($D111-AH$18)^2)</f>
        <v>3.76091369938778</v>
      </c>
      <c r="AI111" s="17" t="n">
        <f aca="false">SQRT(($B111-AI$16)^2+($C111-AI$17)^2+($D111-AI$18)^2)</f>
        <v>0.244853802579789</v>
      </c>
      <c r="AJ111" s="17" t="n">
        <f aca="false">SQRT(($B111-AJ$16)^2+($C111-AJ$17)^2+($D111-AJ$18)^2)</f>
        <v>1.42618395511244</v>
      </c>
      <c r="AK111" s="63" t="n">
        <f aca="false">MATCH(MIN(AH111:AJ111),AH111:AJ111,0)</f>
        <v>2</v>
      </c>
      <c r="AM111" s="17" t="n">
        <f aca="false">SQRT(($B111-AM$16)^2+($C111-AM$17)^2+($D111-AM$18)^2)</f>
        <v>3.80275426264946</v>
      </c>
      <c r="AN111" s="17" t="n">
        <f aca="false">SQRT(($B111-AN$16)^2+($C111-AN$17)^2+($D111-AN$18)^2)</f>
        <v>0.262411286935381</v>
      </c>
      <c r="AO111" s="17" t="n">
        <f aca="false">SQRT(($B111-AO$16)^2+($C111-AO$17)^2+($D111-AO$18)^2)</f>
        <v>1.43942147849589</v>
      </c>
      <c r="AP111" s="63" t="n">
        <f aca="false">MATCH(MIN(AM111:AO111),AM111:AO111,0)</f>
        <v>2</v>
      </c>
      <c r="AR111" s="17" t="n">
        <f aca="false">SQRT(($B111-AR$16)^2+($C111-AR$17)^2+($D111-AR$18)^2)</f>
        <v>3.80275426264946</v>
      </c>
      <c r="AS111" s="17" t="n">
        <f aca="false">SQRT(($B111-AS$16)^2+($C111-AS$17)^2+($D111-AS$18)^2)</f>
        <v>0.262411286935381</v>
      </c>
      <c r="AT111" s="17" t="n">
        <f aca="false">SQRT(($B111-AT$16)^2+($C111-AT$17)^2+($D111-AT$18)^2)</f>
        <v>1.43942147849589</v>
      </c>
      <c r="AU111" s="63" t="n">
        <f aca="false">MATCH(MIN(AR111:AT111),AR111:AT111,0)</f>
        <v>2</v>
      </c>
      <c r="AW111" s="17" t="n">
        <f aca="false">SQRT(($B111-AW$16)^2+($C111-AW$17)^2+($D111-AW$18)^2)</f>
        <v>3.80275426264946</v>
      </c>
      <c r="AX111" s="17" t="n">
        <f aca="false">SQRT(($B111-AX$16)^2+($C111-AX$17)^2+($D111-AX$18)^2)</f>
        <v>0.262411286935381</v>
      </c>
      <c r="AY111" s="17" t="n">
        <f aca="false">SQRT(($B111-AY$16)^2+($C111-AY$17)^2+($D111-AY$18)^2)</f>
        <v>1.43942147849589</v>
      </c>
      <c r="AZ111" s="63" t="n">
        <f aca="false">MATCH(MIN(AW111:AY111),AW111:AY111,0)</f>
        <v>2</v>
      </c>
      <c r="BB111" s="17" t="n">
        <f aca="false">SQRT(($B111-BB$16)^2+($C111-BB$17)^2+($D111-BB$18)^2)</f>
        <v>3.80275426264946</v>
      </c>
      <c r="BC111" s="17" t="n">
        <f aca="false">SQRT(($B111-BC$16)^2+($C111-BC$17)^2+($D111-BC$18)^2)</f>
        <v>0.262411286935381</v>
      </c>
      <c r="BD111" s="17" t="n">
        <f aca="false">SQRT(($B111-BD$16)^2+($C111-BD$17)^2+($D111-BD$18)^2)</f>
        <v>1.43942147849589</v>
      </c>
      <c r="BE111" s="63" t="n">
        <f aca="false">MATCH(MIN(BB111:BD111),BB111:BD111,0)</f>
        <v>2</v>
      </c>
      <c r="BG111" s="17" t="n">
        <f aca="false">SQRT(($B111-BG$16)^2+($C111-BG$17)^2+($D111-BG$18)^2)</f>
        <v>3.80275426264946</v>
      </c>
      <c r="BH111" s="17" t="n">
        <f aca="false">SQRT(($B111-BH$16)^2+($C111-BH$17)^2+($D111-BH$18)^2)</f>
        <v>0.262411286935381</v>
      </c>
      <c r="BI111" s="17" t="n">
        <f aca="false">SQRT(($B111-BI$16)^2+($C111-BI$17)^2+($D111-BI$18)^2)</f>
        <v>1.43942147849589</v>
      </c>
      <c r="BJ111" s="63" t="n">
        <f aca="false">MATCH(MIN(BG111:BI111),BG111:BI111,0)</f>
        <v>2</v>
      </c>
      <c r="BL111" s="17" t="n">
        <f aca="false">SQRT(($B111-BL$16)^2+($C111-BL$17)^2+($D111-BL$18)^2)</f>
        <v>3.80275426264946</v>
      </c>
      <c r="BM111" s="17" t="n">
        <f aca="false">SQRT(($B111-BM$16)^2+($C111-BM$17)^2+($D111-BM$18)^2)</f>
        <v>0.262411286935381</v>
      </c>
      <c r="BN111" s="17" t="n">
        <f aca="false">SQRT(($B111-BN$16)^2+($C111-BN$17)^2+($D111-BN$18)^2)</f>
        <v>1.43942147849589</v>
      </c>
      <c r="BO111" s="63" t="n">
        <f aca="false">MATCH(MIN(BL111:BN111),BL111:BN111,0)</f>
        <v>2</v>
      </c>
      <c r="BQ111" s="17" t="n">
        <f aca="false">SQRT(($B111-BQ$16)^2+($C111-BQ$17)^2+($D111-BQ$18)^2)</f>
        <v>3.80275426264946</v>
      </c>
      <c r="BR111" s="17" t="n">
        <f aca="false">SQRT(($B111-BR$16)^2+($C111-BR$17)^2+($D111-BR$18)^2)</f>
        <v>0.262411286935381</v>
      </c>
      <c r="BS111" s="17" t="n">
        <f aca="false">SQRT(($B111-BS$16)^2+($C111-BS$17)^2+($D111-BS$18)^2)</f>
        <v>1.43942147849589</v>
      </c>
      <c r="BT111" s="63" t="n">
        <f aca="false">MATCH(MIN(BQ111:BS111),BQ111:BS111,0)</f>
        <v>2</v>
      </c>
      <c r="BV111" s="17" t="n">
        <f aca="false">SQRT(($B111-BV$16)^2+($C111-BV$17)^2+($D111-BV$18)^2)</f>
        <v>3.80275426264946</v>
      </c>
      <c r="BW111" s="17" t="n">
        <f aca="false">SQRT(($B111-BW$16)^2+($C111-BW$17)^2+($D111-BW$18)^2)</f>
        <v>0.262411286935381</v>
      </c>
      <c r="BX111" s="17" t="n">
        <f aca="false">SQRT(($B111-BX$16)^2+($C111-BX$17)^2+($D111-BX$18)^2)</f>
        <v>1.43942147849589</v>
      </c>
      <c r="BY111" s="63" t="n">
        <f aca="false">MATCH(MIN(BV111:BX111),BV111:BX111,0)</f>
        <v>2</v>
      </c>
      <c r="CA111" s="17" t="n">
        <f aca="false">SQRT(($B111-CA$16)^2+($C111-CA$17)^2+($D111-CA$18)^2)</f>
        <v>3.80275426264946</v>
      </c>
      <c r="CB111" s="17" t="n">
        <f aca="false">SQRT(($B111-CB$16)^2+($C111-CB$17)^2+($D111-CB$18)^2)</f>
        <v>0.262411286935381</v>
      </c>
      <c r="CC111" s="17" t="n">
        <f aca="false">SQRT(($B111-CC$16)^2+($C111-CC$17)^2+($D111-CC$18)^2)</f>
        <v>1.43942147849589</v>
      </c>
      <c r="CD111" s="63" t="n">
        <f aca="false">MATCH(MIN(CA111:CC111),CA111:CC111,0)</f>
        <v>2</v>
      </c>
    </row>
    <row r="112" customFormat="false" ht="15" hidden="false" customHeight="false" outlineLevel="0" collapsed="false">
      <c r="A112" s="76" t="n">
        <f aca="false">Phase_Data!A94</f>
        <v>43976</v>
      </c>
      <c r="B112" s="17" t="n">
        <f aca="false">Phase_Data!K94</f>
        <v>0.763277840709552</v>
      </c>
      <c r="C112" s="17" t="n">
        <f aca="false">Phase_Data!L94</f>
        <v>0.92419588734005</v>
      </c>
      <c r="D112" s="17" t="n">
        <f aca="false">Phase_Data!M94</f>
        <v>1.31673609533249</v>
      </c>
      <c r="E112" s="63" t="n">
        <f aca="false">CD112</f>
        <v>2</v>
      </c>
      <c r="F112" s="38" t="n">
        <f aca="false">($B112-INDEX($L$16:$N$16,E112))^2+($C112-INDEX($L$17:$N$17,E112))^2+($D112-INDEX($L$18:$N$18,E112))^2</f>
        <v>0.0692478970600698</v>
      </c>
      <c r="G112" s="12" t="str">
        <f aca="false">INDEX($M$5:$M$7,E112)</f>
        <v>High activity</v>
      </c>
      <c r="X112" s="17" t="n">
        <f aca="false">SQRT(($B112-X$16)^2+($C112-X$17)^2+($D112-X$18)^2)</f>
        <v>4.19314620918407</v>
      </c>
      <c r="Y112" s="17" t="n">
        <f aca="false">SQRT(($B112-Y$16)^2+($C112-Y$17)^2+($D112-Y$18)^2)</f>
        <v>0.786851575502896</v>
      </c>
      <c r="Z112" s="17" t="n">
        <f aca="false">SQRT(($B112-Z$16)^2+($C112-Z$17)^2+($D112-Z$18)^2)</f>
        <v>2.60060534815784</v>
      </c>
      <c r="AA112" s="63" t="n">
        <f aca="false">MATCH(MIN(X112:Z112),X112:Z112,0)</f>
        <v>2</v>
      </c>
      <c r="AC112" s="17" t="n">
        <f aca="false">SQRT(($B112-AC$16)^2+($C112-AC$17)^2+($D112-AC$18)^2)</f>
        <v>3.8175289962039</v>
      </c>
      <c r="AD112" s="17" t="n">
        <f aca="false">SQRT(($B112-AD$16)^2+($C112-AD$17)^2+($D112-AD$18)^2)</f>
        <v>0.242169254158791</v>
      </c>
      <c r="AE112" s="17" t="n">
        <f aca="false">SQRT(($B112-AE$16)^2+($C112-AE$17)^2+($D112-AE$18)^2)</f>
        <v>1.69954753234624</v>
      </c>
      <c r="AF112" s="63" t="n">
        <f aca="false">MATCH(MIN(AC112:AE112),AC112:AE112,0)</f>
        <v>2</v>
      </c>
      <c r="AH112" s="17" t="n">
        <f aca="false">SQRT(($B112-AH$16)^2+($C112-AH$17)^2+($D112-AH$18)^2)</f>
        <v>3.90453076133693</v>
      </c>
      <c r="AI112" s="17" t="n">
        <f aca="false">SQRT(($B112-AI$16)^2+($C112-AI$17)^2+($D112-AI$18)^2)</f>
        <v>0.244051723806675</v>
      </c>
      <c r="AJ112" s="17" t="n">
        <f aca="false">SQRT(($B112-AJ$16)^2+($C112-AJ$17)^2+($D112-AJ$18)^2)</f>
        <v>1.65452799770111</v>
      </c>
      <c r="AK112" s="63" t="n">
        <f aca="false">MATCH(MIN(AH112:AJ112),AH112:AJ112,0)</f>
        <v>2</v>
      </c>
      <c r="AM112" s="17" t="n">
        <f aca="false">SQRT(($B112-AM$16)^2+($C112-AM$17)^2+($D112-AM$18)^2)</f>
        <v>3.94576237992606</v>
      </c>
      <c r="AN112" s="17" t="n">
        <f aca="false">SQRT(($B112-AN$16)^2+($C112-AN$17)^2+($D112-AN$18)^2)</f>
        <v>0.263149951662678</v>
      </c>
      <c r="AO112" s="17" t="n">
        <f aca="false">SQRT(($B112-AO$16)^2+($C112-AO$17)^2+($D112-AO$18)^2)</f>
        <v>1.66205480938281</v>
      </c>
      <c r="AP112" s="63" t="n">
        <f aca="false">MATCH(MIN(AM112:AO112),AM112:AO112,0)</f>
        <v>2</v>
      </c>
      <c r="AR112" s="17" t="n">
        <f aca="false">SQRT(($B112-AR$16)^2+($C112-AR$17)^2+($D112-AR$18)^2)</f>
        <v>3.94576237992606</v>
      </c>
      <c r="AS112" s="17" t="n">
        <f aca="false">SQRT(($B112-AS$16)^2+($C112-AS$17)^2+($D112-AS$18)^2)</f>
        <v>0.263149951662678</v>
      </c>
      <c r="AT112" s="17" t="n">
        <f aca="false">SQRT(($B112-AT$16)^2+($C112-AT$17)^2+($D112-AT$18)^2)</f>
        <v>1.66205480938281</v>
      </c>
      <c r="AU112" s="63" t="n">
        <f aca="false">MATCH(MIN(AR112:AT112),AR112:AT112,0)</f>
        <v>2</v>
      </c>
      <c r="AW112" s="17" t="n">
        <f aca="false">SQRT(($B112-AW$16)^2+($C112-AW$17)^2+($D112-AW$18)^2)</f>
        <v>3.94576237992606</v>
      </c>
      <c r="AX112" s="17" t="n">
        <f aca="false">SQRT(($B112-AX$16)^2+($C112-AX$17)^2+($D112-AX$18)^2)</f>
        <v>0.263149951662678</v>
      </c>
      <c r="AY112" s="17" t="n">
        <f aca="false">SQRT(($B112-AY$16)^2+($C112-AY$17)^2+($D112-AY$18)^2)</f>
        <v>1.66205480938281</v>
      </c>
      <c r="AZ112" s="63" t="n">
        <f aca="false">MATCH(MIN(AW112:AY112),AW112:AY112,0)</f>
        <v>2</v>
      </c>
      <c r="BB112" s="17" t="n">
        <f aca="false">SQRT(($B112-BB$16)^2+($C112-BB$17)^2+($D112-BB$18)^2)</f>
        <v>3.94576237992606</v>
      </c>
      <c r="BC112" s="17" t="n">
        <f aca="false">SQRT(($B112-BC$16)^2+($C112-BC$17)^2+($D112-BC$18)^2)</f>
        <v>0.263149951662678</v>
      </c>
      <c r="BD112" s="17" t="n">
        <f aca="false">SQRT(($B112-BD$16)^2+($C112-BD$17)^2+($D112-BD$18)^2)</f>
        <v>1.66205480938281</v>
      </c>
      <c r="BE112" s="63" t="n">
        <f aca="false">MATCH(MIN(BB112:BD112),BB112:BD112,0)</f>
        <v>2</v>
      </c>
      <c r="BG112" s="17" t="n">
        <f aca="false">SQRT(($B112-BG$16)^2+($C112-BG$17)^2+($D112-BG$18)^2)</f>
        <v>3.94576237992606</v>
      </c>
      <c r="BH112" s="17" t="n">
        <f aca="false">SQRT(($B112-BH$16)^2+($C112-BH$17)^2+($D112-BH$18)^2)</f>
        <v>0.263149951662678</v>
      </c>
      <c r="BI112" s="17" t="n">
        <f aca="false">SQRT(($B112-BI$16)^2+($C112-BI$17)^2+($D112-BI$18)^2)</f>
        <v>1.66205480938281</v>
      </c>
      <c r="BJ112" s="63" t="n">
        <f aca="false">MATCH(MIN(BG112:BI112),BG112:BI112,0)</f>
        <v>2</v>
      </c>
      <c r="BL112" s="17" t="n">
        <f aca="false">SQRT(($B112-BL$16)^2+($C112-BL$17)^2+($D112-BL$18)^2)</f>
        <v>3.94576237992606</v>
      </c>
      <c r="BM112" s="17" t="n">
        <f aca="false">SQRT(($B112-BM$16)^2+($C112-BM$17)^2+($D112-BM$18)^2)</f>
        <v>0.263149951662678</v>
      </c>
      <c r="BN112" s="17" t="n">
        <f aca="false">SQRT(($B112-BN$16)^2+($C112-BN$17)^2+($D112-BN$18)^2)</f>
        <v>1.66205480938281</v>
      </c>
      <c r="BO112" s="63" t="n">
        <f aca="false">MATCH(MIN(BL112:BN112),BL112:BN112,0)</f>
        <v>2</v>
      </c>
      <c r="BQ112" s="17" t="n">
        <f aca="false">SQRT(($B112-BQ$16)^2+($C112-BQ$17)^2+($D112-BQ$18)^2)</f>
        <v>3.94576237992606</v>
      </c>
      <c r="BR112" s="17" t="n">
        <f aca="false">SQRT(($B112-BR$16)^2+($C112-BR$17)^2+($D112-BR$18)^2)</f>
        <v>0.263149951662678</v>
      </c>
      <c r="BS112" s="17" t="n">
        <f aca="false">SQRT(($B112-BS$16)^2+($C112-BS$17)^2+($D112-BS$18)^2)</f>
        <v>1.66205480938281</v>
      </c>
      <c r="BT112" s="63" t="n">
        <f aca="false">MATCH(MIN(BQ112:BS112),BQ112:BS112,0)</f>
        <v>2</v>
      </c>
      <c r="BV112" s="17" t="n">
        <f aca="false">SQRT(($B112-BV$16)^2+($C112-BV$17)^2+($D112-BV$18)^2)</f>
        <v>3.94576237992606</v>
      </c>
      <c r="BW112" s="17" t="n">
        <f aca="false">SQRT(($B112-BW$16)^2+($C112-BW$17)^2+($D112-BW$18)^2)</f>
        <v>0.263149951662678</v>
      </c>
      <c r="BX112" s="17" t="n">
        <f aca="false">SQRT(($B112-BX$16)^2+($C112-BX$17)^2+($D112-BX$18)^2)</f>
        <v>1.66205480938281</v>
      </c>
      <c r="BY112" s="63" t="n">
        <f aca="false">MATCH(MIN(BV112:BX112),BV112:BX112,0)</f>
        <v>2</v>
      </c>
      <c r="CA112" s="17" t="n">
        <f aca="false">SQRT(($B112-CA$16)^2+($C112-CA$17)^2+($D112-CA$18)^2)</f>
        <v>3.94576237992606</v>
      </c>
      <c r="CB112" s="17" t="n">
        <f aca="false">SQRT(($B112-CB$16)^2+($C112-CB$17)^2+($D112-CB$18)^2)</f>
        <v>0.263149951662678</v>
      </c>
      <c r="CC112" s="17" t="n">
        <f aca="false">SQRT(($B112-CC$16)^2+($C112-CC$17)^2+($D112-CC$18)^2)</f>
        <v>1.66205480938281</v>
      </c>
      <c r="CD112" s="63" t="n">
        <f aca="false">MATCH(MIN(CA112:CC112),CA112:CC112,0)</f>
        <v>2</v>
      </c>
    </row>
    <row r="113" customFormat="false" ht="15" hidden="false" customHeight="false" outlineLevel="0" collapsed="false">
      <c r="A113" s="76" t="n">
        <f aca="false">Phase_Data!A95</f>
        <v>43977</v>
      </c>
      <c r="B113" s="17" t="n">
        <f aca="false">Phase_Data!K95</f>
        <v>0.787262349264056</v>
      </c>
      <c r="C113" s="17" t="n">
        <f aca="false">Phase_Data!L95</f>
        <v>0.855084962124853</v>
      </c>
      <c r="D113" s="17" t="n">
        <f aca="false">Phase_Data!M95</f>
        <v>1.31393942461698</v>
      </c>
      <c r="E113" s="63" t="n">
        <f aca="false">CD113</f>
        <v>2</v>
      </c>
      <c r="F113" s="38" t="n">
        <f aca="false">($B113-INDEX($L$16:$N$16,E113))^2+($C113-INDEX($L$17:$N$17,E113))^2+($D113-INDEX($L$18:$N$18,E113))^2</f>
        <v>0.0913422365469236</v>
      </c>
      <c r="G113" s="12" t="str">
        <f aca="false">INDEX($M$5:$M$7,E113)</f>
        <v>High activity</v>
      </c>
      <c r="X113" s="17" t="n">
        <f aca="false">SQRT(($B113-X$16)^2+($C113-X$17)^2+($D113-X$18)^2)</f>
        <v>4.16685098378716</v>
      </c>
      <c r="Y113" s="17" t="n">
        <f aca="false">SQRT(($B113-Y$16)^2+($C113-Y$17)^2+($D113-Y$18)^2)</f>
        <v>0.825180485859426</v>
      </c>
      <c r="Z113" s="17" t="n">
        <f aca="false">SQRT(($B113-Z$16)^2+($C113-Z$17)^2+($D113-Z$18)^2)</f>
        <v>2.59589390073404</v>
      </c>
      <c r="AA113" s="63" t="n">
        <f aca="false">MATCH(MIN(X113:Z113),X113:Z113,0)</f>
        <v>2</v>
      </c>
      <c r="AC113" s="17" t="n">
        <f aca="false">SQRT(($B113-AC$16)^2+($C113-AC$17)^2+($D113-AC$18)^2)</f>
        <v>3.78935823677474</v>
      </c>
      <c r="AD113" s="17" t="n">
        <f aca="false">SQRT(($B113-AD$16)^2+($C113-AD$17)^2+($D113-AD$18)^2)</f>
        <v>0.25302413545201</v>
      </c>
      <c r="AE113" s="17" t="n">
        <f aca="false">SQRT(($B113-AE$16)^2+($C113-AE$17)^2+($D113-AE$18)^2)</f>
        <v>1.6738788831983</v>
      </c>
      <c r="AF113" s="63" t="n">
        <f aca="false">MATCH(MIN(AC113:AE113),AC113:AE113,0)</f>
        <v>2</v>
      </c>
      <c r="AH113" s="17" t="n">
        <f aca="false">SQRT(($B113-AH$16)^2+($C113-AH$17)^2+($D113-AH$18)^2)</f>
        <v>3.8768261120778</v>
      </c>
      <c r="AI113" s="17" t="n">
        <f aca="false">SQRT(($B113-AI$16)^2+($C113-AI$17)^2+($D113-AI$18)^2)</f>
        <v>0.278845545411735</v>
      </c>
      <c r="AJ113" s="17" t="n">
        <f aca="false">SQRT(($B113-AJ$16)^2+($C113-AJ$17)^2+($D113-AJ$18)^2)</f>
        <v>1.62692416337797</v>
      </c>
      <c r="AK113" s="63" t="n">
        <f aca="false">MATCH(MIN(AH113:AJ113),AH113:AJ113,0)</f>
        <v>2</v>
      </c>
      <c r="AM113" s="17" t="n">
        <f aca="false">SQRT(($B113-AM$16)^2+($C113-AM$17)^2+($D113-AM$18)^2)</f>
        <v>3.91835977177351</v>
      </c>
      <c r="AN113" s="17" t="n">
        <f aca="false">SQRT(($B113-AN$16)^2+($C113-AN$17)^2+($D113-AN$18)^2)</f>
        <v>0.302228781797703</v>
      </c>
      <c r="AO113" s="17" t="n">
        <f aca="false">SQRT(($B113-AO$16)^2+($C113-AO$17)^2+($D113-AO$18)^2)</f>
        <v>1.63356646252354</v>
      </c>
      <c r="AP113" s="63" t="n">
        <f aca="false">MATCH(MIN(AM113:AO113),AM113:AO113,0)</f>
        <v>2</v>
      </c>
      <c r="AR113" s="17" t="n">
        <f aca="false">SQRT(($B113-AR$16)^2+($C113-AR$17)^2+($D113-AR$18)^2)</f>
        <v>3.91835977177351</v>
      </c>
      <c r="AS113" s="17" t="n">
        <f aca="false">SQRT(($B113-AS$16)^2+($C113-AS$17)^2+($D113-AS$18)^2)</f>
        <v>0.302228781797703</v>
      </c>
      <c r="AT113" s="17" t="n">
        <f aca="false">SQRT(($B113-AT$16)^2+($C113-AT$17)^2+($D113-AT$18)^2)</f>
        <v>1.63356646252354</v>
      </c>
      <c r="AU113" s="63" t="n">
        <f aca="false">MATCH(MIN(AR113:AT113),AR113:AT113,0)</f>
        <v>2</v>
      </c>
      <c r="AW113" s="17" t="n">
        <f aca="false">SQRT(($B113-AW$16)^2+($C113-AW$17)^2+($D113-AW$18)^2)</f>
        <v>3.91835977177351</v>
      </c>
      <c r="AX113" s="17" t="n">
        <f aca="false">SQRT(($B113-AX$16)^2+($C113-AX$17)^2+($D113-AX$18)^2)</f>
        <v>0.302228781797703</v>
      </c>
      <c r="AY113" s="17" t="n">
        <f aca="false">SQRT(($B113-AY$16)^2+($C113-AY$17)^2+($D113-AY$18)^2)</f>
        <v>1.63356646252354</v>
      </c>
      <c r="AZ113" s="63" t="n">
        <f aca="false">MATCH(MIN(AW113:AY113),AW113:AY113,0)</f>
        <v>2</v>
      </c>
      <c r="BB113" s="17" t="n">
        <f aca="false">SQRT(($B113-BB$16)^2+($C113-BB$17)^2+($D113-BB$18)^2)</f>
        <v>3.91835977177351</v>
      </c>
      <c r="BC113" s="17" t="n">
        <f aca="false">SQRT(($B113-BC$16)^2+($C113-BC$17)^2+($D113-BC$18)^2)</f>
        <v>0.302228781797703</v>
      </c>
      <c r="BD113" s="17" t="n">
        <f aca="false">SQRT(($B113-BD$16)^2+($C113-BD$17)^2+($D113-BD$18)^2)</f>
        <v>1.63356646252354</v>
      </c>
      <c r="BE113" s="63" t="n">
        <f aca="false">MATCH(MIN(BB113:BD113),BB113:BD113,0)</f>
        <v>2</v>
      </c>
      <c r="BG113" s="17" t="n">
        <f aca="false">SQRT(($B113-BG$16)^2+($C113-BG$17)^2+($D113-BG$18)^2)</f>
        <v>3.91835977177351</v>
      </c>
      <c r="BH113" s="17" t="n">
        <f aca="false">SQRT(($B113-BH$16)^2+($C113-BH$17)^2+($D113-BH$18)^2)</f>
        <v>0.302228781797703</v>
      </c>
      <c r="BI113" s="17" t="n">
        <f aca="false">SQRT(($B113-BI$16)^2+($C113-BI$17)^2+($D113-BI$18)^2)</f>
        <v>1.63356646252354</v>
      </c>
      <c r="BJ113" s="63" t="n">
        <f aca="false">MATCH(MIN(BG113:BI113),BG113:BI113,0)</f>
        <v>2</v>
      </c>
      <c r="BL113" s="17" t="n">
        <f aca="false">SQRT(($B113-BL$16)^2+($C113-BL$17)^2+($D113-BL$18)^2)</f>
        <v>3.91835977177351</v>
      </c>
      <c r="BM113" s="17" t="n">
        <f aca="false">SQRT(($B113-BM$16)^2+($C113-BM$17)^2+($D113-BM$18)^2)</f>
        <v>0.302228781797703</v>
      </c>
      <c r="BN113" s="17" t="n">
        <f aca="false">SQRT(($B113-BN$16)^2+($C113-BN$17)^2+($D113-BN$18)^2)</f>
        <v>1.63356646252354</v>
      </c>
      <c r="BO113" s="63" t="n">
        <f aca="false">MATCH(MIN(BL113:BN113),BL113:BN113,0)</f>
        <v>2</v>
      </c>
      <c r="BQ113" s="17" t="n">
        <f aca="false">SQRT(($B113-BQ$16)^2+($C113-BQ$17)^2+($D113-BQ$18)^2)</f>
        <v>3.91835977177351</v>
      </c>
      <c r="BR113" s="17" t="n">
        <f aca="false">SQRT(($B113-BR$16)^2+($C113-BR$17)^2+($D113-BR$18)^2)</f>
        <v>0.302228781797703</v>
      </c>
      <c r="BS113" s="17" t="n">
        <f aca="false">SQRT(($B113-BS$16)^2+($C113-BS$17)^2+($D113-BS$18)^2)</f>
        <v>1.63356646252354</v>
      </c>
      <c r="BT113" s="63" t="n">
        <f aca="false">MATCH(MIN(BQ113:BS113),BQ113:BS113,0)</f>
        <v>2</v>
      </c>
      <c r="BV113" s="17" t="n">
        <f aca="false">SQRT(($B113-BV$16)^2+($C113-BV$17)^2+($D113-BV$18)^2)</f>
        <v>3.91835977177351</v>
      </c>
      <c r="BW113" s="17" t="n">
        <f aca="false">SQRT(($B113-BW$16)^2+($C113-BW$17)^2+($D113-BW$18)^2)</f>
        <v>0.302228781797703</v>
      </c>
      <c r="BX113" s="17" t="n">
        <f aca="false">SQRT(($B113-BX$16)^2+($C113-BX$17)^2+($D113-BX$18)^2)</f>
        <v>1.63356646252354</v>
      </c>
      <c r="BY113" s="63" t="n">
        <f aca="false">MATCH(MIN(BV113:BX113),BV113:BX113,0)</f>
        <v>2</v>
      </c>
      <c r="CA113" s="17" t="n">
        <f aca="false">SQRT(($B113-CA$16)^2+($C113-CA$17)^2+($D113-CA$18)^2)</f>
        <v>3.91835977177351</v>
      </c>
      <c r="CB113" s="17" t="n">
        <f aca="false">SQRT(($B113-CB$16)^2+($C113-CB$17)^2+($D113-CB$18)^2)</f>
        <v>0.302228781797703</v>
      </c>
      <c r="CC113" s="17" t="n">
        <f aca="false">SQRT(($B113-CC$16)^2+($C113-CC$17)^2+($D113-CC$18)^2)</f>
        <v>1.63356646252354</v>
      </c>
      <c r="CD113" s="63" t="n">
        <f aca="false">MATCH(MIN(CA113:CC113),CA113:CC113,0)</f>
        <v>2</v>
      </c>
    </row>
    <row r="114" customFormat="false" ht="15" hidden="false" customHeight="false" outlineLevel="0" collapsed="false">
      <c r="A114" s="76" t="n">
        <f aca="false">Phase_Data!A96</f>
        <v>43978</v>
      </c>
      <c r="B114" s="17" t="n">
        <f aca="false">Phase_Data!K96</f>
        <v>0.951481979863727</v>
      </c>
      <c r="C114" s="17" t="n">
        <f aca="false">Phase_Data!L96</f>
        <v>1.04433266523491</v>
      </c>
      <c r="D114" s="17" t="n">
        <f aca="false">Phase_Data!M96</f>
        <v>1.41284985218065</v>
      </c>
      <c r="E114" s="63" t="n">
        <f aca="false">CD114</f>
        <v>2</v>
      </c>
      <c r="F114" s="38" t="n">
        <f aca="false">($B114-INDEX($L$16:$N$16,E114))^2+($C114-INDEX($L$17:$N$17,E114))^2+($D114-INDEX($L$18:$N$18,E114))^2</f>
        <v>0.0774132589057061</v>
      </c>
      <c r="G114" s="12" t="str">
        <f aca="false">INDEX($M$5:$M$7,E114)</f>
        <v>High activity</v>
      </c>
      <c r="X114" s="17" t="n">
        <f aca="false">SQRT(($B114-X$16)^2+($C114-X$17)^2+($D114-X$18)^2)</f>
        <v>4.42452109246608</v>
      </c>
      <c r="Y114" s="17" t="n">
        <f aca="false">SQRT(($B114-Y$16)^2+($C114-Y$17)^2+($D114-Y$18)^2)</f>
        <v>0.558027691862523</v>
      </c>
      <c r="Z114" s="17" t="n">
        <f aca="false">SQRT(($B114-Z$16)^2+($C114-Z$17)^2+($D114-Z$18)^2)</f>
        <v>2.71922743181859</v>
      </c>
      <c r="AA114" s="63" t="n">
        <f aca="false">MATCH(MIN(X114:Z114),X114:Z114,0)</f>
        <v>2</v>
      </c>
      <c r="AC114" s="17" t="n">
        <f aca="false">SQRT(($B114-AC$16)^2+($C114-AC$17)^2+($D114-AC$18)^2)</f>
        <v>4.04575483962864</v>
      </c>
      <c r="AD114" s="17" t="n">
        <f aca="false">SQRT(($B114-AD$16)^2+($C114-AD$17)^2+($D114-AD$18)^2)</f>
        <v>0.394212031700574</v>
      </c>
      <c r="AE114" s="17" t="n">
        <f aca="false">SQRT(($B114-AE$16)^2+($C114-AE$17)^2+($D114-AE$18)^2)</f>
        <v>1.89283222407787</v>
      </c>
      <c r="AF114" s="63" t="n">
        <f aca="false">MATCH(MIN(AC114:AE114),AC114:AE114,0)</f>
        <v>2</v>
      </c>
      <c r="AH114" s="17" t="n">
        <f aca="false">SQRT(($B114-AH$16)^2+($C114-AH$17)^2+($D114-AH$18)^2)</f>
        <v>4.13322895982658</v>
      </c>
      <c r="AI114" s="17" t="n">
        <f aca="false">SQRT(($B114-AI$16)^2+($C114-AI$17)^2+($D114-AI$18)^2)</f>
        <v>0.286748046807151</v>
      </c>
      <c r="AJ114" s="17" t="n">
        <f aca="false">SQRT(($B114-AJ$16)^2+($C114-AJ$17)^2+($D114-AJ$18)^2)</f>
        <v>1.85420758453334</v>
      </c>
      <c r="AK114" s="63" t="n">
        <f aca="false">MATCH(MIN(AH114:AJ114),AH114:AJ114,0)</f>
        <v>2</v>
      </c>
      <c r="AM114" s="17" t="n">
        <f aca="false">SQRT(($B114-AM$16)^2+($C114-AM$17)^2+($D114-AM$18)^2)</f>
        <v>4.17483629918373</v>
      </c>
      <c r="AN114" s="17" t="n">
        <f aca="false">SQRT(($B114-AN$16)^2+($C114-AN$17)^2+($D114-AN$18)^2)</f>
        <v>0.278232382920655</v>
      </c>
      <c r="AO114" s="17" t="n">
        <f aca="false">SQRT(($B114-AO$16)^2+($C114-AO$17)^2+($D114-AO$18)^2)</f>
        <v>1.86275230190662</v>
      </c>
      <c r="AP114" s="63" t="n">
        <f aca="false">MATCH(MIN(AM114:AO114),AM114:AO114,0)</f>
        <v>2</v>
      </c>
      <c r="AR114" s="17" t="n">
        <f aca="false">SQRT(($B114-AR$16)^2+($C114-AR$17)^2+($D114-AR$18)^2)</f>
        <v>4.17483629918373</v>
      </c>
      <c r="AS114" s="17" t="n">
        <f aca="false">SQRT(($B114-AS$16)^2+($C114-AS$17)^2+($D114-AS$18)^2)</f>
        <v>0.278232382920655</v>
      </c>
      <c r="AT114" s="17" t="n">
        <f aca="false">SQRT(($B114-AT$16)^2+($C114-AT$17)^2+($D114-AT$18)^2)</f>
        <v>1.86275230190662</v>
      </c>
      <c r="AU114" s="63" t="n">
        <f aca="false">MATCH(MIN(AR114:AT114),AR114:AT114,0)</f>
        <v>2</v>
      </c>
      <c r="AW114" s="17" t="n">
        <f aca="false">SQRT(($B114-AW$16)^2+($C114-AW$17)^2+($D114-AW$18)^2)</f>
        <v>4.17483629918373</v>
      </c>
      <c r="AX114" s="17" t="n">
        <f aca="false">SQRT(($B114-AX$16)^2+($C114-AX$17)^2+($D114-AX$18)^2)</f>
        <v>0.278232382920655</v>
      </c>
      <c r="AY114" s="17" t="n">
        <f aca="false">SQRT(($B114-AY$16)^2+($C114-AY$17)^2+($D114-AY$18)^2)</f>
        <v>1.86275230190662</v>
      </c>
      <c r="AZ114" s="63" t="n">
        <f aca="false">MATCH(MIN(AW114:AY114),AW114:AY114,0)</f>
        <v>2</v>
      </c>
      <c r="BB114" s="17" t="n">
        <f aca="false">SQRT(($B114-BB$16)^2+($C114-BB$17)^2+($D114-BB$18)^2)</f>
        <v>4.17483629918373</v>
      </c>
      <c r="BC114" s="17" t="n">
        <f aca="false">SQRT(($B114-BC$16)^2+($C114-BC$17)^2+($D114-BC$18)^2)</f>
        <v>0.278232382920655</v>
      </c>
      <c r="BD114" s="17" t="n">
        <f aca="false">SQRT(($B114-BD$16)^2+($C114-BD$17)^2+($D114-BD$18)^2)</f>
        <v>1.86275230190662</v>
      </c>
      <c r="BE114" s="63" t="n">
        <f aca="false">MATCH(MIN(BB114:BD114),BB114:BD114,0)</f>
        <v>2</v>
      </c>
      <c r="BG114" s="17" t="n">
        <f aca="false">SQRT(($B114-BG$16)^2+($C114-BG$17)^2+($D114-BG$18)^2)</f>
        <v>4.17483629918373</v>
      </c>
      <c r="BH114" s="17" t="n">
        <f aca="false">SQRT(($B114-BH$16)^2+($C114-BH$17)^2+($D114-BH$18)^2)</f>
        <v>0.278232382920655</v>
      </c>
      <c r="BI114" s="17" t="n">
        <f aca="false">SQRT(($B114-BI$16)^2+($C114-BI$17)^2+($D114-BI$18)^2)</f>
        <v>1.86275230190662</v>
      </c>
      <c r="BJ114" s="63" t="n">
        <f aca="false">MATCH(MIN(BG114:BI114),BG114:BI114,0)</f>
        <v>2</v>
      </c>
      <c r="BL114" s="17" t="n">
        <f aca="false">SQRT(($B114-BL$16)^2+($C114-BL$17)^2+($D114-BL$18)^2)</f>
        <v>4.17483629918373</v>
      </c>
      <c r="BM114" s="17" t="n">
        <f aca="false">SQRT(($B114-BM$16)^2+($C114-BM$17)^2+($D114-BM$18)^2)</f>
        <v>0.278232382920655</v>
      </c>
      <c r="BN114" s="17" t="n">
        <f aca="false">SQRT(($B114-BN$16)^2+($C114-BN$17)^2+($D114-BN$18)^2)</f>
        <v>1.86275230190662</v>
      </c>
      <c r="BO114" s="63" t="n">
        <f aca="false">MATCH(MIN(BL114:BN114),BL114:BN114,0)</f>
        <v>2</v>
      </c>
      <c r="BQ114" s="17" t="n">
        <f aca="false">SQRT(($B114-BQ$16)^2+($C114-BQ$17)^2+($D114-BQ$18)^2)</f>
        <v>4.17483629918373</v>
      </c>
      <c r="BR114" s="17" t="n">
        <f aca="false">SQRT(($B114-BR$16)^2+($C114-BR$17)^2+($D114-BR$18)^2)</f>
        <v>0.278232382920655</v>
      </c>
      <c r="BS114" s="17" t="n">
        <f aca="false">SQRT(($B114-BS$16)^2+($C114-BS$17)^2+($D114-BS$18)^2)</f>
        <v>1.86275230190662</v>
      </c>
      <c r="BT114" s="63" t="n">
        <f aca="false">MATCH(MIN(BQ114:BS114),BQ114:BS114,0)</f>
        <v>2</v>
      </c>
      <c r="BV114" s="17" t="n">
        <f aca="false">SQRT(($B114-BV$16)^2+($C114-BV$17)^2+($D114-BV$18)^2)</f>
        <v>4.17483629918373</v>
      </c>
      <c r="BW114" s="17" t="n">
        <f aca="false">SQRT(($B114-BW$16)^2+($C114-BW$17)^2+($D114-BW$18)^2)</f>
        <v>0.278232382920655</v>
      </c>
      <c r="BX114" s="17" t="n">
        <f aca="false">SQRT(($B114-BX$16)^2+($C114-BX$17)^2+($D114-BX$18)^2)</f>
        <v>1.86275230190662</v>
      </c>
      <c r="BY114" s="63" t="n">
        <f aca="false">MATCH(MIN(BV114:BX114),BV114:BX114,0)</f>
        <v>2</v>
      </c>
      <c r="CA114" s="17" t="n">
        <f aca="false">SQRT(($B114-CA$16)^2+($C114-CA$17)^2+($D114-CA$18)^2)</f>
        <v>4.17483629918373</v>
      </c>
      <c r="CB114" s="17" t="n">
        <f aca="false">SQRT(($B114-CB$16)^2+($C114-CB$17)^2+($D114-CB$18)^2)</f>
        <v>0.278232382920655</v>
      </c>
      <c r="CC114" s="17" t="n">
        <f aca="false">SQRT(($B114-CC$16)^2+($C114-CC$17)^2+($D114-CC$18)^2)</f>
        <v>1.86275230190662</v>
      </c>
      <c r="CD114" s="63" t="n">
        <f aca="false">MATCH(MIN(CA114:CC114),CA114:CC114,0)</f>
        <v>2</v>
      </c>
    </row>
    <row r="115" customFormat="false" ht="15" hidden="false" customHeight="false" outlineLevel="0" collapsed="false">
      <c r="A115" s="76" t="n">
        <f aca="false">Phase_Data!A97</f>
        <v>43979</v>
      </c>
      <c r="B115" s="17" t="n">
        <f aca="false">Phase_Data!K97</f>
        <v>1.01721658240158</v>
      </c>
      <c r="C115" s="17" t="n">
        <f aca="false">Phase_Data!L97</f>
        <v>1.37258162005499</v>
      </c>
      <c r="D115" s="17" t="n">
        <f aca="false">Phase_Data!M97</f>
        <v>1.66953142955024</v>
      </c>
      <c r="E115" s="63" t="n">
        <f aca="false">CD115</f>
        <v>2</v>
      </c>
      <c r="F115" s="38" t="n">
        <f aca="false">($B115-INDEX($L$16:$N$16,E115))^2+($C115-INDEX($L$17:$N$17,E115))^2+($D115-INDEX($L$18:$N$18,E115))^2</f>
        <v>0.369549018766026</v>
      </c>
      <c r="G115" s="12" t="str">
        <f aca="false">INDEX($M$5:$M$7,E115)</f>
        <v>High activity</v>
      </c>
      <c r="X115" s="17" t="n">
        <f aca="false">SQRT(($B115-X$16)^2+($C115-X$17)^2+($D115-X$18)^2)</f>
        <v>4.80373663550326</v>
      </c>
      <c r="Y115" s="17" t="n">
        <f aca="false">SQRT(($B115-Y$16)^2+($C115-Y$17)^2+($D115-Y$18)^2)</f>
        <v>0.22851100508587</v>
      </c>
      <c r="Z115" s="17" t="n">
        <f aca="false">SQRT(($B115-Z$16)^2+($C115-Z$17)^2+($D115-Z$18)^2)</f>
        <v>3.02758049095594</v>
      </c>
      <c r="AA115" s="63" t="n">
        <f aca="false">MATCH(MIN(X115:Z115),X115:Z115,0)</f>
        <v>2</v>
      </c>
      <c r="AC115" s="17" t="n">
        <f aca="false">SQRT(($B115-AC$16)^2+($C115-AC$17)^2+($D115-AC$18)^2)</f>
        <v>4.43141632965689</v>
      </c>
      <c r="AD115" s="17" t="n">
        <f aca="false">SQRT(($B115-AD$16)^2+($C115-AD$17)^2+($D115-AD$18)^2)</f>
        <v>0.773790273725909</v>
      </c>
      <c r="AE115" s="17" t="n">
        <f aca="false">SQRT(($B115-AE$16)^2+($C115-AE$17)^2+($D115-AE$18)^2)</f>
        <v>2.28460780617467</v>
      </c>
      <c r="AF115" s="63" t="n">
        <f aca="false">MATCH(MIN(AC115:AE115),AC115:AE115,0)</f>
        <v>2</v>
      </c>
      <c r="AH115" s="17" t="n">
        <f aca="false">SQRT(($B115-AH$16)^2+($C115-AH$17)^2+($D115-AH$18)^2)</f>
        <v>4.51765503925103</v>
      </c>
      <c r="AI115" s="17" t="n">
        <f aca="false">SQRT(($B115-AI$16)^2+($C115-AI$17)^2+($D115-AI$18)^2)</f>
        <v>0.63397076613605</v>
      </c>
      <c r="AJ115" s="17" t="n">
        <f aca="false">SQRT(($B115-AJ$16)^2+($C115-AJ$17)^2+($D115-AJ$18)^2)</f>
        <v>2.24985980389472</v>
      </c>
      <c r="AK115" s="63" t="n">
        <f aca="false">MATCH(MIN(AH115:AJ115),AH115:AJ115,0)</f>
        <v>2</v>
      </c>
      <c r="AM115" s="17" t="n">
        <f aca="false">SQRT(($B115-AM$16)^2+($C115-AM$17)^2+($D115-AM$18)^2)</f>
        <v>4.55839261466014</v>
      </c>
      <c r="AN115" s="17" t="n">
        <f aca="false">SQRT(($B115-AN$16)^2+($C115-AN$17)^2+($D115-AN$18)^2)</f>
        <v>0.607905435710214</v>
      </c>
      <c r="AO115" s="17" t="n">
        <f aca="false">SQRT(($B115-AO$16)^2+($C115-AO$17)^2+($D115-AO$18)^2)</f>
        <v>2.25988157337939</v>
      </c>
      <c r="AP115" s="63" t="n">
        <f aca="false">MATCH(MIN(AM115:AO115),AM115:AO115,0)</f>
        <v>2</v>
      </c>
      <c r="AR115" s="17" t="n">
        <f aca="false">SQRT(($B115-AR$16)^2+($C115-AR$17)^2+($D115-AR$18)^2)</f>
        <v>4.55839261466014</v>
      </c>
      <c r="AS115" s="17" t="n">
        <f aca="false">SQRT(($B115-AS$16)^2+($C115-AS$17)^2+($D115-AS$18)^2)</f>
        <v>0.607905435710214</v>
      </c>
      <c r="AT115" s="17" t="n">
        <f aca="false">SQRT(($B115-AT$16)^2+($C115-AT$17)^2+($D115-AT$18)^2)</f>
        <v>2.25988157337939</v>
      </c>
      <c r="AU115" s="63" t="n">
        <f aca="false">MATCH(MIN(AR115:AT115),AR115:AT115,0)</f>
        <v>2</v>
      </c>
      <c r="AW115" s="17" t="n">
        <f aca="false">SQRT(($B115-AW$16)^2+($C115-AW$17)^2+($D115-AW$18)^2)</f>
        <v>4.55839261466014</v>
      </c>
      <c r="AX115" s="17" t="n">
        <f aca="false">SQRT(($B115-AX$16)^2+($C115-AX$17)^2+($D115-AX$18)^2)</f>
        <v>0.607905435710214</v>
      </c>
      <c r="AY115" s="17" t="n">
        <f aca="false">SQRT(($B115-AY$16)^2+($C115-AY$17)^2+($D115-AY$18)^2)</f>
        <v>2.25988157337939</v>
      </c>
      <c r="AZ115" s="63" t="n">
        <f aca="false">MATCH(MIN(AW115:AY115),AW115:AY115,0)</f>
        <v>2</v>
      </c>
      <c r="BB115" s="17" t="n">
        <f aca="false">SQRT(($B115-BB$16)^2+($C115-BB$17)^2+($D115-BB$18)^2)</f>
        <v>4.55839261466014</v>
      </c>
      <c r="BC115" s="17" t="n">
        <f aca="false">SQRT(($B115-BC$16)^2+($C115-BC$17)^2+($D115-BC$18)^2)</f>
        <v>0.607905435710214</v>
      </c>
      <c r="BD115" s="17" t="n">
        <f aca="false">SQRT(($B115-BD$16)^2+($C115-BD$17)^2+($D115-BD$18)^2)</f>
        <v>2.25988157337939</v>
      </c>
      <c r="BE115" s="63" t="n">
        <f aca="false">MATCH(MIN(BB115:BD115),BB115:BD115,0)</f>
        <v>2</v>
      </c>
      <c r="BG115" s="17" t="n">
        <f aca="false">SQRT(($B115-BG$16)^2+($C115-BG$17)^2+($D115-BG$18)^2)</f>
        <v>4.55839261466014</v>
      </c>
      <c r="BH115" s="17" t="n">
        <f aca="false">SQRT(($B115-BH$16)^2+($C115-BH$17)^2+($D115-BH$18)^2)</f>
        <v>0.607905435710214</v>
      </c>
      <c r="BI115" s="17" t="n">
        <f aca="false">SQRT(($B115-BI$16)^2+($C115-BI$17)^2+($D115-BI$18)^2)</f>
        <v>2.25988157337939</v>
      </c>
      <c r="BJ115" s="63" t="n">
        <f aca="false">MATCH(MIN(BG115:BI115),BG115:BI115,0)</f>
        <v>2</v>
      </c>
      <c r="BL115" s="17" t="n">
        <f aca="false">SQRT(($B115-BL$16)^2+($C115-BL$17)^2+($D115-BL$18)^2)</f>
        <v>4.55839261466014</v>
      </c>
      <c r="BM115" s="17" t="n">
        <f aca="false">SQRT(($B115-BM$16)^2+($C115-BM$17)^2+($D115-BM$18)^2)</f>
        <v>0.607905435710214</v>
      </c>
      <c r="BN115" s="17" t="n">
        <f aca="false">SQRT(($B115-BN$16)^2+($C115-BN$17)^2+($D115-BN$18)^2)</f>
        <v>2.25988157337939</v>
      </c>
      <c r="BO115" s="63" t="n">
        <f aca="false">MATCH(MIN(BL115:BN115),BL115:BN115,0)</f>
        <v>2</v>
      </c>
      <c r="BQ115" s="17" t="n">
        <f aca="false">SQRT(($B115-BQ$16)^2+($C115-BQ$17)^2+($D115-BQ$18)^2)</f>
        <v>4.55839261466014</v>
      </c>
      <c r="BR115" s="17" t="n">
        <f aca="false">SQRT(($B115-BR$16)^2+($C115-BR$17)^2+($D115-BR$18)^2)</f>
        <v>0.607905435710214</v>
      </c>
      <c r="BS115" s="17" t="n">
        <f aca="false">SQRT(($B115-BS$16)^2+($C115-BS$17)^2+($D115-BS$18)^2)</f>
        <v>2.25988157337939</v>
      </c>
      <c r="BT115" s="63" t="n">
        <f aca="false">MATCH(MIN(BQ115:BS115),BQ115:BS115,0)</f>
        <v>2</v>
      </c>
      <c r="BV115" s="17" t="n">
        <f aca="false">SQRT(($B115-BV$16)^2+($C115-BV$17)^2+($D115-BV$18)^2)</f>
        <v>4.55839261466014</v>
      </c>
      <c r="BW115" s="17" t="n">
        <f aca="false">SQRT(($B115-BW$16)^2+($C115-BW$17)^2+($D115-BW$18)^2)</f>
        <v>0.607905435710214</v>
      </c>
      <c r="BX115" s="17" t="n">
        <f aca="false">SQRT(($B115-BX$16)^2+($C115-BX$17)^2+($D115-BX$18)^2)</f>
        <v>2.25988157337939</v>
      </c>
      <c r="BY115" s="63" t="n">
        <f aca="false">MATCH(MIN(BV115:BX115),BV115:BX115,0)</f>
        <v>2</v>
      </c>
      <c r="CA115" s="17" t="n">
        <f aca="false">SQRT(($B115-CA$16)^2+($C115-CA$17)^2+($D115-CA$18)^2)</f>
        <v>4.55839261466014</v>
      </c>
      <c r="CB115" s="17" t="n">
        <f aca="false">SQRT(($B115-CB$16)^2+($C115-CB$17)^2+($D115-CB$18)^2)</f>
        <v>0.607905435710214</v>
      </c>
      <c r="CC115" s="17" t="n">
        <f aca="false">SQRT(($B115-CC$16)^2+($C115-CC$17)^2+($D115-CC$18)^2)</f>
        <v>2.25988157337939</v>
      </c>
      <c r="CD115" s="63" t="n">
        <f aca="false">MATCH(MIN(CA115:CC115),CA115:CC115,0)</f>
        <v>2</v>
      </c>
    </row>
    <row r="116" customFormat="false" ht="15" hidden="false" customHeight="false" outlineLevel="0" collapsed="false">
      <c r="A116" s="76" t="n">
        <f aca="false">Phase_Data!A98</f>
        <v>43980</v>
      </c>
      <c r="B116" s="17" t="n">
        <f aca="false">Phase_Data!K98</f>
        <v>0.995443763891761</v>
      </c>
      <c r="C116" s="17" t="n">
        <f aca="false">Phase_Data!L98</f>
        <v>1.55937804008957</v>
      </c>
      <c r="D116" s="17" t="n">
        <f aca="false">Phase_Data!M98</f>
        <v>1.62035631583415</v>
      </c>
      <c r="E116" s="63" t="n">
        <f aca="false">CD116</f>
        <v>2</v>
      </c>
      <c r="F116" s="38" t="n">
        <f aca="false">($B116-INDEX($L$16:$N$16,E116))^2+($C116-INDEX($L$17:$N$17,E116))^2+($D116-INDEX($L$18:$N$18,E116))^2</f>
        <v>0.454986661950622</v>
      </c>
      <c r="G116" s="12" t="str">
        <f aca="false">INDEX($M$5:$M$7,E116)</f>
        <v>High activity</v>
      </c>
      <c r="X116" s="17" t="n">
        <f aca="false">SQRT(($B116-X$16)^2+($C116-X$17)^2+($D116-X$18)^2)</f>
        <v>4.87340105190527</v>
      </c>
      <c r="Y116" s="17" t="n">
        <f aca="false">SQRT(($B116-Y$16)^2+($C116-Y$17)^2+($D116-Y$18)^2)</f>
        <v>0.238727707071124</v>
      </c>
      <c r="Z116" s="17" t="n">
        <f aca="false">SQRT(($B116-Z$16)^2+($C116-Z$17)^2+($D116-Z$18)^2)</f>
        <v>3.02006160156536</v>
      </c>
      <c r="AA116" s="63" t="n">
        <f aca="false">MATCH(MIN(X116:Z116),X116:Z116,0)</f>
        <v>2</v>
      </c>
      <c r="AC116" s="17" t="n">
        <f aca="false">SQRT(($B116-AC$16)^2+($C116-AC$17)^2+($D116-AC$18)^2)</f>
        <v>4.50388642797194</v>
      </c>
      <c r="AD116" s="17" t="n">
        <f aca="false">SQRT(($B116-AD$16)^2+($C116-AD$17)^2+($D116-AD$18)^2)</f>
        <v>0.854212763134284</v>
      </c>
      <c r="AE116" s="17" t="n">
        <f aca="false">SQRT(($B116-AE$16)^2+($C116-AE$17)^2+($D116-AE$18)^2)</f>
        <v>2.34587616892306</v>
      </c>
      <c r="AF116" s="63" t="n">
        <f aca="false">MATCH(MIN(AC116:AE116),AC116:AE116,0)</f>
        <v>2</v>
      </c>
      <c r="AH116" s="17" t="n">
        <f aca="false">SQRT(($B116-AH$16)^2+($C116-AH$17)^2+($D116-AH$18)^2)</f>
        <v>4.58915241697913</v>
      </c>
      <c r="AI116" s="17" t="n">
        <f aca="false">SQRT(($B116-AI$16)^2+($C116-AI$17)^2+($D116-AI$18)^2)</f>
        <v>0.705731832009891</v>
      </c>
      <c r="AJ116" s="17" t="n">
        <f aca="false">SQRT(($B116-AJ$16)^2+($C116-AJ$17)^2+($D116-AJ$18)^2)</f>
        <v>2.31724870265003</v>
      </c>
      <c r="AK116" s="63" t="n">
        <f aca="false">MATCH(MIN(AH116:AJ116),AH116:AJ116,0)</f>
        <v>2</v>
      </c>
      <c r="AM116" s="17" t="n">
        <f aca="false">SQRT(($B116-AM$16)^2+($C116-AM$17)^2+($D116-AM$18)^2)</f>
        <v>4.62935335814608</v>
      </c>
      <c r="AN116" s="17" t="n">
        <f aca="false">SQRT(($B116-AN$16)^2+($C116-AN$17)^2+($D116-AN$18)^2)</f>
        <v>0.674526991269157</v>
      </c>
      <c r="AO116" s="17" t="n">
        <f aca="false">SQRT(($B116-AO$16)^2+($C116-AO$17)^2+($D116-AO$18)^2)</f>
        <v>2.32922615838823</v>
      </c>
      <c r="AP116" s="63" t="n">
        <f aca="false">MATCH(MIN(AM116:AO116),AM116:AO116,0)</f>
        <v>2</v>
      </c>
      <c r="AR116" s="17" t="n">
        <f aca="false">SQRT(($B116-AR$16)^2+($C116-AR$17)^2+($D116-AR$18)^2)</f>
        <v>4.62935335814608</v>
      </c>
      <c r="AS116" s="17" t="n">
        <f aca="false">SQRT(($B116-AS$16)^2+($C116-AS$17)^2+($D116-AS$18)^2)</f>
        <v>0.674526991269157</v>
      </c>
      <c r="AT116" s="17" t="n">
        <f aca="false">SQRT(($B116-AT$16)^2+($C116-AT$17)^2+($D116-AT$18)^2)</f>
        <v>2.32922615838823</v>
      </c>
      <c r="AU116" s="63" t="n">
        <f aca="false">MATCH(MIN(AR116:AT116),AR116:AT116,0)</f>
        <v>2</v>
      </c>
      <c r="AW116" s="17" t="n">
        <f aca="false">SQRT(($B116-AW$16)^2+($C116-AW$17)^2+($D116-AW$18)^2)</f>
        <v>4.62935335814608</v>
      </c>
      <c r="AX116" s="17" t="n">
        <f aca="false">SQRT(($B116-AX$16)^2+($C116-AX$17)^2+($D116-AX$18)^2)</f>
        <v>0.674526991269157</v>
      </c>
      <c r="AY116" s="17" t="n">
        <f aca="false">SQRT(($B116-AY$16)^2+($C116-AY$17)^2+($D116-AY$18)^2)</f>
        <v>2.32922615838823</v>
      </c>
      <c r="AZ116" s="63" t="n">
        <f aca="false">MATCH(MIN(AW116:AY116),AW116:AY116,0)</f>
        <v>2</v>
      </c>
      <c r="BB116" s="17" t="n">
        <f aca="false">SQRT(($B116-BB$16)^2+($C116-BB$17)^2+($D116-BB$18)^2)</f>
        <v>4.62935335814608</v>
      </c>
      <c r="BC116" s="17" t="n">
        <f aca="false">SQRT(($B116-BC$16)^2+($C116-BC$17)^2+($D116-BC$18)^2)</f>
        <v>0.674526991269157</v>
      </c>
      <c r="BD116" s="17" t="n">
        <f aca="false">SQRT(($B116-BD$16)^2+($C116-BD$17)^2+($D116-BD$18)^2)</f>
        <v>2.32922615838823</v>
      </c>
      <c r="BE116" s="63" t="n">
        <f aca="false">MATCH(MIN(BB116:BD116),BB116:BD116,0)</f>
        <v>2</v>
      </c>
      <c r="BG116" s="17" t="n">
        <f aca="false">SQRT(($B116-BG$16)^2+($C116-BG$17)^2+($D116-BG$18)^2)</f>
        <v>4.62935335814608</v>
      </c>
      <c r="BH116" s="17" t="n">
        <f aca="false">SQRT(($B116-BH$16)^2+($C116-BH$17)^2+($D116-BH$18)^2)</f>
        <v>0.674526991269157</v>
      </c>
      <c r="BI116" s="17" t="n">
        <f aca="false">SQRT(($B116-BI$16)^2+($C116-BI$17)^2+($D116-BI$18)^2)</f>
        <v>2.32922615838823</v>
      </c>
      <c r="BJ116" s="63" t="n">
        <f aca="false">MATCH(MIN(BG116:BI116),BG116:BI116,0)</f>
        <v>2</v>
      </c>
      <c r="BL116" s="17" t="n">
        <f aca="false">SQRT(($B116-BL$16)^2+($C116-BL$17)^2+($D116-BL$18)^2)</f>
        <v>4.62935335814608</v>
      </c>
      <c r="BM116" s="17" t="n">
        <f aca="false">SQRT(($B116-BM$16)^2+($C116-BM$17)^2+($D116-BM$18)^2)</f>
        <v>0.674526991269157</v>
      </c>
      <c r="BN116" s="17" t="n">
        <f aca="false">SQRT(($B116-BN$16)^2+($C116-BN$17)^2+($D116-BN$18)^2)</f>
        <v>2.32922615838823</v>
      </c>
      <c r="BO116" s="63" t="n">
        <f aca="false">MATCH(MIN(BL116:BN116),BL116:BN116,0)</f>
        <v>2</v>
      </c>
      <c r="BQ116" s="17" t="n">
        <f aca="false">SQRT(($B116-BQ$16)^2+($C116-BQ$17)^2+($D116-BQ$18)^2)</f>
        <v>4.62935335814608</v>
      </c>
      <c r="BR116" s="17" t="n">
        <f aca="false">SQRT(($B116-BR$16)^2+($C116-BR$17)^2+($D116-BR$18)^2)</f>
        <v>0.674526991269157</v>
      </c>
      <c r="BS116" s="17" t="n">
        <f aca="false">SQRT(($B116-BS$16)^2+($C116-BS$17)^2+($D116-BS$18)^2)</f>
        <v>2.32922615838823</v>
      </c>
      <c r="BT116" s="63" t="n">
        <f aca="false">MATCH(MIN(BQ116:BS116),BQ116:BS116,0)</f>
        <v>2</v>
      </c>
      <c r="BV116" s="17" t="n">
        <f aca="false">SQRT(($B116-BV$16)^2+($C116-BV$17)^2+($D116-BV$18)^2)</f>
        <v>4.62935335814608</v>
      </c>
      <c r="BW116" s="17" t="n">
        <f aca="false">SQRT(($B116-BW$16)^2+($C116-BW$17)^2+($D116-BW$18)^2)</f>
        <v>0.674526991269157</v>
      </c>
      <c r="BX116" s="17" t="n">
        <f aca="false">SQRT(($B116-BX$16)^2+($C116-BX$17)^2+($D116-BX$18)^2)</f>
        <v>2.32922615838823</v>
      </c>
      <c r="BY116" s="63" t="n">
        <f aca="false">MATCH(MIN(BV116:BX116),BV116:BX116,0)</f>
        <v>2</v>
      </c>
      <c r="CA116" s="17" t="n">
        <f aca="false">SQRT(($B116-CA$16)^2+($C116-CA$17)^2+($D116-CA$18)^2)</f>
        <v>4.62935335814608</v>
      </c>
      <c r="CB116" s="17" t="n">
        <f aca="false">SQRT(($B116-CB$16)^2+($C116-CB$17)^2+($D116-CB$18)^2)</f>
        <v>0.674526991269157</v>
      </c>
      <c r="CC116" s="17" t="n">
        <f aca="false">SQRT(($B116-CC$16)^2+($C116-CC$17)^2+($D116-CC$18)^2)</f>
        <v>2.32922615838823</v>
      </c>
      <c r="CD116" s="63" t="n">
        <f aca="false">MATCH(MIN(CA116:CC116),CA116:CC116,0)</f>
        <v>2</v>
      </c>
    </row>
    <row r="117" customFormat="false" ht="15" hidden="false" customHeight="false" outlineLevel="0" collapsed="false">
      <c r="A117" s="76" t="n">
        <f aca="false">Phase_Data!A99</f>
        <v>43981</v>
      </c>
      <c r="B117" s="17" t="n">
        <f aca="false">Phase_Data!K99</f>
        <v>1.07432038456821</v>
      </c>
      <c r="C117" s="17" t="n">
        <f aca="false">Phase_Data!L99</f>
        <v>1.64030760045409</v>
      </c>
      <c r="D117" s="17" t="n">
        <f aca="false">Phase_Data!M99</f>
        <v>1.43841342355223</v>
      </c>
      <c r="E117" s="63" t="n">
        <f aca="false">CD117</f>
        <v>2</v>
      </c>
      <c r="F117" s="38" t="n">
        <f aca="false">($B117-INDEX($L$16:$N$16,E117))^2+($C117-INDEX($L$17:$N$17,E117))^2+($D117-INDEX($L$18:$N$18,E117))^2</f>
        <v>0.423620217304777</v>
      </c>
      <c r="G117" s="12" t="str">
        <f aca="false">INDEX($M$5:$M$7,E117)</f>
        <v>High activity</v>
      </c>
      <c r="X117" s="17" t="n">
        <f aca="false">SQRT(($B117-X$16)^2+($C117-X$17)^2+($D117-X$18)^2)</f>
        <v>4.86057856200767</v>
      </c>
      <c r="Y117" s="17" t="n">
        <f aca="false">SQRT(($B117-Y$16)^2+($C117-Y$17)^2+($D117-Y$18)^2)</f>
        <v>0.298276787216703</v>
      </c>
      <c r="Z117" s="17" t="n">
        <f aca="false">SQRT(($B117-Z$16)^2+($C117-Z$17)^2+($D117-Z$18)^2)</f>
        <v>2.87942828585164</v>
      </c>
      <c r="AA117" s="63" t="n">
        <f aca="false">MATCH(MIN(X117:Z117),X117:Z117,0)</f>
        <v>2</v>
      </c>
      <c r="AC117" s="17" t="n">
        <f aca="false">SQRT(($B117-AC$16)^2+($C117-AC$17)^2+($D117-AC$18)^2)</f>
        <v>4.48765855742577</v>
      </c>
      <c r="AD117" s="17" t="n">
        <f aca="false">SQRT(($B117-AD$16)^2+($C117-AD$17)^2+($D117-AD$18)^2)</f>
        <v>0.843881170149656</v>
      </c>
      <c r="AE117" s="17" t="n">
        <f aca="false">SQRT(($B117-AE$16)^2+($C117-AE$17)^2+($D117-AE$18)^2)</f>
        <v>2.29100085484268</v>
      </c>
      <c r="AF117" s="63" t="n">
        <f aca="false">MATCH(MIN(AC117:AE117),AC117:AE117,0)</f>
        <v>2</v>
      </c>
      <c r="AH117" s="17" t="n">
        <f aca="false">SQRT(($B117-AH$16)^2+($C117-AH$17)^2+($D117-AH$18)^2)</f>
        <v>4.57291412357343</v>
      </c>
      <c r="AI117" s="17" t="n">
        <f aca="false">SQRT(($B117-AI$16)^2+($C117-AI$17)^2+($D117-AI$18)^2)</f>
        <v>0.686205931296241</v>
      </c>
      <c r="AJ117" s="17" t="n">
        <f aca="false">SQRT(($B117-AJ$16)^2+($C117-AJ$17)^2+($D117-AJ$18)^2)</f>
        <v>2.27176520195431</v>
      </c>
      <c r="AK117" s="63" t="n">
        <f aca="false">MATCH(MIN(AH117:AJ117),AH117:AJ117,0)</f>
        <v>2</v>
      </c>
      <c r="AM117" s="17" t="n">
        <f aca="false">SQRT(($B117-AM$16)^2+($C117-AM$17)^2+($D117-AM$18)^2)</f>
        <v>4.61333729291728</v>
      </c>
      <c r="AN117" s="17" t="n">
        <f aca="false">SQRT(($B117-AN$16)^2+($C117-AN$17)^2+($D117-AN$18)^2)</f>
        <v>0.650861135193043</v>
      </c>
      <c r="AO117" s="17" t="n">
        <f aca="false">SQRT(($B117-AO$16)^2+($C117-AO$17)^2+($D117-AO$18)^2)</f>
        <v>2.28582931020886</v>
      </c>
      <c r="AP117" s="63" t="n">
        <f aca="false">MATCH(MIN(AM117:AO117),AM117:AO117,0)</f>
        <v>2</v>
      </c>
      <c r="AR117" s="17" t="n">
        <f aca="false">SQRT(($B117-AR$16)^2+($C117-AR$17)^2+($D117-AR$18)^2)</f>
        <v>4.61333729291728</v>
      </c>
      <c r="AS117" s="17" t="n">
        <f aca="false">SQRT(($B117-AS$16)^2+($C117-AS$17)^2+($D117-AS$18)^2)</f>
        <v>0.650861135193043</v>
      </c>
      <c r="AT117" s="17" t="n">
        <f aca="false">SQRT(($B117-AT$16)^2+($C117-AT$17)^2+($D117-AT$18)^2)</f>
        <v>2.28582931020886</v>
      </c>
      <c r="AU117" s="63" t="n">
        <f aca="false">MATCH(MIN(AR117:AT117),AR117:AT117,0)</f>
        <v>2</v>
      </c>
      <c r="AW117" s="17" t="n">
        <f aca="false">SQRT(($B117-AW$16)^2+($C117-AW$17)^2+($D117-AW$18)^2)</f>
        <v>4.61333729291728</v>
      </c>
      <c r="AX117" s="17" t="n">
        <f aca="false">SQRT(($B117-AX$16)^2+($C117-AX$17)^2+($D117-AX$18)^2)</f>
        <v>0.650861135193043</v>
      </c>
      <c r="AY117" s="17" t="n">
        <f aca="false">SQRT(($B117-AY$16)^2+($C117-AY$17)^2+($D117-AY$18)^2)</f>
        <v>2.28582931020886</v>
      </c>
      <c r="AZ117" s="63" t="n">
        <f aca="false">MATCH(MIN(AW117:AY117),AW117:AY117,0)</f>
        <v>2</v>
      </c>
      <c r="BB117" s="17" t="n">
        <f aca="false">SQRT(($B117-BB$16)^2+($C117-BB$17)^2+($D117-BB$18)^2)</f>
        <v>4.61333729291728</v>
      </c>
      <c r="BC117" s="17" t="n">
        <f aca="false">SQRT(($B117-BC$16)^2+($C117-BC$17)^2+($D117-BC$18)^2)</f>
        <v>0.650861135193043</v>
      </c>
      <c r="BD117" s="17" t="n">
        <f aca="false">SQRT(($B117-BD$16)^2+($C117-BD$17)^2+($D117-BD$18)^2)</f>
        <v>2.28582931020886</v>
      </c>
      <c r="BE117" s="63" t="n">
        <f aca="false">MATCH(MIN(BB117:BD117),BB117:BD117,0)</f>
        <v>2</v>
      </c>
      <c r="BG117" s="17" t="n">
        <f aca="false">SQRT(($B117-BG$16)^2+($C117-BG$17)^2+($D117-BG$18)^2)</f>
        <v>4.61333729291728</v>
      </c>
      <c r="BH117" s="17" t="n">
        <f aca="false">SQRT(($B117-BH$16)^2+($C117-BH$17)^2+($D117-BH$18)^2)</f>
        <v>0.650861135193043</v>
      </c>
      <c r="BI117" s="17" t="n">
        <f aca="false">SQRT(($B117-BI$16)^2+($C117-BI$17)^2+($D117-BI$18)^2)</f>
        <v>2.28582931020886</v>
      </c>
      <c r="BJ117" s="63" t="n">
        <f aca="false">MATCH(MIN(BG117:BI117),BG117:BI117,0)</f>
        <v>2</v>
      </c>
      <c r="BL117" s="17" t="n">
        <f aca="false">SQRT(($B117-BL$16)^2+($C117-BL$17)^2+($D117-BL$18)^2)</f>
        <v>4.61333729291728</v>
      </c>
      <c r="BM117" s="17" t="n">
        <f aca="false">SQRT(($B117-BM$16)^2+($C117-BM$17)^2+($D117-BM$18)^2)</f>
        <v>0.650861135193043</v>
      </c>
      <c r="BN117" s="17" t="n">
        <f aca="false">SQRT(($B117-BN$16)^2+($C117-BN$17)^2+($D117-BN$18)^2)</f>
        <v>2.28582931020886</v>
      </c>
      <c r="BO117" s="63" t="n">
        <f aca="false">MATCH(MIN(BL117:BN117),BL117:BN117,0)</f>
        <v>2</v>
      </c>
      <c r="BQ117" s="17" t="n">
        <f aca="false">SQRT(($B117-BQ$16)^2+($C117-BQ$17)^2+($D117-BQ$18)^2)</f>
        <v>4.61333729291728</v>
      </c>
      <c r="BR117" s="17" t="n">
        <f aca="false">SQRT(($B117-BR$16)^2+($C117-BR$17)^2+($D117-BR$18)^2)</f>
        <v>0.650861135193043</v>
      </c>
      <c r="BS117" s="17" t="n">
        <f aca="false">SQRT(($B117-BS$16)^2+($C117-BS$17)^2+($D117-BS$18)^2)</f>
        <v>2.28582931020886</v>
      </c>
      <c r="BT117" s="63" t="n">
        <f aca="false">MATCH(MIN(BQ117:BS117),BQ117:BS117,0)</f>
        <v>2</v>
      </c>
      <c r="BV117" s="17" t="n">
        <f aca="false">SQRT(($B117-BV$16)^2+($C117-BV$17)^2+($D117-BV$18)^2)</f>
        <v>4.61333729291728</v>
      </c>
      <c r="BW117" s="17" t="n">
        <f aca="false">SQRT(($B117-BW$16)^2+($C117-BW$17)^2+($D117-BW$18)^2)</f>
        <v>0.650861135193043</v>
      </c>
      <c r="BX117" s="17" t="n">
        <f aca="false">SQRT(($B117-BX$16)^2+($C117-BX$17)^2+($D117-BX$18)^2)</f>
        <v>2.28582931020886</v>
      </c>
      <c r="BY117" s="63" t="n">
        <f aca="false">MATCH(MIN(BV117:BX117),BV117:BX117,0)</f>
        <v>2</v>
      </c>
      <c r="CA117" s="17" t="n">
        <f aca="false">SQRT(($B117-CA$16)^2+($C117-CA$17)^2+($D117-CA$18)^2)</f>
        <v>4.61333729291728</v>
      </c>
      <c r="CB117" s="17" t="n">
        <f aca="false">SQRT(($B117-CB$16)^2+($C117-CB$17)^2+($D117-CB$18)^2)</f>
        <v>0.650861135193043</v>
      </c>
      <c r="CC117" s="17" t="n">
        <f aca="false">SQRT(($B117-CC$16)^2+($C117-CC$17)^2+($D117-CC$18)^2)</f>
        <v>2.28582931020886</v>
      </c>
      <c r="CD117" s="63" t="n">
        <f aca="false">MATCH(MIN(CA117:CC117),CA117:CC117,0)</f>
        <v>2</v>
      </c>
    </row>
    <row r="118" customFormat="false" ht="15" hidden="false" customHeight="false" outlineLevel="0" collapsed="false">
      <c r="A118" s="76" t="n">
        <f aca="false">Phase_Data!A100</f>
        <v>43982</v>
      </c>
      <c r="B118" s="17" t="n">
        <f aca="false">Phase_Data!K100</f>
        <v>1.06433816795567</v>
      </c>
      <c r="C118" s="17" t="n">
        <f aca="false">Phase_Data!L100</f>
        <v>1.38380509334536</v>
      </c>
      <c r="D118" s="17" t="n">
        <f aca="false">Phase_Data!M100</f>
        <v>1.30685777877533</v>
      </c>
      <c r="E118" s="63" t="n">
        <f aca="false">CD118</f>
        <v>2</v>
      </c>
      <c r="F118" s="38" t="n">
        <f aca="false">($B118-INDEX($L$16:$N$16,E118))^2+($C118-INDEX($L$17:$N$17,E118))^2+($D118-INDEX($L$18:$N$18,E118))^2</f>
        <v>0.145251466036596</v>
      </c>
      <c r="G118" s="12" t="str">
        <f aca="false">INDEX($M$5:$M$7,E118)</f>
        <v>High activity</v>
      </c>
      <c r="X118" s="17" t="n">
        <f aca="false">SQRT(($B118-X$16)^2+($C118-X$17)^2+($D118-X$18)^2)</f>
        <v>4.6235871235027</v>
      </c>
      <c r="Y118" s="17" t="n">
        <f aca="false">SQRT(($B118-Y$16)^2+($C118-Y$17)^2+($D118-Y$18)^2)</f>
        <v>0.380861842121586</v>
      </c>
      <c r="Z118" s="17" t="n">
        <f aca="false">SQRT(($B118-Z$16)^2+($C118-Z$17)^2+($D118-Z$18)^2)</f>
        <v>2.68497912768173</v>
      </c>
      <c r="AA118" s="63" t="n">
        <f aca="false">MATCH(MIN(X118:Z118),X118:Z118,0)</f>
        <v>2</v>
      </c>
      <c r="AC118" s="17" t="n">
        <f aca="false">SQRT(($B118-AC$16)^2+($C118-AC$17)^2+($D118-AC$18)^2)</f>
        <v>4.24501187899991</v>
      </c>
      <c r="AD118" s="17" t="n">
        <f aca="false">SQRT(($B118-AD$16)^2+($C118-AD$17)^2+($D118-AD$18)^2)</f>
        <v>0.577969788574653</v>
      </c>
      <c r="AE118" s="17" t="n">
        <f aca="false">SQRT(($B118-AE$16)^2+($C118-AE$17)^2+($D118-AE$18)^2)</f>
        <v>2.03558256678861</v>
      </c>
      <c r="AF118" s="63" t="n">
        <f aca="false">MATCH(MIN(AC118:AE118),AC118:AE118,0)</f>
        <v>2</v>
      </c>
      <c r="AH118" s="17" t="n">
        <f aca="false">SQRT(($B118-AH$16)^2+($C118-AH$17)^2+($D118-AH$18)^2)</f>
        <v>4.33145425609387</v>
      </c>
      <c r="AI118" s="17" t="n">
        <f aca="false">SQRT(($B118-AI$16)^2+($C118-AI$17)^2+($D118-AI$18)^2)</f>
        <v>0.416270540181262</v>
      </c>
      <c r="AJ118" s="17" t="n">
        <f aca="false">SQRT(($B118-AJ$16)^2+($C118-AJ$17)^2+($D118-AJ$18)^2)</f>
        <v>2.01399697863425</v>
      </c>
      <c r="AK118" s="63" t="n">
        <f aca="false">MATCH(MIN(AH118:AJ118),AH118:AJ118,0)</f>
        <v>2</v>
      </c>
      <c r="AM118" s="17" t="n">
        <f aca="false">SQRT(($B118-AM$16)^2+($C118-AM$17)^2+($D118-AM$18)^2)</f>
        <v>4.3726654462203</v>
      </c>
      <c r="AN118" s="17" t="n">
        <f aca="false">SQRT(($B118-AN$16)^2+($C118-AN$17)^2+($D118-AN$18)^2)</f>
        <v>0.381118703341355</v>
      </c>
      <c r="AO118" s="17" t="n">
        <f aca="false">SQRT(($B118-AO$16)^2+($C118-AO$17)^2+($D118-AO$18)^2)</f>
        <v>2.02707397339293</v>
      </c>
      <c r="AP118" s="63" t="n">
        <f aca="false">MATCH(MIN(AM118:AO118),AM118:AO118,0)</f>
        <v>2</v>
      </c>
      <c r="AR118" s="17" t="n">
        <f aca="false">SQRT(($B118-AR$16)^2+($C118-AR$17)^2+($D118-AR$18)^2)</f>
        <v>4.3726654462203</v>
      </c>
      <c r="AS118" s="17" t="n">
        <f aca="false">SQRT(($B118-AS$16)^2+($C118-AS$17)^2+($D118-AS$18)^2)</f>
        <v>0.381118703341355</v>
      </c>
      <c r="AT118" s="17" t="n">
        <f aca="false">SQRT(($B118-AT$16)^2+($C118-AT$17)^2+($D118-AT$18)^2)</f>
        <v>2.02707397339293</v>
      </c>
      <c r="AU118" s="63" t="n">
        <f aca="false">MATCH(MIN(AR118:AT118),AR118:AT118,0)</f>
        <v>2</v>
      </c>
      <c r="AW118" s="17" t="n">
        <f aca="false">SQRT(($B118-AW$16)^2+($C118-AW$17)^2+($D118-AW$18)^2)</f>
        <v>4.3726654462203</v>
      </c>
      <c r="AX118" s="17" t="n">
        <f aca="false">SQRT(($B118-AX$16)^2+($C118-AX$17)^2+($D118-AX$18)^2)</f>
        <v>0.381118703341355</v>
      </c>
      <c r="AY118" s="17" t="n">
        <f aca="false">SQRT(($B118-AY$16)^2+($C118-AY$17)^2+($D118-AY$18)^2)</f>
        <v>2.02707397339293</v>
      </c>
      <c r="AZ118" s="63" t="n">
        <f aca="false">MATCH(MIN(AW118:AY118),AW118:AY118,0)</f>
        <v>2</v>
      </c>
      <c r="BB118" s="17" t="n">
        <f aca="false">SQRT(($B118-BB$16)^2+($C118-BB$17)^2+($D118-BB$18)^2)</f>
        <v>4.3726654462203</v>
      </c>
      <c r="BC118" s="17" t="n">
        <f aca="false">SQRT(($B118-BC$16)^2+($C118-BC$17)^2+($D118-BC$18)^2)</f>
        <v>0.381118703341355</v>
      </c>
      <c r="BD118" s="17" t="n">
        <f aca="false">SQRT(($B118-BD$16)^2+($C118-BD$17)^2+($D118-BD$18)^2)</f>
        <v>2.02707397339293</v>
      </c>
      <c r="BE118" s="63" t="n">
        <f aca="false">MATCH(MIN(BB118:BD118),BB118:BD118,0)</f>
        <v>2</v>
      </c>
      <c r="BG118" s="17" t="n">
        <f aca="false">SQRT(($B118-BG$16)^2+($C118-BG$17)^2+($D118-BG$18)^2)</f>
        <v>4.3726654462203</v>
      </c>
      <c r="BH118" s="17" t="n">
        <f aca="false">SQRT(($B118-BH$16)^2+($C118-BH$17)^2+($D118-BH$18)^2)</f>
        <v>0.381118703341355</v>
      </c>
      <c r="BI118" s="17" t="n">
        <f aca="false">SQRT(($B118-BI$16)^2+($C118-BI$17)^2+($D118-BI$18)^2)</f>
        <v>2.02707397339293</v>
      </c>
      <c r="BJ118" s="63" t="n">
        <f aca="false">MATCH(MIN(BG118:BI118),BG118:BI118,0)</f>
        <v>2</v>
      </c>
      <c r="BL118" s="17" t="n">
        <f aca="false">SQRT(($B118-BL$16)^2+($C118-BL$17)^2+($D118-BL$18)^2)</f>
        <v>4.3726654462203</v>
      </c>
      <c r="BM118" s="17" t="n">
        <f aca="false">SQRT(($B118-BM$16)^2+($C118-BM$17)^2+($D118-BM$18)^2)</f>
        <v>0.381118703341355</v>
      </c>
      <c r="BN118" s="17" t="n">
        <f aca="false">SQRT(($B118-BN$16)^2+($C118-BN$17)^2+($D118-BN$18)^2)</f>
        <v>2.02707397339293</v>
      </c>
      <c r="BO118" s="63" t="n">
        <f aca="false">MATCH(MIN(BL118:BN118),BL118:BN118,0)</f>
        <v>2</v>
      </c>
      <c r="BQ118" s="17" t="n">
        <f aca="false">SQRT(($B118-BQ$16)^2+($C118-BQ$17)^2+($D118-BQ$18)^2)</f>
        <v>4.3726654462203</v>
      </c>
      <c r="BR118" s="17" t="n">
        <f aca="false">SQRT(($B118-BR$16)^2+($C118-BR$17)^2+($D118-BR$18)^2)</f>
        <v>0.381118703341355</v>
      </c>
      <c r="BS118" s="17" t="n">
        <f aca="false">SQRT(($B118-BS$16)^2+($C118-BS$17)^2+($D118-BS$18)^2)</f>
        <v>2.02707397339293</v>
      </c>
      <c r="BT118" s="63" t="n">
        <f aca="false">MATCH(MIN(BQ118:BS118),BQ118:BS118,0)</f>
        <v>2</v>
      </c>
      <c r="BV118" s="17" t="n">
        <f aca="false">SQRT(($B118-BV$16)^2+($C118-BV$17)^2+($D118-BV$18)^2)</f>
        <v>4.3726654462203</v>
      </c>
      <c r="BW118" s="17" t="n">
        <f aca="false">SQRT(($B118-BW$16)^2+($C118-BW$17)^2+($D118-BW$18)^2)</f>
        <v>0.381118703341355</v>
      </c>
      <c r="BX118" s="17" t="n">
        <f aca="false">SQRT(($B118-BX$16)^2+($C118-BX$17)^2+($D118-BX$18)^2)</f>
        <v>2.02707397339293</v>
      </c>
      <c r="BY118" s="63" t="n">
        <f aca="false">MATCH(MIN(BV118:BX118),BV118:BX118,0)</f>
        <v>2</v>
      </c>
      <c r="CA118" s="17" t="n">
        <f aca="false">SQRT(($B118-CA$16)^2+($C118-CA$17)^2+($D118-CA$18)^2)</f>
        <v>4.3726654462203</v>
      </c>
      <c r="CB118" s="17" t="n">
        <f aca="false">SQRT(($B118-CB$16)^2+($C118-CB$17)^2+($D118-CB$18)^2)</f>
        <v>0.381118703341355</v>
      </c>
      <c r="CC118" s="17" t="n">
        <f aca="false">SQRT(($B118-CC$16)^2+($C118-CC$17)^2+($D118-CC$18)^2)</f>
        <v>2.02707397339293</v>
      </c>
      <c r="CD118" s="63" t="n">
        <f aca="false">MATCH(MIN(CA118:CC118),CA118:CC118,0)</f>
        <v>2</v>
      </c>
    </row>
    <row r="119" customFormat="false" ht="15" hidden="false" customHeight="false" outlineLevel="0" collapsed="false">
      <c r="A119" s="76" t="n">
        <f aca="false">Phase_Data!A101</f>
        <v>43983</v>
      </c>
      <c r="B119" s="17" t="n">
        <f aca="false">Phase_Data!K101</f>
        <v>1.1820829306455</v>
      </c>
      <c r="C119" s="17" t="n">
        <f aca="false">Phase_Data!L101</f>
        <v>1.55937804008957</v>
      </c>
      <c r="D119" s="17" t="n">
        <f aca="false">Phase_Data!M101</f>
        <v>1.39884098182759</v>
      </c>
      <c r="E119" s="63" t="n">
        <f aca="false">CD119</f>
        <v>2</v>
      </c>
      <c r="F119" s="38" t="n">
        <f aca="false">($B119-INDEX($L$16:$N$16,E119))^2+($C119-INDEX($L$17:$N$17,E119))^2+($D119-INDEX($L$18:$N$18,E119))^2</f>
        <v>0.374072092794604</v>
      </c>
      <c r="G119" s="12" t="str">
        <f aca="false">INDEX($M$5:$M$7,E119)</f>
        <v>High activity</v>
      </c>
      <c r="X119" s="17" t="n">
        <f aca="false">SQRT(($B119-X$16)^2+($C119-X$17)^2+($D119-X$18)^2)</f>
        <v>4.84821523393419</v>
      </c>
      <c r="Y119" s="17" t="n">
        <f aca="false">SQRT(($B119-Y$16)^2+($C119-Y$17)^2+($D119-Y$18)^2)</f>
        <v>0.259551381524323</v>
      </c>
      <c r="Z119" s="17" t="n">
        <f aca="false">SQRT(($B119-Z$16)^2+($C119-Z$17)^2+($D119-Z$18)^2)</f>
        <v>2.83640237536381</v>
      </c>
      <c r="AA119" s="63" t="n">
        <f aca="false">MATCH(MIN(X119:Z119),X119:Z119,0)</f>
        <v>2</v>
      </c>
      <c r="AC119" s="17" t="n">
        <f aca="false">SQRT(($B119-AC$16)^2+($C119-AC$17)^2+($D119-AC$18)^2)</f>
        <v>4.47009597420823</v>
      </c>
      <c r="AD119" s="17" t="n">
        <f aca="false">SQRT(($B119-AD$16)^2+($C119-AD$17)^2+($D119-AD$18)^2)</f>
        <v>0.808492582879408</v>
      </c>
      <c r="AE119" s="17" t="n">
        <f aca="false">SQRT(($B119-AE$16)^2+($C119-AE$17)^2+($D119-AE$18)^2)</f>
        <v>2.25181182303565</v>
      </c>
      <c r="AF119" s="63" t="n">
        <f aca="false">MATCH(MIN(AC119:AE119),AC119:AE119,0)</f>
        <v>2</v>
      </c>
      <c r="AH119" s="17" t="n">
        <f aca="false">SQRT(($B119-AH$16)^2+($C119-AH$17)^2+($D119-AH$18)^2)</f>
        <v>4.55631507790627</v>
      </c>
      <c r="AI119" s="17" t="n">
        <f aca="false">SQRT(($B119-AI$16)^2+($C119-AI$17)^2+($D119-AI$18)^2)</f>
        <v>0.646724516518323</v>
      </c>
      <c r="AJ119" s="17" t="n">
        <f aca="false">SQRT(($B119-AJ$16)^2+($C119-AJ$17)^2+($D119-AJ$18)^2)</f>
        <v>2.23390399472507</v>
      </c>
      <c r="AK119" s="63" t="n">
        <f aca="false">MATCH(MIN(AH119:AJ119),AH119:AJ119,0)</f>
        <v>2</v>
      </c>
      <c r="AM119" s="17" t="n">
        <f aca="false">SQRT(($B119-AM$16)^2+($C119-AM$17)^2+($D119-AM$18)^2)</f>
        <v>4.59742228819749</v>
      </c>
      <c r="AN119" s="17" t="n">
        <f aca="false">SQRT(($B119-AN$16)^2+($C119-AN$17)^2+($D119-AN$18)^2)</f>
        <v>0.611614333378972</v>
      </c>
      <c r="AO119" s="17" t="n">
        <f aca="false">SQRT(($B119-AO$16)^2+($C119-AO$17)^2+($D119-AO$18)^2)</f>
        <v>2.24769588311071</v>
      </c>
      <c r="AP119" s="63" t="n">
        <f aca="false">MATCH(MIN(AM119:AO119),AM119:AO119,0)</f>
        <v>2</v>
      </c>
      <c r="AR119" s="17" t="n">
        <f aca="false">SQRT(($B119-AR$16)^2+($C119-AR$17)^2+($D119-AR$18)^2)</f>
        <v>4.59742228819749</v>
      </c>
      <c r="AS119" s="17" t="n">
        <f aca="false">SQRT(($B119-AS$16)^2+($C119-AS$17)^2+($D119-AS$18)^2)</f>
        <v>0.611614333378972</v>
      </c>
      <c r="AT119" s="17" t="n">
        <f aca="false">SQRT(($B119-AT$16)^2+($C119-AT$17)^2+($D119-AT$18)^2)</f>
        <v>2.24769588311071</v>
      </c>
      <c r="AU119" s="63" t="n">
        <f aca="false">MATCH(MIN(AR119:AT119),AR119:AT119,0)</f>
        <v>2</v>
      </c>
      <c r="AW119" s="17" t="n">
        <f aca="false">SQRT(($B119-AW$16)^2+($C119-AW$17)^2+($D119-AW$18)^2)</f>
        <v>4.59742228819749</v>
      </c>
      <c r="AX119" s="17" t="n">
        <f aca="false">SQRT(($B119-AX$16)^2+($C119-AX$17)^2+($D119-AX$18)^2)</f>
        <v>0.611614333378972</v>
      </c>
      <c r="AY119" s="17" t="n">
        <f aca="false">SQRT(($B119-AY$16)^2+($C119-AY$17)^2+($D119-AY$18)^2)</f>
        <v>2.24769588311071</v>
      </c>
      <c r="AZ119" s="63" t="n">
        <f aca="false">MATCH(MIN(AW119:AY119),AW119:AY119,0)</f>
        <v>2</v>
      </c>
      <c r="BB119" s="17" t="n">
        <f aca="false">SQRT(($B119-BB$16)^2+($C119-BB$17)^2+($D119-BB$18)^2)</f>
        <v>4.59742228819749</v>
      </c>
      <c r="BC119" s="17" t="n">
        <f aca="false">SQRT(($B119-BC$16)^2+($C119-BC$17)^2+($D119-BC$18)^2)</f>
        <v>0.611614333378972</v>
      </c>
      <c r="BD119" s="17" t="n">
        <f aca="false">SQRT(($B119-BD$16)^2+($C119-BD$17)^2+($D119-BD$18)^2)</f>
        <v>2.24769588311071</v>
      </c>
      <c r="BE119" s="63" t="n">
        <f aca="false">MATCH(MIN(BB119:BD119),BB119:BD119,0)</f>
        <v>2</v>
      </c>
      <c r="BG119" s="17" t="n">
        <f aca="false">SQRT(($B119-BG$16)^2+($C119-BG$17)^2+($D119-BG$18)^2)</f>
        <v>4.59742228819749</v>
      </c>
      <c r="BH119" s="17" t="n">
        <f aca="false">SQRT(($B119-BH$16)^2+($C119-BH$17)^2+($D119-BH$18)^2)</f>
        <v>0.611614333378972</v>
      </c>
      <c r="BI119" s="17" t="n">
        <f aca="false">SQRT(($B119-BI$16)^2+($C119-BI$17)^2+($D119-BI$18)^2)</f>
        <v>2.24769588311071</v>
      </c>
      <c r="BJ119" s="63" t="n">
        <f aca="false">MATCH(MIN(BG119:BI119),BG119:BI119,0)</f>
        <v>2</v>
      </c>
      <c r="BL119" s="17" t="n">
        <f aca="false">SQRT(($B119-BL$16)^2+($C119-BL$17)^2+($D119-BL$18)^2)</f>
        <v>4.59742228819749</v>
      </c>
      <c r="BM119" s="17" t="n">
        <f aca="false">SQRT(($B119-BM$16)^2+($C119-BM$17)^2+($D119-BM$18)^2)</f>
        <v>0.611614333378972</v>
      </c>
      <c r="BN119" s="17" t="n">
        <f aca="false">SQRT(($B119-BN$16)^2+($C119-BN$17)^2+($D119-BN$18)^2)</f>
        <v>2.24769588311071</v>
      </c>
      <c r="BO119" s="63" t="n">
        <f aca="false">MATCH(MIN(BL119:BN119),BL119:BN119,0)</f>
        <v>2</v>
      </c>
      <c r="BQ119" s="17" t="n">
        <f aca="false">SQRT(($B119-BQ$16)^2+($C119-BQ$17)^2+($D119-BQ$18)^2)</f>
        <v>4.59742228819749</v>
      </c>
      <c r="BR119" s="17" t="n">
        <f aca="false">SQRT(($B119-BR$16)^2+($C119-BR$17)^2+($D119-BR$18)^2)</f>
        <v>0.611614333378972</v>
      </c>
      <c r="BS119" s="17" t="n">
        <f aca="false">SQRT(($B119-BS$16)^2+($C119-BS$17)^2+($D119-BS$18)^2)</f>
        <v>2.24769588311071</v>
      </c>
      <c r="BT119" s="63" t="n">
        <f aca="false">MATCH(MIN(BQ119:BS119),BQ119:BS119,0)</f>
        <v>2</v>
      </c>
      <c r="BV119" s="17" t="n">
        <f aca="false">SQRT(($B119-BV$16)^2+($C119-BV$17)^2+($D119-BV$18)^2)</f>
        <v>4.59742228819749</v>
      </c>
      <c r="BW119" s="17" t="n">
        <f aca="false">SQRT(($B119-BW$16)^2+($C119-BW$17)^2+($D119-BW$18)^2)</f>
        <v>0.611614333378972</v>
      </c>
      <c r="BX119" s="17" t="n">
        <f aca="false">SQRT(($B119-BX$16)^2+($C119-BX$17)^2+($D119-BX$18)^2)</f>
        <v>2.24769588311071</v>
      </c>
      <c r="BY119" s="63" t="n">
        <f aca="false">MATCH(MIN(BV119:BX119),BV119:BX119,0)</f>
        <v>2</v>
      </c>
      <c r="CA119" s="17" t="n">
        <f aca="false">SQRT(($B119-CA$16)^2+($C119-CA$17)^2+($D119-CA$18)^2)</f>
        <v>4.59742228819749</v>
      </c>
      <c r="CB119" s="17" t="n">
        <f aca="false">SQRT(($B119-CB$16)^2+($C119-CB$17)^2+($D119-CB$18)^2)</f>
        <v>0.611614333378972</v>
      </c>
      <c r="CC119" s="17" t="n">
        <f aca="false">SQRT(($B119-CC$16)^2+($C119-CC$17)^2+($D119-CC$18)^2)</f>
        <v>2.24769588311071</v>
      </c>
      <c r="CD119" s="63" t="n">
        <f aca="false">MATCH(MIN(CA119:CC119),CA119:CC119,0)</f>
        <v>2</v>
      </c>
    </row>
    <row r="120" customFormat="false" ht="15" hidden="false" customHeight="false" outlineLevel="0" collapsed="false">
      <c r="A120" s="76" t="n">
        <f aca="false">Phase_Data!A102</f>
        <v>43984</v>
      </c>
      <c r="B120" s="17" t="n">
        <f aca="false">Phase_Data!K102</f>
        <v>1.21851883489044</v>
      </c>
      <c r="C120" s="17" t="n">
        <f aca="false">Phase_Data!L102</f>
        <v>1.4772506522283</v>
      </c>
      <c r="D120" s="17" t="n">
        <f aca="false">Phase_Data!M102</f>
        <v>1.64234547192197</v>
      </c>
      <c r="E120" s="63" t="n">
        <f aca="false">CD120</f>
        <v>2</v>
      </c>
      <c r="F120" s="38" t="n">
        <f aca="false">($B120-INDEX($L$16:$N$16,E120))^2+($C120-INDEX($L$17:$N$17,E120))^2+($D120-INDEX($L$18:$N$18,E120))^2</f>
        <v>0.508555198451485</v>
      </c>
      <c r="G120" s="12" t="str">
        <f aca="false">INDEX($M$5:$M$7,E120)</f>
        <v>High activity</v>
      </c>
      <c r="X120" s="17" t="n">
        <f aca="false">SQRT(($B120-X$16)^2+($C120-X$17)^2+($D120-X$18)^2)</f>
        <v>4.95871515419071</v>
      </c>
      <c r="Y120" s="17" t="n">
        <f aca="false">SQRT(($B120-Y$16)^2+($C120-Y$17)^2+($D120-Y$18)^2)</f>
        <v>0</v>
      </c>
      <c r="Z120" s="17" t="n">
        <f aca="false">SQRT(($B120-Z$16)^2+($C120-Z$17)^2+($D120-Z$18)^2)</f>
        <v>3.05379511527646</v>
      </c>
      <c r="AA120" s="63" t="n">
        <f aca="false">MATCH(MIN(X120:Z120),X120:Z120,0)</f>
        <v>2</v>
      </c>
      <c r="AC120" s="17" t="n">
        <f aca="false">SQRT(($B120-AC$16)^2+($C120-AC$17)^2+($D120-AC$18)^2)</f>
        <v>4.58111813201661</v>
      </c>
      <c r="AD120" s="17" t="n">
        <f aca="false">SQRT(($B120-AD$16)^2+($C120-AD$17)^2+($D120-AD$18)^2)</f>
        <v>0.897849493887124</v>
      </c>
      <c r="AE120" s="17" t="n">
        <f aca="false">SQRT(($B120-AE$16)^2+($C120-AE$17)^2+($D120-AE$18)^2)</f>
        <v>2.39076298573438</v>
      </c>
      <c r="AF120" s="63" t="n">
        <f aca="false">MATCH(MIN(AC120:AE120),AC120:AE120,0)</f>
        <v>2</v>
      </c>
      <c r="AH120" s="17" t="n">
        <f aca="false">SQRT(($B120-AH$16)^2+($C120-AH$17)^2+($D120-AH$18)^2)</f>
        <v>4.66798381350004</v>
      </c>
      <c r="AI120" s="17" t="n">
        <f aca="false">SQRT(($B120-AI$16)^2+($C120-AI$17)^2+($D120-AI$18)^2)</f>
        <v>0.743381753512869</v>
      </c>
      <c r="AJ120" s="17" t="n">
        <f aca="false">SQRT(($B120-AJ$16)^2+($C120-AJ$17)^2+($D120-AJ$18)^2)</f>
        <v>2.36355325306235</v>
      </c>
      <c r="AK120" s="63" t="n">
        <f aca="false">MATCH(MIN(AH120:AJ120),AH120:AJ120,0)</f>
        <v>2</v>
      </c>
      <c r="AM120" s="17" t="n">
        <f aca="false">SQRT(($B120-AM$16)^2+($C120-AM$17)^2+($D120-AM$18)^2)</f>
        <v>4.70928272121507</v>
      </c>
      <c r="AN120" s="17" t="n">
        <f aca="false">SQRT(($B120-AN$16)^2+($C120-AN$17)^2+($D120-AN$18)^2)</f>
        <v>0.713130561995127</v>
      </c>
      <c r="AO120" s="17" t="n">
        <f aca="false">SQRT(($B120-AO$16)^2+($C120-AO$17)^2+($D120-AO$18)^2)</f>
        <v>2.3748533419763</v>
      </c>
      <c r="AP120" s="63" t="n">
        <f aca="false">MATCH(MIN(AM120:AO120),AM120:AO120,0)</f>
        <v>2</v>
      </c>
      <c r="AR120" s="17" t="n">
        <f aca="false">SQRT(($B120-AR$16)^2+($C120-AR$17)^2+($D120-AR$18)^2)</f>
        <v>4.70928272121507</v>
      </c>
      <c r="AS120" s="17" t="n">
        <f aca="false">SQRT(($B120-AS$16)^2+($C120-AS$17)^2+($D120-AS$18)^2)</f>
        <v>0.713130561995127</v>
      </c>
      <c r="AT120" s="17" t="n">
        <f aca="false">SQRT(($B120-AT$16)^2+($C120-AT$17)^2+($D120-AT$18)^2)</f>
        <v>2.3748533419763</v>
      </c>
      <c r="AU120" s="63" t="n">
        <f aca="false">MATCH(MIN(AR120:AT120),AR120:AT120,0)</f>
        <v>2</v>
      </c>
      <c r="AW120" s="17" t="n">
        <f aca="false">SQRT(($B120-AW$16)^2+($C120-AW$17)^2+($D120-AW$18)^2)</f>
        <v>4.70928272121507</v>
      </c>
      <c r="AX120" s="17" t="n">
        <f aca="false">SQRT(($B120-AX$16)^2+($C120-AX$17)^2+($D120-AX$18)^2)</f>
        <v>0.713130561995127</v>
      </c>
      <c r="AY120" s="17" t="n">
        <f aca="false">SQRT(($B120-AY$16)^2+($C120-AY$17)^2+($D120-AY$18)^2)</f>
        <v>2.3748533419763</v>
      </c>
      <c r="AZ120" s="63" t="n">
        <f aca="false">MATCH(MIN(AW120:AY120),AW120:AY120,0)</f>
        <v>2</v>
      </c>
      <c r="BB120" s="17" t="n">
        <f aca="false">SQRT(($B120-BB$16)^2+($C120-BB$17)^2+($D120-BB$18)^2)</f>
        <v>4.70928272121507</v>
      </c>
      <c r="BC120" s="17" t="n">
        <f aca="false">SQRT(($B120-BC$16)^2+($C120-BC$17)^2+($D120-BC$18)^2)</f>
        <v>0.713130561995127</v>
      </c>
      <c r="BD120" s="17" t="n">
        <f aca="false">SQRT(($B120-BD$16)^2+($C120-BD$17)^2+($D120-BD$18)^2)</f>
        <v>2.3748533419763</v>
      </c>
      <c r="BE120" s="63" t="n">
        <f aca="false">MATCH(MIN(BB120:BD120),BB120:BD120,0)</f>
        <v>2</v>
      </c>
      <c r="BG120" s="17" t="n">
        <f aca="false">SQRT(($B120-BG$16)^2+($C120-BG$17)^2+($D120-BG$18)^2)</f>
        <v>4.70928272121507</v>
      </c>
      <c r="BH120" s="17" t="n">
        <f aca="false">SQRT(($B120-BH$16)^2+($C120-BH$17)^2+($D120-BH$18)^2)</f>
        <v>0.713130561995127</v>
      </c>
      <c r="BI120" s="17" t="n">
        <f aca="false">SQRT(($B120-BI$16)^2+($C120-BI$17)^2+($D120-BI$18)^2)</f>
        <v>2.3748533419763</v>
      </c>
      <c r="BJ120" s="63" t="n">
        <f aca="false">MATCH(MIN(BG120:BI120),BG120:BI120,0)</f>
        <v>2</v>
      </c>
      <c r="BL120" s="17" t="n">
        <f aca="false">SQRT(($B120-BL$16)^2+($C120-BL$17)^2+($D120-BL$18)^2)</f>
        <v>4.70928272121507</v>
      </c>
      <c r="BM120" s="17" t="n">
        <f aca="false">SQRT(($B120-BM$16)^2+($C120-BM$17)^2+($D120-BM$18)^2)</f>
        <v>0.713130561995127</v>
      </c>
      <c r="BN120" s="17" t="n">
        <f aca="false">SQRT(($B120-BN$16)^2+($C120-BN$17)^2+($D120-BN$18)^2)</f>
        <v>2.3748533419763</v>
      </c>
      <c r="BO120" s="63" t="n">
        <f aca="false">MATCH(MIN(BL120:BN120),BL120:BN120,0)</f>
        <v>2</v>
      </c>
      <c r="BQ120" s="17" t="n">
        <f aca="false">SQRT(($B120-BQ$16)^2+($C120-BQ$17)^2+($D120-BQ$18)^2)</f>
        <v>4.70928272121507</v>
      </c>
      <c r="BR120" s="17" t="n">
        <f aca="false">SQRT(($B120-BR$16)^2+($C120-BR$17)^2+($D120-BR$18)^2)</f>
        <v>0.713130561995127</v>
      </c>
      <c r="BS120" s="17" t="n">
        <f aca="false">SQRT(($B120-BS$16)^2+($C120-BS$17)^2+($D120-BS$18)^2)</f>
        <v>2.3748533419763</v>
      </c>
      <c r="BT120" s="63" t="n">
        <f aca="false">MATCH(MIN(BQ120:BS120),BQ120:BS120,0)</f>
        <v>2</v>
      </c>
      <c r="BV120" s="17" t="n">
        <f aca="false">SQRT(($B120-BV$16)^2+($C120-BV$17)^2+($D120-BV$18)^2)</f>
        <v>4.70928272121507</v>
      </c>
      <c r="BW120" s="17" t="n">
        <f aca="false">SQRT(($B120-BW$16)^2+($C120-BW$17)^2+($D120-BW$18)^2)</f>
        <v>0.713130561995127</v>
      </c>
      <c r="BX120" s="17" t="n">
        <f aca="false">SQRT(($B120-BX$16)^2+($C120-BX$17)^2+($D120-BX$18)^2)</f>
        <v>2.3748533419763</v>
      </c>
      <c r="BY120" s="63" t="n">
        <f aca="false">MATCH(MIN(BV120:BX120),BV120:BX120,0)</f>
        <v>2</v>
      </c>
      <c r="CA120" s="17" t="n">
        <f aca="false">SQRT(($B120-CA$16)^2+($C120-CA$17)^2+($D120-CA$18)^2)</f>
        <v>4.70928272121507</v>
      </c>
      <c r="CB120" s="17" t="n">
        <f aca="false">SQRT(($B120-CB$16)^2+($C120-CB$17)^2+($D120-CB$18)^2)</f>
        <v>0.713130561995127</v>
      </c>
      <c r="CC120" s="17" t="n">
        <f aca="false">SQRT(($B120-CC$16)^2+($C120-CC$17)^2+($D120-CC$18)^2)</f>
        <v>2.3748533419763</v>
      </c>
      <c r="CD120" s="63" t="n">
        <f aca="false">MATCH(MIN(CA120:CC120),CA120:CC120,0)</f>
        <v>2</v>
      </c>
    </row>
    <row r="121" customFormat="false" ht="15" hidden="false" customHeight="false" outlineLevel="0" collapsed="false">
      <c r="A121" s="76" t="n">
        <f aca="false">Phase_Data!A103</f>
        <v>43985</v>
      </c>
      <c r="B121" s="17" t="n">
        <f aca="false">Phase_Data!K103</f>
        <v>1.2574940928439</v>
      </c>
      <c r="C121" s="17" t="n">
        <f aca="false">Phase_Data!L103</f>
        <v>1.59291595184262</v>
      </c>
      <c r="D121" s="17" t="n">
        <f aca="false">Phase_Data!M103</f>
        <v>1.46047307719617</v>
      </c>
      <c r="E121" s="63" t="n">
        <f aca="false">CD121</f>
        <v>2</v>
      </c>
      <c r="F121" s="38" t="n">
        <f aca="false">($B121-INDEX($L$16:$N$16,E121))^2+($C121-INDEX($L$17:$N$17,E121))^2+($D121-INDEX($L$18:$N$18,E121))^2</f>
        <v>0.492820000907681</v>
      </c>
      <c r="G121" s="12" t="str">
        <f aca="false">INDEX($M$5:$M$7,E121)</f>
        <v>High activity</v>
      </c>
      <c r="X121" s="17" t="n">
        <f aca="false">SQRT(($B121-X$16)^2+($C121-X$17)^2+($D121-X$18)^2)</f>
        <v>4.94558812533153</v>
      </c>
      <c r="Y121" s="17" t="n">
        <f aca="false">SQRT(($B121-Y$16)^2+($C121-Y$17)^2+($D121-Y$18)^2)</f>
        <v>0.219032189941813</v>
      </c>
      <c r="Z121" s="17" t="n">
        <f aca="false">SQRT(($B121-Z$16)^2+($C121-Z$17)^2+($D121-Z$18)^2)</f>
        <v>2.91831541291988</v>
      </c>
      <c r="AA121" s="63" t="n">
        <f aca="false">MATCH(MIN(X121:Z121),X121:Z121,0)</f>
        <v>2</v>
      </c>
      <c r="AC121" s="17" t="n">
        <f aca="false">SQRT(($B121-AC$16)^2+($C121-AC$17)^2+($D121-AC$18)^2)</f>
        <v>4.56646247662117</v>
      </c>
      <c r="AD121" s="17" t="n">
        <f aca="false">SQRT(($B121-AD$16)^2+($C121-AD$17)^2+($D121-AD$18)^2)</f>
        <v>0.898243541732231</v>
      </c>
      <c r="AE121" s="17" t="n">
        <f aca="false">SQRT(($B121-AE$16)^2+($C121-AE$17)^2+($D121-AE$18)^2)</f>
        <v>2.34438771220272</v>
      </c>
      <c r="AF121" s="63" t="n">
        <f aca="false">MATCH(MIN(AC121:AE121),AC121:AE121,0)</f>
        <v>2</v>
      </c>
      <c r="AH121" s="17" t="n">
        <f aca="false">SQRT(($B121-AH$16)^2+($C121-AH$17)^2+($D121-AH$18)^2)</f>
        <v>4.65293349486781</v>
      </c>
      <c r="AI121" s="17" t="n">
        <f aca="false">SQRT(($B121-AI$16)^2+($C121-AI$17)^2+($D121-AI$18)^2)</f>
        <v>0.736385854656008</v>
      </c>
      <c r="AJ121" s="17" t="n">
        <f aca="false">SQRT(($B121-AJ$16)^2+($C121-AJ$17)^2+($D121-AJ$18)^2)</f>
        <v>2.32655017790793</v>
      </c>
      <c r="AK121" s="63" t="n">
        <f aca="false">MATCH(MIN(AH121:AJ121),AH121:AJ121,0)</f>
        <v>2</v>
      </c>
      <c r="AM121" s="17" t="n">
        <f aca="false">SQRT(($B121-AM$16)^2+($C121-AM$17)^2+($D121-AM$18)^2)</f>
        <v>4.69419711004277</v>
      </c>
      <c r="AN121" s="17" t="n">
        <f aca="false">SQRT(($B121-AN$16)^2+($C121-AN$17)^2+($D121-AN$18)^2)</f>
        <v>0.702011396565384</v>
      </c>
      <c r="AO121" s="17" t="n">
        <f aca="false">SQRT(($B121-AO$16)^2+($C121-AO$17)^2+($D121-AO$18)^2)</f>
        <v>2.34012517500187</v>
      </c>
      <c r="AP121" s="63" t="n">
        <f aca="false">MATCH(MIN(AM121:AO121),AM121:AO121,0)</f>
        <v>2</v>
      </c>
      <c r="AR121" s="17" t="n">
        <f aca="false">SQRT(($B121-AR$16)^2+($C121-AR$17)^2+($D121-AR$18)^2)</f>
        <v>4.69419711004277</v>
      </c>
      <c r="AS121" s="17" t="n">
        <f aca="false">SQRT(($B121-AS$16)^2+($C121-AS$17)^2+($D121-AS$18)^2)</f>
        <v>0.702011396565384</v>
      </c>
      <c r="AT121" s="17" t="n">
        <f aca="false">SQRT(($B121-AT$16)^2+($C121-AT$17)^2+($D121-AT$18)^2)</f>
        <v>2.34012517500187</v>
      </c>
      <c r="AU121" s="63" t="n">
        <f aca="false">MATCH(MIN(AR121:AT121),AR121:AT121,0)</f>
        <v>2</v>
      </c>
      <c r="AW121" s="17" t="n">
        <f aca="false">SQRT(($B121-AW$16)^2+($C121-AW$17)^2+($D121-AW$18)^2)</f>
        <v>4.69419711004277</v>
      </c>
      <c r="AX121" s="17" t="n">
        <f aca="false">SQRT(($B121-AX$16)^2+($C121-AX$17)^2+($D121-AX$18)^2)</f>
        <v>0.702011396565384</v>
      </c>
      <c r="AY121" s="17" t="n">
        <f aca="false">SQRT(($B121-AY$16)^2+($C121-AY$17)^2+($D121-AY$18)^2)</f>
        <v>2.34012517500187</v>
      </c>
      <c r="AZ121" s="63" t="n">
        <f aca="false">MATCH(MIN(AW121:AY121),AW121:AY121,0)</f>
        <v>2</v>
      </c>
      <c r="BB121" s="17" t="n">
        <f aca="false">SQRT(($B121-BB$16)^2+($C121-BB$17)^2+($D121-BB$18)^2)</f>
        <v>4.69419711004277</v>
      </c>
      <c r="BC121" s="17" t="n">
        <f aca="false">SQRT(($B121-BC$16)^2+($C121-BC$17)^2+($D121-BC$18)^2)</f>
        <v>0.702011396565384</v>
      </c>
      <c r="BD121" s="17" t="n">
        <f aca="false">SQRT(($B121-BD$16)^2+($C121-BD$17)^2+($D121-BD$18)^2)</f>
        <v>2.34012517500187</v>
      </c>
      <c r="BE121" s="63" t="n">
        <f aca="false">MATCH(MIN(BB121:BD121),BB121:BD121,0)</f>
        <v>2</v>
      </c>
      <c r="BG121" s="17" t="n">
        <f aca="false">SQRT(($B121-BG$16)^2+($C121-BG$17)^2+($D121-BG$18)^2)</f>
        <v>4.69419711004277</v>
      </c>
      <c r="BH121" s="17" t="n">
        <f aca="false">SQRT(($B121-BH$16)^2+($C121-BH$17)^2+($D121-BH$18)^2)</f>
        <v>0.702011396565384</v>
      </c>
      <c r="BI121" s="17" t="n">
        <f aca="false">SQRT(($B121-BI$16)^2+($C121-BI$17)^2+($D121-BI$18)^2)</f>
        <v>2.34012517500187</v>
      </c>
      <c r="BJ121" s="63" t="n">
        <f aca="false">MATCH(MIN(BG121:BI121),BG121:BI121,0)</f>
        <v>2</v>
      </c>
      <c r="BL121" s="17" t="n">
        <f aca="false">SQRT(($B121-BL$16)^2+($C121-BL$17)^2+($D121-BL$18)^2)</f>
        <v>4.69419711004277</v>
      </c>
      <c r="BM121" s="17" t="n">
        <f aca="false">SQRT(($B121-BM$16)^2+($C121-BM$17)^2+($D121-BM$18)^2)</f>
        <v>0.702011396565384</v>
      </c>
      <c r="BN121" s="17" t="n">
        <f aca="false">SQRT(($B121-BN$16)^2+($C121-BN$17)^2+($D121-BN$18)^2)</f>
        <v>2.34012517500187</v>
      </c>
      <c r="BO121" s="63" t="n">
        <f aca="false">MATCH(MIN(BL121:BN121),BL121:BN121,0)</f>
        <v>2</v>
      </c>
      <c r="BQ121" s="17" t="n">
        <f aca="false">SQRT(($B121-BQ$16)^2+($C121-BQ$17)^2+($D121-BQ$18)^2)</f>
        <v>4.69419711004277</v>
      </c>
      <c r="BR121" s="17" t="n">
        <f aca="false">SQRT(($B121-BR$16)^2+($C121-BR$17)^2+($D121-BR$18)^2)</f>
        <v>0.702011396565384</v>
      </c>
      <c r="BS121" s="17" t="n">
        <f aca="false">SQRT(($B121-BS$16)^2+($C121-BS$17)^2+($D121-BS$18)^2)</f>
        <v>2.34012517500187</v>
      </c>
      <c r="BT121" s="63" t="n">
        <f aca="false">MATCH(MIN(BQ121:BS121),BQ121:BS121,0)</f>
        <v>2</v>
      </c>
      <c r="BV121" s="17" t="n">
        <f aca="false">SQRT(($B121-BV$16)^2+($C121-BV$17)^2+($D121-BV$18)^2)</f>
        <v>4.69419711004277</v>
      </c>
      <c r="BW121" s="17" t="n">
        <f aca="false">SQRT(($B121-BW$16)^2+($C121-BW$17)^2+($D121-BW$18)^2)</f>
        <v>0.702011396565384</v>
      </c>
      <c r="BX121" s="17" t="n">
        <f aca="false">SQRT(($B121-BX$16)^2+($C121-BX$17)^2+($D121-BX$18)^2)</f>
        <v>2.34012517500187</v>
      </c>
      <c r="BY121" s="63" t="n">
        <f aca="false">MATCH(MIN(BV121:BX121),BV121:BX121,0)</f>
        <v>2</v>
      </c>
      <c r="CA121" s="17" t="n">
        <f aca="false">SQRT(($B121-CA$16)^2+($C121-CA$17)^2+($D121-CA$18)^2)</f>
        <v>4.69419711004277</v>
      </c>
      <c r="CB121" s="17" t="n">
        <f aca="false">SQRT(($B121-CB$16)^2+($C121-CB$17)^2+($D121-CB$18)^2)</f>
        <v>0.702011396565384</v>
      </c>
      <c r="CC121" s="17" t="n">
        <f aca="false">SQRT(($B121-CC$16)^2+($C121-CC$17)^2+($D121-CC$18)^2)</f>
        <v>2.34012517500187</v>
      </c>
      <c r="CD121" s="63" t="n">
        <f aca="false">MATCH(MIN(CA121:CC121),CA121:CC121,0)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M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6" min="3" style="0" width="13"/>
    <col collapsed="false" customWidth="true" hidden="false" outlineLevel="0" max="7" min="7" style="0" width="11"/>
    <col collapsed="false" customWidth="true" hidden="false" outlineLevel="0" max="8" min="8" style="0" width="3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3" min="12" style="0" width="12"/>
    <col collapsed="false" customWidth="true" hidden="false" outlineLevel="0" max="14" min="14" style="0" width="13"/>
  </cols>
  <sheetData>
    <row r="1" customFormat="false" ht="19.7" hidden="false" customHeight="false" outlineLevel="0" collapsed="false">
      <c r="A1" s="1" t="s">
        <v>785</v>
      </c>
    </row>
    <row r="2" customFormat="false" ht="15" hidden="false" customHeight="false" outlineLevel="0" collapsed="false">
      <c r="A2" s="2" t="s">
        <v>786</v>
      </c>
    </row>
    <row r="4" customFormat="false" ht="31.5" hidden="false" customHeight="true" outlineLevel="0" collapsed="false">
      <c r="A4" s="10" t="s">
        <v>548</v>
      </c>
      <c r="B4" s="10" t="s">
        <v>39</v>
      </c>
      <c r="C4" s="10" t="s">
        <v>586</v>
      </c>
      <c r="D4" s="10" t="s">
        <v>587</v>
      </c>
      <c r="E4" s="10" t="s">
        <v>588</v>
      </c>
      <c r="F4" s="10" t="s">
        <v>589</v>
      </c>
      <c r="G4" s="10" t="s">
        <v>590</v>
      </c>
      <c r="H4" s="10" t="s">
        <v>698</v>
      </c>
      <c r="I4" s="10" t="s">
        <v>699</v>
      </c>
      <c r="J4" s="10" t="s">
        <v>700</v>
      </c>
      <c r="K4" s="10" t="s">
        <v>701</v>
      </c>
      <c r="L4" s="10" t="s">
        <v>702</v>
      </c>
      <c r="M4" s="10" t="s">
        <v>703</v>
      </c>
    </row>
    <row r="5" customFormat="false" ht="15" hidden="false" customHeight="false" outlineLevel="0" collapsed="false">
      <c r="A5" s="36" t="s">
        <v>112</v>
      </c>
      <c r="B5" s="12" t="n">
        <f aca="false">COUNTIF(Data!$E$2:$E$2797,$A5)</f>
        <v>2533</v>
      </c>
      <c r="C5" s="13" t="n">
        <f aca="false">SUMIF(Data!$E$2:$E$2797,$A5,Data!$B$2:$B$2797)</f>
        <v>78118</v>
      </c>
      <c r="D5" s="13" t="n">
        <f aca="false">SUMIF(Data!$E$2:$E$2797,$A5,Data!$C$2:$C$2797)</f>
        <v>1627</v>
      </c>
      <c r="E5" s="13" t="n">
        <f aca="false">SUMIF(Data!$E$2:$E$2797,$A5,Data!$D$2:$D$2797)</f>
        <v>23588</v>
      </c>
      <c r="F5" s="13" t="n">
        <f aca="false">C5-D5-E5</f>
        <v>52903</v>
      </c>
      <c r="G5" s="26" t="n">
        <f aca="false">IF(C5=0,0,D5/C5*100)</f>
        <v>2.08274661409662</v>
      </c>
      <c r="H5" s="38" t="n">
        <f aca="false">IF(Clustering_Guide!$C$7=1,LN(1+MAX(C5,0)),C5)</f>
        <v>11.2659885840894</v>
      </c>
      <c r="I5" s="38" t="n">
        <f aca="false">IF(Clustering_Guide!$C$7=1,LN(1+MAX(D5,0)),D5)</f>
        <v>7.39510754656249</v>
      </c>
      <c r="J5" s="38" t="n">
        <f aca="false">IF(Clustering_Guide!$C$7=1,LN(1+MAX(E5,0)),E5)</f>
        <v>10.0685357806596</v>
      </c>
      <c r="K5" s="38" t="n">
        <f aca="false">(H5-AVERAGE(H$5:H$19))/STDEV(H$5:H$19)</f>
        <v>2.29982752189237</v>
      </c>
      <c r="L5" s="38" t="n">
        <f aca="false">(I5-AVERAGE(I$5:I$19))/STDEV(I$5:I$19)</f>
        <v>2.90182235621279</v>
      </c>
      <c r="M5" s="38" t="n">
        <f aca="false">(J5-AVERAGE(J$5:J$19))/STDEV(J$5:J$19)</f>
        <v>2.38870140891633</v>
      </c>
    </row>
    <row r="6" customFormat="false" ht="15" hidden="false" customHeight="false" outlineLevel="0" collapsed="false">
      <c r="A6" s="36" t="s">
        <v>114</v>
      </c>
      <c r="B6" s="12" t="n">
        <f aca="false">COUNTIF(Data!$E$2:$E$2797,$A6)</f>
        <v>123</v>
      </c>
      <c r="C6" s="13" t="n">
        <f aca="false">SUMIF(Data!$E$2:$E$2797,$A6,Data!$B$2:$B$2797)</f>
        <v>3459</v>
      </c>
      <c r="D6" s="13" t="n">
        <f aca="false">SUMIF(Data!$E$2:$E$2797,$A6,Data!$C$2:$C$2797)</f>
        <v>84</v>
      </c>
      <c r="E6" s="13" t="n">
        <f aca="false">SUMIF(Data!$E$2:$E$2797,$A6,Data!$D$2:$D$2797)</f>
        <v>440</v>
      </c>
      <c r="F6" s="13" t="n">
        <f aca="false">C6-D6-E6</f>
        <v>2935</v>
      </c>
      <c r="G6" s="26" t="n">
        <f aca="false">IF(C6=0,0,D6/C6*100)</f>
        <v>2.42844752818734</v>
      </c>
      <c r="H6" s="38" t="n">
        <f aca="false">IF(Clustering_Guide!$C$7=1,LN(1+MAX(C6,0)),C6)</f>
        <v>8.14902386805177</v>
      </c>
      <c r="I6" s="38" t="n">
        <f aca="false">IF(Clustering_Guide!$C$7=1,LN(1+MAX(D6,0)),D6)</f>
        <v>4.44265125649032</v>
      </c>
      <c r="J6" s="38" t="n">
        <f aca="false">IF(Clustering_Guide!$C$7=1,LN(1+MAX(E6,0)),E6)</f>
        <v>6.08904487544685</v>
      </c>
      <c r="K6" s="38" t="n">
        <f aca="false">(H6-AVERAGE(H$5:H$19))/STDEV(H$5:H$19)</f>
        <v>1.34737261021607</v>
      </c>
      <c r="L6" s="38" t="n">
        <f aca="false">(I6-AVERAGE(I$5:I$19))/STDEV(I$5:I$19)</f>
        <v>1.53639668327942</v>
      </c>
      <c r="M6" s="38" t="n">
        <f aca="false">(J6-AVERAGE(J$5:J$19))/STDEV(J$5:J$19)</f>
        <v>1.15625763344114</v>
      </c>
    </row>
    <row r="7" customFormat="false" ht="15" hidden="false" customHeight="false" outlineLevel="0" collapsed="false">
      <c r="A7" s="36" t="s">
        <v>116</v>
      </c>
      <c r="B7" s="12" t="n">
        <f aca="false">COUNTIF(Data!$E$2:$E$2797,$A7)</f>
        <v>23</v>
      </c>
      <c r="C7" s="13" t="n">
        <f aca="false">SUMIF(Data!$E$2:$E$2797,$A7,Data!$B$2:$B$2797)</f>
        <v>1115</v>
      </c>
      <c r="D7" s="13" t="n">
        <f aca="false">SUMIF(Data!$E$2:$E$2797,$A7,Data!$C$2:$C$2797)</f>
        <v>5</v>
      </c>
      <c r="E7" s="13" t="n">
        <f aca="false">SUMIF(Data!$E$2:$E$2797,$A7,Data!$D$2:$D$2797)</f>
        <v>142</v>
      </c>
      <c r="F7" s="13" t="n">
        <f aca="false">C7-D7-E7</f>
        <v>968</v>
      </c>
      <c r="G7" s="26" t="n">
        <f aca="false">IF(C7=0,0,D7/C7*100)</f>
        <v>0.448430493273543</v>
      </c>
      <c r="H7" s="38" t="n">
        <f aca="false">IF(Clustering_Guide!$C$7=1,LN(1+MAX(C7,0)),C7)</f>
        <v>7.01750614294126</v>
      </c>
      <c r="I7" s="38" t="n">
        <f aca="false">IF(Clustering_Guide!$C$7=1,LN(1+MAX(D7,0)),D7)</f>
        <v>1.79175946922806</v>
      </c>
      <c r="J7" s="38" t="n">
        <f aca="false">IF(Clustering_Guide!$C$7=1,LN(1+MAX(E7,0)),E7)</f>
        <v>4.96284463025991</v>
      </c>
      <c r="K7" s="38" t="n">
        <f aca="false">(H7-AVERAGE(H$5:H$19))/STDEV(H$5:H$19)</f>
        <v>1.0016132856446</v>
      </c>
      <c r="L7" s="38" t="n">
        <f aca="false">(I7-AVERAGE(I$5:I$19))/STDEV(I$5:I$19)</f>
        <v>0.310435874082269</v>
      </c>
      <c r="M7" s="38" t="n">
        <f aca="false">(J7-AVERAGE(J$5:J$19))/STDEV(J$5:J$19)</f>
        <v>0.80747470738868</v>
      </c>
    </row>
    <row r="8" customFormat="false" ht="15" hidden="false" customHeight="false" outlineLevel="0" collapsed="false">
      <c r="A8" s="36" t="s">
        <v>118</v>
      </c>
      <c r="B8" s="12" t="n">
        <f aca="false">COUNTIF(Data!$E$2:$E$2797,$A8)</f>
        <v>88</v>
      </c>
      <c r="C8" s="13" t="n">
        <f aca="false">SUMIF(Data!$E$2:$E$2797,$A8,Data!$B$2:$B$2797)</f>
        <v>1053</v>
      </c>
      <c r="D8" s="13" t="n">
        <f aca="false">SUMIF(Data!$E$2:$E$2797,$A8,Data!$C$2:$C$2797)</f>
        <v>11</v>
      </c>
      <c r="E8" s="13" t="n">
        <f aca="false">SUMIF(Data!$E$2:$E$2797,$A8,Data!$D$2:$D$2797)</f>
        <v>501</v>
      </c>
      <c r="F8" s="13" t="n">
        <f aca="false">C8-D8-E8</f>
        <v>541</v>
      </c>
      <c r="G8" s="26" t="n">
        <f aca="false">IF(C8=0,0,D8/C8*100)</f>
        <v>1.04463437796771</v>
      </c>
      <c r="H8" s="38" t="n">
        <f aca="false">IF(Clustering_Guide!$C$7=1,LN(1+MAX(C8,0)),C8)</f>
        <v>6.96034772910131</v>
      </c>
      <c r="I8" s="38" t="n">
        <f aca="false">IF(Clustering_Guide!$C$7=1,LN(1+MAX(D8,0)),D8)</f>
        <v>2.484906649788</v>
      </c>
      <c r="J8" s="38" t="n">
        <f aca="false">IF(Clustering_Guide!$C$7=1,LN(1+MAX(E8,0)),E8)</f>
        <v>6.21860011969173</v>
      </c>
      <c r="K8" s="38" t="n">
        <f aca="false">(H8-AVERAGE(H$5:H$19))/STDEV(H$5:H$19)</f>
        <v>0.984147315713857</v>
      </c>
      <c r="L8" s="38" t="n">
        <f aca="false">(I8-AVERAGE(I$5:I$19))/STDEV(I$5:I$19)</f>
        <v>0.630996404864858</v>
      </c>
      <c r="M8" s="38" t="n">
        <f aca="false">(J8-AVERAGE(J$5:J$19))/STDEV(J$5:J$19)</f>
        <v>1.19638074419901</v>
      </c>
    </row>
    <row r="9" customFormat="false" ht="15" hidden="false" customHeight="false" outlineLevel="0" collapsed="false">
      <c r="A9" s="36" t="s">
        <v>120</v>
      </c>
      <c r="B9" s="12" t="n">
        <f aca="false">COUNTIF(Data!$E$2:$E$2797,$A9)</f>
        <v>5</v>
      </c>
      <c r="C9" s="13" t="n">
        <f aca="false">SUMIF(Data!$E$2:$E$2797,$A9,Data!$B$2:$B$2797)</f>
        <v>107</v>
      </c>
      <c r="D9" s="13" t="n">
        <f aca="false">SUMIF(Data!$E$2:$E$2797,$A9,Data!$C$2:$C$2797)</f>
        <v>0</v>
      </c>
      <c r="E9" s="13" t="n">
        <f aca="false">SUMIF(Data!$E$2:$E$2797,$A9,Data!$D$2:$D$2797)</f>
        <v>0</v>
      </c>
      <c r="F9" s="13" t="n">
        <f aca="false">C9-D9-E9</f>
        <v>107</v>
      </c>
      <c r="G9" s="26" t="n">
        <f aca="false">IF(C9=0,0,D9/C9*100)</f>
        <v>0</v>
      </c>
      <c r="H9" s="38" t="n">
        <f aca="false">IF(Clustering_Guide!$C$7=1,LN(1+MAX(C9,0)),C9)</f>
        <v>4.68213122712422</v>
      </c>
      <c r="I9" s="38" t="n">
        <f aca="false">IF(Clustering_Guide!$C$7=1,LN(1+MAX(D9,0)),D9)</f>
        <v>0</v>
      </c>
      <c r="J9" s="38" t="n">
        <f aca="false">IF(Clustering_Guide!$C$7=1,LN(1+MAX(E9,0)),E9)</f>
        <v>0</v>
      </c>
      <c r="K9" s="38" t="n">
        <f aca="false">(H9-AVERAGE(H$5:H$19))/STDEV(H$5:H$19)</f>
        <v>0.287989773087426</v>
      </c>
      <c r="L9" s="38" t="n">
        <f aca="false">(I9-AVERAGE(I$5:I$19))/STDEV(I$5:I$19)</f>
        <v>-0.518201077201994</v>
      </c>
      <c r="M9" s="38" t="n">
        <f aca="false">(J9-AVERAGE(J$5:J$19))/STDEV(J$5:J$19)</f>
        <v>-0.729512590459471</v>
      </c>
    </row>
    <row r="10" customFormat="false" ht="15" hidden="false" customHeight="false" outlineLevel="0" collapsed="false">
      <c r="A10" s="36" t="s">
        <v>121</v>
      </c>
      <c r="B10" s="12" t="n">
        <f aca="false">COUNTIF(Data!$E$2:$E$2797,$A10)</f>
        <v>5</v>
      </c>
      <c r="C10" s="13" t="n">
        <f aca="false">SUMIF(Data!$E$2:$E$2797,$A10,Data!$B$2:$B$2797)</f>
        <v>70</v>
      </c>
      <c r="D10" s="13" t="n">
        <f aca="false">SUMIF(Data!$E$2:$E$2797,$A10,Data!$C$2:$C$2797)</f>
        <v>0</v>
      </c>
      <c r="E10" s="13" t="n">
        <f aca="false">SUMIF(Data!$E$2:$E$2797,$A10,Data!$D$2:$D$2797)</f>
        <v>0</v>
      </c>
      <c r="F10" s="13" t="n">
        <f aca="false">C10-D10-E10</f>
        <v>70</v>
      </c>
      <c r="G10" s="26" t="n">
        <f aca="false">IF(C10=0,0,D10/C10*100)</f>
        <v>0</v>
      </c>
      <c r="H10" s="38" t="n">
        <f aca="false">IF(Clustering_Guide!$C$7=1,LN(1+MAX(C10,0)),C10)</f>
        <v>4.26267987704132</v>
      </c>
      <c r="I10" s="38" t="n">
        <f aca="false">IF(Clustering_Guide!$C$7=1,LN(1+MAX(D10,0)),D10)</f>
        <v>0</v>
      </c>
      <c r="J10" s="38" t="n">
        <f aca="false">IF(Clustering_Guide!$C$7=1,LN(1+MAX(E10,0)),E10)</f>
        <v>0</v>
      </c>
      <c r="K10" s="38" t="n">
        <f aca="false">(H10-AVERAGE(H$5:H$19))/STDEV(H$5:H$19)</f>
        <v>0.159817485303695</v>
      </c>
      <c r="L10" s="38" t="n">
        <f aca="false">(I10-AVERAGE(I$5:I$19))/STDEV(I$5:I$19)</f>
        <v>-0.518201077201994</v>
      </c>
      <c r="M10" s="38" t="n">
        <f aca="false">(J10-AVERAGE(J$5:J$19))/STDEV(J$5:J$19)</f>
        <v>-0.729512590459471</v>
      </c>
    </row>
    <row r="11" customFormat="false" ht="15" hidden="false" customHeight="false" outlineLevel="0" collapsed="false">
      <c r="A11" s="36" t="s">
        <v>122</v>
      </c>
      <c r="B11" s="12" t="n">
        <f aca="false">COUNTIF(Data!$E$2:$E$2797,$A11)</f>
        <v>5</v>
      </c>
      <c r="C11" s="13" t="n">
        <f aca="false">SUMIF(Data!$E$2:$E$2797,$A11,Data!$B$2:$B$2797)</f>
        <v>38</v>
      </c>
      <c r="D11" s="13" t="n">
        <f aca="false">SUMIF(Data!$E$2:$E$2797,$A11,Data!$C$2:$C$2797)</f>
        <v>0</v>
      </c>
      <c r="E11" s="13" t="n">
        <f aca="false">SUMIF(Data!$E$2:$E$2797,$A11,Data!$D$2:$D$2797)</f>
        <v>56</v>
      </c>
      <c r="F11" s="13" t="n">
        <f aca="false">C11-D11-E11</f>
        <v>-18</v>
      </c>
      <c r="G11" s="26" t="n">
        <f aca="false">IF(C11=0,0,D11/C11*100)</f>
        <v>0</v>
      </c>
      <c r="H11" s="38" t="n">
        <f aca="false">IF(Clustering_Guide!$C$7=1,LN(1+MAX(C11,0)),C11)</f>
        <v>3.66356164612965</v>
      </c>
      <c r="I11" s="38" t="n">
        <f aca="false">IF(Clustering_Guide!$C$7=1,LN(1+MAX(D11,0)),D11)</f>
        <v>0</v>
      </c>
      <c r="J11" s="38" t="n">
        <f aca="false">IF(Clustering_Guide!$C$7=1,LN(1+MAX(E11,0)),E11)</f>
        <v>4.04305126783455</v>
      </c>
      <c r="K11" s="38" t="n">
        <f aca="false">(H11-AVERAGE(H$5:H$19))/STDEV(H$5:H$19)</f>
        <v>-0.0232558420171331</v>
      </c>
      <c r="L11" s="38" t="n">
        <f aca="false">(I11-AVERAGE(I$5:I$19))/STDEV(I$5:I$19)</f>
        <v>-0.518201077201994</v>
      </c>
      <c r="M11" s="38" t="n">
        <f aca="false">(J11-AVERAGE(J$5:J$19))/STDEV(J$5:J$19)</f>
        <v>0.522615756521468</v>
      </c>
    </row>
    <row r="12" customFormat="false" ht="15" hidden="false" customHeight="false" outlineLevel="0" collapsed="false">
      <c r="A12" s="36" t="s">
        <v>123</v>
      </c>
      <c r="B12" s="12" t="n">
        <f aca="false">COUNTIF(Data!$E$2:$E$2797,$A12)</f>
        <v>2</v>
      </c>
      <c r="C12" s="13" t="n">
        <f aca="false">SUMIF(Data!$E$2:$E$2797,$A12,Data!$B$2:$B$2797)</f>
        <v>7</v>
      </c>
      <c r="D12" s="13" t="n">
        <f aca="false">SUMIF(Data!$E$2:$E$2797,$A12,Data!$C$2:$C$2797)</f>
        <v>0</v>
      </c>
      <c r="E12" s="13" t="n">
        <f aca="false">SUMIF(Data!$E$2:$E$2797,$A12,Data!$D$2:$D$2797)</f>
        <v>0</v>
      </c>
      <c r="F12" s="13" t="n">
        <f aca="false">C12-D12-E12</f>
        <v>7</v>
      </c>
      <c r="G12" s="26" t="n">
        <f aca="false">IF(C12=0,0,D12/C12*100)</f>
        <v>0</v>
      </c>
      <c r="H12" s="38" t="n">
        <f aca="false">IF(Clustering_Guide!$C$7=1,LN(1+MAX(C12,0)),C12)</f>
        <v>2.07944154167984</v>
      </c>
      <c r="I12" s="38" t="n">
        <f aca="false">IF(Clustering_Guide!$C$7=1,LN(1+MAX(D12,0)),D12)</f>
        <v>0</v>
      </c>
      <c r="J12" s="38" t="n">
        <f aca="false">IF(Clustering_Guide!$C$7=1,LN(1+MAX(E12,0)),E12)</f>
        <v>0</v>
      </c>
      <c r="K12" s="38" t="n">
        <f aca="false">(H12-AVERAGE(H$5:H$19))/STDEV(H$5:H$19)</f>
        <v>-0.507317456961048</v>
      </c>
      <c r="L12" s="38" t="n">
        <f aca="false">(I12-AVERAGE(I$5:I$19))/STDEV(I$5:I$19)</f>
        <v>-0.518201077201994</v>
      </c>
      <c r="M12" s="38" t="n">
        <f aca="false">(J12-AVERAGE(J$5:J$19))/STDEV(J$5:J$19)</f>
        <v>-0.729512590459471</v>
      </c>
    </row>
    <row r="13" customFormat="false" ht="15" hidden="false" customHeight="false" outlineLevel="0" collapsed="false">
      <c r="A13" s="36" t="s">
        <v>124</v>
      </c>
      <c r="B13" s="12" t="n">
        <f aca="false">COUNTIF(Data!$E$2:$E$2797,$A13)</f>
        <v>2</v>
      </c>
      <c r="C13" s="13" t="n">
        <f aca="false">SUMIF(Data!$E$2:$E$2797,$A13,Data!$B$2:$B$2797)</f>
        <v>6</v>
      </c>
      <c r="D13" s="13" t="n">
        <f aca="false">SUMIF(Data!$E$2:$E$2797,$A13,Data!$C$2:$C$2797)</f>
        <v>1</v>
      </c>
      <c r="E13" s="13" t="n">
        <f aca="false">SUMIF(Data!$E$2:$E$2797,$A13,Data!$D$2:$D$2797)</f>
        <v>0</v>
      </c>
      <c r="F13" s="13" t="n">
        <f aca="false">C13-D13-E13</f>
        <v>5</v>
      </c>
      <c r="G13" s="26" t="n">
        <f aca="false">IF(C13=0,0,D13/C13*100)</f>
        <v>16.6666666666667</v>
      </c>
      <c r="H13" s="38" t="n">
        <f aca="false">IF(Clustering_Guide!$C$7=1,LN(1+MAX(C13,0)),C13)</f>
        <v>1.94591014905531</v>
      </c>
      <c r="I13" s="38" t="n">
        <f aca="false">IF(Clustering_Guide!$C$7=1,LN(1+MAX(D13,0)),D13)</f>
        <v>0.693147180559945</v>
      </c>
      <c r="J13" s="38" t="n">
        <f aca="false">IF(Clustering_Guide!$C$7=1,LN(1+MAX(E13,0)),E13)</f>
        <v>0</v>
      </c>
      <c r="K13" s="38" t="n">
        <f aca="false">(H13-AVERAGE(H$5:H$19))/STDEV(H$5:H$19)</f>
        <v>-0.548120816111638</v>
      </c>
      <c r="L13" s="38" t="n">
        <f aca="false">(I13-AVERAGE(I$5:I$19))/STDEV(I$5:I$19)</f>
        <v>-0.197640546419405</v>
      </c>
      <c r="M13" s="38" t="n">
        <f aca="false">(J13-AVERAGE(J$5:J$19))/STDEV(J$5:J$19)</f>
        <v>-0.729512590459471</v>
      </c>
    </row>
    <row r="14" customFormat="false" ht="15" hidden="false" customHeight="false" outlineLevel="0" collapsed="false">
      <c r="A14" s="36" t="s">
        <v>125</v>
      </c>
      <c r="B14" s="12" t="n">
        <f aca="false">COUNTIF(Data!$E$2:$E$2797,$A14)</f>
        <v>3</v>
      </c>
      <c r="C14" s="13" t="n">
        <f aca="false">SUMIF(Data!$E$2:$E$2797,$A14,Data!$B$2:$B$2797)</f>
        <v>5</v>
      </c>
      <c r="D14" s="13" t="n">
        <f aca="false">SUMIF(Data!$E$2:$E$2797,$A14,Data!$C$2:$C$2797)</f>
        <v>0</v>
      </c>
      <c r="E14" s="13" t="n">
        <f aca="false">SUMIF(Data!$E$2:$E$2797,$A14,Data!$D$2:$D$2797)</f>
        <v>0</v>
      </c>
      <c r="F14" s="13" t="n">
        <f aca="false">C14-D14-E14</f>
        <v>5</v>
      </c>
      <c r="G14" s="26" t="n">
        <f aca="false">IF(C14=0,0,D14/C14*100)</f>
        <v>0</v>
      </c>
      <c r="H14" s="38" t="n">
        <f aca="false">IF(Clustering_Guide!$C$7=1,LN(1+MAX(C14,0)),C14)</f>
        <v>1.79175946922806</v>
      </c>
      <c r="I14" s="38" t="n">
        <f aca="false">IF(Clustering_Guide!$C$7=1,LN(1+MAX(D14,0)),D14)</f>
        <v>0</v>
      </c>
      <c r="J14" s="38" t="n">
        <f aca="false">IF(Clustering_Guide!$C$7=1,LN(1+MAX(E14,0)),E14)</f>
        <v>0</v>
      </c>
      <c r="K14" s="38" t="n">
        <f aca="false">(H14-AVERAGE(H$5:H$19))/STDEV(H$5:H$19)</f>
        <v>-0.595224837335964</v>
      </c>
      <c r="L14" s="38" t="n">
        <f aca="false">(I14-AVERAGE(I$5:I$19))/STDEV(I$5:I$19)</f>
        <v>-0.518201077201994</v>
      </c>
      <c r="M14" s="38" t="n">
        <f aca="false">(J14-AVERAGE(J$5:J$19))/STDEV(J$5:J$19)</f>
        <v>-0.729512590459471</v>
      </c>
    </row>
    <row r="15" customFormat="false" ht="15" hidden="false" customHeight="false" outlineLevel="0" collapsed="false">
      <c r="A15" s="36" t="s">
        <v>126</v>
      </c>
      <c r="B15" s="12" t="n">
        <f aca="false">COUNTIF(Data!$E$2:$E$2797,$A15)</f>
        <v>2</v>
      </c>
      <c r="C15" s="13" t="n">
        <f aca="false">SUMIF(Data!$E$2:$E$2797,$A15,Data!$B$2:$B$2797)</f>
        <v>2</v>
      </c>
      <c r="D15" s="13" t="n">
        <f aca="false">SUMIF(Data!$E$2:$E$2797,$A15,Data!$C$2:$C$2797)</f>
        <v>0</v>
      </c>
      <c r="E15" s="13" t="n">
        <f aca="false">SUMIF(Data!$E$2:$E$2797,$A15,Data!$D$2:$D$2797)</f>
        <v>0</v>
      </c>
      <c r="F15" s="13" t="n">
        <f aca="false">C15-D15-E15</f>
        <v>2</v>
      </c>
      <c r="G15" s="26" t="n">
        <f aca="false">IF(C15=0,0,D15/C15*100)</f>
        <v>0</v>
      </c>
      <c r="H15" s="38" t="n">
        <f aca="false">IF(Clustering_Guide!$C$7=1,LN(1+MAX(C15,0)),C15)</f>
        <v>1.09861228866811</v>
      </c>
      <c r="I15" s="38" t="n">
        <f aca="false">IF(Clustering_Guide!$C$7=1,LN(1+MAX(D15,0)),D15)</f>
        <v>0</v>
      </c>
      <c r="J15" s="38" t="n">
        <f aca="false">IF(Clustering_Guide!$C$7=1,LN(1+MAX(E15,0)),E15)</f>
        <v>0</v>
      </c>
      <c r="K15" s="38" t="n">
        <f aca="false">(H15-AVERAGE(H$5:H$19))/STDEV(H$5:H$19)</f>
        <v>-0.807030711570608</v>
      </c>
      <c r="L15" s="38" t="n">
        <f aca="false">(I15-AVERAGE(I$5:I$19))/STDEV(I$5:I$19)</f>
        <v>-0.518201077201994</v>
      </c>
      <c r="M15" s="38" t="n">
        <f aca="false">(J15-AVERAGE(J$5:J$19))/STDEV(J$5:J$19)</f>
        <v>-0.729512590459471</v>
      </c>
    </row>
    <row r="16" customFormat="false" ht="15" hidden="false" customHeight="false" outlineLevel="0" collapsed="false">
      <c r="A16" s="36" t="s">
        <v>127</v>
      </c>
      <c r="B16" s="12" t="n">
        <f aca="false">COUNTIF(Data!$E$2:$E$2797,$A16)</f>
        <v>1</v>
      </c>
      <c r="C16" s="13" t="n">
        <f aca="false">SUMIF(Data!$E$2:$E$2797,$A16,Data!$B$2:$B$2797)</f>
        <v>2</v>
      </c>
      <c r="D16" s="13" t="n">
        <f aca="false">SUMIF(Data!$E$2:$E$2797,$A16,Data!$C$2:$C$2797)</f>
        <v>0</v>
      </c>
      <c r="E16" s="13" t="n">
        <f aca="false">SUMIF(Data!$E$2:$E$2797,$A16,Data!$D$2:$D$2797)</f>
        <v>25</v>
      </c>
      <c r="F16" s="13" t="n">
        <f aca="false">C16-D16-E16</f>
        <v>-23</v>
      </c>
      <c r="G16" s="26" t="n">
        <f aca="false">IF(C16=0,0,D16/C16*100)</f>
        <v>0</v>
      </c>
      <c r="H16" s="38" t="n">
        <f aca="false">IF(Clustering_Guide!$C$7=1,LN(1+MAX(C16,0)),C16)</f>
        <v>1.09861228866811</v>
      </c>
      <c r="I16" s="38" t="n">
        <f aca="false">IF(Clustering_Guide!$C$7=1,LN(1+MAX(D16,0)),D16)</f>
        <v>0</v>
      </c>
      <c r="J16" s="38" t="n">
        <f aca="false">IF(Clustering_Guide!$C$7=1,LN(1+MAX(E16,0)),E16)</f>
        <v>3.25809653802148</v>
      </c>
      <c r="K16" s="38" t="n">
        <f aca="false">(H16-AVERAGE(H$5:H$19))/STDEV(H$5:H$19)</f>
        <v>-0.807030711570608</v>
      </c>
      <c r="L16" s="38" t="n">
        <f aca="false">(I16-AVERAGE(I$5:I$19))/STDEV(I$5:I$19)</f>
        <v>-0.518201077201994</v>
      </c>
      <c r="M16" s="38" t="n">
        <f aca="false">(J16-AVERAGE(J$5:J$19))/STDEV(J$5:J$19)</f>
        <v>0.279516175738233</v>
      </c>
    </row>
    <row r="17" customFormat="false" ht="15" hidden="false" customHeight="false" outlineLevel="0" collapsed="false">
      <c r="A17" s="36" t="s">
        <v>128</v>
      </c>
      <c r="B17" s="12" t="n">
        <f aca="false">COUNTIF(Data!$E$2:$E$2797,$A17)</f>
        <v>2</v>
      </c>
      <c r="C17" s="13" t="n">
        <f aca="false">SUMIF(Data!$E$2:$E$2797,$A17,Data!$B$2:$B$2797)</f>
        <v>1</v>
      </c>
      <c r="D17" s="13" t="n">
        <f aca="false">SUMIF(Data!$E$2:$E$2797,$A17,Data!$C$2:$C$2797)</f>
        <v>0</v>
      </c>
      <c r="E17" s="13" t="n">
        <f aca="false">SUMIF(Data!$E$2:$E$2797,$A17,Data!$D$2:$D$2797)</f>
        <v>1</v>
      </c>
      <c r="F17" s="13" t="n">
        <f aca="false">C17-D17-E17</f>
        <v>0</v>
      </c>
      <c r="G17" s="26" t="n">
        <f aca="false">IF(C17=0,0,D17/C17*100)</f>
        <v>0</v>
      </c>
      <c r="H17" s="38" t="n">
        <f aca="false">IF(Clustering_Guide!$C$7=1,LN(1+MAX(C17,0)),C17)</f>
        <v>0.693147180559945</v>
      </c>
      <c r="I17" s="38" t="n">
        <f aca="false">IF(Clustering_Guide!$C$7=1,LN(1+MAX(D17,0)),D17)</f>
        <v>0</v>
      </c>
      <c r="J17" s="38" t="n">
        <f aca="false">IF(Clustering_Guide!$C$7=1,LN(1+MAX(E17,0)),E17)</f>
        <v>0.693147180559945</v>
      </c>
      <c r="K17" s="38" t="n">
        <f aca="false">(H17-AVERAGE(H$5:H$19))/STDEV(H$5:H$19)</f>
        <v>-0.930929205430336</v>
      </c>
      <c r="L17" s="38" t="n">
        <f aca="false">(I17-AVERAGE(I$5:I$19))/STDEV(I$5:I$19)</f>
        <v>-0.518201077201994</v>
      </c>
      <c r="M17" s="38" t="n">
        <f aca="false">(J17-AVERAGE(J$5:J$19))/STDEV(J$5:J$19)</f>
        <v>-0.514845702529091</v>
      </c>
    </row>
    <row r="18" customFormat="false" ht="15" hidden="false" customHeight="false" outlineLevel="0" collapsed="false">
      <c r="A18" s="36" t="s">
        <v>129</v>
      </c>
      <c r="B18" s="12" t="n">
        <f aca="false">COUNTIF(Data!$E$2:$E$2797,$A18)</f>
        <v>1</v>
      </c>
      <c r="C18" s="13" t="n">
        <f aca="false">SUMIF(Data!$E$2:$E$2797,$A18,Data!$B$2:$B$2797)</f>
        <v>1</v>
      </c>
      <c r="D18" s="13" t="n">
        <f aca="false">SUMIF(Data!$E$2:$E$2797,$A18,Data!$C$2:$C$2797)</f>
        <v>0</v>
      </c>
      <c r="E18" s="13" t="n">
        <f aca="false">SUMIF(Data!$E$2:$E$2797,$A18,Data!$D$2:$D$2797)</f>
        <v>0</v>
      </c>
      <c r="F18" s="13" t="n">
        <f aca="false">C18-D18-E18</f>
        <v>1</v>
      </c>
      <c r="G18" s="26" t="n">
        <f aca="false">IF(C18=0,0,D18/C18*100)</f>
        <v>0</v>
      </c>
      <c r="H18" s="38" t="n">
        <f aca="false">IF(Clustering_Guide!$C$7=1,LN(1+MAX(C18,0)),C18)</f>
        <v>0.693147180559945</v>
      </c>
      <c r="I18" s="38" t="n">
        <f aca="false">IF(Clustering_Guide!$C$7=1,LN(1+MAX(D18,0)),D18)</f>
        <v>0</v>
      </c>
      <c r="J18" s="38" t="n">
        <f aca="false">IF(Clustering_Guide!$C$7=1,LN(1+MAX(E18,0)),E18)</f>
        <v>0</v>
      </c>
      <c r="K18" s="38" t="n">
        <f aca="false">(H18-AVERAGE(H$5:H$19))/STDEV(H$5:H$19)</f>
        <v>-0.930929205430336</v>
      </c>
      <c r="L18" s="38" t="n">
        <f aca="false">(I18-AVERAGE(I$5:I$19))/STDEV(I$5:I$19)</f>
        <v>-0.518201077201994</v>
      </c>
      <c r="M18" s="38" t="n">
        <f aca="false">(J18-AVERAGE(J$5:J$19))/STDEV(J$5:J$19)</f>
        <v>-0.729512590459471</v>
      </c>
    </row>
    <row r="19" customFormat="false" ht="15" hidden="false" customHeight="false" outlineLevel="0" collapsed="false">
      <c r="A19" s="36" t="s">
        <v>130</v>
      </c>
      <c r="B19" s="12" t="n">
        <f aca="false">COUNTIF(Data!$E$2:$E$2797,$A19)</f>
        <v>1</v>
      </c>
      <c r="C19" s="13" t="n">
        <f aca="false">SUMIF(Data!$E$2:$E$2797,$A19,Data!$B$2:$B$2797)</f>
        <v>1</v>
      </c>
      <c r="D19" s="13" t="n">
        <f aca="false">SUMIF(Data!$E$2:$E$2797,$A19,Data!$C$2:$C$2797)</f>
        <v>0</v>
      </c>
      <c r="E19" s="13" t="n">
        <f aca="false">SUMIF(Data!$E$2:$E$2797,$A19,Data!$D$2:$D$2797)</f>
        <v>0</v>
      </c>
      <c r="F19" s="13" t="n">
        <f aca="false">C19-D19-E19</f>
        <v>1</v>
      </c>
      <c r="G19" s="26" t="n">
        <f aca="false">IF(C19=0,0,D19/C19*100)</f>
        <v>0</v>
      </c>
      <c r="H19" s="38" t="n">
        <f aca="false">IF(Clustering_Guide!$C$7=1,LN(1+MAX(C19,0)),C19)</f>
        <v>0.693147180559945</v>
      </c>
      <c r="I19" s="38" t="n">
        <f aca="false">IF(Clustering_Guide!$C$7=1,LN(1+MAX(D19,0)),D19)</f>
        <v>0</v>
      </c>
      <c r="J19" s="38" t="n">
        <f aca="false">IF(Clustering_Guide!$C$7=1,LN(1+MAX(E19,0)),E19)</f>
        <v>0</v>
      </c>
      <c r="K19" s="38" t="n">
        <f aca="false">(H19-AVERAGE(H$5:H$19))/STDEV(H$5:H$19)</f>
        <v>-0.930929205430336</v>
      </c>
      <c r="L19" s="38" t="n">
        <f aca="false">(I19-AVERAGE(I$5:I$19))/STDEV(I$5:I$19)</f>
        <v>-0.518201077201994</v>
      </c>
      <c r="M19" s="38" t="n">
        <f aca="false">(J19-AVERAGE(J$5:J$19))/STDEV(J$5:J$19)</f>
        <v>-0.729512590459471</v>
      </c>
    </row>
    <row r="20" customFormat="false" ht="15" hidden="false" customHeight="false" outlineLevel="0" collapsed="false">
      <c r="A20" s="20" t="s">
        <v>53</v>
      </c>
      <c r="B20" s="20"/>
      <c r="C20" s="22" t="n">
        <f aca="false">SUM(C5:C19)</f>
        <v>83985</v>
      </c>
      <c r="D20" s="22" t="n">
        <f aca="false">SUM(D5:D19)</f>
        <v>1728</v>
      </c>
      <c r="E20" s="22" t="n">
        <f aca="false">SUM(E5:E19)</f>
        <v>24753</v>
      </c>
      <c r="F20" s="22" t="n">
        <f aca="false">SUM(F5:F19)</f>
        <v>57504</v>
      </c>
      <c r="G20" s="27" t="n">
        <f aca="false">IF(C20=0,0,D20/C20*100)</f>
        <v>2.05751026969102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B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2" topLeftCell="B23" activePane="bottomRight" state="frozen"/>
      <selection pane="topLeft" activeCell="A1" activeCellId="0" sqref="A1"/>
      <selection pane="topRight" activeCell="B1" activeCellId="0" sqref="B1"/>
      <selection pane="bottomLeft" activeCell="A23" activeCellId="0" sqref="A2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10" min="8" style="0" width="11"/>
    <col collapsed="false" customWidth="true" hidden="false" outlineLevel="0" max="11" min="11" style="0" width="3"/>
    <col collapsed="false" customWidth="true" hidden="false" outlineLevel="0" max="14" min="12" style="0" width="10"/>
    <col collapsed="false" customWidth="true" hidden="false" outlineLevel="0" max="21" min="15" style="0" width="11"/>
    <col collapsed="false" customWidth="true" hidden="false" outlineLevel="0" max="23" min="23" style="0" width="13"/>
    <col collapsed="false" customWidth="true" hidden="false" outlineLevel="0" max="26" min="24" style="0" width="10"/>
    <col collapsed="false" customWidth="true" hidden="false" outlineLevel="0" max="27" min="27" style="0" width="9"/>
    <col collapsed="false" customWidth="true" hidden="false" outlineLevel="0" max="28" min="28" style="0" width="2"/>
    <col collapsed="false" customWidth="true" hidden="false" outlineLevel="0" max="31" min="29" style="0" width="10"/>
    <col collapsed="false" customWidth="true" hidden="false" outlineLevel="0" max="32" min="32" style="0" width="9"/>
    <col collapsed="false" customWidth="true" hidden="false" outlineLevel="0" max="33" min="33" style="0" width="2"/>
    <col collapsed="false" customWidth="true" hidden="false" outlineLevel="0" max="36" min="34" style="0" width="10"/>
    <col collapsed="false" customWidth="true" hidden="false" outlineLevel="0" max="37" min="37" style="0" width="9"/>
    <col collapsed="false" customWidth="true" hidden="false" outlineLevel="0" max="38" min="38" style="0" width="2"/>
    <col collapsed="false" customWidth="true" hidden="false" outlineLevel="0" max="41" min="39" style="0" width="10"/>
    <col collapsed="false" customWidth="true" hidden="false" outlineLevel="0" max="42" min="42" style="0" width="9"/>
    <col collapsed="false" customWidth="true" hidden="false" outlineLevel="0" max="43" min="43" style="0" width="2"/>
    <col collapsed="false" customWidth="true" hidden="false" outlineLevel="0" max="46" min="44" style="0" width="10"/>
    <col collapsed="false" customWidth="true" hidden="false" outlineLevel="0" max="47" min="47" style="0" width="9"/>
    <col collapsed="false" customWidth="true" hidden="false" outlineLevel="0" max="48" min="48" style="0" width="2"/>
    <col collapsed="false" customWidth="true" hidden="false" outlineLevel="0" max="51" min="49" style="0" width="10"/>
    <col collapsed="false" customWidth="true" hidden="false" outlineLevel="0" max="52" min="52" style="0" width="9"/>
    <col collapsed="false" customWidth="true" hidden="false" outlineLevel="0" max="53" min="53" style="0" width="2"/>
    <col collapsed="false" customWidth="true" hidden="false" outlineLevel="0" max="56" min="54" style="0" width="10"/>
    <col collapsed="false" customWidth="true" hidden="false" outlineLevel="0" max="57" min="57" style="0" width="9"/>
    <col collapsed="false" customWidth="true" hidden="false" outlineLevel="0" max="58" min="58" style="0" width="2"/>
    <col collapsed="false" customWidth="true" hidden="false" outlineLevel="0" max="61" min="59" style="0" width="10"/>
    <col collapsed="false" customWidth="true" hidden="false" outlineLevel="0" max="62" min="62" style="0" width="9"/>
    <col collapsed="false" customWidth="true" hidden="false" outlineLevel="0" max="63" min="63" style="0" width="2"/>
  </cols>
  <sheetData>
    <row r="1" customFormat="false" ht="19.7" hidden="false" customHeight="false" outlineLevel="0" collapsed="false">
      <c r="A1" s="1" t="s">
        <v>787</v>
      </c>
    </row>
    <row r="2" customFormat="false" ht="15" hidden="false" customHeight="false" outlineLevel="0" collapsed="false">
      <c r="A2" s="2" t="s">
        <v>788</v>
      </c>
    </row>
    <row r="4" customFormat="false" ht="31.5" hidden="false" customHeight="true" outlineLevel="0" collapsed="false">
      <c r="A4" s="68" t="s">
        <v>706</v>
      </c>
      <c r="B4" s="69"/>
      <c r="L4" s="10" t="s">
        <v>707</v>
      </c>
      <c r="M4" s="10" t="s">
        <v>708</v>
      </c>
      <c r="N4" s="10" t="s">
        <v>709</v>
      </c>
      <c r="O4" s="10" t="s">
        <v>156</v>
      </c>
      <c r="P4" s="10" t="s">
        <v>158</v>
      </c>
      <c r="Q4" s="10" t="s">
        <v>710</v>
      </c>
      <c r="R4" s="10" t="s">
        <v>590</v>
      </c>
      <c r="S4" s="10" t="s">
        <v>66</v>
      </c>
    </row>
    <row r="5" customFormat="false" ht="15" hidden="false" customHeight="false" outlineLevel="0" collapsed="false">
      <c r="A5" s="40" t="s">
        <v>711</v>
      </c>
      <c r="B5" s="15" t="n">
        <v>3</v>
      </c>
      <c r="L5" s="63" t="n">
        <v>1</v>
      </c>
      <c r="M5" s="36" t="str">
        <f aca="false">CHOOSE(RANK(O5,$O$5:$O$7,0),"High impact","Medium impact","Low impact")</f>
        <v>High impact</v>
      </c>
      <c r="N5" s="15" t="n">
        <f aca="false">COUNTIF($E$23:$E$37,L5)</f>
        <v>1</v>
      </c>
      <c r="O5" s="16" t="n">
        <f aca="false">IFERROR(AVERAGEIF($E$23:$E$37,L5,Travel_Data!$C$5:$C$19),0)</f>
        <v>78118</v>
      </c>
      <c r="P5" s="16" t="n">
        <f aca="false">IFERROR(AVERAGEIF($E$23:$E$37,L5,Travel_Data!$D$5:$D$19),0)</f>
        <v>1627</v>
      </c>
      <c r="Q5" s="16" t="n">
        <f aca="false">IFERROR(AVERAGEIF($E$23:$E$37,L5,Travel_Data!$E$5:$E$19),0)</f>
        <v>23588</v>
      </c>
      <c r="R5" s="26" t="n">
        <f aca="false">IFERROR(SUMIF($E$23:$E$37,L5,Travel_Data!$D$5:$D$19)/SUMIF($E$23:$E$37,L5,Travel_Data!$C$5:$C$19)*100,0)</f>
        <v>2.08274661409662</v>
      </c>
      <c r="S5" s="14" t="n">
        <f aca="false">SUMIF($E$23:$E$37,L5,Travel_Data!$C$5:$C$19)/SUM(Travel_Data!$C$5:$C$19)</f>
        <v>0.930142287313211</v>
      </c>
    </row>
    <row r="6" customFormat="false" ht="15" hidden="false" customHeight="false" outlineLevel="0" collapsed="false">
      <c r="A6" s="40" t="s">
        <v>712</v>
      </c>
      <c r="B6" s="15" t="n">
        <f aca="false">Clustering_Guide!$C$7</f>
        <v>1</v>
      </c>
      <c r="L6" s="63" t="n">
        <v>2</v>
      </c>
      <c r="M6" s="36" t="str">
        <f aca="false">CHOOSE(RANK(O6,$O$5:$O$7,0),"High impact","Medium impact","Low impact")</f>
        <v>Low impact</v>
      </c>
      <c r="N6" s="15" t="n">
        <f aca="false">COUNTIF($E$23:$E$37,L6)</f>
        <v>11</v>
      </c>
      <c r="O6" s="16" t="n">
        <f aca="false">IFERROR(AVERAGEIF($E$23:$E$37,L6,Travel_Data!$C$5:$C$19),0)</f>
        <v>21.8181818181818</v>
      </c>
      <c r="P6" s="16" t="n">
        <f aca="false">IFERROR(AVERAGEIF($E$23:$E$37,L6,Travel_Data!$D$5:$D$19),0)</f>
        <v>0.0909090909090909</v>
      </c>
      <c r="Q6" s="16" t="n">
        <f aca="false">IFERROR(AVERAGEIF($E$23:$E$37,L6,Travel_Data!$E$5:$E$19),0)</f>
        <v>7.45454545454545</v>
      </c>
      <c r="R6" s="26" t="n">
        <f aca="false">IFERROR(SUMIF($E$23:$E$37,L6,Travel_Data!$D$5:$D$19)/SUMIF($E$23:$E$37,L6,Travel_Data!$C$5:$C$19)*100,0)</f>
        <v>0.416666666666667</v>
      </c>
      <c r="S6" s="14" t="n">
        <f aca="false">SUMIF($E$23:$E$37,L6,Travel_Data!$C$5:$C$19)/SUM(Travel_Data!$C$5:$C$19)</f>
        <v>0.00285765315234863</v>
      </c>
    </row>
    <row r="7" customFormat="false" ht="15" hidden="false" customHeight="false" outlineLevel="0" collapsed="false">
      <c r="A7" s="68" t="s">
        <v>713</v>
      </c>
      <c r="B7" s="69"/>
      <c r="L7" s="63" t="n">
        <v>3</v>
      </c>
      <c r="M7" s="36" t="str">
        <f aca="false">CHOOSE(RANK(O7,$O$5:$O$7,0),"High impact","Medium impact","Low impact")</f>
        <v>Medium impact</v>
      </c>
      <c r="N7" s="15" t="n">
        <f aca="false">COUNTIF($E$23:$E$37,L7)</f>
        <v>3</v>
      </c>
      <c r="O7" s="16" t="n">
        <f aca="false">IFERROR(AVERAGEIF($E$23:$E$37,L7,Travel_Data!$C$5:$C$19),0)</f>
        <v>1875.66666666667</v>
      </c>
      <c r="P7" s="16" t="n">
        <f aca="false">IFERROR(AVERAGEIF($E$23:$E$37,L7,Travel_Data!$D$5:$D$19),0)</f>
        <v>33.3333333333333</v>
      </c>
      <c r="Q7" s="16" t="n">
        <f aca="false">IFERROR(AVERAGEIF($E$23:$E$37,L7,Travel_Data!$E$5:$E$19),0)</f>
        <v>361</v>
      </c>
      <c r="R7" s="26" t="n">
        <f aca="false">IFERROR(SUMIF($E$23:$E$37,L7,Travel_Data!$D$5:$D$19)/SUMIF($E$23:$E$37,L7,Travel_Data!$C$5:$C$19)*100,0)</f>
        <v>1.77714590367869</v>
      </c>
      <c r="S7" s="14" t="n">
        <f aca="false">SUMIF($E$23:$E$37,L7,Travel_Data!$C$5:$C$19)/SUM(Travel_Data!$C$5:$C$19)</f>
        <v>0.0670000595344407</v>
      </c>
    </row>
    <row r="8" customFormat="false" ht="15" hidden="false" customHeight="false" outlineLevel="0" collapsed="false">
      <c r="A8" s="40" t="s">
        <v>714</v>
      </c>
      <c r="B8" s="32" t="s">
        <v>112</v>
      </c>
      <c r="L8" s="20" t="s">
        <v>53</v>
      </c>
      <c r="M8" s="20"/>
      <c r="N8" s="21" t="n">
        <f aca="false">SUM(N5:N7)</f>
        <v>15</v>
      </c>
      <c r="O8" s="20"/>
      <c r="P8" s="20"/>
      <c r="Q8" s="20"/>
      <c r="R8" s="20"/>
      <c r="S8" s="25" t="n">
        <f aca="false">SUM(S5:S7)</f>
        <v>1</v>
      </c>
    </row>
    <row r="9" customFormat="false" ht="15" hidden="false" customHeight="false" outlineLevel="0" collapsed="false">
      <c r="A9" s="40" t="s">
        <v>715</v>
      </c>
      <c r="B9" s="32" t="s">
        <v>129</v>
      </c>
    </row>
    <row r="10" customFormat="false" ht="15" hidden="false" customHeight="false" outlineLevel="0" collapsed="false">
      <c r="A10" s="40" t="s">
        <v>716</v>
      </c>
      <c r="B10" s="32" t="s">
        <v>118</v>
      </c>
    </row>
    <row r="11" customFormat="false" ht="15" hidden="false" customHeight="false" outlineLevel="0" collapsed="false">
      <c r="A11" s="46" t="s">
        <v>717</v>
      </c>
    </row>
    <row r="15" customFormat="false" ht="15" hidden="false" customHeight="false" outlineLevel="0" collapsed="false">
      <c r="L15" s="68" t="s">
        <v>718</v>
      </c>
      <c r="M15" s="69"/>
      <c r="N15" s="69"/>
      <c r="X15" s="68" t="s">
        <v>719</v>
      </c>
      <c r="Y15" s="69"/>
      <c r="Z15" s="69"/>
      <c r="AC15" s="68" t="s">
        <v>720</v>
      </c>
      <c r="AD15" s="69"/>
      <c r="AE15" s="69"/>
      <c r="AH15" s="68" t="s">
        <v>721</v>
      </c>
      <c r="AI15" s="69"/>
      <c r="AJ15" s="69"/>
      <c r="AM15" s="68" t="s">
        <v>722</v>
      </c>
      <c r="AN15" s="69"/>
      <c r="AO15" s="69"/>
      <c r="AR15" s="68" t="s">
        <v>723</v>
      </c>
      <c r="AS15" s="69"/>
      <c r="AT15" s="69"/>
      <c r="AW15" s="68" t="s">
        <v>724</v>
      </c>
      <c r="AX15" s="69"/>
      <c r="AY15" s="69"/>
      <c r="BB15" s="68" t="s">
        <v>725</v>
      </c>
      <c r="BC15" s="69"/>
      <c r="BD15" s="69"/>
      <c r="BG15" s="68" t="s">
        <v>726</v>
      </c>
      <c r="BH15" s="69"/>
      <c r="BI15" s="69"/>
    </row>
    <row r="16" customFormat="false" ht="15" hidden="false" customHeight="false" outlineLevel="0" collapsed="false">
      <c r="K16" s="40" t="s">
        <v>701</v>
      </c>
      <c r="L16" s="17" t="n">
        <f aca="false">IFERROR(AVERAGEIF($E$23:$E$37,1,$B$23:$B$37),0)</f>
        <v>2.29982752189237</v>
      </c>
      <c r="M16" s="17" t="n">
        <f aca="false">IFERROR(AVERAGEIF($E$23:$E$37,2,$B$23:$B$37),0)</f>
        <v>-0.512087339406081</v>
      </c>
      <c r="N16" s="17" t="n">
        <f aca="false">IFERROR(AVERAGEIF($E$23:$E$37,3,$B$23:$B$37),0)</f>
        <v>1.11104440385817</v>
      </c>
      <c r="W16" s="40" t="s">
        <v>701</v>
      </c>
      <c r="X16" s="17" t="n">
        <f aca="false">INDEX($B$23:$B$37,MATCH($B$8,$A$23:$A$37,0))</f>
        <v>2.29982752189237</v>
      </c>
      <c r="Y16" s="17" t="n">
        <f aca="false">INDEX($B$23:$B$37,MATCH($B$9,$A$23:$A$37,0))</f>
        <v>-0.930929205430336</v>
      </c>
      <c r="Z16" s="17" t="n">
        <f aca="false">INDEX($B$23:$B$37,MATCH($B$10,$A$23:$A$37,0))</f>
        <v>0.984147315713857</v>
      </c>
      <c r="AC16" s="17" t="n">
        <f aca="false">IFERROR(AVERAGEIF($AA$23:$AA$37,1,$B$23:$B$37),X16)</f>
        <v>2.29982752189237</v>
      </c>
      <c r="AD16" s="17" t="n">
        <f aca="false">IFERROR(AVERAGEIF($AA$23:$AA$37,2,$B$23:$B$37),Y16)</f>
        <v>-0.512087339406081</v>
      </c>
      <c r="AE16" s="17" t="n">
        <f aca="false">IFERROR(AVERAGEIF($AA$23:$AA$37,3,$B$23:$B$37),Z16)</f>
        <v>1.11104440385817</v>
      </c>
      <c r="AH16" s="17" t="n">
        <f aca="false">IFERROR(AVERAGEIF($AF$23:$AF$37,1,$B$23:$B$37),AC16)</f>
        <v>2.29982752189237</v>
      </c>
      <c r="AI16" s="17" t="n">
        <f aca="false">IFERROR(AVERAGEIF($AF$23:$AF$37,2,$B$23:$B$37),AD16)</f>
        <v>-0.512087339406081</v>
      </c>
      <c r="AJ16" s="17" t="n">
        <f aca="false">IFERROR(AVERAGEIF($AF$23:$AF$37,3,$B$23:$B$37),AE16)</f>
        <v>1.11104440385817</v>
      </c>
      <c r="AM16" s="17" t="n">
        <f aca="false">IFERROR(AVERAGEIF($AK$23:$AK$37,1,$B$23:$B$37),AH16)</f>
        <v>2.29982752189237</v>
      </c>
      <c r="AN16" s="17" t="n">
        <f aca="false">IFERROR(AVERAGEIF($AK$23:$AK$37,2,$B$23:$B$37),AI16)</f>
        <v>-0.512087339406081</v>
      </c>
      <c r="AO16" s="17" t="n">
        <f aca="false">IFERROR(AVERAGEIF($AK$23:$AK$37,3,$B$23:$B$37),AJ16)</f>
        <v>1.11104440385817</v>
      </c>
      <c r="AR16" s="17" t="n">
        <f aca="false">IFERROR(AVERAGEIF($AP$23:$AP$37,1,$B$23:$B$37),AM16)</f>
        <v>2.29982752189237</v>
      </c>
      <c r="AS16" s="17" t="n">
        <f aca="false">IFERROR(AVERAGEIF($AP$23:$AP$37,2,$B$23:$B$37),AN16)</f>
        <v>-0.512087339406081</v>
      </c>
      <c r="AT16" s="17" t="n">
        <f aca="false">IFERROR(AVERAGEIF($AP$23:$AP$37,3,$B$23:$B$37),AO16)</f>
        <v>1.11104440385817</v>
      </c>
      <c r="AW16" s="17" t="n">
        <f aca="false">IFERROR(AVERAGEIF($AU$23:$AU$37,1,$B$23:$B$37),AR16)</f>
        <v>2.29982752189237</v>
      </c>
      <c r="AX16" s="17" t="n">
        <f aca="false">IFERROR(AVERAGEIF($AU$23:$AU$37,2,$B$23:$B$37),AS16)</f>
        <v>-0.512087339406081</v>
      </c>
      <c r="AY16" s="17" t="n">
        <f aca="false">IFERROR(AVERAGEIF($AU$23:$AU$37,3,$B$23:$B$37),AT16)</f>
        <v>1.11104440385817</v>
      </c>
      <c r="BB16" s="17" t="n">
        <f aca="false">IFERROR(AVERAGEIF($AZ$23:$AZ$37,1,$B$23:$B$37),AW16)</f>
        <v>2.29982752189237</v>
      </c>
      <c r="BC16" s="17" t="n">
        <f aca="false">IFERROR(AVERAGEIF($AZ$23:$AZ$37,2,$B$23:$B$37),AX16)</f>
        <v>-0.512087339406081</v>
      </c>
      <c r="BD16" s="17" t="n">
        <f aca="false">IFERROR(AVERAGEIF($AZ$23:$AZ$37,3,$B$23:$B$37),AY16)</f>
        <v>1.11104440385817</v>
      </c>
      <c r="BG16" s="17" t="n">
        <f aca="false">IFERROR(AVERAGEIF($BE$23:$BE$37,1,$B$23:$B$37),BB16)</f>
        <v>2.29982752189237</v>
      </c>
      <c r="BH16" s="17" t="n">
        <f aca="false">IFERROR(AVERAGEIF($BE$23:$BE$37,2,$B$23:$B$37),BC16)</f>
        <v>-0.512087339406081</v>
      </c>
      <c r="BI16" s="17" t="n">
        <f aca="false">IFERROR(AVERAGEIF($BE$23:$BE$37,3,$B$23:$B$37),BD16)</f>
        <v>1.11104440385817</v>
      </c>
    </row>
    <row r="17" customFormat="false" ht="15" hidden="false" customHeight="false" outlineLevel="0" collapsed="false">
      <c r="K17" s="40" t="s">
        <v>702</v>
      </c>
      <c r="L17" s="17" t="n">
        <f aca="false">IFERROR(AVERAGEIF($E$23:$E$37,1,$C$23:$C$37),0)</f>
        <v>2.90182235621279</v>
      </c>
      <c r="M17" s="17" t="n">
        <f aca="false">IFERROR(AVERAGEIF($E$23:$E$37,2,$C$23:$C$37),0)</f>
        <v>-0.489059210767213</v>
      </c>
      <c r="N17" s="17" t="n">
        <f aca="false">IFERROR(AVERAGEIF($E$23:$E$37,3,$C$23:$C$37),0)</f>
        <v>0.825942987408851</v>
      </c>
      <c r="W17" s="40" t="s">
        <v>702</v>
      </c>
      <c r="X17" s="17" t="n">
        <f aca="false">INDEX($C$23:$C$37,MATCH($B$8,$A$23:$A$37,0))</f>
        <v>2.90182235621279</v>
      </c>
      <c r="Y17" s="17" t="n">
        <f aca="false">INDEX($C$23:$C$37,MATCH($B$9,$A$23:$A$37,0))</f>
        <v>-0.518201077201994</v>
      </c>
      <c r="Z17" s="17" t="n">
        <f aca="false">INDEX($C$23:$C$37,MATCH($B$10,$A$23:$A$37,0))</f>
        <v>0.630996404864858</v>
      </c>
      <c r="AC17" s="17" t="n">
        <f aca="false">IFERROR(AVERAGEIF($AA$23:$AA$37,1,$C$23:$C$37),X17)</f>
        <v>2.90182235621279</v>
      </c>
      <c r="AD17" s="17" t="n">
        <f aca="false">IFERROR(AVERAGEIF($AA$23:$AA$37,2,$C$23:$C$37),Y17)</f>
        <v>-0.489059210767213</v>
      </c>
      <c r="AE17" s="17" t="n">
        <f aca="false">IFERROR(AVERAGEIF($AA$23:$AA$37,3,$C$23:$C$37),Z17)</f>
        <v>0.825942987408851</v>
      </c>
      <c r="AH17" s="17" t="n">
        <f aca="false">IFERROR(AVERAGEIF($AF$23:$AF$37,1,$C$23:$C$37),AC17)</f>
        <v>2.90182235621279</v>
      </c>
      <c r="AI17" s="17" t="n">
        <f aca="false">IFERROR(AVERAGEIF($AF$23:$AF$37,2,$C$23:$C$37),AD17)</f>
        <v>-0.489059210767213</v>
      </c>
      <c r="AJ17" s="17" t="n">
        <f aca="false">IFERROR(AVERAGEIF($AF$23:$AF$37,3,$C$23:$C$37),AE17)</f>
        <v>0.825942987408851</v>
      </c>
      <c r="AM17" s="17" t="n">
        <f aca="false">IFERROR(AVERAGEIF($AK$23:$AK$37,1,$C$23:$C$37),AH17)</f>
        <v>2.90182235621279</v>
      </c>
      <c r="AN17" s="17" t="n">
        <f aca="false">IFERROR(AVERAGEIF($AK$23:$AK$37,2,$C$23:$C$37),AI17)</f>
        <v>-0.489059210767213</v>
      </c>
      <c r="AO17" s="17" t="n">
        <f aca="false">IFERROR(AVERAGEIF($AK$23:$AK$37,3,$C$23:$C$37),AJ17)</f>
        <v>0.825942987408851</v>
      </c>
      <c r="AR17" s="17" t="n">
        <f aca="false">IFERROR(AVERAGEIF($AP$23:$AP$37,1,$C$23:$C$37),AM17)</f>
        <v>2.90182235621279</v>
      </c>
      <c r="AS17" s="17" t="n">
        <f aca="false">IFERROR(AVERAGEIF($AP$23:$AP$37,2,$C$23:$C$37),AN17)</f>
        <v>-0.489059210767213</v>
      </c>
      <c r="AT17" s="17" t="n">
        <f aca="false">IFERROR(AVERAGEIF($AP$23:$AP$37,3,$C$23:$C$37),AO17)</f>
        <v>0.825942987408851</v>
      </c>
      <c r="AW17" s="17" t="n">
        <f aca="false">IFERROR(AVERAGEIF($AU$23:$AU$37,1,$C$23:$C$37),AR17)</f>
        <v>2.90182235621279</v>
      </c>
      <c r="AX17" s="17" t="n">
        <f aca="false">IFERROR(AVERAGEIF($AU$23:$AU$37,2,$C$23:$C$37),AS17)</f>
        <v>-0.489059210767213</v>
      </c>
      <c r="AY17" s="17" t="n">
        <f aca="false">IFERROR(AVERAGEIF($AU$23:$AU$37,3,$C$23:$C$37),AT17)</f>
        <v>0.825942987408851</v>
      </c>
      <c r="BB17" s="17" t="n">
        <f aca="false">IFERROR(AVERAGEIF($AZ$23:$AZ$37,1,$C$23:$C$37),AW17)</f>
        <v>2.90182235621279</v>
      </c>
      <c r="BC17" s="17" t="n">
        <f aca="false">IFERROR(AVERAGEIF($AZ$23:$AZ$37,2,$C$23:$C$37),AX17)</f>
        <v>-0.489059210767213</v>
      </c>
      <c r="BD17" s="17" t="n">
        <f aca="false">IFERROR(AVERAGEIF($AZ$23:$AZ$37,3,$C$23:$C$37),AY17)</f>
        <v>0.825942987408851</v>
      </c>
      <c r="BG17" s="17" t="n">
        <f aca="false">IFERROR(AVERAGEIF($BE$23:$BE$37,1,$C$23:$C$37),BB17)</f>
        <v>2.90182235621279</v>
      </c>
      <c r="BH17" s="17" t="n">
        <f aca="false">IFERROR(AVERAGEIF($BE$23:$BE$37,2,$C$23:$C$37),BC17)</f>
        <v>-0.489059210767213</v>
      </c>
      <c r="BI17" s="17" t="n">
        <f aca="false">IFERROR(AVERAGEIF($BE$23:$BE$37,3,$C$23:$C$37),BD17)</f>
        <v>0.825942987408851</v>
      </c>
    </row>
    <row r="18" customFormat="false" ht="15" hidden="false" customHeight="false" outlineLevel="0" collapsed="false">
      <c r="K18" s="40" t="s">
        <v>703</v>
      </c>
      <c r="L18" s="17" t="n">
        <f aca="false">IFERROR(AVERAGEIF($E$23:$E$37,1,$D$23:$D$37),0)</f>
        <v>2.38870140891633</v>
      </c>
      <c r="M18" s="17" t="n">
        <f aca="false">IFERROR(AVERAGEIF($E$23:$E$37,2,$D$23:$D$37),0)</f>
        <v>-0.504437681267742</v>
      </c>
      <c r="N18" s="17" t="n">
        <f aca="false">IFERROR(AVERAGEIF($E$23:$E$37,3,$D$23:$D$37),0)</f>
        <v>1.05337102834294</v>
      </c>
      <c r="W18" s="40" t="s">
        <v>703</v>
      </c>
      <c r="X18" s="17" t="n">
        <f aca="false">INDEX($D$23:$D$37,MATCH($B$8,$A$23:$A$37,0))</f>
        <v>2.38870140891633</v>
      </c>
      <c r="Y18" s="17" t="n">
        <f aca="false">INDEX($D$23:$D$37,MATCH($B$9,$A$23:$A$37,0))</f>
        <v>-0.729512590459471</v>
      </c>
      <c r="Z18" s="17" t="n">
        <f aca="false">INDEX($D$23:$D$37,MATCH($B$10,$A$23:$A$37,0))</f>
        <v>1.19638074419901</v>
      </c>
      <c r="AC18" s="17" t="n">
        <f aca="false">IFERROR(AVERAGEIF($AA$23:$AA$37,1,$D$23:$D$37),X18)</f>
        <v>2.38870140891633</v>
      </c>
      <c r="AD18" s="17" t="n">
        <f aca="false">IFERROR(AVERAGEIF($AA$23:$AA$37,2,$D$23:$D$37),Y18)</f>
        <v>-0.504437681267742</v>
      </c>
      <c r="AE18" s="17" t="n">
        <f aca="false">IFERROR(AVERAGEIF($AA$23:$AA$37,3,$D$23:$D$37),Z18)</f>
        <v>1.05337102834294</v>
      </c>
      <c r="AH18" s="17" t="n">
        <f aca="false">IFERROR(AVERAGEIF($AF$23:$AF$37,1,$D$23:$D$37),AC18)</f>
        <v>2.38870140891633</v>
      </c>
      <c r="AI18" s="17" t="n">
        <f aca="false">IFERROR(AVERAGEIF($AF$23:$AF$37,2,$D$23:$D$37),AD18)</f>
        <v>-0.504437681267742</v>
      </c>
      <c r="AJ18" s="17" t="n">
        <f aca="false">IFERROR(AVERAGEIF($AF$23:$AF$37,3,$D$23:$D$37),AE18)</f>
        <v>1.05337102834294</v>
      </c>
      <c r="AM18" s="17" t="n">
        <f aca="false">IFERROR(AVERAGEIF($AK$23:$AK$37,1,$D$23:$D$37),AH18)</f>
        <v>2.38870140891633</v>
      </c>
      <c r="AN18" s="17" t="n">
        <f aca="false">IFERROR(AVERAGEIF($AK$23:$AK$37,2,$D$23:$D$37),AI18)</f>
        <v>-0.504437681267742</v>
      </c>
      <c r="AO18" s="17" t="n">
        <f aca="false">IFERROR(AVERAGEIF($AK$23:$AK$37,3,$D$23:$D$37),AJ18)</f>
        <v>1.05337102834294</v>
      </c>
      <c r="AR18" s="17" t="n">
        <f aca="false">IFERROR(AVERAGEIF($AP$23:$AP$37,1,$D$23:$D$37),AM18)</f>
        <v>2.38870140891633</v>
      </c>
      <c r="AS18" s="17" t="n">
        <f aca="false">IFERROR(AVERAGEIF($AP$23:$AP$37,2,$D$23:$D$37),AN18)</f>
        <v>-0.504437681267742</v>
      </c>
      <c r="AT18" s="17" t="n">
        <f aca="false">IFERROR(AVERAGEIF($AP$23:$AP$37,3,$D$23:$D$37),AO18)</f>
        <v>1.05337102834294</v>
      </c>
      <c r="AW18" s="17" t="n">
        <f aca="false">IFERROR(AVERAGEIF($AU$23:$AU$37,1,$D$23:$D$37),AR18)</f>
        <v>2.38870140891633</v>
      </c>
      <c r="AX18" s="17" t="n">
        <f aca="false">IFERROR(AVERAGEIF($AU$23:$AU$37,2,$D$23:$D$37),AS18)</f>
        <v>-0.504437681267742</v>
      </c>
      <c r="AY18" s="17" t="n">
        <f aca="false">IFERROR(AVERAGEIF($AU$23:$AU$37,3,$D$23:$D$37),AT18)</f>
        <v>1.05337102834294</v>
      </c>
      <c r="BB18" s="17" t="n">
        <f aca="false">IFERROR(AVERAGEIF($AZ$23:$AZ$37,1,$D$23:$D$37),AW18)</f>
        <v>2.38870140891633</v>
      </c>
      <c r="BC18" s="17" t="n">
        <f aca="false">IFERROR(AVERAGEIF($AZ$23:$AZ$37,2,$D$23:$D$37),AX18)</f>
        <v>-0.504437681267742</v>
      </c>
      <c r="BD18" s="17" t="n">
        <f aca="false">IFERROR(AVERAGEIF($AZ$23:$AZ$37,3,$D$23:$D$37),AY18)</f>
        <v>1.05337102834294</v>
      </c>
      <c r="BG18" s="17" t="n">
        <f aca="false">IFERROR(AVERAGEIF($BE$23:$BE$37,1,$D$23:$D$37),BB18)</f>
        <v>2.38870140891633</v>
      </c>
      <c r="BH18" s="17" t="n">
        <f aca="false">IFERROR(AVERAGEIF($BE$23:$BE$37,2,$D$23:$D$37),BC18)</f>
        <v>-0.504437681267742</v>
      </c>
      <c r="BI18" s="17" t="n">
        <f aca="false">IFERROR(AVERAGEIF($BE$23:$BE$37,3,$D$23:$D$37),BD18)</f>
        <v>1.05337102834294</v>
      </c>
    </row>
    <row r="19" customFormat="false" ht="15" hidden="false" customHeight="false" outlineLevel="0" collapsed="false">
      <c r="K19" s="40" t="s">
        <v>731</v>
      </c>
      <c r="L19" s="15" t="n">
        <f aca="false">COUNTIF($E$23:$E$37,1)</f>
        <v>1</v>
      </c>
      <c r="M19" s="15" t="n">
        <f aca="false">COUNTIF($E$23:$E$37,2)</f>
        <v>11</v>
      </c>
      <c r="N19" s="15" t="n">
        <f aca="false">COUNTIF($E$23:$E$37,3)</f>
        <v>3</v>
      </c>
      <c r="W19" s="40" t="s">
        <v>731</v>
      </c>
      <c r="X19" s="15" t="n">
        <f aca="false">COUNTIF($AA$23:$AA$37,1)</f>
        <v>1</v>
      </c>
      <c r="Y19" s="15" t="n">
        <f aca="false">COUNTIF($AA$23:$AA$37,2)</f>
        <v>11</v>
      </c>
      <c r="Z19" s="15" t="n">
        <f aca="false">COUNTIF($AA$23:$AA$37,3)</f>
        <v>3</v>
      </c>
      <c r="AC19" s="15" t="n">
        <f aca="false">COUNTIF($AF$23:$AF$37,1)</f>
        <v>1</v>
      </c>
      <c r="AD19" s="15" t="n">
        <f aca="false">COUNTIF($AF$23:$AF$37,2)</f>
        <v>11</v>
      </c>
      <c r="AE19" s="15" t="n">
        <f aca="false">COUNTIF($AF$23:$AF$37,3)</f>
        <v>3</v>
      </c>
      <c r="AH19" s="15" t="n">
        <f aca="false">COUNTIF($AK$23:$AK$37,1)</f>
        <v>1</v>
      </c>
      <c r="AI19" s="15" t="n">
        <f aca="false">COUNTIF($AK$23:$AK$37,2)</f>
        <v>11</v>
      </c>
      <c r="AJ19" s="15" t="n">
        <f aca="false">COUNTIF($AK$23:$AK$37,3)</f>
        <v>3</v>
      </c>
      <c r="AM19" s="15" t="n">
        <f aca="false">COUNTIF($AP$23:$AP$37,1)</f>
        <v>1</v>
      </c>
      <c r="AN19" s="15" t="n">
        <f aca="false">COUNTIF($AP$23:$AP$37,2)</f>
        <v>11</v>
      </c>
      <c r="AO19" s="15" t="n">
        <f aca="false">COUNTIF($AP$23:$AP$37,3)</f>
        <v>3</v>
      </c>
      <c r="AR19" s="15" t="n">
        <f aca="false">COUNTIF($AU$23:$AU$37,1)</f>
        <v>1</v>
      </c>
      <c r="AS19" s="15" t="n">
        <f aca="false">COUNTIF($AU$23:$AU$37,2)</f>
        <v>11</v>
      </c>
      <c r="AT19" s="15" t="n">
        <f aca="false">COUNTIF($AU$23:$AU$37,3)</f>
        <v>3</v>
      </c>
      <c r="AW19" s="15" t="n">
        <f aca="false">COUNTIF($AZ$23:$AZ$37,1)</f>
        <v>1</v>
      </c>
      <c r="AX19" s="15" t="n">
        <f aca="false">COUNTIF($AZ$23:$AZ$37,2)</f>
        <v>11</v>
      </c>
      <c r="AY19" s="15" t="n">
        <f aca="false">COUNTIF($AZ$23:$AZ$37,3)</f>
        <v>3</v>
      </c>
      <c r="BB19" s="15" t="n">
        <f aca="false">COUNTIF($BE$23:$BE$37,1)</f>
        <v>1</v>
      </c>
      <c r="BC19" s="15" t="n">
        <f aca="false">COUNTIF($BE$23:$BE$37,2)</f>
        <v>11</v>
      </c>
      <c r="BD19" s="15" t="n">
        <f aca="false">COUNTIF($BE$23:$BE$37,3)</f>
        <v>3</v>
      </c>
      <c r="BG19" s="15" t="n">
        <f aca="false">COUNTIF($BJ$23:$BJ$37,1)</f>
        <v>1</v>
      </c>
      <c r="BH19" s="15" t="n">
        <f aca="false">COUNTIF($BJ$23:$BJ$37,2)</f>
        <v>11</v>
      </c>
      <c r="BI19" s="15" t="n">
        <f aca="false">COUNTIF($BJ$23:$BJ$37,3)</f>
        <v>3</v>
      </c>
    </row>
    <row r="20" customFormat="false" ht="15" hidden="false" customHeight="false" outlineLevel="0" collapsed="false">
      <c r="K20" s="40" t="s">
        <v>732</v>
      </c>
      <c r="L20" s="17" t="n">
        <f aca="false">SUMIF($E$23:$E$37,1,$F$23:$F$37)</f>
        <v>0</v>
      </c>
      <c r="M20" s="17" t="n">
        <f aca="false">SUMIF($E$23:$E$37,2,$F$23:$F$37)</f>
        <v>4.20725521139979</v>
      </c>
      <c r="N20" s="17" t="n">
        <f aca="false">SUMIF($E$23:$E$37,3,$F$23:$F$37)</f>
        <v>0.983927702642072</v>
      </c>
      <c r="W20" s="40" t="s">
        <v>733</v>
      </c>
      <c r="AA20" s="12" t="s">
        <v>734</v>
      </c>
      <c r="AF20" s="15" t="n">
        <f aca="false">SUMPRODUCT(--($AF$23:$AF$37&lt;&gt;$AA$23:$AA$37))</f>
        <v>0</v>
      </c>
      <c r="AK20" s="15" t="n">
        <f aca="false">SUMPRODUCT(--($AK$23:$AK$37&lt;&gt;$AF$23:$AF$37))</f>
        <v>0</v>
      </c>
      <c r="AP20" s="15" t="n">
        <f aca="false">SUMPRODUCT(--($AP$23:$AP$37&lt;&gt;$AK$23:$AK$37))</f>
        <v>0</v>
      </c>
      <c r="AU20" s="15" t="n">
        <f aca="false">SUMPRODUCT(--($AU$23:$AU$37&lt;&gt;$AP$23:$AP$37))</f>
        <v>0</v>
      </c>
      <c r="AZ20" s="15" t="n">
        <f aca="false">SUMPRODUCT(--($AZ$23:$AZ$37&lt;&gt;$AU$23:$AU$37))</f>
        <v>0</v>
      </c>
      <c r="BE20" s="15" t="n">
        <f aca="false">SUMPRODUCT(--($BE$23:$BE$37&lt;&gt;$AZ$23:$AZ$37))</f>
        <v>0</v>
      </c>
      <c r="BJ20" s="15" t="n">
        <f aca="false">SUMPRODUCT(--($BJ$23:$BJ$37&lt;&gt;$BE$23:$BE$37))</f>
        <v>0</v>
      </c>
    </row>
    <row r="21" customFormat="false" ht="15" hidden="false" customHeight="false" outlineLevel="0" collapsed="false">
      <c r="K21" s="40" t="s">
        <v>526</v>
      </c>
      <c r="L21" s="70" t="n">
        <f aca="false">SUM($F$23:$F$37)</f>
        <v>5.19118291404186</v>
      </c>
      <c r="M21" s="40" t="s">
        <v>52</v>
      </c>
      <c r="N21" s="36" t="str">
        <f aca="false">IF(BJ20=0,"Converged","Not converged: more iterations needed")</f>
        <v>Converged</v>
      </c>
    </row>
    <row r="22" customFormat="false" ht="31.5" hidden="false" customHeight="true" outlineLevel="0" collapsed="false">
      <c r="A22" s="10" t="s">
        <v>735</v>
      </c>
      <c r="B22" s="10" t="s">
        <v>701</v>
      </c>
      <c r="C22" s="10" t="s">
        <v>702</v>
      </c>
      <c r="D22" s="10" t="s">
        <v>703</v>
      </c>
      <c r="E22" s="10" t="s">
        <v>707</v>
      </c>
      <c r="F22" s="10" t="s">
        <v>736</v>
      </c>
      <c r="G22" s="10" t="s">
        <v>708</v>
      </c>
      <c r="X22" s="10" t="s">
        <v>740</v>
      </c>
      <c r="Y22" s="10" t="s">
        <v>741</v>
      </c>
      <c r="Z22" s="10" t="s">
        <v>742</v>
      </c>
      <c r="AA22" s="10" t="s">
        <v>707</v>
      </c>
      <c r="AC22" s="10" t="s">
        <v>740</v>
      </c>
      <c r="AD22" s="10" t="s">
        <v>741</v>
      </c>
      <c r="AE22" s="10" t="s">
        <v>742</v>
      </c>
      <c r="AF22" s="10" t="s">
        <v>707</v>
      </c>
      <c r="AH22" s="10" t="s">
        <v>740</v>
      </c>
      <c r="AI22" s="10" t="s">
        <v>741</v>
      </c>
      <c r="AJ22" s="10" t="s">
        <v>742</v>
      </c>
      <c r="AK22" s="10" t="s">
        <v>707</v>
      </c>
      <c r="AM22" s="10" t="s">
        <v>740</v>
      </c>
      <c r="AN22" s="10" t="s">
        <v>741</v>
      </c>
      <c r="AO22" s="10" t="s">
        <v>742</v>
      </c>
      <c r="AP22" s="10" t="s">
        <v>707</v>
      </c>
      <c r="AR22" s="10" t="s">
        <v>740</v>
      </c>
      <c r="AS22" s="10" t="s">
        <v>741</v>
      </c>
      <c r="AT22" s="10" t="s">
        <v>742</v>
      </c>
      <c r="AU22" s="10" t="s">
        <v>707</v>
      </c>
      <c r="AW22" s="10" t="s">
        <v>740</v>
      </c>
      <c r="AX22" s="10" t="s">
        <v>741</v>
      </c>
      <c r="AY22" s="10" t="s">
        <v>742</v>
      </c>
      <c r="AZ22" s="10" t="s">
        <v>707</v>
      </c>
      <c r="BB22" s="10" t="s">
        <v>740</v>
      </c>
      <c r="BC22" s="10" t="s">
        <v>741</v>
      </c>
      <c r="BD22" s="10" t="s">
        <v>742</v>
      </c>
      <c r="BE22" s="10" t="s">
        <v>707</v>
      </c>
      <c r="BG22" s="10" t="s">
        <v>740</v>
      </c>
      <c r="BH22" s="10" t="s">
        <v>741</v>
      </c>
      <c r="BI22" s="10" t="s">
        <v>742</v>
      </c>
      <c r="BJ22" s="10" t="s">
        <v>707</v>
      </c>
    </row>
    <row r="23" customFormat="false" ht="15" hidden="false" customHeight="false" outlineLevel="0" collapsed="false">
      <c r="A23" s="36" t="str">
        <f aca="false">Travel_Data!A5</f>
        <v>Local - Social Contact</v>
      </c>
      <c r="B23" s="17" t="n">
        <f aca="false">Travel_Data!K5</f>
        <v>2.29982752189237</v>
      </c>
      <c r="C23" s="17" t="n">
        <f aca="false">Travel_Data!L5</f>
        <v>2.90182235621279</v>
      </c>
      <c r="D23" s="17" t="n">
        <f aca="false">Travel_Data!M5</f>
        <v>2.38870140891633</v>
      </c>
      <c r="E23" s="63" t="n">
        <f aca="false">BJ23</f>
        <v>1</v>
      </c>
      <c r="F23" s="38" t="n">
        <f aca="false">($B23-INDEX($L$16:$N$16,E23))^2+($C23-INDEX($L$17:$N$17,E23))^2+($D23-INDEX($L$18:$N$18,E23))^2</f>
        <v>0</v>
      </c>
      <c r="G23" s="12" t="str">
        <f aca="false">INDEX($M$5:$M$7,E23)</f>
        <v>High impact</v>
      </c>
      <c r="X23" s="17" t="n">
        <f aca="false">SQRT(($B23-X$16)^2+($C23-X$17)^2+($D23-X$18)^2)</f>
        <v>0</v>
      </c>
      <c r="Y23" s="17" t="n">
        <f aca="false">SQRT(($B23-Y$16)^2+($C23-Y$17)^2+($D23-Y$18)^2)</f>
        <v>5.6442544115366</v>
      </c>
      <c r="Z23" s="17" t="n">
        <f aca="false">SQRT(($B23-Z$16)^2+($C23-Z$17)^2+($D23-Z$18)^2)</f>
        <v>2.88258451285598</v>
      </c>
      <c r="AA23" s="63" t="n">
        <f aca="false">MATCH(MIN(X23:Z23),X23:Z23,0)</f>
        <v>1</v>
      </c>
      <c r="AC23" s="17" t="n">
        <f aca="false">SQRT(($B23-AC$16)^2+($C23-AC$17)^2+($D23-AC$18)^2)</f>
        <v>0</v>
      </c>
      <c r="AD23" s="17" t="n">
        <f aca="false">SQRT(($B23-AD$16)^2+($C23-AD$17)^2+($D23-AD$18)^2)</f>
        <v>5.27021790665499</v>
      </c>
      <c r="AE23" s="17" t="n">
        <f aca="false">SQRT(($B23-AE$16)^2+($C23-AE$17)^2+($D23-AE$18)^2)</f>
        <v>2.73963276386293</v>
      </c>
      <c r="AF23" s="63" t="n">
        <f aca="false">MATCH(MIN(AC23:AE23),AC23:AE23,0)</f>
        <v>1</v>
      </c>
      <c r="AH23" s="17" t="n">
        <f aca="false">SQRT(($B23-AH$16)^2+($C23-AH$17)^2+($D23-AH$18)^2)</f>
        <v>0</v>
      </c>
      <c r="AI23" s="17" t="n">
        <f aca="false">SQRT(($B23-AI$16)^2+($C23-AI$17)^2+($D23-AI$18)^2)</f>
        <v>5.27021790665499</v>
      </c>
      <c r="AJ23" s="17" t="n">
        <f aca="false">SQRT(($B23-AJ$16)^2+($C23-AJ$17)^2+($D23-AJ$18)^2)</f>
        <v>2.73963276386293</v>
      </c>
      <c r="AK23" s="63" t="n">
        <f aca="false">MATCH(MIN(AH23:AJ23),AH23:AJ23,0)</f>
        <v>1</v>
      </c>
      <c r="AM23" s="17" t="n">
        <f aca="false">SQRT(($B23-AM$16)^2+($C23-AM$17)^2+($D23-AM$18)^2)</f>
        <v>0</v>
      </c>
      <c r="AN23" s="17" t="n">
        <f aca="false">SQRT(($B23-AN$16)^2+($C23-AN$17)^2+($D23-AN$18)^2)</f>
        <v>5.27021790665499</v>
      </c>
      <c r="AO23" s="17" t="n">
        <f aca="false">SQRT(($B23-AO$16)^2+($C23-AO$17)^2+($D23-AO$18)^2)</f>
        <v>2.73963276386293</v>
      </c>
      <c r="AP23" s="63" t="n">
        <f aca="false">MATCH(MIN(AM23:AO23),AM23:AO23,0)</f>
        <v>1</v>
      </c>
      <c r="AR23" s="17" t="n">
        <f aca="false">SQRT(($B23-AR$16)^2+($C23-AR$17)^2+($D23-AR$18)^2)</f>
        <v>0</v>
      </c>
      <c r="AS23" s="17" t="n">
        <f aca="false">SQRT(($B23-AS$16)^2+($C23-AS$17)^2+($D23-AS$18)^2)</f>
        <v>5.27021790665499</v>
      </c>
      <c r="AT23" s="17" t="n">
        <f aca="false">SQRT(($B23-AT$16)^2+($C23-AT$17)^2+($D23-AT$18)^2)</f>
        <v>2.73963276386293</v>
      </c>
      <c r="AU23" s="63" t="n">
        <f aca="false">MATCH(MIN(AR23:AT23),AR23:AT23,0)</f>
        <v>1</v>
      </c>
      <c r="AW23" s="17" t="n">
        <f aca="false">SQRT(($B23-AW$16)^2+($C23-AW$17)^2+($D23-AW$18)^2)</f>
        <v>0</v>
      </c>
      <c r="AX23" s="17" t="n">
        <f aca="false">SQRT(($B23-AX$16)^2+($C23-AX$17)^2+($D23-AX$18)^2)</f>
        <v>5.27021790665499</v>
      </c>
      <c r="AY23" s="17" t="n">
        <f aca="false">SQRT(($B23-AY$16)^2+($C23-AY$17)^2+($D23-AY$18)^2)</f>
        <v>2.73963276386293</v>
      </c>
      <c r="AZ23" s="63" t="n">
        <f aca="false">MATCH(MIN(AW23:AY23),AW23:AY23,0)</f>
        <v>1</v>
      </c>
      <c r="BB23" s="17" t="n">
        <f aca="false">SQRT(($B23-BB$16)^2+($C23-BB$17)^2+($D23-BB$18)^2)</f>
        <v>0</v>
      </c>
      <c r="BC23" s="17" t="n">
        <f aca="false">SQRT(($B23-BC$16)^2+($C23-BC$17)^2+($D23-BC$18)^2)</f>
        <v>5.27021790665499</v>
      </c>
      <c r="BD23" s="17" t="n">
        <f aca="false">SQRT(($B23-BD$16)^2+($C23-BD$17)^2+($D23-BD$18)^2)</f>
        <v>2.73963276386293</v>
      </c>
      <c r="BE23" s="63" t="n">
        <f aca="false">MATCH(MIN(BB23:BD23),BB23:BD23,0)</f>
        <v>1</v>
      </c>
      <c r="BG23" s="17" t="n">
        <f aca="false">SQRT(($B23-BG$16)^2+($C23-BG$17)^2+($D23-BG$18)^2)</f>
        <v>0</v>
      </c>
      <c r="BH23" s="17" t="n">
        <f aca="false">SQRT(($B23-BH$16)^2+($C23-BH$17)^2+($D23-BH$18)^2)</f>
        <v>5.27021790665499</v>
      </c>
      <c r="BI23" s="17" t="n">
        <f aca="false">SQRT(($B23-BI$16)^2+($C23-BI$17)^2+($D23-BI$18)^2)</f>
        <v>2.73963276386293</v>
      </c>
      <c r="BJ23" s="63" t="n">
        <f aca="false">MATCH(MIN(BG23:BI23),BG23:BI23,0)</f>
        <v>1</v>
      </c>
    </row>
    <row r="24" customFormat="false" ht="15" hidden="false" customHeight="false" outlineLevel="0" collapsed="false">
      <c r="A24" s="36" t="str">
        <f aca="false">Travel_Data!A6</f>
        <v>Unknown</v>
      </c>
      <c r="B24" s="17" t="n">
        <f aca="false">Travel_Data!K6</f>
        <v>1.34737261021607</v>
      </c>
      <c r="C24" s="17" t="n">
        <f aca="false">Travel_Data!L6</f>
        <v>1.53639668327942</v>
      </c>
      <c r="D24" s="17" t="n">
        <f aca="false">Travel_Data!M6</f>
        <v>1.15625763344114</v>
      </c>
      <c r="E24" s="63" t="n">
        <f aca="false">BJ24</f>
        <v>3</v>
      </c>
      <c r="F24" s="38" t="n">
        <f aca="false">($B24-INDEX($L$16:$N$16,E24))^2+($C24-INDEX($L$17:$N$17,E24))^2+($D24-INDEX($L$18:$N$18,E24))^2</f>
        <v>0.571181128605131</v>
      </c>
      <c r="G24" s="12" t="str">
        <f aca="false">INDEX($M$5:$M$7,E24)</f>
        <v>Medium impact</v>
      </c>
      <c r="X24" s="17" t="n">
        <f aca="false">SQRT(($B24-X$16)^2+($C24-X$17)^2+($D24-X$18)^2)</f>
        <v>2.07134624985524</v>
      </c>
      <c r="Y24" s="17" t="n">
        <f aca="false">SQRT(($B24-Y$16)^2+($C24-Y$17)^2+($D24-Y$18)^2)</f>
        <v>3.60113321857206</v>
      </c>
      <c r="Z24" s="17" t="n">
        <f aca="false">SQRT(($B24-Z$16)^2+($C24-Z$17)^2+($D24-Z$18)^2)</f>
        <v>0.976366807473647</v>
      </c>
      <c r="AA24" s="63" t="n">
        <f aca="false">MATCH(MIN(X24:Z24),X24:Z24,0)</f>
        <v>3</v>
      </c>
      <c r="AC24" s="17" t="n">
        <f aca="false">SQRT(($B24-AC$16)^2+($C24-AC$17)^2+($D24-AC$18)^2)</f>
        <v>2.07134624985524</v>
      </c>
      <c r="AD24" s="17" t="n">
        <f aca="false">SQRT(($B24-AD$16)^2+($C24-AD$17)^2+($D24-AD$18)^2)</f>
        <v>3.21215999154356</v>
      </c>
      <c r="AE24" s="17" t="n">
        <f aca="false">SQRT(($B24-AE$16)^2+($C24-AE$17)^2+($D24-AE$18)^2)</f>
        <v>0.755765260252898</v>
      </c>
      <c r="AF24" s="63" t="n">
        <f aca="false">MATCH(MIN(AC24:AE24),AC24:AE24,0)</f>
        <v>3</v>
      </c>
      <c r="AH24" s="17" t="n">
        <f aca="false">SQRT(($B24-AH$16)^2+($C24-AH$17)^2+($D24-AH$18)^2)</f>
        <v>2.07134624985524</v>
      </c>
      <c r="AI24" s="17" t="n">
        <f aca="false">SQRT(($B24-AI$16)^2+($C24-AI$17)^2+($D24-AI$18)^2)</f>
        <v>3.21215999154356</v>
      </c>
      <c r="AJ24" s="17" t="n">
        <f aca="false">SQRT(($B24-AJ$16)^2+($C24-AJ$17)^2+($D24-AJ$18)^2)</f>
        <v>0.755765260252898</v>
      </c>
      <c r="AK24" s="63" t="n">
        <f aca="false">MATCH(MIN(AH24:AJ24),AH24:AJ24,0)</f>
        <v>3</v>
      </c>
      <c r="AM24" s="17" t="n">
        <f aca="false">SQRT(($B24-AM$16)^2+($C24-AM$17)^2+($D24-AM$18)^2)</f>
        <v>2.07134624985524</v>
      </c>
      <c r="AN24" s="17" t="n">
        <f aca="false">SQRT(($B24-AN$16)^2+($C24-AN$17)^2+($D24-AN$18)^2)</f>
        <v>3.21215999154356</v>
      </c>
      <c r="AO24" s="17" t="n">
        <f aca="false">SQRT(($B24-AO$16)^2+($C24-AO$17)^2+($D24-AO$18)^2)</f>
        <v>0.755765260252898</v>
      </c>
      <c r="AP24" s="63" t="n">
        <f aca="false">MATCH(MIN(AM24:AO24),AM24:AO24,0)</f>
        <v>3</v>
      </c>
      <c r="AR24" s="17" t="n">
        <f aca="false">SQRT(($B24-AR$16)^2+($C24-AR$17)^2+($D24-AR$18)^2)</f>
        <v>2.07134624985524</v>
      </c>
      <c r="AS24" s="17" t="n">
        <f aca="false">SQRT(($B24-AS$16)^2+($C24-AS$17)^2+($D24-AS$18)^2)</f>
        <v>3.21215999154356</v>
      </c>
      <c r="AT24" s="17" t="n">
        <f aca="false">SQRT(($B24-AT$16)^2+($C24-AT$17)^2+($D24-AT$18)^2)</f>
        <v>0.755765260252898</v>
      </c>
      <c r="AU24" s="63" t="n">
        <f aca="false">MATCH(MIN(AR24:AT24),AR24:AT24,0)</f>
        <v>3</v>
      </c>
      <c r="AW24" s="17" t="n">
        <f aca="false">SQRT(($B24-AW$16)^2+($C24-AW$17)^2+($D24-AW$18)^2)</f>
        <v>2.07134624985524</v>
      </c>
      <c r="AX24" s="17" t="n">
        <f aca="false">SQRT(($B24-AX$16)^2+($C24-AX$17)^2+($D24-AX$18)^2)</f>
        <v>3.21215999154356</v>
      </c>
      <c r="AY24" s="17" t="n">
        <f aca="false">SQRT(($B24-AY$16)^2+($C24-AY$17)^2+($D24-AY$18)^2)</f>
        <v>0.755765260252898</v>
      </c>
      <c r="AZ24" s="63" t="n">
        <f aca="false">MATCH(MIN(AW24:AY24),AW24:AY24,0)</f>
        <v>3</v>
      </c>
      <c r="BB24" s="17" t="n">
        <f aca="false">SQRT(($B24-BB$16)^2+($C24-BB$17)^2+($D24-BB$18)^2)</f>
        <v>2.07134624985524</v>
      </c>
      <c r="BC24" s="17" t="n">
        <f aca="false">SQRT(($B24-BC$16)^2+($C24-BC$17)^2+($D24-BC$18)^2)</f>
        <v>3.21215999154356</v>
      </c>
      <c r="BD24" s="17" t="n">
        <f aca="false">SQRT(($B24-BD$16)^2+($C24-BD$17)^2+($D24-BD$18)^2)</f>
        <v>0.755765260252898</v>
      </c>
      <c r="BE24" s="63" t="n">
        <f aca="false">MATCH(MIN(BB24:BD24),BB24:BD24,0)</f>
        <v>3</v>
      </c>
      <c r="BG24" s="17" t="n">
        <f aca="false">SQRT(($B24-BG$16)^2+($C24-BG$17)^2+($D24-BG$18)^2)</f>
        <v>2.07134624985524</v>
      </c>
      <c r="BH24" s="17" t="n">
        <f aca="false">SQRT(($B24-BH$16)^2+($C24-BH$17)^2+($D24-BH$18)^2)</f>
        <v>3.21215999154356</v>
      </c>
      <c r="BI24" s="17" t="n">
        <f aca="false">SQRT(($B24-BI$16)^2+($C24-BI$17)^2+($D24-BI$18)^2)</f>
        <v>0.755765260252898</v>
      </c>
      <c r="BJ24" s="63" t="n">
        <f aca="false">MATCH(MIN(BG24:BI24),BG24:BI24,0)</f>
        <v>3</v>
      </c>
    </row>
    <row r="25" customFormat="false" ht="15" hidden="false" customHeight="false" outlineLevel="0" collapsed="false">
      <c r="A25" s="36" t="str">
        <f aca="false">Travel_Data!A7</f>
        <v>Tableeghi Jamaat</v>
      </c>
      <c r="B25" s="17" t="n">
        <f aca="false">Travel_Data!K7</f>
        <v>1.0016132856446</v>
      </c>
      <c r="C25" s="17" t="n">
        <f aca="false">Travel_Data!L7</f>
        <v>0.310435874082269</v>
      </c>
      <c r="D25" s="17" t="n">
        <f aca="false">Travel_Data!M7</f>
        <v>0.80747470738868</v>
      </c>
      <c r="E25" s="63" t="n">
        <f aca="false">BJ25</f>
        <v>3</v>
      </c>
      <c r="F25" s="38" t="n">
        <f aca="false">($B25-INDEX($L$16:$N$16,E25))^2+($C25-INDEX($L$17:$N$17,E25))^2+($D25-INDEX($L$18:$N$18,E25))^2</f>
        <v>0.338187754182621</v>
      </c>
      <c r="G25" s="12" t="str">
        <f aca="false">INDEX($M$5:$M$7,E25)</f>
        <v>Medium impact</v>
      </c>
      <c r="X25" s="17" t="n">
        <f aca="false">SQRT(($B25-X$16)^2+($C25-X$17)^2+($D25-X$18)^2)</f>
        <v>3.30165443143119</v>
      </c>
      <c r="Y25" s="17" t="n">
        <f aca="false">SQRT(($B25-Y$16)^2+($C25-Y$17)^2+($D25-Y$18)^2)</f>
        <v>2.60455171394049</v>
      </c>
      <c r="Z25" s="17" t="n">
        <f aca="false">SQRT(($B25-Z$16)^2+($C25-Z$17)^2+($D25-Z$18)^2)</f>
        <v>0.504293584600036</v>
      </c>
      <c r="AA25" s="63" t="n">
        <f aca="false">MATCH(MIN(X25:Z25),X25:Z25,0)</f>
        <v>3</v>
      </c>
      <c r="AC25" s="17" t="n">
        <f aca="false">SQRT(($B25-AC$16)^2+($C25-AC$17)^2+($D25-AC$18)^2)</f>
        <v>3.30165443143119</v>
      </c>
      <c r="AD25" s="17" t="n">
        <f aca="false">SQRT(($B25-AD$16)^2+($C25-AD$17)^2+($D25-AD$18)^2)</f>
        <v>2.15675591768922</v>
      </c>
      <c r="AE25" s="17" t="n">
        <f aca="false">SQRT(($B25-AE$16)^2+($C25-AE$17)^2+($D25-AE$18)^2)</f>
        <v>0.581539125238037</v>
      </c>
      <c r="AF25" s="63" t="n">
        <f aca="false">MATCH(MIN(AC25:AE25),AC25:AE25,0)</f>
        <v>3</v>
      </c>
      <c r="AH25" s="17" t="n">
        <f aca="false">SQRT(($B25-AH$16)^2+($C25-AH$17)^2+($D25-AH$18)^2)</f>
        <v>3.30165443143119</v>
      </c>
      <c r="AI25" s="17" t="n">
        <f aca="false">SQRT(($B25-AI$16)^2+($C25-AI$17)^2+($D25-AI$18)^2)</f>
        <v>2.15675591768922</v>
      </c>
      <c r="AJ25" s="17" t="n">
        <f aca="false">SQRT(($B25-AJ$16)^2+($C25-AJ$17)^2+($D25-AJ$18)^2)</f>
        <v>0.581539125238037</v>
      </c>
      <c r="AK25" s="63" t="n">
        <f aca="false">MATCH(MIN(AH25:AJ25),AH25:AJ25,0)</f>
        <v>3</v>
      </c>
      <c r="AM25" s="17" t="n">
        <f aca="false">SQRT(($B25-AM$16)^2+($C25-AM$17)^2+($D25-AM$18)^2)</f>
        <v>3.30165443143119</v>
      </c>
      <c r="AN25" s="17" t="n">
        <f aca="false">SQRT(($B25-AN$16)^2+($C25-AN$17)^2+($D25-AN$18)^2)</f>
        <v>2.15675591768922</v>
      </c>
      <c r="AO25" s="17" t="n">
        <f aca="false">SQRT(($B25-AO$16)^2+($C25-AO$17)^2+($D25-AO$18)^2)</f>
        <v>0.581539125238037</v>
      </c>
      <c r="AP25" s="63" t="n">
        <f aca="false">MATCH(MIN(AM25:AO25),AM25:AO25,0)</f>
        <v>3</v>
      </c>
      <c r="AR25" s="17" t="n">
        <f aca="false">SQRT(($B25-AR$16)^2+($C25-AR$17)^2+($D25-AR$18)^2)</f>
        <v>3.30165443143119</v>
      </c>
      <c r="AS25" s="17" t="n">
        <f aca="false">SQRT(($B25-AS$16)^2+($C25-AS$17)^2+($D25-AS$18)^2)</f>
        <v>2.15675591768922</v>
      </c>
      <c r="AT25" s="17" t="n">
        <f aca="false">SQRT(($B25-AT$16)^2+($C25-AT$17)^2+($D25-AT$18)^2)</f>
        <v>0.581539125238037</v>
      </c>
      <c r="AU25" s="63" t="n">
        <f aca="false">MATCH(MIN(AR25:AT25),AR25:AT25,0)</f>
        <v>3</v>
      </c>
      <c r="AW25" s="17" t="n">
        <f aca="false">SQRT(($B25-AW$16)^2+($C25-AW$17)^2+($D25-AW$18)^2)</f>
        <v>3.30165443143119</v>
      </c>
      <c r="AX25" s="17" t="n">
        <f aca="false">SQRT(($B25-AX$16)^2+($C25-AX$17)^2+($D25-AX$18)^2)</f>
        <v>2.15675591768922</v>
      </c>
      <c r="AY25" s="17" t="n">
        <f aca="false">SQRT(($B25-AY$16)^2+($C25-AY$17)^2+($D25-AY$18)^2)</f>
        <v>0.581539125238037</v>
      </c>
      <c r="AZ25" s="63" t="n">
        <f aca="false">MATCH(MIN(AW25:AY25),AW25:AY25,0)</f>
        <v>3</v>
      </c>
      <c r="BB25" s="17" t="n">
        <f aca="false">SQRT(($B25-BB$16)^2+($C25-BB$17)^2+($D25-BB$18)^2)</f>
        <v>3.30165443143119</v>
      </c>
      <c r="BC25" s="17" t="n">
        <f aca="false">SQRT(($B25-BC$16)^2+($C25-BC$17)^2+($D25-BC$18)^2)</f>
        <v>2.15675591768922</v>
      </c>
      <c r="BD25" s="17" t="n">
        <f aca="false">SQRT(($B25-BD$16)^2+($C25-BD$17)^2+($D25-BD$18)^2)</f>
        <v>0.581539125238037</v>
      </c>
      <c r="BE25" s="63" t="n">
        <f aca="false">MATCH(MIN(BB25:BD25),BB25:BD25,0)</f>
        <v>3</v>
      </c>
      <c r="BG25" s="17" t="n">
        <f aca="false">SQRT(($B25-BG$16)^2+($C25-BG$17)^2+($D25-BG$18)^2)</f>
        <v>3.30165443143119</v>
      </c>
      <c r="BH25" s="17" t="n">
        <f aca="false">SQRT(($B25-BH$16)^2+($C25-BH$17)^2+($D25-BH$18)^2)</f>
        <v>2.15675591768922</v>
      </c>
      <c r="BI25" s="17" t="n">
        <f aca="false">SQRT(($B25-BI$16)^2+($C25-BI$17)^2+($D25-BI$18)^2)</f>
        <v>0.581539125238037</v>
      </c>
      <c r="BJ25" s="63" t="n">
        <f aca="false">MATCH(MIN(BG25:BI25),BG25:BI25,0)</f>
        <v>3</v>
      </c>
    </row>
    <row r="26" customFormat="false" ht="15" hidden="false" customHeight="false" outlineLevel="0" collapsed="false">
      <c r="A26" s="36" t="str">
        <f aca="false">Travel_Data!A8</f>
        <v>Iran/Taftan</v>
      </c>
      <c r="B26" s="17" t="n">
        <f aca="false">Travel_Data!K8</f>
        <v>0.984147315713857</v>
      </c>
      <c r="C26" s="17" t="n">
        <f aca="false">Travel_Data!L8</f>
        <v>0.630996404864858</v>
      </c>
      <c r="D26" s="17" t="n">
        <f aca="false">Travel_Data!M8</f>
        <v>1.19638074419901</v>
      </c>
      <c r="E26" s="63" t="n">
        <f aca="false">BJ26</f>
        <v>3</v>
      </c>
      <c r="F26" s="38" t="n">
        <f aca="false">($B26-INDEX($L$16:$N$16,E26))^2+($C26-INDEX($L$17:$N$17,E26))^2+($D26-INDEX($L$18:$N$18,E26))^2</f>
        <v>0.0745588198543205</v>
      </c>
      <c r="G26" s="12" t="str">
        <f aca="false">INDEX($M$5:$M$7,E26)</f>
        <v>Medium impact</v>
      </c>
      <c r="X26" s="17" t="n">
        <f aca="false">SQRT(($B26-X$16)^2+($C26-X$17)^2+($D26-X$18)^2)</f>
        <v>2.88258451285598</v>
      </c>
      <c r="Y26" s="17" t="n">
        <f aca="false">SQRT(($B26-Y$16)^2+($C26-Y$17)^2+($D26-Y$18)^2)</f>
        <v>2.94910801279107</v>
      </c>
      <c r="Z26" s="17" t="n">
        <f aca="false">SQRT(($B26-Z$16)^2+($C26-Z$17)^2+($D26-Z$18)^2)</f>
        <v>0</v>
      </c>
      <c r="AA26" s="63" t="n">
        <f aca="false">MATCH(MIN(X26:Z26),X26:Z26,0)</f>
        <v>3</v>
      </c>
      <c r="AC26" s="17" t="n">
        <f aca="false">SQRT(($B26-AC$16)^2+($C26-AC$17)^2+($D26-AC$18)^2)</f>
        <v>2.88258451285598</v>
      </c>
      <c r="AD26" s="17" t="n">
        <f aca="false">SQRT(($B26-AD$16)^2+($C26-AD$17)^2+($D26-AD$18)^2)</f>
        <v>2.52705877290142</v>
      </c>
      <c r="AE26" s="17" t="n">
        <f aca="false">SQRT(($B26-AE$16)^2+($C26-AE$17)^2+($D26-AE$18)^2)</f>
        <v>0.273054609655872</v>
      </c>
      <c r="AF26" s="63" t="n">
        <f aca="false">MATCH(MIN(AC26:AE26),AC26:AE26,0)</f>
        <v>3</v>
      </c>
      <c r="AH26" s="17" t="n">
        <f aca="false">SQRT(($B26-AH$16)^2+($C26-AH$17)^2+($D26-AH$18)^2)</f>
        <v>2.88258451285598</v>
      </c>
      <c r="AI26" s="17" t="n">
        <f aca="false">SQRT(($B26-AI$16)^2+($C26-AI$17)^2+($D26-AI$18)^2)</f>
        <v>2.52705877290142</v>
      </c>
      <c r="AJ26" s="17" t="n">
        <f aca="false">SQRT(($B26-AJ$16)^2+($C26-AJ$17)^2+($D26-AJ$18)^2)</f>
        <v>0.273054609655872</v>
      </c>
      <c r="AK26" s="63" t="n">
        <f aca="false">MATCH(MIN(AH26:AJ26),AH26:AJ26,0)</f>
        <v>3</v>
      </c>
      <c r="AM26" s="17" t="n">
        <f aca="false">SQRT(($B26-AM$16)^2+($C26-AM$17)^2+($D26-AM$18)^2)</f>
        <v>2.88258451285598</v>
      </c>
      <c r="AN26" s="17" t="n">
        <f aca="false">SQRT(($B26-AN$16)^2+($C26-AN$17)^2+($D26-AN$18)^2)</f>
        <v>2.52705877290142</v>
      </c>
      <c r="AO26" s="17" t="n">
        <f aca="false">SQRT(($B26-AO$16)^2+($C26-AO$17)^2+($D26-AO$18)^2)</f>
        <v>0.273054609655872</v>
      </c>
      <c r="AP26" s="63" t="n">
        <f aca="false">MATCH(MIN(AM26:AO26),AM26:AO26,0)</f>
        <v>3</v>
      </c>
      <c r="AR26" s="17" t="n">
        <f aca="false">SQRT(($B26-AR$16)^2+($C26-AR$17)^2+($D26-AR$18)^2)</f>
        <v>2.88258451285598</v>
      </c>
      <c r="AS26" s="17" t="n">
        <f aca="false">SQRT(($B26-AS$16)^2+($C26-AS$17)^2+($D26-AS$18)^2)</f>
        <v>2.52705877290142</v>
      </c>
      <c r="AT26" s="17" t="n">
        <f aca="false">SQRT(($B26-AT$16)^2+($C26-AT$17)^2+($D26-AT$18)^2)</f>
        <v>0.273054609655872</v>
      </c>
      <c r="AU26" s="63" t="n">
        <f aca="false">MATCH(MIN(AR26:AT26),AR26:AT26,0)</f>
        <v>3</v>
      </c>
      <c r="AW26" s="17" t="n">
        <f aca="false">SQRT(($B26-AW$16)^2+($C26-AW$17)^2+($D26-AW$18)^2)</f>
        <v>2.88258451285598</v>
      </c>
      <c r="AX26" s="17" t="n">
        <f aca="false">SQRT(($B26-AX$16)^2+($C26-AX$17)^2+($D26-AX$18)^2)</f>
        <v>2.52705877290142</v>
      </c>
      <c r="AY26" s="17" t="n">
        <f aca="false">SQRT(($B26-AY$16)^2+($C26-AY$17)^2+($D26-AY$18)^2)</f>
        <v>0.273054609655872</v>
      </c>
      <c r="AZ26" s="63" t="n">
        <f aca="false">MATCH(MIN(AW26:AY26),AW26:AY26,0)</f>
        <v>3</v>
      </c>
      <c r="BB26" s="17" t="n">
        <f aca="false">SQRT(($B26-BB$16)^2+($C26-BB$17)^2+($D26-BB$18)^2)</f>
        <v>2.88258451285598</v>
      </c>
      <c r="BC26" s="17" t="n">
        <f aca="false">SQRT(($B26-BC$16)^2+($C26-BC$17)^2+($D26-BC$18)^2)</f>
        <v>2.52705877290142</v>
      </c>
      <c r="BD26" s="17" t="n">
        <f aca="false">SQRT(($B26-BD$16)^2+($C26-BD$17)^2+($D26-BD$18)^2)</f>
        <v>0.273054609655872</v>
      </c>
      <c r="BE26" s="63" t="n">
        <f aca="false">MATCH(MIN(BB26:BD26),BB26:BD26,0)</f>
        <v>3</v>
      </c>
      <c r="BG26" s="17" t="n">
        <f aca="false">SQRT(($B26-BG$16)^2+($C26-BG$17)^2+($D26-BG$18)^2)</f>
        <v>2.88258451285598</v>
      </c>
      <c r="BH26" s="17" t="n">
        <f aca="false">SQRT(($B26-BH$16)^2+($C26-BH$17)^2+($D26-BH$18)^2)</f>
        <v>2.52705877290142</v>
      </c>
      <c r="BI26" s="17" t="n">
        <f aca="false">SQRT(($B26-BI$16)^2+($C26-BI$17)^2+($D26-BI$18)^2)</f>
        <v>0.273054609655872</v>
      </c>
      <c r="BJ26" s="63" t="n">
        <f aca="false">MATCH(MIN(BG26:BI26),BG26:BI26,0)</f>
        <v>3</v>
      </c>
    </row>
    <row r="27" customFormat="false" ht="15" hidden="false" customHeight="false" outlineLevel="0" collapsed="false">
      <c r="A27" s="36" t="str">
        <f aca="false">Travel_Data!A9</f>
        <v>Jail</v>
      </c>
      <c r="B27" s="17" t="n">
        <f aca="false">Travel_Data!K9</f>
        <v>0.287989773087426</v>
      </c>
      <c r="C27" s="17" t="n">
        <f aca="false">Travel_Data!L9</f>
        <v>-0.518201077201994</v>
      </c>
      <c r="D27" s="17" t="n">
        <f aca="false">Travel_Data!M9</f>
        <v>-0.729512590459471</v>
      </c>
      <c r="E27" s="63" t="n">
        <f aca="false">BJ27</f>
        <v>2</v>
      </c>
      <c r="F27" s="38" t="n">
        <f aca="false">($B27-INDEX($L$16:$N$16,E27))^2+($C27-INDEX($L$17:$N$17,E27))^2+($D27-INDEX($L$18:$N$18,E27))^2</f>
        <v>0.691631349062916</v>
      </c>
      <c r="G27" s="12" t="str">
        <f aca="false">INDEX($M$5:$M$7,E27)</f>
        <v>Low impact</v>
      </c>
      <c r="X27" s="17" t="n">
        <f aca="false">SQRT(($B27-X$16)^2+($C27-X$17)^2+($D27-X$18)^2)</f>
        <v>5.04651463472821</v>
      </c>
      <c r="Y27" s="17" t="n">
        <f aca="false">SQRT(($B27-Y$16)^2+($C27-Y$17)^2+($D27-Y$18)^2)</f>
        <v>1.21891897851776</v>
      </c>
      <c r="Z27" s="17" t="n">
        <f aca="false">SQRT(($B27-Z$16)^2+($C27-Z$17)^2+($D27-Z$18)^2)</f>
        <v>2.34826644855869</v>
      </c>
      <c r="AA27" s="63" t="n">
        <f aca="false">MATCH(MIN(X27:Z27),X27:Z27,0)</f>
        <v>2</v>
      </c>
      <c r="AC27" s="17" t="n">
        <f aca="false">SQRT(($B27-AC$16)^2+($C27-AC$17)^2+($D27-AC$18)^2)</f>
        <v>5.04651463472821</v>
      </c>
      <c r="AD27" s="17" t="n">
        <f aca="false">SQRT(($B27-AD$16)^2+($C27-AD$17)^2+($D27-AD$18)^2)</f>
        <v>0.831643763316311</v>
      </c>
      <c r="AE27" s="17" t="n">
        <f aca="false">SQRT(($B27-AE$16)^2+($C27-AE$17)^2+($D27-AE$18)^2)</f>
        <v>2.37966724351446</v>
      </c>
      <c r="AF27" s="63" t="n">
        <f aca="false">MATCH(MIN(AC27:AE27),AC27:AE27,0)</f>
        <v>2</v>
      </c>
      <c r="AH27" s="17" t="n">
        <f aca="false">SQRT(($B27-AH$16)^2+($C27-AH$17)^2+($D27-AH$18)^2)</f>
        <v>5.04651463472821</v>
      </c>
      <c r="AI27" s="17" t="n">
        <f aca="false">SQRT(($B27-AI$16)^2+($C27-AI$17)^2+($D27-AI$18)^2)</f>
        <v>0.831643763316311</v>
      </c>
      <c r="AJ27" s="17" t="n">
        <f aca="false">SQRT(($B27-AJ$16)^2+($C27-AJ$17)^2+($D27-AJ$18)^2)</f>
        <v>2.37966724351446</v>
      </c>
      <c r="AK27" s="63" t="n">
        <f aca="false">MATCH(MIN(AH27:AJ27),AH27:AJ27,0)</f>
        <v>2</v>
      </c>
      <c r="AM27" s="17" t="n">
        <f aca="false">SQRT(($B27-AM$16)^2+($C27-AM$17)^2+($D27-AM$18)^2)</f>
        <v>5.04651463472821</v>
      </c>
      <c r="AN27" s="17" t="n">
        <f aca="false">SQRT(($B27-AN$16)^2+($C27-AN$17)^2+($D27-AN$18)^2)</f>
        <v>0.831643763316311</v>
      </c>
      <c r="AO27" s="17" t="n">
        <f aca="false">SQRT(($B27-AO$16)^2+($C27-AO$17)^2+($D27-AO$18)^2)</f>
        <v>2.37966724351446</v>
      </c>
      <c r="AP27" s="63" t="n">
        <f aca="false">MATCH(MIN(AM27:AO27),AM27:AO27,0)</f>
        <v>2</v>
      </c>
      <c r="AR27" s="17" t="n">
        <f aca="false">SQRT(($B27-AR$16)^2+($C27-AR$17)^2+($D27-AR$18)^2)</f>
        <v>5.04651463472821</v>
      </c>
      <c r="AS27" s="17" t="n">
        <f aca="false">SQRT(($B27-AS$16)^2+($C27-AS$17)^2+($D27-AS$18)^2)</f>
        <v>0.831643763316311</v>
      </c>
      <c r="AT27" s="17" t="n">
        <f aca="false">SQRT(($B27-AT$16)^2+($C27-AT$17)^2+($D27-AT$18)^2)</f>
        <v>2.37966724351446</v>
      </c>
      <c r="AU27" s="63" t="n">
        <f aca="false">MATCH(MIN(AR27:AT27),AR27:AT27,0)</f>
        <v>2</v>
      </c>
      <c r="AW27" s="17" t="n">
        <f aca="false">SQRT(($B27-AW$16)^2+($C27-AW$17)^2+($D27-AW$18)^2)</f>
        <v>5.04651463472821</v>
      </c>
      <c r="AX27" s="17" t="n">
        <f aca="false">SQRT(($B27-AX$16)^2+($C27-AX$17)^2+($D27-AX$18)^2)</f>
        <v>0.831643763316311</v>
      </c>
      <c r="AY27" s="17" t="n">
        <f aca="false">SQRT(($B27-AY$16)^2+($C27-AY$17)^2+($D27-AY$18)^2)</f>
        <v>2.37966724351446</v>
      </c>
      <c r="AZ27" s="63" t="n">
        <f aca="false">MATCH(MIN(AW27:AY27),AW27:AY27,0)</f>
        <v>2</v>
      </c>
      <c r="BB27" s="17" t="n">
        <f aca="false">SQRT(($B27-BB$16)^2+($C27-BB$17)^2+($D27-BB$18)^2)</f>
        <v>5.04651463472821</v>
      </c>
      <c r="BC27" s="17" t="n">
        <f aca="false">SQRT(($B27-BC$16)^2+($C27-BC$17)^2+($D27-BC$18)^2)</f>
        <v>0.831643763316311</v>
      </c>
      <c r="BD27" s="17" t="n">
        <f aca="false">SQRT(($B27-BD$16)^2+($C27-BD$17)^2+($D27-BD$18)^2)</f>
        <v>2.37966724351446</v>
      </c>
      <c r="BE27" s="63" t="n">
        <f aca="false">MATCH(MIN(BB27:BD27),BB27:BD27,0)</f>
        <v>2</v>
      </c>
      <c r="BG27" s="17" t="n">
        <f aca="false">SQRT(($B27-BG$16)^2+($C27-BG$17)^2+($D27-BG$18)^2)</f>
        <v>5.04651463472821</v>
      </c>
      <c r="BH27" s="17" t="n">
        <f aca="false">SQRT(($B27-BH$16)^2+($C27-BH$17)^2+($D27-BH$18)^2)</f>
        <v>0.831643763316311</v>
      </c>
      <c r="BI27" s="17" t="n">
        <f aca="false">SQRT(($B27-BI$16)^2+($C27-BI$17)^2+($D27-BI$18)^2)</f>
        <v>2.37966724351446</v>
      </c>
      <c r="BJ27" s="63" t="n">
        <f aca="false">MATCH(MIN(BG27:BI27),BG27:BI27,0)</f>
        <v>2</v>
      </c>
    </row>
    <row r="28" customFormat="false" ht="15" hidden="false" customHeight="false" outlineLevel="0" collapsed="false">
      <c r="A28" s="36" t="str">
        <f aca="false">Travel_Data!A10</f>
        <v>Afghanistan</v>
      </c>
      <c r="B28" s="17" t="n">
        <f aca="false">Travel_Data!K10</f>
        <v>0.159817485303695</v>
      </c>
      <c r="C28" s="17" t="n">
        <f aca="false">Travel_Data!L10</f>
        <v>-0.518201077201994</v>
      </c>
      <c r="D28" s="17" t="n">
        <f aca="false">Travel_Data!M10</f>
        <v>-0.729512590459471</v>
      </c>
      <c r="E28" s="63" t="n">
        <f aca="false">BJ28</f>
        <v>2</v>
      </c>
      <c r="F28" s="38" t="n">
        <f aca="false">($B28-INDEX($L$16:$N$16,E28))^2+($C28-INDEX($L$17:$N$17,E28))^2+($D28-INDEX($L$18:$N$18,E28))^2</f>
        <v>0.502964056595242</v>
      </c>
      <c r="G28" s="12" t="str">
        <f aca="false">INDEX($M$5:$M$7,E28)</f>
        <v>Low impact</v>
      </c>
      <c r="X28" s="17" t="n">
        <f aca="false">SQRT(($B28-X$16)^2+($C28-X$17)^2+($D28-X$18)^2)</f>
        <v>5.09896673726253</v>
      </c>
      <c r="Y28" s="17" t="n">
        <f aca="false">SQRT(($B28-Y$16)^2+($C28-Y$17)^2+($D28-Y$18)^2)</f>
        <v>1.09074669073403</v>
      </c>
      <c r="Z28" s="17" t="n">
        <f aca="false">SQRT(($B28-Z$16)^2+($C28-Z$17)^2+($D28-Z$18)^2)</f>
        <v>2.38940152728142</v>
      </c>
      <c r="AA28" s="63" t="n">
        <f aca="false">MATCH(MIN(X28:Z28),X28:Z28,0)</f>
        <v>2</v>
      </c>
      <c r="AC28" s="17" t="n">
        <f aca="false">SQRT(($B28-AC$16)^2+($C28-AC$17)^2+($D28-AC$18)^2)</f>
        <v>5.09896673726253</v>
      </c>
      <c r="AD28" s="17" t="n">
        <f aca="false">SQRT(($B28-AD$16)^2+($C28-AD$17)^2+($D28-AD$18)^2)</f>
        <v>0.70919958868801</v>
      </c>
      <c r="AE28" s="17" t="n">
        <f aca="false">SQRT(($B28-AE$16)^2+($C28-AE$17)^2+($D28-AE$18)^2)</f>
        <v>2.42697958689504</v>
      </c>
      <c r="AF28" s="63" t="n">
        <f aca="false">MATCH(MIN(AC28:AE28),AC28:AE28,0)</f>
        <v>2</v>
      </c>
      <c r="AH28" s="17" t="n">
        <f aca="false">SQRT(($B28-AH$16)^2+($C28-AH$17)^2+($D28-AH$18)^2)</f>
        <v>5.09896673726253</v>
      </c>
      <c r="AI28" s="17" t="n">
        <f aca="false">SQRT(($B28-AI$16)^2+($C28-AI$17)^2+($D28-AI$18)^2)</f>
        <v>0.70919958868801</v>
      </c>
      <c r="AJ28" s="17" t="n">
        <f aca="false">SQRT(($B28-AJ$16)^2+($C28-AJ$17)^2+($D28-AJ$18)^2)</f>
        <v>2.42697958689504</v>
      </c>
      <c r="AK28" s="63" t="n">
        <f aca="false">MATCH(MIN(AH28:AJ28),AH28:AJ28,0)</f>
        <v>2</v>
      </c>
      <c r="AM28" s="17" t="n">
        <f aca="false">SQRT(($B28-AM$16)^2+($C28-AM$17)^2+($D28-AM$18)^2)</f>
        <v>5.09896673726253</v>
      </c>
      <c r="AN28" s="17" t="n">
        <f aca="false">SQRT(($B28-AN$16)^2+($C28-AN$17)^2+($D28-AN$18)^2)</f>
        <v>0.70919958868801</v>
      </c>
      <c r="AO28" s="17" t="n">
        <f aca="false">SQRT(($B28-AO$16)^2+($C28-AO$17)^2+($D28-AO$18)^2)</f>
        <v>2.42697958689504</v>
      </c>
      <c r="AP28" s="63" t="n">
        <f aca="false">MATCH(MIN(AM28:AO28),AM28:AO28,0)</f>
        <v>2</v>
      </c>
      <c r="AR28" s="17" t="n">
        <f aca="false">SQRT(($B28-AR$16)^2+($C28-AR$17)^2+($D28-AR$18)^2)</f>
        <v>5.09896673726253</v>
      </c>
      <c r="AS28" s="17" t="n">
        <f aca="false">SQRT(($B28-AS$16)^2+($C28-AS$17)^2+($D28-AS$18)^2)</f>
        <v>0.70919958868801</v>
      </c>
      <c r="AT28" s="17" t="n">
        <f aca="false">SQRT(($B28-AT$16)^2+($C28-AT$17)^2+($D28-AT$18)^2)</f>
        <v>2.42697958689504</v>
      </c>
      <c r="AU28" s="63" t="n">
        <f aca="false">MATCH(MIN(AR28:AT28),AR28:AT28,0)</f>
        <v>2</v>
      </c>
      <c r="AW28" s="17" t="n">
        <f aca="false">SQRT(($B28-AW$16)^2+($C28-AW$17)^2+($D28-AW$18)^2)</f>
        <v>5.09896673726253</v>
      </c>
      <c r="AX28" s="17" t="n">
        <f aca="false">SQRT(($B28-AX$16)^2+($C28-AX$17)^2+($D28-AX$18)^2)</f>
        <v>0.70919958868801</v>
      </c>
      <c r="AY28" s="17" t="n">
        <f aca="false">SQRT(($B28-AY$16)^2+($C28-AY$17)^2+($D28-AY$18)^2)</f>
        <v>2.42697958689504</v>
      </c>
      <c r="AZ28" s="63" t="n">
        <f aca="false">MATCH(MIN(AW28:AY28),AW28:AY28,0)</f>
        <v>2</v>
      </c>
      <c r="BB28" s="17" t="n">
        <f aca="false">SQRT(($B28-BB$16)^2+($C28-BB$17)^2+($D28-BB$18)^2)</f>
        <v>5.09896673726253</v>
      </c>
      <c r="BC28" s="17" t="n">
        <f aca="false">SQRT(($B28-BC$16)^2+($C28-BC$17)^2+($D28-BC$18)^2)</f>
        <v>0.70919958868801</v>
      </c>
      <c r="BD28" s="17" t="n">
        <f aca="false">SQRT(($B28-BD$16)^2+($C28-BD$17)^2+($D28-BD$18)^2)</f>
        <v>2.42697958689504</v>
      </c>
      <c r="BE28" s="63" t="n">
        <f aca="false">MATCH(MIN(BB28:BD28),BB28:BD28,0)</f>
        <v>2</v>
      </c>
      <c r="BG28" s="17" t="n">
        <f aca="false">SQRT(($B28-BG$16)^2+($C28-BG$17)^2+($D28-BG$18)^2)</f>
        <v>5.09896673726253</v>
      </c>
      <c r="BH28" s="17" t="n">
        <f aca="false">SQRT(($B28-BH$16)^2+($C28-BH$17)^2+($D28-BH$18)^2)</f>
        <v>0.70919958868801</v>
      </c>
      <c r="BI28" s="17" t="n">
        <f aca="false">SQRT(($B28-BI$16)^2+($C28-BI$17)^2+($D28-BI$18)^2)</f>
        <v>2.42697958689504</v>
      </c>
      <c r="BJ28" s="63" t="n">
        <f aca="false">MATCH(MIN(BG28:BI28),BG28:BI28,0)</f>
        <v>2</v>
      </c>
    </row>
    <row r="29" customFormat="false" ht="15" hidden="false" customHeight="false" outlineLevel="0" collapsed="false">
      <c r="A29" s="36" t="str">
        <f aca="false">Travel_Data!A11</f>
        <v>International Passenger</v>
      </c>
      <c r="B29" s="17" t="n">
        <f aca="false">Travel_Data!K11</f>
        <v>-0.0232558420171331</v>
      </c>
      <c r="C29" s="17" t="n">
        <f aca="false">Travel_Data!L11</f>
        <v>-0.518201077201994</v>
      </c>
      <c r="D29" s="17" t="n">
        <f aca="false">Travel_Data!M11</f>
        <v>0.522615756521468</v>
      </c>
      <c r="E29" s="63" t="n">
        <f aca="false">BJ29</f>
        <v>2</v>
      </c>
      <c r="F29" s="38" t="n">
        <f aca="false">($B29-INDEX($L$16:$N$16,E29))^2+($C29-INDEX($L$17:$N$17,E29))^2+($D29-INDEX($L$18:$N$18,E29))^2</f>
        <v>1.29464424529346</v>
      </c>
      <c r="G29" s="12" t="str">
        <f aca="false">INDEX($M$5:$M$7,E29)</f>
        <v>Low impact</v>
      </c>
      <c r="X29" s="17" t="n">
        <f aca="false">SQRT(($B29-X$16)^2+($C29-X$17)^2+($D29-X$18)^2)</f>
        <v>4.53602824758106</v>
      </c>
      <c r="Y29" s="17" t="n">
        <f aca="false">SQRT(($B29-Y$16)^2+($C29-Y$17)^2+($D29-Y$18)^2)</f>
        <v>1.54651101902413</v>
      </c>
      <c r="Z29" s="17" t="n">
        <f aca="false">SQRT(($B29-Z$16)^2+($C29-Z$17)^2+($D29-Z$18)^2)</f>
        <v>1.67017221675349</v>
      </c>
      <c r="AA29" s="63" t="n">
        <f aca="false">MATCH(MIN(X29:Z29),X29:Z29,0)</f>
        <v>2</v>
      </c>
      <c r="AC29" s="17" t="n">
        <f aca="false">SQRT(($B29-AC$16)^2+($C29-AC$17)^2+($D29-AC$18)^2)</f>
        <v>4.53602824758106</v>
      </c>
      <c r="AD29" s="17" t="n">
        <f aca="false">SQRT(($B29-AD$16)^2+($C29-AD$17)^2+($D29-AD$18)^2)</f>
        <v>1.13782434729332</v>
      </c>
      <c r="AE29" s="17" t="n">
        <f aca="false">SQRT(($B29-AE$16)^2+($C29-AE$17)^2+($D29-AE$18)^2)</f>
        <v>1.83713403778484</v>
      </c>
      <c r="AF29" s="63" t="n">
        <f aca="false">MATCH(MIN(AC29:AE29),AC29:AE29,0)</f>
        <v>2</v>
      </c>
      <c r="AH29" s="17" t="n">
        <f aca="false">SQRT(($B29-AH$16)^2+($C29-AH$17)^2+($D29-AH$18)^2)</f>
        <v>4.53602824758106</v>
      </c>
      <c r="AI29" s="17" t="n">
        <f aca="false">SQRT(($B29-AI$16)^2+($C29-AI$17)^2+($D29-AI$18)^2)</f>
        <v>1.13782434729332</v>
      </c>
      <c r="AJ29" s="17" t="n">
        <f aca="false">SQRT(($B29-AJ$16)^2+($C29-AJ$17)^2+($D29-AJ$18)^2)</f>
        <v>1.83713403778484</v>
      </c>
      <c r="AK29" s="63" t="n">
        <f aca="false">MATCH(MIN(AH29:AJ29),AH29:AJ29,0)</f>
        <v>2</v>
      </c>
      <c r="AM29" s="17" t="n">
        <f aca="false">SQRT(($B29-AM$16)^2+($C29-AM$17)^2+($D29-AM$18)^2)</f>
        <v>4.53602824758106</v>
      </c>
      <c r="AN29" s="17" t="n">
        <f aca="false">SQRT(($B29-AN$16)^2+($C29-AN$17)^2+($D29-AN$18)^2)</f>
        <v>1.13782434729332</v>
      </c>
      <c r="AO29" s="17" t="n">
        <f aca="false">SQRT(($B29-AO$16)^2+($C29-AO$17)^2+($D29-AO$18)^2)</f>
        <v>1.83713403778484</v>
      </c>
      <c r="AP29" s="63" t="n">
        <f aca="false">MATCH(MIN(AM29:AO29),AM29:AO29,0)</f>
        <v>2</v>
      </c>
      <c r="AR29" s="17" t="n">
        <f aca="false">SQRT(($B29-AR$16)^2+($C29-AR$17)^2+($D29-AR$18)^2)</f>
        <v>4.53602824758106</v>
      </c>
      <c r="AS29" s="17" t="n">
        <f aca="false">SQRT(($B29-AS$16)^2+($C29-AS$17)^2+($D29-AS$18)^2)</f>
        <v>1.13782434729332</v>
      </c>
      <c r="AT29" s="17" t="n">
        <f aca="false">SQRT(($B29-AT$16)^2+($C29-AT$17)^2+($D29-AT$18)^2)</f>
        <v>1.83713403778484</v>
      </c>
      <c r="AU29" s="63" t="n">
        <f aca="false">MATCH(MIN(AR29:AT29),AR29:AT29,0)</f>
        <v>2</v>
      </c>
      <c r="AW29" s="17" t="n">
        <f aca="false">SQRT(($B29-AW$16)^2+($C29-AW$17)^2+($D29-AW$18)^2)</f>
        <v>4.53602824758106</v>
      </c>
      <c r="AX29" s="17" t="n">
        <f aca="false">SQRT(($B29-AX$16)^2+($C29-AX$17)^2+($D29-AX$18)^2)</f>
        <v>1.13782434729332</v>
      </c>
      <c r="AY29" s="17" t="n">
        <f aca="false">SQRT(($B29-AY$16)^2+($C29-AY$17)^2+($D29-AY$18)^2)</f>
        <v>1.83713403778484</v>
      </c>
      <c r="AZ29" s="63" t="n">
        <f aca="false">MATCH(MIN(AW29:AY29),AW29:AY29,0)</f>
        <v>2</v>
      </c>
      <c r="BB29" s="17" t="n">
        <f aca="false">SQRT(($B29-BB$16)^2+($C29-BB$17)^2+($D29-BB$18)^2)</f>
        <v>4.53602824758106</v>
      </c>
      <c r="BC29" s="17" t="n">
        <f aca="false">SQRT(($B29-BC$16)^2+($C29-BC$17)^2+($D29-BC$18)^2)</f>
        <v>1.13782434729332</v>
      </c>
      <c r="BD29" s="17" t="n">
        <f aca="false">SQRT(($B29-BD$16)^2+($C29-BD$17)^2+($D29-BD$18)^2)</f>
        <v>1.83713403778484</v>
      </c>
      <c r="BE29" s="63" t="n">
        <f aca="false">MATCH(MIN(BB29:BD29),BB29:BD29,0)</f>
        <v>2</v>
      </c>
      <c r="BG29" s="17" t="n">
        <f aca="false">SQRT(($B29-BG$16)^2+($C29-BG$17)^2+($D29-BG$18)^2)</f>
        <v>4.53602824758106</v>
      </c>
      <c r="BH29" s="17" t="n">
        <f aca="false">SQRT(($B29-BH$16)^2+($C29-BH$17)^2+($D29-BH$18)^2)</f>
        <v>1.13782434729332</v>
      </c>
      <c r="BI29" s="17" t="n">
        <f aca="false">SQRT(($B29-BI$16)^2+($C29-BI$17)^2+($D29-BI$18)^2)</f>
        <v>1.83713403778484</v>
      </c>
      <c r="BJ29" s="63" t="n">
        <f aca="false">MATCH(MIN(BG29:BI29),BG29:BI29,0)</f>
        <v>2</v>
      </c>
    </row>
    <row r="30" customFormat="false" ht="15" hidden="false" customHeight="false" outlineLevel="0" collapsed="false">
      <c r="A30" s="36" t="str">
        <f aca="false">Travel_Data!A12</f>
        <v>Syria</v>
      </c>
      <c r="B30" s="17" t="n">
        <f aca="false">Travel_Data!K12</f>
        <v>-0.507317456961048</v>
      </c>
      <c r="C30" s="17" t="n">
        <f aca="false">Travel_Data!L12</f>
        <v>-0.518201077201994</v>
      </c>
      <c r="D30" s="17" t="n">
        <f aca="false">Travel_Data!M12</f>
        <v>-0.729512590459471</v>
      </c>
      <c r="E30" s="63" t="n">
        <f aca="false">BJ30</f>
        <v>2</v>
      </c>
      <c r="F30" s="38" t="n">
        <f aca="false">($B30-INDEX($L$16:$N$16,E30))^2+($C30-INDEX($L$17:$N$17,E30))^2+($D30-INDEX($L$18:$N$18,E30))^2</f>
        <v>0.0515307149055073</v>
      </c>
      <c r="G30" s="12" t="str">
        <f aca="false">INDEX($M$5:$M$7,E30)</f>
        <v>Low impact</v>
      </c>
      <c r="X30" s="17" t="n">
        <f aca="false">SQRT(($B30-X$16)^2+($C30-X$17)^2+($D30-X$18)^2)</f>
        <v>5.41293651942376</v>
      </c>
      <c r="Y30" s="17" t="n">
        <f aca="false">SQRT(($B30-Y$16)^2+($C30-Y$17)^2+($D30-Y$18)^2)</f>
        <v>0.423611748469289</v>
      </c>
      <c r="Z30" s="17" t="n">
        <f aca="false">SQRT(($B30-Z$16)^2+($C30-Z$17)^2+($D30-Z$18)^2)</f>
        <v>2.69335982694496</v>
      </c>
      <c r="AA30" s="63" t="n">
        <f aca="false">MATCH(MIN(X30:Z30),X30:Z30,0)</f>
        <v>2</v>
      </c>
      <c r="AC30" s="17" t="n">
        <f aca="false">SQRT(($B30-AC$16)^2+($C30-AC$17)^2+($D30-AC$18)^2)</f>
        <v>5.41293651942376</v>
      </c>
      <c r="AD30" s="17" t="n">
        <f aca="false">SQRT(($B30-AD$16)^2+($C30-AD$17)^2+($D30-AD$18)^2)</f>
        <v>0.227003777293479</v>
      </c>
      <c r="AE30" s="17" t="n">
        <f aca="false">SQRT(($B30-AE$16)^2+($C30-AE$17)^2+($D30-AE$18)^2)</f>
        <v>2.75762440828638</v>
      </c>
      <c r="AF30" s="63" t="n">
        <f aca="false">MATCH(MIN(AC30:AE30),AC30:AE30,0)</f>
        <v>2</v>
      </c>
      <c r="AH30" s="17" t="n">
        <f aca="false">SQRT(($B30-AH$16)^2+($C30-AH$17)^2+($D30-AH$18)^2)</f>
        <v>5.41293651942376</v>
      </c>
      <c r="AI30" s="17" t="n">
        <f aca="false">SQRT(($B30-AI$16)^2+($C30-AI$17)^2+($D30-AI$18)^2)</f>
        <v>0.227003777293479</v>
      </c>
      <c r="AJ30" s="17" t="n">
        <f aca="false">SQRT(($B30-AJ$16)^2+($C30-AJ$17)^2+($D30-AJ$18)^2)</f>
        <v>2.75762440828638</v>
      </c>
      <c r="AK30" s="63" t="n">
        <f aca="false">MATCH(MIN(AH30:AJ30),AH30:AJ30,0)</f>
        <v>2</v>
      </c>
      <c r="AM30" s="17" t="n">
        <f aca="false">SQRT(($B30-AM$16)^2+($C30-AM$17)^2+($D30-AM$18)^2)</f>
        <v>5.41293651942376</v>
      </c>
      <c r="AN30" s="17" t="n">
        <f aca="false">SQRT(($B30-AN$16)^2+($C30-AN$17)^2+($D30-AN$18)^2)</f>
        <v>0.227003777293479</v>
      </c>
      <c r="AO30" s="17" t="n">
        <f aca="false">SQRT(($B30-AO$16)^2+($C30-AO$17)^2+($D30-AO$18)^2)</f>
        <v>2.75762440828638</v>
      </c>
      <c r="AP30" s="63" t="n">
        <f aca="false">MATCH(MIN(AM30:AO30),AM30:AO30,0)</f>
        <v>2</v>
      </c>
      <c r="AR30" s="17" t="n">
        <f aca="false">SQRT(($B30-AR$16)^2+($C30-AR$17)^2+($D30-AR$18)^2)</f>
        <v>5.41293651942376</v>
      </c>
      <c r="AS30" s="17" t="n">
        <f aca="false">SQRT(($B30-AS$16)^2+($C30-AS$17)^2+($D30-AS$18)^2)</f>
        <v>0.227003777293479</v>
      </c>
      <c r="AT30" s="17" t="n">
        <f aca="false">SQRT(($B30-AT$16)^2+($C30-AT$17)^2+($D30-AT$18)^2)</f>
        <v>2.75762440828638</v>
      </c>
      <c r="AU30" s="63" t="n">
        <f aca="false">MATCH(MIN(AR30:AT30),AR30:AT30,0)</f>
        <v>2</v>
      </c>
      <c r="AW30" s="17" t="n">
        <f aca="false">SQRT(($B30-AW$16)^2+($C30-AW$17)^2+($D30-AW$18)^2)</f>
        <v>5.41293651942376</v>
      </c>
      <c r="AX30" s="17" t="n">
        <f aca="false">SQRT(($B30-AX$16)^2+($C30-AX$17)^2+($D30-AX$18)^2)</f>
        <v>0.227003777293479</v>
      </c>
      <c r="AY30" s="17" t="n">
        <f aca="false">SQRT(($B30-AY$16)^2+($C30-AY$17)^2+($D30-AY$18)^2)</f>
        <v>2.75762440828638</v>
      </c>
      <c r="AZ30" s="63" t="n">
        <f aca="false">MATCH(MIN(AW30:AY30),AW30:AY30,0)</f>
        <v>2</v>
      </c>
      <c r="BB30" s="17" t="n">
        <f aca="false">SQRT(($B30-BB$16)^2+($C30-BB$17)^2+($D30-BB$18)^2)</f>
        <v>5.41293651942376</v>
      </c>
      <c r="BC30" s="17" t="n">
        <f aca="false">SQRT(($B30-BC$16)^2+($C30-BC$17)^2+($D30-BC$18)^2)</f>
        <v>0.227003777293479</v>
      </c>
      <c r="BD30" s="17" t="n">
        <f aca="false">SQRT(($B30-BD$16)^2+($C30-BD$17)^2+($D30-BD$18)^2)</f>
        <v>2.75762440828638</v>
      </c>
      <c r="BE30" s="63" t="n">
        <f aca="false">MATCH(MIN(BB30:BD30),BB30:BD30,0)</f>
        <v>2</v>
      </c>
      <c r="BG30" s="17" t="n">
        <f aca="false">SQRT(($B30-BG$16)^2+($C30-BG$17)^2+($D30-BG$18)^2)</f>
        <v>5.41293651942376</v>
      </c>
      <c r="BH30" s="17" t="n">
        <f aca="false">SQRT(($B30-BH$16)^2+($C30-BH$17)^2+($D30-BH$18)^2)</f>
        <v>0.227003777293479</v>
      </c>
      <c r="BI30" s="17" t="n">
        <f aca="false">SQRT(($B30-BI$16)^2+($C30-BI$17)^2+($D30-BI$18)^2)</f>
        <v>2.75762440828638</v>
      </c>
      <c r="BJ30" s="63" t="n">
        <f aca="false">MATCH(MIN(BG30:BI30),BG30:BI30,0)</f>
        <v>2</v>
      </c>
    </row>
    <row r="31" customFormat="false" ht="15" hidden="false" customHeight="false" outlineLevel="0" collapsed="false">
      <c r="A31" s="36" t="str">
        <f aca="false">Travel_Data!A13</f>
        <v>KSA</v>
      </c>
      <c r="B31" s="17" t="n">
        <f aca="false">Travel_Data!K13</f>
        <v>-0.548120816111638</v>
      </c>
      <c r="C31" s="17" t="n">
        <f aca="false">Travel_Data!L13</f>
        <v>-0.197640546419405</v>
      </c>
      <c r="D31" s="17" t="n">
        <f aca="false">Travel_Data!M13</f>
        <v>-0.729512590459471</v>
      </c>
      <c r="E31" s="63" t="n">
        <f aca="false">BJ31</f>
        <v>2</v>
      </c>
      <c r="F31" s="38" t="n">
        <f aca="false">($B31-INDEX($L$16:$N$16,E31))^2+($C31-INDEX($L$17:$N$17,E31))^2+($D31-INDEX($L$18:$N$18,E31))^2</f>
        <v>0.136881964121416</v>
      </c>
      <c r="G31" s="12" t="str">
        <f aca="false">INDEX($M$5:$M$7,E31)</f>
        <v>Low impact</v>
      </c>
      <c r="X31" s="17" t="n">
        <f aca="false">SQRT(($B31-X$16)^2+($C31-X$17)^2+($D31-X$18)^2)</f>
        <v>5.23839083752217</v>
      </c>
      <c r="Y31" s="17" t="n">
        <f aca="false">SQRT(($B31-Y$16)^2+($C31-Y$17)^2+($D31-Y$18)^2)</f>
        <v>0.499300827986888</v>
      </c>
      <c r="Z31" s="17" t="n">
        <f aca="false">SQRT(($B31-Z$16)^2+($C31-Z$17)^2+($D31-Z$18)^2)</f>
        <v>2.59683460415245</v>
      </c>
      <c r="AA31" s="63" t="n">
        <f aca="false">MATCH(MIN(X31:Z31),X31:Z31,0)</f>
        <v>2</v>
      </c>
      <c r="AC31" s="17" t="n">
        <f aca="false">SQRT(($B31-AC$16)^2+($C31-AC$17)^2+($D31-AC$18)^2)</f>
        <v>5.23839083752217</v>
      </c>
      <c r="AD31" s="17" t="n">
        <f aca="false">SQRT(($B31-AD$16)^2+($C31-AD$17)^2+($D31-AD$18)^2)</f>
        <v>0.369975626388301</v>
      </c>
      <c r="AE31" s="17" t="n">
        <f aca="false">SQRT(($B31-AE$16)^2+($C31-AE$17)^2+($D31-AE$18)^2)</f>
        <v>2.641822567107</v>
      </c>
      <c r="AF31" s="63" t="n">
        <f aca="false">MATCH(MIN(AC31:AE31),AC31:AE31,0)</f>
        <v>2</v>
      </c>
      <c r="AH31" s="17" t="n">
        <f aca="false">SQRT(($B31-AH$16)^2+($C31-AH$17)^2+($D31-AH$18)^2)</f>
        <v>5.23839083752217</v>
      </c>
      <c r="AI31" s="17" t="n">
        <f aca="false">SQRT(($B31-AI$16)^2+($C31-AI$17)^2+($D31-AI$18)^2)</f>
        <v>0.369975626388301</v>
      </c>
      <c r="AJ31" s="17" t="n">
        <f aca="false">SQRT(($B31-AJ$16)^2+($C31-AJ$17)^2+($D31-AJ$18)^2)</f>
        <v>2.641822567107</v>
      </c>
      <c r="AK31" s="63" t="n">
        <f aca="false">MATCH(MIN(AH31:AJ31),AH31:AJ31,0)</f>
        <v>2</v>
      </c>
      <c r="AM31" s="17" t="n">
        <f aca="false">SQRT(($B31-AM$16)^2+($C31-AM$17)^2+($D31-AM$18)^2)</f>
        <v>5.23839083752217</v>
      </c>
      <c r="AN31" s="17" t="n">
        <f aca="false">SQRT(($B31-AN$16)^2+($C31-AN$17)^2+($D31-AN$18)^2)</f>
        <v>0.369975626388301</v>
      </c>
      <c r="AO31" s="17" t="n">
        <f aca="false">SQRT(($B31-AO$16)^2+($C31-AO$17)^2+($D31-AO$18)^2)</f>
        <v>2.641822567107</v>
      </c>
      <c r="AP31" s="63" t="n">
        <f aca="false">MATCH(MIN(AM31:AO31),AM31:AO31,0)</f>
        <v>2</v>
      </c>
      <c r="AR31" s="17" t="n">
        <f aca="false">SQRT(($B31-AR$16)^2+($C31-AR$17)^2+($D31-AR$18)^2)</f>
        <v>5.23839083752217</v>
      </c>
      <c r="AS31" s="17" t="n">
        <f aca="false">SQRT(($B31-AS$16)^2+($C31-AS$17)^2+($D31-AS$18)^2)</f>
        <v>0.369975626388301</v>
      </c>
      <c r="AT31" s="17" t="n">
        <f aca="false">SQRT(($B31-AT$16)^2+($C31-AT$17)^2+($D31-AT$18)^2)</f>
        <v>2.641822567107</v>
      </c>
      <c r="AU31" s="63" t="n">
        <f aca="false">MATCH(MIN(AR31:AT31),AR31:AT31,0)</f>
        <v>2</v>
      </c>
      <c r="AW31" s="17" t="n">
        <f aca="false">SQRT(($B31-AW$16)^2+($C31-AW$17)^2+($D31-AW$18)^2)</f>
        <v>5.23839083752217</v>
      </c>
      <c r="AX31" s="17" t="n">
        <f aca="false">SQRT(($B31-AX$16)^2+($C31-AX$17)^2+($D31-AX$18)^2)</f>
        <v>0.369975626388301</v>
      </c>
      <c r="AY31" s="17" t="n">
        <f aca="false">SQRT(($B31-AY$16)^2+($C31-AY$17)^2+($D31-AY$18)^2)</f>
        <v>2.641822567107</v>
      </c>
      <c r="AZ31" s="63" t="n">
        <f aca="false">MATCH(MIN(AW31:AY31),AW31:AY31,0)</f>
        <v>2</v>
      </c>
      <c r="BB31" s="17" t="n">
        <f aca="false">SQRT(($B31-BB$16)^2+($C31-BB$17)^2+($D31-BB$18)^2)</f>
        <v>5.23839083752217</v>
      </c>
      <c r="BC31" s="17" t="n">
        <f aca="false">SQRT(($B31-BC$16)^2+($C31-BC$17)^2+($D31-BC$18)^2)</f>
        <v>0.369975626388301</v>
      </c>
      <c r="BD31" s="17" t="n">
        <f aca="false">SQRT(($B31-BD$16)^2+($C31-BD$17)^2+($D31-BD$18)^2)</f>
        <v>2.641822567107</v>
      </c>
      <c r="BE31" s="63" t="n">
        <f aca="false">MATCH(MIN(BB31:BD31),BB31:BD31,0)</f>
        <v>2</v>
      </c>
      <c r="BG31" s="17" t="n">
        <f aca="false">SQRT(($B31-BG$16)^2+($C31-BG$17)^2+($D31-BG$18)^2)</f>
        <v>5.23839083752217</v>
      </c>
      <c r="BH31" s="17" t="n">
        <f aca="false">SQRT(($B31-BH$16)^2+($C31-BH$17)^2+($D31-BH$18)^2)</f>
        <v>0.369975626388301</v>
      </c>
      <c r="BI31" s="17" t="n">
        <f aca="false">SQRT(($B31-BI$16)^2+($C31-BI$17)^2+($D31-BI$18)^2)</f>
        <v>2.641822567107</v>
      </c>
      <c r="BJ31" s="63" t="n">
        <f aca="false">MATCH(MIN(BG31:BI31),BG31:BI31,0)</f>
        <v>2</v>
      </c>
    </row>
    <row r="32" customFormat="false" ht="15" hidden="false" customHeight="false" outlineLevel="0" collapsed="false">
      <c r="A32" s="36" t="str">
        <f aca="false">Travel_Data!A14</f>
        <v>UK</v>
      </c>
      <c r="B32" s="17" t="n">
        <f aca="false">Travel_Data!K14</f>
        <v>-0.595224837335964</v>
      </c>
      <c r="C32" s="17" t="n">
        <f aca="false">Travel_Data!L14</f>
        <v>-0.518201077201994</v>
      </c>
      <c r="D32" s="17" t="n">
        <f aca="false">Travel_Data!M14</f>
        <v>-0.729512590459471</v>
      </c>
      <c r="E32" s="63" t="n">
        <f aca="false">BJ32</f>
        <v>2</v>
      </c>
      <c r="F32" s="38" t="n">
        <f aca="false">($B32-INDEX($L$16:$N$16,E32))^2+($C32-INDEX($L$17:$N$17,E32))^2+($D32-INDEX($L$18:$N$18,E32))^2</f>
        <v>0.0584198066890092</v>
      </c>
      <c r="G32" s="12" t="str">
        <f aca="false">INDEX($M$5:$M$7,E32)</f>
        <v>Low impact</v>
      </c>
      <c r="X32" s="17" t="n">
        <f aca="false">SQRT(($B32-X$16)^2+($C32-X$17)^2+($D32-X$18)^2)</f>
        <v>5.45904268106442</v>
      </c>
      <c r="Y32" s="17" t="n">
        <f aca="false">SQRT(($B32-Y$16)^2+($C32-Y$17)^2+($D32-Y$18)^2)</f>
        <v>0.335704368094373</v>
      </c>
      <c r="Z32" s="17" t="n">
        <f aca="false">SQRT(($B32-Z$16)^2+($C32-Z$17)^2+($D32-Z$18)^2)</f>
        <v>2.74301592906421</v>
      </c>
      <c r="AA32" s="63" t="n">
        <f aca="false">MATCH(MIN(X32:Z32),X32:Z32,0)</f>
        <v>2</v>
      </c>
      <c r="AC32" s="17" t="n">
        <f aca="false">SQRT(($B32-AC$16)^2+($C32-AC$17)^2+($D32-AC$18)^2)</f>
        <v>5.45904268106442</v>
      </c>
      <c r="AD32" s="17" t="n">
        <f aca="false">SQRT(($B32-AD$16)^2+($C32-AD$17)^2+($D32-AD$18)^2)</f>
        <v>0.241701896328947</v>
      </c>
      <c r="AE32" s="17" t="n">
        <f aca="false">SQRT(($B32-AE$16)^2+($C32-AE$17)^2+($D32-AE$18)^2)</f>
        <v>2.810116009717</v>
      </c>
      <c r="AF32" s="63" t="n">
        <f aca="false">MATCH(MIN(AC32:AE32),AC32:AE32,0)</f>
        <v>2</v>
      </c>
      <c r="AH32" s="17" t="n">
        <f aca="false">SQRT(($B32-AH$16)^2+($C32-AH$17)^2+($D32-AH$18)^2)</f>
        <v>5.45904268106442</v>
      </c>
      <c r="AI32" s="17" t="n">
        <f aca="false">SQRT(($B32-AI$16)^2+($C32-AI$17)^2+($D32-AI$18)^2)</f>
        <v>0.241701896328947</v>
      </c>
      <c r="AJ32" s="17" t="n">
        <f aca="false">SQRT(($B32-AJ$16)^2+($C32-AJ$17)^2+($D32-AJ$18)^2)</f>
        <v>2.810116009717</v>
      </c>
      <c r="AK32" s="63" t="n">
        <f aca="false">MATCH(MIN(AH32:AJ32),AH32:AJ32,0)</f>
        <v>2</v>
      </c>
      <c r="AM32" s="17" t="n">
        <f aca="false">SQRT(($B32-AM$16)^2+($C32-AM$17)^2+($D32-AM$18)^2)</f>
        <v>5.45904268106442</v>
      </c>
      <c r="AN32" s="17" t="n">
        <f aca="false">SQRT(($B32-AN$16)^2+($C32-AN$17)^2+($D32-AN$18)^2)</f>
        <v>0.241701896328947</v>
      </c>
      <c r="AO32" s="17" t="n">
        <f aca="false">SQRT(($B32-AO$16)^2+($C32-AO$17)^2+($D32-AO$18)^2)</f>
        <v>2.810116009717</v>
      </c>
      <c r="AP32" s="63" t="n">
        <f aca="false">MATCH(MIN(AM32:AO32),AM32:AO32,0)</f>
        <v>2</v>
      </c>
      <c r="AR32" s="17" t="n">
        <f aca="false">SQRT(($B32-AR$16)^2+($C32-AR$17)^2+($D32-AR$18)^2)</f>
        <v>5.45904268106442</v>
      </c>
      <c r="AS32" s="17" t="n">
        <f aca="false">SQRT(($B32-AS$16)^2+($C32-AS$17)^2+($D32-AS$18)^2)</f>
        <v>0.241701896328947</v>
      </c>
      <c r="AT32" s="17" t="n">
        <f aca="false">SQRT(($B32-AT$16)^2+($C32-AT$17)^2+($D32-AT$18)^2)</f>
        <v>2.810116009717</v>
      </c>
      <c r="AU32" s="63" t="n">
        <f aca="false">MATCH(MIN(AR32:AT32),AR32:AT32,0)</f>
        <v>2</v>
      </c>
      <c r="AW32" s="17" t="n">
        <f aca="false">SQRT(($B32-AW$16)^2+($C32-AW$17)^2+($D32-AW$18)^2)</f>
        <v>5.45904268106442</v>
      </c>
      <c r="AX32" s="17" t="n">
        <f aca="false">SQRT(($B32-AX$16)^2+($C32-AX$17)^2+($D32-AX$18)^2)</f>
        <v>0.241701896328947</v>
      </c>
      <c r="AY32" s="17" t="n">
        <f aca="false">SQRT(($B32-AY$16)^2+($C32-AY$17)^2+($D32-AY$18)^2)</f>
        <v>2.810116009717</v>
      </c>
      <c r="AZ32" s="63" t="n">
        <f aca="false">MATCH(MIN(AW32:AY32),AW32:AY32,0)</f>
        <v>2</v>
      </c>
      <c r="BB32" s="17" t="n">
        <f aca="false">SQRT(($B32-BB$16)^2+($C32-BB$17)^2+($D32-BB$18)^2)</f>
        <v>5.45904268106442</v>
      </c>
      <c r="BC32" s="17" t="n">
        <f aca="false">SQRT(($B32-BC$16)^2+($C32-BC$17)^2+($D32-BC$18)^2)</f>
        <v>0.241701896328947</v>
      </c>
      <c r="BD32" s="17" t="n">
        <f aca="false">SQRT(($B32-BD$16)^2+($C32-BD$17)^2+($D32-BD$18)^2)</f>
        <v>2.810116009717</v>
      </c>
      <c r="BE32" s="63" t="n">
        <f aca="false">MATCH(MIN(BB32:BD32),BB32:BD32,0)</f>
        <v>2</v>
      </c>
      <c r="BG32" s="17" t="n">
        <f aca="false">SQRT(($B32-BG$16)^2+($C32-BG$17)^2+($D32-BG$18)^2)</f>
        <v>5.45904268106442</v>
      </c>
      <c r="BH32" s="17" t="n">
        <f aca="false">SQRT(($B32-BH$16)^2+($C32-BH$17)^2+($D32-BH$18)^2)</f>
        <v>0.241701896328947</v>
      </c>
      <c r="BI32" s="17" t="n">
        <f aca="false">SQRT(($B32-BI$16)^2+($C32-BI$17)^2+($D32-BI$18)^2)</f>
        <v>2.810116009717</v>
      </c>
      <c r="BJ32" s="63" t="n">
        <f aca="false">MATCH(MIN(BG32:BI32),BG32:BI32,0)</f>
        <v>2</v>
      </c>
    </row>
    <row r="33" customFormat="false" ht="15" hidden="false" customHeight="false" outlineLevel="0" collapsed="false">
      <c r="A33" s="36" t="str">
        <f aca="false">Travel_Data!A15</f>
        <v>China</v>
      </c>
      <c r="B33" s="17" t="n">
        <f aca="false">Travel_Data!K15</f>
        <v>-0.807030711570608</v>
      </c>
      <c r="C33" s="17" t="n">
        <f aca="false">Travel_Data!L15</f>
        <v>-0.518201077201994</v>
      </c>
      <c r="D33" s="17" t="n">
        <f aca="false">Travel_Data!M15</f>
        <v>-0.729512590459471</v>
      </c>
      <c r="E33" s="63" t="n">
        <f aca="false">BJ33</f>
        <v>2</v>
      </c>
      <c r="F33" s="38" t="n">
        <f aca="false">($B33-INDEX($L$16:$N$16,E33))^2+($C33-INDEX($L$17:$N$17,E33))^2+($D33-INDEX($L$18:$N$18,E33))^2</f>
        <v>0.138499555910751</v>
      </c>
      <c r="G33" s="12" t="str">
        <f aca="false">INDEX($M$5:$M$7,E33)</f>
        <v>Low impact</v>
      </c>
      <c r="X33" s="17" t="n">
        <f aca="false">SQRT(($B33-X$16)^2+($C33-X$17)^2+($D33-X$18)^2)</f>
        <v>5.5742611092275</v>
      </c>
      <c r="Y33" s="17" t="n">
        <f aca="false">SQRT(($B33-Y$16)^2+($C33-Y$17)^2+($D33-Y$18)^2)</f>
        <v>0.123898493859728</v>
      </c>
      <c r="Z33" s="17" t="n">
        <f aca="false">SQRT(($B33-Z$16)^2+($C33-Z$17)^2+($D33-Z$18)^2)</f>
        <v>2.87019837549557</v>
      </c>
      <c r="AA33" s="63" t="n">
        <f aca="false">MATCH(MIN(X33:Z33),X33:Z33,0)</f>
        <v>2</v>
      </c>
      <c r="AC33" s="17" t="n">
        <f aca="false">SQRT(($B33-AC$16)^2+($C33-AC$17)^2+($D33-AC$18)^2)</f>
        <v>5.5742611092275</v>
      </c>
      <c r="AD33" s="17" t="n">
        <f aca="false">SQRT(($B33-AD$16)^2+($C33-AD$17)^2+($D33-AD$18)^2)</f>
        <v>0.372155284673953</v>
      </c>
      <c r="AE33" s="17" t="n">
        <f aca="false">SQRT(($B33-AE$16)^2+($C33-AE$17)^2+($D33-AE$18)^2)</f>
        <v>2.94353688834533</v>
      </c>
      <c r="AF33" s="63" t="n">
        <f aca="false">MATCH(MIN(AC33:AE33),AC33:AE33,0)</f>
        <v>2</v>
      </c>
      <c r="AH33" s="17" t="n">
        <f aca="false">SQRT(($B33-AH$16)^2+($C33-AH$17)^2+($D33-AH$18)^2)</f>
        <v>5.5742611092275</v>
      </c>
      <c r="AI33" s="17" t="n">
        <f aca="false">SQRT(($B33-AI$16)^2+($C33-AI$17)^2+($D33-AI$18)^2)</f>
        <v>0.372155284673953</v>
      </c>
      <c r="AJ33" s="17" t="n">
        <f aca="false">SQRT(($B33-AJ$16)^2+($C33-AJ$17)^2+($D33-AJ$18)^2)</f>
        <v>2.94353688834533</v>
      </c>
      <c r="AK33" s="63" t="n">
        <f aca="false">MATCH(MIN(AH33:AJ33),AH33:AJ33,0)</f>
        <v>2</v>
      </c>
      <c r="AM33" s="17" t="n">
        <f aca="false">SQRT(($B33-AM$16)^2+($C33-AM$17)^2+($D33-AM$18)^2)</f>
        <v>5.5742611092275</v>
      </c>
      <c r="AN33" s="17" t="n">
        <f aca="false">SQRT(($B33-AN$16)^2+($C33-AN$17)^2+($D33-AN$18)^2)</f>
        <v>0.372155284673953</v>
      </c>
      <c r="AO33" s="17" t="n">
        <f aca="false">SQRT(($B33-AO$16)^2+($C33-AO$17)^2+($D33-AO$18)^2)</f>
        <v>2.94353688834533</v>
      </c>
      <c r="AP33" s="63" t="n">
        <f aca="false">MATCH(MIN(AM33:AO33),AM33:AO33,0)</f>
        <v>2</v>
      </c>
      <c r="AR33" s="17" t="n">
        <f aca="false">SQRT(($B33-AR$16)^2+($C33-AR$17)^2+($D33-AR$18)^2)</f>
        <v>5.5742611092275</v>
      </c>
      <c r="AS33" s="17" t="n">
        <f aca="false">SQRT(($B33-AS$16)^2+($C33-AS$17)^2+($D33-AS$18)^2)</f>
        <v>0.372155284673953</v>
      </c>
      <c r="AT33" s="17" t="n">
        <f aca="false">SQRT(($B33-AT$16)^2+($C33-AT$17)^2+($D33-AT$18)^2)</f>
        <v>2.94353688834533</v>
      </c>
      <c r="AU33" s="63" t="n">
        <f aca="false">MATCH(MIN(AR33:AT33),AR33:AT33,0)</f>
        <v>2</v>
      </c>
      <c r="AW33" s="17" t="n">
        <f aca="false">SQRT(($B33-AW$16)^2+($C33-AW$17)^2+($D33-AW$18)^2)</f>
        <v>5.5742611092275</v>
      </c>
      <c r="AX33" s="17" t="n">
        <f aca="false">SQRT(($B33-AX$16)^2+($C33-AX$17)^2+($D33-AX$18)^2)</f>
        <v>0.372155284673953</v>
      </c>
      <c r="AY33" s="17" t="n">
        <f aca="false">SQRT(($B33-AY$16)^2+($C33-AY$17)^2+($D33-AY$18)^2)</f>
        <v>2.94353688834533</v>
      </c>
      <c r="AZ33" s="63" t="n">
        <f aca="false">MATCH(MIN(AW33:AY33),AW33:AY33,0)</f>
        <v>2</v>
      </c>
      <c r="BB33" s="17" t="n">
        <f aca="false">SQRT(($B33-BB$16)^2+($C33-BB$17)^2+($D33-BB$18)^2)</f>
        <v>5.5742611092275</v>
      </c>
      <c r="BC33" s="17" t="n">
        <f aca="false">SQRT(($B33-BC$16)^2+($C33-BC$17)^2+($D33-BC$18)^2)</f>
        <v>0.372155284673953</v>
      </c>
      <c r="BD33" s="17" t="n">
        <f aca="false">SQRT(($B33-BD$16)^2+($C33-BD$17)^2+($D33-BD$18)^2)</f>
        <v>2.94353688834533</v>
      </c>
      <c r="BE33" s="63" t="n">
        <f aca="false">MATCH(MIN(BB33:BD33),BB33:BD33,0)</f>
        <v>2</v>
      </c>
      <c r="BG33" s="17" t="n">
        <f aca="false">SQRT(($B33-BG$16)^2+($C33-BG$17)^2+($D33-BG$18)^2)</f>
        <v>5.5742611092275</v>
      </c>
      <c r="BH33" s="17" t="n">
        <f aca="false">SQRT(($B33-BH$16)^2+($C33-BH$17)^2+($D33-BH$18)^2)</f>
        <v>0.372155284673953</v>
      </c>
      <c r="BI33" s="17" t="n">
        <f aca="false">SQRT(($B33-BI$16)^2+($C33-BI$17)^2+($D33-BI$18)^2)</f>
        <v>2.94353688834533</v>
      </c>
      <c r="BJ33" s="63" t="n">
        <f aca="false">MATCH(MIN(BG33:BI33),BG33:BI33,0)</f>
        <v>2</v>
      </c>
    </row>
    <row r="34" customFormat="false" ht="15" hidden="false" customHeight="false" outlineLevel="0" collapsed="false">
      <c r="A34" s="36" t="str">
        <f aca="false">Travel_Data!A16</f>
        <v>India</v>
      </c>
      <c r="B34" s="17" t="n">
        <f aca="false">Travel_Data!K16</f>
        <v>-0.807030711570608</v>
      </c>
      <c r="C34" s="17" t="n">
        <f aca="false">Travel_Data!L16</f>
        <v>-0.518201077201994</v>
      </c>
      <c r="D34" s="17" t="n">
        <f aca="false">Travel_Data!M16</f>
        <v>0.279516175738233</v>
      </c>
      <c r="E34" s="63" t="n">
        <f aca="false">BJ34</f>
        <v>2</v>
      </c>
      <c r="F34" s="38" t="n">
        <f aca="false">($B34-INDEX($L$16:$N$16,E34))^2+($C34-INDEX($L$17:$N$17,E34))^2+($D34-INDEX($L$18:$N$18,E34))^2</f>
        <v>0.70242449107763</v>
      </c>
      <c r="G34" s="12" t="str">
        <f aca="false">INDEX($M$5:$M$7,E34)</f>
        <v>Low impact</v>
      </c>
      <c r="X34" s="17" t="n">
        <f aca="false">SQRT(($B34-X$16)^2+($C34-X$17)^2+($D34-X$18)^2)</f>
        <v>5.07915255882312</v>
      </c>
      <c r="Y34" s="17" t="n">
        <f aca="false">SQRT(($B34-Y$16)^2+($C34-Y$17)^2+($D34-Y$18)^2)</f>
        <v>1.01660704689431</v>
      </c>
      <c r="Z34" s="17" t="n">
        <f aca="false">SQRT(($B34-Z$16)^2+($C34-Z$17)^2+($D34-Z$18)^2)</f>
        <v>2.31724280452313</v>
      </c>
      <c r="AA34" s="63" t="n">
        <f aca="false">MATCH(MIN(X34:Z34),X34:Z34,0)</f>
        <v>2</v>
      </c>
      <c r="AC34" s="17" t="n">
        <f aca="false">SQRT(($B34-AC$16)^2+($C34-AC$17)^2+($D34-AC$18)^2)</f>
        <v>5.07915255882312</v>
      </c>
      <c r="AD34" s="17" t="n">
        <f aca="false">SQRT(($B34-AD$16)^2+($C34-AD$17)^2+($D34-AD$18)^2)</f>
        <v>0.838107684654919</v>
      </c>
      <c r="AE34" s="17" t="n">
        <f aca="false">SQRT(($B34-AE$16)^2+($C34-AE$17)^2+($D34-AE$18)^2)</f>
        <v>2.46669551176378</v>
      </c>
      <c r="AF34" s="63" t="n">
        <f aca="false">MATCH(MIN(AC34:AE34),AC34:AE34,0)</f>
        <v>2</v>
      </c>
      <c r="AH34" s="17" t="n">
        <f aca="false">SQRT(($B34-AH$16)^2+($C34-AH$17)^2+($D34-AH$18)^2)</f>
        <v>5.07915255882312</v>
      </c>
      <c r="AI34" s="17" t="n">
        <f aca="false">SQRT(($B34-AI$16)^2+($C34-AI$17)^2+($D34-AI$18)^2)</f>
        <v>0.838107684654919</v>
      </c>
      <c r="AJ34" s="17" t="n">
        <f aca="false">SQRT(($B34-AJ$16)^2+($C34-AJ$17)^2+($D34-AJ$18)^2)</f>
        <v>2.46669551176378</v>
      </c>
      <c r="AK34" s="63" t="n">
        <f aca="false">MATCH(MIN(AH34:AJ34),AH34:AJ34,0)</f>
        <v>2</v>
      </c>
      <c r="AM34" s="17" t="n">
        <f aca="false">SQRT(($B34-AM$16)^2+($C34-AM$17)^2+($D34-AM$18)^2)</f>
        <v>5.07915255882312</v>
      </c>
      <c r="AN34" s="17" t="n">
        <f aca="false">SQRT(($B34-AN$16)^2+($C34-AN$17)^2+($D34-AN$18)^2)</f>
        <v>0.838107684654919</v>
      </c>
      <c r="AO34" s="17" t="n">
        <f aca="false">SQRT(($B34-AO$16)^2+($C34-AO$17)^2+($D34-AO$18)^2)</f>
        <v>2.46669551176378</v>
      </c>
      <c r="AP34" s="63" t="n">
        <f aca="false">MATCH(MIN(AM34:AO34),AM34:AO34,0)</f>
        <v>2</v>
      </c>
      <c r="AR34" s="17" t="n">
        <f aca="false">SQRT(($B34-AR$16)^2+($C34-AR$17)^2+($D34-AR$18)^2)</f>
        <v>5.07915255882312</v>
      </c>
      <c r="AS34" s="17" t="n">
        <f aca="false">SQRT(($B34-AS$16)^2+($C34-AS$17)^2+($D34-AS$18)^2)</f>
        <v>0.838107684654919</v>
      </c>
      <c r="AT34" s="17" t="n">
        <f aca="false">SQRT(($B34-AT$16)^2+($C34-AT$17)^2+($D34-AT$18)^2)</f>
        <v>2.46669551176378</v>
      </c>
      <c r="AU34" s="63" t="n">
        <f aca="false">MATCH(MIN(AR34:AT34),AR34:AT34,0)</f>
        <v>2</v>
      </c>
      <c r="AW34" s="17" t="n">
        <f aca="false">SQRT(($B34-AW$16)^2+($C34-AW$17)^2+($D34-AW$18)^2)</f>
        <v>5.07915255882312</v>
      </c>
      <c r="AX34" s="17" t="n">
        <f aca="false">SQRT(($B34-AX$16)^2+($C34-AX$17)^2+($D34-AX$18)^2)</f>
        <v>0.838107684654919</v>
      </c>
      <c r="AY34" s="17" t="n">
        <f aca="false">SQRT(($B34-AY$16)^2+($C34-AY$17)^2+($D34-AY$18)^2)</f>
        <v>2.46669551176378</v>
      </c>
      <c r="AZ34" s="63" t="n">
        <f aca="false">MATCH(MIN(AW34:AY34),AW34:AY34,0)</f>
        <v>2</v>
      </c>
      <c r="BB34" s="17" t="n">
        <f aca="false">SQRT(($B34-BB$16)^2+($C34-BB$17)^2+($D34-BB$18)^2)</f>
        <v>5.07915255882312</v>
      </c>
      <c r="BC34" s="17" t="n">
        <f aca="false">SQRT(($B34-BC$16)^2+($C34-BC$17)^2+($D34-BC$18)^2)</f>
        <v>0.838107684654919</v>
      </c>
      <c r="BD34" s="17" t="n">
        <f aca="false">SQRT(($B34-BD$16)^2+($C34-BD$17)^2+($D34-BD$18)^2)</f>
        <v>2.46669551176378</v>
      </c>
      <c r="BE34" s="63" t="n">
        <f aca="false">MATCH(MIN(BB34:BD34),BB34:BD34,0)</f>
        <v>2</v>
      </c>
      <c r="BG34" s="17" t="n">
        <f aca="false">SQRT(($B34-BG$16)^2+($C34-BG$17)^2+($D34-BG$18)^2)</f>
        <v>5.07915255882312</v>
      </c>
      <c r="BH34" s="17" t="n">
        <f aca="false">SQRT(($B34-BH$16)^2+($C34-BH$17)^2+($D34-BH$18)^2)</f>
        <v>0.838107684654919</v>
      </c>
      <c r="BI34" s="17" t="n">
        <f aca="false">SQRT(($B34-BI$16)^2+($C34-BI$17)^2+($D34-BI$18)^2)</f>
        <v>2.46669551176378</v>
      </c>
      <c r="BJ34" s="63" t="n">
        <f aca="false">MATCH(MIN(BG34:BI34),BG34:BI34,0)</f>
        <v>2</v>
      </c>
    </row>
    <row r="35" customFormat="false" ht="15" hidden="false" customHeight="false" outlineLevel="0" collapsed="false">
      <c r="A35" s="36" t="str">
        <f aca="false">Travel_Data!A17</f>
        <v>Dubai</v>
      </c>
      <c r="B35" s="17" t="n">
        <f aca="false">Travel_Data!K17</f>
        <v>-0.930929205430336</v>
      </c>
      <c r="C35" s="17" t="n">
        <f aca="false">Travel_Data!L17</f>
        <v>-0.518201077201994</v>
      </c>
      <c r="D35" s="17" t="n">
        <f aca="false">Travel_Data!M17</f>
        <v>-0.514845702529091</v>
      </c>
      <c r="E35" s="63" t="n">
        <f aca="false">BJ35</f>
        <v>2</v>
      </c>
      <c r="F35" s="38" t="n">
        <f aca="false">($B35-INDEX($L$16:$N$16,E35))^2+($C35-INDEX($L$17:$N$17,E35))^2+($D35-INDEX($L$18:$N$18,E35))^2</f>
        <v>0.17638608402056</v>
      </c>
      <c r="G35" s="12" t="str">
        <f aca="false">INDEX($M$5:$M$7,E35)</f>
        <v>Low impact</v>
      </c>
      <c r="X35" s="17" t="n">
        <f aca="false">SQRT(($B35-X$16)^2+($C35-X$17)^2+($D35-X$18)^2)</f>
        <v>5.5285563345805</v>
      </c>
      <c r="Y35" s="17" t="n">
        <f aca="false">SQRT(($B35-Y$16)^2+($C35-Y$17)^2+($D35-Y$18)^2)</f>
        <v>0.214666887930381</v>
      </c>
      <c r="Z35" s="17" t="n">
        <f aca="false">SQRT(($B35-Z$16)^2+($C35-Z$17)^2+($D35-Z$18)^2)</f>
        <v>2.81362202269747</v>
      </c>
      <c r="AA35" s="63" t="n">
        <f aca="false">MATCH(MIN(X35:Z35),X35:Z35,0)</f>
        <v>2</v>
      </c>
      <c r="AC35" s="17" t="n">
        <f aca="false">SQRT(($B35-AC$16)^2+($C35-AC$17)^2+($D35-AC$18)^2)</f>
        <v>5.5285563345805</v>
      </c>
      <c r="AD35" s="17" t="n">
        <f aca="false">SQRT(($B35-AD$16)^2+($C35-AD$17)^2+($D35-AD$18)^2)</f>
        <v>0.419983433031066</v>
      </c>
      <c r="AE35" s="17" t="n">
        <f aca="false">SQRT(($B35-AE$16)^2+($C35-AE$17)^2+($D35-AE$18)^2)</f>
        <v>2.90442476274499</v>
      </c>
      <c r="AF35" s="63" t="n">
        <f aca="false">MATCH(MIN(AC35:AE35),AC35:AE35,0)</f>
        <v>2</v>
      </c>
      <c r="AH35" s="17" t="n">
        <f aca="false">SQRT(($B35-AH$16)^2+($C35-AH$17)^2+($D35-AH$18)^2)</f>
        <v>5.5285563345805</v>
      </c>
      <c r="AI35" s="17" t="n">
        <f aca="false">SQRT(($B35-AI$16)^2+($C35-AI$17)^2+($D35-AI$18)^2)</f>
        <v>0.419983433031066</v>
      </c>
      <c r="AJ35" s="17" t="n">
        <f aca="false">SQRT(($B35-AJ$16)^2+($C35-AJ$17)^2+($D35-AJ$18)^2)</f>
        <v>2.90442476274499</v>
      </c>
      <c r="AK35" s="63" t="n">
        <f aca="false">MATCH(MIN(AH35:AJ35),AH35:AJ35,0)</f>
        <v>2</v>
      </c>
      <c r="AM35" s="17" t="n">
        <f aca="false">SQRT(($B35-AM$16)^2+($C35-AM$17)^2+($D35-AM$18)^2)</f>
        <v>5.5285563345805</v>
      </c>
      <c r="AN35" s="17" t="n">
        <f aca="false">SQRT(($B35-AN$16)^2+($C35-AN$17)^2+($D35-AN$18)^2)</f>
        <v>0.419983433031066</v>
      </c>
      <c r="AO35" s="17" t="n">
        <f aca="false">SQRT(($B35-AO$16)^2+($C35-AO$17)^2+($D35-AO$18)^2)</f>
        <v>2.90442476274499</v>
      </c>
      <c r="AP35" s="63" t="n">
        <f aca="false">MATCH(MIN(AM35:AO35),AM35:AO35,0)</f>
        <v>2</v>
      </c>
      <c r="AR35" s="17" t="n">
        <f aca="false">SQRT(($B35-AR$16)^2+($C35-AR$17)^2+($D35-AR$18)^2)</f>
        <v>5.5285563345805</v>
      </c>
      <c r="AS35" s="17" t="n">
        <f aca="false">SQRT(($B35-AS$16)^2+($C35-AS$17)^2+($D35-AS$18)^2)</f>
        <v>0.419983433031066</v>
      </c>
      <c r="AT35" s="17" t="n">
        <f aca="false">SQRT(($B35-AT$16)^2+($C35-AT$17)^2+($D35-AT$18)^2)</f>
        <v>2.90442476274499</v>
      </c>
      <c r="AU35" s="63" t="n">
        <f aca="false">MATCH(MIN(AR35:AT35),AR35:AT35,0)</f>
        <v>2</v>
      </c>
      <c r="AW35" s="17" t="n">
        <f aca="false">SQRT(($B35-AW$16)^2+($C35-AW$17)^2+($D35-AW$18)^2)</f>
        <v>5.5285563345805</v>
      </c>
      <c r="AX35" s="17" t="n">
        <f aca="false">SQRT(($B35-AX$16)^2+($C35-AX$17)^2+($D35-AX$18)^2)</f>
        <v>0.419983433031066</v>
      </c>
      <c r="AY35" s="17" t="n">
        <f aca="false">SQRT(($B35-AY$16)^2+($C35-AY$17)^2+($D35-AY$18)^2)</f>
        <v>2.90442476274499</v>
      </c>
      <c r="AZ35" s="63" t="n">
        <f aca="false">MATCH(MIN(AW35:AY35),AW35:AY35,0)</f>
        <v>2</v>
      </c>
      <c r="BB35" s="17" t="n">
        <f aca="false">SQRT(($B35-BB$16)^2+($C35-BB$17)^2+($D35-BB$18)^2)</f>
        <v>5.5285563345805</v>
      </c>
      <c r="BC35" s="17" t="n">
        <f aca="false">SQRT(($B35-BC$16)^2+($C35-BC$17)^2+($D35-BC$18)^2)</f>
        <v>0.419983433031066</v>
      </c>
      <c r="BD35" s="17" t="n">
        <f aca="false">SQRT(($B35-BD$16)^2+($C35-BD$17)^2+($D35-BD$18)^2)</f>
        <v>2.90442476274499</v>
      </c>
      <c r="BE35" s="63" t="n">
        <f aca="false">MATCH(MIN(BB35:BD35),BB35:BD35,0)</f>
        <v>2</v>
      </c>
      <c r="BG35" s="17" t="n">
        <f aca="false">SQRT(($B35-BG$16)^2+($C35-BG$17)^2+($D35-BG$18)^2)</f>
        <v>5.5285563345805</v>
      </c>
      <c r="BH35" s="17" t="n">
        <f aca="false">SQRT(($B35-BH$16)^2+($C35-BH$17)^2+($D35-BH$18)^2)</f>
        <v>0.419983433031066</v>
      </c>
      <c r="BI35" s="17" t="n">
        <f aca="false">SQRT(($B35-BI$16)^2+($C35-BI$17)^2+($D35-BI$18)^2)</f>
        <v>2.90442476274499</v>
      </c>
      <c r="BJ35" s="63" t="n">
        <f aca="false">MATCH(MIN(BG35:BI35),BG35:BI35,0)</f>
        <v>2</v>
      </c>
    </row>
    <row r="36" customFormat="false" ht="15" hidden="false" customHeight="false" outlineLevel="0" collapsed="false">
      <c r="A36" s="36" t="str">
        <f aca="false">Travel_Data!A18</f>
        <v>Local - Covid Relative</v>
      </c>
      <c r="B36" s="17" t="n">
        <f aca="false">Travel_Data!K18</f>
        <v>-0.930929205430336</v>
      </c>
      <c r="C36" s="17" t="n">
        <f aca="false">Travel_Data!L18</f>
        <v>-0.518201077201994</v>
      </c>
      <c r="D36" s="17" t="n">
        <f aca="false">Travel_Data!M18</f>
        <v>-0.729512590459471</v>
      </c>
      <c r="E36" s="63" t="n">
        <f aca="false">BJ36</f>
        <v>2</v>
      </c>
      <c r="F36" s="38" t="n">
        <f aca="false">($B36-INDEX($L$16:$N$16,E36))^2+($C36-INDEX($L$17:$N$17,E36))^2+($D36-INDEX($L$18:$N$18,E36))^2</f>
        <v>0.226936471861648</v>
      </c>
      <c r="G36" s="12" t="str">
        <f aca="false">INDEX($M$5:$M$7,E36)</f>
        <v>Low impact</v>
      </c>
      <c r="X36" s="17" t="n">
        <f aca="false">SQRT(($B36-X$16)^2+($C36-X$17)^2+($D36-X$18)^2)</f>
        <v>5.6442544115366</v>
      </c>
      <c r="Y36" s="17" t="n">
        <f aca="false">SQRT(($B36-Y$16)^2+($C36-Y$17)^2+($D36-Y$18)^2)</f>
        <v>0</v>
      </c>
      <c r="Z36" s="17" t="n">
        <f aca="false">SQRT(($B36-Z$16)^2+($C36-Z$17)^2+($D36-Z$18)^2)</f>
        <v>2.94910801279107</v>
      </c>
      <c r="AA36" s="63" t="n">
        <f aca="false">MATCH(MIN(X36:Z36),X36:Z36,0)</f>
        <v>2</v>
      </c>
      <c r="AC36" s="17" t="n">
        <f aca="false">SQRT(($B36-AC$16)^2+($C36-AC$17)^2+($D36-AC$18)^2)</f>
        <v>5.6442544115366</v>
      </c>
      <c r="AD36" s="17" t="n">
        <f aca="false">SQRT(($B36-AD$16)^2+($C36-AD$17)^2+($D36-AD$18)^2)</f>
        <v>0.476378496430778</v>
      </c>
      <c r="AE36" s="17" t="n">
        <f aca="false">SQRT(($B36-AE$16)^2+($C36-AE$17)^2+($D36-AE$18)^2)</f>
        <v>3.02573189255977</v>
      </c>
      <c r="AF36" s="63" t="n">
        <f aca="false">MATCH(MIN(AC36:AE36),AC36:AE36,0)</f>
        <v>2</v>
      </c>
      <c r="AH36" s="17" t="n">
        <f aca="false">SQRT(($B36-AH$16)^2+($C36-AH$17)^2+($D36-AH$18)^2)</f>
        <v>5.6442544115366</v>
      </c>
      <c r="AI36" s="17" t="n">
        <f aca="false">SQRT(($B36-AI$16)^2+($C36-AI$17)^2+($D36-AI$18)^2)</f>
        <v>0.476378496430778</v>
      </c>
      <c r="AJ36" s="17" t="n">
        <f aca="false">SQRT(($B36-AJ$16)^2+($C36-AJ$17)^2+($D36-AJ$18)^2)</f>
        <v>3.02573189255977</v>
      </c>
      <c r="AK36" s="63" t="n">
        <f aca="false">MATCH(MIN(AH36:AJ36),AH36:AJ36,0)</f>
        <v>2</v>
      </c>
      <c r="AM36" s="17" t="n">
        <f aca="false">SQRT(($B36-AM$16)^2+($C36-AM$17)^2+($D36-AM$18)^2)</f>
        <v>5.6442544115366</v>
      </c>
      <c r="AN36" s="17" t="n">
        <f aca="false">SQRT(($B36-AN$16)^2+($C36-AN$17)^2+($D36-AN$18)^2)</f>
        <v>0.476378496430778</v>
      </c>
      <c r="AO36" s="17" t="n">
        <f aca="false">SQRT(($B36-AO$16)^2+($C36-AO$17)^2+($D36-AO$18)^2)</f>
        <v>3.02573189255977</v>
      </c>
      <c r="AP36" s="63" t="n">
        <f aca="false">MATCH(MIN(AM36:AO36),AM36:AO36,0)</f>
        <v>2</v>
      </c>
      <c r="AR36" s="17" t="n">
        <f aca="false">SQRT(($B36-AR$16)^2+($C36-AR$17)^2+($D36-AR$18)^2)</f>
        <v>5.6442544115366</v>
      </c>
      <c r="AS36" s="17" t="n">
        <f aca="false">SQRT(($B36-AS$16)^2+($C36-AS$17)^2+($D36-AS$18)^2)</f>
        <v>0.476378496430778</v>
      </c>
      <c r="AT36" s="17" t="n">
        <f aca="false">SQRT(($B36-AT$16)^2+($C36-AT$17)^2+($D36-AT$18)^2)</f>
        <v>3.02573189255977</v>
      </c>
      <c r="AU36" s="63" t="n">
        <f aca="false">MATCH(MIN(AR36:AT36),AR36:AT36,0)</f>
        <v>2</v>
      </c>
      <c r="AW36" s="17" t="n">
        <f aca="false">SQRT(($B36-AW$16)^2+($C36-AW$17)^2+($D36-AW$18)^2)</f>
        <v>5.6442544115366</v>
      </c>
      <c r="AX36" s="17" t="n">
        <f aca="false">SQRT(($B36-AX$16)^2+($C36-AX$17)^2+($D36-AX$18)^2)</f>
        <v>0.476378496430778</v>
      </c>
      <c r="AY36" s="17" t="n">
        <f aca="false">SQRT(($B36-AY$16)^2+($C36-AY$17)^2+($D36-AY$18)^2)</f>
        <v>3.02573189255977</v>
      </c>
      <c r="AZ36" s="63" t="n">
        <f aca="false">MATCH(MIN(AW36:AY36),AW36:AY36,0)</f>
        <v>2</v>
      </c>
      <c r="BB36" s="17" t="n">
        <f aca="false">SQRT(($B36-BB$16)^2+($C36-BB$17)^2+($D36-BB$18)^2)</f>
        <v>5.6442544115366</v>
      </c>
      <c r="BC36" s="17" t="n">
        <f aca="false">SQRT(($B36-BC$16)^2+($C36-BC$17)^2+($D36-BC$18)^2)</f>
        <v>0.476378496430778</v>
      </c>
      <c r="BD36" s="17" t="n">
        <f aca="false">SQRT(($B36-BD$16)^2+($C36-BD$17)^2+($D36-BD$18)^2)</f>
        <v>3.02573189255977</v>
      </c>
      <c r="BE36" s="63" t="n">
        <f aca="false">MATCH(MIN(BB36:BD36),BB36:BD36,0)</f>
        <v>2</v>
      </c>
      <c r="BG36" s="17" t="n">
        <f aca="false">SQRT(($B36-BG$16)^2+($C36-BG$17)^2+($D36-BG$18)^2)</f>
        <v>5.6442544115366</v>
      </c>
      <c r="BH36" s="17" t="n">
        <f aca="false">SQRT(($B36-BH$16)^2+($C36-BH$17)^2+($D36-BH$18)^2)</f>
        <v>0.476378496430778</v>
      </c>
      <c r="BI36" s="17" t="n">
        <f aca="false">SQRT(($B36-BI$16)^2+($C36-BI$17)^2+($D36-BI$18)^2)</f>
        <v>3.02573189255977</v>
      </c>
      <c r="BJ36" s="63" t="n">
        <f aca="false">MATCH(MIN(BG36:BI36),BG36:BI36,0)</f>
        <v>2</v>
      </c>
    </row>
    <row r="37" customFormat="false" ht="15" hidden="false" customHeight="false" outlineLevel="0" collapsed="false">
      <c r="A37" s="36" t="str">
        <f aca="false">Travel_Data!A19</f>
        <v>USA</v>
      </c>
      <c r="B37" s="17" t="n">
        <f aca="false">Travel_Data!K19</f>
        <v>-0.930929205430336</v>
      </c>
      <c r="C37" s="17" t="n">
        <f aca="false">Travel_Data!L19</f>
        <v>-0.518201077201994</v>
      </c>
      <c r="D37" s="17" t="n">
        <f aca="false">Travel_Data!M19</f>
        <v>-0.729512590459471</v>
      </c>
      <c r="E37" s="63" t="n">
        <f aca="false">BJ37</f>
        <v>2</v>
      </c>
      <c r="F37" s="38" t="n">
        <f aca="false">($B37-INDEX($L$16:$N$16,E37))^2+($C37-INDEX($L$17:$N$17,E37))^2+($D37-INDEX($L$18:$N$18,E37))^2</f>
        <v>0.226936471861648</v>
      </c>
      <c r="G37" s="12" t="str">
        <f aca="false">INDEX($M$5:$M$7,E37)</f>
        <v>Low impact</v>
      </c>
      <c r="X37" s="17" t="n">
        <f aca="false">SQRT(($B37-X$16)^2+($C37-X$17)^2+($D37-X$18)^2)</f>
        <v>5.6442544115366</v>
      </c>
      <c r="Y37" s="17" t="n">
        <f aca="false">SQRT(($B37-Y$16)^2+($C37-Y$17)^2+($D37-Y$18)^2)</f>
        <v>0</v>
      </c>
      <c r="Z37" s="17" t="n">
        <f aca="false">SQRT(($B37-Z$16)^2+($C37-Z$17)^2+($D37-Z$18)^2)</f>
        <v>2.94910801279107</v>
      </c>
      <c r="AA37" s="63" t="n">
        <f aca="false">MATCH(MIN(X37:Z37),X37:Z37,0)</f>
        <v>2</v>
      </c>
      <c r="AC37" s="17" t="n">
        <f aca="false">SQRT(($B37-AC$16)^2+($C37-AC$17)^2+($D37-AC$18)^2)</f>
        <v>5.6442544115366</v>
      </c>
      <c r="AD37" s="17" t="n">
        <f aca="false">SQRT(($B37-AD$16)^2+($C37-AD$17)^2+($D37-AD$18)^2)</f>
        <v>0.476378496430778</v>
      </c>
      <c r="AE37" s="17" t="n">
        <f aca="false">SQRT(($B37-AE$16)^2+($C37-AE$17)^2+($D37-AE$18)^2)</f>
        <v>3.02573189255977</v>
      </c>
      <c r="AF37" s="63" t="n">
        <f aca="false">MATCH(MIN(AC37:AE37),AC37:AE37,0)</f>
        <v>2</v>
      </c>
      <c r="AH37" s="17" t="n">
        <f aca="false">SQRT(($B37-AH$16)^2+($C37-AH$17)^2+($D37-AH$18)^2)</f>
        <v>5.6442544115366</v>
      </c>
      <c r="AI37" s="17" t="n">
        <f aca="false">SQRT(($B37-AI$16)^2+($C37-AI$17)^2+($D37-AI$18)^2)</f>
        <v>0.476378496430778</v>
      </c>
      <c r="AJ37" s="17" t="n">
        <f aca="false">SQRT(($B37-AJ$16)^2+($C37-AJ$17)^2+($D37-AJ$18)^2)</f>
        <v>3.02573189255977</v>
      </c>
      <c r="AK37" s="63" t="n">
        <f aca="false">MATCH(MIN(AH37:AJ37),AH37:AJ37,0)</f>
        <v>2</v>
      </c>
      <c r="AM37" s="17" t="n">
        <f aca="false">SQRT(($B37-AM$16)^2+($C37-AM$17)^2+($D37-AM$18)^2)</f>
        <v>5.6442544115366</v>
      </c>
      <c r="AN37" s="17" t="n">
        <f aca="false">SQRT(($B37-AN$16)^2+($C37-AN$17)^2+($D37-AN$18)^2)</f>
        <v>0.476378496430778</v>
      </c>
      <c r="AO37" s="17" t="n">
        <f aca="false">SQRT(($B37-AO$16)^2+($C37-AO$17)^2+($D37-AO$18)^2)</f>
        <v>3.02573189255977</v>
      </c>
      <c r="AP37" s="63" t="n">
        <f aca="false">MATCH(MIN(AM37:AO37),AM37:AO37,0)</f>
        <v>2</v>
      </c>
      <c r="AR37" s="17" t="n">
        <f aca="false">SQRT(($B37-AR$16)^2+($C37-AR$17)^2+($D37-AR$18)^2)</f>
        <v>5.6442544115366</v>
      </c>
      <c r="AS37" s="17" t="n">
        <f aca="false">SQRT(($B37-AS$16)^2+($C37-AS$17)^2+($D37-AS$18)^2)</f>
        <v>0.476378496430778</v>
      </c>
      <c r="AT37" s="17" t="n">
        <f aca="false">SQRT(($B37-AT$16)^2+($C37-AT$17)^2+($D37-AT$18)^2)</f>
        <v>3.02573189255977</v>
      </c>
      <c r="AU37" s="63" t="n">
        <f aca="false">MATCH(MIN(AR37:AT37),AR37:AT37,0)</f>
        <v>2</v>
      </c>
      <c r="AW37" s="17" t="n">
        <f aca="false">SQRT(($B37-AW$16)^2+($C37-AW$17)^2+($D37-AW$18)^2)</f>
        <v>5.6442544115366</v>
      </c>
      <c r="AX37" s="17" t="n">
        <f aca="false">SQRT(($B37-AX$16)^2+($C37-AX$17)^2+($D37-AX$18)^2)</f>
        <v>0.476378496430778</v>
      </c>
      <c r="AY37" s="17" t="n">
        <f aca="false">SQRT(($B37-AY$16)^2+($C37-AY$17)^2+($D37-AY$18)^2)</f>
        <v>3.02573189255977</v>
      </c>
      <c r="AZ37" s="63" t="n">
        <f aca="false">MATCH(MIN(AW37:AY37),AW37:AY37,0)</f>
        <v>2</v>
      </c>
      <c r="BB37" s="17" t="n">
        <f aca="false">SQRT(($B37-BB$16)^2+($C37-BB$17)^2+($D37-BB$18)^2)</f>
        <v>5.6442544115366</v>
      </c>
      <c r="BC37" s="17" t="n">
        <f aca="false">SQRT(($B37-BC$16)^2+($C37-BC$17)^2+($D37-BC$18)^2)</f>
        <v>0.476378496430778</v>
      </c>
      <c r="BD37" s="17" t="n">
        <f aca="false">SQRT(($B37-BD$16)^2+($C37-BD$17)^2+($D37-BD$18)^2)</f>
        <v>3.02573189255977</v>
      </c>
      <c r="BE37" s="63" t="n">
        <f aca="false">MATCH(MIN(BB37:BD37),BB37:BD37,0)</f>
        <v>2</v>
      </c>
      <c r="BG37" s="17" t="n">
        <f aca="false">SQRT(($B37-BG$16)^2+($C37-BG$17)^2+($D37-BG$18)^2)</f>
        <v>5.6442544115366</v>
      </c>
      <c r="BH37" s="17" t="n">
        <f aca="false">SQRT(($B37-BH$16)^2+($C37-BH$17)^2+($D37-BH$18)^2)</f>
        <v>0.476378496430778</v>
      </c>
      <c r="BI37" s="17" t="n">
        <f aca="false">SQRT(($B37-BI$16)^2+($C37-BI$17)^2+($D37-BI$18)^2)</f>
        <v>3.02573189255977</v>
      </c>
      <c r="BJ37" s="63" t="n">
        <f aca="false">MATCH(MIN(BG37:BI37),BG37:BI37,0)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2" min="1" style="0" width="12"/>
  </cols>
  <sheetData>
    <row r="1" customFormat="false" ht="19.7" hidden="false" customHeight="false" outlineLevel="0" collapsed="false">
      <c r="A1" s="1" t="s">
        <v>789</v>
      </c>
    </row>
    <row r="2" customFormat="false" ht="15" hidden="false" customHeight="false" outlineLevel="0" collapsed="false">
      <c r="A2" s="2" t="s">
        <v>790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AA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0" min="1" style="0" width="12"/>
  </cols>
  <sheetData>
    <row r="1" customFormat="false" ht="19.7" hidden="false" customHeight="false" outlineLevel="0" collapsed="false">
      <c r="A1" s="1" t="s">
        <v>791</v>
      </c>
    </row>
    <row r="2" customFormat="false" ht="15" hidden="false" customHeight="false" outlineLevel="0" collapsed="false">
      <c r="A2" s="2" t="s">
        <v>792</v>
      </c>
    </row>
    <row r="3" customFormat="false" ht="15" hidden="false" customHeight="false" outlineLevel="0" collapsed="false">
      <c r="A3" s="40" t="s">
        <v>704</v>
      </c>
      <c r="H3" s="40" t="s">
        <v>775</v>
      </c>
      <c r="O3" s="40" t="s">
        <v>781</v>
      </c>
      <c r="V3" s="40" t="s">
        <v>787</v>
      </c>
    </row>
    <row r="4" customFormat="false" ht="19.5" hidden="false" customHeight="true" outlineLevel="0" collapsed="false">
      <c r="A4" s="10" t="s">
        <v>793</v>
      </c>
      <c r="B4" s="10" t="s">
        <v>794</v>
      </c>
      <c r="C4" s="10" t="s">
        <v>795</v>
      </c>
      <c r="D4" s="10" t="s">
        <v>796</v>
      </c>
      <c r="E4" s="10" t="s">
        <v>797</v>
      </c>
      <c r="F4" s="10" t="s">
        <v>798</v>
      </c>
      <c r="H4" s="10" t="s">
        <v>793</v>
      </c>
      <c r="I4" s="10" t="s">
        <v>794</v>
      </c>
      <c r="J4" s="10" t="s">
        <v>795</v>
      </c>
      <c r="K4" s="10" t="s">
        <v>796</v>
      </c>
      <c r="L4" s="10" t="s">
        <v>797</v>
      </c>
      <c r="M4" s="10" t="s">
        <v>798</v>
      </c>
      <c r="O4" s="10" t="s">
        <v>793</v>
      </c>
      <c r="P4" s="10" t="s">
        <v>794</v>
      </c>
      <c r="Q4" s="10" t="s">
        <v>795</v>
      </c>
      <c r="R4" s="10" t="s">
        <v>796</v>
      </c>
      <c r="S4" s="10" t="s">
        <v>797</v>
      </c>
      <c r="T4" s="10" t="s">
        <v>798</v>
      </c>
      <c r="V4" s="10" t="s">
        <v>793</v>
      </c>
      <c r="W4" s="10" t="s">
        <v>794</v>
      </c>
      <c r="X4" s="10" t="s">
        <v>795</v>
      </c>
      <c r="Y4" s="10" t="s">
        <v>796</v>
      </c>
      <c r="Z4" s="10" t="s">
        <v>797</v>
      </c>
      <c r="AA4" s="10" t="s">
        <v>798</v>
      </c>
    </row>
    <row r="5" customFormat="false" ht="15" hidden="false" customHeight="false" outlineLevel="0" collapsed="false">
      <c r="A5" s="77" t="n">
        <f aca="false">IF(KMeans_City!$E23=1,KMeans_City!$B23,NA())</f>
        <v>3.2743087782752</v>
      </c>
      <c r="B5" s="77" t="n">
        <f aca="false">IF(KMeans_City!$E23=1,KMeans_City!$C23,NA())</f>
        <v>4.03885179691129</v>
      </c>
      <c r="C5" s="77" t="e">
        <f aca="false">IF(KMeans_City!$E23=2,KMeans_City!$B23,NA())</f>
        <v>#N/A</v>
      </c>
      <c r="D5" s="77" t="e">
        <f aca="false">IF(KMeans_City!$E23=2,KMeans_City!$C23,NA())</f>
        <v>#N/A</v>
      </c>
      <c r="E5" s="77" t="e">
        <f aca="false">IF(KMeans_City!$E23=3,KMeans_City!$B23,NA())</f>
        <v>#N/A</v>
      </c>
      <c r="F5" s="77" t="e">
        <f aca="false">IF(KMeans_City!$E23=3,KMeans_City!$C23,NA())</f>
        <v>#N/A</v>
      </c>
      <c r="H5" s="77" t="n">
        <f aca="false">IF(KMeans_Province!$E23=1,KMeans_Province!$B23,NA())</f>
        <v>1.10799960313627</v>
      </c>
      <c r="I5" s="77" t="n">
        <f aca="false">IF(KMeans_Province!$E23=1,KMeans_Province!$C23,NA())</f>
        <v>1.07095117844112</v>
      </c>
      <c r="J5" s="77" t="e">
        <f aca="false">IF(KMeans_Province!$E23=2,KMeans_Province!$B23,NA())</f>
        <v>#N/A</v>
      </c>
      <c r="K5" s="77" t="e">
        <f aca="false">IF(KMeans_Province!$E23=2,KMeans_Province!$C23,NA())</f>
        <v>#N/A</v>
      </c>
      <c r="L5" s="77" t="e">
        <f aca="false">IF(KMeans_Province!$E23=3,KMeans_Province!$B23,NA())</f>
        <v>#N/A</v>
      </c>
      <c r="M5" s="77" t="e">
        <f aca="false">IF(KMeans_Province!$E23=3,KMeans_Province!$C23,NA())</f>
        <v>#N/A</v>
      </c>
      <c r="O5" s="77" t="n">
        <f aca="false">IF(KMeans_Phase!$E23=1,KMeans_Phase!$A23,NA())</f>
        <v>43887</v>
      </c>
      <c r="P5" s="77" t="n">
        <f aca="false">IF(KMeans_Phase!$E23=1,Phase_Data!$C5,NA())</f>
        <v>3</v>
      </c>
      <c r="Q5" s="77" t="e">
        <f aca="false">IF(KMeans_Phase!$E23=2,KMeans_Phase!$A23,NA())</f>
        <v>#N/A</v>
      </c>
      <c r="R5" s="77" t="e">
        <f aca="false">IF(KMeans_Phase!$E23=2,Phase_Data!$C5,NA())</f>
        <v>#N/A</v>
      </c>
      <c r="S5" s="77" t="e">
        <f aca="false">IF(KMeans_Phase!$E23=3,KMeans_Phase!$A23,NA())</f>
        <v>#N/A</v>
      </c>
      <c r="T5" s="77" t="e">
        <f aca="false">IF(KMeans_Phase!$E23=3,Phase_Data!$C5,NA())</f>
        <v>#N/A</v>
      </c>
      <c r="V5" s="77" t="n">
        <f aca="false">IF(KMeans_Travel!$E23=1,KMeans_Travel!$B23,NA())</f>
        <v>2.29982752189237</v>
      </c>
      <c r="W5" s="77" t="n">
        <f aca="false">IF(KMeans_Travel!$E23=1,KMeans_Travel!$C23,NA())</f>
        <v>2.90182235621279</v>
      </c>
      <c r="X5" s="77" t="e">
        <f aca="false">IF(KMeans_Travel!$E23=2,KMeans_Travel!$B23,NA())</f>
        <v>#N/A</v>
      </c>
      <c r="Y5" s="77" t="e">
        <f aca="false">IF(KMeans_Travel!$E23=2,KMeans_Travel!$C23,NA())</f>
        <v>#N/A</v>
      </c>
      <c r="Z5" s="77" t="e">
        <f aca="false">IF(KMeans_Travel!$E23=3,KMeans_Travel!$B23,NA())</f>
        <v>#N/A</v>
      </c>
      <c r="AA5" s="77" t="e">
        <f aca="false">IF(KMeans_Travel!$E23=3,KMeans_Travel!$C23,NA())</f>
        <v>#N/A</v>
      </c>
    </row>
    <row r="6" customFormat="false" ht="15" hidden="false" customHeight="false" outlineLevel="0" collapsed="false">
      <c r="A6" s="77" t="n">
        <f aca="false">IF(KMeans_City!$E24=1,KMeans_City!$B24,NA())</f>
        <v>3.25015139617543</v>
      </c>
      <c r="B6" s="77" t="n">
        <f aca="false">IF(KMeans_City!$E24=1,KMeans_City!$C24,NA())</f>
        <v>4.15684103709117</v>
      </c>
      <c r="C6" s="77" t="e">
        <f aca="false">IF(KMeans_City!$E24=2,KMeans_City!$B24,NA())</f>
        <v>#N/A</v>
      </c>
      <c r="D6" s="77" t="e">
        <f aca="false">IF(KMeans_City!$E24=2,KMeans_City!$C24,NA())</f>
        <v>#N/A</v>
      </c>
      <c r="E6" s="77" t="e">
        <f aca="false">IF(KMeans_City!$E24=3,KMeans_City!$B24,NA())</f>
        <v>#N/A</v>
      </c>
      <c r="F6" s="77" t="e">
        <f aca="false">IF(KMeans_City!$E24=3,KMeans_City!$C24,NA())</f>
        <v>#N/A</v>
      </c>
      <c r="H6" s="77" t="n">
        <f aca="false">IF(KMeans_Province!$E24=1,KMeans_Province!$B24,NA())</f>
        <v>1.08381042475669</v>
      </c>
      <c r="I6" s="77" t="n">
        <f aca="false">IF(KMeans_Province!$E24=1,KMeans_Province!$C24,NA())</f>
        <v>1.10975051121378</v>
      </c>
      <c r="J6" s="77" t="e">
        <f aca="false">IF(KMeans_Province!$E24=2,KMeans_Province!$B24,NA())</f>
        <v>#N/A</v>
      </c>
      <c r="K6" s="77" t="e">
        <f aca="false">IF(KMeans_Province!$E24=2,KMeans_Province!$C24,NA())</f>
        <v>#N/A</v>
      </c>
      <c r="L6" s="77" t="e">
        <f aca="false">IF(KMeans_Province!$E24=3,KMeans_Province!$B24,NA())</f>
        <v>#N/A</v>
      </c>
      <c r="M6" s="77" t="e">
        <f aca="false">IF(KMeans_Province!$E24=3,KMeans_Province!$C24,NA())</f>
        <v>#N/A</v>
      </c>
      <c r="O6" s="77" t="n">
        <f aca="false">IF(KMeans_Phase!$E24=1,KMeans_Phase!$A24,NA())</f>
        <v>43888</v>
      </c>
      <c r="P6" s="77" t="n">
        <f aca="false">IF(KMeans_Phase!$E24=1,Phase_Data!$C6,NA())</f>
        <v>0</v>
      </c>
      <c r="Q6" s="77" t="e">
        <f aca="false">IF(KMeans_Phase!$E24=2,KMeans_Phase!$A24,NA())</f>
        <v>#N/A</v>
      </c>
      <c r="R6" s="77" t="e">
        <f aca="false">IF(KMeans_Phase!$E24=2,Phase_Data!$C6,NA())</f>
        <v>#N/A</v>
      </c>
      <c r="S6" s="77" t="e">
        <f aca="false">IF(KMeans_Phase!$E24=3,KMeans_Phase!$A24,NA())</f>
        <v>#N/A</v>
      </c>
      <c r="T6" s="77" t="e">
        <f aca="false">IF(KMeans_Phase!$E24=3,Phase_Data!$C6,NA())</f>
        <v>#N/A</v>
      </c>
      <c r="V6" s="77" t="e">
        <f aca="false">IF(KMeans_Travel!$E24=1,KMeans_Travel!$B24,NA())</f>
        <v>#N/A</v>
      </c>
      <c r="W6" s="77" t="e">
        <f aca="false">IF(KMeans_Travel!$E24=1,KMeans_Travel!$C24,NA())</f>
        <v>#N/A</v>
      </c>
      <c r="X6" s="77" t="e">
        <f aca="false">IF(KMeans_Travel!$E24=2,KMeans_Travel!$B24,NA())</f>
        <v>#N/A</v>
      </c>
      <c r="Y6" s="77" t="e">
        <f aca="false">IF(KMeans_Travel!$E24=2,KMeans_Travel!$C24,NA())</f>
        <v>#N/A</v>
      </c>
      <c r="Z6" s="77" t="n">
        <f aca="false">IF(KMeans_Travel!$E24=3,KMeans_Travel!$B24,NA())</f>
        <v>1.34737261021607</v>
      </c>
      <c r="AA6" s="77" t="n">
        <f aca="false">IF(KMeans_Travel!$E24=3,KMeans_Travel!$C24,NA())</f>
        <v>1.53639668327942</v>
      </c>
    </row>
    <row r="7" customFormat="false" ht="15" hidden="false" customHeight="false" outlineLevel="0" collapsed="false">
      <c r="A7" s="77" t="n">
        <f aca="false">IF(KMeans_City!$E25=1,KMeans_City!$B25,NA())</f>
        <v>2.36453191227648</v>
      </c>
      <c r="B7" s="77" t="n">
        <f aca="false">IF(KMeans_City!$E25=1,KMeans_City!$C25,NA())</f>
        <v>2.29414072853602</v>
      </c>
      <c r="C7" s="77" t="e">
        <f aca="false">IF(KMeans_City!$E25=2,KMeans_City!$B25,NA())</f>
        <v>#N/A</v>
      </c>
      <c r="D7" s="77" t="e">
        <f aca="false">IF(KMeans_City!$E25=2,KMeans_City!$C25,NA())</f>
        <v>#N/A</v>
      </c>
      <c r="E7" s="77" t="e">
        <f aca="false">IF(KMeans_City!$E25=3,KMeans_City!$B25,NA())</f>
        <v>#N/A</v>
      </c>
      <c r="F7" s="77" t="e">
        <f aca="false">IF(KMeans_City!$E25=3,KMeans_City!$C25,NA())</f>
        <v>#N/A</v>
      </c>
      <c r="H7" s="77" t="n">
        <f aca="false">IF(KMeans_Province!$E25=1,KMeans_Province!$B25,NA())</f>
        <v>0.597142491591248</v>
      </c>
      <c r="I7" s="77" t="n">
        <f aca="false">IF(KMeans_Province!$E25=1,KMeans_Province!$C25,NA())</f>
        <v>1.00352864994269</v>
      </c>
      <c r="J7" s="77" t="e">
        <f aca="false">IF(KMeans_Province!$E25=2,KMeans_Province!$B25,NA())</f>
        <v>#N/A</v>
      </c>
      <c r="K7" s="77" t="e">
        <f aca="false">IF(KMeans_Province!$E25=2,KMeans_Province!$C25,NA())</f>
        <v>#N/A</v>
      </c>
      <c r="L7" s="77" t="e">
        <f aca="false">IF(KMeans_Province!$E25=3,KMeans_Province!$B25,NA())</f>
        <v>#N/A</v>
      </c>
      <c r="M7" s="77" t="e">
        <f aca="false">IF(KMeans_Province!$E25=3,KMeans_Province!$C25,NA())</f>
        <v>#N/A</v>
      </c>
      <c r="O7" s="77" t="n">
        <f aca="false">IF(KMeans_Phase!$E25=1,KMeans_Phase!$A25,NA())</f>
        <v>43889</v>
      </c>
      <c r="P7" s="77" t="n">
        <f aca="false">IF(KMeans_Phase!$E25=1,Phase_Data!$C7,NA())</f>
        <v>0</v>
      </c>
      <c r="Q7" s="77" t="e">
        <f aca="false">IF(KMeans_Phase!$E25=2,KMeans_Phase!$A25,NA())</f>
        <v>#N/A</v>
      </c>
      <c r="R7" s="77" t="e">
        <f aca="false">IF(KMeans_Phase!$E25=2,Phase_Data!$C7,NA())</f>
        <v>#N/A</v>
      </c>
      <c r="S7" s="77" t="e">
        <f aca="false">IF(KMeans_Phase!$E25=3,KMeans_Phase!$A25,NA())</f>
        <v>#N/A</v>
      </c>
      <c r="T7" s="77" t="e">
        <f aca="false">IF(KMeans_Phase!$E25=3,Phase_Data!$C7,NA())</f>
        <v>#N/A</v>
      </c>
      <c r="V7" s="77" t="e">
        <f aca="false">IF(KMeans_Travel!$E25=1,KMeans_Travel!$B25,NA())</f>
        <v>#N/A</v>
      </c>
      <c r="W7" s="77" t="e">
        <f aca="false">IF(KMeans_Travel!$E25=1,KMeans_Travel!$C25,NA())</f>
        <v>#N/A</v>
      </c>
      <c r="X7" s="77" t="e">
        <f aca="false">IF(KMeans_Travel!$E25=2,KMeans_Travel!$B25,NA())</f>
        <v>#N/A</v>
      </c>
      <c r="Y7" s="77" t="e">
        <f aca="false">IF(KMeans_Travel!$E25=2,KMeans_Travel!$C25,NA())</f>
        <v>#N/A</v>
      </c>
      <c r="Z7" s="77" t="n">
        <f aca="false">IF(KMeans_Travel!$E25=3,KMeans_Travel!$B25,NA())</f>
        <v>1.0016132856446</v>
      </c>
      <c r="AA7" s="77" t="n">
        <f aca="false">IF(KMeans_Travel!$E25=3,KMeans_Travel!$C25,NA())</f>
        <v>0.310435874082269</v>
      </c>
    </row>
    <row r="8" customFormat="false" ht="15" hidden="false" customHeight="false" outlineLevel="0" collapsed="false">
      <c r="A8" s="77" t="n">
        <f aca="false">IF(KMeans_City!$E26=1,KMeans_City!$B26,NA())</f>
        <v>2.345233823008</v>
      </c>
      <c r="B8" s="77" t="n">
        <f aca="false">IF(KMeans_City!$E26=1,KMeans_City!$C26,NA())</f>
        <v>3.56174892105073</v>
      </c>
      <c r="C8" s="77" t="e">
        <f aca="false">IF(KMeans_City!$E26=2,KMeans_City!$B26,NA())</f>
        <v>#N/A</v>
      </c>
      <c r="D8" s="77" t="e">
        <f aca="false">IF(KMeans_City!$E26=2,KMeans_City!$C26,NA())</f>
        <v>#N/A</v>
      </c>
      <c r="E8" s="77" t="e">
        <f aca="false">IF(KMeans_City!$E26=3,KMeans_City!$B26,NA())</f>
        <v>#N/A</v>
      </c>
      <c r="F8" s="77" t="e">
        <f aca="false">IF(KMeans_City!$E26=3,KMeans_City!$C26,NA())</f>
        <v>#N/A</v>
      </c>
      <c r="H8" s="77" t="e">
        <f aca="false">IF(KMeans_Province!$E26=1,KMeans_Province!$B26,NA())</f>
        <v>#N/A</v>
      </c>
      <c r="I8" s="77" t="e">
        <f aca="false">IF(KMeans_Province!$E26=1,KMeans_Province!$C26,NA())</f>
        <v>#N/A</v>
      </c>
      <c r="J8" s="77" t="e">
        <f aca="false">IF(KMeans_Province!$E26=2,KMeans_Province!$B26,NA())</f>
        <v>#N/A</v>
      </c>
      <c r="K8" s="77" t="e">
        <f aca="false">IF(KMeans_Province!$E26=2,KMeans_Province!$C26,NA())</f>
        <v>#N/A</v>
      </c>
      <c r="L8" s="77" t="n">
        <f aca="false">IF(KMeans_Province!$E26=3,KMeans_Province!$B26,NA())</f>
        <v>0.292584138699036</v>
      </c>
      <c r="M8" s="77" t="n">
        <f aca="false">IF(KMeans_Province!$E26=3,KMeans_Province!$C26,NA())</f>
        <v>-0.0551429924626731</v>
      </c>
      <c r="O8" s="77" t="n">
        <f aca="false">IF(KMeans_Phase!$E26=1,KMeans_Phase!$A26,NA())</f>
        <v>43890</v>
      </c>
      <c r="P8" s="77" t="n">
        <f aca="false">IF(KMeans_Phase!$E26=1,Phase_Data!$C8,NA())</f>
        <v>2</v>
      </c>
      <c r="Q8" s="77" t="e">
        <f aca="false">IF(KMeans_Phase!$E26=2,KMeans_Phase!$A26,NA())</f>
        <v>#N/A</v>
      </c>
      <c r="R8" s="77" t="e">
        <f aca="false">IF(KMeans_Phase!$E26=2,Phase_Data!$C8,NA())</f>
        <v>#N/A</v>
      </c>
      <c r="S8" s="77" t="e">
        <f aca="false">IF(KMeans_Phase!$E26=3,KMeans_Phase!$A26,NA())</f>
        <v>#N/A</v>
      </c>
      <c r="T8" s="77" t="e">
        <f aca="false">IF(KMeans_Phase!$E26=3,Phase_Data!$C8,NA())</f>
        <v>#N/A</v>
      </c>
      <c r="V8" s="77" t="e">
        <f aca="false">IF(KMeans_Travel!$E26=1,KMeans_Travel!$B26,NA())</f>
        <v>#N/A</v>
      </c>
      <c r="W8" s="77" t="e">
        <f aca="false">IF(KMeans_Travel!$E26=1,KMeans_Travel!$C26,NA())</f>
        <v>#N/A</v>
      </c>
      <c r="X8" s="77" t="e">
        <f aca="false">IF(KMeans_Travel!$E26=2,KMeans_Travel!$B26,NA())</f>
        <v>#N/A</v>
      </c>
      <c r="Y8" s="77" t="e">
        <f aca="false">IF(KMeans_Travel!$E26=2,KMeans_Travel!$C26,NA())</f>
        <v>#N/A</v>
      </c>
      <c r="Z8" s="77" t="n">
        <f aca="false">IF(KMeans_Travel!$E26=3,KMeans_Travel!$B26,NA())</f>
        <v>0.984147315713857</v>
      </c>
      <c r="AA8" s="77" t="n">
        <f aca="false">IF(KMeans_Travel!$E26=3,KMeans_Travel!$C26,NA())</f>
        <v>0.630996404864858</v>
      </c>
    </row>
    <row r="9" customFormat="false" ht="15" hidden="false" customHeight="false" outlineLevel="0" collapsed="false">
      <c r="A9" s="77" t="n">
        <f aca="false">IF(KMeans_City!$E27=1,KMeans_City!$B27,NA())</f>
        <v>2.1711238504828</v>
      </c>
      <c r="B9" s="77" t="n">
        <f aca="false">IF(KMeans_City!$E27=1,KMeans_City!$C27,NA())</f>
        <v>2.06578932043694</v>
      </c>
      <c r="C9" s="77" t="e">
        <f aca="false">IF(KMeans_City!$E27=2,KMeans_City!$B27,NA())</f>
        <v>#N/A</v>
      </c>
      <c r="D9" s="77" t="e">
        <f aca="false">IF(KMeans_City!$E27=2,KMeans_City!$C27,NA())</f>
        <v>#N/A</v>
      </c>
      <c r="E9" s="77" t="e">
        <f aca="false">IF(KMeans_City!$E27=3,KMeans_City!$B27,NA())</f>
        <v>#N/A</v>
      </c>
      <c r="F9" s="77" t="e">
        <f aca="false">IF(KMeans_City!$E27=3,KMeans_City!$C27,NA())</f>
        <v>#N/A</v>
      </c>
      <c r="H9" s="77" t="e">
        <f aca="false">IF(KMeans_Province!$E27=1,KMeans_Province!$B27,NA())</f>
        <v>#N/A</v>
      </c>
      <c r="I9" s="77" t="e">
        <f aca="false">IF(KMeans_Province!$E27=1,KMeans_Province!$C27,NA())</f>
        <v>#N/A</v>
      </c>
      <c r="J9" s="77" t="e">
        <f aca="false">IF(KMeans_Province!$E27=2,KMeans_Province!$B27,NA())</f>
        <v>#N/A</v>
      </c>
      <c r="K9" s="77" t="e">
        <f aca="false">IF(KMeans_Province!$E27=2,KMeans_Province!$C27,NA())</f>
        <v>#N/A</v>
      </c>
      <c r="L9" s="77" t="n">
        <f aca="false">IF(KMeans_Province!$E27=3,KMeans_Province!$B27,NA())</f>
        <v>0.128119018041928</v>
      </c>
      <c r="M9" s="77" t="n">
        <f aca="false">IF(KMeans_Province!$E27=3,KMeans_Province!$C27,NA())</f>
        <v>-0.196870560456412</v>
      </c>
      <c r="O9" s="77" t="n">
        <f aca="false">IF(KMeans_Phase!$E27=1,KMeans_Phase!$A27,NA())</f>
        <v>43891</v>
      </c>
      <c r="P9" s="77" t="n">
        <f aca="false">IF(KMeans_Phase!$E27=1,Phase_Data!$C9,NA())</f>
        <v>0</v>
      </c>
      <c r="Q9" s="77" t="e">
        <f aca="false">IF(KMeans_Phase!$E27=2,KMeans_Phase!$A27,NA())</f>
        <v>#N/A</v>
      </c>
      <c r="R9" s="77" t="e">
        <f aca="false">IF(KMeans_Phase!$E27=2,Phase_Data!$C9,NA())</f>
        <v>#N/A</v>
      </c>
      <c r="S9" s="77" t="e">
        <f aca="false">IF(KMeans_Phase!$E27=3,KMeans_Phase!$A27,NA())</f>
        <v>#N/A</v>
      </c>
      <c r="T9" s="77" t="e">
        <f aca="false">IF(KMeans_Phase!$E27=3,Phase_Data!$C9,NA())</f>
        <v>#N/A</v>
      </c>
      <c r="V9" s="77" t="e">
        <f aca="false">IF(KMeans_Travel!$E27=1,KMeans_Travel!$B27,NA())</f>
        <v>#N/A</v>
      </c>
      <c r="W9" s="77" t="e">
        <f aca="false">IF(KMeans_Travel!$E27=1,KMeans_Travel!$C27,NA())</f>
        <v>#N/A</v>
      </c>
      <c r="X9" s="77" t="n">
        <f aca="false">IF(KMeans_Travel!$E27=2,KMeans_Travel!$B27,NA())</f>
        <v>0.287989773087426</v>
      </c>
      <c r="Y9" s="77" t="n">
        <f aca="false">IF(KMeans_Travel!$E27=2,KMeans_Travel!$C27,NA())</f>
        <v>-0.518201077201994</v>
      </c>
      <c r="Z9" s="77" t="e">
        <f aca="false">IF(KMeans_Travel!$E27=3,KMeans_Travel!$B27,NA())</f>
        <v>#N/A</v>
      </c>
      <c r="AA9" s="77" t="e">
        <f aca="false">IF(KMeans_Travel!$E27=3,KMeans_Travel!$C27,NA())</f>
        <v>#N/A</v>
      </c>
    </row>
    <row r="10" customFormat="false" ht="15" hidden="false" customHeight="false" outlineLevel="0" collapsed="false">
      <c r="A10" s="77" t="n">
        <f aca="false">IF(KMeans_City!$E28=1,KMeans_City!$B28,NA())</f>
        <v>1.49375246664447</v>
      </c>
      <c r="B10" s="77" t="n">
        <f aca="false">IF(KMeans_City!$E28=1,KMeans_City!$C28,NA())</f>
        <v>2.23090597008422</v>
      </c>
      <c r="C10" s="77" t="e">
        <f aca="false">IF(KMeans_City!$E28=2,KMeans_City!$B28,NA())</f>
        <v>#N/A</v>
      </c>
      <c r="D10" s="77" t="e">
        <f aca="false">IF(KMeans_City!$E28=2,KMeans_City!$C28,NA())</f>
        <v>#N/A</v>
      </c>
      <c r="E10" s="77" t="e">
        <f aca="false">IF(KMeans_City!$E28=3,KMeans_City!$B28,NA())</f>
        <v>#N/A</v>
      </c>
      <c r="F10" s="77" t="e">
        <f aca="false">IF(KMeans_City!$E28=3,KMeans_City!$C28,NA())</f>
        <v>#N/A</v>
      </c>
      <c r="H10" s="77" t="e">
        <f aca="false">IF(KMeans_Province!$E28=1,KMeans_Province!$B28,NA())</f>
        <v>#N/A</v>
      </c>
      <c r="I10" s="77" t="e">
        <f aca="false">IF(KMeans_Province!$E28=1,KMeans_Province!$C28,NA())</f>
        <v>#N/A</v>
      </c>
      <c r="J10" s="77" t="e">
        <f aca="false">IF(KMeans_Province!$E28=2,KMeans_Province!$B28,NA())</f>
        <v>#N/A</v>
      </c>
      <c r="K10" s="77" t="e">
        <f aca="false">IF(KMeans_Province!$E28=2,KMeans_Province!$C28,NA())</f>
        <v>#N/A</v>
      </c>
      <c r="L10" s="77" t="n">
        <f aca="false">IF(KMeans_Province!$E28=3,KMeans_Province!$B28,NA())</f>
        <v>-0.529832779865818</v>
      </c>
      <c r="M10" s="77" t="n">
        <f aca="false">IF(KMeans_Province!$E28=3,KMeans_Province!$C28,NA())</f>
        <v>-0.381401387012564</v>
      </c>
      <c r="O10" s="77" t="n">
        <f aca="false">IF(KMeans_Phase!$E28=1,KMeans_Phase!$A28,NA())</f>
        <v>43892</v>
      </c>
      <c r="P10" s="77" t="n">
        <f aca="false">IF(KMeans_Phase!$E28=1,Phase_Data!$C10,NA())</f>
        <v>1</v>
      </c>
      <c r="Q10" s="77" t="e">
        <f aca="false">IF(KMeans_Phase!$E28=2,KMeans_Phase!$A28,NA())</f>
        <v>#N/A</v>
      </c>
      <c r="R10" s="77" t="e">
        <f aca="false">IF(KMeans_Phase!$E28=2,Phase_Data!$C10,NA())</f>
        <v>#N/A</v>
      </c>
      <c r="S10" s="77" t="e">
        <f aca="false">IF(KMeans_Phase!$E28=3,KMeans_Phase!$A28,NA())</f>
        <v>#N/A</v>
      </c>
      <c r="T10" s="77" t="e">
        <f aca="false">IF(KMeans_Phase!$E28=3,Phase_Data!$C10,NA())</f>
        <v>#N/A</v>
      </c>
      <c r="V10" s="77" t="e">
        <f aca="false">IF(KMeans_Travel!$E28=1,KMeans_Travel!$B28,NA())</f>
        <v>#N/A</v>
      </c>
      <c r="W10" s="77" t="e">
        <f aca="false">IF(KMeans_Travel!$E28=1,KMeans_Travel!$C28,NA())</f>
        <v>#N/A</v>
      </c>
      <c r="X10" s="77" t="n">
        <f aca="false">IF(KMeans_Travel!$E28=2,KMeans_Travel!$B28,NA())</f>
        <v>0.159817485303695</v>
      </c>
      <c r="Y10" s="77" t="n">
        <f aca="false">IF(KMeans_Travel!$E28=2,KMeans_Travel!$C28,NA())</f>
        <v>-0.518201077201994</v>
      </c>
      <c r="Z10" s="77" t="e">
        <f aca="false">IF(KMeans_Travel!$E28=3,KMeans_Travel!$B28,NA())</f>
        <v>#N/A</v>
      </c>
      <c r="AA10" s="77" t="e">
        <f aca="false">IF(KMeans_Travel!$E28=3,KMeans_Travel!$C28,NA())</f>
        <v>#N/A</v>
      </c>
    </row>
    <row r="11" customFormat="false" ht="15" hidden="false" customHeight="false" outlineLevel="0" collapsed="false">
      <c r="A11" s="77" t="e">
        <f aca="false">IF(KMeans_City!$E29=1,KMeans_City!$B29,NA())</f>
        <v>#N/A</v>
      </c>
      <c r="B11" s="77" t="e">
        <f aca="false">IF(KMeans_City!$E29=1,KMeans_City!$C29,NA())</f>
        <v>#N/A</v>
      </c>
      <c r="C11" s="77" t="e">
        <f aca="false">IF(KMeans_City!$E29=2,KMeans_City!$B29,NA())</f>
        <v>#N/A</v>
      </c>
      <c r="D11" s="77" t="e">
        <f aca="false">IF(KMeans_City!$E29=2,KMeans_City!$C29,NA())</f>
        <v>#N/A</v>
      </c>
      <c r="E11" s="77" t="n">
        <f aca="false">IF(KMeans_City!$E29=3,KMeans_City!$B29,NA())</f>
        <v>1.339480128572</v>
      </c>
      <c r="F11" s="77" t="n">
        <f aca="false">IF(KMeans_City!$E29=3,KMeans_City!$C29,NA())</f>
        <v>0.160512589624996</v>
      </c>
      <c r="H11" s="77" t="e">
        <f aca="false">IF(KMeans_Province!$E29=1,KMeans_Province!$B29,NA())</f>
        <v>#N/A</v>
      </c>
      <c r="I11" s="77" t="e">
        <f aca="false">IF(KMeans_Province!$E29=1,KMeans_Province!$C29,NA())</f>
        <v>#N/A</v>
      </c>
      <c r="J11" s="77" t="n">
        <f aca="false">IF(KMeans_Province!$E29=2,KMeans_Province!$B29,NA())</f>
        <v>-0.974094161938139</v>
      </c>
      <c r="K11" s="77" t="n">
        <f aca="false">IF(KMeans_Province!$E29=2,KMeans_Province!$C29,NA())</f>
        <v>-0.980575342206791</v>
      </c>
      <c r="L11" s="77" t="e">
        <f aca="false">IF(KMeans_Province!$E29=3,KMeans_Province!$B29,NA())</f>
        <v>#N/A</v>
      </c>
      <c r="M11" s="77" t="e">
        <f aca="false">IF(KMeans_Province!$E29=3,KMeans_Province!$C29,NA())</f>
        <v>#N/A</v>
      </c>
      <c r="O11" s="77" t="n">
        <f aca="false">IF(KMeans_Phase!$E29=1,KMeans_Phase!$A29,NA())</f>
        <v>43893</v>
      </c>
      <c r="P11" s="77" t="n">
        <f aca="false">IF(KMeans_Phase!$E29=1,Phase_Data!$C11,NA())</f>
        <v>0</v>
      </c>
      <c r="Q11" s="77" t="e">
        <f aca="false">IF(KMeans_Phase!$E29=2,KMeans_Phase!$A29,NA())</f>
        <v>#N/A</v>
      </c>
      <c r="R11" s="77" t="e">
        <f aca="false">IF(KMeans_Phase!$E29=2,Phase_Data!$C11,NA())</f>
        <v>#N/A</v>
      </c>
      <c r="S11" s="77" t="e">
        <f aca="false">IF(KMeans_Phase!$E29=3,KMeans_Phase!$A29,NA())</f>
        <v>#N/A</v>
      </c>
      <c r="T11" s="77" t="e">
        <f aca="false">IF(KMeans_Phase!$E29=3,Phase_Data!$C11,NA())</f>
        <v>#N/A</v>
      </c>
      <c r="V11" s="77" t="e">
        <f aca="false">IF(KMeans_Travel!$E29=1,KMeans_Travel!$B29,NA())</f>
        <v>#N/A</v>
      </c>
      <c r="W11" s="77" t="e">
        <f aca="false">IF(KMeans_Travel!$E29=1,KMeans_Travel!$C29,NA())</f>
        <v>#N/A</v>
      </c>
      <c r="X11" s="77" t="n">
        <f aca="false">IF(KMeans_Travel!$E29=2,KMeans_Travel!$B29,NA())</f>
        <v>-0.0232558420171331</v>
      </c>
      <c r="Y11" s="77" t="n">
        <f aca="false">IF(KMeans_Travel!$E29=2,KMeans_Travel!$C29,NA())</f>
        <v>-0.518201077201994</v>
      </c>
      <c r="Z11" s="77" t="e">
        <f aca="false">IF(KMeans_Travel!$E29=3,KMeans_Travel!$B29,NA())</f>
        <v>#N/A</v>
      </c>
      <c r="AA11" s="77" t="e">
        <f aca="false">IF(KMeans_Travel!$E29=3,KMeans_Travel!$C29,NA())</f>
        <v>#N/A</v>
      </c>
    </row>
    <row r="12" customFormat="false" ht="15" hidden="false" customHeight="false" outlineLevel="0" collapsed="false">
      <c r="A12" s="77" t="e">
        <f aca="false">IF(KMeans_City!$E30=1,KMeans_City!$B30,NA())</f>
        <v>#N/A</v>
      </c>
      <c r="B12" s="77" t="e">
        <f aca="false">IF(KMeans_City!$E30=1,KMeans_City!$C30,NA())</f>
        <v>#N/A</v>
      </c>
      <c r="C12" s="77" t="e">
        <f aca="false">IF(KMeans_City!$E30=2,KMeans_City!$B30,NA())</f>
        <v>#N/A</v>
      </c>
      <c r="D12" s="77" t="e">
        <f aca="false">IF(KMeans_City!$E30=2,KMeans_City!$C30,NA())</f>
        <v>#N/A</v>
      </c>
      <c r="E12" s="77" t="n">
        <f aca="false">IF(KMeans_City!$E30=3,KMeans_City!$B30,NA())</f>
        <v>1.31634431892529</v>
      </c>
      <c r="F12" s="77" t="n">
        <f aca="false">IF(KMeans_City!$E30=3,KMeans_City!$C30,NA())</f>
        <v>0.686180001083741</v>
      </c>
      <c r="H12" s="77" t="e">
        <f aca="false">IF(KMeans_Province!$E30=1,KMeans_Province!$B30,NA())</f>
        <v>#N/A</v>
      </c>
      <c r="I12" s="77" t="e">
        <f aca="false">IF(KMeans_Province!$E30=1,KMeans_Province!$C30,NA())</f>
        <v>#N/A</v>
      </c>
      <c r="J12" s="77" t="n">
        <f aca="false">IF(KMeans_Province!$E30=2,KMeans_Province!$B30,NA())</f>
        <v>-1.70572873442121</v>
      </c>
      <c r="K12" s="77" t="n">
        <f aca="false">IF(KMeans_Province!$E30=2,KMeans_Province!$C30,NA())</f>
        <v>-1.57024005745915</v>
      </c>
      <c r="L12" s="77" t="e">
        <f aca="false">IF(KMeans_Province!$E30=3,KMeans_Province!$B30,NA())</f>
        <v>#N/A</v>
      </c>
      <c r="M12" s="77" t="e">
        <f aca="false">IF(KMeans_Province!$E30=3,KMeans_Province!$C30,NA())</f>
        <v>#N/A</v>
      </c>
      <c r="O12" s="77" t="n">
        <f aca="false">IF(KMeans_Phase!$E30=1,KMeans_Phase!$A30,NA())</f>
        <v>43894</v>
      </c>
      <c r="P12" s="77" t="n">
        <f aca="false">IF(KMeans_Phase!$E30=1,Phase_Data!$C12,NA())</f>
        <v>0</v>
      </c>
      <c r="Q12" s="77" t="e">
        <f aca="false">IF(KMeans_Phase!$E30=2,KMeans_Phase!$A30,NA())</f>
        <v>#N/A</v>
      </c>
      <c r="R12" s="77" t="e">
        <f aca="false">IF(KMeans_Phase!$E30=2,Phase_Data!$C12,NA())</f>
        <v>#N/A</v>
      </c>
      <c r="S12" s="77" t="e">
        <f aca="false">IF(KMeans_Phase!$E30=3,KMeans_Phase!$A30,NA())</f>
        <v>#N/A</v>
      </c>
      <c r="T12" s="77" t="e">
        <f aca="false">IF(KMeans_Phase!$E30=3,Phase_Data!$C12,NA())</f>
        <v>#N/A</v>
      </c>
      <c r="V12" s="77" t="e">
        <f aca="false">IF(KMeans_Travel!$E30=1,KMeans_Travel!$B30,NA())</f>
        <v>#N/A</v>
      </c>
      <c r="W12" s="77" t="e">
        <f aca="false">IF(KMeans_Travel!$E30=1,KMeans_Travel!$C30,NA())</f>
        <v>#N/A</v>
      </c>
      <c r="X12" s="77" t="n">
        <f aca="false">IF(KMeans_Travel!$E30=2,KMeans_Travel!$B30,NA())</f>
        <v>-0.507317456961048</v>
      </c>
      <c r="Y12" s="77" t="n">
        <f aca="false">IF(KMeans_Travel!$E30=2,KMeans_Travel!$C30,NA())</f>
        <v>-0.518201077201994</v>
      </c>
      <c r="Z12" s="77" t="e">
        <f aca="false">IF(KMeans_Travel!$E30=3,KMeans_Travel!$B30,NA())</f>
        <v>#N/A</v>
      </c>
      <c r="AA12" s="77" t="e">
        <f aca="false">IF(KMeans_Travel!$E30=3,KMeans_Travel!$C30,NA())</f>
        <v>#N/A</v>
      </c>
    </row>
    <row r="13" customFormat="false" ht="15" hidden="false" customHeight="false" outlineLevel="0" collapsed="false">
      <c r="A13" s="77" t="e">
        <f aca="false">IF(KMeans_City!$E31=1,KMeans_City!$B31,NA())</f>
        <v>#N/A</v>
      </c>
      <c r="B13" s="77" t="e">
        <f aca="false">IF(KMeans_City!$E31=1,KMeans_City!$C31,NA())</f>
        <v>#N/A</v>
      </c>
      <c r="C13" s="77" t="e">
        <f aca="false">IF(KMeans_City!$E31=2,KMeans_City!$B31,NA())</f>
        <v>#N/A</v>
      </c>
      <c r="D13" s="77" t="e">
        <f aca="false">IF(KMeans_City!$E31=2,KMeans_City!$C31,NA())</f>
        <v>#N/A</v>
      </c>
      <c r="E13" s="77" t="n">
        <f aca="false">IF(KMeans_City!$E31=3,KMeans_City!$B31,NA())</f>
        <v>1.25912764531491</v>
      </c>
      <c r="F13" s="77" t="n">
        <f aca="false">IF(KMeans_City!$E31=3,KMeans_City!$C31,NA())</f>
        <v>1.21184741254249</v>
      </c>
      <c r="O13" s="77" t="n">
        <f aca="false">IF(KMeans_Phase!$E31=1,KMeans_Phase!$A31,NA())</f>
        <v>43895</v>
      </c>
      <c r="P13" s="77" t="n">
        <f aca="false">IF(KMeans_Phase!$E31=1,Phase_Data!$C13,NA())</f>
        <v>0</v>
      </c>
      <c r="Q13" s="77" t="e">
        <f aca="false">IF(KMeans_Phase!$E31=2,KMeans_Phase!$A31,NA())</f>
        <v>#N/A</v>
      </c>
      <c r="R13" s="77" t="e">
        <f aca="false">IF(KMeans_Phase!$E31=2,Phase_Data!$C13,NA())</f>
        <v>#N/A</v>
      </c>
      <c r="S13" s="77" t="e">
        <f aca="false">IF(KMeans_Phase!$E31=3,KMeans_Phase!$A31,NA())</f>
        <v>#N/A</v>
      </c>
      <c r="T13" s="77" t="e">
        <f aca="false">IF(KMeans_Phase!$E31=3,Phase_Data!$C13,NA())</f>
        <v>#N/A</v>
      </c>
      <c r="V13" s="77" t="e">
        <f aca="false">IF(KMeans_Travel!$E31=1,KMeans_Travel!$B31,NA())</f>
        <v>#N/A</v>
      </c>
      <c r="W13" s="77" t="e">
        <f aca="false">IF(KMeans_Travel!$E31=1,KMeans_Travel!$C31,NA())</f>
        <v>#N/A</v>
      </c>
      <c r="X13" s="77" t="n">
        <f aca="false">IF(KMeans_Travel!$E31=2,KMeans_Travel!$B31,NA())</f>
        <v>-0.548120816111638</v>
      </c>
      <c r="Y13" s="77" t="n">
        <f aca="false">IF(KMeans_Travel!$E31=2,KMeans_Travel!$C31,NA())</f>
        <v>-0.197640546419405</v>
      </c>
      <c r="Z13" s="77" t="e">
        <f aca="false">IF(KMeans_Travel!$E31=3,KMeans_Travel!$B31,NA())</f>
        <v>#N/A</v>
      </c>
      <c r="AA13" s="77" t="e">
        <f aca="false">IF(KMeans_Travel!$E31=3,KMeans_Travel!$C31,NA())</f>
        <v>#N/A</v>
      </c>
    </row>
    <row r="14" customFormat="false" ht="15" hidden="false" customHeight="false" outlineLevel="0" collapsed="false">
      <c r="A14" s="77" t="e">
        <f aca="false">IF(KMeans_City!$E32=1,KMeans_City!$B32,NA())</f>
        <v>#N/A</v>
      </c>
      <c r="B14" s="77" t="e">
        <f aca="false">IF(KMeans_City!$E32=1,KMeans_City!$C32,NA())</f>
        <v>#N/A</v>
      </c>
      <c r="C14" s="77" t="e">
        <f aca="false">IF(KMeans_City!$E32=2,KMeans_City!$B32,NA())</f>
        <v>#N/A</v>
      </c>
      <c r="D14" s="77" t="e">
        <f aca="false">IF(KMeans_City!$E32=2,KMeans_City!$C32,NA())</f>
        <v>#N/A</v>
      </c>
      <c r="E14" s="77" t="n">
        <f aca="false">IF(KMeans_City!$E32=3,KMeans_City!$B32,NA())</f>
        <v>1.20153859722623</v>
      </c>
      <c r="F14" s="77" t="n">
        <f aca="false">IF(KMeans_City!$E32=3,KMeans_City!$C32,NA())</f>
        <v>-0.146983133929529</v>
      </c>
      <c r="O14" s="77" t="n">
        <f aca="false">IF(KMeans_Phase!$E32=1,KMeans_Phase!$A32,NA())</f>
        <v>43896</v>
      </c>
      <c r="P14" s="77" t="n">
        <f aca="false">IF(KMeans_Phase!$E32=1,Phase_Data!$C14,NA())</f>
        <v>0</v>
      </c>
      <c r="Q14" s="77" t="e">
        <f aca="false">IF(KMeans_Phase!$E32=2,KMeans_Phase!$A32,NA())</f>
        <v>#N/A</v>
      </c>
      <c r="R14" s="77" t="e">
        <f aca="false">IF(KMeans_Phase!$E32=2,Phase_Data!$C14,NA())</f>
        <v>#N/A</v>
      </c>
      <c r="S14" s="77" t="e">
        <f aca="false">IF(KMeans_Phase!$E32=3,KMeans_Phase!$A32,NA())</f>
        <v>#N/A</v>
      </c>
      <c r="T14" s="77" t="e">
        <f aca="false">IF(KMeans_Phase!$E32=3,Phase_Data!$C14,NA())</f>
        <v>#N/A</v>
      </c>
      <c r="V14" s="77" t="e">
        <f aca="false">IF(KMeans_Travel!$E32=1,KMeans_Travel!$B32,NA())</f>
        <v>#N/A</v>
      </c>
      <c r="W14" s="77" t="e">
        <f aca="false">IF(KMeans_Travel!$E32=1,KMeans_Travel!$C32,NA())</f>
        <v>#N/A</v>
      </c>
      <c r="X14" s="77" t="n">
        <f aca="false">IF(KMeans_Travel!$E32=2,KMeans_Travel!$B32,NA())</f>
        <v>-0.595224837335964</v>
      </c>
      <c r="Y14" s="77" t="n">
        <f aca="false">IF(KMeans_Travel!$E32=2,KMeans_Travel!$C32,NA())</f>
        <v>-0.518201077201994</v>
      </c>
      <c r="Z14" s="77" t="e">
        <f aca="false">IF(KMeans_Travel!$E32=3,KMeans_Travel!$B32,NA())</f>
        <v>#N/A</v>
      </c>
      <c r="AA14" s="77" t="e">
        <f aca="false">IF(KMeans_Travel!$E32=3,KMeans_Travel!$C32,NA())</f>
        <v>#N/A</v>
      </c>
    </row>
    <row r="15" customFormat="false" ht="15" hidden="false" customHeight="false" outlineLevel="0" collapsed="false">
      <c r="A15" s="77" t="e">
        <f aca="false">IF(KMeans_City!$E33=1,KMeans_City!$B33,NA())</f>
        <v>#N/A</v>
      </c>
      <c r="B15" s="77" t="e">
        <f aca="false">IF(KMeans_City!$E33=1,KMeans_City!$C33,NA())</f>
        <v>#N/A</v>
      </c>
      <c r="C15" s="77" t="e">
        <f aca="false">IF(KMeans_City!$E33=2,KMeans_City!$B33,NA())</f>
        <v>#N/A</v>
      </c>
      <c r="D15" s="77" t="e">
        <f aca="false">IF(KMeans_City!$E33=2,KMeans_City!$C33,NA())</f>
        <v>#N/A</v>
      </c>
      <c r="E15" s="77" t="n">
        <f aca="false">IF(KMeans_City!$E33=3,KMeans_City!$B33,NA())</f>
        <v>1.14106795512792</v>
      </c>
      <c r="F15" s="77" t="n">
        <f aca="false">IF(KMeans_City!$E33=3,KMeans_City!$C33,NA())</f>
        <v>1.4759954658056</v>
      </c>
      <c r="O15" s="77" t="n">
        <f aca="false">IF(KMeans_Phase!$E33=1,KMeans_Phase!$A33,NA())</f>
        <v>43897</v>
      </c>
      <c r="P15" s="77" t="n">
        <f aca="false">IF(KMeans_Phase!$E33=1,Phase_Data!$C15,NA())</f>
        <v>1</v>
      </c>
      <c r="Q15" s="77" t="e">
        <f aca="false">IF(KMeans_Phase!$E33=2,KMeans_Phase!$A33,NA())</f>
        <v>#N/A</v>
      </c>
      <c r="R15" s="77" t="e">
        <f aca="false">IF(KMeans_Phase!$E33=2,Phase_Data!$C15,NA())</f>
        <v>#N/A</v>
      </c>
      <c r="S15" s="77" t="e">
        <f aca="false">IF(KMeans_Phase!$E33=3,KMeans_Phase!$A33,NA())</f>
        <v>#N/A</v>
      </c>
      <c r="T15" s="77" t="e">
        <f aca="false">IF(KMeans_Phase!$E33=3,Phase_Data!$C15,NA())</f>
        <v>#N/A</v>
      </c>
      <c r="V15" s="77" t="e">
        <f aca="false">IF(KMeans_Travel!$E33=1,KMeans_Travel!$B33,NA())</f>
        <v>#N/A</v>
      </c>
      <c r="W15" s="77" t="e">
        <f aca="false">IF(KMeans_Travel!$E33=1,KMeans_Travel!$C33,NA())</f>
        <v>#N/A</v>
      </c>
      <c r="X15" s="77" t="n">
        <f aca="false">IF(KMeans_Travel!$E33=2,KMeans_Travel!$B33,NA())</f>
        <v>-0.807030711570608</v>
      </c>
      <c r="Y15" s="77" t="n">
        <f aca="false">IF(KMeans_Travel!$E33=2,KMeans_Travel!$C33,NA())</f>
        <v>-0.518201077201994</v>
      </c>
      <c r="Z15" s="77" t="e">
        <f aca="false">IF(KMeans_Travel!$E33=3,KMeans_Travel!$B33,NA())</f>
        <v>#N/A</v>
      </c>
      <c r="AA15" s="77" t="e">
        <f aca="false">IF(KMeans_Travel!$E33=3,KMeans_Travel!$C33,NA())</f>
        <v>#N/A</v>
      </c>
    </row>
    <row r="16" customFormat="false" ht="15" hidden="false" customHeight="false" outlineLevel="0" collapsed="false">
      <c r="A16" s="77" t="e">
        <f aca="false">IF(KMeans_City!$E34=1,KMeans_City!$B34,NA())</f>
        <v>#N/A</v>
      </c>
      <c r="B16" s="77" t="e">
        <f aca="false">IF(KMeans_City!$E34=1,KMeans_City!$C34,NA())</f>
        <v>#N/A</v>
      </c>
      <c r="C16" s="77" t="e">
        <f aca="false">IF(KMeans_City!$E34=2,KMeans_City!$B34,NA())</f>
        <v>#N/A</v>
      </c>
      <c r="D16" s="77" t="e">
        <f aca="false">IF(KMeans_City!$E34=2,KMeans_City!$C34,NA())</f>
        <v>#N/A</v>
      </c>
      <c r="E16" s="77" t="n">
        <f aca="false">IF(KMeans_City!$E34=3,KMeans_City!$B34,NA())</f>
        <v>1.1269857012341</v>
      </c>
      <c r="F16" s="77" t="n">
        <f aca="false">IF(KMeans_City!$E34=3,KMeans_City!$C34,NA())</f>
        <v>1.76847331707728</v>
      </c>
      <c r="O16" s="77" t="n">
        <f aca="false">IF(KMeans_Phase!$E34=1,KMeans_Phase!$A34,NA())</f>
        <v>43898</v>
      </c>
      <c r="P16" s="77" t="n">
        <f aca="false">IF(KMeans_Phase!$E34=1,Phase_Data!$C16,NA())</f>
        <v>0</v>
      </c>
      <c r="Q16" s="77" t="e">
        <f aca="false">IF(KMeans_Phase!$E34=2,KMeans_Phase!$A34,NA())</f>
        <v>#N/A</v>
      </c>
      <c r="R16" s="77" t="e">
        <f aca="false">IF(KMeans_Phase!$E34=2,Phase_Data!$C16,NA())</f>
        <v>#N/A</v>
      </c>
      <c r="S16" s="77" t="e">
        <f aca="false">IF(KMeans_Phase!$E34=3,KMeans_Phase!$A34,NA())</f>
        <v>#N/A</v>
      </c>
      <c r="T16" s="77" t="e">
        <f aca="false">IF(KMeans_Phase!$E34=3,Phase_Data!$C16,NA())</f>
        <v>#N/A</v>
      </c>
      <c r="V16" s="77" t="e">
        <f aca="false">IF(KMeans_Travel!$E34=1,KMeans_Travel!$B34,NA())</f>
        <v>#N/A</v>
      </c>
      <c r="W16" s="77" t="e">
        <f aca="false">IF(KMeans_Travel!$E34=1,KMeans_Travel!$C34,NA())</f>
        <v>#N/A</v>
      </c>
      <c r="X16" s="77" t="n">
        <f aca="false">IF(KMeans_Travel!$E34=2,KMeans_Travel!$B34,NA())</f>
        <v>-0.807030711570608</v>
      </c>
      <c r="Y16" s="77" t="n">
        <f aca="false">IF(KMeans_Travel!$E34=2,KMeans_Travel!$C34,NA())</f>
        <v>-0.518201077201994</v>
      </c>
      <c r="Z16" s="77" t="e">
        <f aca="false">IF(KMeans_Travel!$E34=3,KMeans_Travel!$B34,NA())</f>
        <v>#N/A</v>
      </c>
      <c r="AA16" s="77" t="e">
        <f aca="false">IF(KMeans_Travel!$E34=3,KMeans_Travel!$C34,NA())</f>
        <v>#N/A</v>
      </c>
    </row>
    <row r="17" customFormat="false" ht="15" hidden="false" customHeight="false" outlineLevel="0" collapsed="false">
      <c r="A17" s="77" t="e">
        <f aca="false">IF(KMeans_City!$E35=1,KMeans_City!$B35,NA())</f>
        <v>#N/A</v>
      </c>
      <c r="B17" s="77" t="e">
        <f aca="false">IF(KMeans_City!$E35=1,KMeans_City!$C35,NA())</f>
        <v>#N/A</v>
      </c>
      <c r="C17" s="77" t="e">
        <f aca="false">IF(KMeans_City!$E35=2,KMeans_City!$B35,NA())</f>
        <v>#N/A</v>
      </c>
      <c r="D17" s="77" t="e">
        <f aca="false">IF(KMeans_City!$E35=2,KMeans_City!$C35,NA())</f>
        <v>#N/A</v>
      </c>
      <c r="E17" s="77" t="n">
        <f aca="false">IF(KMeans_City!$E35=3,KMeans_City!$B35,NA())</f>
        <v>1.04252863605511</v>
      </c>
      <c r="F17" s="77" t="n">
        <f aca="false">IF(KMeans_City!$E35=3,KMeans_City!$C35,NA())</f>
        <v>0.993675724638266</v>
      </c>
      <c r="O17" s="77" t="n">
        <f aca="false">IF(KMeans_Phase!$E35=1,KMeans_Phase!$A35,NA())</f>
        <v>43899</v>
      </c>
      <c r="P17" s="77" t="n">
        <f aca="false">IF(KMeans_Phase!$E35=1,Phase_Data!$C17,NA())</f>
        <v>9</v>
      </c>
      <c r="Q17" s="77" t="e">
        <f aca="false">IF(KMeans_Phase!$E35=2,KMeans_Phase!$A35,NA())</f>
        <v>#N/A</v>
      </c>
      <c r="R17" s="77" t="e">
        <f aca="false">IF(KMeans_Phase!$E35=2,Phase_Data!$C17,NA())</f>
        <v>#N/A</v>
      </c>
      <c r="S17" s="77" t="e">
        <f aca="false">IF(KMeans_Phase!$E35=3,KMeans_Phase!$A35,NA())</f>
        <v>#N/A</v>
      </c>
      <c r="T17" s="77" t="e">
        <f aca="false">IF(KMeans_Phase!$E35=3,Phase_Data!$C17,NA())</f>
        <v>#N/A</v>
      </c>
      <c r="V17" s="77" t="e">
        <f aca="false">IF(KMeans_Travel!$E35=1,KMeans_Travel!$B35,NA())</f>
        <v>#N/A</v>
      </c>
      <c r="W17" s="77" t="e">
        <f aca="false">IF(KMeans_Travel!$E35=1,KMeans_Travel!$C35,NA())</f>
        <v>#N/A</v>
      </c>
      <c r="X17" s="77" t="n">
        <f aca="false">IF(KMeans_Travel!$E35=2,KMeans_Travel!$B35,NA())</f>
        <v>-0.930929205430336</v>
      </c>
      <c r="Y17" s="77" t="n">
        <f aca="false">IF(KMeans_Travel!$E35=2,KMeans_Travel!$C35,NA())</f>
        <v>-0.518201077201994</v>
      </c>
      <c r="Z17" s="77" t="e">
        <f aca="false">IF(KMeans_Travel!$E35=3,KMeans_Travel!$B35,NA())</f>
        <v>#N/A</v>
      </c>
      <c r="AA17" s="77" t="e">
        <f aca="false">IF(KMeans_Travel!$E35=3,KMeans_Travel!$C35,NA())</f>
        <v>#N/A</v>
      </c>
    </row>
    <row r="18" customFormat="false" ht="15" hidden="false" customHeight="false" outlineLevel="0" collapsed="false">
      <c r="A18" s="77" t="e">
        <f aca="false">IF(KMeans_City!$E36=1,KMeans_City!$B36,NA())</f>
        <v>#N/A</v>
      </c>
      <c r="B18" s="77" t="e">
        <f aca="false">IF(KMeans_City!$E36=1,KMeans_City!$C36,NA())</f>
        <v>#N/A</v>
      </c>
      <c r="C18" s="77" t="e">
        <f aca="false">IF(KMeans_City!$E36=2,KMeans_City!$B36,NA())</f>
        <v>#N/A</v>
      </c>
      <c r="D18" s="77" t="e">
        <f aca="false">IF(KMeans_City!$E36=2,KMeans_City!$C36,NA())</f>
        <v>#N/A</v>
      </c>
      <c r="E18" s="77" t="n">
        <f aca="false">IF(KMeans_City!$E36=3,KMeans_City!$B36,NA())</f>
        <v>1.03733687213202</v>
      </c>
      <c r="F18" s="77" t="n">
        <f aca="false">IF(KMeans_City!$E36=3,KMeans_City!$C36,NA())</f>
        <v>0.378684277529216</v>
      </c>
      <c r="O18" s="77" t="n">
        <f aca="false">IF(KMeans_Phase!$E36=1,KMeans_Phase!$A36,NA())</f>
        <v>43900</v>
      </c>
      <c r="P18" s="77" t="n">
        <f aca="false">IF(KMeans_Phase!$E36=1,Phase_Data!$C18,NA())</f>
        <v>3</v>
      </c>
      <c r="Q18" s="77" t="e">
        <f aca="false">IF(KMeans_Phase!$E36=2,KMeans_Phase!$A36,NA())</f>
        <v>#N/A</v>
      </c>
      <c r="R18" s="77" t="e">
        <f aca="false">IF(KMeans_Phase!$E36=2,Phase_Data!$C18,NA())</f>
        <v>#N/A</v>
      </c>
      <c r="S18" s="77" t="e">
        <f aca="false">IF(KMeans_Phase!$E36=3,KMeans_Phase!$A36,NA())</f>
        <v>#N/A</v>
      </c>
      <c r="T18" s="77" t="e">
        <f aca="false">IF(KMeans_Phase!$E36=3,Phase_Data!$C18,NA())</f>
        <v>#N/A</v>
      </c>
      <c r="V18" s="77" t="e">
        <f aca="false">IF(KMeans_Travel!$E36=1,KMeans_Travel!$B36,NA())</f>
        <v>#N/A</v>
      </c>
      <c r="W18" s="77" t="e">
        <f aca="false">IF(KMeans_Travel!$E36=1,KMeans_Travel!$C36,NA())</f>
        <v>#N/A</v>
      </c>
      <c r="X18" s="77" t="n">
        <f aca="false">IF(KMeans_Travel!$E36=2,KMeans_Travel!$B36,NA())</f>
        <v>-0.930929205430336</v>
      </c>
      <c r="Y18" s="77" t="n">
        <f aca="false">IF(KMeans_Travel!$E36=2,KMeans_Travel!$C36,NA())</f>
        <v>-0.518201077201994</v>
      </c>
      <c r="Z18" s="77" t="e">
        <f aca="false">IF(KMeans_Travel!$E36=3,KMeans_Travel!$B36,NA())</f>
        <v>#N/A</v>
      </c>
      <c r="AA18" s="77" t="e">
        <f aca="false">IF(KMeans_Travel!$E36=3,KMeans_Travel!$C36,NA())</f>
        <v>#N/A</v>
      </c>
    </row>
    <row r="19" customFormat="false" ht="15" hidden="false" customHeight="false" outlineLevel="0" collapsed="false">
      <c r="A19" s="77" t="e">
        <f aca="false">IF(KMeans_City!$E37=1,KMeans_City!$B37,NA())</f>
        <v>#N/A</v>
      </c>
      <c r="B19" s="77" t="e">
        <f aca="false">IF(KMeans_City!$E37=1,KMeans_City!$C37,NA())</f>
        <v>#N/A</v>
      </c>
      <c r="C19" s="77" t="e">
        <f aca="false">IF(KMeans_City!$E37=2,KMeans_City!$B37,NA())</f>
        <v>#N/A</v>
      </c>
      <c r="D19" s="77" t="e">
        <f aca="false">IF(KMeans_City!$E37=2,KMeans_City!$C37,NA())</f>
        <v>#N/A</v>
      </c>
      <c r="E19" s="77" t="n">
        <f aca="false">IF(KMeans_City!$E37=3,KMeans_City!$B37,NA())</f>
        <v>1.00781777519734</v>
      </c>
      <c r="F19" s="77" t="n">
        <f aca="false">IF(KMeans_City!$E37=3,KMeans_City!$C37,NA())</f>
        <v>-0.146983133929529</v>
      </c>
      <c r="O19" s="77" t="n">
        <f aca="false">IF(KMeans_Phase!$E37=1,KMeans_Phase!$A37,NA())</f>
        <v>43901</v>
      </c>
      <c r="P19" s="77" t="n">
        <f aca="false">IF(KMeans_Phase!$E37=1,Phase_Data!$C19,NA())</f>
        <v>1</v>
      </c>
      <c r="Q19" s="77" t="e">
        <f aca="false">IF(KMeans_Phase!$E37=2,KMeans_Phase!$A37,NA())</f>
        <v>#N/A</v>
      </c>
      <c r="R19" s="77" t="e">
        <f aca="false">IF(KMeans_Phase!$E37=2,Phase_Data!$C19,NA())</f>
        <v>#N/A</v>
      </c>
      <c r="S19" s="77" t="e">
        <f aca="false">IF(KMeans_Phase!$E37=3,KMeans_Phase!$A37,NA())</f>
        <v>#N/A</v>
      </c>
      <c r="T19" s="77" t="e">
        <f aca="false">IF(KMeans_Phase!$E37=3,Phase_Data!$C19,NA())</f>
        <v>#N/A</v>
      </c>
      <c r="V19" s="77" t="e">
        <f aca="false">IF(KMeans_Travel!$E37=1,KMeans_Travel!$B37,NA())</f>
        <v>#N/A</v>
      </c>
      <c r="W19" s="77" t="e">
        <f aca="false">IF(KMeans_Travel!$E37=1,KMeans_Travel!$C37,NA())</f>
        <v>#N/A</v>
      </c>
      <c r="X19" s="77" t="n">
        <f aca="false">IF(KMeans_Travel!$E37=2,KMeans_Travel!$B37,NA())</f>
        <v>-0.930929205430336</v>
      </c>
      <c r="Y19" s="77" t="n">
        <f aca="false">IF(KMeans_Travel!$E37=2,KMeans_Travel!$C37,NA())</f>
        <v>-0.518201077201994</v>
      </c>
      <c r="Z19" s="77" t="e">
        <f aca="false">IF(KMeans_Travel!$E37=3,KMeans_Travel!$B37,NA())</f>
        <v>#N/A</v>
      </c>
      <c r="AA19" s="77" t="e">
        <f aca="false">IF(KMeans_Travel!$E37=3,KMeans_Travel!$C37,NA())</f>
        <v>#N/A</v>
      </c>
    </row>
    <row r="20" customFormat="false" ht="15" hidden="false" customHeight="false" outlineLevel="0" collapsed="false">
      <c r="A20" s="77" t="e">
        <f aca="false">IF(KMeans_City!$E38=1,KMeans_City!$B38,NA())</f>
        <v>#N/A</v>
      </c>
      <c r="B20" s="77" t="e">
        <f aca="false">IF(KMeans_City!$E38=1,KMeans_City!$C38,NA())</f>
        <v>#N/A</v>
      </c>
      <c r="C20" s="77" t="e">
        <f aca="false">IF(KMeans_City!$E38=2,KMeans_City!$B38,NA())</f>
        <v>#N/A</v>
      </c>
      <c r="D20" s="77" t="e">
        <f aca="false">IF(KMeans_City!$E38=2,KMeans_City!$C38,NA())</f>
        <v>#N/A</v>
      </c>
      <c r="E20" s="77" t="n">
        <f aca="false">IF(KMeans_City!$E38=3,KMeans_City!$B38,NA())</f>
        <v>0.970625526957299</v>
      </c>
      <c r="F20" s="77" t="n">
        <f aca="false">IF(KMeans_City!$E38=3,KMeans_City!$C38,NA())</f>
        <v>0.993675724638266</v>
      </c>
      <c r="O20" s="77" t="n">
        <f aca="false">IF(KMeans_Phase!$E38=1,KMeans_Phase!$A38,NA())</f>
        <v>43902</v>
      </c>
      <c r="P20" s="77" t="n">
        <f aca="false">IF(KMeans_Phase!$E38=1,Phase_Data!$C20,NA())</f>
        <v>1</v>
      </c>
      <c r="Q20" s="77" t="e">
        <f aca="false">IF(KMeans_Phase!$E38=2,KMeans_Phase!$A38,NA())</f>
        <v>#N/A</v>
      </c>
      <c r="R20" s="77" t="e">
        <f aca="false">IF(KMeans_Phase!$E38=2,Phase_Data!$C20,NA())</f>
        <v>#N/A</v>
      </c>
      <c r="S20" s="77" t="e">
        <f aca="false">IF(KMeans_Phase!$E38=3,KMeans_Phase!$A38,NA())</f>
        <v>#N/A</v>
      </c>
      <c r="T20" s="77" t="e">
        <f aca="false">IF(KMeans_Phase!$E38=3,Phase_Data!$C20,NA())</f>
        <v>#N/A</v>
      </c>
    </row>
    <row r="21" customFormat="false" ht="15" hidden="false" customHeight="false" outlineLevel="0" collapsed="false">
      <c r="A21" s="77" t="e">
        <f aca="false">IF(KMeans_City!$E39=1,KMeans_City!$B39,NA())</f>
        <v>#N/A</v>
      </c>
      <c r="B21" s="77" t="e">
        <f aca="false">IF(KMeans_City!$E39=1,KMeans_City!$C39,NA())</f>
        <v>#N/A</v>
      </c>
      <c r="C21" s="77" t="e">
        <f aca="false">IF(KMeans_City!$E39=2,KMeans_City!$B39,NA())</f>
        <v>#N/A</v>
      </c>
      <c r="D21" s="77" t="e">
        <f aca="false">IF(KMeans_City!$E39=2,KMeans_City!$C39,NA())</f>
        <v>#N/A</v>
      </c>
      <c r="E21" s="77" t="n">
        <f aca="false">IF(KMeans_City!$E39=3,KMeans_City!$B39,NA())</f>
        <v>0.88016218188859</v>
      </c>
      <c r="F21" s="77" t="n">
        <f aca="false">IF(KMeans_City!$E39=3,KMeans_City!$C39,NA())</f>
        <v>0.378684277529216</v>
      </c>
      <c r="O21" s="77" t="n">
        <f aca="false">IF(KMeans_Phase!$E39=1,KMeans_Phase!$A39,NA())</f>
        <v>43903</v>
      </c>
      <c r="P21" s="77" t="n">
        <f aca="false">IF(KMeans_Phase!$E39=1,Phase_Data!$C21,NA())</f>
        <v>9</v>
      </c>
      <c r="Q21" s="77" t="e">
        <f aca="false">IF(KMeans_Phase!$E39=2,KMeans_Phase!$A39,NA())</f>
        <v>#N/A</v>
      </c>
      <c r="R21" s="77" t="e">
        <f aca="false">IF(KMeans_Phase!$E39=2,Phase_Data!$C21,NA())</f>
        <v>#N/A</v>
      </c>
      <c r="S21" s="77" t="e">
        <f aca="false">IF(KMeans_Phase!$E39=3,KMeans_Phase!$A39,NA())</f>
        <v>#N/A</v>
      </c>
      <c r="T21" s="77" t="e">
        <f aca="false">IF(KMeans_Phase!$E39=3,Phase_Data!$C21,NA())</f>
        <v>#N/A</v>
      </c>
    </row>
    <row r="22" customFormat="false" ht="15" hidden="false" customHeight="false" outlineLevel="0" collapsed="false">
      <c r="A22" s="77" t="e">
        <f aca="false">IF(KMeans_City!$E40=1,KMeans_City!$B40,NA())</f>
        <v>#N/A</v>
      </c>
      <c r="B22" s="77" t="e">
        <f aca="false">IF(KMeans_City!$E40=1,KMeans_City!$C40,NA())</f>
        <v>#N/A</v>
      </c>
      <c r="C22" s="77" t="e">
        <f aca="false">IF(KMeans_City!$E40=2,KMeans_City!$B40,NA())</f>
        <v>#N/A</v>
      </c>
      <c r="D22" s="77" t="e">
        <f aca="false">IF(KMeans_City!$E40=2,KMeans_City!$C40,NA())</f>
        <v>#N/A</v>
      </c>
      <c r="E22" s="77" t="n">
        <f aca="false">IF(KMeans_City!$E40=3,KMeans_City!$B40,NA())</f>
        <v>0.853001062018471</v>
      </c>
      <c r="F22" s="77" t="n">
        <f aca="false">IF(KMeans_City!$E40=3,KMeans_City!$C40,NA())</f>
        <v>1.38107452085777</v>
      </c>
      <c r="O22" s="77" t="n">
        <f aca="false">IF(KMeans_Phase!$E40=1,KMeans_Phase!$A40,NA())</f>
        <v>43904</v>
      </c>
      <c r="P22" s="77" t="n">
        <f aca="false">IF(KMeans_Phase!$E40=1,Phase_Data!$C22,NA())</f>
        <v>0</v>
      </c>
      <c r="Q22" s="77" t="e">
        <f aca="false">IF(KMeans_Phase!$E40=2,KMeans_Phase!$A40,NA())</f>
        <v>#N/A</v>
      </c>
      <c r="R22" s="77" t="e">
        <f aca="false">IF(KMeans_Phase!$E40=2,Phase_Data!$C22,NA())</f>
        <v>#N/A</v>
      </c>
      <c r="S22" s="77" t="e">
        <f aca="false">IF(KMeans_Phase!$E40=3,KMeans_Phase!$A40,NA())</f>
        <v>#N/A</v>
      </c>
      <c r="T22" s="77" t="e">
        <f aca="false">IF(KMeans_Phase!$E40=3,Phase_Data!$C22,NA())</f>
        <v>#N/A</v>
      </c>
    </row>
    <row r="23" customFormat="false" ht="15" hidden="false" customHeight="false" outlineLevel="0" collapsed="false">
      <c r="A23" s="77" t="e">
        <f aca="false">IF(KMeans_City!$E41=1,KMeans_City!$B41,NA())</f>
        <v>#N/A</v>
      </c>
      <c r="B23" s="77" t="e">
        <f aca="false">IF(KMeans_City!$E41=1,KMeans_City!$C41,NA())</f>
        <v>#N/A</v>
      </c>
      <c r="C23" s="77" t="e">
        <f aca="false">IF(KMeans_City!$E41=2,KMeans_City!$B41,NA())</f>
        <v>#N/A</v>
      </c>
      <c r="D23" s="77" t="e">
        <f aca="false">IF(KMeans_City!$E41=2,KMeans_City!$C41,NA())</f>
        <v>#N/A</v>
      </c>
      <c r="E23" s="77" t="n">
        <f aca="false">IF(KMeans_City!$E41=3,KMeans_City!$B41,NA())</f>
        <v>0.851138913278639</v>
      </c>
      <c r="F23" s="77" t="n">
        <f aca="false">IF(KMeans_City!$E41=3,KMeans_City!$C41,NA())</f>
        <v>1.38107452085777</v>
      </c>
      <c r="O23" s="77" t="n">
        <f aca="false">IF(KMeans_Phase!$E41=1,KMeans_Phase!$A41,NA())</f>
        <v>43905</v>
      </c>
      <c r="P23" s="77" t="n">
        <f aca="false">IF(KMeans_Phase!$E41=1,Phase_Data!$C23,NA())</f>
        <v>34</v>
      </c>
      <c r="Q23" s="77" t="e">
        <f aca="false">IF(KMeans_Phase!$E41=2,KMeans_Phase!$A41,NA())</f>
        <v>#N/A</v>
      </c>
      <c r="R23" s="77" t="e">
        <f aca="false">IF(KMeans_Phase!$E41=2,Phase_Data!$C23,NA())</f>
        <v>#N/A</v>
      </c>
      <c r="S23" s="77" t="e">
        <f aca="false">IF(KMeans_Phase!$E41=3,KMeans_Phase!$A41,NA())</f>
        <v>#N/A</v>
      </c>
      <c r="T23" s="77" t="e">
        <f aca="false">IF(KMeans_Phase!$E41=3,Phase_Data!$C23,NA())</f>
        <v>#N/A</v>
      </c>
    </row>
    <row r="24" customFormat="false" ht="15" hidden="false" customHeight="false" outlineLevel="0" collapsed="false">
      <c r="A24" s="77" t="e">
        <f aca="false">IF(KMeans_City!$E42=1,KMeans_City!$B42,NA())</f>
        <v>#N/A</v>
      </c>
      <c r="B24" s="77" t="e">
        <f aca="false">IF(KMeans_City!$E42=1,KMeans_City!$C42,NA())</f>
        <v>#N/A</v>
      </c>
      <c r="C24" s="77" t="e">
        <f aca="false">IF(KMeans_City!$E42=2,KMeans_City!$B42,NA())</f>
        <v>#N/A</v>
      </c>
      <c r="D24" s="77" t="e">
        <f aca="false">IF(KMeans_City!$E42=2,KMeans_City!$C42,NA())</f>
        <v>#N/A</v>
      </c>
      <c r="E24" s="77" t="n">
        <f aca="false">IF(KMeans_City!$E42=3,KMeans_City!$B42,NA())</f>
        <v>0.841726902407959</v>
      </c>
      <c r="F24" s="77" t="n">
        <f aca="false">IF(KMeans_City!$E42=3,KMeans_City!$C42,NA())</f>
        <v>0.803084449535714</v>
      </c>
      <c r="O24" s="77" t="n">
        <f aca="false">IF(KMeans_Phase!$E42=1,KMeans_Phase!$A42,NA())</f>
        <v>43906</v>
      </c>
      <c r="P24" s="77" t="n">
        <f aca="false">IF(KMeans_Phase!$E42=1,Phase_Data!$C24,NA())</f>
        <v>151</v>
      </c>
      <c r="Q24" s="77" t="e">
        <f aca="false">IF(KMeans_Phase!$E42=2,KMeans_Phase!$A42,NA())</f>
        <v>#N/A</v>
      </c>
      <c r="R24" s="77" t="e">
        <f aca="false">IF(KMeans_Phase!$E42=2,Phase_Data!$C24,NA())</f>
        <v>#N/A</v>
      </c>
      <c r="S24" s="77" t="e">
        <f aca="false">IF(KMeans_Phase!$E42=3,KMeans_Phase!$A42,NA())</f>
        <v>#N/A</v>
      </c>
      <c r="T24" s="77" t="e">
        <f aca="false">IF(KMeans_Phase!$E42=3,Phase_Data!$C24,NA())</f>
        <v>#N/A</v>
      </c>
    </row>
    <row r="25" customFormat="false" ht="15" hidden="false" customHeight="false" outlineLevel="0" collapsed="false">
      <c r="A25" s="77" t="e">
        <f aca="false">IF(KMeans_City!$E43=1,KMeans_City!$B43,NA())</f>
        <v>#N/A</v>
      </c>
      <c r="B25" s="77" t="e">
        <f aca="false">IF(KMeans_City!$E43=1,KMeans_City!$C43,NA())</f>
        <v>#N/A</v>
      </c>
      <c r="C25" s="77" t="e">
        <f aca="false">IF(KMeans_City!$E43=2,KMeans_City!$B43,NA())</f>
        <v>#N/A</v>
      </c>
      <c r="D25" s="77" t="e">
        <f aca="false">IF(KMeans_City!$E43=2,KMeans_City!$C43,NA())</f>
        <v>#N/A</v>
      </c>
      <c r="E25" s="77" t="n">
        <f aca="false">IF(KMeans_City!$E43=3,KMeans_City!$B43,NA())</f>
        <v>0.789836374639921</v>
      </c>
      <c r="F25" s="77" t="n">
        <f aca="false">IF(KMeans_City!$E43=3,KMeans_City!$C43,NA())</f>
        <v>0.803084449535714</v>
      </c>
      <c r="O25" s="77" t="n">
        <f aca="false">IF(KMeans_Phase!$E43=1,KMeans_Phase!$A43,NA())</f>
        <v>43907</v>
      </c>
      <c r="P25" s="77" t="n">
        <f aca="false">IF(KMeans_Phase!$E43=1,Phase_Data!$C25,NA())</f>
        <v>52</v>
      </c>
      <c r="Q25" s="77" t="e">
        <f aca="false">IF(KMeans_Phase!$E43=2,KMeans_Phase!$A43,NA())</f>
        <v>#N/A</v>
      </c>
      <c r="R25" s="77" t="e">
        <f aca="false">IF(KMeans_Phase!$E43=2,Phase_Data!$C25,NA())</f>
        <v>#N/A</v>
      </c>
      <c r="S25" s="77" t="e">
        <f aca="false">IF(KMeans_Phase!$E43=3,KMeans_Phase!$A43,NA())</f>
        <v>#N/A</v>
      </c>
      <c r="T25" s="77" t="e">
        <f aca="false">IF(KMeans_Phase!$E43=3,Phase_Data!$C25,NA())</f>
        <v>#N/A</v>
      </c>
    </row>
    <row r="26" customFormat="false" ht="15" hidden="false" customHeight="false" outlineLevel="0" collapsed="false">
      <c r="A26" s="77" t="e">
        <f aca="false">IF(KMeans_City!$E44=1,KMeans_City!$B44,NA())</f>
        <v>#N/A</v>
      </c>
      <c r="B26" s="77" t="e">
        <f aca="false">IF(KMeans_City!$E44=1,KMeans_City!$C44,NA())</f>
        <v>#N/A</v>
      </c>
      <c r="C26" s="77" t="e">
        <f aca="false">IF(KMeans_City!$E44=2,KMeans_City!$B44,NA())</f>
        <v>#N/A</v>
      </c>
      <c r="D26" s="77" t="e">
        <f aca="false">IF(KMeans_City!$E44=2,KMeans_City!$C44,NA())</f>
        <v>#N/A</v>
      </c>
      <c r="E26" s="77" t="n">
        <f aca="false">IF(KMeans_City!$E44=3,KMeans_City!$B44,NA())</f>
        <v>0.7856220194878</v>
      </c>
      <c r="F26" s="77" t="n">
        <f aca="false">IF(KMeans_City!$E44=3,KMeans_City!$C44,NA())</f>
        <v>0.803084449535714</v>
      </c>
      <c r="O26" s="77" t="n">
        <f aca="false">IF(KMeans_Phase!$E44=1,KMeans_Phase!$A44,NA())</f>
        <v>43908</v>
      </c>
      <c r="P26" s="77" t="n">
        <f aca="false">IF(KMeans_Phase!$E44=1,Phase_Data!$C26,NA())</f>
        <v>57</v>
      </c>
      <c r="Q26" s="77" t="e">
        <f aca="false">IF(KMeans_Phase!$E44=2,KMeans_Phase!$A44,NA())</f>
        <v>#N/A</v>
      </c>
      <c r="R26" s="77" t="e">
        <f aca="false">IF(KMeans_Phase!$E44=2,Phase_Data!$C26,NA())</f>
        <v>#N/A</v>
      </c>
      <c r="S26" s="77" t="e">
        <f aca="false">IF(KMeans_Phase!$E44=3,KMeans_Phase!$A44,NA())</f>
        <v>#N/A</v>
      </c>
      <c r="T26" s="77" t="e">
        <f aca="false">IF(KMeans_Phase!$E44=3,Phase_Data!$C26,NA())</f>
        <v>#N/A</v>
      </c>
    </row>
    <row r="27" customFormat="false" ht="15" hidden="false" customHeight="false" outlineLevel="0" collapsed="false">
      <c r="A27" s="77" t="e">
        <f aca="false">IF(KMeans_City!$E45=1,KMeans_City!$B45,NA())</f>
        <v>#N/A</v>
      </c>
      <c r="B27" s="77" t="e">
        <f aca="false">IF(KMeans_City!$E45=1,KMeans_City!$C45,NA())</f>
        <v>#N/A</v>
      </c>
      <c r="C27" s="77" t="e">
        <f aca="false">IF(KMeans_City!$E45=2,KMeans_City!$B45,NA())</f>
        <v>#N/A</v>
      </c>
      <c r="D27" s="77" t="e">
        <f aca="false">IF(KMeans_City!$E45=2,KMeans_City!$C45,NA())</f>
        <v>#N/A</v>
      </c>
      <c r="E27" s="77" t="n">
        <f aca="false">IF(KMeans_City!$E45=3,KMeans_City!$B45,NA())</f>
        <v>0.783501975751688</v>
      </c>
      <c r="F27" s="77" t="n">
        <f aca="false">IF(KMeans_City!$E45=3,KMeans_City!$C45,NA())</f>
        <v>0.160512589624996</v>
      </c>
      <c r="O27" s="77" t="n">
        <f aca="false">IF(KMeans_Phase!$E45=1,KMeans_Phase!$A45,NA())</f>
        <v>43909</v>
      </c>
      <c r="P27" s="77" t="n">
        <f aca="false">IF(KMeans_Phase!$E45=1,Phase_Data!$C27,NA())</f>
        <v>154</v>
      </c>
      <c r="Q27" s="77" t="e">
        <f aca="false">IF(KMeans_Phase!$E45=2,KMeans_Phase!$A45,NA())</f>
        <v>#N/A</v>
      </c>
      <c r="R27" s="77" t="e">
        <f aca="false">IF(KMeans_Phase!$E45=2,Phase_Data!$C27,NA())</f>
        <v>#N/A</v>
      </c>
      <c r="S27" s="77" t="e">
        <f aca="false">IF(KMeans_Phase!$E45=3,KMeans_Phase!$A45,NA())</f>
        <v>#N/A</v>
      </c>
      <c r="T27" s="77" t="e">
        <f aca="false">IF(KMeans_Phase!$E45=3,Phase_Data!$C27,NA())</f>
        <v>#N/A</v>
      </c>
    </row>
    <row r="28" customFormat="false" ht="15" hidden="false" customHeight="false" outlineLevel="0" collapsed="false">
      <c r="A28" s="77" t="e">
        <f aca="false">IF(KMeans_City!$E46=1,KMeans_City!$B46,NA())</f>
        <v>#N/A</v>
      </c>
      <c r="B28" s="77" t="e">
        <f aca="false">IF(KMeans_City!$E46=1,KMeans_City!$C46,NA())</f>
        <v>#N/A</v>
      </c>
      <c r="C28" s="77" t="e">
        <f aca="false">IF(KMeans_City!$E46=2,KMeans_City!$B46,NA())</f>
        <v>#N/A</v>
      </c>
      <c r="D28" s="77" t="e">
        <f aca="false">IF(KMeans_City!$E46=2,KMeans_City!$C46,NA())</f>
        <v>#N/A</v>
      </c>
      <c r="E28" s="77" t="n">
        <f aca="false">IF(KMeans_City!$E46=3,KMeans_City!$B46,NA())</f>
        <v>0.783501975751688</v>
      </c>
      <c r="F28" s="77" t="n">
        <f aca="false">IF(KMeans_City!$E46=3,KMeans_City!$C46,NA())</f>
        <v>0.547911385844501</v>
      </c>
      <c r="O28" s="77" t="n">
        <f aca="false">IF(KMeans_Phase!$E46=1,KMeans_Phase!$A46,NA())</f>
        <v>43910</v>
      </c>
      <c r="P28" s="77" t="n">
        <f aca="false">IF(KMeans_Phase!$E46=1,Phase_Data!$C28,NA())</f>
        <v>50</v>
      </c>
      <c r="Q28" s="77" t="e">
        <f aca="false">IF(KMeans_Phase!$E46=2,KMeans_Phase!$A46,NA())</f>
        <v>#N/A</v>
      </c>
      <c r="R28" s="77" t="e">
        <f aca="false">IF(KMeans_Phase!$E46=2,Phase_Data!$C28,NA())</f>
        <v>#N/A</v>
      </c>
      <c r="S28" s="77" t="e">
        <f aca="false">IF(KMeans_Phase!$E46=3,KMeans_Phase!$A46,NA())</f>
        <v>#N/A</v>
      </c>
      <c r="T28" s="77" t="e">
        <f aca="false">IF(KMeans_Phase!$E46=3,Phase_Data!$C28,NA())</f>
        <v>#N/A</v>
      </c>
    </row>
    <row r="29" customFormat="false" ht="15" hidden="false" customHeight="false" outlineLevel="0" collapsed="false">
      <c r="A29" s="77" t="e">
        <f aca="false">IF(KMeans_City!$E47=1,KMeans_City!$B47,NA())</f>
        <v>#N/A</v>
      </c>
      <c r="B29" s="77" t="e">
        <f aca="false">IF(KMeans_City!$E47=1,KMeans_City!$C47,NA())</f>
        <v>#N/A</v>
      </c>
      <c r="C29" s="77" t="e">
        <f aca="false">IF(KMeans_City!$E47=2,KMeans_City!$B47,NA())</f>
        <v>#N/A</v>
      </c>
      <c r="D29" s="77" t="e">
        <f aca="false">IF(KMeans_City!$E47=2,KMeans_City!$C47,NA())</f>
        <v>#N/A</v>
      </c>
      <c r="E29" s="77" t="n">
        <f aca="false">IF(KMeans_City!$E47=3,KMeans_City!$B47,NA())</f>
        <v>0.761812586723473</v>
      </c>
      <c r="F29" s="77" t="n">
        <f aca="false">IF(KMeans_City!$E47=3,KMeans_City!$C47,NA())</f>
        <v>1.38107452085777</v>
      </c>
      <c r="O29" s="77" t="n">
        <f aca="false">IF(KMeans_Phase!$E47=1,KMeans_Phase!$A47,NA())</f>
        <v>43911</v>
      </c>
      <c r="P29" s="77" t="n">
        <f aca="false">IF(KMeans_Phase!$E47=1,Phase_Data!$C29,NA())</f>
        <v>134</v>
      </c>
      <c r="Q29" s="77" t="e">
        <f aca="false">IF(KMeans_Phase!$E47=2,KMeans_Phase!$A47,NA())</f>
        <v>#N/A</v>
      </c>
      <c r="R29" s="77" t="e">
        <f aca="false">IF(KMeans_Phase!$E47=2,Phase_Data!$C29,NA())</f>
        <v>#N/A</v>
      </c>
      <c r="S29" s="77" t="e">
        <f aca="false">IF(KMeans_Phase!$E47=3,KMeans_Phase!$A47,NA())</f>
        <v>#N/A</v>
      </c>
      <c r="T29" s="77" t="e">
        <f aca="false">IF(KMeans_Phase!$E47=3,Phase_Data!$C29,NA())</f>
        <v>#N/A</v>
      </c>
    </row>
    <row r="30" customFormat="false" ht="15" hidden="false" customHeight="false" outlineLevel="0" collapsed="false">
      <c r="A30" s="77" t="e">
        <f aca="false">IF(KMeans_City!$E48=1,KMeans_City!$B48,NA())</f>
        <v>#N/A</v>
      </c>
      <c r="B30" s="77" t="e">
        <f aca="false">IF(KMeans_City!$E48=1,KMeans_City!$C48,NA())</f>
        <v>#N/A</v>
      </c>
      <c r="C30" s="77" t="e">
        <f aca="false">IF(KMeans_City!$E48=2,KMeans_City!$B48,NA())</f>
        <v>#N/A</v>
      </c>
      <c r="D30" s="77" t="e">
        <f aca="false">IF(KMeans_City!$E48=2,KMeans_City!$C48,NA())</f>
        <v>#N/A</v>
      </c>
      <c r="E30" s="77" t="n">
        <f aca="false">IF(KMeans_City!$E48=3,KMeans_City!$B48,NA())</f>
        <v>0.708204570744665</v>
      </c>
      <c r="F30" s="77" t="n">
        <f aca="false">IF(KMeans_City!$E48=3,KMeans_City!$C48,NA())</f>
        <v>0.803084449535714</v>
      </c>
      <c r="O30" s="77" t="n">
        <f aca="false">IF(KMeans_Phase!$E48=1,KMeans_Phase!$A48,NA())</f>
        <v>43912</v>
      </c>
      <c r="P30" s="77" t="n">
        <f aca="false">IF(KMeans_Phase!$E48=1,Phase_Data!$C30,NA())</f>
        <v>110</v>
      </c>
      <c r="Q30" s="77" t="e">
        <f aca="false">IF(KMeans_Phase!$E48=2,KMeans_Phase!$A48,NA())</f>
        <v>#N/A</v>
      </c>
      <c r="R30" s="77" t="e">
        <f aca="false">IF(KMeans_Phase!$E48=2,Phase_Data!$C30,NA())</f>
        <v>#N/A</v>
      </c>
      <c r="S30" s="77" t="e">
        <f aca="false">IF(KMeans_Phase!$E48=3,KMeans_Phase!$A48,NA())</f>
        <v>#N/A</v>
      </c>
      <c r="T30" s="77" t="e">
        <f aca="false">IF(KMeans_Phase!$E48=3,Phase_Data!$C30,NA())</f>
        <v>#N/A</v>
      </c>
    </row>
    <row r="31" customFormat="false" ht="15" hidden="false" customHeight="false" outlineLevel="0" collapsed="false">
      <c r="A31" s="77" t="e">
        <f aca="false">IF(KMeans_City!$E49=1,KMeans_City!$B49,NA())</f>
        <v>#N/A</v>
      </c>
      <c r="B31" s="77" t="e">
        <f aca="false">IF(KMeans_City!$E49=1,KMeans_City!$C49,NA())</f>
        <v>#N/A</v>
      </c>
      <c r="C31" s="77" t="n">
        <f aca="false">IF(KMeans_City!$E49=2,KMeans_City!$B49,NA())</f>
        <v>0.645673058648075</v>
      </c>
      <c r="D31" s="77" t="n">
        <f aca="false">IF(KMeans_City!$E49=2,KMeans_City!$C49,NA())</f>
        <v>-0.146983133929529</v>
      </c>
      <c r="E31" s="77" t="e">
        <f aca="false">IF(KMeans_City!$E49=3,KMeans_City!$B49,NA())</f>
        <v>#N/A</v>
      </c>
      <c r="F31" s="77" t="e">
        <f aca="false">IF(KMeans_City!$E49=3,KMeans_City!$C49,NA())</f>
        <v>#N/A</v>
      </c>
      <c r="O31" s="77" t="n">
        <f aca="false">IF(KMeans_Phase!$E49=1,KMeans_Phase!$A49,NA())</f>
        <v>43913</v>
      </c>
      <c r="P31" s="77" t="n">
        <f aca="false">IF(KMeans_Phase!$E49=1,Phase_Data!$C31,NA())</f>
        <v>82</v>
      </c>
      <c r="Q31" s="77" t="e">
        <f aca="false">IF(KMeans_Phase!$E49=2,KMeans_Phase!$A49,NA())</f>
        <v>#N/A</v>
      </c>
      <c r="R31" s="77" t="e">
        <f aca="false">IF(KMeans_Phase!$E49=2,Phase_Data!$C31,NA())</f>
        <v>#N/A</v>
      </c>
      <c r="S31" s="77" t="e">
        <f aca="false">IF(KMeans_Phase!$E49=3,KMeans_Phase!$A49,NA())</f>
        <v>#N/A</v>
      </c>
      <c r="T31" s="77" t="e">
        <f aca="false">IF(KMeans_Phase!$E49=3,Phase_Data!$C31,NA())</f>
        <v>#N/A</v>
      </c>
    </row>
    <row r="32" customFormat="false" ht="15" hidden="false" customHeight="false" outlineLevel="0" collapsed="false">
      <c r="A32" s="77" t="e">
        <f aca="false">IF(KMeans_City!$E50=1,KMeans_City!$B50,NA())</f>
        <v>#N/A</v>
      </c>
      <c r="B32" s="77" t="e">
        <f aca="false">IF(KMeans_City!$E50=1,KMeans_City!$C50,NA())</f>
        <v>#N/A</v>
      </c>
      <c r="C32" s="77" t="e">
        <f aca="false">IF(KMeans_City!$E50=2,KMeans_City!$B50,NA())</f>
        <v>#N/A</v>
      </c>
      <c r="D32" s="77" t="e">
        <f aca="false">IF(KMeans_City!$E50=2,KMeans_City!$C50,NA())</f>
        <v>#N/A</v>
      </c>
      <c r="E32" s="77" t="n">
        <f aca="false">IF(KMeans_City!$E50=3,KMeans_City!$B50,NA())</f>
        <v>0.602395784980437</v>
      </c>
      <c r="F32" s="77" t="n">
        <f aca="false">IF(KMeans_City!$E50=3,KMeans_City!$C50,NA())</f>
        <v>0.686180001083741</v>
      </c>
      <c r="O32" s="77" t="e">
        <f aca="false">IF(KMeans_Phase!$E50=1,KMeans_Phase!$A50,NA())</f>
        <v>#N/A</v>
      </c>
      <c r="P32" s="77" t="e">
        <f aca="false">IF(KMeans_Phase!$E50=1,Phase_Data!$C32,NA())</f>
        <v>#N/A</v>
      </c>
      <c r="Q32" s="77" t="e">
        <f aca="false">IF(KMeans_Phase!$E50=2,KMeans_Phase!$A50,NA())</f>
        <v>#N/A</v>
      </c>
      <c r="R32" s="77" t="e">
        <f aca="false">IF(KMeans_Phase!$E50=2,Phase_Data!$C32,NA())</f>
        <v>#N/A</v>
      </c>
      <c r="S32" s="77" t="n">
        <f aca="false">IF(KMeans_Phase!$E50=3,KMeans_Phase!$A50,NA())</f>
        <v>43914</v>
      </c>
      <c r="T32" s="77" t="n">
        <f aca="false">IF(KMeans_Phase!$E50=3,Phase_Data!$C32,NA())</f>
        <v>114</v>
      </c>
    </row>
    <row r="33" customFormat="false" ht="15" hidden="false" customHeight="false" outlineLevel="0" collapsed="false">
      <c r="A33" s="77" t="e">
        <f aca="false">IF(KMeans_City!$E51=1,KMeans_City!$B51,NA())</f>
        <v>#N/A</v>
      </c>
      <c r="B33" s="77" t="e">
        <f aca="false">IF(KMeans_City!$E51=1,KMeans_City!$C51,NA())</f>
        <v>#N/A</v>
      </c>
      <c r="C33" s="77" t="n">
        <f aca="false">IF(KMeans_City!$E51=2,KMeans_City!$B51,NA())</f>
        <v>0.577753548760862</v>
      </c>
      <c r="D33" s="77" t="n">
        <f aca="false">IF(KMeans_City!$E51=2,KMeans_City!$C51,NA())</f>
        <v>-0.672650545388274</v>
      </c>
      <c r="E33" s="77" t="e">
        <f aca="false">IF(KMeans_City!$E51=3,KMeans_City!$B51,NA())</f>
        <v>#N/A</v>
      </c>
      <c r="F33" s="77" t="e">
        <f aca="false">IF(KMeans_City!$E51=3,KMeans_City!$C51,NA())</f>
        <v>#N/A</v>
      </c>
      <c r="O33" s="77" t="n">
        <f aca="false">IF(KMeans_Phase!$E51=1,KMeans_Phase!$A51,NA())</f>
        <v>43915</v>
      </c>
      <c r="P33" s="77" t="n">
        <f aca="false">IF(KMeans_Phase!$E51=1,Phase_Data!$C33,NA())</f>
        <v>110</v>
      </c>
      <c r="Q33" s="77" t="e">
        <f aca="false">IF(KMeans_Phase!$E51=2,KMeans_Phase!$A51,NA())</f>
        <v>#N/A</v>
      </c>
      <c r="R33" s="77" t="e">
        <f aca="false">IF(KMeans_Phase!$E51=2,Phase_Data!$C33,NA())</f>
        <v>#N/A</v>
      </c>
      <c r="S33" s="77" t="e">
        <f aca="false">IF(KMeans_Phase!$E51=3,KMeans_Phase!$A51,NA())</f>
        <v>#N/A</v>
      </c>
      <c r="T33" s="77" t="e">
        <f aca="false">IF(KMeans_Phase!$E51=3,Phase_Data!$C33,NA())</f>
        <v>#N/A</v>
      </c>
    </row>
    <row r="34" customFormat="false" ht="15" hidden="false" customHeight="false" outlineLevel="0" collapsed="false">
      <c r="A34" s="77" t="e">
        <f aca="false">IF(KMeans_City!$E52=1,KMeans_City!$B52,NA())</f>
        <v>#N/A</v>
      </c>
      <c r="B34" s="77" t="e">
        <f aca="false">IF(KMeans_City!$E52=1,KMeans_City!$C52,NA())</f>
        <v>#N/A</v>
      </c>
      <c r="C34" s="77" t="e">
        <f aca="false">IF(KMeans_City!$E52=2,KMeans_City!$B52,NA())</f>
        <v>#N/A</v>
      </c>
      <c r="D34" s="77" t="e">
        <f aca="false">IF(KMeans_City!$E52=2,KMeans_City!$C52,NA())</f>
        <v>#N/A</v>
      </c>
      <c r="E34" s="77" t="n">
        <f aca="false">IF(KMeans_City!$E52=3,KMeans_City!$B52,NA())</f>
        <v>0.577753548760862</v>
      </c>
      <c r="F34" s="77" t="n">
        <f aca="false">IF(KMeans_City!$E52=3,KMeans_City!$C52,NA())</f>
        <v>0.160512589624996</v>
      </c>
      <c r="O34" s="77" t="e">
        <f aca="false">IF(KMeans_Phase!$E52=1,KMeans_Phase!$A52,NA())</f>
        <v>#N/A</v>
      </c>
      <c r="P34" s="77" t="e">
        <f aca="false">IF(KMeans_Phase!$E52=1,Phase_Data!$C34,NA())</f>
        <v>#N/A</v>
      </c>
      <c r="Q34" s="77" t="e">
        <f aca="false">IF(KMeans_Phase!$E52=2,KMeans_Phase!$A52,NA())</f>
        <v>#N/A</v>
      </c>
      <c r="R34" s="77" t="e">
        <f aca="false">IF(KMeans_Phase!$E52=2,Phase_Data!$C34,NA())</f>
        <v>#N/A</v>
      </c>
      <c r="S34" s="77" t="n">
        <f aca="false">IF(KMeans_Phase!$E52=3,KMeans_Phase!$A52,NA())</f>
        <v>43916</v>
      </c>
      <c r="T34" s="77" t="n">
        <f aca="false">IF(KMeans_Phase!$E52=3,Phase_Data!$C34,NA())</f>
        <v>131</v>
      </c>
    </row>
    <row r="35" customFormat="false" ht="15" hidden="false" customHeight="false" outlineLevel="0" collapsed="false">
      <c r="A35" s="77" t="e">
        <f aca="false">IF(KMeans_City!$E53=1,KMeans_City!$B53,NA())</f>
        <v>#N/A</v>
      </c>
      <c r="B35" s="77" t="e">
        <f aca="false">IF(KMeans_City!$E53=1,KMeans_City!$C53,NA())</f>
        <v>#N/A</v>
      </c>
      <c r="C35" s="77" t="n">
        <f aca="false">IF(KMeans_City!$E53=2,KMeans_City!$B53,NA())</f>
        <v>0.574589587542617</v>
      </c>
      <c r="D35" s="77" t="n">
        <f aca="false">IF(KMeans_City!$E53=2,KMeans_City!$C53,NA())</f>
        <v>-0.672650545388274</v>
      </c>
      <c r="E35" s="77" t="e">
        <f aca="false">IF(KMeans_City!$E53=3,KMeans_City!$B53,NA())</f>
        <v>#N/A</v>
      </c>
      <c r="F35" s="77" t="e">
        <f aca="false">IF(KMeans_City!$E53=3,KMeans_City!$C53,NA())</f>
        <v>#N/A</v>
      </c>
      <c r="O35" s="77" t="e">
        <f aca="false">IF(KMeans_Phase!$E53=1,KMeans_Phase!$A53,NA())</f>
        <v>#N/A</v>
      </c>
      <c r="P35" s="77" t="e">
        <f aca="false">IF(KMeans_Phase!$E53=1,Phase_Data!$C35,NA())</f>
        <v>#N/A</v>
      </c>
      <c r="Q35" s="77" t="e">
        <f aca="false">IF(KMeans_Phase!$E53=2,KMeans_Phase!$A53,NA())</f>
        <v>#N/A</v>
      </c>
      <c r="R35" s="77" t="e">
        <f aca="false">IF(KMeans_Phase!$E53=2,Phase_Data!$C35,NA())</f>
        <v>#N/A</v>
      </c>
      <c r="S35" s="77" t="n">
        <f aca="false">IF(KMeans_Phase!$E53=3,KMeans_Phase!$A53,NA())</f>
        <v>43917</v>
      </c>
      <c r="T35" s="77" t="n">
        <f aca="false">IF(KMeans_Phase!$E53=3,Phase_Data!$C35,NA())</f>
        <v>122</v>
      </c>
    </row>
    <row r="36" customFormat="false" ht="15" hidden="false" customHeight="false" outlineLevel="0" collapsed="false">
      <c r="A36" s="77" t="e">
        <f aca="false">IF(KMeans_City!$E54=1,KMeans_City!$B54,NA())</f>
        <v>#N/A</v>
      </c>
      <c r="B36" s="77" t="e">
        <f aca="false">IF(KMeans_City!$E54=1,KMeans_City!$C54,NA())</f>
        <v>#N/A</v>
      </c>
      <c r="C36" s="77" t="e">
        <f aca="false">IF(KMeans_City!$E54=2,KMeans_City!$B54,NA())</f>
        <v>#N/A</v>
      </c>
      <c r="D36" s="77" t="e">
        <f aca="false">IF(KMeans_City!$E54=2,KMeans_City!$C54,NA())</f>
        <v>#N/A</v>
      </c>
      <c r="E36" s="77" t="n">
        <f aca="false">IF(KMeans_City!$E54=3,KMeans_City!$B54,NA())</f>
        <v>0.568203372235645</v>
      </c>
      <c r="F36" s="77" t="n">
        <f aca="false">IF(KMeans_City!$E54=3,KMeans_City!$C54,NA())</f>
        <v>0.547911385844501</v>
      </c>
      <c r="O36" s="77" t="e">
        <f aca="false">IF(KMeans_Phase!$E54=1,KMeans_Phase!$A54,NA())</f>
        <v>#N/A</v>
      </c>
      <c r="P36" s="77" t="e">
        <f aca="false">IF(KMeans_Phase!$E54=1,Phase_Data!$C36,NA())</f>
        <v>#N/A</v>
      </c>
      <c r="Q36" s="77" t="e">
        <f aca="false">IF(KMeans_Phase!$E54=2,KMeans_Phase!$A54,NA())</f>
        <v>#N/A</v>
      </c>
      <c r="R36" s="77" t="e">
        <f aca="false">IF(KMeans_Phase!$E54=2,Phase_Data!$C36,NA())</f>
        <v>#N/A</v>
      </c>
      <c r="S36" s="77" t="n">
        <f aca="false">IF(KMeans_Phase!$E54=3,KMeans_Phase!$A54,NA())</f>
        <v>43918</v>
      </c>
      <c r="T36" s="77" t="n">
        <f aca="false">IF(KMeans_Phase!$E54=3,Phase_Data!$C36,NA())</f>
        <v>184</v>
      </c>
    </row>
    <row r="37" customFormat="false" ht="15" hidden="false" customHeight="false" outlineLevel="0" collapsed="false">
      <c r="A37" s="77" t="e">
        <f aca="false">IF(KMeans_City!$E55=1,KMeans_City!$B55,NA())</f>
        <v>#N/A</v>
      </c>
      <c r="B37" s="77" t="e">
        <f aca="false">IF(KMeans_City!$E55=1,KMeans_City!$C55,NA())</f>
        <v>#N/A</v>
      </c>
      <c r="C37" s="77" t="e">
        <f aca="false">IF(KMeans_City!$E55=2,KMeans_City!$B55,NA())</f>
        <v>#N/A</v>
      </c>
      <c r="D37" s="77" t="e">
        <f aca="false">IF(KMeans_City!$E55=2,KMeans_City!$C55,NA())</f>
        <v>#N/A</v>
      </c>
      <c r="E37" s="77" t="n">
        <f aca="false">IF(KMeans_City!$E55=3,KMeans_City!$B55,NA())</f>
        <v>0.531605743068138</v>
      </c>
      <c r="F37" s="77" t="n">
        <f aca="false">IF(KMeans_City!$E55=3,KMeans_City!$C55,NA())</f>
        <v>0.378684277529216</v>
      </c>
      <c r="O37" s="77" t="e">
        <f aca="false">IF(KMeans_Phase!$E55=1,KMeans_Phase!$A55,NA())</f>
        <v>#N/A</v>
      </c>
      <c r="P37" s="77" t="e">
        <f aca="false">IF(KMeans_Phase!$E55=1,Phase_Data!$C37,NA())</f>
        <v>#N/A</v>
      </c>
      <c r="Q37" s="77" t="e">
        <f aca="false">IF(KMeans_Phase!$E55=2,KMeans_Phase!$A55,NA())</f>
        <v>#N/A</v>
      </c>
      <c r="R37" s="77" t="e">
        <f aca="false">IF(KMeans_Phase!$E55=2,Phase_Data!$C37,NA())</f>
        <v>#N/A</v>
      </c>
      <c r="S37" s="77" t="n">
        <f aca="false">IF(KMeans_Phase!$E55=3,KMeans_Phase!$A55,NA())</f>
        <v>43919</v>
      </c>
      <c r="T37" s="77" t="n">
        <f aca="false">IF(KMeans_Phase!$E55=3,Phase_Data!$C37,NA())</f>
        <v>87</v>
      </c>
    </row>
    <row r="38" customFormat="false" ht="15" hidden="false" customHeight="false" outlineLevel="0" collapsed="false">
      <c r="A38" s="77" t="e">
        <f aca="false">IF(KMeans_City!$E56=1,KMeans_City!$B56,NA())</f>
        <v>#N/A</v>
      </c>
      <c r="B38" s="77" t="e">
        <f aca="false">IF(KMeans_City!$E56=1,KMeans_City!$C56,NA())</f>
        <v>#N/A</v>
      </c>
      <c r="C38" s="77" t="e">
        <f aca="false">IF(KMeans_City!$E56=2,KMeans_City!$B56,NA())</f>
        <v>#N/A</v>
      </c>
      <c r="D38" s="77" t="e">
        <f aca="false">IF(KMeans_City!$E56=2,KMeans_City!$C56,NA())</f>
        <v>#N/A</v>
      </c>
      <c r="E38" s="77" t="n">
        <f aca="false">IF(KMeans_City!$E56=3,KMeans_City!$B56,NA())</f>
        <v>0.484749830332174</v>
      </c>
      <c r="F38" s="77" t="n">
        <f aca="false">IF(KMeans_City!$E56=3,KMeans_City!$C56,NA())</f>
        <v>-0.146983133929529</v>
      </c>
      <c r="O38" s="77" t="e">
        <f aca="false">IF(KMeans_Phase!$E56=1,KMeans_Phase!$A56,NA())</f>
        <v>#N/A</v>
      </c>
      <c r="P38" s="77" t="e">
        <f aca="false">IF(KMeans_Phase!$E56=1,Phase_Data!$C38,NA())</f>
        <v>#N/A</v>
      </c>
      <c r="Q38" s="77" t="e">
        <f aca="false">IF(KMeans_Phase!$E56=2,KMeans_Phase!$A56,NA())</f>
        <v>#N/A</v>
      </c>
      <c r="R38" s="77" t="e">
        <f aca="false">IF(KMeans_Phase!$E56=2,Phase_Data!$C38,NA())</f>
        <v>#N/A</v>
      </c>
      <c r="S38" s="77" t="n">
        <f aca="false">IF(KMeans_Phase!$E56=3,KMeans_Phase!$A56,NA())</f>
        <v>43920</v>
      </c>
      <c r="T38" s="77" t="n">
        <f aca="false">IF(KMeans_Phase!$E56=3,Phase_Data!$C38,NA())</f>
        <v>145</v>
      </c>
    </row>
    <row r="39" customFormat="false" ht="15" hidden="false" customHeight="false" outlineLevel="0" collapsed="false">
      <c r="A39" s="77" t="e">
        <f aca="false">IF(KMeans_City!$E57=1,KMeans_City!$B57,NA())</f>
        <v>#N/A</v>
      </c>
      <c r="B39" s="77" t="e">
        <f aca="false">IF(KMeans_City!$E57=1,KMeans_City!$C57,NA())</f>
        <v>#N/A</v>
      </c>
      <c r="C39" s="77" t="e">
        <f aca="false">IF(KMeans_City!$E57=2,KMeans_City!$B57,NA())</f>
        <v>#N/A</v>
      </c>
      <c r="D39" s="77" t="e">
        <f aca="false">IF(KMeans_City!$E57=2,KMeans_City!$C57,NA())</f>
        <v>#N/A</v>
      </c>
      <c r="E39" s="77" t="n">
        <f aca="false">IF(KMeans_City!$E57=3,KMeans_City!$B57,NA())</f>
        <v>0.484749830332174</v>
      </c>
      <c r="F39" s="77" t="n">
        <f aca="false">IF(KMeans_City!$E57=3,KMeans_City!$C57,NA())</f>
        <v>1.38107452085777</v>
      </c>
      <c r="O39" s="77" t="e">
        <f aca="false">IF(KMeans_Phase!$E57=1,KMeans_Phase!$A57,NA())</f>
        <v>#N/A</v>
      </c>
      <c r="P39" s="77" t="e">
        <f aca="false">IF(KMeans_Phase!$E57=1,Phase_Data!$C39,NA())</f>
        <v>#N/A</v>
      </c>
      <c r="Q39" s="77" t="e">
        <f aca="false">IF(KMeans_Phase!$E57=2,KMeans_Phase!$A57,NA())</f>
        <v>#N/A</v>
      </c>
      <c r="R39" s="77" t="e">
        <f aca="false">IF(KMeans_Phase!$E57=2,Phase_Data!$C39,NA())</f>
        <v>#N/A</v>
      </c>
      <c r="S39" s="77" t="n">
        <f aca="false">IF(KMeans_Phase!$E57=3,KMeans_Phase!$A57,NA())</f>
        <v>43921</v>
      </c>
      <c r="T39" s="77" t="n">
        <f aca="false">IF(KMeans_Phase!$E57=3,Phase_Data!$C39,NA())</f>
        <v>223</v>
      </c>
    </row>
    <row r="40" customFormat="false" ht="15" hidden="false" customHeight="false" outlineLevel="0" collapsed="false">
      <c r="A40" s="77" t="e">
        <f aca="false">IF(KMeans_City!$E58=1,KMeans_City!$B58,NA())</f>
        <v>#N/A</v>
      </c>
      <c r="B40" s="77" t="e">
        <f aca="false">IF(KMeans_City!$E58=1,KMeans_City!$C58,NA())</f>
        <v>#N/A</v>
      </c>
      <c r="C40" s="77" t="e">
        <f aca="false">IF(KMeans_City!$E58=2,KMeans_City!$B58,NA())</f>
        <v>#N/A</v>
      </c>
      <c r="D40" s="77" t="e">
        <f aca="false">IF(KMeans_City!$E58=2,KMeans_City!$C58,NA())</f>
        <v>#N/A</v>
      </c>
      <c r="E40" s="77" t="n">
        <f aca="false">IF(KMeans_City!$E58=3,KMeans_City!$B58,NA())</f>
        <v>0.453667759197148</v>
      </c>
      <c r="F40" s="77" t="n">
        <f aca="false">IF(KMeans_City!$E58=3,KMeans_City!$C58,NA())</f>
        <v>1.14585991869933</v>
      </c>
      <c r="O40" s="77" t="e">
        <f aca="false">IF(KMeans_Phase!$E58=1,KMeans_Phase!$A58,NA())</f>
        <v>#N/A</v>
      </c>
      <c r="P40" s="77" t="e">
        <f aca="false">IF(KMeans_Phase!$E58=1,Phase_Data!$C40,NA())</f>
        <v>#N/A</v>
      </c>
      <c r="Q40" s="77" t="e">
        <f aca="false">IF(KMeans_Phase!$E58=2,KMeans_Phase!$A58,NA())</f>
        <v>#N/A</v>
      </c>
      <c r="R40" s="77" t="e">
        <f aca="false">IF(KMeans_Phase!$E58=2,Phase_Data!$C40,NA())</f>
        <v>#N/A</v>
      </c>
      <c r="S40" s="77" t="n">
        <f aca="false">IF(KMeans_Phase!$E58=3,KMeans_Phase!$A58,NA())</f>
        <v>43922</v>
      </c>
      <c r="T40" s="77" t="n">
        <f aca="false">IF(KMeans_Phase!$E58=3,Phase_Data!$C40,NA())</f>
        <v>260</v>
      </c>
    </row>
    <row r="41" customFormat="false" ht="15" hidden="false" customHeight="false" outlineLevel="0" collapsed="false">
      <c r="A41" s="77" t="e">
        <f aca="false">IF(KMeans_City!$E59=1,KMeans_City!$B59,NA())</f>
        <v>#N/A</v>
      </c>
      <c r="B41" s="77" t="e">
        <f aca="false">IF(KMeans_City!$E59=1,KMeans_City!$C59,NA())</f>
        <v>#N/A</v>
      </c>
      <c r="C41" s="77" t="e">
        <f aca="false">IF(KMeans_City!$E59=2,KMeans_City!$B59,NA())</f>
        <v>#N/A</v>
      </c>
      <c r="D41" s="77" t="e">
        <f aca="false">IF(KMeans_City!$E59=2,KMeans_City!$C59,NA())</f>
        <v>#N/A</v>
      </c>
      <c r="E41" s="77" t="n">
        <f aca="false">IF(KMeans_City!$E59=3,KMeans_City!$B59,NA())</f>
        <v>0.433254553932755</v>
      </c>
      <c r="F41" s="77" t="n">
        <f aca="false">IF(KMeans_City!$E59=3,KMeans_City!$C59,NA())</f>
        <v>0.378684277529216</v>
      </c>
      <c r="O41" s="77" t="e">
        <f aca="false">IF(KMeans_Phase!$E59=1,KMeans_Phase!$A59,NA())</f>
        <v>#N/A</v>
      </c>
      <c r="P41" s="77" t="e">
        <f aca="false">IF(KMeans_Phase!$E59=1,Phase_Data!$C41,NA())</f>
        <v>#N/A</v>
      </c>
      <c r="Q41" s="77" t="e">
        <f aca="false">IF(KMeans_Phase!$E59=2,KMeans_Phase!$A59,NA())</f>
        <v>#N/A</v>
      </c>
      <c r="R41" s="77" t="e">
        <f aca="false">IF(KMeans_Phase!$E59=2,Phase_Data!$C41,NA())</f>
        <v>#N/A</v>
      </c>
      <c r="S41" s="77" t="n">
        <f aca="false">IF(KMeans_Phase!$E59=3,KMeans_Phase!$A59,NA())</f>
        <v>43923</v>
      </c>
      <c r="T41" s="77" t="n">
        <f aca="false">IF(KMeans_Phase!$E59=3,Phase_Data!$C41,NA())</f>
        <v>183</v>
      </c>
    </row>
    <row r="42" customFormat="false" ht="15" hidden="false" customHeight="false" outlineLevel="0" collapsed="false">
      <c r="A42" s="77" t="e">
        <f aca="false">IF(KMeans_City!$E60=1,KMeans_City!$B60,NA())</f>
        <v>#N/A</v>
      </c>
      <c r="B42" s="77" t="e">
        <f aca="false">IF(KMeans_City!$E60=1,KMeans_City!$C60,NA())</f>
        <v>#N/A</v>
      </c>
      <c r="C42" s="77" t="e">
        <f aca="false">IF(KMeans_City!$E60=2,KMeans_City!$B60,NA())</f>
        <v>#N/A</v>
      </c>
      <c r="D42" s="77" t="e">
        <f aca="false">IF(KMeans_City!$E60=2,KMeans_City!$C60,NA())</f>
        <v>#N/A</v>
      </c>
      <c r="E42" s="77" t="n">
        <f aca="false">IF(KMeans_City!$E60=3,KMeans_City!$B60,NA())</f>
        <v>0.429074049388274</v>
      </c>
      <c r="F42" s="77" t="n">
        <f aca="false">IF(KMeans_City!$E60=3,KMeans_City!$C60,NA())</f>
        <v>0.378684277529216</v>
      </c>
      <c r="O42" s="77" t="e">
        <f aca="false">IF(KMeans_Phase!$E60=1,KMeans_Phase!$A60,NA())</f>
        <v>#N/A</v>
      </c>
      <c r="P42" s="77" t="e">
        <f aca="false">IF(KMeans_Phase!$E60=1,Phase_Data!$C42,NA())</f>
        <v>#N/A</v>
      </c>
      <c r="Q42" s="77" t="e">
        <f aca="false">IF(KMeans_Phase!$E60=2,KMeans_Phase!$A60,NA())</f>
        <v>#N/A</v>
      </c>
      <c r="R42" s="77" t="e">
        <f aca="false">IF(KMeans_Phase!$E60=2,Phase_Data!$C42,NA())</f>
        <v>#N/A</v>
      </c>
      <c r="S42" s="77" t="n">
        <f aca="false">IF(KMeans_Phase!$E60=3,KMeans_Phase!$A60,NA())</f>
        <v>43924</v>
      </c>
      <c r="T42" s="77" t="n">
        <f aca="false">IF(KMeans_Phase!$E60=3,Phase_Data!$C42,NA())</f>
        <v>239</v>
      </c>
    </row>
    <row r="43" customFormat="false" ht="15" hidden="false" customHeight="false" outlineLevel="0" collapsed="false">
      <c r="A43" s="77" t="e">
        <f aca="false">IF(KMeans_City!$E61=1,KMeans_City!$B61,NA())</f>
        <v>#N/A</v>
      </c>
      <c r="B43" s="77" t="e">
        <f aca="false">IF(KMeans_City!$E61=1,KMeans_City!$C61,NA())</f>
        <v>#N/A</v>
      </c>
      <c r="C43" s="77" t="e">
        <f aca="false">IF(KMeans_City!$E61=2,KMeans_City!$B61,NA())</f>
        <v>#N/A</v>
      </c>
      <c r="D43" s="77" t="e">
        <f aca="false">IF(KMeans_City!$E61=2,KMeans_City!$C61,NA())</f>
        <v>#N/A</v>
      </c>
      <c r="E43" s="77" t="n">
        <f aca="false">IF(KMeans_City!$E61=3,KMeans_City!$B61,NA())</f>
        <v>0.407652506674014</v>
      </c>
      <c r="F43" s="77" t="n">
        <f aca="false">IF(KMeans_City!$E61=3,KMeans_City!$C61,NA())</f>
        <v>1.27255002250608</v>
      </c>
      <c r="O43" s="77" t="e">
        <f aca="false">IF(KMeans_Phase!$E61=1,KMeans_Phase!$A61,NA())</f>
        <v>#N/A</v>
      </c>
      <c r="P43" s="77" t="e">
        <f aca="false">IF(KMeans_Phase!$E61=1,Phase_Data!$C43,NA())</f>
        <v>#N/A</v>
      </c>
      <c r="Q43" s="77" t="e">
        <f aca="false">IF(KMeans_Phase!$E61=2,KMeans_Phase!$A61,NA())</f>
        <v>#N/A</v>
      </c>
      <c r="R43" s="77" t="e">
        <f aca="false">IF(KMeans_Phase!$E61=2,Phase_Data!$C43,NA())</f>
        <v>#N/A</v>
      </c>
      <c r="S43" s="77" t="n">
        <f aca="false">IF(KMeans_Phase!$E61=3,KMeans_Phase!$A61,NA())</f>
        <v>43925</v>
      </c>
      <c r="T43" s="77" t="n">
        <f aca="false">IF(KMeans_Phase!$E61=3,Phase_Data!$C43,NA())</f>
        <v>79</v>
      </c>
    </row>
    <row r="44" customFormat="false" ht="15" hidden="false" customHeight="false" outlineLevel="0" collapsed="false">
      <c r="A44" s="77" t="e">
        <f aca="false">IF(KMeans_City!$E62=1,KMeans_City!$B62,NA())</f>
        <v>#N/A</v>
      </c>
      <c r="B44" s="77" t="e">
        <f aca="false">IF(KMeans_City!$E62=1,KMeans_City!$C62,NA())</f>
        <v>#N/A</v>
      </c>
      <c r="C44" s="77" t="e">
        <f aca="false">IF(KMeans_City!$E62=2,KMeans_City!$B62,NA())</f>
        <v>#N/A</v>
      </c>
      <c r="D44" s="77" t="e">
        <f aca="false">IF(KMeans_City!$E62=2,KMeans_City!$C62,NA())</f>
        <v>#N/A</v>
      </c>
      <c r="E44" s="77" t="n">
        <f aca="false">IF(KMeans_City!$E62=3,KMeans_City!$B62,NA())</f>
        <v>0.389856926462388</v>
      </c>
      <c r="F44" s="77" t="n">
        <f aca="false">IF(KMeans_City!$E62=3,KMeans_City!$C62,NA())</f>
        <v>0.160512589624996</v>
      </c>
      <c r="O44" s="77" t="e">
        <f aca="false">IF(KMeans_Phase!$E62=1,KMeans_Phase!$A62,NA())</f>
        <v>#N/A</v>
      </c>
      <c r="P44" s="77" t="e">
        <f aca="false">IF(KMeans_Phase!$E62=1,Phase_Data!$C44,NA())</f>
        <v>#N/A</v>
      </c>
      <c r="Q44" s="77" t="e">
        <f aca="false">IF(KMeans_Phase!$E62=2,KMeans_Phase!$A62,NA())</f>
        <v>#N/A</v>
      </c>
      <c r="R44" s="77" t="e">
        <f aca="false">IF(KMeans_Phase!$E62=2,Phase_Data!$C44,NA())</f>
        <v>#N/A</v>
      </c>
      <c r="S44" s="77" t="n">
        <f aca="false">IF(KMeans_Phase!$E62=3,KMeans_Phase!$A62,NA())</f>
        <v>43926</v>
      </c>
      <c r="T44" s="77" t="n">
        <f aca="false">IF(KMeans_Phase!$E62=3,Phase_Data!$C44,NA())</f>
        <v>180</v>
      </c>
    </row>
    <row r="45" customFormat="false" ht="15" hidden="false" customHeight="false" outlineLevel="0" collapsed="false">
      <c r="A45" s="77" t="e">
        <f aca="false">IF(KMeans_City!$E63=1,KMeans_City!$B63,NA())</f>
        <v>#N/A</v>
      </c>
      <c r="B45" s="77" t="e">
        <f aca="false">IF(KMeans_City!$E63=1,KMeans_City!$C63,NA())</f>
        <v>#N/A</v>
      </c>
      <c r="C45" s="77" t="e">
        <f aca="false">IF(KMeans_City!$E63=2,KMeans_City!$B63,NA())</f>
        <v>#N/A</v>
      </c>
      <c r="D45" s="77" t="e">
        <f aca="false">IF(KMeans_City!$E63=2,KMeans_City!$C63,NA())</f>
        <v>#N/A</v>
      </c>
      <c r="E45" s="77" t="n">
        <f aca="false">IF(KMeans_City!$E63=3,KMeans_City!$B63,NA())</f>
        <v>0.317115025857358</v>
      </c>
      <c r="F45" s="77" t="n">
        <f aca="false">IF(KMeans_City!$E63=3,KMeans_City!$C63,NA())</f>
        <v>-0.672650545388274</v>
      </c>
      <c r="O45" s="77" t="e">
        <f aca="false">IF(KMeans_Phase!$E63=1,KMeans_Phase!$A63,NA())</f>
        <v>#N/A</v>
      </c>
      <c r="P45" s="77" t="e">
        <f aca="false">IF(KMeans_Phase!$E63=1,Phase_Data!$C45,NA())</f>
        <v>#N/A</v>
      </c>
      <c r="Q45" s="77" t="e">
        <f aca="false">IF(KMeans_Phase!$E63=2,KMeans_Phase!$A63,NA())</f>
        <v>#N/A</v>
      </c>
      <c r="R45" s="77" t="e">
        <f aca="false">IF(KMeans_Phase!$E63=2,Phase_Data!$C45,NA())</f>
        <v>#N/A</v>
      </c>
      <c r="S45" s="77" t="n">
        <f aca="false">IF(KMeans_Phase!$E63=3,KMeans_Phase!$A63,NA())</f>
        <v>43927</v>
      </c>
      <c r="T45" s="77" t="n">
        <f aca="false">IF(KMeans_Phase!$E63=3,Phase_Data!$C45,NA())</f>
        <v>249</v>
      </c>
    </row>
    <row r="46" customFormat="false" ht="15" hidden="false" customHeight="false" outlineLevel="0" collapsed="false">
      <c r="A46" s="77" t="e">
        <f aca="false">IF(KMeans_City!$E64=1,KMeans_City!$B64,NA())</f>
        <v>#N/A</v>
      </c>
      <c r="B46" s="77" t="e">
        <f aca="false">IF(KMeans_City!$E64=1,KMeans_City!$C64,NA())</f>
        <v>#N/A</v>
      </c>
      <c r="C46" s="77" t="e">
        <f aca="false">IF(KMeans_City!$E64=2,KMeans_City!$B64,NA())</f>
        <v>#N/A</v>
      </c>
      <c r="D46" s="77" t="e">
        <f aca="false">IF(KMeans_City!$E64=2,KMeans_City!$C64,NA())</f>
        <v>#N/A</v>
      </c>
      <c r="E46" s="77" t="n">
        <f aca="false">IF(KMeans_City!$E64=3,KMeans_City!$B64,NA())</f>
        <v>0.273717398386991</v>
      </c>
      <c r="F46" s="77" t="n">
        <f aca="false">IF(KMeans_City!$E64=3,KMeans_City!$C64,NA())</f>
        <v>-0.146983133929529</v>
      </c>
      <c r="O46" s="77" t="e">
        <f aca="false">IF(KMeans_Phase!$E64=1,KMeans_Phase!$A64,NA())</f>
        <v>#N/A</v>
      </c>
      <c r="P46" s="77" t="e">
        <f aca="false">IF(KMeans_Phase!$E64=1,Phase_Data!$C46,NA())</f>
        <v>#N/A</v>
      </c>
      <c r="Q46" s="77" t="e">
        <f aca="false">IF(KMeans_Phase!$E64=2,KMeans_Phase!$A64,NA())</f>
        <v>#N/A</v>
      </c>
      <c r="R46" s="77" t="e">
        <f aca="false">IF(KMeans_Phase!$E64=2,Phase_Data!$C46,NA())</f>
        <v>#N/A</v>
      </c>
      <c r="S46" s="77" t="n">
        <f aca="false">IF(KMeans_Phase!$E64=3,KMeans_Phase!$A64,NA())</f>
        <v>43928</v>
      </c>
      <c r="T46" s="77" t="n">
        <f aca="false">IF(KMeans_Phase!$E64=3,Phase_Data!$C46,NA())</f>
        <v>107</v>
      </c>
    </row>
    <row r="47" customFormat="false" ht="15" hidden="false" customHeight="false" outlineLevel="0" collapsed="false">
      <c r="A47" s="77" t="e">
        <f aca="false">IF(KMeans_City!$E65=1,KMeans_City!$B65,NA())</f>
        <v>#N/A</v>
      </c>
      <c r="B47" s="77" t="e">
        <f aca="false">IF(KMeans_City!$E65=1,KMeans_City!$C65,NA())</f>
        <v>#N/A</v>
      </c>
      <c r="C47" s="77" t="n">
        <f aca="false">IF(KMeans_City!$E65=2,KMeans_City!$B65,NA())</f>
        <v>0.262278036420678</v>
      </c>
      <c r="D47" s="77" t="n">
        <f aca="false">IF(KMeans_City!$E65=2,KMeans_City!$C65,NA())</f>
        <v>-0.146983133929529</v>
      </c>
      <c r="E47" s="77" t="e">
        <f aca="false">IF(KMeans_City!$E65=3,KMeans_City!$B65,NA())</f>
        <v>#N/A</v>
      </c>
      <c r="F47" s="77" t="e">
        <f aca="false">IF(KMeans_City!$E65=3,KMeans_City!$C65,NA())</f>
        <v>#N/A</v>
      </c>
      <c r="O47" s="77" t="e">
        <f aca="false">IF(KMeans_Phase!$E65=1,KMeans_Phase!$A65,NA())</f>
        <v>#N/A</v>
      </c>
      <c r="P47" s="77" t="e">
        <f aca="false">IF(KMeans_Phase!$E65=1,Phase_Data!$C47,NA())</f>
        <v>#N/A</v>
      </c>
      <c r="Q47" s="77" t="e">
        <f aca="false">IF(KMeans_Phase!$E65=2,KMeans_Phase!$A65,NA())</f>
        <v>#N/A</v>
      </c>
      <c r="R47" s="77" t="e">
        <f aca="false">IF(KMeans_Phase!$E65=2,Phase_Data!$C47,NA())</f>
        <v>#N/A</v>
      </c>
      <c r="S47" s="77" t="n">
        <f aca="false">IF(KMeans_Phase!$E65=3,KMeans_Phase!$A65,NA())</f>
        <v>43929</v>
      </c>
      <c r="T47" s="77" t="n">
        <f aca="false">IF(KMeans_Phase!$E65=3,Phase_Data!$C47,NA())</f>
        <v>337</v>
      </c>
    </row>
    <row r="48" customFormat="false" ht="15" hidden="false" customHeight="false" outlineLevel="0" collapsed="false">
      <c r="A48" s="77" t="e">
        <f aca="false">IF(KMeans_City!$E66=1,KMeans_City!$B66,NA())</f>
        <v>#N/A</v>
      </c>
      <c r="B48" s="77" t="e">
        <f aca="false">IF(KMeans_City!$E66=1,KMeans_City!$C66,NA())</f>
        <v>#N/A</v>
      </c>
      <c r="C48" s="77" t="e">
        <f aca="false">IF(KMeans_City!$E66=2,KMeans_City!$B66,NA())</f>
        <v>#N/A</v>
      </c>
      <c r="D48" s="77" t="e">
        <f aca="false">IF(KMeans_City!$E66=2,KMeans_City!$C66,NA())</f>
        <v>#N/A</v>
      </c>
      <c r="E48" s="77" t="n">
        <f aca="false">IF(KMeans_City!$E66=3,KMeans_City!$B66,NA())</f>
        <v>0.256462668461943</v>
      </c>
      <c r="F48" s="77" t="n">
        <f aca="false">IF(KMeans_City!$E66=3,KMeans_City!$C66,NA())</f>
        <v>-0.672650545388274</v>
      </c>
      <c r="O48" s="77" t="e">
        <f aca="false">IF(KMeans_Phase!$E66=1,KMeans_Phase!$A66,NA())</f>
        <v>#N/A</v>
      </c>
      <c r="P48" s="77" t="e">
        <f aca="false">IF(KMeans_Phase!$E66=1,Phase_Data!$C48,NA())</f>
        <v>#N/A</v>
      </c>
      <c r="Q48" s="77" t="e">
        <f aca="false">IF(KMeans_Phase!$E66=2,KMeans_Phase!$A66,NA())</f>
        <v>#N/A</v>
      </c>
      <c r="R48" s="77" t="e">
        <f aca="false">IF(KMeans_Phase!$E66=2,Phase_Data!$C48,NA())</f>
        <v>#N/A</v>
      </c>
      <c r="S48" s="77" t="n">
        <f aca="false">IF(KMeans_Phase!$E66=3,KMeans_Phase!$A66,NA())</f>
        <v>43930</v>
      </c>
      <c r="T48" s="77" t="n">
        <f aca="false">IF(KMeans_Phase!$E66=3,Phase_Data!$C48,NA())</f>
        <v>874</v>
      </c>
    </row>
    <row r="49" customFormat="false" ht="15" hidden="false" customHeight="false" outlineLevel="0" collapsed="false">
      <c r="A49" s="77" t="e">
        <f aca="false">IF(KMeans_City!$E67=1,KMeans_City!$B67,NA())</f>
        <v>#N/A</v>
      </c>
      <c r="B49" s="77" t="e">
        <f aca="false">IF(KMeans_City!$E67=1,KMeans_City!$C67,NA())</f>
        <v>#N/A</v>
      </c>
      <c r="C49" s="77" t="n">
        <f aca="false">IF(KMeans_City!$E67=2,KMeans_City!$B67,NA())</f>
        <v>0.238616233785713</v>
      </c>
      <c r="D49" s="77" t="n">
        <f aca="false">IF(KMeans_City!$E67=2,KMeans_City!$C67,NA())</f>
        <v>-0.672650545388274</v>
      </c>
      <c r="E49" s="77" t="e">
        <f aca="false">IF(KMeans_City!$E67=3,KMeans_City!$B67,NA())</f>
        <v>#N/A</v>
      </c>
      <c r="F49" s="77" t="e">
        <f aca="false">IF(KMeans_City!$E67=3,KMeans_City!$C67,NA())</f>
        <v>#N/A</v>
      </c>
      <c r="O49" s="77" t="e">
        <f aca="false">IF(KMeans_Phase!$E67=1,KMeans_Phase!$A67,NA())</f>
        <v>#N/A</v>
      </c>
      <c r="P49" s="77" t="e">
        <f aca="false">IF(KMeans_Phase!$E67=1,Phase_Data!$C49,NA())</f>
        <v>#N/A</v>
      </c>
      <c r="Q49" s="77" t="e">
        <f aca="false">IF(KMeans_Phase!$E67=2,KMeans_Phase!$A67,NA())</f>
        <v>#N/A</v>
      </c>
      <c r="R49" s="77" t="e">
        <f aca="false">IF(KMeans_Phase!$E67=2,Phase_Data!$C49,NA())</f>
        <v>#N/A</v>
      </c>
      <c r="S49" s="77" t="n">
        <f aca="false">IF(KMeans_Phase!$E67=3,KMeans_Phase!$A67,NA())</f>
        <v>43931</v>
      </c>
      <c r="T49" s="77" t="n">
        <f aca="false">IF(KMeans_Phase!$E67=3,Phase_Data!$C49,NA())</f>
        <v>156</v>
      </c>
    </row>
    <row r="50" customFormat="false" ht="15" hidden="false" customHeight="false" outlineLevel="0" collapsed="false">
      <c r="A50" s="77" t="e">
        <f aca="false">IF(KMeans_City!$E68=1,KMeans_City!$B68,NA())</f>
        <v>#N/A</v>
      </c>
      <c r="B50" s="77" t="e">
        <f aca="false">IF(KMeans_City!$E68=1,KMeans_City!$C68,NA())</f>
        <v>#N/A</v>
      </c>
      <c r="C50" s="77" t="e">
        <f aca="false">IF(KMeans_City!$E68=2,KMeans_City!$B68,NA())</f>
        <v>#N/A</v>
      </c>
      <c r="D50" s="77" t="e">
        <f aca="false">IF(KMeans_City!$E68=2,KMeans_City!$C68,NA())</f>
        <v>#N/A</v>
      </c>
      <c r="E50" s="77" t="n">
        <f aca="false">IF(KMeans_City!$E68=3,KMeans_City!$B68,NA())</f>
        <v>0.232528795764548</v>
      </c>
      <c r="F50" s="77" t="n">
        <f aca="false">IF(KMeans_City!$E68=3,KMeans_City!$C68,NA())</f>
        <v>0.160512589624996</v>
      </c>
      <c r="O50" s="77" t="e">
        <f aca="false">IF(KMeans_Phase!$E68=1,KMeans_Phase!$A68,NA())</f>
        <v>#N/A</v>
      </c>
      <c r="P50" s="77" t="e">
        <f aca="false">IF(KMeans_Phase!$E68=1,Phase_Data!$C50,NA())</f>
        <v>#N/A</v>
      </c>
      <c r="Q50" s="77" t="e">
        <f aca="false">IF(KMeans_Phase!$E68=2,KMeans_Phase!$A68,NA())</f>
        <v>#N/A</v>
      </c>
      <c r="R50" s="77" t="e">
        <f aca="false">IF(KMeans_Phase!$E68=2,Phase_Data!$C50,NA())</f>
        <v>#N/A</v>
      </c>
      <c r="S50" s="77" t="n">
        <f aca="false">IF(KMeans_Phase!$E68=3,KMeans_Phase!$A68,NA())</f>
        <v>43932</v>
      </c>
      <c r="T50" s="77" t="n">
        <f aca="false">IF(KMeans_Phase!$E68=3,Phase_Data!$C50,NA())</f>
        <v>297</v>
      </c>
    </row>
    <row r="51" customFormat="false" ht="15" hidden="false" customHeight="false" outlineLevel="0" collapsed="false">
      <c r="A51" s="77" t="e">
        <f aca="false">IF(KMeans_City!$E69=1,KMeans_City!$B69,NA())</f>
        <v>#N/A</v>
      </c>
      <c r="B51" s="77" t="e">
        <f aca="false">IF(KMeans_City!$E69=1,KMeans_City!$C69,NA())</f>
        <v>#N/A</v>
      </c>
      <c r="C51" s="77" t="n">
        <f aca="false">IF(KMeans_City!$E69=2,KMeans_City!$B69,NA())</f>
        <v>0.200975497781959</v>
      </c>
      <c r="D51" s="77" t="n">
        <f aca="false">IF(KMeans_City!$E69=2,KMeans_City!$C69,NA())</f>
        <v>-0.672650545388274</v>
      </c>
      <c r="E51" s="77" t="e">
        <f aca="false">IF(KMeans_City!$E69=3,KMeans_City!$B69,NA())</f>
        <v>#N/A</v>
      </c>
      <c r="F51" s="77" t="e">
        <f aca="false">IF(KMeans_City!$E69=3,KMeans_City!$C69,NA())</f>
        <v>#N/A</v>
      </c>
      <c r="O51" s="77" t="e">
        <f aca="false">IF(KMeans_Phase!$E69=1,KMeans_Phase!$A69,NA())</f>
        <v>#N/A</v>
      </c>
      <c r="P51" s="77" t="e">
        <f aca="false">IF(KMeans_Phase!$E69=1,Phase_Data!$C51,NA())</f>
        <v>#N/A</v>
      </c>
      <c r="Q51" s="77" t="e">
        <f aca="false">IF(KMeans_Phase!$E69=2,KMeans_Phase!$A69,NA())</f>
        <v>#N/A</v>
      </c>
      <c r="R51" s="77" t="e">
        <f aca="false">IF(KMeans_Phase!$E69=2,Phase_Data!$C51,NA())</f>
        <v>#N/A</v>
      </c>
      <c r="S51" s="77" t="n">
        <f aca="false">IF(KMeans_Phase!$E69=3,KMeans_Phase!$A69,NA())</f>
        <v>43933</v>
      </c>
      <c r="T51" s="77" t="n">
        <f aca="false">IF(KMeans_Phase!$E69=3,Phase_Data!$C51,NA())</f>
        <v>253</v>
      </c>
    </row>
    <row r="52" customFormat="false" ht="15" hidden="false" customHeight="false" outlineLevel="0" collapsed="false">
      <c r="A52" s="77" t="e">
        <f aca="false">IF(KMeans_City!$E70=1,KMeans_City!$B70,NA())</f>
        <v>#N/A</v>
      </c>
      <c r="B52" s="77" t="e">
        <f aca="false">IF(KMeans_City!$E70=1,KMeans_City!$C70,NA())</f>
        <v>#N/A</v>
      </c>
      <c r="C52" s="77" t="e">
        <f aca="false">IF(KMeans_City!$E70=2,KMeans_City!$B70,NA())</f>
        <v>#N/A</v>
      </c>
      <c r="D52" s="77" t="e">
        <f aca="false">IF(KMeans_City!$E70=2,KMeans_City!$C70,NA())</f>
        <v>#N/A</v>
      </c>
      <c r="E52" s="77" t="n">
        <f aca="false">IF(KMeans_City!$E70=3,KMeans_City!$B70,NA())</f>
        <v>0.200975497781959</v>
      </c>
      <c r="F52" s="77" t="n">
        <f aca="false">IF(KMeans_City!$E70=3,KMeans_City!$C70,NA())</f>
        <v>-0.672650545388274</v>
      </c>
      <c r="O52" s="77" t="e">
        <f aca="false">IF(KMeans_Phase!$E70=1,KMeans_Phase!$A70,NA())</f>
        <v>#N/A</v>
      </c>
      <c r="P52" s="77" t="e">
        <f aca="false">IF(KMeans_Phase!$E70=1,Phase_Data!$C52,NA())</f>
        <v>#N/A</v>
      </c>
      <c r="Q52" s="77" t="e">
        <f aca="false">IF(KMeans_Phase!$E70=2,KMeans_Phase!$A70,NA())</f>
        <v>#N/A</v>
      </c>
      <c r="R52" s="77" t="e">
        <f aca="false">IF(KMeans_Phase!$E70=2,Phase_Data!$C52,NA())</f>
        <v>#N/A</v>
      </c>
      <c r="S52" s="77" t="n">
        <f aca="false">IF(KMeans_Phase!$E70=3,KMeans_Phase!$A70,NA())</f>
        <v>43934</v>
      </c>
      <c r="T52" s="77" t="n">
        <f aca="false">IF(KMeans_Phase!$E70=3,Phase_Data!$C52,NA())</f>
        <v>173</v>
      </c>
    </row>
    <row r="53" customFormat="false" ht="15" hidden="false" customHeight="false" outlineLevel="0" collapsed="false">
      <c r="A53" s="77" t="e">
        <f aca="false">IF(KMeans_City!$E71=1,KMeans_City!$B71,NA())</f>
        <v>#N/A</v>
      </c>
      <c r="B53" s="77" t="e">
        <f aca="false">IF(KMeans_City!$E71=1,KMeans_City!$C71,NA())</f>
        <v>#N/A</v>
      </c>
      <c r="C53" s="77" t="e">
        <f aca="false">IF(KMeans_City!$E71=2,KMeans_City!$B71,NA())</f>
        <v>#N/A</v>
      </c>
      <c r="D53" s="77" t="e">
        <f aca="false">IF(KMeans_City!$E71=2,KMeans_City!$C71,NA())</f>
        <v>#N/A</v>
      </c>
      <c r="E53" s="77" t="n">
        <f aca="false">IF(KMeans_City!$E71=3,KMeans_City!$B71,NA())</f>
        <v>0.194428618785618</v>
      </c>
      <c r="F53" s="77" t="n">
        <f aca="false">IF(KMeans_City!$E71=3,KMeans_City!$C71,NA())</f>
        <v>-0.146983133929529</v>
      </c>
      <c r="O53" s="77" t="e">
        <f aca="false">IF(KMeans_Phase!$E71=1,KMeans_Phase!$A71,NA())</f>
        <v>#N/A</v>
      </c>
      <c r="P53" s="77" t="e">
        <f aca="false">IF(KMeans_Phase!$E71=1,Phase_Data!$C53,NA())</f>
        <v>#N/A</v>
      </c>
      <c r="Q53" s="77" t="e">
        <f aca="false">IF(KMeans_Phase!$E71=2,KMeans_Phase!$A71,NA())</f>
        <v>#N/A</v>
      </c>
      <c r="R53" s="77" t="e">
        <f aca="false">IF(KMeans_Phase!$E71=2,Phase_Data!$C53,NA())</f>
        <v>#N/A</v>
      </c>
      <c r="S53" s="77" t="n">
        <f aca="false">IF(KMeans_Phase!$E71=3,KMeans_Phase!$A71,NA())</f>
        <v>43935</v>
      </c>
      <c r="T53" s="77" t="n">
        <f aca="false">IF(KMeans_Phase!$E71=3,Phase_Data!$C53,NA())</f>
        <v>628</v>
      </c>
    </row>
    <row r="54" customFormat="false" ht="15" hidden="false" customHeight="false" outlineLevel="0" collapsed="false">
      <c r="A54" s="77" t="e">
        <f aca="false">IF(KMeans_City!$E72=1,KMeans_City!$B72,NA())</f>
        <v>#N/A</v>
      </c>
      <c r="B54" s="77" t="e">
        <f aca="false">IF(KMeans_City!$E72=1,KMeans_City!$C72,NA())</f>
        <v>#N/A</v>
      </c>
      <c r="C54" s="77" t="n">
        <f aca="false">IF(KMeans_City!$E72=2,KMeans_City!$B72,NA())</f>
        <v>0.194428618785618</v>
      </c>
      <c r="D54" s="77" t="n">
        <f aca="false">IF(KMeans_City!$E72=2,KMeans_City!$C72,NA())</f>
        <v>-0.672650545388274</v>
      </c>
      <c r="E54" s="77" t="e">
        <f aca="false">IF(KMeans_City!$E72=3,KMeans_City!$B72,NA())</f>
        <v>#N/A</v>
      </c>
      <c r="F54" s="77" t="e">
        <f aca="false">IF(KMeans_City!$E72=3,KMeans_City!$C72,NA())</f>
        <v>#N/A</v>
      </c>
      <c r="O54" s="77" t="e">
        <f aca="false">IF(KMeans_Phase!$E72=1,KMeans_Phase!$A72,NA())</f>
        <v>#N/A</v>
      </c>
      <c r="P54" s="77" t="e">
        <f aca="false">IF(KMeans_Phase!$E72=1,Phase_Data!$C54,NA())</f>
        <v>#N/A</v>
      </c>
      <c r="Q54" s="77" t="e">
        <f aca="false">IF(KMeans_Phase!$E72=2,KMeans_Phase!$A72,NA())</f>
        <v>#N/A</v>
      </c>
      <c r="R54" s="77" t="e">
        <f aca="false">IF(KMeans_Phase!$E72=2,Phase_Data!$C54,NA())</f>
        <v>#N/A</v>
      </c>
      <c r="S54" s="77" t="n">
        <f aca="false">IF(KMeans_Phase!$E72=3,KMeans_Phase!$A72,NA())</f>
        <v>43936</v>
      </c>
      <c r="T54" s="77" t="n">
        <f aca="false">IF(KMeans_Phase!$E72=3,Phase_Data!$C54,NA())</f>
        <v>321</v>
      </c>
    </row>
    <row r="55" customFormat="false" ht="15" hidden="false" customHeight="false" outlineLevel="0" collapsed="false">
      <c r="A55" s="77" t="e">
        <f aca="false">IF(KMeans_City!$E73=1,KMeans_City!$B73,NA())</f>
        <v>#N/A</v>
      </c>
      <c r="B55" s="77" t="e">
        <f aca="false">IF(KMeans_City!$E73=1,KMeans_City!$C73,NA())</f>
        <v>#N/A</v>
      </c>
      <c r="C55" s="77" t="n">
        <f aca="false">IF(KMeans_City!$E73=2,KMeans_City!$B73,NA())</f>
        <v>0.187798337815286</v>
      </c>
      <c r="D55" s="77" t="n">
        <f aca="false">IF(KMeans_City!$E73=2,KMeans_City!$C73,NA())</f>
        <v>-0.672650545388274</v>
      </c>
      <c r="E55" s="77" t="e">
        <f aca="false">IF(KMeans_City!$E73=3,KMeans_City!$B73,NA())</f>
        <v>#N/A</v>
      </c>
      <c r="F55" s="77" t="e">
        <f aca="false">IF(KMeans_City!$E73=3,KMeans_City!$C73,NA())</f>
        <v>#N/A</v>
      </c>
      <c r="O55" s="77" t="e">
        <f aca="false">IF(KMeans_Phase!$E73=1,KMeans_Phase!$A73,NA())</f>
        <v>#N/A</v>
      </c>
      <c r="P55" s="77" t="e">
        <f aca="false">IF(KMeans_Phase!$E73=1,Phase_Data!$C55,NA())</f>
        <v>#N/A</v>
      </c>
      <c r="Q55" s="77" t="n">
        <f aca="false">IF(KMeans_Phase!$E73=2,KMeans_Phase!$A73,NA())</f>
        <v>43937</v>
      </c>
      <c r="R55" s="77" t="n">
        <f aca="false">IF(KMeans_Phase!$E73=2,Phase_Data!$C55,NA())</f>
        <v>683</v>
      </c>
      <c r="S55" s="77" t="e">
        <f aca="false">IF(KMeans_Phase!$E73=3,KMeans_Phase!$A73,NA())</f>
        <v>#N/A</v>
      </c>
      <c r="T55" s="77" t="e">
        <f aca="false">IF(KMeans_Phase!$E73=3,Phase_Data!$C55,NA())</f>
        <v>#N/A</v>
      </c>
    </row>
    <row r="56" customFormat="false" ht="15" hidden="false" customHeight="false" outlineLevel="0" collapsed="false">
      <c r="A56" s="77" t="e">
        <f aca="false">IF(KMeans_City!$E74=1,KMeans_City!$B74,NA())</f>
        <v>#N/A</v>
      </c>
      <c r="B56" s="77" t="e">
        <f aca="false">IF(KMeans_City!$E74=1,KMeans_City!$C74,NA())</f>
        <v>#N/A</v>
      </c>
      <c r="C56" s="77" t="n">
        <f aca="false">IF(KMeans_City!$E74=2,KMeans_City!$B74,NA())</f>
        <v>0.167385132550892</v>
      </c>
      <c r="D56" s="77" t="n">
        <f aca="false">IF(KMeans_City!$E74=2,KMeans_City!$C74,NA())</f>
        <v>-0.672650545388274</v>
      </c>
      <c r="E56" s="77" t="e">
        <f aca="false">IF(KMeans_City!$E74=3,KMeans_City!$B74,NA())</f>
        <v>#N/A</v>
      </c>
      <c r="F56" s="77" t="e">
        <f aca="false">IF(KMeans_City!$E74=3,KMeans_City!$C74,NA())</f>
        <v>#N/A</v>
      </c>
      <c r="O56" s="77" t="e">
        <f aca="false">IF(KMeans_Phase!$E74=1,KMeans_Phase!$A74,NA())</f>
        <v>#N/A</v>
      </c>
      <c r="P56" s="77" t="e">
        <f aca="false">IF(KMeans_Phase!$E74=1,Phase_Data!$C56,NA())</f>
        <v>#N/A</v>
      </c>
      <c r="Q56" s="77" t="e">
        <f aca="false">IF(KMeans_Phase!$E74=2,KMeans_Phase!$A74,NA())</f>
        <v>#N/A</v>
      </c>
      <c r="R56" s="77" t="e">
        <f aca="false">IF(KMeans_Phase!$E74=2,Phase_Data!$C56,NA())</f>
        <v>#N/A</v>
      </c>
      <c r="S56" s="77" t="n">
        <f aca="false">IF(KMeans_Phase!$E74=3,KMeans_Phase!$A74,NA())</f>
        <v>43938</v>
      </c>
      <c r="T56" s="77" t="n">
        <f aca="false">IF(KMeans_Phase!$E74=3,Phase_Data!$C56,NA())</f>
        <v>512</v>
      </c>
    </row>
    <row r="57" customFormat="false" ht="15" hidden="false" customHeight="false" outlineLevel="0" collapsed="false">
      <c r="A57" s="77" t="e">
        <f aca="false">IF(KMeans_City!$E75=1,KMeans_City!$B75,NA())</f>
        <v>#N/A</v>
      </c>
      <c r="B57" s="77" t="e">
        <f aca="false">IF(KMeans_City!$E75=1,KMeans_City!$C75,NA())</f>
        <v>#N/A</v>
      </c>
      <c r="C57" s="77" t="n">
        <f aca="false">IF(KMeans_City!$E75=2,KMeans_City!$B75,NA())</f>
        <v>0.153317518957985</v>
      </c>
      <c r="D57" s="77" t="n">
        <f aca="false">IF(KMeans_City!$E75=2,KMeans_City!$C75,NA())</f>
        <v>-0.672650545388274</v>
      </c>
      <c r="E57" s="77" t="e">
        <f aca="false">IF(KMeans_City!$E75=3,KMeans_City!$B75,NA())</f>
        <v>#N/A</v>
      </c>
      <c r="F57" s="77" t="e">
        <f aca="false">IF(KMeans_City!$E75=3,KMeans_City!$C75,NA())</f>
        <v>#N/A</v>
      </c>
      <c r="O57" s="77" t="e">
        <f aca="false">IF(KMeans_Phase!$E75=1,KMeans_Phase!$A75,NA())</f>
        <v>#N/A</v>
      </c>
      <c r="P57" s="77" t="e">
        <f aca="false">IF(KMeans_Phase!$E75=1,Phase_Data!$C57,NA())</f>
        <v>#N/A</v>
      </c>
      <c r="Q57" s="77" t="e">
        <f aca="false">IF(KMeans_Phase!$E75=2,KMeans_Phase!$A75,NA())</f>
        <v>#N/A</v>
      </c>
      <c r="R57" s="77" t="e">
        <f aca="false">IF(KMeans_Phase!$E75=2,Phase_Data!$C57,NA())</f>
        <v>#N/A</v>
      </c>
      <c r="S57" s="77" t="n">
        <f aca="false">IF(KMeans_Phase!$E75=3,KMeans_Phase!$A75,NA())</f>
        <v>43939</v>
      </c>
      <c r="T57" s="77" t="n">
        <f aca="false">IF(KMeans_Phase!$E75=3,Phase_Data!$C57,NA())</f>
        <v>285</v>
      </c>
    </row>
    <row r="58" customFormat="false" ht="15" hidden="false" customHeight="false" outlineLevel="0" collapsed="false">
      <c r="A58" s="77" t="e">
        <f aca="false">IF(KMeans_City!$E76=1,KMeans_City!$B76,NA())</f>
        <v>#N/A</v>
      </c>
      <c r="B58" s="77" t="e">
        <f aca="false">IF(KMeans_City!$E76=1,KMeans_City!$C76,NA())</f>
        <v>#N/A</v>
      </c>
      <c r="C58" s="77" t="e">
        <f aca="false">IF(KMeans_City!$E76=2,KMeans_City!$B76,NA())</f>
        <v>#N/A</v>
      </c>
      <c r="D58" s="77" t="e">
        <f aca="false">IF(KMeans_City!$E76=2,KMeans_City!$C76,NA())</f>
        <v>#N/A</v>
      </c>
      <c r="E58" s="77" t="n">
        <f aca="false">IF(KMeans_City!$E76=3,KMeans_City!$B76,NA())</f>
        <v>0.131476411515176</v>
      </c>
      <c r="F58" s="77" t="n">
        <f aca="false">IF(KMeans_City!$E76=3,KMeans_City!$C76,NA())</f>
        <v>1.38107452085777</v>
      </c>
      <c r="O58" s="77" t="e">
        <f aca="false">IF(KMeans_Phase!$E76=1,KMeans_Phase!$A76,NA())</f>
        <v>#N/A</v>
      </c>
      <c r="P58" s="77" t="e">
        <f aca="false">IF(KMeans_Phase!$E76=1,Phase_Data!$C58,NA())</f>
        <v>#N/A</v>
      </c>
      <c r="Q58" s="77" t="e">
        <f aca="false">IF(KMeans_Phase!$E76=2,KMeans_Phase!$A76,NA())</f>
        <v>#N/A</v>
      </c>
      <c r="R58" s="77" t="e">
        <f aca="false">IF(KMeans_Phase!$E76=2,Phase_Data!$C58,NA())</f>
        <v>#N/A</v>
      </c>
      <c r="S58" s="77" t="n">
        <f aca="false">IF(KMeans_Phase!$E76=3,KMeans_Phase!$A76,NA())</f>
        <v>43940</v>
      </c>
      <c r="T58" s="77" t="n">
        <f aca="false">IF(KMeans_Phase!$E76=3,Phase_Data!$C58,NA())</f>
        <v>583</v>
      </c>
    </row>
    <row r="59" customFormat="false" ht="15" hidden="false" customHeight="false" outlineLevel="0" collapsed="false">
      <c r="A59" s="77" t="e">
        <f aca="false">IF(KMeans_City!$E77=1,KMeans_City!$B77,NA())</f>
        <v>#N/A</v>
      </c>
      <c r="B59" s="77" t="e">
        <f aca="false">IF(KMeans_City!$E77=1,KMeans_City!$C77,NA())</f>
        <v>#N/A</v>
      </c>
      <c r="C59" s="77" t="e">
        <f aca="false">IF(KMeans_City!$E77=2,KMeans_City!$B77,NA())</f>
        <v>#N/A</v>
      </c>
      <c r="D59" s="77" t="e">
        <f aca="false">IF(KMeans_City!$E77=2,KMeans_City!$C77,NA())</f>
        <v>#N/A</v>
      </c>
      <c r="E59" s="77" t="n">
        <f aca="false">IF(KMeans_City!$E77=3,KMeans_City!$B77,NA())</f>
        <v>0.100851695433816</v>
      </c>
      <c r="F59" s="77" t="n">
        <f aca="false">IF(KMeans_City!$E77=3,KMeans_City!$C77,NA())</f>
        <v>-0.146983133929529</v>
      </c>
      <c r="O59" s="77" t="e">
        <f aca="false">IF(KMeans_Phase!$E77=1,KMeans_Phase!$A77,NA())</f>
        <v>#N/A</v>
      </c>
      <c r="P59" s="77" t="e">
        <f aca="false">IF(KMeans_Phase!$E77=1,Phase_Data!$C59,NA())</f>
        <v>#N/A</v>
      </c>
      <c r="Q59" s="77" t="e">
        <f aca="false">IF(KMeans_Phase!$E77=2,KMeans_Phase!$A77,NA())</f>
        <v>#N/A</v>
      </c>
      <c r="R59" s="77" t="e">
        <f aca="false">IF(KMeans_Phase!$E77=2,Phase_Data!$C59,NA())</f>
        <v>#N/A</v>
      </c>
      <c r="S59" s="77" t="n">
        <f aca="false">IF(KMeans_Phase!$E77=3,KMeans_Phase!$A77,NA())</f>
        <v>43941</v>
      </c>
      <c r="T59" s="77" t="n">
        <f aca="false">IF(KMeans_Phase!$E77=3,Phase_Data!$C59,NA())</f>
        <v>707</v>
      </c>
    </row>
    <row r="60" customFormat="false" ht="15" hidden="false" customHeight="false" outlineLevel="0" collapsed="false">
      <c r="A60" s="77" t="e">
        <f aca="false">IF(KMeans_City!$E78=1,KMeans_City!$B78,NA())</f>
        <v>#N/A</v>
      </c>
      <c r="B60" s="77" t="e">
        <f aca="false">IF(KMeans_City!$E78=1,KMeans_City!$C78,NA())</f>
        <v>#N/A</v>
      </c>
      <c r="C60" s="77" t="n">
        <f aca="false">IF(KMeans_City!$E78=2,KMeans_City!$B78,NA())</f>
        <v>0.0848359697065613</v>
      </c>
      <c r="D60" s="77" t="n">
        <f aca="false">IF(KMeans_City!$E78=2,KMeans_City!$C78,NA())</f>
        <v>-0.672650545388274</v>
      </c>
      <c r="E60" s="77" t="e">
        <f aca="false">IF(KMeans_City!$E78=3,KMeans_City!$B78,NA())</f>
        <v>#N/A</v>
      </c>
      <c r="F60" s="77" t="e">
        <f aca="false">IF(KMeans_City!$E78=3,KMeans_City!$C78,NA())</f>
        <v>#N/A</v>
      </c>
      <c r="O60" s="77" t="e">
        <f aca="false">IF(KMeans_Phase!$E78=1,KMeans_Phase!$A78,NA())</f>
        <v>#N/A</v>
      </c>
      <c r="P60" s="77" t="e">
        <f aca="false">IF(KMeans_Phase!$E78=1,Phase_Data!$C60,NA())</f>
        <v>#N/A</v>
      </c>
      <c r="Q60" s="77" t="n">
        <f aca="false">IF(KMeans_Phase!$E78=2,KMeans_Phase!$A78,NA())</f>
        <v>43942</v>
      </c>
      <c r="R60" s="77" t="n">
        <f aca="false">IF(KMeans_Phase!$E78=2,Phase_Data!$C60,NA())</f>
        <v>677</v>
      </c>
      <c r="S60" s="77" t="e">
        <f aca="false">IF(KMeans_Phase!$E78=3,KMeans_Phase!$A78,NA())</f>
        <v>#N/A</v>
      </c>
      <c r="T60" s="77" t="e">
        <f aca="false">IF(KMeans_Phase!$E78=3,Phase_Data!$C60,NA())</f>
        <v>#N/A</v>
      </c>
    </row>
    <row r="61" customFormat="false" ht="15" hidden="false" customHeight="false" outlineLevel="0" collapsed="false">
      <c r="A61" s="77" t="e">
        <f aca="false">IF(KMeans_City!$E79=1,KMeans_City!$B79,NA())</f>
        <v>#N/A</v>
      </c>
      <c r="B61" s="77" t="e">
        <f aca="false">IF(KMeans_City!$E79=1,KMeans_City!$C79,NA())</f>
        <v>#N/A</v>
      </c>
      <c r="C61" s="77" t="n">
        <f aca="false">IF(KMeans_City!$E79=2,KMeans_City!$B79,NA())</f>
        <v>0.0683117241366259</v>
      </c>
      <c r="D61" s="77" t="n">
        <f aca="false">IF(KMeans_City!$E79=2,KMeans_City!$C79,NA())</f>
        <v>-0.672650545388274</v>
      </c>
      <c r="E61" s="77" t="e">
        <f aca="false">IF(KMeans_City!$E79=3,KMeans_City!$B79,NA())</f>
        <v>#N/A</v>
      </c>
      <c r="F61" s="77" t="e">
        <f aca="false">IF(KMeans_City!$E79=3,KMeans_City!$C79,NA())</f>
        <v>#N/A</v>
      </c>
      <c r="O61" s="77" t="e">
        <f aca="false">IF(KMeans_Phase!$E79=1,KMeans_Phase!$A79,NA())</f>
        <v>#N/A</v>
      </c>
      <c r="P61" s="77" t="e">
        <f aca="false">IF(KMeans_Phase!$E79=1,Phase_Data!$C61,NA())</f>
        <v>#N/A</v>
      </c>
      <c r="Q61" s="77" t="e">
        <f aca="false">IF(KMeans_Phase!$E79=2,KMeans_Phase!$A79,NA())</f>
        <v>#N/A</v>
      </c>
      <c r="R61" s="77" t="e">
        <f aca="false">IF(KMeans_Phase!$E79=2,Phase_Data!$C61,NA())</f>
        <v>#N/A</v>
      </c>
      <c r="S61" s="77" t="n">
        <f aca="false">IF(KMeans_Phase!$E79=3,KMeans_Phase!$A79,NA())</f>
        <v>43943</v>
      </c>
      <c r="T61" s="77" t="n">
        <f aca="false">IF(KMeans_Phase!$E79=3,Phase_Data!$C61,NA())</f>
        <v>767</v>
      </c>
    </row>
    <row r="62" customFormat="false" ht="15" hidden="false" customHeight="false" outlineLevel="0" collapsed="false">
      <c r="A62" s="77" t="e">
        <f aca="false">IF(KMeans_City!$E80=1,KMeans_City!$B80,NA())</f>
        <v>#N/A</v>
      </c>
      <c r="B62" s="77" t="e">
        <f aca="false">IF(KMeans_City!$E80=1,KMeans_City!$C80,NA())</f>
        <v>#N/A</v>
      </c>
      <c r="C62" s="77" t="e">
        <f aca="false">IF(KMeans_City!$E80=2,KMeans_City!$B80,NA())</f>
        <v>#N/A</v>
      </c>
      <c r="D62" s="77" t="e">
        <f aca="false">IF(KMeans_City!$E80=2,KMeans_City!$C80,NA())</f>
        <v>#N/A</v>
      </c>
      <c r="E62" s="77" t="n">
        <f aca="false">IF(KMeans_City!$E80=3,KMeans_City!$B80,NA())</f>
        <v>0.0245489826438638</v>
      </c>
      <c r="F62" s="77" t="n">
        <f aca="false">IF(KMeans_City!$E80=3,KMeans_City!$C80,NA())</f>
        <v>0.547911385844501</v>
      </c>
      <c r="O62" s="77" t="e">
        <f aca="false">IF(KMeans_Phase!$E80=1,KMeans_Phase!$A80,NA())</f>
        <v>#N/A</v>
      </c>
      <c r="P62" s="77" t="e">
        <f aca="false">IF(KMeans_Phase!$E80=1,Phase_Data!$C62,NA())</f>
        <v>#N/A</v>
      </c>
      <c r="Q62" s="77" t="e">
        <f aca="false">IF(KMeans_Phase!$E80=2,KMeans_Phase!$A80,NA())</f>
        <v>#N/A</v>
      </c>
      <c r="R62" s="77" t="e">
        <f aca="false">IF(KMeans_Phase!$E80=2,Phase_Data!$C62,NA())</f>
        <v>#N/A</v>
      </c>
      <c r="S62" s="77" t="n">
        <f aca="false">IF(KMeans_Phase!$E80=3,KMeans_Phase!$A80,NA())</f>
        <v>43944</v>
      </c>
      <c r="T62" s="77" t="n">
        <f aca="false">IF(KMeans_Phase!$E80=3,Phase_Data!$C62,NA())</f>
        <v>641</v>
      </c>
    </row>
    <row r="63" customFormat="false" ht="15" hidden="false" customHeight="false" outlineLevel="0" collapsed="false">
      <c r="A63" s="77" t="e">
        <f aca="false">IF(KMeans_City!$E81=1,KMeans_City!$B81,NA())</f>
        <v>#N/A</v>
      </c>
      <c r="B63" s="77" t="e">
        <f aca="false">IF(KMeans_City!$E81=1,KMeans_City!$C81,NA())</f>
        <v>#N/A</v>
      </c>
      <c r="C63" s="77" t="n">
        <f aca="false">IF(KMeans_City!$E81=2,KMeans_City!$B81,NA())</f>
        <v>0.00595879156403144</v>
      </c>
      <c r="D63" s="77" t="n">
        <f aca="false">IF(KMeans_City!$E81=2,KMeans_City!$C81,NA())</f>
        <v>-0.672650545388274</v>
      </c>
      <c r="E63" s="77" t="e">
        <f aca="false">IF(KMeans_City!$E81=3,KMeans_City!$B81,NA())</f>
        <v>#N/A</v>
      </c>
      <c r="F63" s="77" t="e">
        <f aca="false">IF(KMeans_City!$E81=3,KMeans_City!$C81,NA())</f>
        <v>#N/A</v>
      </c>
      <c r="O63" s="77" t="e">
        <f aca="false">IF(KMeans_Phase!$E81=1,KMeans_Phase!$A81,NA())</f>
        <v>#N/A</v>
      </c>
      <c r="P63" s="77" t="e">
        <f aca="false">IF(KMeans_Phase!$E81=1,Phase_Data!$C63,NA())</f>
        <v>#N/A</v>
      </c>
      <c r="Q63" s="77" t="e">
        <f aca="false">IF(KMeans_Phase!$E81=2,KMeans_Phase!$A81,NA())</f>
        <v>#N/A</v>
      </c>
      <c r="R63" s="77" t="e">
        <f aca="false">IF(KMeans_Phase!$E81=2,Phase_Data!$C63,NA())</f>
        <v>#N/A</v>
      </c>
      <c r="S63" s="77" t="n">
        <f aca="false">IF(KMeans_Phase!$E81=3,KMeans_Phase!$A81,NA())</f>
        <v>43945</v>
      </c>
      <c r="T63" s="77" t="n">
        <f aca="false">IF(KMeans_Phase!$E81=3,Phase_Data!$C63,NA())</f>
        <v>534</v>
      </c>
    </row>
    <row r="64" customFormat="false" ht="15" hidden="false" customHeight="false" outlineLevel="0" collapsed="false">
      <c r="A64" s="77" t="e">
        <f aca="false">IF(KMeans_City!$E82=1,KMeans_City!$B82,NA())</f>
        <v>#N/A</v>
      </c>
      <c r="B64" s="77" t="e">
        <f aca="false">IF(KMeans_City!$E82=1,KMeans_City!$C82,NA())</f>
        <v>#N/A</v>
      </c>
      <c r="C64" s="77" t="e">
        <f aca="false">IF(KMeans_City!$E82=2,KMeans_City!$B82,NA())</f>
        <v>#N/A</v>
      </c>
      <c r="D64" s="77" t="e">
        <f aca="false">IF(KMeans_City!$E82=2,KMeans_City!$C82,NA())</f>
        <v>#N/A</v>
      </c>
      <c r="E64" s="77" t="n">
        <f aca="false">IF(KMeans_City!$E82=3,KMeans_City!$B82,NA())</f>
        <v>-0.00359138496118499</v>
      </c>
      <c r="F64" s="77" t="n">
        <f aca="false">IF(KMeans_City!$E82=3,KMeans_City!$C82,NA())</f>
        <v>-0.672650545388274</v>
      </c>
      <c r="O64" s="77" t="e">
        <f aca="false">IF(KMeans_Phase!$E82=1,KMeans_Phase!$A82,NA())</f>
        <v>#N/A</v>
      </c>
      <c r="P64" s="77" t="e">
        <f aca="false">IF(KMeans_Phase!$E82=1,Phase_Data!$C64,NA())</f>
        <v>#N/A</v>
      </c>
      <c r="Q64" s="77" t="e">
        <f aca="false">IF(KMeans_Phase!$E82=2,KMeans_Phase!$A82,NA())</f>
        <v>#N/A</v>
      </c>
      <c r="R64" s="77" t="e">
        <f aca="false">IF(KMeans_Phase!$E82=2,Phase_Data!$C64,NA())</f>
        <v>#N/A</v>
      </c>
      <c r="S64" s="77" t="n">
        <f aca="false">IF(KMeans_Phase!$E82=3,KMeans_Phase!$A82,NA())</f>
        <v>43946</v>
      </c>
      <c r="T64" s="77" t="n">
        <f aca="false">IF(KMeans_Phase!$E82=3,Phase_Data!$C64,NA())</f>
        <v>922</v>
      </c>
    </row>
    <row r="65" customFormat="false" ht="15" hidden="false" customHeight="false" outlineLevel="0" collapsed="false">
      <c r="A65" s="77" t="e">
        <f aca="false">IF(KMeans_City!$E83=1,KMeans_City!$B83,NA())</f>
        <v>#N/A</v>
      </c>
      <c r="B65" s="77" t="e">
        <f aca="false">IF(KMeans_City!$E83=1,KMeans_City!$C83,NA())</f>
        <v>#N/A</v>
      </c>
      <c r="C65" s="77" t="e">
        <f aca="false">IF(KMeans_City!$E83=2,KMeans_City!$B83,NA())</f>
        <v>#N/A</v>
      </c>
      <c r="D65" s="77" t="e">
        <f aca="false">IF(KMeans_City!$E83=2,KMeans_City!$C83,NA())</f>
        <v>#N/A</v>
      </c>
      <c r="E65" s="77" t="n">
        <f aca="false">IF(KMeans_City!$E83=3,KMeans_City!$B83,NA())</f>
        <v>-0.0333406256173151</v>
      </c>
      <c r="F65" s="77" t="n">
        <f aca="false">IF(KMeans_City!$E83=3,KMeans_City!$C83,NA())</f>
        <v>0.547911385844501</v>
      </c>
      <c r="O65" s="77" t="e">
        <f aca="false">IF(KMeans_Phase!$E83=1,KMeans_Phase!$A83,NA())</f>
        <v>#N/A</v>
      </c>
      <c r="P65" s="77" t="e">
        <f aca="false">IF(KMeans_Phase!$E83=1,Phase_Data!$C65,NA())</f>
        <v>#N/A</v>
      </c>
      <c r="Q65" s="77" t="e">
        <f aca="false">IF(KMeans_Phase!$E83=2,KMeans_Phase!$A83,NA())</f>
        <v>#N/A</v>
      </c>
      <c r="R65" s="77" t="e">
        <f aca="false">IF(KMeans_Phase!$E83=2,Phase_Data!$C65,NA())</f>
        <v>#N/A</v>
      </c>
      <c r="S65" s="77" t="n">
        <f aca="false">IF(KMeans_Phase!$E83=3,KMeans_Phase!$A83,NA())</f>
        <v>43947</v>
      </c>
      <c r="T65" s="77" t="n">
        <f aca="false">IF(KMeans_Phase!$E83=3,Phase_Data!$C65,NA())</f>
        <v>660</v>
      </c>
    </row>
    <row r="66" customFormat="false" ht="15" hidden="false" customHeight="false" outlineLevel="0" collapsed="false">
      <c r="A66" s="77" t="e">
        <f aca="false">IF(KMeans_City!$E84=1,KMeans_City!$B84,NA())</f>
        <v>#N/A</v>
      </c>
      <c r="B66" s="77" t="e">
        <f aca="false">IF(KMeans_City!$E84=1,KMeans_City!$C84,NA())</f>
        <v>#N/A</v>
      </c>
      <c r="C66" s="77" t="e">
        <f aca="false">IF(KMeans_City!$E84=2,KMeans_City!$B84,NA())</f>
        <v>#N/A</v>
      </c>
      <c r="D66" s="77" t="e">
        <f aca="false">IF(KMeans_City!$E84=2,KMeans_City!$C84,NA())</f>
        <v>#N/A</v>
      </c>
      <c r="E66" s="77" t="n">
        <f aca="false">IF(KMeans_City!$E84=3,KMeans_City!$B84,NA())</f>
        <v>-0.0436472993942904</v>
      </c>
      <c r="F66" s="77" t="n">
        <f aca="false">IF(KMeans_City!$E84=3,KMeans_City!$C84,NA())</f>
        <v>0.160512589624996</v>
      </c>
      <c r="O66" s="77" t="e">
        <f aca="false">IF(KMeans_Phase!$E84=1,KMeans_Phase!$A84,NA())</f>
        <v>#N/A</v>
      </c>
      <c r="P66" s="77" t="e">
        <f aca="false">IF(KMeans_Phase!$E84=1,Phase_Data!$C66,NA())</f>
        <v>#N/A</v>
      </c>
      <c r="Q66" s="77" t="e">
        <f aca="false">IF(KMeans_Phase!$E84=2,KMeans_Phase!$A84,NA())</f>
        <v>#N/A</v>
      </c>
      <c r="R66" s="77" t="e">
        <f aca="false">IF(KMeans_Phase!$E84=2,Phase_Data!$C66,NA())</f>
        <v>#N/A</v>
      </c>
      <c r="S66" s="77" t="n">
        <f aca="false">IF(KMeans_Phase!$E84=3,KMeans_Phase!$A84,NA())</f>
        <v>43948</v>
      </c>
      <c r="T66" s="77" t="n">
        <f aca="false">IF(KMeans_Phase!$E84=3,Phase_Data!$C66,NA())</f>
        <v>739</v>
      </c>
    </row>
    <row r="67" customFormat="false" ht="15" hidden="false" customHeight="false" outlineLevel="0" collapsed="false">
      <c r="A67" s="77" t="e">
        <f aca="false">IF(KMeans_City!$E85=1,KMeans_City!$B85,NA())</f>
        <v>#N/A</v>
      </c>
      <c r="B67" s="77" t="e">
        <f aca="false">IF(KMeans_City!$E85=1,KMeans_City!$C85,NA())</f>
        <v>#N/A</v>
      </c>
      <c r="C67" s="77" t="n">
        <f aca="false">IF(KMeans_City!$E85=2,KMeans_City!$B85,NA())</f>
        <v>-0.0648939235999031</v>
      </c>
      <c r="D67" s="77" t="n">
        <f aca="false">IF(KMeans_City!$E85=2,KMeans_City!$C85,NA())</f>
        <v>-0.672650545388274</v>
      </c>
      <c r="E67" s="77" t="e">
        <f aca="false">IF(KMeans_City!$E85=3,KMeans_City!$B85,NA())</f>
        <v>#N/A</v>
      </c>
      <c r="F67" s="77" t="e">
        <f aca="false">IF(KMeans_City!$E85=3,KMeans_City!$C85,NA())</f>
        <v>#N/A</v>
      </c>
      <c r="O67" s="77" t="e">
        <f aca="false">IF(KMeans_Phase!$E85=1,KMeans_Phase!$A85,NA())</f>
        <v>#N/A</v>
      </c>
      <c r="P67" s="77" t="e">
        <f aca="false">IF(KMeans_Phase!$E85=1,Phase_Data!$C67,NA())</f>
        <v>#N/A</v>
      </c>
      <c r="Q67" s="77" t="e">
        <f aca="false">IF(KMeans_Phase!$E85=2,KMeans_Phase!$A85,NA())</f>
        <v>#N/A</v>
      </c>
      <c r="R67" s="77" t="e">
        <f aca="false">IF(KMeans_Phase!$E85=2,Phase_Data!$C67,NA())</f>
        <v>#N/A</v>
      </c>
      <c r="S67" s="77" t="n">
        <f aca="false">IF(KMeans_Phase!$E85=3,KMeans_Phase!$A85,NA())</f>
        <v>43949</v>
      </c>
      <c r="T67" s="77" t="n">
        <f aca="false">IF(KMeans_Phase!$E85=3,Phase_Data!$C67,NA())</f>
        <v>730</v>
      </c>
    </row>
    <row r="68" customFormat="false" ht="15" hidden="false" customHeight="false" outlineLevel="0" collapsed="false">
      <c r="A68" s="77" t="e">
        <f aca="false">IF(KMeans_City!$E86=1,KMeans_City!$B86,NA())</f>
        <v>#N/A</v>
      </c>
      <c r="B68" s="77" t="e">
        <f aca="false">IF(KMeans_City!$E86=1,KMeans_City!$C86,NA())</f>
        <v>#N/A</v>
      </c>
      <c r="C68" s="77" t="e">
        <f aca="false">IF(KMeans_City!$E86=2,KMeans_City!$B86,NA())</f>
        <v>#N/A</v>
      </c>
      <c r="D68" s="77" t="e">
        <f aca="false">IF(KMeans_City!$E86=2,KMeans_City!$C86,NA())</f>
        <v>#N/A</v>
      </c>
      <c r="E68" s="77" t="n">
        <f aca="false">IF(KMeans_City!$E86=3,KMeans_City!$B86,NA())</f>
        <v>-0.0984842888309702</v>
      </c>
      <c r="F68" s="77" t="n">
        <f aca="false">IF(KMeans_City!$E86=3,KMeans_City!$C86,NA())</f>
        <v>0.160512589624996</v>
      </c>
      <c r="O68" s="77" t="e">
        <f aca="false">IF(KMeans_Phase!$E86=1,KMeans_Phase!$A86,NA())</f>
        <v>#N/A</v>
      </c>
      <c r="P68" s="77" t="e">
        <f aca="false">IF(KMeans_Phase!$E86=1,Phase_Data!$C68,NA())</f>
        <v>#N/A</v>
      </c>
      <c r="Q68" s="77" t="n">
        <f aca="false">IF(KMeans_Phase!$E86=2,KMeans_Phase!$A86,NA())</f>
        <v>43950</v>
      </c>
      <c r="R68" s="77" t="n">
        <f aca="false">IF(KMeans_Phase!$E86=2,Phase_Data!$C68,NA())</f>
        <v>948</v>
      </c>
      <c r="S68" s="77" t="e">
        <f aca="false">IF(KMeans_Phase!$E86=3,KMeans_Phase!$A86,NA())</f>
        <v>#N/A</v>
      </c>
      <c r="T68" s="77" t="e">
        <f aca="false">IF(KMeans_Phase!$E86=3,Phase_Data!$C68,NA())</f>
        <v>#N/A</v>
      </c>
    </row>
    <row r="69" customFormat="false" ht="15" hidden="false" customHeight="false" outlineLevel="0" collapsed="false">
      <c r="A69" s="77" t="e">
        <f aca="false">IF(KMeans_City!$E87=1,KMeans_City!$B87,NA())</f>
        <v>#N/A</v>
      </c>
      <c r="B69" s="77" t="e">
        <f aca="false">IF(KMeans_City!$E87=1,KMeans_City!$C87,NA())</f>
        <v>#N/A</v>
      </c>
      <c r="C69" s="77" t="e">
        <f aca="false">IF(KMeans_City!$E87=2,KMeans_City!$B87,NA())</f>
        <v>#N/A</v>
      </c>
      <c r="D69" s="77" t="e">
        <f aca="false">IF(KMeans_City!$E87=2,KMeans_City!$C87,NA())</f>
        <v>#N/A</v>
      </c>
      <c r="E69" s="77" t="n">
        <f aca="false">IF(KMeans_City!$E87=3,KMeans_City!$B87,NA())</f>
        <v>-0.110180736511367</v>
      </c>
      <c r="F69" s="77" t="n">
        <f aca="false">IF(KMeans_City!$E87=3,KMeans_City!$C87,NA())</f>
        <v>-0.146983133929529</v>
      </c>
      <c r="O69" s="77" t="e">
        <f aca="false">IF(KMeans_Phase!$E87=1,KMeans_Phase!$A87,NA())</f>
        <v>#N/A</v>
      </c>
      <c r="P69" s="77" t="e">
        <f aca="false">IF(KMeans_Phase!$E87=1,Phase_Data!$C69,NA())</f>
        <v>#N/A</v>
      </c>
      <c r="Q69" s="77" t="e">
        <f aca="false">IF(KMeans_Phase!$E87=2,KMeans_Phase!$A87,NA())</f>
        <v>#N/A</v>
      </c>
      <c r="R69" s="77" t="e">
        <f aca="false">IF(KMeans_Phase!$E87=2,Phase_Data!$C69,NA())</f>
        <v>#N/A</v>
      </c>
      <c r="S69" s="77" t="n">
        <f aca="false">IF(KMeans_Phase!$E87=3,KMeans_Phase!$A87,NA())</f>
        <v>43951</v>
      </c>
      <c r="T69" s="77" t="n">
        <f aca="false">IF(KMeans_Phase!$E87=3,Phase_Data!$C69,NA())</f>
        <v>665</v>
      </c>
    </row>
    <row r="70" customFormat="false" ht="15" hidden="false" customHeight="false" outlineLevel="0" collapsed="false">
      <c r="A70" s="77" t="e">
        <f aca="false">IF(KMeans_City!$E88=1,KMeans_City!$B88,NA())</f>
        <v>#N/A</v>
      </c>
      <c r="B70" s="77" t="e">
        <f aca="false">IF(KMeans_City!$E88=1,KMeans_City!$C88,NA())</f>
        <v>#N/A</v>
      </c>
      <c r="C70" s="77" t="e">
        <f aca="false">IF(KMeans_City!$E88=2,KMeans_City!$B88,NA())</f>
        <v>#N/A</v>
      </c>
      <c r="D70" s="77" t="e">
        <f aca="false">IF(KMeans_City!$E88=2,KMeans_City!$C88,NA())</f>
        <v>#N/A</v>
      </c>
      <c r="E70" s="77" t="n">
        <f aca="false">IF(KMeans_City!$E88=3,KMeans_City!$B88,NA())</f>
        <v>-0.134393009866687</v>
      </c>
      <c r="F70" s="77" t="n">
        <f aca="false">IF(KMeans_City!$E88=3,KMeans_City!$C88,NA())</f>
        <v>-0.146983133929529</v>
      </c>
      <c r="O70" s="77" t="e">
        <f aca="false">IF(KMeans_Phase!$E88=1,KMeans_Phase!$A88,NA())</f>
        <v>#N/A</v>
      </c>
      <c r="P70" s="77" t="e">
        <f aca="false">IF(KMeans_Phase!$E88=1,Phase_Data!$C70,NA())</f>
        <v>#N/A</v>
      </c>
      <c r="Q70" s="77" t="n">
        <f aca="false">IF(KMeans_Phase!$E88=2,KMeans_Phase!$A88,NA())</f>
        <v>43952</v>
      </c>
      <c r="R70" s="77" t="n">
        <f aca="false">IF(KMeans_Phase!$E88=2,Phase_Data!$C70,NA())</f>
        <v>1070</v>
      </c>
      <c r="S70" s="77" t="e">
        <f aca="false">IF(KMeans_Phase!$E88=3,KMeans_Phase!$A88,NA())</f>
        <v>#N/A</v>
      </c>
      <c r="T70" s="77" t="e">
        <f aca="false">IF(KMeans_Phase!$E88=3,Phase_Data!$C70,NA())</f>
        <v>#N/A</v>
      </c>
    </row>
    <row r="71" customFormat="false" ht="15" hidden="false" customHeight="false" outlineLevel="0" collapsed="false">
      <c r="A71" s="77" t="e">
        <f aca="false">IF(KMeans_City!$E89=1,KMeans_City!$B89,NA())</f>
        <v>#N/A</v>
      </c>
      <c r="B71" s="77" t="e">
        <f aca="false">IF(KMeans_City!$E89=1,KMeans_City!$C89,NA())</f>
        <v>#N/A</v>
      </c>
      <c r="C71" s="77" t="e">
        <f aca="false">IF(KMeans_City!$E89=2,KMeans_City!$B89,NA())</f>
        <v>#N/A</v>
      </c>
      <c r="D71" s="77" t="e">
        <f aca="false">IF(KMeans_City!$E89=2,KMeans_City!$C89,NA())</f>
        <v>#N/A</v>
      </c>
      <c r="E71" s="77" t="n">
        <f aca="false">IF(KMeans_City!$E89=3,KMeans_City!$B89,NA())</f>
        <v>-0.172963987436362</v>
      </c>
      <c r="F71" s="77" t="n">
        <f aca="false">IF(KMeans_City!$E89=3,KMeans_City!$C89,NA())</f>
        <v>-0.672650545388274</v>
      </c>
      <c r="O71" s="77" t="e">
        <f aca="false">IF(KMeans_Phase!$E89=1,KMeans_Phase!$A89,NA())</f>
        <v>#N/A</v>
      </c>
      <c r="P71" s="77" t="e">
        <f aca="false">IF(KMeans_Phase!$E89=1,Phase_Data!$C71,NA())</f>
        <v>#N/A</v>
      </c>
      <c r="Q71" s="77" t="e">
        <f aca="false">IF(KMeans_Phase!$E89=2,KMeans_Phase!$A89,NA())</f>
        <v>#N/A</v>
      </c>
      <c r="R71" s="77" t="e">
        <f aca="false">IF(KMeans_Phase!$E89=2,Phase_Data!$C71,NA())</f>
        <v>#N/A</v>
      </c>
      <c r="S71" s="77" t="n">
        <f aca="false">IF(KMeans_Phase!$E89=3,KMeans_Phase!$A89,NA())</f>
        <v>43953</v>
      </c>
      <c r="T71" s="77" t="n">
        <f aca="false">IF(KMeans_Phase!$E89=3,Phase_Data!$C71,NA())</f>
        <v>1123</v>
      </c>
    </row>
    <row r="72" customFormat="false" ht="15" hidden="false" customHeight="false" outlineLevel="0" collapsed="false">
      <c r="A72" s="77" t="e">
        <f aca="false">IF(KMeans_City!$E90=1,KMeans_City!$B90,NA())</f>
        <v>#N/A</v>
      </c>
      <c r="B72" s="77" t="e">
        <f aca="false">IF(KMeans_City!$E90=1,KMeans_City!$C90,NA())</f>
        <v>#N/A</v>
      </c>
      <c r="C72" s="77" t="n">
        <f aca="false">IF(KMeans_City!$E90=2,KMeans_City!$B90,NA())</f>
        <v>-0.214623816906368</v>
      </c>
      <c r="D72" s="77" t="n">
        <f aca="false">IF(KMeans_City!$E90=2,KMeans_City!$C90,NA())</f>
        <v>-0.672650545388274</v>
      </c>
      <c r="E72" s="77" t="e">
        <f aca="false">IF(KMeans_City!$E90=3,KMeans_City!$B90,NA())</f>
        <v>#N/A</v>
      </c>
      <c r="F72" s="77" t="e">
        <f aca="false">IF(KMeans_City!$E90=3,KMeans_City!$C90,NA())</f>
        <v>#N/A</v>
      </c>
      <c r="O72" s="77" t="e">
        <f aca="false">IF(KMeans_Phase!$E90=1,KMeans_Phase!$A90,NA())</f>
        <v>#N/A</v>
      </c>
      <c r="P72" s="77" t="e">
        <f aca="false">IF(KMeans_Phase!$E90=1,Phase_Data!$C72,NA())</f>
        <v>#N/A</v>
      </c>
      <c r="Q72" s="77" t="e">
        <f aca="false">IF(KMeans_Phase!$E90=2,KMeans_Phase!$A90,NA())</f>
        <v>#N/A</v>
      </c>
      <c r="R72" s="77" t="e">
        <f aca="false">IF(KMeans_Phase!$E90=2,Phase_Data!$C72,NA())</f>
        <v>#N/A</v>
      </c>
      <c r="S72" s="77" t="n">
        <f aca="false">IF(KMeans_Phase!$E90=3,KMeans_Phase!$A90,NA())</f>
        <v>43954</v>
      </c>
      <c r="T72" s="77" t="n">
        <f aca="false">IF(KMeans_Phase!$E90=3,Phase_Data!$C72,NA())</f>
        <v>1342</v>
      </c>
    </row>
    <row r="73" customFormat="false" ht="15" hidden="false" customHeight="false" outlineLevel="0" collapsed="false">
      <c r="A73" s="77" t="e">
        <f aca="false">IF(KMeans_City!$E91=1,KMeans_City!$B91,NA())</f>
        <v>#N/A</v>
      </c>
      <c r="B73" s="77" t="e">
        <f aca="false">IF(KMeans_City!$E91=1,KMeans_City!$C91,NA())</f>
        <v>#N/A</v>
      </c>
      <c r="C73" s="77" t="n">
        <f aca="false">IF(KMeans_City!$E91=2,KMeans_City!$B91,NA())</f>
        <v>-0.214623816906368</v>
      </c>
      <c r="D73" s="77" t="n">
        <f aca="false">IF(KMeans_City!$E91=2,KMeans_City!$C91,NA())</f>
        <v>-0.672650545388274</v>
      </c>
      <c r="E73" s="77" t="e">
        <f aca="false">IF(KMeans_City!$E91=3,KMeans_City!$B91,NA())</f>
        <v>#N/A</v>
      </c>
      <c r="F73" s="77" t="e">
        <f aca="false">IF(KMeans_City!$E91=3,KMeans_City!$C91,NA())</f>
        <v>#N/A</v>
      </c>
      <c r="O73" s="77" t="e">
        <f aca="false">IF(KMeans_Phase!$E91=1,KMeans_Phase!$A91,NA())</f>
        <v>#N/A</v>
      </c>
      <c r="P73" s="77" t="e">
        <f aca="false">IF(KMeans_Phase!$E91=1,Phase_Data!$C73,NA())</f>
        <v>#N/A</v>
      </c>
      <c r="Q73" s="77" t="e">
        <f aca="false">IF(KMeans_Phase!$E91=2,KMeans_Phase!$A91,NA())</f>
        <v>#N/A</v>
      </c>
      <c r="R73" s="77" t="e">
        <f aca="false">IF(KMeans_Phase!$E91=2,Phase_Data!$C73,NA())</f>
        <v>#N/A</v>
      </c>
      <c r="S73" s="77" t="n">
        <f aca="false">IF(KMeans_Phase!$E91=3,KMeans_Phase!$A91,NA())</f>
        <v>43955</v>
      </c>
      <c r="T73" s="77" t="n">
        <f aca="false">IF(KMeans_Phase!$E91=3,Phase_Data!$C73,NA())</f>
        <v>1052</v>
      </c>
    </row>
    <row r="74" customFormat="false" ht="15" hidden="false" customHeight="false" outlineLevel="0" collapsed="false">
      <c r="A74" s="77" t="e">
        <f aca="false">IF(KMeans_City!$E92=1,KMeans_City!$B92,NA())</f>
        <v>#N/A</v>
      </c>
      <c r="B74" s="77" t="e">
        <f aca="false">IF(KMeans_City!$E92=1,KMeans_City!$C92,NA())</f>
        <v>#N/A</v>
      </c>
      <c r="C74" s="77" t="n">
        <f aca="false">IF(KMeans_City!$E92=2,KMeans_City!$B92,NA())</f>
        <v>-0.259910629817831</v>
      </c>
      <c r="D74" s="77" t="n">
        <f aca="false">IF(KMeans_City!$E92=2,KMeans_City!$C92,NA())</f>
        <v>-0.672650545388274</v>
      </c>
      <c r="E74" s="77" t="e">
        <f aca="false">IF(KMeans_City!$E92=3,KMeans_City!$B92,NA())</f>
        <v>#N/A</v>
      </c>
      <c r="F74" s="77" t="e">
        <f aca="false">IF(KMeans_City!$E92=3,KMeans_City!$C92,NA())</f>
        <v>#N/A</v>
      </c>
      <c r="O74" s="77" t="e">
        <f aca="false">IF(KMeans_Phase!$E92=1,KMeans_Phase!$A92,NA())</f>
        <v>#N/A</v>
      </c>
      <c r="P74" s="77" t="e">
        <f aca="false">IF(KMeans_Phase!$E92=1,Phase_Data!$C74,NA())</f>
        <v>#N/A</v>
      </c>
      <c r="Q74" s="77" t="e">
        <f aca="false">IF(KMeans_Phase!$E92=2,KMeans_Phase!$A92,NA())</f>
        <v>#N/A</v>
      </c>
      <c r="R74" s="77" t="e">
        <f aca="false">IF(KMeans_Phase!$E92=2,Phase_Data!$C74,NA())</f>
        <v>#N/A</v>
      </c>
      <c r="S74" s="77" t="n">
        <f aca="false">IF(KMeans_Phase!$E92=3,KMeans_Phase!$A92,NA())</f>
        <v>43956</v>
      </c>
      <c r="T74" s="77" t="n">
        <f aca="false">IF(KMeans_Phase!$E92=3,Phase_Data!$C74,NA())</f>
        <v>1023</v>
      </c>
    </row>
    <row r="75" customFormat="false" ht="15" hidden="false" customHeight="false" outlineLevel="0" collapsed="false">
      <c r="A75" s="77" t="e">
        <f aca="false">IF(KMeans_City!$E93=1,KMeans_City!$B93,NA())</f>
        <v>#N/A</v>
      </c>
      <c r="B75" s="77" t="e">
        <f aca="false">IF(KMeans_City!$E93=1,KMeans_City!$C93,NA())</f>
        <v>#N/A</v>
      </c>
      <c r="C75" s="77" t="n">
        <f aca="false">IF(KMeans_City!$E93=2,KMeans_City!$B93,NA())</f>
        <v>-0.275926355545086</v>
      </c>
      <c r="D75" s="77" t="n">
        <f aca="false">IF(KMeans_City!$E93=2,KMeans_City!$C93,NA())</f>
        <v>-0.672650545388274</v>
      </c>
      <c r="E75" s="77" t="e">
        <f aca="false">IF(KMeans_City!$E93=3,KMeans_City!$B93,NA())</f>
        <v>#N/A</v>
      </c>
      <c r="F75" s="77" t="e">
        <f aca="false">IF(KMeans_City!$E93=3,KMeans_City!$C93,NA())</f>
        <v>#N/A</v>
      </c>
      <c r="O75" s="77" t="e">
        <f aca="false">IF(KMeans_Phase!$E93=1,KMeans_Phase!$A93,NA())</f>
        <v>#N/A</v>
      </c>
      <c r="P75" s="77" t="e">
        <f aca="false">IF(KMeans_Phase!$E93=1,Phase_Data!$C75,NA())</f>
        <v>#N/A</v>
      </c>
      <c r="Q75" s="77" t="n">
        <f aca="false">IF(KMeans_Phase!$E93=2,KMeans_Phase!$A93,NA())</f>
        <v>43957</v>
      </c>
      <c r="R75" s="77" t="n">
        <f aca="false">IF(KMeans_Phase!$E93=2,Phase_Data!$C75,NA())</f>
        <v>1804</v>
      </c>
      <c r="S75" s="77" t="e">
        <f aca="false">IF(KMeans_Phase!$E93=3,KMeans_Phase!$A93,NA())</f>
        <v>#N/A</v>
      </c>
      <c r="T75" s="77" t="e">
        <f aca="false">IF(KMeans_Phase!$E93=3,Phase_Data!$C75,NA())</f>
        <v>#N/A</v>
      </c>
    </row>
    <row r="76" customFormat="false" ht="15" hidden="false" customHeight="false" outlineLevel="0" collapsed="false">
      <c r="A76" s="77" t="e">
        <f aca="false">IF(KMeans_City!$E94=1,KMeans_City!$B94,NA())</f>
        <v>#N/A</v>
      </c>
      <c r="B76" s="77" t="e">
        <f aca="false">IF(KMeans_City!$E94=1,KMeans_City!$C94,NA())</f>
        <v>#N/A</v>
      </c>
      <c r="C76" s="77" t="n">
        <f aca="false">IF(KMeans_City!$E94=2,KMeans_City!$B94,NA())</f>
        <v>-0.275926355545086</v>
      </c>
      <c r="D76" s="77" t="n">
        <f aca="false">IF(KMeans_City!$E94=2,KMeans_City!$C94,NA())</f>
        <v>-0.672650545388274</v>
      </c>
      <c r="E76" s="77" t="e">
        <f aca="false">IF(KMeans_City!$E94=3,KMeans_City!$B94,NA())</f>
        <v>#N/A</v>
      </c>
      <c r="F76" s="77" t="e">
        <f aca="false">IF(KMeans_City!$E94=3,KMeans_City!$C94,NA())</f>
        <v>#N/A</v>
      </c>
      <c r="O76" s="77" t="e">
        <f aca="false">IF(KMeans_Phase!$E94=1,KMeans_Phase!$A94,NA())</f>
        <v>#N/A</v>
      </c>
      <c r="P76" s="77" t="e">
        <f aca="false">IF(KMeans_Phase!$E94=1,Phase_Data!$C76,NA())</f>
        <v>#N/A</v>
      </c>
      <c r="Q76" s="77" t="e">
        <f aca="false">IF(KMeans_Phase!$E94=2,KMeans_Phase!$A94,NA())</f>
        <v>#N/A</v>
      </c>
      <c r="R76" s="77" t="e">
        <f aca="false">IF(KMeans_Phase!$E94=2,Phase_Data!$C76,NA())</f>
        <v>#N/A</v>
      </c>
      <c r="S76" s="77" t="n">
        <f aca="false">IF(KMeans_Phase!$E94=3,KMeans_Phase!$A94,NA())</f>
        <v>43958</v>
      </c>
      <c r="T76" s="77" t="n">
        <f aca="false">IF(KMeans_Phase!$E94=3,Phase_Data!$C76,NA())</f>
        <v>863</v>
      </c>
    </row>
    <row r="77" customFormat="false" ht="15" hidden="false" customHeight="false" outlineLevel="0" collapsed="false">
      <c r="A77" s="77" t="e">
        <f aca="false">IF(KMeans_City!$E95=1,KMeans_City!$B95,NA())</f>
        <v>#N/A</v>
      </c>
      <c r="B77" s="77" t="e">
        <f aca="false">IF(KMeans_City!$E95=1,KMeans_City!$C95,NA())</f>
        <v>#N/A</v>
      </c>
      <c r="C77" s="77" t="n">
        <f aca="false">IF(KMeans_City!$E95=2,KMeans_City!$B95,NA())</f>
        <v>-0.309516720776153</v>
      </c>
      <c r="D77" s="77" t="n">
        <f aca="false">IF(KMeans_City!$E95=2,KMeans_City!$C95,NA())</f>
        <v>-0.672650545388274</v>
      </c>
      <c r="E77" s="77" t="e">
        <f aca="false">IF(KMeans_City!$E95=3,KMeans_City!$B95,NA())</f>
        <v>#N/A</v>
      </c>
      <c r="F77" s="77" t="e">
        <f aca="false">IF(KMeans_City!$E95=3,KMeans_City!$C95,NA())</f>
        <v>#N/A</v>
      </c>
      <c r="O77" s="77" t="e">
        <f aca="false">IF(KMeans_Phase!$E95=1,KMeans_Phase!$A95,NA())</f>
        <v>#N/A</v>
      </c>
      <c r="P77" s="77" t="e">
        <f aca="false">IF(KMeans_Phase!$E95=1,Phase_Data!$C77,NA())</f>
        <v>#N/A</v>
      </c>
      <c r="Q77" s="77" t="e">
        <f aca="false">IF(KMeans_Phase!$E95=2,KMeans_Phase!$A95,NA())</f>
        <v>#N/A</v>
      </c>
      <c r="R77" s="77" t="e">
        <f aca="false">IF(KMeans_Phase!$E95=2,Phase_Data!$C77,NA())</f>
        <v>#N/A</v>
      </c>
      <c r="S77" s="77" t="n">
        <f aca="false">IF(KMeans_Phase!$E95=3,KMeans_Phase!$A95,NA())</f>
        <v>43959</v>
      </c>
      <c r="T77" s="77" t="n">
        <f aca="false">IF(KMeans_Phase!$E95=3,Phase_Data!$C77,NA())</f>
        <v>1829</v>
      </c>
    </row>
    <row r="78" customFormat="false" ht="15" hidden="false" customHeight="false" outlineLevel="0" collapsed="false">
      <c r="A78" s="77" t="e">
        <f aca="false">IF(KMeans_City!$E96=1,KMeans_City!$B96,NA())</f>
        <v>#N/A</v>
      </c>
      <c r="B78" s="77" t="e">
        <f aca="false">IF(KMeans_City!$E96=1,KMeans_City!$C96,NA())</f>
        <v>#N/A</v>
      </c>
      <c r="C78" s="77" t="n">
        <f aca="false">IF(KMeans_City!$E96=2,KMeans_City!$B96,NA())</f>
        <v>-0.327161461972788</v>
      </c>
      <c r="D78" s="77" t="n">
        <f aca="false">IF(KMeans_City!$E96=2,KMeans_City!$C96,NA())</f>
        <v>-0.672650545388274</v>
      </c>
      <c r="E78" s="77" t="e">
        <f aca="false">IF(KMeans_City!$E96=3,KMeans_City!$B96,NA())</f>
        <v>#N/A</v>
      </c>
      <c r="F78" s="77" t="e">
        <f aca="false">IF(KMeans_City!$E96=3,KMeans_City!$C96,NA())</f>
        <v>#N/A</v>
      </c>
      <c r="O78" s="77" t="e">
        <f aca="false">IF(KMeans_Phase!$E96=1,KMeans_Phase!$A96,NA())</f>
        <v>#N/A</v>
      </c>
      <c r="P78" s="77" t="e">
        <f aca="false">IF(KMeans_Phase!$E96=1,Phase_Data!$C78,NA())</f>
        <v>#N/A</v>
      </c>
      <c r="Q78" s="77" t="e">
        <f aca="false">IF(KMeans_Phase!$E96=2,KMeans_Phase!$A96,NA())</f>
        <v>#N/A</v>
      </c>
      <c r="R78" s="77" t="e">
        <f aca="false">IF(KMeans_Phase!$E96=2,Phase_Data!$C78,NA())</f>
        <v>#N/A</v>
      </c>
      <c r="S78" s="77" t="n">
        <f aca="false">IF(KMeans_Phase!$E96=3,KMeans_Phase!$A96,NA())</f>
        <v>43960</v>
      </c>
      <c r="T78" s="77" t="n">
        <f aca="false">IF(KMeans_Phase!$E96=3,Phase_Data!$C78,NA())</f>
        <v>2554</v>
      </c>
    </row>
    <row r="79" customFormat="false" ht="15" hidden="false" customHeight="false" outlineLevel="0" collapsed="false">
      <c r="A79" s="77" t="e">
        <f aca="false">IF(KMeans_City!$E97=1,KMeans_City!$B97,NA())</f>
        <v>#N/A</v>
      </c>
      <c r="B79" s="77" t="e">
        <f aca="false">IF(KMeans_City!$E97=1,KMeans_City!$C97,NA())</f>
        <v>#N/A</v>
      </c>
      <c r="C79" s="77" t="n">
        <f aca="false">IF(KMeans_City!$E97=2,KMeans_City!$B97,NA())</f>
        <v>-0.327161461972788</v>
      </c>
      <c r="D79" s="77" t="n">
        <f aca="false">IF(KMeans_City!$E97=2,KMeans_City!$C97,NA())</f>
        <v>-0.672650545388274</v>
      </c>
      <c r="E79" s="77" t="e">
        <f aca="false">IF(KMeans_City!$E97=3,KMeans_City!$B97,NA())</f>
        <v>#N/A</v>
      </c>
      <c r="F79" s="77" t="e">
        <f aca="false">IF(KMeans_City!$E97=3,KMeans_City!$C97,NA())</f>
        <v>#N/A</v>
      </c>
      <c r="O79" s="77" t="e">
        <f aca="false">IF(KMeans_Phase!$E97=1,KMeans_Phase!$A97,NA())</f>
        <v>#N/A</v>
      </c>
      <c r="P79" s="77" t="e">
        <f aca="false">IF(KMeans_Phase!$E97=1,Phase_Data!$C79,NA())</f>
        <v>#N/A</v>
      </c>
      <c r="Q79" s="77" t="n">
        <f aca="false">IF(KMeans_Phase!$E97=2,KMeans_Phase!$A97,NA())</f>
        <v>43961</v>
      </c>
      <c r="R79" s="77" t="n">
        <f aca="false">IF(KMeans_Phase!$E97=2,Phase_Data!$C79,NA())</f>
        <v>1463</v>
      </c>
      <c r="S79" s="77" t="e">
        <f aca="false">IF(KMeans_Phase!$E97=3,KMeans_Phase!$A97,NA())</f>
        <v>#N/A</v>
      </c>
      <c r="T79" s="77" t="e">
        <f aca="false">IF(KMeans_Phase!$E97=3,Phase_Data!$C79,NA())</f>
        <v>#N/A</v>
      </c>
    </row>
    <row r="80" customFormat="false" ht="15" hidden="false" customHeight="false" outlineLevel="0" collapsed="false">
      <c r="A80" s="77" t="e">
        <f aca="false">IF(KMeans_City!$E98=1,KMeans_City!$B98,NA())</f>
        <v>#N/A</v>
      </c>
      <c r="B80" s="77" t="e">
        <f aca="false">IF(KMeans_City!$E98=1,KMeans_City!$C98,NA())</f>
        <v>#N/A</v>
      </c>
      <c r="C80" s="77" t="n">
        <f aca="false">IF(KMeans_City!$E98=2,KMeans_City!$B98,NA())</f>
        <v>-0.34542544181187</v>
      </c>
      <c r="D80" s="77" t="n">
        <f aca="false">IF(KMeans_City!$E98=2,KMeans_City!$C98,NA())</f>
        <v>-0.672650545388274</v>
      </c>
      <c r="E80" s="77" t="e">
        <f aca="false">IF(KMeans_City!$E98=3,KMeans_City!$B98,NA())</f>
        <v>#N/A</v>
      </c>
      <c r="F80" s="77" t="e">
        <f aca="false">IF(KMeans_City!$E98=3,KMeans_City!$C98,NA())</f>
        <v>#N/A</v>
      </c>
      <c r="O80" s="77" t="e">
        <f aca="false">IF(KMeans_Phase!$E98=1,KMeans_Phase!$A98,NA())</f>
        <v>#N/A</v>
      </c>
      <c r="P80" s="77" t="e">
        <f aca="false">IF(KMeans_Phase!$E98=1,Phase_Data!$C80,NA())</f>
        <v>#N/A</v>
      </c>
      <c r="Q80" s="77" t="n">
        <f aca="false">IF(KMeans_Phase!$E98=2,KMeans_Phase!$A98,NA())</f>
        <v>43962</v>
      </c>
      <c r="R80" s="77" t="n">
        <f aca="false">IF(KMeans_Phase!$E98=2,Phase_Data!$C80,NA())</f>
        <v>1079</v>
      </c>
      <c r="S80" s="77" t="e">
        <f aca="false">IF(KMeans_Phase!$E98=3,KMeans_Phase!$A98,NA())</f>
        <v>#N/A</v>
      </c>
      <c r="T80" s="77" t="e">
        <f aca="false">IF(KMeans_Phase!$E98=3,Phase_Data!$C80,NA())</f>
        <v>#N/A</v>
      </c>
    </row>
    <row r="81" customFormat="false" ht="15" hidden="false" customHeight="false" outlineLevel="0" collapsed="false">
      <c r="A81" s="77" t="e">
        <f aca="false">IF(KMeans_City!$E99=1,KMeans_City!$B99,NA())</f>
        <v>#N/A</v>
      </c>
      <c r="B81" s="77" t="e">
        <f aca="false">IF(KMeans_City!$E99=1,KMeans_City!$C99,NA())</f>
        <v>#N/A</v>
      </c>
      <c r="C81" s="77" t="n">
        <f aca="false">IF(KMeans_City!$E99=2,KMeans_City!$B99,NA())</f>
        <v>-0.34542544181187</v>
      </c>
      <c r="D81" s="77" t="n">
        <f aca="false">IF(KMeans_City!$E99=2,KMeans_City!$C99,NA())</f>
        <v>-0.672650545388274</v>
      </c>
      <c r="E81" s="77" t="e">
        <f aca="false">IF(KMeans_City!$E99=3,KMeans_City!$B99,NA())</f>
        <v>#N/A</v>
      </c>
      <c r="F81" s="77" t="e">
        <f aca="false">IF(KMeans_City!$E99=3,KMeans_City!$C99,NA())</f>
        <v>#N/A</v>
      </c>
      <c r="O81" s="77" t="e">
        <f aca="false">IF(KMeans_Phase!$E99=1,KMeans_Phase!$A99,NA())</f>
        <v>#N/A</v>
      </c>
      <c r="P81" s="77" t="e">
        <f aca="false">IF(KMeans_Phase!$E99=1,Phase_Data!$C81,NA())</f>
        <v>#N/A</v>
      </c>
      <c r="Q81" s="77" t="n">
        <f aca="false">IF(KMeans_Phase!$E99=2,KMeans_Phase!$A99,NA())</f>
        <v>43963</v>
      </c>
      <c r="R81" s="77" t="n">
        <f aca="false">IF(KMeans_Phase!$E99=2,Phase_Data!$C81,NA())</f>
        <v>2254</v>
      </c>
      <c r="S81" s="77" t="e">
        <f aca="false">IF(KMeans_Phase!$E99=3,KMeans_Phase!$A99,NA())</f>
        <v>#N/A</v>
      </c>
      <c r="T81" s="77" t="e">
        <f aca="false">IF(KMeans_Phase!$E99=3,Phase_Data!$C81,NA())</f>
        <v>#N/A</v>
      </c>
    </row>
    <row r="82" customFormat="false" ht="15" hidden="false" customHeight="false" outlineLevel="0" collapsed="false">
      <c r="A82" s="77" t="e">
        <f aca="false">IF(KMeans_City!$E100=1,KMeans_City!$B100,NA())</f>
        <v>#N/A</v>
      </c>
      <c r="B82" s="77" t="e">
        <f aca="false">IF(KMeans_City!$E100=1,KMeans_City!$C100,NA())</f>
        <v>#N/A</v>
      </c>
      <c r="C82" s="77" t="n">
        <f aca="false">IF(KMeans_City!$E100=2,KMeans_City!$B100,NA())</f>
        <v>-0.383996419381545</v>
      </c>
      <c r="D82" s="77" t="n">
        <f aca="false">IF(KMeans_City!$E100=2,KMeans_City!$C100,NA())</f>
        <v>-0.672650545388274</v>
      </c>
      <c r="E82" s="77" t="e">
        <f aca="false">IF(KMeans_City!$E100=3,KMeans_City!$B100,NA())</f>
        <v>#N/A</v>
      </c>
      <c r="F82" s="77" t="e">
        <f aca="false">IF(KMeans_City!$E100=3,KMeans_City!$C100,NA())</f>
        <v>#N/A</v>
      </c>
      <c r="O82" s="77" t="e">
        <f aca="false">IF(KMeans_Phase!$E100=1,KMeans_Phase!$A100,NA())</f>
        <v>#N/A</v>
      </c>
      <c r="P82" s="77" t="e">
        <f aca="false">IF(KMeans_Phase!$E100=1,Phase_Data!$C82,NA())</f>
        <v>#N/A</v>
      </c>
      <c r="Q82" s="77" t="n">
        <f aca="false">IF(KMeans_Phase!$E100=2,KMeans_Phase!$A100,NA())</f>
        <v>43964</v>
      </c>
      <c r="R82" s="77" t="n">
        <f aca="false">IF(KMeans_Phase!$E100=2,Phase_Data!$C82,NA())</f>
        <v>1431</v>
      </c>
      <c r="S82" s="77" t="e">
        <f aca="false">IF(KMeans_Phase!$E100=3,KMeans_Phase!$A100,NA())</f>
        <v>#N/A</v>
      </c>
      <c r="T82" s="77" t="e">
        <f aca="false">IF(KMeans_Phase!$E100=3,Phase_Data!$C82,NA())</f>
        <v>#N/A</v>
      </c>
    </row>
    <row r="83" customFormat="false" ht="15" hidden="false" customHeight="false" outlineLevel="0" collapsed="false">
      <c r="A83" s="77" t="e">
        <f aca="false">IF(KMeans_City!$E101=1,KMeans_City!$B101,NA())</f>
        <v>#N/A</v>
      </c>
      <c r="B83" s="77" t="e">
        <f aca="false">IF(KMeans_City!$E101=1,KMeans_City!$C101,NA())</f>
        <v>#N/A</v>
      </c>
      <c r="C83" s="77" t="n">
        <f aca="false">IF(KMeans_City!$E101=2,KMeans_City!$B101,NA())</f>
        <v>-0.404409624645938</v>
      </c>
      <c r="D83" s="77" t="n">
        <f aca="false">IF(KMeans_City!$E101=2,KMeans_City!$C101,NA())</f>
        <v>-0.672650545388274</v>
      </c>
      <c r="E83" s="77" t="e">
        <f aca="false">IF(KMeans_City!$E101=3,KMeans_City!$B101,NA())</f>
        <v>#N/A</v>
      </c>
      <c r="F83" s="77" t="e">
        <f aca="false">IF(KMeans_City!$E101=3,KMeans_City!$C101,NA())</f>
        <v>#N/A</v>
      </c>
      <c r="O83" s="77" t="e">
        <f aca="false">IF(KMeans_Phase!$E101=1,KMeans_Phase!$A101,NA())</f>
        <v>#N/A</v>
      </c>
      <c r="P83" s="77" t="e">
        <f aca="false">IF(KMeans_Phase!$E101=1,Phase_Data!$C83,NA())</f>
        <v>#N/A</v>
      </c>
      <c r="Q83" s="77" t="n">
        <f aca="false">IF(KMeans_Phase!$E101=2,KMeans_Phase!$A101,NA())</f>
        <v>43965</v>
      </c>
      <c r="R83" s="77" t="n">
        <f aca="false">IF(KMeans_Phase!$E101=2,Phase_Data!$C83,NA())</f>
        <v>1449</v>
      </c>
      <c r="S83" s="77" t="e">
        <f aca="false">IF(KMeans_Phase!$E101=3,KMeans_Phase!$A101,NA())</f>
        <v>#N/A</v>
      </c>
      <c r="T83" s="77" t="e">
        <f aca="false">IF(KMeans_Phase!$E101=3,Phase_Data!$C83,NA())</f>
        <v>#N/A</v>
      </c>
    </row>
    <row r="84" customFormat="false" ht="15" hidden="false" customHeight="false" outlineLevel="0" collapsed="false">
      <c r="A84" s="77" t="e">
        <f aca="false">IF(KMeans_City!$E102=1,KMeans_City!$B102,NA())</f>
        <v>#N/A</v>
      </c>
      <c r="B84" s="77" t="e">
        <f aca="false">IF(KMeans_City!$E102=1,KMeans_City!$C102,NA())</f>
        <v>#N/A</v>
      </c>
      <c r="C84" s="77" t="n">
        <f aca="false">IF(KMeans_City!$E102=2,KMeans_City!$B102,NA())</f>
        <v>-0.404409624645938</v>
      </c>
      <c r="D84" s="77" t="n">
        <f aca="false">IF(KMeans_City!$E102=2,KMeans_City!$C102,NA())</f>
        <v>-0.146983133929529</v>
      </c>
      <c r="E84" s="77" t="e">
        <f aca="false">IF(KMeans_City!$E102=3,KMeans_City!$B102,NA())</f>
        <v>#N/A</v>
      </c>
      <c r="F84" s="77" t="e">
        <f aca="false">IF(KMeans_City!$E102=3,KMeans_City!$C102,NA())</f>
        <v>#N/A</v>
      </c>
      <c r="O84" s="77" t="e">
        <f aca="false">IF(KMeans_Phase!$E102=1,KMeans_Phase!$A102,NA())</f>
        <v>#N/A</v>
      </c>
      <c r="P84" s="77" t="e">
        <f aca="false">IF(KMeans_Phase!$E102=1,Phase_Data!$C84,NA())</f>
        <v>#N/A</v>
      </c>
      <c r="Q84" s="77" t="n">
        <f aca="false">IF(KMeans_Phase!$E102=2,KMeans_Phase!$A102,NA())</f>
        <v>43966</v>
      </c>
      <c r="R84" s="77" t="n">
        <f aca="false">IF(KMeans_Phase!$E102=2,Phase_Data!$C84,NA())</f>
        <v>1515</v>
      </c>
      <c r="S84" s="77" t="e">
        <f aca="false">IF(KMeans_Phase!$E102=3,KMeans_Phase!$A102,NA())</f>
        <v>#N/A</v>
      </c>
      <c r="T84" s="77" t="e">
        <f aca="false">IF(KMeans_Phase!$E102=3,Phase_Data!$C84,NA())</f>
        <v>#N/A</v>
      </c>
    </row>
    <row r="85" customFormat="false" ht="15" hidden="false" customHeight="false" outlineLevel="0" collapsed="false">
      <c r="A85" s="77" t="e">
        <f aca="false">IF(KMeans_City!$E103=1,KMeans_City!$B103,NA())</f>
        <v>#N/A</v>
      </c>
      <c r="B85" s="77" t="e">
        <f aca="false">IF(KMeans_City!$E103=1,KMeans_City!$C103,NA())</f>
        <v>#N/A</v>
      </c>
      <c r="C85" s="77" t="n">
        <f aca="false">IF(KMeans_City!$E103=2,KMeans_City!$B103,NA())</f>
        <v>-0.470943061763014</v>
      </c>
      <c r="D85" s="77" t="n">
        <f aca="false">IF(KMeans_City!$E103=2,KMeans_City!$C103,NA())</f>
        <v>-0.146983133929529</v>
      </c>
      <c r="E85" s="77" t="e">
        <f aca="false">IF(KMeans_City!$E103=3,KMeans_City!$B103,NA())</f>
        <v>#N/A</v>
      </c>
      <c r="F85" s="77" t="e">
        <f aca="false">IF(KMeans_City!$E103=3,KMeans_City!$C103,NA())</f>
        <v>#N/A</v>
      </c>
      <c r="O85" s="77" t="e">
        <f aca="false">IF(KMeans_Phase!$E103=1,KMeans_Phase!$A103,NA())</f>
        <v>#N/A</v>
      </c>
      <c r="P85" s="77" t="e">
        <f aca="false">IF(KMeans_Phase!$E103=1,Phase_Data!$C85,NA())</f>
        <v>#N/A</v>
      </c>
      <c r="Q85" s="77" t="n">
        <f aca="false">IF(KMeans_Phase!$E103=2,KMeans_Phase!$A103,NA())</f>
        <v>43967</v>
      </c>
      <c r="R85" s="77" t="n">
        <f aca="false">IF(KMeans_Phase!$E103=2,Phase_Data!$C85,NA())</f>
        <v>1372</v>
      </c>
      <c r="S85" s="77" t="e">
        <f aca="false">IF(KMeans_Phase!$E103=3,KMeans_Phase!$A103,NA())</f>
        <v>#N/A</v>
      </c>
      <c r="T85" s="77" t="e">
        <f aca="false">IF(KMeans_Phase!$E103=3,Phase_Data!$C85,NA())</f>
        <v>#N/A</v>
      </c>
    </row>
    <row r="86" customFormat="false" ht="15" hidden="false" customHeight="false" outlineLevel="0" collapsed="false">
      <c r="A86" s="77" t="e">
        <f aca="false">IF(KMeans_City!$E104=1,KMeans_City!$B104,NA())</f>
        <v>#N/A</v>
      </c>
      <c r="B86" s="77" t="e">
        <f aca="false">IF(KMeans_City!$E104=1,KMeans_City!$C104,NA())</f>
        <v>#N/A</v>
      </c>
      <c r="C86" s="77" t="n">
        <f aca="false">IF(KMeans_City!$E104=2,KMeans_City!$B104,NA())</f>
        <v>-0.470943061763014</v>
      </c>
      <c r="D86" s="77" t="n">
        <f aca="false">IF(KMeans_City!$E104=2,KMeans_City!$C104,NA())</f>
        <v>-0.672650545388274</v>
      </c>
      <c r="E86" s="77" t="e">
        <f aca="false">IF(KMeans_City!$E104=3,KMeans_City!$B104,NA())</f>
        <v>#N/A</v>
      </c>
      <c r="F86" s="77" t="e">
        <f aca="false">IF(KMeans_City!$E104=3,KMeans_City!$C104,NA())</f>
        <v>#N/A</v>
      </c>
      <c r="O86" s="77" t="e">
        <f aca="false">IF(KMeans_Phase!$E104=1,KMeans_Phase!$A104,NA())</f>
        <v>#N/A</v>
      </c>
      <c r="P86" s="77" t="e">
        <f aca="false">IF(KMeans_Phase!$E104=1,Phase_Data!$C86,NA())</f>
        <v>#N/A</v>
      </c>
      <c r="Q86" s="77" t="n">
        <f aca="false">IF(KMeans_Phase!$E104=2,KMeans_Phase!$A104,NA())</f>
        <v>43968</v>
      </c>
      <c r="R86" s="77" t="n">
        <f aca="false">IF(KMeans_Phase!$E104=2,Phase_Data!$C86,NA())</f>
        <v>1956</v>
      </c>
      <c r="S86" s="77" t="e">
        <f aca="false">IF(KMeans_Phase!$E104=3,KMeans_Phase!$A104,NA())</f>
        <v>#N/A</v>
      </c>
      <c r="T86" s="77" t="e">
        <f aca="false">IF(KMeans_Phase!$E104=3,Phase_Data!$C86,NA())</f>
        <v>#N/A</v>
      </c>
    </row>
    <row r="87" customFormat="false" ht="15" hidden="false" customHeight="false" outlineLevel="0" collapsed="false">
      <c r="A87" s="77" t="e">
        <f aca="false">IF(KMeans_City!$E105=1,KMeans_City!$B105,NA())</f>
        <v>#N/A</v>
      </c>
      <c r="B87" s="77" t="e">
        <f aca="false">IF(KMeans_City!$E105=1,KMeans_City!$C105,NA())</f>
        <v>#N/A</v>
      </c>
      <c r="C87" s="77" t="n">
        <f aca="false">IF(KMeans_City!$E105=2,KMeans_City!$B105,NA())</f>
        <v>-0.520549152721336</v>
      </c>
      <c r="D87" s="77" t="n">
        <f aca="false">IF(KMeans_City!$E105=2,KMeans_City!$C105,NA())</f>
        <v>-0.672650545388274</v>
      </c>
      <c r="E87" s="77" t="e">
        <f aca="false">IF(KMeans_City!$E105=3,KMeans_City!$B105,NA())</f>
        <v>#N/A</v>
      </c>
      <c r="F87" s="77" t="e">
        <f aca="false">IF(KMeans_City!$E105=3,KMeans_City!$C105,NA())</f>
        <v>#N/A</v>
      </c>
      <c r="O87" s="77" t="e">
        <f aca="false">IF(KMeans_Phase!$E105=1,KMeans_Phase!$A105,NA())</f>
        <v>#N/A</v>
      </c>
      <c r="P87" s="77" t="e">
        <f aca="false">IF(KMeans_Phase!$E105=1,Phase_Data!$C87,NA())</f>
        <v>#N/A</v>
      </c>
      <c r="Q87" s="77" t="n">
        <f aca="false">IF(KMeans_Phase!$E105=2,KMeans_Phase!$A105,NA())</f>
        <v>43969</v>
      </c>
      <c r="R87" s="77" t="n">
        <f aca="false">IF(KMeans_Phase!$E105=2,Phase_Data!$C87,NA())</f>
        <v>1800</v>
      </c>
      <c r="S87" s="77" t="e">
        <f aca="false">IF(KMeans_Phase!$E105=3,KMeans_Phase!$A105,NA())</f>
        <v>#N/A</v>
      </c>
      <c r="T87" s="77" t="e">
        <f aca="false">IF(KMeans_Phase!$E105=3,Phase_Data!$C87,NA())</f>
        <v>#N/A</v>
      </c>
    </row>
    <row r="88" customFormat="false" ht="15" hidden="false" customHeight="false" outlineLevel="0" collapsed="false">
      <c r="A88" s="77" t="e">
        <f aca="false">IF(KMeans_City!$E106=1,KMeans_City!$B106,NA())</f>
        <v>#N/A</v>
      </c>
      <c r="B88" s="77" t="e">
        <f aca="false">IF(KMeans_City!$E106=1,KMeans_City!$C106,NA())</f>
        <v>#N/A</v>
      </c>
      <c r="C88" s="77" t="n">
        <f aca="false">IF(KMeans_City!$E106=2,KMeans_City!$B106,NA())</f>
        <v>-0.547245774552967</v>
      </c>
      <c r="D88" s="77" t="n">
        <f aca="false">IF(KMeans_City!$E106=2,KMeans_City!$C106,NA())</f>
        <v>-0.672650545388274</v>
      </c>
      <c r="E88" s="77" t="e">
        <f aca="false">IF(KMeans_City!$E106=3,KMeans_City!$B106,NA())</f>
        <v>#N/A</v>
      </c>
      <c r="F88" s="77" t="e">
        <f aca="false">IF(KMeans_City!$E106=3,KMeans_City!$C106,NA())</f>
        <v>#N/A</v>
      </c>
      <c r="O88" s="77" t="e">
        <f aca="false">IF(KMeans_Phase!$E106=1,KMeans_Phase!$A106,NA())</f>
        <v>#N/A</v>
      </c>
      <c r="P88" s="77" t="e">
        <f aca="false">IF(KMeans_Phase!$E106=1,Phase_Data!$C88,NA())</f>
        <v>#N/A</v>
      </c>
      <c r="Q88" s="77" t="n">
        <f aca="false">IF(KMeans_Phase!$E106=2,KMeans_Phase!$A106,NA())</f>
        <v>43970</v>
      </c>
      <c r="R88" s="77" t="n">
        <f aca="false">IF(KMeans_Phase!$E106=2,Phase_Data!$C88,NA())</f>
        <v>1874</v>
      </c>
      <c r="S88" s="77" t="e">
        <f aca="false">IF(KMeans_Phase!$E106=3,KMeans_Phase!$A106,NA())</f>
        <v>#N/A</v>
      </c>
      <c r="T88" s="77" t="e">
        <f aca="false">IF(KMeans_Phase!$E106=3,Phase_Data!$C88,NA())</f>
        <v>#N/A</v>
      </c>
    </row>
    <row r="89" customFormat="false" ht="15" hidden="false" customHeight="false" outlineLevel="0" collapsed="false">
      <c r="A89" s="77" t="e">
        <f aca="false">IF(KMeans_City!$E107=1,KMeans_City!$B107,NA())</f>
        <v>#N/A</v>
      </c>
      <c r="B89" s="77" t="e">
        <f aca="false">IF(KMeans_City!$E107=1,KMeans_City!$C107,NA())</f>
        <v>#N/A</v>
      </c>
      <c r="C89" s="77" t="n">
        <f aca="false">IF(KMeans_City!$E107=2,KMeans_City!$B107,NA())</f>
        <v>-0.605135382814146</v>
      </c>
      <c r="D89" s="77" t="n">
        <f aca="false">IF(KMeans_City!$E107=2,KMeans_City!$C107,NA())</f>
        <v>-0.672650545388274</v>
      </c>
      <c r="E89" s="77" t="e">
        <f aca="false">IF(KMeans_City!$E107=3,KMeans_City!$B107,NA())</f>
        <v>#N/A</v>
      </c>
      <c r="F89" s="77" t="e">
        <f aca="false">IF(KMeans_City!$E107=3,KMeans_City!$C107,NA())</f>
        <v>#N/A</v>
      </c>
      <c r="O89" s="77" t="e">
        <f aca="false">IF(KMeans_Phase!$E107=1,KMeans_Phase!$A107,NA())</f>
        <v>#N/A</v>
      </c>
      <c r="P89" s="77" t="e">
        <f aca="false">IF(KMeans_Phase!$E107=1,Phase_Data!$C89,NA())</f>
        <v>#N/A</v>
      </c>
      <c r="Q89" s="77" t="n">
        <f aca="false">IF(KMeans_Phase!$E107=2,KMeans_Phase!$A107,NA())</f>
        <v>43971</v>
      </c>
      <c r="R89" s="77" t="n">
        <f aca="false">IF(KMeans_Phase!$E107=2,Phase_Data!$C89,NA())</f>
        <v>2115</v>
      </c>
      <c r="S89" s="77" t="e">
        <f aca="false">IF(KMeans_Phase!$E107=3,KMeans_Phase!$A107,NA())</f>
        <v>#N/A</v>
      </c>
      <c r="T89" s="77" t="e">
        <f aca="false">IF(KMeans_Phase!$E107=3,Phase_Data!$C89,NA())</f>
        <v>#N/A</v>
      </c>
    </row>
    <row r="90" customFormat="false" ht="15" hidden="false" customHeight="false" outlineLevel="0" collapsed="false">
      <c r="A90" s="77" t="e">
        <f aca="false">IF(KMeans_City!$E108=1,KMeans_City!$B108,NA())</f>
        <v>#N/A</v>
      </c>
      <c r="B90" s="77" t="e">
        <f aca="false">IF(KMeans_City!$E108=1,KMeans_City!$C108,NA())</f>
        <v>#N/A</v>
      </c>
      <c r="C90" s="77" t="n">
        <f aca="false">IF(KMeans_City!$E108=2,KMeans_City!$B108,NA())</f>
        <v>-0.636688680796734</v>
      </c>
      <c r="D90" s="77" t="n">
        <f aca="false">IF(KMeans_City!$E108=2,KMeans_City!$C108,NA())</f>
        <v>-0.672650545388274</v>
      </c>
      <c r="E90" s="77" t="e">
        <f aca="false">IF(KMeans_City!$E108=3,KMeans_City!$B108,NA())</f>
        <v>#N/A</v>
      </c>
      <c r="F90" s="77" t="e">
        <f aca="false">IF(KMeans_City!$E108=3,KMeans_City!$C108,NA())</f>
        <v>#N/A</v>
      </c>
      <c r="O90" s="77" t="e">
        <f aca="false">IF(KMeans_Phase!$E108=1,KMeans_Phase!$A108,NA())</f>
        <v>#N/A</v>
      </c>
      <c r="P90" s="77" t="e">
        <f aca="false">IF(KMeans_Phase!$E108=1,Phase_Data!$C90,NA())</f>
        <v>#N/A</v>
      </c>
      <c r="Q90" s="77" t="n">
        <f aca="false">IF(KMeans_Phase!$E108=2,KMeans_Phase!$A108,NA())</f>
        <v>43972</v>
      </c>
      <c r="R90" s="77" t="n">
        <f aca="false">IF(KMeans_Phase!$E108=2,Phase_Data!$C90,NA())</f>
        <v>2539</v>
      </c>
      <c r="S90" s="77" t="e">
        <f aca="false">IF(KMeans_Phase!$E108=3,KMeans_Phase!$A108,NA())</f>
        <v>#N/A</v>
      </c>
      <c r="T90" s="77" t="e">
        <f aca="false">IF(KMeans_Phase!$E108=3,Phase_Data!$C90,NA())</f>
        <v>#N/A</v>
      </c>
    </row>
    <row r="91" customFormat="false" ht="15" hidden="false" customHeight="false" outlineLevel="0" collapsed="false">
      <c r="A91" s="77" t="e">
        <f aca="false">IF(KMeans_City!$E109=1,KMeans_City!$B109,NA())</f>
        <v>#N/A</v>
      </c>
      <c r="B91" s="77" t="e">
        <f aca="false">IF(KMeans_City!$E109=1,KMeans_City!$C109,NA())</f>
        <v>#N/A</v>
      </c>
      <c r="C91" s="77" t="n">
        <f aca="false">IF(KMeans_City!$E109=2,KMeans_City!$B109,NA())</f>
        <v>-0.636688680796734</v>
      </c>
      <c r="D91" s="77" t="n">
        <f aca="false">IF(KMeans_City!$E109=2,KMeans_City!$C109,NA())</f>
        <v>-0.672650545388274</v>
      </c>
      <c r="E91" s="77" t="e">
        <f aca="false">IF(KMeans_City!$E109=3,KMeans_City!$B109,NA())</f>
        <v>#N/A</v>
      </c>
      <c r="F91" s="77" t="e">
        <f aca="false">IF(KMeans_City!$E109=3,KMeans_City!$C109,NA())</f>
        <v>#N/A</v>
      </c>
      <c r="O91" s="77" t="e">
        <f aca="false">IF(KMeans_Phase!$E109=1,KMeans_Phase!$A109,NA())</f>
        <v>#N/A</v>
      </c>
      <c r="P91" s="77" t="e">
        <f aca="false">IF(KMeans_Phase!$E109=1,Phase_Data!$C91,NA())</f>
        <v>#N/A</v>
      </c>
      <c r="Q91" s="77" t="n">
        <f aca="false">IF(KMeans_Phase!$E109=2,KMeans_Phase!$A109,NA())</f>
        <v>43973</v>
      </c>
      <c r="R91" s="77" t="n">
        <f aca="false">IF(KMeans_Phase!$E109=2,Phase_Data!$C91,NA())</f>
        <v>1728</v>
      </c>
      <c r="S91" s="77" t="e">
        <f aca="false">IF(KMeans_Phase!$E109=3,KMeans_Phase!$A109,NA())</f>
        <v>#N/A</v>
      </c>
      <c r="T91" s="77" t="e">
        <f aca="false">IF(KMeans_Phase!$E109=3,Phase_Data!$C91,NA())</f>
        <v>#N/A</v>
      </c>
    </row>
    <row r="92" customFormat="false" ht="15" hidden="false" customHeight="false" outlineLevel="0" collapsed="false">
      <c r="A92" s="77" t="e">
        <f aca="false">IF(KMeans_City!$E110=1,KMeans_City!$B110,NA())</f>
        <v>#N/A</v>
      </c>
      <c r="B92" s="77" t="e">
        <f aca="false">IF(KMeans_City!$E110=1,KMeans_City!$C110,NA())</f>
        <v>#N/A</v>
      </c>
      <c r="C92" s="77" t="e">
        <f aca="false">IF(KMeans_City!$E110=2,KMeans_City!$B110,NA())</f>
        <v>#N/A</v>
      </c>
      <c r="D92" s="77" t="e">
        <f aca="false">IF(KMeans_City!$E110=2,KMeans_City!$C110,NA())</f>
        <v>#N/A</v>
      </c>
      <c r="E92" s="77" t="n">
        <f aca="false">IF(KMeans_City!$E110=3,KMeans_City!$B110,NA())</f>
        <v>-0.706187767063518</v>
      </c>
      <c r="F92" s="77" t="n">
        <f aca="false">IF(KMeans_City!$E110=3,KMeans_City!$C110,NA())</f>
        <v>-0.146983133929529</v>
      </c>
      <c r="O92" s="77" t="e">
        <f aca="false">IF(KMeans_Phase!$E110=1,KMeans_Phase!$A110,NA())</f>
        <v>#N/A</v>
      </c>
      <c r="P92" s="77" t="e">
        <f aca="false">IF(KMeans_Phase!$E110=1,Phase_Data!$C92,NA())</f>
        <v>#N/A</v>
      </c>
      <c r="Q92" s="77" t="n">
        <f aca="false">IF(KMeans_Phase!$E110=2,KMeans_Phase!$A110,NA())</f>
        <v>43974</v>
      </c>
      <c r="R92" s="77" t="n">
        <f aca="false">IF(KMeans_Phase!$E110=2,Phase_Data!$C92,NA())</f>
        <v>2060</v>
      </c>
      <c r="S92" s="77" t="e">
        <f aca="false">IF(KMeans_Phase!$E110=3,KMeans_Phase!$A110,NA())</f>
        <v>#N/A</v>
      </c>
      <c r="T92" s="77" t="e">
        <f aca="false">IF(KMeans_Phase!$E110=3,Phase_Data!$C92,NA())</f>
        <v>#N/A</v>
      </c>
    </row>
    <row r="93" customFormat="false" ht="15" hidden="false" customHeight="false" outlineLevel="0" collapsed="false">
      <c r="A93" s="77" t="e">
        <f aca="false">IF(KMeans_City!$E111=1,KMeans_City!$B111,NA())</f>
        <v>#N/A</v>
      </c>
      <c r="B93" s="77" t="e">
        <f aca="false">IF(KMeans_City!$E111=1,KMeans_City!$C111,NA())</f>
        <v>#N/A</v>
      </c>
      <c r="C93" s="77" t="n">
        <f aca="false">IF(KMeans_City!$E111=2,KMeans_City!$B111,NA())</f>
        <v>-0.744758744633192</v>
      </c>
      <c r="D93" s="77" t="n">
        <f aca="false">IF(KMeans_City!$E111=2,KMeans_City!$C111,NA())</f>
        <v>-0.146983133929529</v>
      </c>
      <c r="E93" s="77" t="e">
        <f aca="false">IF(KMeans_City!$E111=3,KMeans_City!$B111,NA())</f>
        <v>#N/A</v>
      </c>
      <c r="F93" s="77" t="e">
        <f aca="false">IF(KMeans_City!$E111=3,KMeans_City!$C111,NA())</f>
        <v>#N/A</v>
      </c>
      <c r="O93" s="77" t="e">
        <f aca="false">IF(KMeans_Phase!$E111=1,KMeans_Phase!$A111,NA())</f>
        <v>#N/A</v>
      </c>
      <c r="P93" s="77" t="e">
        <f aca="false">IF(KMeans_Phase!$E111=1,Phase_Data!$C93,NA())</f>
        <v>#N/A</v>
      </c>
      <c r="Q93" s="77" t="n">
        <f aca="false">IF(KMeans_Phase!$E111=2,KMeans_Phase!$A111,NA())</f>
        <v>43975</v>
      </c>
      <c r="R93" s="77" t="n">
        <f aca="false">IF(KMeans_Phase!$E111=2,Phase_Data!$C93,NA())</f>
        <v>1744</v>
      </c>
      <c r="S93" s="77" t="e">
        <f aca="false">IF(KMeans_Phase!$E111=3,KMeans_Phase!$A111,NA())</f>
        <v>#N/A</v>
      </c>
      <c r="T93" s="77" t="e">
        <f aca="false">IF(KMeans_Phase!$E111=3,Phase_Data!$C93,NA())</f>
        <v>#N/A</v>
      </c>
    </row>
    <row r="94" customFormat="false" ht="15" hidden="false" customHeight="false" outlineLevel="0" collapsed="false">
      <c r="A94" s="77" t="e">
        <f aca="false">IF(KMeans_City!$E112=1,KMeans_City!$B112,NA())</f>
        <v>#N/A</v>
      </c>
      <c r="B94" s="77" t="e">
        <f aca="false">IF(KMeans_City!$E112=1,KMeans_City!$C112,NA())</f>
        <v>#N/A</v>
      </c>
      <c r="C94" s="77" t="n">
        <f aca="false">IF(KMeans_City!$E112=2,KMeans_City!$B112,NA())</f>
        <v>-0.744758744633192</v>
      </c>
      <c r="D94" s="77" t="n">
        <f aca="false">IF(KMeans_City!$E112=2,KMeans_City!$C112,NA())</f>
        <v>-0.672650545388274</v>
      </c>
      <c r="E94" s="77" t="e">
        <f aca="false">IF(KMeans_City!$E112=3,KMeans_City!$B112,NA())</f>
        <v>#N/A</v>
      </c>
      <c r="F94" s="77" t="e">
        <f aca="false">IF(KMeans_City!$E112=3,KMeans_City!$C112,NA())</f>
        <v>#N/A</v>
      </c>
      <c r="O94" s="77" t="e">
        <f aca="false">IF(KMeans_Phase!$E112=1,KMeans_Phase!$A112,NA())</f>
        <v>#N/A</v>
      </c>
      <c r="P94" s="77" t="e">
        <f aca="false">IF(KMeans_Phase!$E112=1,Phase_Data!$C94,NA())</f>
        <v>#N/A</v>
      </c>
      <c r="Q94" s="77" t="n">
        <f aca="false">IF(KMeans_Phase!$E112=2,KMeans_Phase!$A112,NA())</f>
        <v>43976</v>
      </c>
      <c r="R94" s="77" t="n">
        <f aca="false">IF(KMeans_Phase!$E112=2,Phase_Data!$C94,NA())</f>
        <v>1356</v>
      </c>
      <c r="S94" s="77" t="e">
        <f aca="false">IF(KMeans_Phase!$E112=3,KMeans_Phase!$A112,NA())</f>
        <v>#N/A</v>
      </c>
      <c r="T94" s="77" t="e">
        <f aca="false">IF(KMeans_Phase!$E112=3,Phase_Data!$C94,NA())</f>
        <v>#N/A</v>
      </c>
    </row>
    <row r="95" customFormat="false" ht="15" hidden="false" customHeight="false" outlineLevel="0" collapsed="false">
      <c r="A95" s="77" t="e">
        <f aca="false">IF(KMeans_City!$E113=1,KMeans_City!$B113,NA())</f>
        <v>#N/A</v>
      </c>
      <c r="B95" s="77" t="e">
        <f aca="false">IF(KMeans_City!$E113=1,KMeans_City!$C113,NA())</f>
        <v>#N/A</v>
      </c>
      <c r="C95" s="77" t="n">
        <f aca="false">IF(KMeans_City!$E113=2,KMeans_City!$B113,NA())</f>
        <v>-0.786418574103199</v>
      </c>
      <c r="D95" s="77" t="n">
        <f aca="false">IF(KMeans_City!$E113=2,KMeans_City!$C113,NA())</f>
        <v>-0.672650545388274</v>
      </c>
      <c r="E95" s="77" t="e">
        <f aca="false">IF(KMeans_City!$E113=3,KMeans_City!$B113,NA())</f>
        <v>#N/A</v>
      </c>
      <c r="F95" s="77" t="e">
        <f aca="false">IF(KMeans_City!$E113=3,KMeans_City!$C113,NA())</f>
        <v>#N/A</v>
      </c>
      <c r="O95" s="77" t="e">
        <f aca="false">IF(KMeans_Phase!$E113=1,KMeans_Phase!$A113,NA())</f>
        <v>#N/A</v>
      </c>
      <c r="P95" s="77" t="e">
        <f aca="false">IF(KMeans_Phase!$E113=1,Phase_Data!$C95,NA())</f>
        <v>#N/A</v>
      </c>
      <c r="Q95" s="77" t="n">
        <f aca="false">IF(KMeans_Phase!$E113=2,KMeans_Phase!$A113,NA())</f>
        <v>43977</v>
      </c>
      <c r="R95" s="77" t="n">
        <f aca="false">IF(KMeans_Phase!$E113=2,Phase_Data!$C95,NA())</f>
        <v>1440</v>
      </c>
      <c r="S95" s="77" t="e">
        <f aca="false">IF(KMeans_Phase!$E113=3,KMeans_Phase!$A113,NA())</f>
        <v>#N/A</v>
      </c>
      <c r="T95" s="77" t="e">
        <f aca="false">IF(KMeans_Phase!$E113=3,Phase_Data!$C95,NA())</f>
        <v>#N/A</v>
      </c>
    </row>
    <row r="96" customFormat="false" ht="15" hidden="false" customHeight="false" outlineLevel="0" collapsed="false">
      <c r="A96" s="77" t="e">
        <f aca="false">IF(KMeans_City!$E114=1,KMeans_City!$B114,NA())</f>
        <v>#N/A</v>
      </c>
      <c r="B96" s="77" t="e">
        <f aca="false">IF(KMeans_City!$E114=1,KMeans_City!$C114,NA())</f>
        <v>#N/A</v>
      </c>
      <c r="C96" s="77" t="n">
        <f aca="false">IF(KMeans_City!$E114=2,KMeans_City!$B114,NA())</f>
        <v>-0.831705387014662</v>
      </c>
      <c r="D96" s="77" t="n">
        <f aca="false">IF(KMeans_City!$E114=2,KMeans_City!$C114,NA())</f>
        <v>-0.672650545388274</v>
      </c>
      <c r="E96" s="77" t="e">
        <f aca="false">IF(KMeans_City!$E114=3,KMeans_City!$B114,NA())</f>
        <v>#N/A</v>
      </c>
      <c r="F96" s="77" t="e">
        <f aca="false">IF(KMeans_City!$E114=3,KMeans_City!$C114,NA())</f>
        <v>#N/A</v>
      </c>
      <c r="O96" s="77" t="e">
        <f aca="false">IF(KMeans_Phase!$E114=1,KMeans_Phase!$A114,NA())</f>
        <v>#N/A</v>
      </c>
      <c r="P96" s="77" t="e">
        <f aca="false">IF(KMeans_Phase!$E114=1,Phase_Data!$C96,NA())</f>
        <v>#N/A</v>
      </c>
      <c r="Q96" s="77" t="n">
        <f aca="false">IF(KMeans_Phase!$E114=2,KMeans_Phase!$A114,NA())</f>
        <v>43978</v>
      </c>
      <c r="R96" s="77" t="n">
        <f aca="false">IF(KMeans_Phase!$E114=2,Phase_Data!$C96,NA())</f>
        <v>2173</v>
      </c>
      <c r="S96" s="77" t="e">
        <f aca="false">IF(KMeans_Phase!$E114=3,KMeans_Phase!$A114,NA())</f>
        <v>#N/A</v>
      </c>
      <c r="T96" s="77" t="e">
        <f aca="false">IF(KMeans_Phase!$E114=3,Phase_Data!$C96,NA())</f>
        <v>#N/A</v>
      </c>
    </row>
    <row r="97" customFormat="false" ht="15" hidden="false" customHeight="false" outlineLevel="0" collapsed="false">
      <c r="A97" s="77" t="e">
        <f aca="false">IF(KMeans_City!$E115=1,KMeans_City!$B115,NA())</f>
        <v>#N/A</v>
      </c>
      <c r="B97" s="77" t="e">
        <f aca="false">IF(KMeans_City!$E115=1,KMeans_City!$C115,NA())</f>
        <v>#N/A</v>
      </c>
      <c r="C97" s="77" t="n">
        <f aca="false">IF(KMeans_City!$E115=2,KMeans_City!$B115,NA())</f>
        <v>-0.831705387014662</v>
      </c>
      <c r="D97" s="77" t="n">
        <f aca="false">IF(KMeans_City!$E115=2,KMeans_City!$C115,NA())</f>
        <v>-0.672650545388274</v>
      </c>
      <c r="E97" s="77" t="e">
        <f aca="false">IF(KMeans_City!$E115=3,KMeans_City!$B115,NA())</f>
        <v>#N/A</v>
      </c>
      <c r="F97" s="77" t="e">
        <f aca="false">IF(KMeans_City!$E115=3,KMeans_City!$C115,NA())</f>
        <v>#N/A</v>
      </c>
      <c r="O97" s="77" t="e">
        <f aca="false">IF(KMeans_Phase!$E115=1,KMeans_Phase!$A115,NA())</f>
        <v>#N/A</v>
      </c>
      <c r="P97" s="77" t="e">
        <f aca="false">IF(KMeans_Phase!$E115=1,Phase_Data!$C97,NA())</f>
        <v>#N/A</v>
      </c>
      <c r="Q97" s="77" t="n">
        <f aca="false">IF(KMeans_Phase!$E115=2,KMeans_Phase!$A115,NA())</f>
        <v>43979</v>
      </c>
      <c r="R97" s="77" t="n">
        <f aca="false">IF(KMeans_Phase!$E115=2,Phase_Data!$C97,NA())</f>
        <v>2562</v>
      </c>
      <c r="S97" s="77" t="e">
        <f aca="false">IF(KMeans_Phase!$E115=3,KMeans_Phase!$A115,NA())</f>
        <v>#N/A</v>
      </c>
      <c r="T97" s="77" t="e">
        <f aca="false">IF(KMeans_Phase!$E115=3,Phase_Data!$C97,NA())</f>
        <v>#N/A</v>
      </c>
    </row>
    <row r="98" customFormat="false" ht="15" hidden="false" customHeight="false" outlineLevel="0" collapsed="false">
      <c r="A98" s="77" t="e">
        <f aca="false">IF(KMeans_City!$E116=1,KMeans_City!$B116,NA())</f>
        <v>#N/A</v>
      </c>
      <c r="B98" s="77" t="e">
        <f aca="false">IF(KMeans_City!$E116=1,KMeans_City!$C116,NA())</f>
        <v>#N/A</v>
      </c>
      <c r="C98" s="77" t="n">
        <f aca="false">IF(KMeans_City!$E116=2,KMeans_City!$B116,NA())</f>
        <v>-0.881311477972984</v>
      </c>
      <c r="D98" s="77" t="n">
        <f aca="false">IF(KMeans_City!$E116=2,KMeans_City!$C116,NA())</f>
        <v>-0.672650545388274</v>
      </c>
      <c r="E98" s="77" t="e">
        <f aca="false">IF(KMeans_City!$E116=3,KMeans_City!$B116,NA())</f>
        <v>#N/A</v>
      </c>
      <c r="F98" s="77" t="e">
        <f aca="false">IF(KMeans_City!$E116=3,KMeans_City!$C116,NA())</f>
        <v>#N/A</v>
      </c>
      <c r="O98" s="77" t="e">
        <f aca="false">IF(KMeans_Phase!$E116=1,KMeans_Phase!$A116,NA())</f>
        <v>#N/A</v>
      </c>
      <c r="P98" s="77" t="e">
        <f aca="false">IF(KMeans_Phase!$E116=1,Phase_Data!$C98,NA())</f>
        <v>#N/A</v>
      </c>
      <c r="Q98" s="77" t="n">
        <f aca="false">IF(KMeans_Phase!$E116=2,KMeans_Phase!$A116,NA())</f>
        <v>43980</v>
      </c>
      <c r="R98" s="77" t="n">
        <f aca="false">IF(KMeans_Phase!$E116=2,Phase_Data!$C98,NA())</f>
        <v>2426</v>
      </c>
      <c r="S98" s="77" t="e">
        <f aca="false">IF(KMeans_Phase!$E116=3,KMeans_Phase!$A116,NA())</f>
        <v>#N/A</v>
      </c>
      <c r="T98" s="77" t="e">
        <f aca="false">IF(KMeans_Phase!$E116=3,Phase_Data!$C98,NA())</f>
        <v>#N/A</v>
      </c>
    </row>
    <row r="99" customFormat="false" ht="15" hidden="false" customHeight="false" outlineLevel="0" collapsed="false">
      <c r="A99" s="77" t="e">
        <f aca="false">IF(KMeans_City!$E117=1,KMeans_City!$B117,NA())</f>
        <v>#N/A</v>
      </c>
      <c r="B99" s="77" t="e">
        <f aca="false">IF(KMeans_City!$E117=1,KMeans_City!$C117,NA())</f>
        <v>#N/A</v>
      </c>
      <c r="C99" s="77" t="n">
        <f aca="false">IF(KMeans_City!$E117=2,KMeans_City!$B117,NA())</f>
        <v>-0.881311477972984</v>
      </c>
      <c r="D99" s="77" t="n">
        <f aca="false">IF(KMeans_City!$E117=2,KMeans_City!$C117,NA())</f>
        <v>-0.146983133929529</v>
      </c>
      <c r="E99" s="77" t="e">
        <f aca="false">IF(KMeans_City!$E117=3,KMeans_City!$B117,NA())</f>
        <v>#N/A</v>
      </c>
      <c r="F99" s="77" t="e">
        <f aca="false">IF(KMeans_City!$E117=3,KMeans_City!$C117,NA())</f>
        <v>#N/A</v>
      </c>
      <c r="O99" s="77" t="e">
        <f aca="false">IF(KMeans_Phase!$E117=1,KMeans_Phase!$A117,NA())</f>
        <v>#N/A</v>
      </c>
      <c r="P99" s="77" t="e">
        <f aca="false">IF(KMeans_Phase!$E117=1,Phase_Data!$C99,NA())</f>
        <v>#N/A</v>
      </c>
      <c r="Q99" s="77" t="n">
        <f aca="false">IF(KMeans_Phase!$E117=2,KMeans_Phase!$A117,NA())</f>
        <v>43981</v>
      </c>
      <c r="R99" s="77" t="n">
        <f aca="false">IF(KMeans_Phase!$E117=2,Phase_Data!$C99,NA())</f>
        <v>2956</v>
      </c>
      <c r="S99" s="77" t="e">
        <f aca="false">IF(KMeans_Phase!$E117=3,KMeans_Phase!$A117,NA())</f>
        <v>#N/A</v>
      </c>
      <c r="T99" s="77" t="e">
        <f aca="false">IF(KMeans_Phase!$E117=3,Phase_Data!$C99,NA())</f>
        <v>#N/A</v>
      </c>
    </row>
    <row r="100" customFormat="false" ht="15" hidden="false" customHeight="false" outlineLevel="0" collapsed="false">
      <c r="A100" s="77" t="e">
        <f aca="false">IF(KMeans_City!$E118=1,KMeans_City!$B118,NA())</f>
        <v>#N/A</v>
      </c>
      <c r="B100" s="77" t="e">
        <f aca="false">IF(KMeans_City!$E118=1,KMeans_City!$C118,NA())</f>
        <v>#N/A</v>
      </c>
      <c r="C100" s="77" t="n">
        <f aca="false">IF(KMeans_City!$E118=2,KMeans_City!$B118,NA())</f>
        <v>-0.881311477972984</v>
      </c>
      <c r="D100" s="77" t="n">
        <f aca="false">IF(KMeans_City!$E118=2,KMeans_City!$C118,NA())</f>
        <v>-0.672650545388274</v>
      </c>
      <c r="E100" s="77" t="e">
        <f aca="false">IF(KMeans_City!$E118=3,KMeans_City!$B118,NA())</f>
        <v>#N/A</v>
      </c>
      <c r="F100" s="77" t="e">
        <f aca="false">IF(KMeans_City!$E118=3,KMeans_City!$C118,NA())</f>
        <v>#N/A</v>
      </c>
      <c r="O100" s="77" t="e">
        <f aca="false">IF(KMeans_Phase!$E118=1,KMeans_Phase!$A118,NA())</f>
        <v>#N/A</v>
      </c>
      <c r="P100" s="77" t="e">
        <f aca="false">IF(KMeans_Phase!$E118=1,Phase_Data!$C100,NA())</f>
        <v>#N/A</v>
      </c>
      <c r="Q100" s="77" t="n">
        <f aca="false">IF(KMeans_Phase!$E118=2,KMeans_Phase!$A118,NA())</f>
        <v>43982</v>
      </c>
      <c r="R100" s="77" t="n">
        <f aca="false">IF(KMeans_Phase!$E118=2,Phase_Data!$C100,NA())</f>
        <v>2883</v>
      </c>
      <c r="S100" s="77" t="e">
        <f aca="false">IF(KMeans_Phase!$E118=3,KMeans_Phase!$A118,NA())</f>
        <v>#N/A</v>
      </c>
      <c r="T100" s="77" t="e">
        <f aca="false">IF(KMeans_Phase!$E118=3,Phase_Data!$C100,NA())</f>
        <v>#N/A</v>
      </c>
    </row>
    <row r="101" customFormat="false" ht="15" hidden="false" customHeight="false" outlineLevel="0" collapsed="false">
      <c r="A101" s="77" t="e">
        <f aca="false">IF(KMeans_City!$E119=1,KMeans_City!$B119,NA())</f>
        <v>#N/A</v>
      </c>
      <c r="B101" s="77" t="e">
        <f aca="false">IF(KMeans_City!$E119=1,KMeans_City!$C119,NA())</f>
        <v>#N/A</v>
      </c>
      <c r="C101" s="77" t="n">
        <f aca="false">IF(KMeans_City!$E119=2,KMeans_City!$B119,NA())</f>
        <v>-0.881311477972984</v>
      </c>
      <c r="D101" s="77" t="n">
        <f aca="false">IF(KMeans_City!$E119=2,KMeans_City!$C119,NA())</f>
        <v>-0.672650545388274</v>
      </c>
      <c r="E101" s="77" t="e">
        <f aca="false">IF(KMeans_City!$E119=3,KMeans_City!$B119,NA())</f>
        <v>#N/A</v>
      </c>
      <c r="F101" s="77" t="e">
        <f aca="false">IF(KMeans_City!$E119=3,KMeans_City!$C119,NA())</f>
        <v>#N/A</v>
      </c>
      <c r="O101" s="77" t="e">
        <f aca="false">IF(KMeans_Phase!$E119=1,KMeans_Phase!$A119,NA())</f>
        <v>#N/A</v>
      </c>
      <c r="P101" s="77" t="e">
        <f aca="false">IF(KMeans_Phase!$E119=1,Phase_Data!$C101,NA())</f>
        <v>#N/A</v>
      </c>
      <c r="Q101" s="77" t="n">
        <f aca="false">IF(KMeans_Phase!$E119=2,KMeans_Phase!$A119,NA())</f>
        <v>43983</v>
      </c>
      <c r="R101" s="77" t="n">
        <f aca="false">IF(KMeans_Phase!$E119=2,Phase_Data!$C101,NA())</f>
        <v>3872</v>
      </c>
      <c r="S101" s="77" t="e">
        <f aca="false">IF(KMeans_Phase!$E119=3,KMeans_Phase!$A119,NA())</f>
        <v>#N/A</v>
      </c>
      <c r="T101" s="77" t="e">
        <f aca="false">IF(KMeans_Phase!$E119=3,Phase_Data!$C101,NA())</f>
        <v>#N/A</v>
      </c>
    </row>
    <row r="102" customFormat="false" ht="15" hidden="false" customHeight="false" outlineLevel="0" collapsed="false">
      <c r="A102" s="77" t="e">
        <f aca="false">IF(KMeans_City!$E120=1,KMeans_City!$B120,NA())</f>
        <v>#N/A</v>
      </c>
      <c r="B102" s="77" t="e">
        <f aca="false">IF(KMeans_City!$E120=1,KMeans_City!$C120,NA())</f>
        <v>#N/A</v>
      </c>
      <c r="C102" s="77" t="n">
        <f aca="false">IF(KMeans_City!$E120=2,KMeans_City!$B120,NA())</f>
        <v>-0.936148467409663</v>
      </c>
      <c r="D102" s="77" t="n">
        <f aca="false">IF(KMeans_City!$E120=2,KMeans_City!$C120,NA())</f>
        <v>-0.672650545388274</v>
      </c>
      <c r="E102" s="77" t="e">
        <f aca="false">IF(KMeans_City!$E120=3,KMeans_City!$B120,NA())</f>
        <v>#N/A</v>
      </c>
      <c r="F102" s="77" t="e">
        <f aca="false">IF(KMeans_City!$E120=3,KMeans_City!$C120,NA())</f>
        <v>#N/A</v>
      </c>
      <c r="O102" s="77" t="e">
        <f aca="false">IF(KMeans_Phase!$E120=1,KMeans_Phase!$A120,NA())</f>
        <v>#N/A</v>
      </c>
      <c r="P102" s="77" t="e">
        <f aca="false">IF(KMeans_Phase!$E120=1,Phase_Data!$C102,NA())</f>
        <v>#N/A</v>
      </c>
      <c r="Q102" s="77" t="n">
        <f aca="false">IF(KMeans_Phase!$E120=2,KMeans_Phase!$A120,NA())</f>
        <v>43984</v>
      </c>
      <c r="R102" s="77" t="n">
        <f aca="false">IF(KMeans_Phase!$E120=2,Phase_Data!$C102,NA())</f>
        <v>4242</v>
      </c>
      <c r="S102" s="77" t="e">
        <f aca="false">IF(KMeans_Phase!$E120=3,KMeans_Phase!$A120,NA())</f>
        <v>#N/A</v>
      </c>
      <c r="T102" s="77" t="e">
        <f aca="false">IF(KMeans_Phase!$E120=3,Phase_Data!$C102,NA())</f>
        <v>#N/A</v>
      </c>
    </row>
    <row r="103" customFormat="false" ht="15" hidden="false" customHeight="false" outlineLevel="0" collapsed="false">
      <c r="A103" s="77" t="e">
        <f aca="false">IF(KMeans_City!$E121=1,KMeans_City!$B121,NA())</f>
        <v>#N/A</v>
      </c>
      <c r="B103" s="77" t="e">
        <f aca="false">IF(KMeans_City!$E121=1,KMeans_City!$C121,NA())</f>
        <v>#N/A</v>
      </c>
      <c r="C103" s="77" t="n">
        <f aca="false">IF(KMeans_City!$E121=2,KMeans_City!$B121,NA())</f>
        <v>-0.936148467409663</v>
      </c>
      <c r="D103" s="77" t="n">
        <f aca="false">IF(KMeans_City!$E121=2,KMeans_City!$C121,NA())</f>
        <v>-0.672650545388274</v>
      </c>
      <c r="E103" s="77" t="e">
        <f aca="false">IF(KMeans_City!$E121=3,KMeans_City!$B121,NA())</f>
        <v>#N/A</v>
      </c>
      <c r="F103" s="77" t="e">
        <f aca="false">IF(KMeans_City!$E121=3,KMeans_City!$C121,NA())</f>
        <v>#N/A</v>
      </c>
      <c r="O103" s="77" t="e">
        <f aca="false">IF(KMeans_Phase!$E121=1,KMeans_Phase!$A121,NA())</f>
        <v>#N/A</v>
      </c>
      <c r="P103" s="77" t="e">
        <f aca="false">IF(KMeans_Phase!$E121=1,Phase_Data!$C103,NA())</f>
        <v>#N/A</v>
      </c>
      <c r="Q103" s="77" t="n">
        <f aca="false">IF(KMeans_Phase!$E121=2,KMeans_Phase!$A121,NA())</f>
        <v>43985</v>
      </c>
      <c r="R103" s="77" t="n">
        <f aca="false">IF(KMeans_Phase!$E121=2,Phase_Data!$C103,NA())</f>
        <v>4677</v>
      </c>
      <c r="S103" s="77" t="e">
        <f aca="false">IF(KMeans_Phase!$E121=3,KMeans_Phase!$A121,NA())</f>
        <v>#N/A</v>
      </c>
      <c r="T103" s="77" t="e">
        <f aca="false">IF(KMeans_Phase!$E121=3,Phase_Data!$C103,NA())</f>
        <v>#N/A</v>
      </c>
    </row>
    <row r="104" customFormat="false" ht="15" hidden="false" customHeight="false" outlineLevel="0" collapsed="false">
      <c r="A104" s="77" t="e">
        <f aca="false">IF(KMeans_City!$E122=1,KMeans_City!$B122,NA())</f>
        <v>#N/A</v>
      </c>
      <c r="B104" s="77" t="e">
        <f aca="false">IF(KMeans_City!$E122=1,KMeans_City!$C122,NA())</f>
        <v>#N/A</v>
      </c>
      <c r="C104" s="77" t="n">
        <f aca="false">IF(KMeans_City!$E122=2,KMeans_City!$B122,NA())</f>
        <v>-0.936148467409663</v>
      </c>
      <c r="D104" s="77" t="n">
        <f aca="false">IF(KMeans_City!$E122=2,KMeans_City!$C122,NA())</f>
        <v>-0.672650545388274</v>
      </c>
      <c r="E104" s="77" t="e">
        <f aca="false">IF(KMeans_City!$E122=3,KMeans_City!$B122,NA())</f>
        <v>#N/A</v>
      </c>
      <c r="F104" s="77" t="e">
        <f aca="false">IF(KMeans_City!$E122=3,KMeans_City!$C122,NA())</f>
        <v>#N/A</v>
      </c>
    </row>
    <row r="105" customFormat="false" ht="15" hidden="false" customHeight="false" outlineLevel="0" collapsed="false">
      <c r="A105" s="77" t="e">
        <f aca="false">IF(KMeans_City!$E123=1,KMeans_City!$B123,NA())</f>
        <v>#N/A</v>
      </c>
      <c r="B105" s="77" t="e">
        <f aca="false">IF(KMeans_City!$E123=1,KMeans_City!$C123,NA())</f>
        <v>#N/A</v>
      </c>
      <c r="C105" s="77" t="n">
        <f aca="false">IF(KMeans_City!$E123=2,KMeans_City!$B123,NA())</f>
        <v>-0.936148467409663</v>
      </c>
      <c r="D105" s="77" t="n">
        <f aca="false">IF(KMeans_City!$E123=2,KMeans_City!$C123,NA())</f>
        <v>-0.672650545388274</v>
      </c>
      <c r="E105" s="77" t="e">
        <f aca="false">IF(KMeans_City!$E123=3,KMeans_City!$B123,NA())</f>
        <v>#N/A</v>
      </c>
      <c r="F105" s="77" t="e">
        <f aca="false">IF(KMeans_City!$E123=3,KMeans_City!$C123,NA())</f>
        <v>#N/A</v>
      </c>
    </row>
    <row r="106" customFormat="false" ht="15" hidden="false" customHeight="false" outlineLevel="0" collapsed="false">
      <c r="A106" s="77" t="e">
        <f aca="false">IF(KMeans_City!$E124=1,KMeans_City!$B124,NA())</f>
        <v>#N/A</v>
      </c>
      <c r="B106" s="77" t="e">
        <f aca="false">IF(KMeans_City!$E124=1,KMeans_City!$C124,NA())</f>
        <v>#N/A</v>
      </c>
      <c r="C106" s="77" t="n">
        <f aca="false">IF(KMeans_City!$E124=2,KMeans_City!$B124,NA())</f>
        <v>-0.997451006048382</v>
      </c>
      <c r="D106" s="77" t="n">
        <f aca="false">IF(KMeans_City!$E124=2,KMeans_City!$C124,NA())</f>
        <v>-0.672650545388274</v>
      </c>
      <c r="E106" s="77" t="e">
        <f aca="false">IF(KMeans_City!$E124=3,KMeans_City!$B124,NA())</f>
        <v>#N/A</v>
      </c>
      <c r="F106" s="77" t="e">
        <f aca="false">IF(KMeans_City!$E124=3,KMeans_City!$C124,NA())</f>
        <v>#N/A</v>
      </c>
    </row>
    <row r="107" customFormat="false" ht="15" hidden="false" customHeight="false" outlineLevel="0" collapsed="false">
      <c r="A107" s="77" t="e">
        <f aca="false">IF(KMeans_City!$E125=1,KMeans_City!$B125,NA())</f>
        <v>#N/A</v>
      </c>
      <c r="B107" s="77" t="e">
        <f aca="false">IF(KMeans_City!$E125=1,KMeans_City!$C125,NA())</f>
        <v>#N/A</v>
      </c>
      <c r="C107" s="77" t="n">
        <f aca="false">IF(KMeans_City!$E125=2,KMeans_City!$B125,NA())</f>
        <v>-0.997451006048382</v>
      </c>
      <c r="D107" s="77" t="n">
        <f aca="false">IF(KMeans_City!$E125=2,KMeans_City!$C125,NA())</f>
        <v>-0.672650545388274</v>
      </c>
      <c r="E107" s="77" t="e">
        <f aca="false">IF(KMeans_City!$E125=3,KMeans_City!$B125,NA())</f>
        <v>#N/A</v>
      </c>
      <c r="F107" s="77" t="e">
        <f aca="false">IF(KMeans_City!$E125=3,KMeans_City!$C125,NA())</f>
        <v>#N/A</v>
      </c>
    </row>
    <row r="108" customFormat="false" ht="15" hidden="false" customHeight="false" outlineLevel="0" collapsed="false">
      <c r="A108" s="77" t="e">
        <f aca="false">IF(KMeans_City!$E126=1,KMeans_City!$B126,NA())</f>
        <v>#N/A</v>
      </c>
      <c r="B108" s="77" t="e">
        <f aca="false">IF(KMeans_City!$E126=1,KMeans_City!$C126,NA())</f>
        <v>#N/A</v>
      </c>
      <c r="C108" s="77" t="n">
        <f aca="false">IF(KMeans_City!$E126=2,KMeans_City!$B126,NA())</f>
        <v>-0.997451006048382</v>
      </c>
      <c r="D108" s="77" t="n">
        <f aca="false">IF(KMeans_City!$E126=2,KMeans_City!$C126,NA())</f>
        <v>-0.672650545388274</v>
      </c>
      <c r="E108" s="77" t="e">
        <f aca="false">IF(KMeans_City!$E126=3,KMeans_City!$B126,NA())</f>
        <v>#N/A</v>
      </c>
      <c r="F108" s="77" t="e">
        <f aca="false">IF(KMeans_City!$E126=3,KMeans_City!$C126,NA())</f>
        <v>#N/A</v>
      </c>
    </row>
    <row r="109" customFormat="false" ht="15" hidden="false" customHeight="false" outlineLevel="0" collapsed="false">
      <c r="A109" s="77" t="e">
        <f aca="false">IF(KMeans_City!$E127=1,KMeans_City!$B127,NA())</f>
        <v>#N/A</v>
      </c>
      <c r="B109" s="77" t="e">
        <f aca="false">IF(KMeans_City!$E127=1,KMeans_City!$C127,NA())</f>
        <v>#N/A</v>
      </c>
      <c r="C109" s="77" t="n">
        <f aca="false">IF(KMeans_City!$E127=2,KMeans_City!$B127,NA())</f>
        <v>-1.14718089935485</v>
      </c>
      <c r="D109" s="77" t="n">
        <f aca="false">IF(KMeans_City!$E127=2,KMeans_City!$C127,NA())</f>
        <v>-0.672650545388274</v>
      </c>
      <c r="E109" s="77" t="e">
        <f aca="false">IF(KMeans_City!$E127=3,KMeans_City!$B127,NA())</f>
        <v>#N/A</v>
      </c>
      <c r="F109" s="77" t="e">
        <f aca="false">IF(KMeans_City!$E127=3,KMeans_City!$C127,NA())</f>
        <v>#N/A</v>
      </c>
    </row>
    <row r="110" customFormat="false" ht="15" hidden="false" customHeight="false" outlineLevel="0" collapsed="false">
      <c r="A110" s="77" t="e">
        <f aca="false">IF(KMeans_City!$E128=1,KMeans_City!$B128,NA())</f>
        <v>#N/A</v>
      </c>
      <c r="B110" s="77" t="e">
        <f aca="false">IF(KMeans_City!$E128=1,KMeans_City!$C128,NA())</f>
        <v>#N/A</v>
      </c>
      <c r="C110" s="77" t="n">
        <f aca="false">IF(KMeans_City!$E128=2,KMeans_City!$B128,NA())</f>
        <v>-1.35821333130003</v>
      </c>
      <c r="D110" s="77" t="n">
        <f aca="false">IF(KMeans_City!$E128=2,KMeans_City!$C128,NA())</f>
        <v>-0.672650545388274</v>
      </c>
      <c r="E110" s="77" t="e">
        <f aca="false">IF(KMeans_City!$E128=3,KMeans_City!$B128,NA())</f>
        <v>#N/A</v>
      </c>
      <c r="F110" s="77" t="e">
        <f aca="false">IF(KMeans_City!$E128=3,KMeans_City!$C128,NA())</f>
        <v>#N/A</v>
      </c>
    </row>
    <row r="111" customFormat="false" ht="15" hidden="false" customHeight="false" outlineLevel="0" collapsed="false">
      <c r="A111" s="77" t="e">
        <f aca="false">IF(KMeans_City!$E129=1,KMeans_City!$B129,NA())</f>
        <v>#N/A</v>
      </c>
      <c r="B111" s="77" t="e">
        <f aca="false">IF(KMeans_City!$E129=1,KMeans_City!$C129,NA())</f>
        <v>#N/A</v>
      </c>
      <c r="C111" s="77" t="n">
        <f aca="false">IF(KMeans_City!$E129=2,KMeans_City!$B129,NA())</f>
        <v>-1.50794322460649</v>
      </c>
      <c r="D111" s="77" t="n">
        <f aca="false">IF(KMeans_City!$E129=2,KMeans_City!$C129,NA())</f>
        <v>-0.672650545388274</v>
      </c>
      <c r="E111" s="77" t="e">
        <f aca="false">IF(KMeans_City!$E129=3,KMeans_City!$B129,NA())</f>
        <v>#N/A</v>
      </c>
      <c r="F111" s="77" t="e">
        <f aca="false">IF(KMeans_City!$E129=3,KMeans_City!$C129,NA())</f>
        <v>#N/A</v>
      </c>
    </row>
    <row r="112" customFormat="false" ht="15" hidden="false" customHeight="false" outlineLevel="0" collapsed="false">
      <c r="A112" s="77" t="e">
        <f aca="false">IF(KMeans_City!$E130=1,KMeans_City!$B130,NA())</f>
        <v>#N/A</v>
      </c>
      <c r="B112" s="77" t="e">
        <f aca="false">IF(KMeans_City!$E130=1,KMeans_City!$C130,NA())</f>
        <v>#N/A</v>
      </c>
      <c r="C112" s="77" t="n">
        <f aca="false">IF(KMeans_City!$E130=2,KMeans_City!$B130,NA())</f>
        <v>-1.50794322460649</v>
      </c>
      <c r="D112" s="77" t="n">
        <f aca="false">IF(KMeans_City!$E130=2,KMeans_City!$C130,NA())</f>
        <v>-0.672650545388274</v>
      </c>
      <c r="E112" s="77" t="e">
        <f aca="false">IF(KMeans_City!$E130=3,KMeans_City!$B130,NA())</f>
        <v>#N/A</v>
      </c>
      <c r="F112" s="77" t="e">
        <f aca="false">IF(KMeans_City!$E130=3,KMeans_City!$C130,NA())</f>
        <v>#N/A</v>
      </c>
    </row>
    <row r="113" customFormat="false" ht="15" hidden="false" customHeight="false" outlineLevel="0" collapsed="false">
      <c r="A113" s="77" t="e">
        <f aca="false">IF(KMeans_City!$E131=1,KMeans_City!$B131,NA())</f>
        <v>#N/A</v>
      </c>
      <c r="B113" s="77" t="e">
        <f aca="false">IF(KMeans_City!$E131=1,KMeans_City!$C131,NA())</f>
        <v>#N/A</v>
      </c>
      <c r="C113" s="77" t="n">
        <f aca="false">IF(KMeans_City!$E131=2,KMeans_City!$B131,NA())</f>
        <v>-1.50794322460649</v>
      </c>
      <c r="D113" s="77" t="n">
        <f aca="false">IF(KMeans_City!$E131=2,KMeans_City!$C131,NA())</f>
        <v>-0.672650545388274</v>
      </c>
      <c r="E113" s="77" t="e">
        <f aca="false">IF(KMeans_City!$E131=3,KMeans_City!$B131,NA())</f>
        <v>#N/A</v>
      </c>
      <c r="F113" s="77" t="e">
        <f aca="false">IF(KMeans_City!$E131=3,KMeans_City!$C131,NA())</f>
        <v>#N/A</v>
      </c>
    </row>
    <row r="114" customFormat="false" ht="15" hidden="false" customHeight="false" outlineLevel="0" collapsed="false">
      <c r="A114" s="77" t="e">
        <f aca="false">IF(KMeans_City!$E132=1,KMeans_City!$B132,NA())</f>
        <v>#N/A</v>
      </c>
      <c r="B114" s="77" t="e">
        <f aca="false">IF(KMeans_City!$E132=1,KMeans_City!$C132,NA())</f>
        <v>#N/A</v>
      </c>
      <c r="C114" s="77" t="n">
        <f aca="false">IF(KMeans_City!$E132=2,KMeans_City!$B132,NA())</f>
        <v>-1.50794322460649</v>
      </c>
      <c r="D114" s="77" t="n">
        <f aca="false">IF(KMeans_City!$E132=2,KMeans_City!$C132,NA())</f>
        <v>-0.672650545388274</v>
      </c>
      <c r="E114" s="77" t="e">
        <f aca="false">IF(KMeans_City!$E132=3,KMeans_City!$B132,NA())</f>
        <v>#N/A</v>
      </c>
      <c r="F114" s="77" t="e">
        <f aca="false">IF(KMeans_City!$E132=3,KMeans_City!$C132,NA())</f>
        <v>#N/A</v>
      </c>
    </row>
    <row r="115" customFormat="false" ht="15" hidden="false" customHeight="false" outlineLevel="0" collapsed="false">
      <c r="A115" s="77" t="e">
        <f aca="false">IF(KMeans_City!$E133=1,KMeans_City!$B133,NA())</f>
        <v>#N/A</v>
      </c>
      <c r="B115" s="77" t="e">
        <f aca="false">IF(KMeans_City!$E133=1,KMeans_City!$C133,NA())</f>
        <v>#N/A</v>
      </c>
      <c r="C115" s="77" t="n">
        <f aca="false">IF(KMeans_City!$E133=2,KMeans_City!$B133,NA())</f>
        <v>-1.71897565655168</v>
      </c>
      <c r="D115" s="77" t="n">
        <f aca="false">IF(KMeans_City!$E133=2,KMeans_City!$C133,NA())</f>
        <v>-0.672650545388274</v>
      </c>
      <c r="E115" s="77" t="e">
        <f aca="false">IF(KMeans_City!$E133=3,KMeans_City!$B133,NA())</f>
        <v>#N/A</v>
      </c>
      <c r="F115" s="77" t="e">
        <f aca="false">IF(KMeans_City!$E133=3,KMeans_City!$C133,NA())</f>
        <v>#N/A</v>
      </c>
    </row>
    <row r="116" customFormat="false" ht="15" hidden="false" customHeight="false" outlineLevel="0" collapsed="false">
      <c r="A116" s="77" t="e">
        <f aca="false">IF(KMeans_City!$E134=1,KMeans_City!$B134,NA())</f>
        <v>#N/A</v>
      </c>
      <c r="B116" s="77" t="e">
        <f aca="false">IF(KMeans_City!$E134=1,KMeans_City!$C134,NA())</f>
        <v>#N/A</v>
      </c>
      <c r="C116" s="77" t="n">
        <f aca="false">IF(KMeans_City!$E134=2,KMeans_City!$B134,NA())</f>
        <v>-1.71897565655168</v>
      </c>
      <c r="D116" s="77" t="n">
        <f aca="false">IF(KMeans_City!$E134=2,KMeans_City!$C134,NA())</f>
        <v>-0.672650545388274</v>
      </c>
      <c r="E116" s="77" t="e">
        <f aca="false">IF(KMeans_City!$E134=3,KMeans_City!$B134,NA())</f>
        <v>#N/A</v>
      </c>
      <c r="F116" s="77" t="e">
        <f aca="false">IF(KMeans_City!$E134=3,KMeans_City!$C134,NA())</f>
        <v>#N/A</v>
      </c>
    </row>
    <row r="117" customFormat="false" ht="15" hidden="false" customHeight="false" outlineLevel="0" collapsed="false">
      <c r="A117" s="77" t="e">
        <f aca="false">IF(KMeans_City!$E135=1,KMeans_City!$B135,NA())</f>
        <v>#N/A</v>
      </c>
      <c r="B117" s="77" t="e">
        <f aca="false">IF(KMeans_City!$E135=1,KMeans_City!$C135,NA())</f>
        <v>#N/A</v>
      </c>
      <c r="C117" s="77" t="n">
        <f aca="false">IF(KMeans_City!$E135=2,KMeans_City!$B135,NA())</f>
        <v>-1.71897565655168</v>
      </c>
      <c r="D117" s="77" t="n">
        <f aca="false">IF(KMeans_City!$E135=2,KMeans_City!$C135,NA())</f>
        <v>-0.672650545388274</v>
      </c>
      <c r="E117" s="77" t="e">
        <f aca="false">IF(KMeans_City!$E135=3,KMeans_City!$B135,NA())</f>
        <v>#N/A</v>
      </c>
      <c r="F117" s="77" t="e">
        <f aca="false">IF(KMeans_City!$E135=3,KMeans_City!$C135,NA())</f>
        <v>#N/A</v>
      </c>
    </row>
    <row r="118" customFormat="false" ht="15" hidden="false" customHeight="false" outlineLevel="0" collapsed="false">
      <c r="A118" s="77" t="e">
        <f aca="false">IF(KMeans_City!$E136=1,KMeans_City!$B136,NA())</f>
        <v>#N/A</v>
      </c>
      <c r="B118" s="77" t="e">
        <f aca="false">IF(KMeans_City!$E136=1,KMeans_City!$C136,NA())</f>
        <v>#N/A</v>
      </c>
      <c r="C118" s="77" t="n">
        <f aca="false">IF(KMeans_City!$E136=2,KMeans_City!$B136,NA())</f>
        <v>-1.71897565655168</v>
      </c>
      <c r="D118" s="77" t="n">
        <f aca="false">IF(KMeans_City!$E136=2,KMeans_City!$C136,NA())</f>
        <v>-0.672650545388274</v>
      </c>
      <c r="E118" s="77" t="e">
        <f aca="false">IF(KMeans_City!$E136=3,KMeans_City!$B136,NA())</f>
        <v>#N/A</v>
      </c>
      <c r="F118" s="77" t="e">
        <f aca="false">IF(KMeans_City!$E136=3,KMeans_City!$C136,NA())</f>
        <v>#N/A</v>
      </c>
    </row>
    <row r="119" customFormat="false" ht="15" hidden="false" customHeight="false" outlineLevel="0" collapsed="false">
      <c r="A119" s="77" t="e">
        <f aca="false">IF(KMeans_City!$E137=1,KMeans_City!$B137,NA())</f>
        <v>#N/A</v>
      </c>
      <c r="B119" s="77" t="e">
        <f aca="false">IF(KMeans_City!$E137=1,KMeans_City!$C137,NA())</f>
        <v>#N/A</v>
      </c>
      <c r="C119" s="77" t="n">
        <f aca="false">IF(KMeans_City!$E137=2,KMeans_City!$B137,NA())</f>
        <v>-1.71897565655168</v>
      </c>
      <c r="D119" s="77" t="n">
        <f aca="false">IF(KMeans_City!$E137=2,KMeans_City!$C137,NA())</f>
        <v>-0.672650545388274</v>
      </c>
      <c r="E119" s="77" t="e">
        <f aca="false">IF(KMeans_City!$E137=3,KMeans_City!$B137,NA())</f>
        <v>#N/A</v>
      </c>
      <c r="F119" s="77" t="e">
        <f aca="false">IF(KMeans_City!$E137=3,KMeans_City!$C137,NA())</f>
        <v>#N/A</v>
      </c>
    </row>
    <row r="120" customFormat="false" ht="15" hidden="false" customHeight="false" outlineLevel="0" collapsed="false">
      <c r="A120" s="77" t="e">
        <f aca="false">IF(KMeans_City!$E138=1,KMeans_City!$B138,NA())</f>
        <v>#N/A</v>
      </c>
      <c r="B120" s="77" t="e">
        <f aca="false">IF(KMeans_City!$E138=1,KMeans_City!$C138,NA())</f>
        <v>#N/A</v>
      </c>
      <c r="C120" s="77" t="n">
        <f aca="false">IF(KMeans_City!$E138=2,KMeans_City!$B138,NA())</f>
        <v>-2.07973798180332</v>
      </c>
      <c r="D120" s="77" t="n">
        <f aca="false">IF(KMeans_City!$E138=2,KMeans_City!$C138,NA())</f>
        <v>-0.672650545388274</v>
      </c>
      <c r="E120" s="77" t="e">
        <f aca="false">IF(KMeans_City!$E138=3,KMeans_City!$B138,NA())</f>
        <v>#N/A</v>
      </c>
      <c r="F120" s="77" t="e">
        <f aca="false">IF(KMeans_City!$E138=3,KMeans_City!$C138,NA())</f>
        <v>#N/A</v>
      </c>
    </row>
    <row r="121" customFormat="false" ht="15" hidden="false" customHeight="false" outlineLevel="0" collapsed="false">
      <c r="A121" s="77" t="e">
        <f aca="false">IF(KMeans_City!$E139=1,KMeans_City!$B139,NA())</f>
        <v>#N/A</v>
      </c>
      <c r="B121" s="77" t="e">
        <f aca="false">IF(KMeans_City!$E139=1,KMeans_City!$C139,NA())</f>
        <v>#N/A</v>
      </c>
      <c r="C121" s="77" t="n">
        <f aca="false">IF(KMeans_City!$E139=2,KMeans_City!$B139,NA())</f>
        <v>-2.07973798180332</v>
      </c>
      <c r="D121" s="77" t="n">
        <f aca="false">IF(KMeans_City!$E139=2,KMeans_City!$C139,NA())</f>
        <v>-0.672650545388274</v>
      </c>
      <c r="E121" s="77" t="e">
        <f aca="false">IF(KMeans_City!$E139=3,KMeans_City!$B139,NA())</f>
        <v>#N/A</v>
      </c>
      <c r="F121" s="77" t="e">
        <f aca="false">IF(KMeans_City!$E139=3,KMeans_City!$C139,NA())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D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80"/>
  </cols>
  <sheetData>
    <row r="1" customFormat="false" ht="19.7" hidden="false" customHeight="false" outlineLevel="0" collapsed="false">
      <c r="A1" s="1" t="s">
        <v>799</v>
      </c>
    </row>
    <row r="2" customFormat="false" ht="15" hidden="false" customHeight="false" outlineLevel="0" collapsed="false">
      <c r="A2" s="2" t="s">
        <v>800</v>
      </c>
    </row>
    <row r="4" customFormat="false" ht="31.5" hidden="false" customHeight="true" outlineLevel="0" collapsed="false">
      <c r="A4" s="10" t="s">
        <v>801</v>
      </c>
      <c r="B4" s="10" t="s">
        <v>802</v>
      </c>
      <c r="C4" s="10" t="s">
        <v>803</v>
      </c>
      <c r="D4" s="10" t="s">
        <v>804</v>
      </c>
    </row>
    <row r="5" customFormat="false" ht="42" hidden="false" customHeight="true" outlineLevel="0" collapsed="false">
      <c r="A5" s="78" t="n">
        <v>1</v>
      </c>
      <c r="B5" s="53" t="s">
        <v>805</v>
      </c>
      <c r="C5" s="79" t="n">
        <f aca="false">COUNTA(Data!$A$2:$A$2797)</f>
        <v>2796</v>
      </c>
      <c r="D5" s="53" t="s">
        <v>806</v>
      </c>
    </row>
    <row r="6" customFormat="false" ht="42" hidden="false" customHeight="true" outlineLevel="0" collapsed="false">
      <c r="A6" s="78" t="n">
        <v>2</v>
      </c>
      <c r="B6" s="53" t="s">
        <v>807</v>
      </c>
      <c r="C6" s="80" t="n">
        <v>0</v>
      </c>
      <c r="D6" s="53" t="s">
        <v>808</v>
      </c>
    </row>
    <row r="7" customFormat="false" ht="42" hidden="false" customHeight="true" outlineLevel="0" collapsed="false">
      <c r="A7" s="78" t="n">
        <v>3</v>
      </c>
      <c r="B7" s="53" t="s">
        <v>809</v>
      </c>
      <c r="C7" s="80" t="n">
        <v>0</v>
      </c>
      <c r="D7" s="53" t="s">
        <v>810</v>
      </c>
    </row>
    <row r="8" customFormat="false" ht="42" hidden="false" customHeight="true" outlineLevel="0" collapsed="false">
      <c r="A8" s="78" t="n">
        <v>4</v>
      </c>
      <c r="B8" s="53" t="s">
        <v>811</v>
      </c>
      <c r="C8" s="80" t="n">
        <f aca="false">COUNTIF(Data!$D$2:$D$2797,"&lt;0")</f>
        <v>3</v>
      </c>
      <c r="D8" s="53" t="str">
        <f aca="false">"Kept as reported; they net to "&amp;SUMIF(Data!$D$2:$D$2797,"&lt;0")&amp;" recoveries, which is immaterial. Likely data-entry corrections."</f>
        <v>Kept as reported; they net to -4 recoveries, which is immaterial. Likely data-entry corrections.</v>
      </c>
    </row>
    <row r="9" customFormat="false" ht="42" hidden="false" customHeight="true" outlineLevel="0" collapsed="false">
      <c r="A9" s="78" t="n">
        <v>5</v>
      </c>
      <c r="B9" s="53" t="s">
        <v>812</v>
      </c>
      <c r="C9" s="80" t="n">
        <f aca="false">COUNTIF(Daily!$P$5:$P$103,0)</f>
        <v>8</v>
      </c>
      <c r="D9" s="53" t="s">
        <v>813</v>
      </c>
    </row>
    <row r="10" customFormat="false" ht="42" hidden="false" customHeight="true" outlineLevel="0" collapsed="false">
      <c r="A10" s="78" t="n">
        <v>6</v>
      </c>
      <c r="B10" s="53" t="s">
        <v>814</v>
      </c>
      <c r="C10" s="79" t="n">
        <f aca="false">COUNTIF(Data!$B$2:$B$2797,0)</f>
        <v>810</v>
      </c>
      <c r="D10" s="53" t="s">
        <v>815</v>
      </c>
    </row>
    <row r="11" customFormat="false" ht="42" hidden="false" customHeight="true" outlineLevel="0" collapsed="false">
      <c r="A11" s="78" t="n">
        <v>7</v>
      </c>
      <c r="B11" s="53" t="s">
        <v>816</v>
      </c>
      <c r="C11" s="80" t="n">
        <v>6</v>
      </c>
      <c r="D11" s="53" t="s">
        <v>817</v>
      </c>
    </row>
    <row r="12" customFormat="false" ht="42" hidden="false" customHeight="true" outlineLevel="0" collapsed="false">
      <c r="A12" s="78" t="n">
        <v>8</v>
      </c>
      <c r="B12" s="53" t="s">
        <v>818</v>
      </c>
      <c r="C12" s="53" t="s">
        <v>819</v>
      </c>
      <c r="D12" s="53" t="s">
        <v>820</v>
      </c>
    </row>
    <row r="13" customFormat="false" ht="42" hidden="false" customHeight="true" outlineLevel="0" collapsed="false">
      <c r="A13" s="78" t="n">
        <v>9</v>
      </c>
      <c r="B13" s="53" t="s">
        <v>821</v>
      </c>
      <c r="C13" s="53" t="str">
        <f aca="false">"Multan: "&amp;INDEX(City!F5:F19,MATCH("Multan",City!B5:B19,0))&amp;" recovered of "&amp;INDEX(City!D5:D19,MATCH("Multan",City!B5:B19,0))</f>
        <v>Multan: 1 recovered of 712</v>
      </c>
      <c r="D13" s="53" t="s">
        <v>822</v>
      </c>
    </row>
    <row r="14" customFormat="false" ht="42" hidden="false" customHeight="true" outlineLevel="0" collapsed="false">
      <c r="A14" s="78" t="n">
        <v>10</v>
      </c>
      <c r="B14" s="53" t="s">
        <v>823</v>
      </c>
      <c r="C14" s="53" t="str">
        <f aca="false">"June: "&amp;Monthly!B9&amp;" days"</f>
        <v>June: 3 days</v>
      </c>
      <c r="D14" s="53" t="s">
        <v>824</v>
      </c>
    </row>
    <row r="17" customFormat="false" ht="15" hidden="false" customHeight="false" outlineLevel="0" collapsed="false">
      <c r="A17" s="8" t="s">
        <v>825</v>
      </c>
    </row>
    <row r="18" customFormat="false" ht="30" hidden="false" customHeight="true" outlineLevel="0" collapsed="false">
      <c r="B18" s="67" t="s">
        <v>826</v>
      </c>
      <c r="C18" s="12"/>
      <c r="D18" s="53" t="s">
        <v>827</v>
      </c>
    </row>
    <row r="19" customFormat="false" ht="30" hidden="false" customHeight="true" outlineLevel="0" collapsed="false">
      <c r="B19" s="67" t="s">
        <v>32</v>
      </c>
      <c r="C19" s="12"/>
      <c r="D19" s="53" t="s">
        <v>828</v>
      </c>
    </row>
    <row r="20" customFormat="false" ht="30" hidden="false" customHeight="true" outlineLevel="0" collapsed="false">
      <c r="B20" s="67" t="s">
        <v>829</v>
      </c>
      <c r="C20" s="12"/>
      <c r="D20" s="53" t="s">
        <v>830</v>
      </c>
    </row>
    <row r="21" customFormat="false" ht="30" hidden="false" customHeight="true" outlineLevel="0" collapsed="false">
      <c r="B21" s="67" t="s">
        <v>51</v>
      </c>
      <c r="C21" s="12"/>
      <c r="D21" s="53" t="s">
        <v>831</v>
      </c>
    </row>
    <row r="22" customFormat="false" ht="30" hidden="false" customHeight="true" outlineLevel="0" collapsed="false">
      <c r="B22" s="67" t="s">
        <v>832</v>
      </c>
      <c r="C22" s="12"/>
      <c r="D22" s="53" t="s">
        <v>833</v>
      </c>
    </row>
    <row r="23" customFormat="false" ht="30" hidden="false" customHeight="true" outlineLevel="0" collapsed="false">
      <c r="B23" s="67" t="s">
        <v>834</v>
      </c>
      <c r="C23" s="12"/>
      <c r="D23" s="53" t="s">
        <v>835</v>
      </c>
    </row>
    <row r="24" customFormat="false" ht="30" hidden="false" customHeight="true" outlineLevel="0" collapsed="false">
      <c r="B24" s="67" t="s">
        <v>836</v>
      </c>
      <c r="C24" s="12"/>
      <c r="D24" s="53" t="s">
        <v>837</v>
      </c>
    </row>
    <row r="25" customFormat="false" ht="30" hidden="false" customHeight="true" outlineLevel="0" collapsed="false">
      <c r="B25" s="67" t="s">
        <v>838</v>
      </c>
      <c r="C25" s="12"/>
      <c r="D25" s="53" t="s">
        <v>839</v>
      </c>
    </row>
    <row r="28" customFormat="false" ht="15" hidden="false" customHeight="false" outlineLevel="0" collapsed="false">
      <c r="A28" s="8" t="s">
        <v>840</v>
      </c>
    </row>
    <row r="29" customFormat="false" ht="15" hidden="false" customHeight="false" outlineLevel="0" collapsed="false">
      <c r="B29" s="36" t="s">
        <v>437</v>
      </c>
      <c r="C29" s="12"/>
      <c r="D29" s="12" t="s">
        <v>841</v>
      </c>
    </row>
    <row r="30" customFormat="false" ht="15" hidden="false" customHeight="false" outlineLevel="0" collapsed="false">
      <c r="B30" s="36" t="s">
        <v>842</v>
      </c>
      <c r="C30" s="12"/>
      <c r="D30" s="12" t="s">
        <v>843</v>
      </c>
    </row>
    <row r="31" customFormat="false" ht="15" hidden="false" customHeight="false" outlineLevel="0" collapsed="false">
      <c r="B31" s="36" t="s">
        <v>844</v>
      </c>
      <c r="C31" s="12"/>
      <c r="D31" s="12" t="s">
        <v>845</v>
      </c>
    </row>
    <row r="32" customFormat="false" ht="15" hidden="false" customHeight="false" outlineLevel="0" collapsed="false">
      <c r="B32" s="36" t="s">
        <v>846</v>
      </c>
      <c r="C32" s="12"/>
      <c r="D32" s="12" t="s">
        <v>847</v>
      </c>
    </row>
    <row r="33" customFormat="false" ht="15" hidden="false" customHeight="false" outlineLevel="0" collapsed="false">
      <c r="B33" s="36" t="s">
        <v>848</v>
      </c>
      <c r="C33" s="12"/>
      <c r="D33" s="12" t="s">
        <v>849</v>
      </c>
    </row>
    <row r="34" customFormat="false" ht="15" hidden="false" customHeight="false" outlineLevel="0" collapsed="false">
      <c r="B34" s="36" t="s">
        <v>850</v>
      </c>
      <c r="C34" s="12"/>
      <c r="D34" s="12" t="s">
        <v>851</v>
      </c>
    </row>
    <row r="35" customFormat="false" ht="15" hidden="false" customHeight="false" outlineLevel="0" collapsed="false">
      <c r="B35" s="36" t="s">
        <v>852</v>
      </c>
      <c r="C35" s="12"/>
      <c r="D35" s="12" t="s">
        <v>853</v>
      </c>
    </row>
    <row r="36" customFormat="false" ht="15" hidden="false" customHeight="false" outlineLevel="0" collapsed="false">
      <c r="B36" s="36" t="s">
        <v>854</v>
      </c>
      <c r="C36" s="12"/>
      <c r="D36" s="12" t="s">
        <v>855</v>
      </c>
    </row>
    <row r="37" customFormat="false" ht="15" hidden="false" customHeight="false" outlineLevel="0" collapsed="false">
      <c r="B37" s="36" t="s">
        <v>856</v>
      </c>
      <c r="C37" s="12"/>
      <c r="D37" s="12" t="s">
        <v>857</v>
      </c>
    </row>
    <row r="38" customFormat="false" ht="15" hidden="false" customHeight="false" outlineLevel="0" collapsed="false">
      <c r="B38" s="36" t="s">
        <v>858</v>
      </c>
      <c r="C38" s="12"/>
      <c r="D38" s="12" t="s">
        <v>859</v>
      </c>
    </row>
    <row r="39" customFormat="false" ht="15" hidden="false" customHeight="false" outlineLevel="0" collapsed="false">
      <c r="B39" s="36" t="s">
        <v>860</v>
      </c>
      <c r="C39" s="12"/>
      <c r="D39" s="12" t="s">
        <v>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H27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26"/>
    <col collapsed="false" customWidth="true" hidden="false" outlineLevel="0" max="6" min="6" style="0" width="34"/>
    <col collapsed="false" customWidth="true" hidden="false" outlineLevel="0" max="7" min="7" style="0" width="18"/>
    <col collapsed="false" customWidth="true" hidden="false" outlineLevel="0" max="8" min="8" style="0" width="11"/>
  </cols>
  <sheetData>
    <row r="1" customFormat="false" ht="19.5" hidden="false" customHeight="true" outlineLevel="0" collapsed="false">
      <c r="A1" s="10" t="s">
        <v>24</v>
      </c>
      <c r="B1" s="10" t="s">
        <v>47</v>
      </c>
      <c r="C1" s="10" t="s">
        <v>48</v>
      </c>
      <c r="D1" s="10" t="s">
        <v>49</v>
      </c>
      <c r="E1" s="10" t="s">
        <v>548</v>
      </c>
      <c r="F1" s="10" t="s">
        <v>63</v>
      </c>
      <c r="G1" s="10" t="s">
        <v>89</v>
      </c>
      <c r="H1" s="10" t="s">
        <v>56</v>
      </c>
    </row>
    <row r="2" customFormat="false" ht="15" hidden="false" customHeight="false" outlineLevel="0" collapsed="false">
      <c r="A2" s="81" t="n">
        <v>43887</v>
      </c>
      <c r="B2" s="48" t="n">
        <v>1</v>
      </c>
      <c r="C2" s="48" t="n">
        <v>0</v>
      </c>
      <c r="D2" s="48" t="n">
        <v>0</v>
      </c>
      <c r="E2" s="48" t="s">
        <v>126</v>
      </c>
      <c r="F2" s="48" t="s">
        <v>74</v>
      </c>
      <c r="G2" s="48" t="s">
        <v>95</v>
      </c>
      <c r="H2" s="82" t="n">
        <f aca="false">DATE(YEAR(A2),MONTH(A2),1)</f>
        <v>43862</v>
      </c>
    </row>
    <row r="3" customFormat="false" ht="15" hidden="false" customHeight="false" outlineLevel="0" collapsed="false">
      <c r="A3" s="81" t="n">
        <v>43887</v>
      </c>
      <c r="B3" s="48" t="n">
        <v>2</v>
      </c>
      <c r="C3" s="48" t="n">
        <v>0</v>
      </c>
      <c r="D3" s="48" t="n">
        <v>0</v>
      </c>
      <c r="E3" s="48" t="s">
        <v>118</v>
      </c>
      <c r="F3" s="48" t="s">
        <v>70</v>
      </c>
      <c r="G3" s="48" t="s">
        <v>91</v>
      </c>
      <c r="H3" s="82" t="n">
        <f aca="false">DATE(YEAR(A3),MONTH(A3),1)</f>
        <v>43862</v>
      </c>
    </row>
    <row r="4" customFormat="false" ht="15" hidden="false" customHeight="false" outlineLevel="0" collapsed="false">
      <c r="A4" s="81" t="n">
        <v>43890</v>
      </c>
      <c r="B4" s="48" t="n">
        <v>1</v>
      </c>
      <c r="C4" s="48" t="n">
        <v>0</v>
      </c>
      <c r="D4" s="48" t="n">
        <v>0</v>
      </c>
      <c r="E4" s="48" t="s">
        <v>126</v>
      </c>
      <c r="F4" s="48" t="s">
        <v>74</v>
      </c>
      <c r="G4" s="48" t="s">
        <v>95</v>
      </c>
      <c r="H4" s="82" t="n">
        <f aca="false">DATE(YEAR(A4),MONTH(A4),1)</f>
        <v>43862</v>
      </c>
    </row>
    <row r="5" customFormat="false" ht="15" hidden="false" customHeight="false" outlineLevel="0" collapsed="false">
      <c r="A5" s="81" t="n">
        <v>43890</v>
      </c>
      <c r="B5" s="48" t="n">
        <v>1</v>
      </c>
      <c r="C5" s="48" t="n">
        <v>0</v>
      </c>
      <c r="D5" s="48" t="n">
        <v>0</v>
      </c>
      <c r="E5" s="48" t="s">
        <v>118</v>
      </c>
      <c r="F5" s="48" t="s">
        <v>70</v>
      </c>
      <c r="G5" s="48" t="s">
        <v>91</v>
      </c>
      <c r="H5" s="82" t="n">
        <f aca="false">DATE(YEAR(A5),MONTH(A5),1)</f>
        <v>43862</v>
      </c>
    </row>
    <row r="6" customFormat="false" ht="15" hidden="false" customHeight="false" outlineLevel="0" collapsed="false">
      <c r="A6" s="81" t="n">
        <v>43892</v>
      </c>
      <c r="B6" s="48" t="n">
        <v>1</v>
      </c>
      <c r="C6" s="48" t="n">
        <v>0</v>
      </c>
      <c r="D6" s="48" t="n">
        <v>0</v>
      </c>
      <c r="E6" s="48" t="s">
        <v>118</v>
      </c>
      <c r="F6" s="48" t="s">
        <v>75</v>
      </c>
      <c r="G6" s="48" t="s">
        <v>103</v>
      </c>
      <c r="H6" s="82" t="n">
        <f aca="false">DATE(YEAR(A6),MONTH(A6),1)</f>
        <v>43891</v>
      </c>
    </row>
    <row r="7" customFormat="false" ht="15" hidden="false" customHeight="false" outlineLevel="0" collapsed="false">
      <c r="A7" s="81" t="n">
        <v>43896</v>
      </c>
      <c r="B7" s="48" t="n">
        <v>0</v>
      </c>
      <c r="C7" s="48" t="n">
        <v>0</v>
      </c>
      <c r="D7" s="48" t="n">
        <v>1</v>
      </c>
      <c r="E7" s="48" t="s">
        <v>114</v>
      </c>
      <c r="F7" s="48" t="s">
        <v>70</v>
      </c>
      <c r="G7" s="48" t="s">
        <v>91</v>
      </c>
      <c r="H7" s="82" t="n">
        <f aca="false">DATE(YEAR(A7),MONTH(A7),1)</f>
        <v>43891</v>
      </c>
    </row>
    <row r="8" customFormat="false" ht="15" hidden="false" customHeight="false" outlineLevel="0" collapsed="false">
      <c r="A8" s="81" t="n">
        <v>43897</v>
      </c>
      <c r="B8" s="48" t="n">
        <v>1</v>
      </c>
      <c r="C8" s="48" t="n">
        <v>0</v>
      </c>
      <c r="D8" s="48" t="n">
        <v>0</v>
      </c>
      <c r="E8" s="48" t="s">
        <v>118</v>
      </c>
      <c r="F8" s="48" t="s">
        <v>70</v>
      </c>
      <c r="G8" s="48" t="s">
        <v>91</v>
      </c>
      <c r="H8" s="82" t="n">
        <f aca="false">DATE(YEAR(A8),MONTH(A8),1)</f>
        <v>43891</v>
      </c>
    </row>
    <row r="9" customFormat="false" ht="15" hidden="false" customHeight="false" outlineLevel="0" collapsed="false">
      <c r="A9" s="81" t="n">
        <v>43899</v>
      </c>
      <c r="B9" s="48" t="n">
        <v>6</v>
      </c>
      <c r="C9" s="48" t="n">
        <v>0</v>
      </c>
      <c r="D9" s="48" t="n">
        <v>0</v>
      </c>
      <c r="E9" s="48" t="s">
        <v>123</v>
      </c>
      <c r="F9" s="48" t="s">
        <v>70</v>
      </c>
      <c r="G9" s="48" t="s">
        <v>91</v>
      </c>
      <c r="H9" s="82" t="n">
        <f aca="false">DATE(YEAR(A9),MONTH(A9),1)</f>
        <v>43891</v>
      </c>
    </row>
    <row r="10" customFormat="false" ht="15" hidden="false" customHeight="false" outlineLevel="0" collapsed="false">
      <c r="A10" s="81" t="n">
        <v>43899</v>
      </c>
      <c r="B10" s="48" t="n">
        <v>3</v>
      </c>
      <c r="C10" s="48" t="n">
        <v>0</v>
      </c>
      <c r="D10" s="48" t="n">
        <v>0</v>
      </c>
      <c r="E10" s="48" t="s">
        <v>125</v>
      </c>
      <c r="F10" s="48" t="s">
        <v>70</v>
      </c>
      <c r="G10" s="48" t="s">
        <v>91</v>
      </c>
      <c r="H10" s="82" t="n">
        <f aca="false">DATE(YEAR(A10),MONTH(A10),1)</f>
        <v>43891</v>
      </c>
    </row>
    <row r="11" customFormat="false" ht="15" hidden="false" customHeight="false" outlineLevel="0" collapsed="false">
      <c r="A11" s="81" t="n">
        <v>43900</v>
      </c>
      <c r="B11" s="48" t="n">
        <v>1</v>
      </c>
      <c r="C11" s="48" t="n">
        <v>0</v>
      </c>
      <c r="D11" s="48" t="n">
        <v>0</v>
      </c>
      <c r="E11" s="48" t="s">
        <v>118</v>
      </c>
      <c r="F11" s="48" t="s">
        <v>73</v>
      </c>
      <c r="G11" s="48" t="s">
        <v>93</v>
      </c>
      <c r="H11" s="82" t="n">
        <f aca="false">DATE(YEAR(A11),MONTH(A11),1)</f>
        <v>43891</v>
      </c>
    </row>
    <row r="12" customFormat="false" ht="15" hidden="false" customHeight="false" outlineLevel="0" collapsed="false">
      <c r="A12" s="81" t="n">
        <v>43900</v>
      </c>
      <c r="B12" s="48" t="n">
        <v>1</v>
      </c>
      <c r="C12" s="48" t="n">
        <v>0</v>
      </c>
      <c r="D12" s="48" t="n">
        <v>0</v>
      </c>
      <c r="E12" s="48" t="s">
        <v>118</v>
      </c>
      <c r="F12" s="48" t="s">
        <v>70</v>
      </c>
      <c r="G12" s="48" t="s">
        <v>91</v>
      </c>
      <c r="H12" s="82" t="n">
        <f aca="false">DATE(YEAR(A12),MONTH(A12),1)</f>
        <v>43891</v>
      </c>
    </row>
    <row r="13" customFormat="false" ht="15" hidden="false" customHeight="false" outlineLevel="0" collapsed="false">
      <c r="A13" s="81" t="n">
        <v>43900</v>
      </c>
      <c r="B13" s="48" t="n">
        <v>1</v>
      </c>
      <c r="C13" s="48" t="n">
        <v>0</v>
      </c>
      <c r="D13" s="48" t="n">
        <v>0</v>
      </c>
      <c r="E13" s="48" t="s">
        <v>123</v>
      </c>
      <c r="F13" s="48" t="s">
        <v>70</v>
      </c>
      <c r="G13" s="48" t="s">
        <v>99</v>
      </c>
      <c r="H13" s="82" t="n">
        <f aca="false">DATE(YEAR(A13),MONTH(A13),1)</f>
        <v>43891</v>
      </c>
    </row>
    <row r="14" customFormat="false" ht="15" hidden="false" customHeight="false" outlineLevel="0" collapsed="false">
      <c r="A14" s="81" t="n">
        <v>43901</v>
      </c>
      <c r="B14" s="48" t="n">
        <v>1</v>
      </c>
      <c r="C14" s="48" t="n">
        <v>0</v>
      </c>
      <c r="D14" s="48" t="n">
        <v>0</v>
      </c>
      <c r="E14" s="48" t="s">
        <v>118</v>
      </c>
      <c r="F14" s="48" t="s">
        <v>75</v>
      </c>
      <c r="G14" s="48" t="s">
        <v>624</v>
      </c>
      <c r="H14" s="82" t="n">
        <f aca="false">DATE(YEAR(A14),MONTH(A14),1)</f>
        <v>43891</v>
      </c>
    </row>
    <row r="15" customFormat="false" ht="15" hidden="false" customHeight="false" outlineLevel="0" collapsed="false">
      <c r="A15" s="81" t="n">
        <v>43901</v>
      </c>
      <c r="B15" s="48" t="n">
        <v>0</v>
      </c>
      <c r="C15" s="48" t="n">
        <v>0</v>
      </c>
      <c r="D15" s="48" t="n">
        <v>1</v>
      </c>
      <c r="E15" s="48" t="s">
        <v>118</v>
      </c>
      <c r="F15" s="48" t="s">
        <v>70</v>
      </c>
      <c r="G15" s="48" t="s">
        <v>91</v>
      </c>
      <c r="H15" s="82" t="n">
        <f aca="false">DATE(YEAR(A15),MONTH(A15),1)</f>
        <v>43891</v>
      </c>
    </row>
    <row r="16" customFormat="false" ht="15" hidden="false" customHeight="false" outlineLevel="0" collapsed="false">
      <c r="A16" s="81" t="n">
        <v>43902</v>
      </c>
      <c r="B16" s="48" t="n">
        <v>1</v>
      </c>
      <c r="C16" s="48" t="n">
        <v>0</v>
      </c>
      <c r="D16" s="48" t="n">
        <v>0</v>
      </c>
      <c r="E16" s="48" t="s">
        <v>112</v>
      </c>
      <c r="F16" s="48" t="s">
        <v>75</v>
      </c>
      <c r="G16" s="48" t="s">
        <v>103</v>
      </c>
      <c r="H16" s="82" t="n">
        <f aca="false">DATE(YEAR(A16),MONTH(A16),1)</f>
        <v>43891</v>
      </c>
    </row>
    <row r="17" customFormat="false" ht="15" hidden="false" customHeight="false" outlineLevel="0" collapsed="false">
      <c r="A17" s="81" t="n">
        <v>43903</v>
      </c>
      <c r="B17" s="48" t="n">
        <v>7</v>
      </c>
      <c r="C17" s="48" t="n">
        <v>0</v>
      </c>
      <c r="D17" s="48" t="n">
        <v>0</v>
      </c>
      <c r="E17" s="48" t="s">
        <v>118</v>
      </c>
      <c r="F17" s="48" t="s">
        <v>73</v>
      </c>
      <c r="G17" s="48" t="s">
        <v>665</v>
      </c>
      <c r="H17" s="82" t="n">
        <f aca="false">DATE(YEAR(A17),MONTH(A17),1)</f>
        <v>43891</v>
      </c>
    </row>
    <row r="18" customFormat="false" ht="15" hidden="false" customHeight="false" outlineLevel="0" collapsed="false">
      <c r="A18" s="81" t="n">
        <v>43903</v>
      </c>
      <c r="B18" s="48" t="n">
        <v>1</v>
      </c>
      <c r="C18" s="48" t="n">
        <v>0</v>
      </c>
      <c r="D18" s="48" t="n">
        <v>0</v>
      </c>
      <c r="E18" s="48" t="s">
        <v>130</v>
      </c>
      <c r="F18" s="48" t="s">
        <v>74</v>
      </c>
      <c r="G18" s="48" t="s">
        <v>95</v>
      </c>
      <c r="H18" s="82" t="n">
        <f aca="false">DATE(YEAR(A18),MONTH(A18),1)</f>
        <v>43891</v>
      </c>
    </row>
    <row r="19" customFormat="false" ht="15" hidden="false" customHeight="false" outlineLevel="0" collapsed="false">
      <c r="A19" s="81" t="n">
        <v>43903</v>
      </c>
      <c r="B19" s="48" t="n">
        <v>1</v>
      </c>
      <c r="C19" s="48" t="n">
        <v>0</v>
      </c>
      <c r="D19" s="48" t="n">
        <v>1</v>
      </c>
      <c r="E19" s="48" t="s">
        <v>112</v>
      </c>
      <c r="F19" s="48" t="s">
        <v>70</v>
      </c>
      <c r="G19" s="48" t="s">
        <v>91</v>
      </c>
      <c r="H19" s="82" t="n">
        <f aca="false">DATE(YEAR(A19),MONTH(A19),1)</f>
        <v>43891</v>
      </c>
    </row>
    <row r="20" customFormat="false" ht="15" hidden="false" customHeight="false" outlineLevel="0" collapsed="false">
      <c r="A20" s="81" t="n">
        <v>43905</v>
      </c>
      <c r="B20" s="48" t="n">
        <v>1</v>
      </c>
      <c r="C20" s="48" t="n">
        <v>0</v>
      </c>
      <c r="D20" s="48" t="n">
        <v>0</v>
      </c>
      <c r="E20" s="48" t="s">
        <v>125</v>
      </c>
      <c r="F20" s="48" t="s">
        <v>71</v>
      </c>
      <c r="G20" s="48" t="s">
        <v>92</v>
      </c>
      <c r="H20" s="82" t="n">
        <f aca="false">DATE(YEAR(A20),MONTH(A20),1)</f>
        <v>43891</v>
      </c>
    </row>
    <row r="21" customFormat="false" ht="15" hidden="false" customHeight="false" outlineLevel="0" collapsed="false">
      <c r="A21" s="81" t="n">
        <v>43905</v>
      </c>
      <c r="B21" s="48" t="n">
        <v>13</v>
      </c>
      <c r="C21" s="48" t="n">
        <v>0</v>
      </c>
      <c r="D21" s="48" t="n">
        <v>0</v>
      </c>
      <c r="E21" s="48" t="s">
        <v>118</v>
      </c>
      <c r="F21" s="48" t="s">
        <v>70</v>
      </c>
      <c r="G21" s="48" t="s">
        <v>98</v>
      </c>
      <c r="H21" s="82" t="n">
        <f aca="false">DATE(YEAR(A21),MONTH(A21),1)</f>
        <v>43891</v>
      </c>
    </row>
    <row r="22" customFormat="false" ht="15" hidden="false" customHeight="false" outlineLevel="0" collapsed="false">
      <c r="A22" s="81" t="n">
        <v>43905</v>
      </c>
      <c r="B22" s="48" t="n">
        <v>4</v>
      </c>
      <c r="C22" s="48" t="n">
        <v>0</v>
      </c>
      <c r="D22" s="48" t="n">
        <v>0</v>
      </c>
      <c r="E22" s="48" t="s">
        <v>118</v>
      </c>
      <c r="F22" s="48" t="s">
        <v>70</v>
      </c>
      <c r="G22" s="48" t="s">
        <v>91</v>
      </c>
      <c r="H22" s="82" t="n">
        <f aca="false">DATE(YEAR(A22),MONTH(A22),1)</f>
        <v>43891</v>
      </c>
    </row>
    <row r="23" customFormat="false" ht="15" hidden="false" customHeight="false" outlineLevel="0" collapsed="false">
      <c r="A23" s="81" t="n">
        <v>43905</v>
      </c>
      <c r="B23" s="48" t="n">
        <v>15</v>
      </c>
      <c r="C23" s="48" t="n">
        <v>0</v>
      </c>
      <c r="D23" s="48" t="n">
        <v>0</v>
      </c>
      <c r="E23" s="48" t="s">
        <v>118</v>
      </c>
      <c r="F23" s="48" t="s">
        <v>72</v>
      </c>
      <c r="G23" s="48" t="s">
        <v>607</v>
      </c>
      <c r="H23" s="82" t="n">
        <f aca="false">DATE(YEAR(A23),MONTH(A23),1)</f>
        <v>43891</v>
      </c>
    </row>
    <row r="24" customFormat="false" ht="15" hidden="false" customHeight="false" outlineLevel="0" collapsed="false">
      <c r="A24" s="81" t="n">
        <v>43905</v>
      </c>
      <c r="B24" s="48" t="n">
        <v>1</v>
      </c>
      <c r="C24" s="48" t="n">
        <v>1</v>
      </c>
      <c r="D24" s="48" t="n">
        <v>0</v>
      </c>
      <c r="E24" s="48" t="s">
        <v>114</v>
      </c>
      <c r="F24" s="48" t="s">
        <v>72</v>
      </c>
      <c r="G24" s="48" t="s">
        <v>102</v>
      </c>
      <c r="H24" s="82" t="n">
        <f aca="false">DATE(YEAR(A24),MONTH(A24),1)</f>
        <v>43891</v>
      </c>
    </row>
    <row r="25" customFormat="false" ht="15" hidden="false" customHeight="false" outlineLevel="0" collapsed="false">
      <c r="A25" s="81" t="n">
        <v>43906</v>
      </c>
      <c r="B25" s="48" t="n">
        <v>1</v>
      </c>
      <c r="C25" s="48" t="n">
        <v>0</v>
      </c>
      <c r="D25" s="48" t="n">
        <v>1</v>
      </c>
      <c r="E25" s="48" t="s">
        <v>114</v>
      </c>
      <c r="F25" s="48" t="s">
        <v>74</v>
      </c>
      <c r="G25" s="48" t="s">
        <v>95</v>
      </c>
      <c r="H25" s="82" t="n">
        <f aca="false">DATE(YEAR(A25),MONTH(A25),1)</f>
        <v>43891</v>
      </c>
    </row>
    <row r="26" customFormat="false" ht="15" hidden="false" customHeight="false" outlineLevel="0" collapsed="false">
      <c r="A26" s="81" t="n">
        <v>43906</v>
      </c>
      <c r="B26" s="48" t="n">
        <v>1</v>
      </c>
      <c r="C26" s="48" t="n">
        <v>0</v>
      </c>
      <c r="D26" s="48" t="n">
        <v>0</v>
      </c>
      <c r="E26" s="48" t="s">
        <v>114</v>
      </c>
      <c r="F26" s="48" t="s">
        <v>72</v>
      </c>
      <c r="G26" s="48" t="s">
        <v>610</v>
      </c>
      <c r="H26" s="82" t="n">
        <f aca="false">DATE(YEAR(A26),MONTH(A26),1)</f>
        <v>43891</v>
      </c>
    </row>
    <row r="27" customFormat="false" ht="15" hidden="false" customHeight="false" outlineLevel="0" collapsed="false">
      <c r="A27" s="81" t="n">
        <v>43906</v>
      </c>
      <c r="B27" s="48" t="n">
        <v>1</v>
      </c>
      <c r="C27" s="48" t="n">
        <v>0</v>
      </c>
      <c r="D27" s="48" t="n">
        <v>0</v>
      </c>
      <c r="E27" s="48" t="s">
        <v>114</v>
      </c>
      <c r="F27" s="48" t="s">
        <v>72</v>
      </c>
      <c r="G27" s="48" t="s">
        <v>102</v>
      </c>
      <c r="H27" s="82" t="n">
        <f aca="false">DATE(YEAR(A27),MONTH(A27),1)</f>
        <v>43891</v>
      </c>
    </row>
    <row r="28" customFormat="false" ht="15" hidden="false" customHeight="false" outlineLevel="0" collapsed="false">
      <c r="A28" s="81" t="n">
        <v>43906</v>
      </c>
      <c r="B28" s="48" t="n">
        <v>1</v>
      </c>
      <c r="C28" s="48" t="n">
        <v>0</v>
      </c>
      <c r="D28" s="48" t="n">
        <v>0</v>
      </c>
      <c r="E28" s="48" t="s">
        <v>114</v>
      </c>
      <c r="F28" s="48" t="s">
        <v>71</v>
      </c>
      <c r="G28" s="48" t="s">
        <v>92</v>
      </c>
      <c r="H28" s="82" t="n">
        <f aca="false">DATE(YEAR(A28),MONTH(A28),1)</f>
        <v>43891</v>
      </c>
    </row>
    <row r="29" customFormat="false" ht="15" hidden="false" customHeight="false" outlineLevel="0" collapsed="false">
      <c r="A29" s="81" t="n">
        <v>43906</v>
      </c>
      <c r="B29" s="48" t="n">
        <v>119</v>
      </c>
      <c r="C29" s="48" t="n">
        <v>0</v>
      </c>
      <c r="D29" s="48" t="n">
        <v>0</v>
      </c>
      <c r="E29" s="48" t="s">
        <v>118</v>
      </c>
      <c r="F29" s="48" t="s">
        <v>70</v>
      </c>
      <c r="G29" s="48" t="s">
        <v>98</v>
      </c>
      <c r="H29" s="82" t="n">
        <f aca="false">DATE(YEAR(A29),MONTH(A29),1)</f>
        <v>43891</v>
      </c>
    </row>
    <row r="30" customFormat="false" ht="15" hidden="false" customHeight="false" outlineLevel="0" collapsed="false">
      <c r="A30" s="81" t="n">
        <v>43906</v>
      </c>
      <c r="B30" s="48" t="n">
        <v>26</v>
      </c>
      <c r="C30" s="48" t="n">
        <v>0</v>
      </c>
      <c r="D30" s="48" t="n">
        <v>0</v>
      </c>
      <c r="E30" s="48" t="s">
        <v>118</v>
      </c>
      <c r="F30" s="48" t="s">
        <v>70</v>
      </c>
      <c r="G30" s="48" t="s">
        <v>91</v>
      </c>
      <c r="H30" s="82" t="n">
        <f aca="false">DATE(YEAR(A30),MONTH(A30),1)</f>
        <v>43891</v>
      </c>
    </row>
    <row r="31" customFormat="false" ht="15" hidden="false" customHeight="false" outlineLevel="0" collapsed="false">
      <c r="A31" s="81" t="n">
        <v>43906</v>
      </c>
      <c r="B31" s="48" t="n">
        <v>2</v>
      </c>
      <c r="C31" s="48" t="n">
        <v>0</v>
      </c>
      <c r="D31" s="48" t="n">
        <v>0</v>
      </c>
      <c r="E31" s="48" t="s">
        <v>118</v>
      </c>
      <c r="F31" s="48" t="s">
        <v>70</v>
      </c>
      <c r="G31" s="48" t="s">
        <v>99</v>
      </c>
      <c r="H31" s="82" t="n">
        <f aca="false">DATE(YEAR(A31),MONTH(A31),1)</f>
        <v>43891</v>
      </c>
    </row>
    <row r="32" customFormat="false" ht="15" hidden="false" customHeight="false" outlineLevel="0" collapsed="false">
      <c r="A32" s="81" t="n">
        <v>43907</v>
      </c>
      <c r="B32" s="48" t="n">
        <v>2</v>
      </c>
      <c r="C32" s="48" t="n">
        <v>0</v>
      </c>
      <c r="D32" s="48" t="n">
        <v>0</v>
      </c>
      <c r="E32" s="48" t="s">
        <v>118</v>
      </c>
      <c r="F32" s="48" t="s">
        <v>73</v>
      </c>
      <c r="G32" s="48" t="s">
        <v>93</v>
      </c>
      <c r="H32" s="82" t="n">
        <f aca="false">DATE(YEAR(A32),MONTH(A32),1)</f>
        <v>43891</v>
      </c>
    </row>
    <row r="33" customFormat="false" ht="15" hidden="false" customHeight="false" outlineLevel="0" collapsed="false">
      <c r="A33" s="81" t="n">
        <v>43907</v>
      </c>
      <c r="B33" s="48" t="n">
        <v>1</v>
      </c>
      <c r="C33" s="48" t="n">
        <v>0</v>
      </c>
      <c r="D33" s="48" t="n">
        <v>0</v>
      </c>
      <c r="E33" s="48" t="s">
        <v>114</v>
      </c>
      <c r="F33" s="48" t="s">
        <v>74</v>
      </c>
      <c r="G33" s="48" t="s">
        <v>95</v>
      </c>
      <c r="H33" s="82" t="n">
        <f aca="false">DATE(YEAR(A33),MONTH(A33),1)</f>
        <v>43891</v>
      </c>
    </row>
    <row r="34" customFormat="false" ht="15" hidden="false" customHeight="false" outlineLevel="0" collapsed="false">
      <c r="A34" s="81" t="n">
        <v>43907</v>
      </c>
      <c r="B34" s="48" t="n">
        <v>1</v>
      </c>
      <c r="C34" s="48" t="n">
        <v>0</v>
      </c>
      <c r="D34" s="48" t="n">
        <v>0</v>
      </c>
      <c r="E34" s="48" t="s">
        <v>114</v>
      </c>
      <c r="F34" s="48" t="s">
        <v>72</v>
      </c>
      <c r="G34" s="48" t="s">
        <v>94</v>
      </c>
      <c r="H34" s="82" t="n">
        <f aca="false">DATE(YEAR(A34),MONTH(A34),1)</f>
        <v>43891</v>
      </c>
    </row>
    <row r="35" customFormat="false" ht="15" hidden="false" customHeight="false" outlineLevel="0" collapsed="false">
      <c r="A35" s="81" t="n">
        <v>43907</v>
      </c>
      <c r="B35" s="48" t="n">
        <v>1</v>
      </c>
      <c r="C35" s="48" t="n">
        <v>0</v>
      </c>
      <c r="D35" s="48" t="n">
        <v>0</v>
      </c>
      <c r="E35" s="48" t="s">
        <v>125</v>
      </c>
      <c r="F35" s="48" t="s">
        <v>72</v>
      </c>
      <c r="G35" s="48" t="s">
        <v>597</v>
      </c>
      <c r="H35" s="82" t="n">
        <f aca="false">DATE(YEAR(A35),MONTH(A35),1)</f>
        <v>43891</v>
      </c>
    </row>
    <row r="36" customFormat="false" ht="15" hidden="false" customHeight="false" outlineLevel="0" collapsed="false">
      <c r="A36" s="81" t="n">
        <v>43907</v>
      </c>
      <c r="B36" s="48" t="n">
        <v>15</v>
      </c>
      <c r="C36" s="48" t="n">
        <v>0</v>
      </c>
      <c r="D36" s="48" t="n">
        <v>0</v>
      </c>
      <c r="E36" s="48" t="s">
        <v>118</v>
      </c>
      <c r="F36" s="48" t="s">
        <v>71</v>
      </c>
      <c r="G36" s="48" t="s">
        <v>596</v>
      </c>
      <c r="H36" s="82" t="n">
        <f aca="false">DATE(YEAR(A36),MONTH(A36),1)</f>
        <v>43891</v>
      </c>
    </row>
    <row r="37" customFormat="false" ht="15" hidden="false" customHeight="false" outlineLevel="0" collapsed="false">
      <c r="A37" s="81" t="n">
        <v>43907</v>
      </c>
      <c r="B37" s="48" t="n">
        <v>3</v>
      </c>
      <c r="C37" s="48" t="n">
        <v>0</v>
      </c>
      <c r="D37" s="48" t="n">
        <v>0</v>
      </c>
      <c r="E37" s="48" t="s">
        <v>114</v>
      </c>
      <c r="F37" s="48" t="s">
        <v>71</v>
      </c>
      <c r="G37" s="48" t="s">
        <v>92</v>
      </c>
      <c r="H37" s="82" t="n">
        <f aca="false">DATE(YEAR(A37),MONTH(A37),1)</f>
        <v>43891</v>
      </c>
    </row>
    <row r="38" customFormat="false" ht="15" hidden="false" customHeight="false" outlineLevel="0" collapsed="false">
      <c r="A38" s="81" t="n">
        <v>43907</v>
      </c>
      <c r="B38" s="48" t="n">
        <v>24</v>
      </c>
      <c r="C38" s="48" t="n">
        <v>0</v>
      </c>
      <c r="D38" s="48" t="n">
        <v>0</v>
      </c>
      <c r="E38" s="48" t="s">
        <v>118</v>
      </c>
      <c r="F38" s="48" t="s">
        <v>70</v>
      </c>
      <c r="G38" s="48" t="s">
        <v>98</v>
      </c>
      <c r="H38" s="82" t="n">
        <f aca="false">DATE(YEAR(A38),MONTH(A38),1)</f>
        <v>43891</v>
      </c>
    </row>
    <row r="39" customFormat="false" ht="15" hidden="false" customHeight="false" outlineLevel="0" collapsed="false">
      <c r="A39" s="81" t="n">
        <v>43907</v>
      </c>
      <c r="B39" s="48" t="n">
        <v>5</v>
      </c>
      <c r="C39" s="48" t="n">
        <v>0</v>
      </c>
      <c r="D39" s="48" t="n">
        <v>0</v>
      </c>
      <c r="E39" s="48" t="s">
        <v>124</v>
      </c>
      <c r="F39" s="48" t="s">
        <v>70</v>
      </c>
      <c r="G39" s="48" t="s">
        <v>91</v>
      </c>
      <c r="H39" s="82" t="n">
        <f aca="false">DATE(YEAR(A39),MONTH(A39),1)</f>
        <v>43891</v>
      </c>
    </row>
    <row r="40" customFormat="false" ht="15" hidden="false" customHeight="false" outlineLevel="0" collapsed="false">
      <c r="A40" s="81" t="n">
        <v>43908</v>
      </c>
      <c r="B40" s="48" t="n">
        <v>1</v>
      </c>
      <c r="C40" s="48" t="n">
        <v>0</v>
      </c>
      <c r="D40" s="48" t="n">
        <v>0</v>
      </c>
      <c r="E40" s="48" t="s">
        <v>118</v>
      </c>
      <c r="F40" s="48" t="s">
        <v>76</v>
      </c>
      <c r="G40" s="48" t="s">
        <v>672</v>
      </c>
      <c r="H40" s="82" t="n">
        <f aca="false">DATE(YEAR(A40),MONTH(A40),1)</f>
        <v>43891</v>
      </c>
    </row>
    <row r="41" customFormat="false" ht="15" hidden="false" customHeight="false" outlineLevel="0" collapsed="false">
      <c r="A41" s="81" t="n">
        <v>43908</v>
      </c>
      <c r="B41" s="48" t="n">
        <v>10</v>
      </c>
      <c r="C41" s="48" t="n">
        <v>0</v>
      </c>
      <c r="D41" s="48" t="n">
        <v>0</v>
      </c>
      <c r="E41" s="48" t="s">
        <v>114</v>
      </c>
      <c r="F41" s="48" t="s">
        <v>75</v>
      </c>
      <c r="G41" s="48" t="s">
        <v>103</v>
      </c>
      <c r="H41" s="82" t="n">
        <f aca="false">DATE(YEAR(A41),MONTH(A41),1)</f>
        <v>43891</v>
      </c>
    </row>
    <row r="42" customFormat="false" ht="15" hidden="false" customHeight="false" outlineLevel="0" collapsed="false">
      <c r="A42" s="81" t="n">
        <v>43908</v>
      </c>
      <c r="B42" s="48" t="n">
        <v>2</v>
      </c>
      <c r="C42" s="48" t="n">
        <v>0</v>
      </c>
      <c r="D42" s="48" t="n">
        <v>0</v>
      </c>
      <c r="E42" s="48" t="s">
        <v>114</v>
      </c>
      <c r="F42" s="48" t="s">
        <v>74</v>
      </c>
      <c r="G42" s="48" t="s">
        <v>95</v>
      </c>
      <c r="H42" s="82" t="n">
        <f aca="false">DATE(YEAR(A42),MONTH(A42),1)</f>
        <v>43891</v>
      </c>
    </row>
    <row r="43" customFormat="false" ht="15" hidden="false" customHeight="false" outlineLevel="0" collapsed="false">
      <c r="A43" s="81" t="n">
        <v>43908</v>
      </c>
      <c r="B43" s="48" t="n">
        <v>1</v>
      </c>
      <c r="C43" s="48" t="n">
        <v>0</v>
      </c>
      <c r="D43" s="48" t="n">
        <v>0</v>
      </c>
      <c r="E43" s="48" t="s">
        <v>112</v>
      </c>
      <c r="F43" s="48" t="s">
        <v>72</v>
      </c>
      <c r="G43" s="48" t="s">
        <v>603</v>
      </c>
      <c r="H43" s="82" t="n">
        <f aca="false">DATE(YEAR(A43),MONTH(A43),1)</f>
        <v>43891</v>
      </c>
    </row>
    <row r="44" customFormat="false" ht="15" hidden="false" customHeight="false" outlineLevel="0" collapsed="false">
      <c r="A44" s="81" t="n">
        <v>43908</v>
      </c>
      <c r="B44" s="48" t="n">
        <v>1</v>
      </c>
      <c r="C44" s="48" t="n">
        <v>1</v>
      </c>
      <c r="D44" s="48" t="n">
        <v>0</v>
      </c>
      <c r="E44" s="48" t="s">
        <v>124</v>
      </c>
      <c r="F44" s="48" t="s">
        <v>72</v>
      </c>
      <c r="G44" s="48" t="s">
        <v>102</v>
      </c>
      <c r="H44" s="82" t="n">
        <f aca="false">DATE(YEAR(A44),MONTH(A44),1)</f>
        <v>43891</v>
      </c>
    </row>
    <row r="45" customFormat="false" ht="15" hidden="false" customHeight="false" outlineLevel="0" collapsed="false">
      <c r="A45" s="81" t="n">
        <v>43908</v>
      </c>
      <c r="B45" s="48" t="n">
        <v>1</v>
      </c>
      <c r="C45" s="48" t="n">
        <v>1</v>
      </c>
      <c r="D45" s="48" t="n">
        <v>0</v>
      </c>
      <c r="E45" s="48" t="s">
        <v>114</v>
      </c>
      <c r="F45" s="48" t="s">
        <v>72</v>
      </c>
      <c r="G45" s="48" t="s">
        <v>655</v>
      </c>
      <c r="H45" s="82" t="n">
        <f aca="false">DATE(YEAR(A45),MONTH(A45),1)</f>
        <v>43891</v>
      </c>
    </row>
    <row r="46" customFormat="false" ht="15" hidden="false" customHeight="false" outlineLevel="0" collapsed="false">
      <c r="A46" s="81" t="n">
        <v>43908</v>
      </c>
      <c r="B46" s="48" t="n">
        <v>5</v>
      </c>
      <c r="C46" s="48" t="n">
        <v>0</v>
      </c>
      <c r="D46" s="48" t="n">
        <v>0</v>
      </c>
      <c r="E46" s="48" t="s">
        <v>118</v>
      </c>
      <c r="F46" s="48" t="s">
        <v>71</v>
      </c>
      <c r="G46" s="48" t="s">
        <v>596</v>
      </c>
      <c r="H46" s="82" t="n">
        <f aca="false">DATE(YEAR(A46),MONTH(A46),1)</f>
        <v>43891</v>
      </c>
    </row>
    <row r="47" customFormat="false" ht="15" hidden="false" customHeight="false" outlineLevel="0" collapsed="false">
      <c r="A47" s="81" t="n">
        <v>43908</v>
      </c>
      <c r="B47" s="48" t="n">
        <v>31</v>
      </c>
      <c r="C47" s="48" t="n">
        <v>0</v>
      </c>
      <c r="D47" s="48" t="n">
        <v>0</v>
      </c>
      <c r="E47" s="48" t="s">
        <v>118</v>
      </c>
      <c r="F47" s="48" t="s">
        <v>70</v>
      </c>
      <c r="G47" s="48" t="s">
        <v>98</v>
      </c>
      <c r="H47" s="82" t="n">
        <f aca="false">DATE(YEAR(A47),MONTH(A47),1)</f>
        <v>43891</v>
      </c>
    </row>
    <row r="48" customFormat="false" ht="15" hidden="false" customHeight="false" outlineLevel="0" collapsed="false">
      <c r="A48" s="81" t="n">
        <v>43908</v>
      </c>
      <c r="B48" s="48" t="n">
        <v>5</v>
      </c>
      <c r="C48" s="48" t="n">
        <v>0</v>
      </c>
      <c r="D48" s="48" t="n">
        <v>0</v>
      </c>
      <c r="E48" s="48" t="s">
        <v>112</v>
      </c>
      <c r="F48" s="48" t="s">
        <v>70</v>
      </c>
      <c r="G48" s="48" t="s">
        <v>91</v>
      </c>
      <c r="H48" s="82" t="n">
        <f aca="false">DATE(YEAR(A48),MONTH(A48),1)</f>
        <v>43891</v>
      </c>
    </row>
    <row r="49" customFormat="false" ht="15" hidden="false" customHeight="false" outlineLevel="0" collapsed="false">
      <c r="A49" s="81" t="n">
        <v>43909</v>
      </c>
      <c r="B49" s="48" t="n">
        <v>53</v>
      </c>
      <c r="C49" s="48" t="n">
        <v>0</v>
      </c>
      <c r="D49" s="48" t="n">
        <v>0</v>
      </c>
      <c r="E49" s="48" t="s">
        <v>118</v>
      </c>
      <c r="F49" s="48" t="s">
        <v>73</v>
      </c>
      <c r="G49" s="48" t="s">
        <v>93</v>
      </c>
      <c r="H49" s="82" t="n">
        <f aca="false">DATE(YEAR(A49),MONTH(A49),1)</f>
        <v>43891</v>
      </c>
    </row>
    <row r="50" customFormat="false" ht="15" hidden="false" customHeight="false" outlineLevel="0" collapsed="false">
      <c r="A50" s="81" t="n">
        <v>43909</v>
      </c>
      <c r="B50" s="48" t="n">
        <v>4</v>
      </c>
      <c r="C50" s="48" t="n">
        <v>0</v>
      </c>
      <c r="D50" s="48" t="n">
        <v>0</v>
      </c>
      <c r="E50" s="48" t="s">
        <v>114</v>
      </c>
      <c r="F50" s="48" t="s">
        <v>75</v>
      </c>
      <c r="G50" s="48" t="s">
        <v>103</v>
      </c>
      <c r="H50" s="82" t="n">
        <f aca="false">DATE(YEAR(A50),MONTH(A50),1)</f>
        <v>43891</v>
      </c>
    </row>
    <row r="51" customFormat="false" ht="15" hidden="false" customHeight="false" outlineLevel="0" collapsed="false">
      <c r="A51" s="81" t="n">
        <v>43909</v>
      </c>
      <c r="B51" s="48" t="n">
        <v>4</v>
      </c>
      <c r="C51" s="48" t="n">
        <v>0</v>
      </c>
      <c r="D51" s="48" t="n">
        <v>0</v>
      </c>
      <c r="E51" s="48" t="s">
        <v>114</v>
      </c>
      <c r="F51" s="48" t="s">
        <v>75</v>
      </c>
      <c r="G51" s="48" t="s">
        <v>617</v>
      </c>
      <c r="H51" s="82" t="n">
        <f aca="false">DATE(YEAR(A51),MONTH(A51),1)</f>
        <v>43891</v>
      </c>
    </row>
    <row r="52" customFormat="false" ht="15" hidden="false" customHeight="false" outlineLevel="0" collapsed="false">
      <c r="A52" s="81" t="n">
        <v>43909</v>
      </c>
      <c r="B52" s="48" t="n">
        <v>2</v>
      </c>
      <c r="C52" s="48" t="n">
        <v>0</v>
      </c>
      <c r="D52" s="48" t="n">
        <v>0</v>
      </c>
      <c r="E52" s="48" t="s">
        <v>112</v>
      </c>
      <c r="F52" s="48" t="s">
        <v>72</v>
      </c>
      <c r="G52" s="48" t="s">
        <v>102</v>
      </c>
      <c r="H52" s="82" t="n">
        <f aca="false">DATE(YEAR(A52),MONTH(A52),1)</f>
        <v>43891</v>
      </c>
    </row>
    <row r="53" customFormat="false" ht="15" hidden="false" customHeight="false" outlineLevel="0" collapsed="false">
      <c r="A53" s="81" t="n">
        <v>43909</v>
      </c>
      <c r="B53" s="48" t="n">
        <v>1</v>
      </c>
      <c r="C53" s="48" t="n">
        <v>0</v>
      </c>
      <c r="D53" s="48" t="n">
        <v>0</v>
      </c>
      <c r="E53" s="48" t="s">
        <v>129</v>
      </c>
      <c r="F53" s="48" t="s">
        <v>72</v>
      </c>
      <c r="G53" s="48" t="s">
        <v>607</v>
      </c>
      <c r="H53" s="82" t="n">
        <f aca="false">DATE(YEAR(A53),MONTH(A53),1)</f>
        <v>43891</v>
      </c>
    </row>
    <row r="54" customFormat="false" ht="15" hidden="false" customHeight="false" outlineLevel="0" collapsed="false">
      <c r="A54" s="81" t="n">
        <v>43909</v>
      </c>
      <c r="B54" s="48" t="n">
        <v>1</v>
      </c>
      <c r="C54" s="48" t="n">
        <v>0</v>
      </c>
      <c r="D54" s="48" t="n">
        <v>0</v>
      </c>
      <c r="E54" s="48" t="s">
        <v>112</v>
      </c>
      <c r="F54" s="48" t="s">
        <v>71</v>
      </c>
      <c r="G54" s="48" t="s">
        <v>97</v>
      </c>
      <c r="H54" s="82" t="n">
        <f aca="false">DATE(YEAR(A54),MONTH(A54),1)</f>
        <v>43891</v>
      </c>
    </row>
    <row r="55" customFormat="false" ht="15" hidden="false" customHeight="false" outlineLevel="0" collapsed="false">
      <c r="A55" s="81" t="n">
        <v>43909</v>
      </c>
      <c r="B55" s="48" t="n">
        <v>8</v>
      </c>
      <c r="C55" s="48" t="n">
        <v>0</v>
      </c>
      <c r="D55" s="48" t="n">
        <v>0</v>
      </c>
      <c r="E55" s="48" t="s">
        <v>114</v>
      </c>
      <c r="F55" s="48" t="s">
        <v>71</v>
      </c>
      <c r="G55" s="48" t="s">
        <v>92</v>
      </c>
      <c r="H55" s="82" t="n">
        <f aca="false">DATE(YEAR(A55),MONTH(A55),1)</f>
        <v>43891</v>
      </c>
    </row>
    <row r="56" customFormat="false" ht="15" hidden="false" customHeight="false" outlineLevel="0" collapsed="false">
      <c r="A56" s="81" t="n">
        <v>43909</v>
      </c>
      <c r="B56" s="48" t="n">
        <v>44</v>
      </c>
      <c r="C56" s="48" t="n">
        <v>0</v>
      </c>
      <c r="D56" s="48" t="n">
        <v>0</v>
      </c>
      <c r="E56" s="48" t="s">
        <v>118</v>
      </c>
      <c r="F56" s="48" t="s">
        <v>71</v>
      </c>
      <c r="G56" s="48" t="s">
        <v>596</v>
      </c>
      <c r="H56" s="82" t="n">
        <f aca="false">DATE(YEAR(A56),MONTH(A56),1)</f>
        <v>43891</v>
      </c>
    </row>
    <row r="57" customFormat="false" ht="15" hidden="false" customHeight="false" outlineLevel="0" collapsed="false">
      <c r="A57" s="81" t="n">
        <v>43909</v>
      </c>
      <c r="B57" s="48" t="n">
        <v>37</v>
      </c>
      <c r="C57" s="48" t="n">
        <v>0</v>
      </c>
      <c r="D57" s="48" t="n">
        <v>1</v>
      </c>
      <c r="E57" s="48" t="s">
        <v>112</v>
      </c>
      <c r="F57" s="48" t="s">
        <v>70</v>
      </c>
      <c r="G57" s="48" t="s">
        <v>91</v>
      </c>
      <c r="H57" s="82" t="n">
        <f aca="false">DATE(YEAR(A57),MONTH(A57),1)</f>
        <v>43891</v>
      </c>
    </row>
    <row r="58" customFormat="false" ht="15" hidden="false" customHeight="false" outlineLevel="0" collapsed="false">
      <c r="A58" s="81" t="n">
        <v>43910</v>
      </c>
      <c r="B58" s="48" t="n">
        <v>5</v>
      </c>
      <c r="C58" s="48" t="n">
        <v>0</v>
      </c>
      <c r="D58" s="48" t="n">
        <v>0</v>
      </c>
      <c r="E58" s="48" t="s">
        <v>114</v>
      </c>
      <c r="F58" s="48" t="s">
        <v>73</v>
      </c>
      <c r="G58" s="48" t="s">
        <v>93</v>
      </c>
      <c r="H58" s="82" t="n">
        <f aca="false">DATE(YEAR(A58),MONTH(A58),1)</f>
        <v>43891</v>
      </c>
    </row>
    <row r="59" customFormat="false" ht="15" hidden="false" customHeight="false" outlineLevel="0" collapsed="false">
      <c r="A59" s="81" t="n">
        <v>43910</v>
      </c>
      <c r="B59" s="48" t="n">
        <v>1</v>
      </c>
      <c r="C59" s="48" t="n">
        <v>0</v>
      </c>
      <c r="D59" s="48" t="n">
        <v>0</v>
      </c>
      <c r="E59" s="48" t="s">
        <v>114</v>
      </c>
      <c r="F59" s="48" t="s">
        <v>77</v>
      </c>
      <c r="G59" s="48" t="s">
        <v>599</v>
      </c>
      <c r="H59" s="82" t="n">
        <f aca="false">DATE(YEAR(A59),MONTH(A59),1)</f>
        <v>43891</v>
      </c>
    </row>
    <row r="60" customFormat="false" ht="15" hidden="false" customHeight="false" outlineLevel="0" collapsed="false">
      <c r="A60" s="81" t="n">
        <v>43910</v>
      </c>
      <c r="B60" s="48" t="n">
        <v>1</v>
      </c>
      <c r="C60" s="48" t="n">
        <v>0</v>
      </c>
      <c r="D60" s="48" t="n">
        <v>0</v>
      </c>
      <c r="E60" s="48" t="s">
        <v>112</v>
      </c>
      <c r="F60" s="48" t="s">
        <v>75</v>
      </c>
      <c r="G60" s="48" t="s">
        <v>617</v>
      </c>
      <c r="H60" s="82" t="n">
        <f aca="false">DATE(YEAR(A60),MONTH(A60),1)</f>
        <v>43891</v>
      </c>
    </row>
    <row r="61" customFormat="false" ht="15" hidden="false" customHeight="false" outlineLevel="0" collapsed="false">
      <c r="A61" s="81" t="n">
        <v>43910</v>
      </c>
      <c r="B61" s="48" t="n">
        <v>8</v>
      </c>
      <c r="C61" s="48" t="n">
        <v>0</v>
      </c>
      <c r="D61" s="48" t="n">
        <v>0</v>
      </c>
      <c r="E61" s="48" t="s">
        <v>118</v>
      </c>
      <c r="F61" s="48" t="s">
        <v>75</v>
      </c>
      <c r="G61" s="48" t="s">
        <v>103</v>
      </c>
      <c r="H61" s="82" t="n">
        <f aca="false">DATE(YEAR(A61),MONTH(A61),1)</f>
        <v>43891</v>
      </c>
    </row>
    <row r="62" customFormat="false" ht="15" hidden="false" customHeight="false" outlineLevel="0" collapsed="false">
      <c r="A62" s="81" t="n">
        <v>43910</v>
      </c>
      <c r="B62" s="48" t="n">
        <v>1</v>
      </c>
      <c r="C62" s="48" t="n">
        <v>0</v>
      </c>
      <c r="D62" s="48" t="n">
        <v>0</v>
      </c>
      <c r="E62" s="48" t="s">
        <v>114</v>
      </c>
      <c r="F62" s="48" t="s">
        <v>72</v>
      </c>
      <c r="G62" s="48" t="s">
        <v>610</v>
      </c>
      <c r="H62" s="82" t="n">
        <f aca="false">DATE(YEAR(A62),MONTH(A62),1)</f>
        <v>43891</v>
      </c>
    </row>
    <row r="63" customFormat="false" ht="15" hidden="false" customHeight="false" outlineLevel="0" collapsed="false">
      <c r="A63" s="81" t="n">
        <v>43910</v>
      </c>
      <c r="B63" s="48" t="n">
        <v>1</v>
      </c>
      <c r="C63" s="48" t="n">
        <v>0</v>
      </c>
      <c r="D63" s="48" t="n">
        <v>0</v>
      </c>
      <c r="E63" s="48" t="s">
        <v>112</v>
      </c>
      <c r="F63" s="48" t="s">
        <v>71</v>
      </c>
      <c r="G63" s="48" t="s">
        <v>602</v>
      </c>
      <c r="H63" s="82" t="n">
        <f aca="false">DATE(YEAR(A63),MONTH(A63),1)</f>
        <v>43891</v>
      </c>
    </row>
    <row r="64" customFormat="false" ht="15" hidden="false" customHeight="false" outlineLevel="0" collapsed="false">
      <c r="A64" s="81" t="n">
        <v>43910</v>
      </c>
      <c r="B64" s="48" t="n">
        <v>1</v>
      </c>
      <c r="C64" s="48" t="n">
        <v>0</v>
      </c>
      <c r="D64" s="48" t="n">
        <v>0</v>
      </c>
      <c r="E64" s="48" t="s">
        <v>112</v>
      </c>
      <c r="F64" s="48" t="s">
        <v>71</v>
      </c>
      <c r="G64" s="48" t="s">
        <v>627</v>
      </c>
      <c r="H64" s="82" t="n">
        <f aca="false">DATE(YEAR(A64),MONTH(A64),1)</f>
        <v>43891</v>
      </c>
    </row>
    <row r="65" customFormat="false" ht="15" hidden="false" customHeight="false" outlineLevel="0" collapsed="false">
      <c r="A65" s="81" t="n">
        <v>43910</v>
      </c>
      <c r="B65" s="48" t="n">
        <v>3</v>
      </c>
      <c r="C65" s="48" t="n">
        <v>0</v>
      </c>
      <c r="D65" s="48" t="n">
        <v>0</v>
      </c>
      <c r="E65" s="48" t="s">
        <v>112</v>
      </c>
      <c r="F65" s="48" t="s">
        <v>71</v>
      </c>
      <c r="G65" s="48" t="s">
        <v>606</v>
      </c>
      <c r="H65" s="82" t="n">
        <f aca="false">DATE(YEAR(A65),MONTH(A65),1)</f>
        <v>43891</v>
      </c>
    </row>
    <row r="66" customFormat="false" ht="15" hidden="false" customHeight="false" outlineLevel="0" collapsed="false">
      <c r="A66" s="81" t="n">
        <v>43910</v>
      </c>
      <c r="B66" s="48" t="n">
        <v>2</v>
      </c>
      <c r="C66" s="48" t="n">
        <v>0</v>
      </c>
      <c r="D66" s="48" t="n">
        <v>0</v>
      </c>
      <c r="E66" s="48" t="s">
        <v>114</v>
      </c>
      <c r="F66" s="48" t="s">
        <v>71</v>
      </c>
      <c r="G66" s="48" t="s">
        <v>92</v>
      </c>
      <c r="H66" s="82" t="n">
        <f aca="false">DATE(YEAR(A66),MONTH(A66),1)</f>
        <v>43891</v>
      </c>
    </row>
    <row r="67" customFormat="false" ht="15" hidden="false" customHeight="false" outlineLevel="0" collapsed="false">
      <c r="A67" s="81" t="n">
        <v>43910</v>
      </c>
      <c r="B67" s="48" t="n">
        <v>7</v>
      </c>
      <c r="C67" s="48" t="n">
        <v>0</v>
      </c>
      <c r="D67" s="48" t="n">
        <v>0</v>
      </c>
      <c r="E67" s="48" t="s">
        <v>118</v>
      </c>
      <c r="F67" s="48" t="s">
        <v>71</v>
      </c>
      <c r="G67" s="48" t="s">
        <v>596</v>
      </c>
      <c r="H67" s="82" t="n">
        <f aca="false">DATE(YEAR(A67),MONTH(A67),1)</f>
        <v>43891</v>
      </c>
    </row>
    <row r="68" customFormat="false" ht="15" hidden="false" customHeight="false" outlineLevel="0" collapsed="false">
      <c r="A68" s="81" t="n">
        <v>43910</v>
      </c>
      <c r="B68" s="48" t="n">
        <v>4</v>
      </c>
      <c r="C68" s="48" t="n">
        <v>1</v>
      </c>
      <c r="D68" s="48" t="n">
        <v>0</v>
      </c>
      <c r="E68" s="48" t="s">
        <v>112</v>
      </c>
      <c r="F68" s="48" t="s">
        <v>70</v>
      </c>
      <c r="G68" s="48" t="s">
        <v>91</v>
      </c>
      <c r="H68" s="82" t="n">
        <f aca="false">DATE(YEAR(A68),MONTH(A68),1)</f>
        <v>43891</v>
      </c>
    </row>
    <row r="69" customFormat="false" ht="15" hidden="false" customHeight="false" outlineLevel="0" collapsed="false">
      <c r="A69" s="81" t="n">
        <v>43910</v>
      </c>
      <c r="B69" s="48" t="n">
        <v>16</v>
      </c>
      <c r="C69" s="48" t="n">
        <v>0</v>
      </c>
      <c r="D69" s="48" t="n">
        <v>0</v>
      </c>
      <c r="E69" s="48" t="s">
        <v>112</v>
      </c>
      <c r="F69" s="48" t="s">
        <v>70</v>
      </c>
      <c r="G69" s="48" t="s">
        <v>91</v>
      </c>
      <c r="H69" s="82" t="n">
        <f aca="false">DATE(YEAR(A69),MONTH(A69),1)</f>
        <v>43891</v>
      </c>
    </row>
    <row r="70" customFormat="false" ht="15" hidden="false" customHeight="false" outlineLevel="0" collapsed="false">
      <c r="A70" s="81" t="n">
        <v>43911</v>
      </c>
      <c r="B70" s="48" t="n">
        <v>12</v>
      </c>
      <c r="C70" s="48" t="n">
        <v>0</v>
      </c>
      <c r="D70" s="48" t="n">
        <v>0</v>
      </c>
      <c r="E70" s="48" t="s">
        <v>118</v>
      </c>
      <c r="F70" s="48" t="s">
        <v>73</v>
      </c>
      <c r="G70" s="48" t="s">
        <v>93</v>
      </c>
      <c r="H70" s="82" t="n">
        <f aca="false">DATE(YEAR(A70),MONTH(A70),1)</f>
        <v>43891</v>
      </c>
    </row>
    <row r="71" customFormat="false" ht="15" hidden="false" customHeight="false" outlineLevel="0" collapsed="false">
      <c r="A71" s="81" t="n">
        <v>43911</v>
      </c>
      <c r="B71" s="48" t="n">
        <v>25</v>
      </c>
      <c r="C71" s="48" t="n">
        <v>0</v>
      </c>
      <c r="D71" s="48" t="n">
        <v>0</v>
      </c>
      <c r="E71" s="48" t="s">
        <v>118</v>
      </c>
      <c r="F71" s="48" t="s">
        <v>75</v>
      </c>
      <c r="G71" s="48" t="s">
        <v>624</v>
      </c>
      <c r="H71" s="82" t="n">
        <f aca="false">DATE(YEAR(A71),MONTH(A71),1)</f>
        <v>43891</v>
      </c>
    </row>
    <row r="72" customFormat="false" ht="15" hidden="false" customHeight="false" outlineLevel="0" collapsed="false">
      <c r="A72" s="81" t="n">
        <v>43911</v>
      </c>
      <c r="B72" s="48" t="n">
        <v>3</v>
      </c>
      <c r="C72" s="48" t="n">
        <v>0</v>
      </c>
      <c r="D72" s="48" t="n">
        <v>0</v>
      </c>
      <c r="E72" s="48" t="s">
        <v>114</v>
      </c>
      <c r="F72" s="48" t="s">
        <v>74</v>
      </c>
      <c r="G72" s="48" t="s">
        <v>95</v>
      </c>
      <c r="H72" s="82" t="n">
        <f aca="false">DATE(YEAR(A72),MONTH(A72),1)</f>
        <v>43891</v>
      </c>
    </row>
    <row r="73" customFormat="false" ht="15" hidden="false" customHeight="false" outlineLevel="0" collapsed="false">
      <c r="A73" s="81" t="n">
        <v>43911</v>
      </c>
      <c r="B73" s="48" t="n">
        <v>1</v>
      </c>
      <c r="C73" s="48" t="n">
        <v>0</v>
      </c>
      <c r="D73" s="48" t="n">
        <v>0</v>
      </c>
      <c r="E73" s="48" t="s">
        <v>118</v>
      </c>
      <c r="F73" s="48" t="s">
        <v>72</v>
      </c>
      <c r="G73" s="48" t="s">
        <v>94</v>
      </c>
      <c r="H73" s="82" t="n">
        <f aca="false">DATE(YEAR(A73),MONTH(A73),1)</f>
        <v>43891</v>
      </c>
    </row>
    <row r="74" customFormat="false" ht="15" hidden="false" customHeight="false" outlineLevel="0" collapsed="false">
      <c r="A74" s="81" t="n">
        <v>43911</v>
      </c>
      <c r="B74" s="48" t="n">
        <v>1</v>
      </c>
      <c r="C74" s="48" t="n">
        <v>0</v>
      </c>
      <c r="D74" s="48" t="n">
        <v>0</v>
      </c>
      <c r="E74" s="48" t="s">
        <v>112</v>
      </c>
      <c r="F74" s="48" t="s">
        <v>72</v>
      </c>
      <c r="G74" s="48" t="s">
        <v>94</v>
      </c>
      <c r="H74" s="82" t="n">
        <f aca="false">DATE(YEAR(A74),MONTH(A74),1)</f>
        <v>43891</v>
      </c>
    </row>
    <row r="75" customFormat="false" ht="15" hidden="false" customHeight="false" outlineLevel="0" collapsed="false">
      <c r="A75" s="81" t="n">
        <v>43911</v>
      </c>
      <c r="B75" s="48" t="n">
        <v>2</v>
      </c>
      <c r="C75" s="48" t="n">
        <v>0</v>
      </c>
      <c r="D75" s="48" t="n">
        <v>0</v>
      </c>
      <c r="E75" s="48" t="s">
        <v>118</v>
      </c>
      <c r="F75" s="48" t="s">
        <v>72</v>
      </c>
      <c r="G75" s="48" t="s">
        <v>607</v>
      </c>
      <c r="H75" s="82" t="n">
        <f aca="false">DATE(YEAR(A75),MONTH(A75),1)</f>
        <v>43891</v>
      </c>
    </row>
    <row r="76" customFormat="false" ht="15" hidden="false" customHeight="false" outlineLevel="0" collapsed="false">
      <c r="A76" s="81" t="n">
        <v>43911</v>
      </c>
      <c r="B76" s="48" t="n">
        <v>1</v>
      </c>
      <c r="C76" s="48" t="n">
        <v>0</v>
      </c>
      <c r="D76" s="48" t="n">
        <v>0</v>
      </c>
      <c r="E76" s="48" t="s">
        <v>118</v>
      </c>
      <c r="F76" s="48" t="s">
        <v>72</v>
      </c>
      <c r="G76" s="48" t="s">
        <v>102</v>
      </c>
      <c r="H76" s="82" t="n">
        <f aca="false">DATE(YEAR(A76),MONTH(A76),1)</f>
        <v>43891</v>
      </c>
    </row>
    <row r="77" customFormat="false" ht="15" hidden="false" customHeight="false" outlineLevel="0" collapsed="false">
      <c r="A77" s="81" t="n">
        <v>43911</v>
      </c>
      <c r="B77" s="48" t="n">
        <v>1</v>
      </c>
      <c r="C77" s="48" t="n">
        <v>0</v>
      </c>
      <c r="D77" s="48" t="n">
        <v>0</v>
      </c>
      <c r="E77" s="48" t="s">
        <v>118</v>
      </c>
      <c r="F77" s="48" t="s">
        <v>72</v>
      </c>
      <c r="G77" s="48" t="s">
        <v>608</v>
      </c>
      <c r="H77" s="82" t="n">
        <f aca="false">DATE(YEAR(A77),MONTH(A77),1)</f>
        <v>43891</v>
      </c>
    </row>
    <row r="78" customFormat="false" ht="15" hidden="false" customHeight="false" outlineLevel="0" collapsed="false">
      <c r="A78" s="81" t="n">
        <v>43911</v>
      </c>
      <c r="B78" s="48" t="n">
        <v>6</v>
      </c>
      <c r="C78" s="48" t="n">
        <v>0</v>
      </c>
      <c r="D78" s="48" t="n">
        <v>0</v>
      </c>
      <c r="E78" s="48" t="s">
        <v>114</v>
      </c>
      <c r="F78" s="48" t="s">
        <v>71</v>
      </c>
      <c r="G78" s="48" t="s">
        <v>92</v>
      </c>
      <c r="H78" s="82" t="n">
        <f aca="false">DATE(YEAR(A78),MONTH(A78),1)</f>
        <v>43891</v>
      </c>
    </row>
    <row r="79" customFormat="false" ht="15" hidden="false" customHeight="false" outlineLevel="0" collapsed="false">
      <c r="A79" s="81" t="n">
        <v>43911</v>
      </c>
      <c r="B79" s="48" t="n">
        <v>38</v>
      </c>
      <c r="C79" s="48" t="n">
        <v>0</v>
      </c>
      <c r="D79" s="48" t="n">
        <v>0</v>
      </c>
      <c r="E79" s="48" t="s">
        <v>118</v>
      </c>
      <c r="F79" s="48" t="s">
        <v>71</v>
      </c>
      <c r="G79" s="48" t="s">
        <v>596</v>
      </c>
      <c r="H79" s="82" t="n">
        <f aca="false">DATE(YEAR(A79),MONTH(A79),1)</f>
        <v>43891</v>
      </c>
    </row>
    <row r="80" customFormat="false" ht="15" hidden="false" customHeight="false" outlineLevel="0" collapsed="false">
      <c r="A80" s="81" t="n">
        <v>43911</v>
      </c>
      <c r="B80" s="48" t="n">
        <v>1</v>
      </c>
      <c r="C80" s="48" t="n">
        <v>0</v>
      </c>
      <c r="D80" s="48" t="n">
        <v>0</v>
      </c>
      <c r="E80" s="48" t="s">
        <v>112</v>
      </c>
      <c r="F80" s="48" t="s">
        <v>71</v>
      </c>
      <c r="G80" s="48" t="s">
        <v>627</v>
      </c>
      <c r="H80" s="82" t="n">
        <f aca="false">DATE(YEAR(A80),MONTH(A80),1)</f>
        <v>43891</v>
      </c>
    </row>
    <row r="81" customFormat="false" ht="15" hidden="false" customHeight="false" outlineLevel="0" collapsed="false">
      <c r="A81" s="81" t="n">
        <v>43911</v>
      </c>
      <c r="B81" s="48" t="n">
        <v>4</v>
      </c>
      <c r="C81" s="48" t="n">
        <v>0</v>
      </c>
      <c r="D81" s="48" t="n">
        <v>0</v>
      </c>
      <c r="E81" s="48" t="s">
        <v>112</v>
      </c>
      <c r="F81" s="48" t="s">
        <v>71</v>
      </c>
      <c r="G81" s="48" t="s">
        <v>620</v>
      </c>
      <c r="H81" s="82" t="n">
        <f aca="false">DATE(YEAR(A81),MONTH(A81),1)</f>
        <v>43891</v>
      </c>
    </row>
    <row r="82" customFormat="false" ht="15" hidden="false" customHeight="false" outlineLevel="0" collapsed="false">
      <c r="A82" s="81" t="n">
        <v>43911</v>
      </c>
      <c r="B82" s="48" t="n">
        <v>39</v>
      </c>
      <c r="C82" s="48" t="n">
        <v>0</v>
      </c>
      <c r="D82" s="48" t="n">
        <v>0</v>
      </c>
      <c r="E82" s="48" t="s">
        <v>118</v>
      </c>
      <c r="F82" s="48" t="s">
        <v>70</v>
      </c>
      <c r="G82" s="48" t="s">
        <v>98</v>
      </c>
      <c r="H82" s="82" t="n">
        <f aca="false">DATE(YEAR(A82),MONTH(A82),1)</f>
        <v>43891</v>
      </c>
    </row>
    <row r="83" customFormat="false" ht="15" hidden="false" customHeight="false" outlineLevel="0" collapsed="false">
      <c r="A83" s="81" t="n">
        <v>43911</v>
      </c>
      <c r="B83" s="48" t="n">
        <v>0</v>
      </c>
      <c r="C83" s="48" t="n">
        <v>0</v>
      </c>
      <c r="D83" s="48" t="n">
        <v>3</v>
      </c>
      <c r="E83" s="48" t="s">
        <v>112</v>
      </c>
      <c r="F83" s="48" t="s">
        <v>70</v>
      </c>
      <c r="G83" s="48" t="s">
        <v>91</v>
      </c>
      <c r="H83" s="82" t="n">
        <f aca="false">DATE(YEAR(A83),MONTH(A83),1)</f>
        <v>43891</v>
      </c>
    </row>
    <row r="84" customFormat="false" ht="15" hidden="false" customHeight="false" outlineLevel="0" collapsed="false">
      <c r="A84" s="81" t="n">
        <v>43912</v>
      </c>
      <c r="B84" s="48" t="n">
        <v>4</v>
      </c>
      <c r="C84" s="48" t="n">
        <v>1</v>
      </c>
      <c r="D84" s="48" t="n">
        <v>0</v>
      </c>
      <c r="E84" s="48" t="s">
        <v>114</v>
      </c>
      <c r="F84" s="48" t="s">
        <v>73</v>
      </c>
      <c r="G84" s="48" t="s">
        <v>93</v>
      </c>
      <c r="H84" s="82" t="n">
        <f aca="false">DATE(YEAR(A84),MONTH(A84),1)</f>
        <v>43891</v>
      </c>
    </row>
    <row r="85" customFormat="false" ht="15" hidden="false" customHeight="false" outlineLevel="0" collapsed="false">
      <c r="A85" s="81" t="n">
        <v>43912</v>
      </c>
      <c r="B85" s="48" t="n">
        <v>4</v>
      </c>
      <c r="C85" s="48" t="n">
        <v>0</v>
      </c>
      <c r="D85" s="48" t="n">
        <v>0</v>
      </c>
      <c r="E85" s="48" t="s">
        <v>112</v>
      </c>
      <c r="F85" s="48" t="s">
        <v>75</v>
      </c>
      <c r="G85" s="48" t="s">
        <v>617</v>
      </c>
      <c r="H85" s="82" t="n">
        <f aca="false">DATE(YEAR(A85),MONTH(A85),1)</f>
        <v>43891</v>
      </c>
    </row>
    <row r="86" customFormat="false" ht="15" hidden="false" customHeight="false" outlineLevel="0" collapsed="false">
      <c r="A86" s="81" t="n">
        <v>43912</v>
      </c>
      <c r="B86" s="48" t="n">
        <v>1</v>
      </c>
      <c r="C86" s="48" t="n">
        <v>0</v>
      </c>
      <c r="D86" s="48" t="n">
        <v>0</v>
      </c>
      <c r="E86" s="48" t="s">
        <v>114</v>
      </c>
      <c r="F86" s="48" t="s">
        <v>74</v>
      </c>
      <c r="G86" s="48" t="s">
        <v>95</v>
      </c>
      <c r="H86" s="82" t="n">
        <f aca="false">DATE(YEAR(A86),MONTH(A86),1)</f>
        <v>43891</v>
      </c>
    </row>
    <row r="87" customFormat="false" ht="15" hidden="false" customHeight="false" outlineLevel="0" collapsed="false">
      <c r="A87" s="81" t="n">
        <v>43912</v>
      </c>
      <c r="B87" s="48" t="n">
        <v>15</v>
      </c>
      <c r="C87" s="48" t="n">
        <v>0</v>
      </c>
      <c r="D87" s="48" t="n">
        <v>0</v>
      </c>
      <c r="E87" s="48" t="s">
        <v>114</v>
      </c>
      <c r="F87" s="48" t="s">
        <v>71</v>
      </c>
      <c r="G87" s="48" t="s">
        <v>92</v>
      </c>
      <c r="H87" s="82" t="n">
        <f aca="false">DATE(YEAR(A87),MONTH(A87),1)</f>
        <v>43891</v>
      </c>
    </row>
    <row r="88" customFormat="false" ht="15" hidden="false" customHeight="false" outlineLevel="0" collapsed="false">
      <c r="A88" s="81" t="n">
        <v>43912</v>
      </c>
      <c r="B88" s="48" t="n">
        <v>1</v>
      </c>
      <c r="C88" s="48" t="n">
        <v>0</v>
      </c>
      <c r="D88" s="48" t="n">
        <v>0</v>
      </c>
      <c r="E88" s="48" t="s">
        <v>112</v>
      </c>
      <c r="F88" s="48" t="s">
        <v>71</v>
      </c>
      <c r="G88" s="48" t="s">
        <v>627</v>
      </c>
      <c r="H88" s="82" t="n">
        <f aca="false">DATE(YEAR(A88),MONTH(A88),1)</f>
        <v>43891</v>
      </c>
    </row>
    <row r="89" customFormat="false" ht="15" hidden="false" customHeight="false" outlineLevel="0" collapsed="false">
      <c r="A89" s="81" t="n">
        <v>43912</v>
      </c>
      <c r="B89" s="48" t="n">
        <v>1</v>
      </c>
      <c r="C89" s="48" t="n">
        <v>0</v>
      </c>
      <c r="D89" s="48" t="n">
        <v>0</v>
      </c>
      <c r="E89" s="48" t="s">
        <v>112</v>
      </c>
      <c r="F89" s="48" t="s">
        <v>71</v>
      </c>
      <c r="G89" s="48" t="s">
        <v>602</v>
      </c>
      <c r="H89" s="82" t="n">
        <f aca="false">DATE(YEAR(A89),MONTH(A89),1)</f>
        <v>43891</v>
      </c>
    </row>
    <row r="90" customFormat="false" ht="15" hidden="false" customHeight="false" outlineLevel="0" collapsed="false">
      <c r="A90" s="81" t="n">
        <v>43912</v>
      </c>
      <c r="B90" s="48" t="n">
        <v>43</v>
      </c>
      <c r="C90" s="48" t="n">
        <v>0</v>
      </c>
      <c r="D90" s="48" t="n">
        <v>0</v>
      </c>
      <c r="E90" s="48" t="s">
        <v>118</v>
      </c>
      <c r="F90" s="48" t="s">
        <v>71</v>
      </c>
      <c r="G90" s="48" t="s">
        <v>596</v>
      </c>
      <c r="H90" s="82" t="n">
        <f aca="false">DATE(YEAR(A90),MONTH(A90),1)</f>
        <v>43891</v>
      </c>
    </row>
    <row r="91" customFormat="false" ht="15" hidden="false" customHeight="false" outlineLevel="0" collapsed="false">
      <c r="A91" s="81" t="n">
        <v>43912</v>
      </c>
      <c r="B91" s="48" t="n">
        <v>18</v>
      </c>
      <c r="C91" s="48" t="n">
        <v>0</v>
      </c>
      <c r="D91" s="48" t="n">
        <v>0</v>
      </c>
      <c r="E91" s="48" t="s">
        <v>112</v>
      </c>
      <c r="F91" s="48" t="s">
        <v>70</v>
      </c>
      <c r="G91" s="48" t="s">
        <v>91</v>
      </c>
      <c r="H91" s="82" t="n">
        <f aca="false">DATE(YEAR(A91),MONTH(A91),1)</f>
        <v>43891</v>
      </c>
    </row>
    <row r="92" customFormat="false" ht="15" hidden="false" customHeight="false" outlineLevel="0" collapsed="false">
      <c r="A92" s="81" t="n">
        <v>43912</v>
      </c>
      <c r="B92" s="48" t="n">
        <v>23</v>
      </c>
      <c r="C92" s="48" t="n">
        <v>0</v>
      </c>
      <c r="D92" s="48" t="n">
        <v>0</v>
      </c>
      <c r="E92" s="48" t="s">
        <v>118</v>
      </c>
      <c r="F92" s="48" t="s">
        <v>70</v>
      </c>
      <c r="G92" s="48" t="s">
        <v>98</v>
      </c>
      <c r="H92" s="82" t="n">
        <f aca="false">DATE(YEAR(A92),MONTH(A92),1)</f>
        <v>43891</v>
      </c>
    </row>
    <row r="93" customFormat="false" ht="15" hidden="false" customHeight="false" outlineLevel="0" collapsed="false">
      <c r="A93" s="81" t="n">
        <v>43913</v>
      </c>
      <c r="B93" s="48" t="n">
        <v>5</v>
      </c>
      <c r="C93" s="48" t="n">
        <v>0</v>
      </c>
      <c r="D93" s="48" t="n">
        <v>0</v>
      </c>
      <c r="E93" s="48" t="s">
        <v>118</v>
      </c>
      <c r="F93" s="48" t="s">
        <v>73</v>
      </c>
      <c r="G93" s="48" t="s">
        <v>665</v>
      </c>
      <c r="H93" s="82" t="n">
        <f aca="false">DATE(YEAR(A93),MONTH(A93),1)</f>
        <v>43891</v>
      </c>
    </row>
    <row r="94" customFormat="false" ht="15" hidden="false" customHeight="false" outlineLevel="0" collapsed="false">
      <c r="A94" s="81" t="n">
        <v>43913</v>
      </c>
      <c r="B94" s="48" t="n">
        <v>16</v>
      </c>
      <c r="C94" s="48" t="n">
        <v>1</v>
      </c>
      <c r="D94" s="48" t="n">
        <v>0</v>
      </c>
      <c r="E94" s="48" t="s">
        <v>118</v>
      </c>
      <c r="F94" s="48" t="s">
        <v>75</v>
      </c>
      <c r="G94" s="48" t="s">
        <v>624</v>
      </c>
      <c r="H94" s="82" t="n">
        <f aca="false">DATE(YEAR(A94),MONTH(A94),1)</f>
        <v>43891</v>
      </c>
    </row>
    <row r="95" customFormat="false" ht="15" hidden="false" customHeight="false" outlineLevel="0" collapsed="false">
      <c r="A95" s="81" t="n">
        <v>43913</v>
      </c>
      <c r="B95" s="48" t="n">
        <v>1</v>
      </c>
      <c r="C95" s="48" t="n">
        <v>0</v>
      </c>
      <c r="D95" s="48" t="n">
        <v>0</v>
      </c>
      <c r="E95" s="48" t="s">
        <v>114</v>
      </c>
      <c r="F95" s="48" t="s">
        <v>72</v>
      </c>
      <c r="G95" s="48" t="s">
        <v>610</v>
      </c>
      <c r="H95" s="82" t="n">
        <f aca="false">DATE(YEAR(A95),MONTH(A95),1)</f>
        <v>43891</v>
      </c>
    </row>
    <row r="96" customFormat="false" ht="15" hidden="false" customHeight="false" outlineLevel="0" collapsed="false">
      <c r="A96" s="81" t="n">
        <v>43913</v>
      </c>
      <c r="B96" s="48" t="n">
        <v>25</v>
      </c>
      <c r="C96" s="48" t="n">
        <v>0</v>
      </c>
      <c r="D96" s="48" t="n">
        <v>0</v>
      </c>
      <c r="E96" s="48" t="s">
        <v>118</v>
      </c>
      <c r="F96" s="48" t="s">
        <v>71</v>
      </c>
      <c r="G96" s="48" t="s">
        <v>596</v>
      </c>
      <c r="H96" s="82" t="n">
        <f aca="false">DATE(YEAR(A96),MONTH(A96),1)</f>
        <v>43891</v>
      </c>
    </row>
    <row r="97" customFormat="false" ht="15" hidden="false" customHeight="false" outlineLevel="0" collapsed="false">
      <c r="A97" s="81" t="n">
        <v>43913</v>
      </c>
      <c r="B97" s="48" t="n">
        <v>16</v>
      </c>
      <c r="C97" s="48" t="n">
        <v>0</v>
      </c>
      <c r="D97" s="48" t="n">
        <v>0</v>
      </c>
      <c r="E97" s="48" t="s">
        <v>112</v>
      </c>
      <c r="F97" s="48" t="s">
        <v>71</v>
      </c>
      <c r="G97" s="48" t="s">
        <v>92</v>
      </c>
      <c r="H97" s="82" t="n">
        <f aca="false">DATE(YEAR(A97),MONTH(A97),1)</f>
        <v>43891</v>
      </c>
    </row>
    <row r="98" customFormat="false" ht="15" hidden="false" customHeight="false" outlineLevel="0" collapsed="false">
      <c r="A98" s="81" t="n">
        <v>43913</v>
      </c>
      <c r="B98" s="48" t="n">
        <v>7</v>
      </c>
      <c r="C98" s="48" t="n">
        <v>0</v>
      </c>
      <c r="D98" s="48" t="n">
        <v>0</v>
      </c>
      <c r="E98" s="48" t="s">
        <v>112</v>
      </c>
      <c r="F98" s="48" t="s">
        <v>70</v>
      </c>
      <c r="G98" s="48" t="s">
        <v>91</v>
      </c>
      <c r="H98" s="82" t="n">
        <f aca="false">DATE(YEAR(A98),MONTH(A98),1)</f>
        <v>43891</v>
      </c>
    </row>
    <row r="99" customFormat="false" ht="15" hidden="false" customHeight="false" outlineLevel="0" collapsed="false">
      <c r="A99" s="81" t="n">
        <v>43913</v>
      </c>
      <c r="B99" s="48" t="n">
        <v>11</v>
      </c>
      <c r="C99" s="48" t="n">
        <v>0</v>
      </c>
      <c r="D99" s="48" t="n">
        <v>0</v>
      </c>
      <c r="E99" s="48" t="s">
        <v>118</v>
      </c>
      <c r="F99" s="48" t="s">
        <v>70</v>
      </c>
      <c r="G99" s="48" t="s">
        <v>98</v>
      </c>
      <c r="H99" s="82" t="n">
        <f aca="false">DATE(YEAR(A99),MONTH(A99),1)</f>
        <v>43891</v>
      </c>
    </row>
    <row r="100" customFormat="false" ht="15" hidden="false" customHeight="false" outlineLevel="0" collapsed="false">
      <c r="A100" s="81" t="n">
        <v>43913</v>
      </c>
      <c r="B100" s="48" t="n">
        <v>1</v>
      </c>
      <c r="C100" s="48" t="n">
        <v>0</v>
      </c>
      <c r="D100" s="48" t="n">
        <v>0</v>
      </c>
      <c r="E100" s="48" t="s">
        <v>118</v>
      </c>
      <c r="F100" s="48" t="s">
        <v>70</v>
      </c>
      <c r="G100" s="48" t="s">
        <v>635</v>
      </c>
      <c r="H100" s="82" t="n">
        <f aca="false">DATE(YEAR(A100),MONTH(A100),1)</f>
        <v>43891</v>
      </c>
    </row>
    <row r="101" customFormat="false" ht="15" hidden="false" customHeight="false" outlineLevel="0" collapsed="false">
      <c r="A101" s="81" t="n">
        <v>43914</v>
      </c>
      <c r="B101" s="48" t="n">
        <v>2</v>
      </c>
      <c r="C101" s="48" t="n">
        <v>0</v>
      </c>
      <c r="D101" s="48" t="n">
        <v>0</v>
      </c>
      <c r="E101" s="48" t="s">
        <v>114</v>
      </c>
      <c r="F101" s="48" t="s">
        <v>73</v>
      </c>
      <c r="G101" s="48" t="s">
        <v>93</v>
      </c>
      <c r="H101" s="82" t="n">
        <f aca="false">DATE(YEAR(A101),MONTH(A101),1)</f>
        <v>43891</v>
      </c>
    </row>
    <row r="102" customFormat="false" ht="15" hidden="false" customHeight="false" outlineLevel="0" collapsed="false">
      <c r="A102" s="81" t="n">
        <v>43914</v>
      </c>
      <c r="B102" s="48" t="n">
        <v>1</v>
      </c>
      <c r="C102" s="48" t="n">
        <v>0</v>
      </c>
      <c r="D102" s="48" t="n">
        <v>0</v>
      </c>
      <c r="E102" s="48" t="s">
        <v>118</v>
      </c>
      <c r="F102" s="48" t="s">
        <v>77</v>
      </c>
      <c r="G102" s="48" t="s">
        <v>676</v>
      </c>
      <c r="H102" s="82" t="n">
        <f aca="false">DATE(YEAR(A102),MONTH(A102),1)</f>
        <v>43891</v>
      </c>
    </row>
    <row r="103" customFormat="false" ht="15" hidden="false" customHeight="false" outlineLevel="0" collapsed="false">
      <c r="A103" s="81" t="n">
        <v>43914</v>
      </c>
      <c r="B103" s="48" t="n">
        <v>5</v>
      </c>
      <c r="C103" s="48" t="n">
        <v>0</v>
      </c>
      <c r="D103" s="48" t="n">
        <v>0</v>
      </c>
      <c r="E103" s="48" t="s">
        <v>112</v>
      </c>
      <c r="F103" s="48" t="s">
        <v>75</v>
      </c>
      <c r="G103" s="48" t="s">
        <v>103</v>
      </c>
      <c r="H103" s="82" t="n">
        <f aca="false">DATE(YEAR(A103),MONTH(A103),1)</f>
        <v>43891</v>
      </c>
    </row>
    <row r="104" customFormat="false" ht="15" hidden="false" customHeight="false" outlineLevel="0" collapsed="false">
      <c r="A104" s="81" t="n">
        <v>43914</v>
      </c>
      <c r="B104" s="48" t="n">
        <v>37</v>
      </c>
      <c r="C104" s="48" t="n">
        <v>0</v>
      </c>
      <c r="D104" s="48" t="n">
        <v>0</v>
      </c>
      <c r="E104" s="48" t="s">
        <v>118</v>
      </c>
      <c r="F104" s="48" t="s">
        <v>72</v>
      </c>
      <c r="G104" s="48" t="s">
        <v>607</v>
      </c>
      <c r="H104" s="82" t="n">
        <f aca="false">DATE(YEAR(A104),MONTH(A104),1)</f>
        <v>43891</v>
      </c>
    </row>
    <row r="105" customFormat="false" ht="15" hidden="false" customHeight="false" outlineLevel="0" collapsed="false">
      <c r="A105" s="81" t="n">
        <v>43914</v>
      </c>
      <c r="B105" s="48" t="n">
        <v>2</v>
      </c>
      <c r="C105" s="48" t="n">
        <v>0</v>
      </c>
      <c r="D105" s="48" t="n">
        <v>0</v>
      </c>
      <c r="E105" s="48" t="s">
        <v>114</v>
      </c>
      <c r="F105" s="48" t="s">
        <v>72</v>
      </c>
      <c r="G105" s="48" t="s">
        <v>94</v>
      </c>
      <c r="H105" s="82" t="n">
        <f aca="false">DATE(YEAR(A105),MONTH(A105),1)</f>
        <v>43891</v>
      </c>
    </row>
    <row r="106" customFormat="false" ht="15" hidden="false" customHeight="false" outlineLevel="0" collapsed="false">
      <c r="A106" s="81" t="n">
        <v>43914</v>
      </c>
      <c r="B106" s="48" t="n">
        <v>7</v>
      </c>
      <c r="C106" s="48" t="n">
        <v>0</v>
      </c>
      <c r="D106" s="48" t="n">
        <v>0</v>
      </c>
      <c r="E106" s="48" t="s">
        <v>112</v>
      </c>
      <c r="F106" s="48" t="s">
        <v>71</v>
      </c>
      <c r="G106" s="48" t="s">
        <v>92</v>
      </c>
      <c r="H106" s="82" t="n">
        <f aca="false">DATE(YEAR(A106),MONTH(A106),1)</f>
        <v>43891</v>
      </c>
    </row>
    <row r="107" customFormat="false" ht="15" hidden="false" customHeight="false" outlineLevel="0" collapsed="false">
      <c r="A107" s="81" t="n">
        <v>43914</v>
      </c>
      <c r="B107" s="48" t="n">
        <v>1</v>
      </c>
      <c r="C107" s="48" t="n">
        <v>0</v>
      </c>
      <c r="D107" s="48" t="n">
        <v>0</v>
      </c>
      <c r="E107" s="48" t="s">
        <v>112</v>
      </c>
      <c r="F107" s="48" t="s">
        <v>71</v>
      </c>
      <c r="G107" s="48" t="s">
        <v>97</v>
      </c>
      <c r="H107" s="82" t="n">
        <f aca="false">DATE(YEAR(A107),MONTH(A107),1)</f>
        <v>43891</v>
      </c>
    </row>
    <row r="108" customFormat="false" ht="15" hidden="false" customHeight="false" outlineLevel="0" collapsed="false">
      <c r="A108" s="81" t="n">
        <v>43914</v>
      </c>
      <c r="B108" s="48" t="n">
        <v>9</v>
      </c>
      <c r="C108" s="48" t="n">
        <v>0</v>
      </c>
      <c r="D108" s="48" t="n">
        <v>0</v>
      </c>
      <c r="E108" s="48" t="s">
        <v>112</v>
      </c>
      <c r="F108" s="48" t="s">
        <v>71</v>
      </c>
      <c r="G108" s="48" t="s">
        <v>606</v>
      </c>
      <c r="H108" s="82" t="n">
        <f aca="false">DATE(YEAR(A108),MONTH(A108),1)</f>
        <v>43891</v>
      </c>
    </row>
    <row r="109" customFormat="false" ht="15" hidden="false" customHeight="false" outlineLevel="0" collapsed="false">
      <c r="A109" s="81" t="n">
        <v>43914</v>
      </c>
      <c r="B109" s="48" t="n">
        <v>3</v>
      </c>
      <c r="C109" s="48" t="n">
        <v>0</v>
      </c>
      <c r="D109" s="48" t="n">
        <v>0</v>
      </c>
      <c r="E109" s="48" t="s">
        <v>112</v>
      </c>
      <c r="F109" s="48" t="s">
        <v>71</v>
      </c>
      <c r="G109" s="48" t="s">
        <v>620</v>
      </c>
      <c r="H109" s="82" t="n">
        <f aca="false">DATE(YEAR(A109),MONTH(A109),1)</f>
        <v>43891</v>
      </c>
    </row>
    <row r="110" customFormat="false" ht="15" hidden="false" customHeight="false" outlineLevel="0" collapsed="false">
      <c r="A110" s="81" t="n">
        <v>43914</v>
      </c>
      <c r="B110" s="48" t="n">
        <v>1</v>
      </c>
      <c r="C110" s="48" t="n">
        <v>0</v>
      </c>
      <c r="D110" s="48" t="n">
        <v>0</v>
      </c>
      <c r="E110" s="48" t="s">
        <v>112</v>
      </c>
      <c r="F110" s="48" t="s">
        <v>71</v>
      </c>
      <c r="G110" s="48" t="s">
        <v>604</v>
      </c>
      <c r="H110" s="82" t="n">
        <f aca="false">DATE(YEAR(A110),MONTH(A110),1)</f>
        <v>43891</v>
      </c>
    </row>
    <row r="111" customFormat="false" ht="15" hidden="false" customHeight="false" outlineLevel="0" collapsed="false">
      <c r="A111" s="81" t="n">
        <v>43914</v>
      </c>
      <c r="B111" s="48" t="n">
        <v>1</v>
      </c>
      <c r="C111" s="48" t="n">
        <v>0</v>
      </c>
      <c r="D111" s="48" t="n">
        <v>0</v>
      </c>
      <c r="E111" s="48" t="s">
        <v>112</v>
      </c>
      <c r="F111" s="48" t="s">
        <v>71</v>
      </c>
      <c r="G111" s="48" t="s">
        <v>626</v>
      </c>
      <c r="H111" s="82" t="n">
        <f aca="false">DATE(YEAR(A111),MONTH(A111),1)</f>
        <v>43891</v>
      </c>
    </row>
    <row r="112" customFormat="false" ht="15" hidden="false" customHeight="false" outlineLevel="0" collapsed="false">
      <c r="A112" s="81" t="n">
        <v>43914</v>
      </c>
      <c r="B112" s="48" t="n">
        <v>1</v>
      </c>
      <c r="C112" s="48" t="n">
        <v>0</v>
      </c>
      <c r="D112" s="48" t="n">
        <v>0</v>
      </c>
      <c r="E112" s="48" t="s">
        <v>112</v>
      </c>
      <c r="F112" s="48" t="s">
        <v>71</v>
      </c>
      <c r="G112" s="48" t="s">
        <v>648</v>
      </c>
      <c r="H112" s="82" t="n">
        <f aca="false">DATE(YEAR(A112),MONTH(A112),1)</f>
        <v>43891</v>
      </c>
    </row>
    <row r="113" customFormat="false" ht="15" hidden="false" customHeight="false" outlineLevel="0" collapsed="false">
      <c r="A113" s="81" t="n">
        <v>43914</v>
      </c>
      <c r="B113" s="48" t="n">
        <v>1</v>
      </c>
      <c r="C113" s="48" t="n">
        <v>0</v>
      </c>
      <c r="D113" s="48" t="n">
        <v>0</v>
      </c>
      <c r="E113" s="48" t="s">
        <v>112</v>
      </c>
      <c r="F113" s="48" t="s">
        <v>71</v>
      </c>
      <c r="G113" s="48" t="s">
        <v>618</v>
      </c>
      <c r="H113" s="82" t="n">
        <f aca="false">DATE(YEAR(A113),MONTH(A113),1)</f>
        <v>43891</v>
      </c>
    </row>
    <row r="114" customFormat="false" ht="15" hidden="false" customHeight="false" outlineLevel="0" collapsed="false">
      <c r="A114" s="81" t="n">
        <v>43914</v>
      </c>
      <c r="B114" s="48" t="n">
        <v>21</v>
      </c>
      <c r="C114" s="48" t="n">
        <v>1</v>
      </c>
      <c r="D114" s="48" t="n">
        <v>2</v>
      </c>
      <c r="E114" s="48" t="s">
        <v>118</v>
      </c>
      <c r="F114" s="48" t="s">
        <v>71</v>
      </c>
      <c r="G114" s="48" t="s">
        <v>596</v>
      </c>
      <c r="H114" s="82" t="n">
        <f aca="false">DATE(YEAR(A114),MONTH(A114),1)</f>
        <v>43891</v>
      </c>
    </row>
    <row r="115" customFormat="false" ht="15" hidden="false" customHeight="false" outlineLevel="0" collapsed="false">
      <c r="A115" s="81" t="n">
        <v>43914</v>
      </c>
      <c r="B115" s="48" t="n">
        <v>8</v>
      </c>
      <c r="C115" s="48" t="n">
        <v>0</v>
      </c>
      <c r="D115" s="48" t="n">
        <v>6</v>
      </c>
      <c r="E115" s="48" t="s">
        <v>112</v>
      </c>
      <c r="F115" s="48" t="s">
        <v>70</v>
      </c>
      <c r="G115" s="48" t="s">
        <v>91</v>
      </c>
      <c r="H115" s="82" t="n">
        <f aca="false">DATE(YEAR(A115),MONTH(A115),1)</f>
        <v>43891</v>
      </c>
    </row>
    <row r="116" customFormat="false" ht="15" hidden="false" customHeight="false" outlineLevel="0" collapsed="false">
      <c r="A116" s="81" t="n">
        <v>43914</v>
      </c>
      <c r="B116" s="48" t="n">
        <v>8</v>
      </c>
      <c r="C116" s="48" t="n">
        <v>0</v>
      </c>
      <c r="D116" s="48" t="n">
        <v>0</v>
      </c>
      <c r="E116" s="48" t="s">
        <v>118</v>
      </c>
      <c r="F116" s="48" t="s">
        <v>70</v>
      </c>
      <c r="G116" s="48" t="s">
        <v>98</v>
      </c>
      <c r="H116" s="82" t="n">
        <f aca="false">DATE(YEAR(A116),MONTH(A116),1)</f>
        <v>43891</v>
      </c>
    </row>
    <row r="117" customFormat="false" ht="15" hidden="false" customHeight="false" outlineLevel="0" collapsed="false">
      <c r="A117" s="81" t="n">
        <v>43914</v>
      </c>
      <c r="B117" s="48" t="n">
        <v>3</v>
      </c>
      <c r="C117" s="48" t="n">
        <v>0</v>
      </c>
      <c r="D117" s="48" t="n">
        <v>10</v>
      </c>
      <c r="E117" s="48" t="s">
        <v>112</v>
      </c>
      <c r="F117" s="48" t="s">
        <v>70</v>
      </c>
      <c r="G117" s="48" t="s">
        <v>91</v>
      </c>
      <c r="H117" s="82" t="n">
        <f aca="false">DATE(YEAR(A117),MONTH(A117),1)</f>
        <v>43891</v>
      </c>
    </row>
    <row r="118" customFormat="false" ht="15" hidden="false" customHeight="false" outlineLevel="0" collapsed="false">
      <c r="A118" s="81" t="n">
        <v>43914</v>
      </c>
      <c r="B118" s="48" t="n">
        <v>3</v>
      </c>
      <c r="C118" s="48" t="n">
        <v>0</v>
      </c>
      <c r="D118" s="48" t="n">
        <v>0</v>
      </c>
      <c r="E118" s="48" t="s">
        <v>112</v>
      </c>
      <c r="F118" s="48" t="s">
        <v>70</v>
      </c>
      <c r="G118" s="48" t="s">
        <v>91</v>
      </c>
      <c r="H118" s="82" t="n">
        <f aca="false">DATE(YEAR(A118),MONTH(A118),1)</f>
        <v>43891</v>
      </c>
    </row>
    <row r="119" customFormat="false" ht="15" hidden="false" customHeight="false" outlineLevel="0" collapsed="false">
      <c r="A119" s="81" t="n">
        <v>43915</v>
      </c>
      <c r="B119" s="48" t="n">
        <v>9</v>
      </c>
      <c r="C119" s="48" t="n">
        <v>0</v>
      </c>
      <c r="D119" s="48" t="n">
        <v>0</v>
      </c>
      <c r="E119" s="48" t="s">
        <v>112</v>
      </c>
      <c r="F119" s="48" t="s">
        <v>73</v>
      </c>
      <c r="G119" s="48" t="s">
        <v>93</v>
      </c>
      <c r="H119" s="82" t="n">
        <f aca="false">DATE(YEAR(A119),MONTH(A119),1)</f>
        <v>43891</v>
      </c>
    </row>
    <row r="120" customFormat="false" ht="15" hidden="false" customHeight="false" outlineLevel="0" collapsed="false">
      <c r="A120" s="81" t="n">
        <v>43915</v>
      </c>
      <c r="B120" s="48" t="n">
        <v>12</v>
      </c>
      <c r="C120" s="48" t="n">
        <v>0</v>
      </c>
      <c r="D120" s="48" t="n">
        <v>0</v>
      </c>
      <c r="E120" s="48" t="s">
        <v>118</v>
      </c>
      <c r="F120" s="48" t="s">
        <v>73</v>
      </c>
      <c r="G120" s="48" t="s">
        <v>93</v>
      </c>
      <c r="H120" s="82" t="n">
        <f aca="false">DATE(YEAR(A120),MONTH(A120),1)</f>
        <v>43891</v>
      </c>
    </row>
    <row r="121" customFormat="false" ht="15" hidden="false" customHeight="false" outlineLevel="0" collapsed="false">
      <c r="A121" s="81" t="n">
        <v>43915</v>
      </c>
      <c r="B121" s="48" t="n">
        <v>1</v>
      </c>
      <c r="C121" s="48" t="n">
        <v>0</v>
      </c>
      <c r="D121" s="48" t="n">
        <v>0</v>
      </c>
      <c r="E121" s="48" t="s">
        <v>114</v>
      </c>
      <c r="F121" s="48" t="s">
        <v>75</v>
      </c>
      <c r="G121" s="48" t="s">
        <v>629</v>
      </c>
      <c r="H121" s="82" t="n">
        <f aca="false">DATE(YEAR(A121),MONTH(A121),1)</f>
        <v>43891</v>
      </c>
    </row>
    <row r="122" customFormat="false" ht="15" hidden="false" customHeight="false" outlineLevel="0" collapsed="false">
      <c r="A122" s="81" t="n">
        <v>43915</v>
      </c>
      <c r="B122" s="48" t="n">
        <v>7</v>
      </c>
      <c r="C122" s="48" t="n">
        <v>0</v>
      </c>
      <c r="D122" s="48" t="n">
        <v>0</v>
      </c>
      <c r="E122" s="48" t="s">
        <v>114</v>
      </c>
      <c r="F122" s="48" t="s">
        <v>75</v>
      </c>
      <c r="G122" s="48" t="s">
        <v>660</v>
      </c>
      <c r="H122" s="82" t="n">
        <f aca="false">DATE(YEAR(A122),MONTH(A122),1)</f>
        <v>43891</v>
      </c>
    </row>
    <row r="123" customFormat="false" ht="15" hidden="false" customHeight="false" outlineLevel="0" collapsed="false">
      <c r="A123" s="81" t="n">
        <v>43915</v>
      </c>
      <c r="B123" s="48" t="n">
        <v>1</v>
      </c>
      <c r="C123" s="48" t="n">
        <v>0</v>
      </c>
      <c r="D123" s="48" t="n">
        <v>0</v>
      </c>
      <c r="E123" s="48" t="s">
        <v>128</v>
      </c>
      <c r="F123" s="48" t="s">
        <v>75</v>
      </c>
      <c r="G123" s="48" t="s">
        <v>660</v>
      </c>
      <c r="H123" s="82" t="n">
        <f aca="false">DATE(YEAR(A123),MONTH(A123),1)</f>
        <v>43891</v>
      </c>
    </row>
    <row r="124" customFormat="false" ht="15" hidden="false" customHeight="false" outlineLevel="0" collapsed="false">
      <c r="A124" s="81" t="n">
        <v>43915</v>
      </c>
      <c r="B124" s="48" t="n">
        <v>5</v>
      </c>
      <c r="C124" s="48" t="n">
        <v>0</v>
      </c>
      <c r="D124" s="48" t="n">
        <v>0</v>
      </c>
      <c r="E124" s="48" t="s">
        <v>122</v>
      </c>
      <c r="F124" s="48" t="s">
        <v>74</v>
      </c>
      <c r="G124" s="48" t="s">
        <v>95</v>
      </c>
      <c r="H124" s="82" t="n">
        <f aca="false">DATE(YEAR(A124),MONTH(A124),1)</f>
        <v>43891</v>
      </c>
    </row>
    <row r="125" customFormat="false" ht="15" hidden="false" customHeight="false" outlineLevel="0" collapsed="false">
      <c r="A125" s="81" t="n">
        <v>43915</v>
      </c>
      <c r="B125" s="48" t="n">
        <v>39</v>
      </c>
      <c r="C125" s="48" t="n">
        <v>0</v>
      </c>
      <c r="D125" s="48" t="n">
        <v>2</v>
      </c>
      <c r="E125" s="48" t="s">
        <v>114</v>
      </c>
      <c r="F125" s="48" t="s">
        <v>72</v>
      </c>
      <c r="G125" s="48" t="s">
        <v>102</v>
      </c>
      <c r="H125" s="82" t="n">
        <f aca="false">DATE(YEAR(A125),MONTH(A125),1)</f>
        <v>43891</v>
      </c>
    </row>
    <row r="126" customFormat="false" ht="15" hidden="false" customHeight="false" outlineLevel="0" collapsed="false">
      <c r="A126" s="81" t="n">
        <v>43915</v>
      </c>
      <c r="B126" s="48" t="n">
        <v>1</v>
      </c>
      <c r="C126" s="48" t="n">
        <v>0</v>
      </c>
      <c r="D126" s="48" t="n">
        <v>0</v>
      </c>
      <c r="E126" s="48" t="s">
        <v>118</v>
      </c>
      <c r="F126" s="48" t="s">
        <v>72</v>
      </c>
      <c r="G126" s="48" t="s">
        <v>607</v>
      </c>
      <c r="H126" s="82" t="n">
        <f aca="false">DATE(YEAR(A126),MONTH(A126),1)</f>
        <v>43891</v>
      </c>
    </row>
    <row r="127" customFormat="false" ht="15" hidden="false" customHeight="false" outlineLevel="0" collapsed="false">
      <c r="A127" s="81" t="n">
        <v>43915</v>
      </c>
      <c r="B127" s="48" t="n">
        <v>1</v>
      </c>
      <c r="C127" s="48" t="n">
        <v>0</v>
      </c>
      <c r="D127" s="48" t="n">
        <v>0</v>
      </c>
      <c r="E127" s="48" t="s">
        <v>114</v>
      </c>
      <c r="F127" s="48" t="s">
        <v>72</v>
      </c>
      <c r="G127" s="48" t="s">
        <v>611</v>
      </c>
      <c r="H127" s="82" t="n">
        <f aca="false">DATE(YEAR(A127),MONTH(A127),1)</f>
        <v>43891</v>
      </c>
    </row>
    <row r="128" customFormat="false" ht="15" hidden="false" customHeight="false" outlineLevel="0" collapsed="false">
      <c r="A128" s="81" t="n">
        <v>43915</v>
      </c>
      <c r="B128" s="48" t="n">
        <v>9</v>
      </c>
      <c r="C128" s="48" t="n">
        <v>0</v>
      </c>
      <c r="D128" s="48" t="n">
        <v>0</v>
      </c>
      <c r="E128" s="48" t="s">
        <v>112</v>
      </c>
      <c r="F128" s="48" t="s">
        <v>71</v>
      </c>
      <c r="G128" s="48" t="s">
        <v>606</v>
      </c>
      <c r="H128" s="82" t="n">
        <f aca="false">DATE(YEAR(A128),MONTH(A128),1)</f>
        <v>43891</v>
      </c>
    </row>
    <row r="129" customFormat="false" ht="15" hidden="false" customHeight="false" outlineLevel="0" collapsed="false">
      <c r="A129" s="81" t="n">
        <v>43915</v>
      </c>
      <c r="B129" s="48" t="n">
        <v>1</v>
      </c>
      <c r="C129" s="48" t="n">
        <v>0</v>
      </c>
      <c r="D129" s="48" t="n">
        <v>0</v>
      </c>
      <c r="E129" s="48" t="s">
        <v>112</v>
      </c>
      <c r="F129" s="48" t="s">
        <v>71</v>
      </c>
      <c r="G129" s="48" t="s">
        <v>620</v>
      </c>
      <c r="H129" s="82" t="n">
        <f aca="false">DATE(YEAR(A129),MONTH(A129),1)</f>
        <v>43891</v>
      </c>
    </row>
    <row r="130" customFormat="false" ht="15" hidden="false" customHeight="false" outlineLevel="0" collapsed="false">
      <c r="A130" s="81" t="n">
        <v>43915</v>
      </c>
      <c r="B130" s="48" t="n">
        <v>2</v>
      </c>
      <c r="C130" s="48" t="n">
        <v>1</v>
      </c>
      <c r="D130" s="48" t="n">
        <v>0</v>
      </c>
      <c r="E130" s="48" t="s">
        <v>118</v>
      </c>
      <c r="F130" s="48" t="s">
        <v>71</v>
      </c>
      <c r="G130" s="48" t="s">
        <v>596</v>
      </c>
      <c r="H130" s="82" t="n">
        <f aca="false">DATE(YEAR(A130),MONTH(A130),1)</f>
        <v>43891</v>
      </c>
    </row>
    <row r="131" customFormat="false" ht="15" hidden="false" customHeight="false" outlineLevel="0" collapsed="false">
      <c r="A131" s="81" t="n">
        <v>43915</v>
      </c>
      <c r="B131" s="48" t="n">
        <v>18</v>
      </c>
      <c r="C131" s="48" t="n">
        <v>0</v>
      </c>
      <c r="D131" s="48" t="n">
        <v>1</v>
      </c>
      <c r="E131" s="48" t="s">
        <v>114</v>
      </c>
      <c r="F131" s="48" t="s">
        <v>71</v>
      </c>
      <c r="G131" s="48" t="s">
        <v>92</v>
      </c>
      <c r="H131" s="82" t="n">
        <f aca="false">DATE(YEAR(A131),MONTH(A131),1)</f>
        <v>43891</v>
      </c>
    </row>
    <row r="132" customFormat="false" ht="15" hidden="false" customHeight="false" outlineLevel="0" collapsed="false">
      <c r="A132" s="81" t="n">
        <v>43915</v>
      </c>
      <c r="B132" s="48" t="n">
        <v>1</v>
      </c>
      <c r="C132" s="48" t="n">
        <v>0</v>
      </c>
      <c r="D132" s="48" t="n">
        <v>0</v>
      </c>
      <c r="E132" s="48" t="s">
        <v>112</v>
      </c>
      <c r="F132" s="48" t="s">
        <v>71</v>
      </c>
      <c r="G132" s="48" t="s">
        <v>97</v>
      </c>
      <c r="H132" s="82" t="n">
        <f aca="false">DATE(YEAR(A132),MONTH(A132),1)</f>
        <v>43891</v>
      </c>
    </row>
    <row r="133" customFormat="false" ht="15" hidden="false" customHeight="false" outlineLevel="0" collapsed="false">
      <c r="A133" s="81" t="n">
        <v>43915</v>
      </c>
      <c r="B133" s="48" t="n">
        <v>3</v>
      </c>
      <c r="C133" s="48" t="n">
        <v>0</v>
      </c>
      <c r="D133" s="48" t="n">
        <v>0</v>
      </c>
      <c r="E133" s="48" t="s">
        <v>112</v>
      </c>
      <c r="F133" s="48" t="s">
        <v>70</v>
      </c>
      <c r="G133" s="48" t="s">
        <v>91</v>
      </c>
      <c r="H133" s="82" t="n">
        <f aca="false">DATE(YEAR(A133),MONTH(A133),1)</f>
        <v>43891</v>
      </c>
    </row>
    <row r="134" customFormat="false" ht="15" hidden="false" customHeight="false" outlineLevel="0" collapsed="false">
      <c r="A134" s="81" t="n">
        <v>43915</v>
      </c>
      <c r="B134" s="48" t="n">
        <v>0</v>
      </c>
      <c r="C134" s="48" t="n">
        <v>0</v>
      </c>
      <c r="D134" s="48" t="n">
        <v>1</v>
      </c>
      <c r="E134" s="48" t="s">
        <v>112</v>
      </c>
      <c r="F134" s="48" t="s">
        <v>70</v>
      </c>
      <c r="G134" s="48" t="s">
        <v>99</v>
      </c>
      <c r="H134" s="82" t="n">
        <f aca="false">DATE(YEAR(A134),MONTH(A134),1)</f>
        <v>43891</v>
      </c>
    </row>
    <row r="135" customFormat="false" ht="15" hidden="false" customHeight="false" outlineLevel="0" collapsed="false">
      <c r="A135" s="81" t="n">
        <v>43916</v>
      </c>
      <c r="B135" s="48" t="n">
        <v>1</v>
      </c>
      <c r="C135" s="48" t="n">
        <v>0</v>
      </c>
      <c r="D135" s="48" t="n">
        <v>0</v>
      </c>
      <c r="E135" s="48" t="s">
        <v>114</v>
      </c>
      <c r="F135" s="48" t="s">
        <v>76</v>
      </c>
      <c r="G135" s="48" t="s">
        <v>672</v>
      </c>
      <c r="H135" s="82" t="n">
        <f aca="false">DATE(YEAR(A135),MONTH(A135),1)</f>
        <v>43891</v>
      </c>
    </row>
    <row r="136" customFormat="false" ht="15" hidden="false" customHeight="false" outlineLevel="0" collapsed="false">
      <c r="A136" s="81" t="n">
        <v>43916</v>
      </c>
      <c r="B136" s="48" t="n">
        <v>12</v>
      </c>
      <c r="C136" s="48" t="n">
        <v>0</v>
      </c>
      <c r="D136" s="48" t="n">
        <v>0</v>
      </c>
      <c r="E136" s="48" t="s">
        <v>118</v>
      </c>
      <c r="F136" s="48" t="s">
        <v>73</v>
      </c>
      <c r="G136" s="48" t="s">
        <v>93</v>
      </c>
      <c r="H136" s="82" t="n">
        <f aca="false">DATE(YEAR(A136),MONTH(A136),1)</f>
        <v>43891</v>
      </c>
    </row>
    <row r="137" customFormat="false" ht="15" hidden="false" customHeight="false" outlineLevel="0" collapsed="false">
      <c r="A137" s="81" t="n">
        <v>43916</v>
      </c>
      <c r="B137" s="48" t="n">
        <v>7</v>
      </c>
      <c r="C137" s="48" t="n">
        <v>0</v>
      </c>
      <c r="D137" s="48" t="n">
        <v>2</v>
      </c>
      <c r="E137" s="48" t="s">
        <v>114</v>
      </c>
      <c r="F137" s="48" t="s">
        <v>75</v>
      </c>
      <c r="G137" s="48" t="s">
        <v>624</v>
      </c>
      <c r="H137" s="82" t="n">
        <f aca="false">DATE(YEAR(A137),MONTH(A137),1)</f>
        <v>43891</v>
      </c>
    </row>
    <row r="138" customFormat="false" ht="15" hidden="false" customHeight="false" outlineLevel="0" collapsed="false">
      <c r="A138" s="81" t="n">
        <v>43916</v>
      </c>
      <c r="B138" s="48" t="n">
        <v>5</v>
      </c>
      <c r="C138" s="48" t="n">
        <v>0</v>
      </c>
      <c r="D138" s="48" t="n">
        <v>0</v>
      </c>
      <c r="E138" s="48" t="s">
        <v>114</v>
      </c>
      <c r="F138" s="48" t="s">
        <v>74</v>
      </c>
      <c r="G138" s="48" t="s">
        <v>95</v>
      </c>
      <c r="H138" s="82" t="n">
        <f aca="false">DATE(YEAR(A138),MONTH(A138),1)</f>
        <v>43891</v>
      </c>
    </row>
    <row r="139" customFormat="false" ht="15" hidden="false" customHeight="false" outlineLevel="0" collapsed="false">
      <c r="A139" s="81" t="n">
        <v>43916</v>
      </c>
      <c r="B139" s="48" t="n">
        <v>2</v>
      </c>
      <c r="C139" s="48" t="n">
        <v>0</v>
      </c>
      <c r="D139" s="48" t="n">
        <v>0</v>
      </c>
      <c r="E139" s="48" t="s">
        <v>114</v>
      </c>
      <c r="F139" s="48" t="s">
        <v>72</v>
      </c>
      <c r="G139" s="48" t="s">
        <v>598</v>
      </c>
      <c r="H139" s="82" t="n">
        <f aca="false">DATE(YEAR(A139),MONTH(A139),1)</f>
        <v>43891</v>
      </c>
    </row>
    <row r="140" customFormat="false" ht="15" hidden="false" customHeight="false" outlineLevel="0" collapsed="false">
      <c r="A140" s="81" t="n">
        <v>43916</v>
      </c>
      <c r="B140" s="48" t="n">
        <v>1</v>
      </c>
      <c r="C140" s="48" t="n">
        <v>0</v>
      </c>
      <c r="D140" s="48" t="n">
        <v>0</v>
      </c>
      <c r="E140" s="48" t="s">
        <v>114</v>
      </c>
      <c r="F140" s="48" t="s">
        <v>72</v>
      </c>
      <c r="G140" s="48" t="s">
        <v>96</v>
      </c>
      <c r="H140" s="82" t="n">
        <f aca="false">DATE(YEAR(A140),MONTH(A140),1)</f>
        <v>43891</v>
      </c>
    </row>
    <row r="141" customFormat="false" ht="15" hidden="false" customHeight="false" outlineLevel="0" collapsed="false">
      <c r="A141" s="81" t="n">
        <v>43916</v>
      </c>
      <c r="B141" s="48" t="n">
        <v>6</v>
      </c>
      <c r="C141" s="48" t="n">
        <v>0</v>
      </c>
      <c r="D141" s="48" t="n">
        <v>2</v>
      </c>
      <c r="E141" s="48" t="s">
        <v>112</v>
      </c>
      <c r="F141" s="48" t="s">
        <v>72</v>
      </c>
      <c r="G141" s="48" t="s">
        <v>102</v>
      </c>
      <c r="H141" s="82" t="n">
        <f aca="false">DATE(YEAR(A141),MONTH(A141),1)</f>
        <v>43891</v>
      </c>
    </row>
    <row r="142" customFormat="false" ht="15" hidden="false" customHeight="false" outlineLevel="0" collapsed="false">
      <c r="A142" s="81" t="n">
        <v>43916</v>
      </c>
      <c r="B142" s="48" t="n">
        <v>26</v>
      </c>
      <c r="C142" s="48" t="n">
        <v>0</v>
      </c>
      <c r="D142" s="48" t="n">
        <v>1</v>
      </c>
      <c r="E142" s="48" t="s">
        <v>114</v>
      </c>
      <c r="F142" s="48" t="s">
        <v>71</v>
      </c>
      <c r="G142" s="48" t="s">
        <v>92</v>
      </c>
      <c r="H142" s="82" t="n">
        <f aca="false">DATE(YEAR(A142),MONTH(A142),1)</f>
        <v>43891</v>
      </c>
    </row>
    <row r="143" customFormat="false" ht="15" hidden="false" customHeight="false" outlineLevel="0" collapsed="false">
      <c r="A143" s="81" t="n">
        <v>43916</v>
      </c>
      <c r="B143" s="48" t="n">
        <v>16</v>
      </c>
      <c r="C143" s="48" t="n">
        <v>0</v>
      </c>
      <c r="D143" s="48" t="n">
        <v>0</v>
      </c>
      <c r="E143" s="48" t="s">
        <v>118</v>
      </c>
      <c r="F143" s="48" t="s">
        <v>71</v>
      </c>
      <c r="G143" s="48" t="s">
        <v>97</v>
      </c>
      <c r="H143" s="82" t="n">
        <f aca="false">DATE(YEAR(A143),MONTH(A143),1)</f>
        <v>43891</v>
      </c>
    </row>
    <row r="144" customFormat="false" ht="15" hidden="false" customHeight="false" outlineLevel="0" collapsed="false">
      <c r="A144" s="81" t="n">
        <v>43916</v>
      </c>
      <c r="B144" s="48" t="n">
        <v>1</v>
      </c>
      <c r="C144" s="48" t="n">
        <v>0</v>
      </c>
      <c r="D144" s="48" t="n">
        <v>0</v>
      </c>
      <c r="E144" s="48" t="s">
        <v>112</v>
      </c>
      <c r="F144" s="48" t="s">
        <v>71</v>
      </c>
      <c r="G144" s="48" t="s">
        <v>606</v>
      </c>
      <c r="H144" s="82" t="n">
        <f aca="false">DATE(YEAR(A144),MONTH(A144),1)</f>
        <v>43891</v>
      </c>
    </row>
    <row r="145" customFormat="false" ht="15" hidden="false" customHeight="false" outlineLevel="0" collapsed="false">
      <c r="A145" s="81" t="n">
        <v>43916</v>
      </c>
      <c r="B145" s="48" t="n">
        <v>16</v>
      </c>
      <c r="C145" s="48" t="n">
        <v>0</v>
      </c>
      <c r="D145" s="48" t="n">
        <v>0</v>
      </c>
      <c r="E145" s="48" t="s">
        <v>112</v>
      </c>
      <c r="F145" s="48" t="s">
        <v>71</v>
      </c>
      <c r="G145" s="48" t="s">
        <v>627</v>
      </c>
      <c r="H145" s="82" t="n">
        <f aca="false">DATE(YEAR(A145),MONTH(A145),1)</f>
        <v>43891</v>
      </c>
    </row>
    <row r="146" customFormat="false" ht="15" hidden="false" customHeight="false" outlineLevel="0" collapsed="false">
      <c r="A146" s="81" t="n">
        <v>43916</v>
      </c>
      <c r="B146" s="48" t="n">
        <v>12</v>
      </c>
      <c r="C146" s="48" t="n">
        <v>0</v>
      </c>
      <c r="D146" s="48" t="n">
        <v>0</v>
      </c>
      <c r="E146" s="48" t="s">
        <v>112</v>
      </c>
      <c r="F146" s="48" t="s">
        <v>71</v>
      </c>
      <c r="G146" s="48" t="s">
        <v>602</v>
      </c>
      <c r="H146" s="82" t="n">
        <f aca="false">DATE(YEAR(A146),MONTH(A146),1)</f>
        <v>43891</v>
      </c>
    </row>
    <row r="147" customFormat="false" ht="15" hidden="false" customHeight="false" outlineLevel="0" collapsed="false">
      <c r="A147" s="81" t="n">
        <v>43916</v>
      </c>
      <c r="B147" s="48" t="n">
        <v>2</v>
      </c>
      <c r="C147" s="48" t="n">
        <v>0</v>
      </c>
      <c r="D147" s="48" t="n">
        <v>0</v>
      </c>
      <c r="E147" s="48" t="s">
        <v>112</v>
      </c>
      <c r="F147" s="48" t="s">
        <v>71</v>
      </c>
      <c r="G147" s="48" t="s">
        <v>626</v>
      </c>
      <c r="H147" s="82" t="n">
        <f aca="false">DATE(YEAR(A147),MONTH(A147),1)</f>
        <v>43891</v>
      </c>
    </row>
    <row r="148" customFormat="false" ht="15" hidden="false" customHeight="false" outlineLevel="0" collapsed="false">
      <c r="A148" s="81" t="n">
        <v>43916</v>
      </c>
      <c r="B148" s="48" t="n">
        <v>2</v>
      </c>
      <c r="C148" s="48" t="n">
        <v>0</v>
      </c>
      <c r="D148" s="48" t="n">
        <v>0</v>
      </c>
      <c r="E148" s="48" t="s">
        <v>112</v>
      </c>
      <c r="F148" s="48" t="s">
        <v>71</v>
      </c>
      <c r="G148" s="48" t="s">
        <v>648</v>
      </c>
      <c r="H148" s="82" t="n">
        <f aca="false">DATE(YEAR(A148),MONTH(A148),1)</f>
        <v>43891</v>
      </c>
    </row>
    <row r="149" customFormat="false" ht="15" hidden="false" customHeight="false" outlineLevel="0" collapsed="false">
      <c r="A149" s="81" t="n">
        <v>43916</v>
      </c>
      <c r="B149" s="48" t="n">
        <v>2</v>
      </c>
      <c r="C149" s="48" t="n">
        <v>0</v>
      </c>
      <c r="D149" s="48" t="n">
        <v>0</v>
      </c>
      <c r="E149" s="48" t="s">
        <v>112</v>
      </c>
      <c r="F149" s="48" t="s">
        <v>71</v>
      </c>
      <c r="G149" s="48" t="s">
        <v>659</v>
      </c>
      <c r="H149" s="82" t="n">
        <f aca="false">DATE(YEAR(A149),MONTH(A149),1)</f>
        <v>43891</v>
      </c>
    </row>
    <row r="150" customFormat="false" ht="15" hidden="false" customHeight="false" outlineLevel="0" collapsed="false">
      <c r="A150" s="81" t="n">
        <v>43916</v>
      </c>
      <c r="B150" s="48" t="n">
        <v>1</v>
      </c>
      <c r="C150" s="48" t="n">
        <v>0</v>
      </c>
      <c r="D150" s="48" t="n">
        <v>0</v>
      </c>
      <c r="E150" s="48" t="s">
        <v>112</v>
      </c>
      <c r="F150" s="48" t="s">
        <v>71</v>
      </c>
      <c r="G150" s="48" t="s">
        <v>647</v>
      </c>
      <c r="H150" s="82" t="n">
        <f aca="false">DATE(YEAR(A150),MONTH(A150),1)</f>
        <v>43891</v>
      </c>
    </row>
    <row r="151" customFormat="false" ht="15" hidden="false" customHeight="false" outlineLevel="0" collapsed="false">
      <c r="A151" s="81" t="n">
        <v>43916</v>
      </c>
      <c r="B151" s="48" t="n">
        <v>1</v>
      </c>
      <c r="C151" s="48" t="n">
        <v>0</v>
      </c>
      <c r="D151" s="48" t="n">
        <v>0</v>
      </c>
      <c r="E151" s="48" t="s">
        <v>112</v>
      </c>
      <c r="F151" s="48" t="s">
        <v>71</v>
      </c>
      <c r="G151" s="48" t="s">
        <v>651</v>
      </c>
      <c r="H151" s="82" t="n">
        <f aca="false">DATE(YEAR(A151),MONTH(A151),1)</f>
        <v>43891</v>
      </c>
    </row>
    <row r="152" customFormat="false" ht="15" hidden="false" customHeight="false" outlineLevel="0" collapsed="false">
      <c r="A152" s="81" t="n">
        <v>43916</v>
      </c>
      <c r="B152" s="48" t="n">
        <v>1</v>
      </c>
      <c r="C152" s="48" t="n">
        <v>0</v>
      </c>
      <c r="D152" s="48" t="n">
        <v>0</v>
      </c>
      <c r="E152" s="48" t="s">
        <v>112</v>
      </c>
      <c r="F152" s="48" t="s">
        <v>71</v>
      </c>
      <c r="G152" s="48" t="s">
        <v>661</v>
      </c>
      <c r="H152" s="82" t="n">
        <f aca="false">DATE(YEAR(A152),MONTH(A152),1)</f>
        <v>43891</v>
      </c>
    </row>
    <row r="153" customFormat="false" ht="15" hidden="false" customHeight="false" outlineLevel="0" collapsed="false">
      <c r="A153" s="81" t="n">
        <v>43916</v>
      </c>
      <c r="B153" s="48" t="n">
        <v>1</v>
      </c>
      <c r="C153" s="48" t="n">
        <v>0</v>
      </c>
      <c r="D153" s="48" t="n">
        <v>0</v>
      </c>
      <c r="E153" s="48" t="s">
        <v>112</v>
      </c>
      <c r="F153" s="48" t="s">
        <v>71</v>
      </c>
      <c r="G153" s="48" t="s">
        <v>657</v>
      </c>
      <c r="H153" s="82" t="n">
        <f aca="false">DATE(YEAR(A153),MONTH(A153),1)</f>
        <v>43891</v>
      </c>
    </row>
    <row r="154" customFormat="false" ht="15" hidden="false" customHeight="false" outlineLevel="0" collapsed="false">
      <c r="A154" s="81" t="n">
        <v>43916</v>
      </c>
      <c r="B154" s="48" t="n">
        <v>7</v>
      </c>
      <c r="C154" s="48" t="n">
        <v>1</v>
      </c>
      <c r="D154" s="48" t="n">
        <v>0</v>
      </c>
      <c r="E154" s="48" t="s">
        <v>118</v>
      </c>
      <c r="F154" s="48" t="s">
        <v>71</v>
      </c>
      <c r="G154" s="48" t="s">
        <v>596</v>
      </c>
      <c r="H154" s="82" t="n">
        <f aca="false">DATE(YEAR(A154),MONTH(A154),1)</f>
        <v>43891</v>
      </c>
    </row>
    <row r="155" customFormat="false" ht="15" hidden="false" customHeight="false" outlineLevel="0" collapsed="false">
      <c r="A155" s="81" t="n">
        <v>43916</v>
      </c>
      <c r="B155" s="48" t="n">
        <v>9</v>
      </c>
      <c r="C155" s="48" t="n">
        <v>0</v>
      </c>
      <c r="D155" s="48" t="n">
        <v>0</v>
      </c>
      <c r="E155" s="48" t="s">
        <v>112</v>
      </c>
      <c r="F155" s="48" t="s">
        <v>70</v>
      </c>
      <c r="G155" s="48" t="s">
        <v>91</v>
      </c>
      <c r="H155" s="82" t="n">
        <f aca="false">DATE(YEAR(A155),MONTH(A155),1)</f>
        <v>43891</v>
      </c>
    </row>
    <row r="156" customFormat="false" ht="15" hidden="false" customHeight="false" outlineLevel="0" collapsed="false">
      <c r="A156" s="81" t="n">
        <v>43917</v>
      </c>
      <c r="B156" s="48" t="n">
        <v>0</v>
      </c>
      <c r="C156" s="48" t="n">
        <v>0</v>
      </c>
      <c r="D156" s="48" t="n">
        <v>2</v>
      </c>
      <c r="E156" s="48" t="s">
        <v>114</v>
      </c>
      <c r="F156" s="48" t="s">
        <v>73</v>
      </c>
      <c r="G156" s="48" t="s">
        <v>93</v>
      </c>
      <c r="H156" s="82" t="n">
        <f aca="false">DATE(YEAR(A156),MONTH(A156),1)</f>
        <v>43891</v>
      </c>
    </row>
    <row r="157" customFormat="false" ht="15" hidden="false" customHeight="false" outlineLevel="0" collapsed="false">
      <c r="A157" s="81" t="n">
        <v>43917</v>
      </c>
      <c r="B157" s="48" t="n">
        <v>11</v>
      </c>
      <c r="C157" s="48" t="n">
        <v>0</v>
      </c>
      <c r="D157" s="48" t="n">
        <v>1</v>
      </c>
      <c r="E157" s="48" t="s">
        <v>114</v>
      </c>
      <c r="F157" s="48" t="s">
        <v>75</v>
      </c>
      <c r="G157" s="48" t="s">
        <v>646</v>
      </c>
      <c r="H157" s="82" t="n">
        <f aca="false">DATE(YEAR(A157),MONTH(A157),1)</f>
        <v>43891</v>
      </c>
    </row>
    <row r="158" customFormat="false" ht="15" hidden="false" customHeight="false" outlineLevel="0" collapsed="false">
      <c r="A158" s="81" t="n">
        <v>43917</v>
      </c>
      <c r="B158" s="48" t="n">
        <v>5</v>
      </c>
      <c r="C158" s="48" t="n">
        <v>0</v>
      </c>
      <c r="D158" s="48" t="n">
        <v>0</v>
      </c>
      <c r="E158" s="48" t="s">
        <v>114</v>
      </c>
      <c r="F158" s="48" t="s">
        <v>75</v>
      </c>
      <c r="G158" s="48" t="s">
        <v>103</v>
      </c>
      <c r="H158" s="82" t="n">
        <f aca="false">DATE(YEAR(A158),MONTH(A158),1)</f>
        <v>43891</v>
      </c>
    </row>
    <row r="159" customFormat="false" ht="15" hidden="false" customHeight="false" outlineLevel="0" collapsed="false">
      <c r="A159" s="81" t="n">
        <v>43917</v>
      </c>
      <c r="B159" s="48" t="n">
        <v>2</v>
      </c>
      <c r="C159" s="48" t="n">
        <v>0</v>
      </c>
      <c r="D159" s="48" t="n">
        <v>0</v>
      </c>
      <c r="E159" s="48" t="s">
        <v>112</v>
      </c>
      <c r="F159" s="48" t="s">
        <v>74</v>
      </c>
      <c r="G159" s="48" t="s">
        <v>95</v>
      </c>
      <c r="H159" s="82" t="n">
        <f aca="false">DATE(YEAR(A159),MONTH(A159),1)</f>
        <v>43891</v>
      </c>
    </row>
    <row r="160" customFormat="false" ht="15" hidden="false" customHeight="false" outlineLevel="0" collapsed="false">
      <c r="A160" s="81" t="n">
        <v>43917</v>
      </c>
      <c r="B160" s="48" t="n">
        <v>7</v>
      </c>
      <c r="C160" s="48" t="n">
        <v>0</v>
      </c>
      <c r="D160" s="48" t="n">
        <v>0</v>
      </c>
      <c r="E160" s="48" t="s">
        <v>114</v>
      </c>
      <c r="F160" s="48" t="s">
        <v>72</v>
      </c>
      <c r="G160" s="48" t="s">
        <v>94</v>
      </c>
      <c r="H160" s="82" t="n">
        <f aca="false">DATE(YEAR(A160),MONTH(A160),1)</f>
        <v>43891</v>
      </c>
    </row>
    <row r="161" customFormat="false" ht="15" hidden="false" customHeight="false" outlineLevel="0" collapsed="false">
      <c r="A161" s="81" t="n">
        <v>43917</v>
      </c>
      <c r="B161" s="48" t="n">
        <v>2</v>
      </c>
      <c r="C161" s="48" t="n">
        <v>0</v>
      </c>
      <c r="D161" s="48" t="n">
        <v>0</v>
      </c>
      <c r="E161" s="48" t="s">
        <v>114</v>
      </c>
      <c r="F161" s="48" t="s">
        <v>72</v>
      </c>
      <c r="G161" s="48" t="s">
        <v>96</v>
      </c>
      <c r="H161" s="82" t="n">
        <f aca="false">DATE(YEAR(A161),MONTH(A161),1)</f>
        <v>43891</v>
      </c>
    </row>
    <row r="162" customFormat="false" ht="15" hidden="false" customHeight="false" outlineLevel="0" collapsed="false">
      <c r="A162" s="81" t="n">
        <v>43917</v>
      </c>
      <c r="B162" s="48" t="n">
        <v>3</v>
      </c>
      <c r="C162" s="48" t="n">
        <v>0</v>
      </c>
      <c r="D162" s="48" t="n">
        <v>0</v>
      </c>
      <c r="E162" s="48" t="s">
        <v>114</v>
      </c>
      <c r="F162" s="48" t="s">
        <v>72</v>
      </c>
      <c r="G162" s="48" t="s">
        <v>611</v>
      </c>
      <c r="H162" s="82" t="n">
        <f aca="false">DATE(YEAR(A162),MONTH(A162),1)</f>
        <v>43891</v>
      </c>
    </row>
    <row r="163" customFormat="false" ht="15" hidden="false" customHeight="false" outlineLevel="0" collapsed="false">
      <c r="A163" s="81" t="n">
        <v>43917</v>
      </c>
      <c r="B163" s="48" t="n">
        <v>1</v>
      </c>
      <c r="C163" s="48" t="n">
        <v>0</v>
      </c>
      <c r="D163" s="48" t="n">
        <v>0</v>
      </c>
      <c r="E163" s="48" t="s">
        <v>114</v>
      </c>
      <c r="F163" s="48" t="s">
        <v>72</v>
      </c>
      <c r="G163" s="48" t="s">
        <v>609</v>
      </c>
      <c r="H163" s="82" t="n">
        <f aca="false">DATE(YEAR(A163),MONTH(A163),1)</f>
        <v>43891</v>
      </c>
    </row>
    <row r="164" customFormat="false" ht="15" hidden="false" customHeight="false" outlineLevel="0" collapsed="false">
      <c r="A164" s="81" t="n">
        <v>43917</v>
      </c>
      <c r="B164" s="48" t="n">
        <v>3</v>
      </c>
      <c r="C164" s="48" t="n">
        <v>0</v>
      </c>
      <c r="D164" s="48" t="n">
        <v>0</v>
      </c>
      <c r="E164" s="48" t="s">
        <v>114</v>
      </c>
      <c r="F164" s="48" t="s">
        <v>72</v>
      </c>
      <c r="G164" s="48" t="s">
        <v>594</v>
      </c>
      <c r="H164" s="82" t="n">
        <f aca="false">DATE(YEAR(A164),MONTH(A164),1)</f>
        <v>43891</v>
      </c>
    </row>
    <row r="165" customFormat="false" ht="15" hidden="false" customHeight="false" outlineLevel="0" collapsed="false">
      <c r="A165" s="81" t="n">
        <v>43917</v>
      </c>
      <c r="B165" s="48" t="n">
        <v>1</v>
      </c>
      <c r="C165" s="48" t="n">
        <v>0</v>
      </c>
      <c r="D165" s="48" t="n">
        <v>0</v>
      </c>
      <c r="E165" s="48" t="s">
        <v>118</v>
      </c>
      <c r="F165" s="48" t="s">
        <v>72</v>
      </c>
      <c r="G165" s="48" t="s">
        <v>666</v>
      </c>
      <c r="H165" s="82" t="n">
        <f aca="false">DATE(YEAR(A165),MONTH(A165),1)</f>
        <v>43891</v>
      </c>
    </row>
    <row r="166" customFormat="false" ht="15" hidden="false" customHeight="false" outlineLevel="0" collapsed="false">
      <c r="A166" s="81" t="n">
        <v>43917</v>
      </c>
      <c r="B166" s="48" t="n">
        <v>34</v>
      </c>
      <c r="C166" s="48" t="n">
        <v>0</v>
      </c>
      <c r="D166" s="48" t="n">
        <v>0</v>
      </c>
      <c r="E166" s="48" t="s">
        <v>114</v>
      </c>
      <c r="F166" s="48" t="s">
        <v>72</v>
      </c>
      <c r="G166" s="48" t="s">
        <v>102</v>
      </c>
      <c r="H166" s="82" t="n">
        <f aca="false">DATE(YEAR(A166),MONTH(A166),1)</f>
        <v>43891</v>
      </c>
    </row>
    <row r="167" customFormat="false" ht="15" hidden="false" customHeight="false" outlineLevel="0" collapsed="false">
      <c r="A167" s="81" t="n">
        <v>43917</v>
      </c>
      <c r="B167" s="48" t="n">
        <v>3</v>
      </c>
      <c r="C167" s="48" t="n">
        <v>0</v>
      </c>
      <c r="D167" s="48" t="n">
        <v>0</v>
      </c>
      <c r="E167" s="48" t="s">
        <v>114</v>
      </c>
      <c r="F167" s="48" t="s">
        <v>72</v>
      </c>
      <c r="G167" s="48" t="s">
        <v>101</v>
      </c>
      <c r="H167" s="82" t="n">
        <f aca="false">DATE(YEAR(A167),MONTH(A167),1)</f>
        <v>43891</v>
      </c>
    </row>
    <row r="168" customFormat="false" ht="15" hidden="false" customHeight="false" outlineLevel="0" collapsed="false">
      <c r="A168" s="81" t="n">
        <v>43917</v>
      </c>
      <c r="B168" s="48" t="n">
        <v>2</v>
      </c>
      <c r="C168" s="48" t="n">
        <v>0</v>
      </c>
      <c r="D168" s="48" t="n">
        <v>0</v>
      </c>
      <c r="E168" s="48" t="s">
        <v>114</v>
      </c>
      <c r="F168" s="48" t="s">
        <v>72</v>
      </c>
      <c r="G168" s="48" t="s">
        <v>610</v>
      </c>
      <c r="H168" s="82" t="n">
        <f aca="false">DATE(YEAR(A168),MONTH(A168),1)</f>
        <v>43891</v>
      </c>
    </row>
    <row r="169" customFormat="false" ht="15" hidden="false" customHeight="false" outlineLevel="0" collapsed="false">
      <c r="A169" s="81" t="n">
        <v>43917</v>
      </c>
      <c r="B169" s="48" t="n">
        <v>3</v>
      </c>
      <c r="C169" s="48" t="n">
        <v>0</v>
      </c>
      <c r="D169" s="48" t="n">
        <v>0</v>
      </c>
      <c r="E169" s="48" t="s">
        <v>114</v>
      </c>
      <c r="F169" s="48" t="s">
        <v>72</v>
      </c>
      <c r="G169" s="48" t="s">
        <v>614</v>
      </c>
      <c r="H169" s="82" t="n">
        <f aca="false">DATE(YEAR(A169),MONTH(A169),1)</f>
        <v>43891</v>
      </c>
    </row>
    <row r="170" customFormat="false" ht="15" hidden="false" customHeight="false" outlineLevel="0" collapsed="false">
      <c r="A170" s="81" t="n">
        <v>43917</v>
      </c>
      <c r="B170" s="48" t="n">
        <v>2</v>
      </c>
      <c r="C170" s="48" t="n">
        <v>0</v>
      </c>
      <c r="D170" s="48" t="n">
        <v>0</v>
      </c>
      <c r="E170" s="48" t="s">
        <v>112</v>
      </c>
      <c r="F170" s="48" t="s">
        <v>71</v>
      </c>
      <c r="G170" s="48" t="s">
        <v>92</v>
      </c>
      <c r="H170" s="82" t="n">
        <f aca="false">DATE(YEAR(A170),MONTH(A170),1)</f>
        <v>43891</v>
      </c>
    </row>
    <row r="171" customFormat="false" ht="15" hidden="false" customHeight="false" outlineLevel="0" collapsed="false">
      <c r="A171" s="81" t="n">
        <v>43917</v>
      </c>
      <c r="B171" s="48" t="n">
        <v>2</v>
      </c>
      <c r="C171" s="48" t="n">
        <v>0</v>
      </c>
      <c r="D171" s="48" t="n">
        <v>0</v>
      </c>
      <c r="E171" s="48" t="s">
        <v>112</v>
      </c>
      <c r="F171" s="48" t="s">
        <v>71</v>
      </c>
      <c r="G171" s="48" t="s">
        <v>626</v>
      </c>
      <c r="H171" s="82" t="n">
        <f aca="false">DATE(YEAR(A171),MONTH(A171),1)</f>
        <v>43891</v>
      </c>
    </row>
    <row r="172" customFormat="false" ht="15" hidden="false" customHeight="false" outlineLevel="0" collapsed="false">
      <c r="A172" s="81" t="n">
        <v>43917</v>
      </c>
      <c r="B172" s="48" t="n">
        <v>30</v>
      </c>
      <c r="C172" s="48" t="n">
        <v>2</v>
      </c>
      <c r="D172" s="48" t="n">
        <v>1</v>
      </c>
      <c r="E172" s="48" t="s">
        <v>118</v>
      </c>
      <c r="F172" s="48" t="s">
        <v>71</v>
      </c>
      <c r="G172" s="48" t="s">
        <v>97</v>
      </c>
      <c r="H172" s="82" t="n">
        <f aca="false">DATE(YEAR(A172),MONTH(A172),1)</f>
        <v>43891</v>
      </c>
    </row>
    <row r="173" customFormat="false" ht="15" hidden="false" customHeight="false" outlineLevel="0" collapsed="false">
      <c r="A173" s="81" t="n">
        <v>43917</v>
      </c>
      <c r="B173" s="48" t="n">
        <v>7</v>
      </c>
      <c r="C173" s="48" t="n">
        <v>0</v>
      </c>
      <c r="D173" s="48" t="n">
        <v>0</v>
      </c>
      <c r="E173" s="48" t="s">
        <v>118</v>
      </c>
      <c r="F173" s="48" t="s">
        <v>70</v>
      </c>
      <c r="G173" s="48" t="s">
        <v>104</v>
      </c>
      <c r="H173" s="82" t="n">
        <f aca="false">DATE(YEAR(A173),MONTH(A173),1)</f>
        <v>43891</v>
      </c>
    </row>
    <row r="174" customFormat="false" ht="15" hidden="false" customHeight="false" outlineLevel="0" collapsed="false">
      <c r="A174" s="81" t="n">
        <v>43917</v>
      </c>
      <c r="B174" s="48" t="n">
        <v>4</v>
      </c>
      <c r="C174" s="48" t="n">
        <v>0</v>
      </c>
      <c r="D174" s="48" t="n">
        <v>1</v>
      </c>
      <c r="E174" s="48" t="s">
        <v>112</v>
      </c>
      <c r="F174" s="48" t="s">
        <v>70</v>
      </c>
      <c r="G174" s="48" t="s">
        <v>91</v>
      </c>
      <c r="H174" s="82" t="n">
        <f aca="false">DATE(YEAR(A174),MONTH(A174),1)</f>
        <v>43891</v>
      </c>
    </row>
    <row r="175" customFormat="false" ht="15" hidden="false" customHeight="false" outlineLevel="0" collapsed="false">
      <c r="A175" s="81" t="n">
        <v>43918</v>
      </c>
      <c r="B175" s="48" t="n">
        <v>5</v>
      </c>
      <c r="C175" s="48" t="n">
        <v>0</v>
      </c>
      <c r="D175" s="48" t="n">
        <v>0</v>
      </c>
      <c r="E175" s="48" t="s">
        <v>112</v>
      </c>
      <c r="F175" s="48" t="s">
        <v>73</v>
      </c>
      <c r="G175" s="48" t="s">
        <v>93</v>
      </c>
      <c r="H175" s="82" t="n">
        <f aca="false">DATE(YEAR(A175),MONTH(A175),1)</f>
        <v>43891</v>
      </c>
    </row>
    <row r="176" customFormat="false" ht="15" hidden="false" customHeight="false" outlineLevel="0" collapsed="false">
      <c r="A176" s="81" t="n">
        <v>43918</v>
      </c>
      <c r="B176" s="48" t="n">
        <v>8</v>
      </c>
      <c r="C176" s="48" t="n">
        <v>0</v>
      </c>
      <c r="D176" s="48" t="n">
        <v>1</v>
      </c>
      <c r="E176" s="48" t="s">
        <v>112</v>
      </c>
      <c r="F176" s="48" t="s">
        <v>75</v>
      </c>
      <c r="G176" s="48" t="s">
        <v>617</v>
      </c>
      <c r="H176" s="82" t="n">
        <f aca="false">DATE(YEAR(A176),MONTH(A176),1)</f>
        <v>43891</v>
      </c>
    </row>
    <row r="177" customFormat="false" ht="15" hidden="false" customHeight="false" outlineLevel="0" collapsed="false">
      <c r="A177" s="81" t="n">
        <v>43918</v>
      </c>
      <c r="B177" s="48" t="n">
        <v>12</v>
      </c>
      <c r="C177" s="48" t="n">
        <v>0</v>
      </c>
      <c r="D177" s="48" t="n">
        <v>0</v>
      </c>
      <c r="E177" s="48" t="s">
        <v>122</v>
      </c>
      <c r="F177" s="48" t="s">
        <v>74</v>
      </c>
      <c r="G177" s="48" t="s">
        <v>95</v>
      </c>
      <c r="H177" s="82" t="n">
        <f aca="false">DATE(YEAR(A177),MONTH(A177),1)</f>
        <v>43891</v>
      </c>
    </row>
    <row r="178" customFormat="false" ht="15" hidden="false" customHeight="false" outlineLevel="0" collapsed="false">
      <c r="A178" s="81" t="n">
        <v>43918</v>
      </c>
      <c r="B178" s="48" t="n">
        <v>1</v>
      </c>
      <c r="C178" s="48" t="n">
        <v>1</v>
      </c>
      <c r="D178" s="48" t="n">
        <v>0</v>
      </c>
      <c r="E178" s="48" t="s">
        <v>114</v>
      </c>
      <c r="F178" s="48" t="s">
        <v>72</v>
      </c>
      <c r="G178" s="48" t="s">
        <v>607</v>
      </c>
      <c r="H178" s="82" t="n">
        <f aca="false">DATE(YEAR(A178),MONTH(A178),1)</f>
        <v>43891</v>
      </c>
    </row>
    <row r="179" customFormat="false" ht="15" hidden="false" customHeight="false" outlineLevel="0" collapsed="false">
      <c r="A179" s="81" t="n">
        <v>43918</v>
      </c>
      <c r="B179" s="48" t="n">
        <v>1</v>
      </c>
      <c r="C179" s="48" t="n">
        <v>0</v>
      </c>
      <c r="D179" s="48" t="n">
        <v>0</v>
      </c>
      <c r="E179" s="48" t="s">
        <v>114</v>
      </c>
      <c r="F179" s="48" t="s">
        <v>72</v>
      </c>
      <c r="G179" s="48" t="s">
        <v>597</v>
      </c>
      <c r="H179" s="82" t="n">
        <f aca="false">DATE(YEAR(A179),MONTH(A179),1)</f>
        <v>43891</v>
      </c>
    </row>
    <row r="180" customFormat="false" ht="15" hidden="false" customHeight="false" outlineLevel="0" collapsed="false">
      <c r="A180" s="81" t="n">
        <v>43918</v>
      </c>
      <c r="B180" s="48" t="n">
        <v>4</v>
      </c>
      <c r="C180" s="48" t="n">
        <v>0</v>
      </c>
      <c r="D180" s="48" t="n">
        <v>0</v>
      </c>
      <c r="E180" s="48" t="s">
        <v>114</v>
      </c>
      <c r="F180" s="48" t="s">
        <v>72</v>
      </c>
      <c r="G180" s="48" t="s">
        <v>603</v>
      </c>
      <c r="H180" s="82" t="n">
        <f aca="false">DATE(YEAR(A180),MONTH(A180),1)</f>
        <v>43891</v>
      </c>
    </row>
    <row r="181" customFormat="false" ht="15" hidden="false" customHeight="false" outlineLevel="0" collapsed="false">
      <c r="A181" s="81" t="n">
        <v>43918</v>
      </c>
      <c r="B181" s="48" t="n">
        <v>1</v>
      </c>
      <c r="C181" s="48" t="n">
        <v>0</v>
      </c>
      <c r="D181" s="48" t="n">
        <v>0</v>
      </c>
      <c r="E181" s="48" t="s">
        <v>114</v>
      </c>
      <c r="F181" s="48" t="s">
        <v>72</v>
      </c>
      <c r="G181" s="48" t="s">
        <v>591</v>
      </c>
      <c r="H181" s="82" t="n">
        <f aca="false">DATE(YEAR(A181),MONTH(A181),1)</f>
        <v>43891</v>
      </c>
    </row>
    <row r="182" customFormat="false" ht="15" hidden="false" customHeight="false" outlineLevel="0" collapsed="false">
      <c r="A182" s="81" t="n">
        <v>43918</v>
      </c>
      <c r="B182" s="48" t="n">
        <v>1</v>
      </c>
      <c r="C182" s="48" t="n">
        <v>0</v>
      </c>
      <c r="D182" s="48" t="n">
        <v>0</v>
      </c>
      <c r="E182" s="48" t="s">
        <v>114</v>
      </c>
      <c r="F182" s="48" t="s">
        <v>72</v>
      </c>
      <c r="G182" s="48" t="s">
        <v>593</v>
      </c>
      <c r="H182" s="82" t="n">
        <f aca="false">DATE(YEAR(A182),MONTH(A182),1)</f>
        <v>43891</v>
      </c>
    </row>
    <row r="183" customFormat="false" ht="15" hidden="false" customHeight="false" outlineLevel="0" collapsed="false">
      <c r="A183" s="81" t="n">
        <v>43918</v>
      </c>
      <c r="B183" s="48" t="n">
        <v>1</v>
      </c>
      <c r="C183" s="48" t="n">
        <v>0</v>
      </c>
      <c r="D183" s="48" t="n">
        <v>0</v>
      </c>
      <c r="E183" s="48" t="s">
        <v>112</v>
      </c>
      <c r="F183" s="48" t="s">
        <v>71</v>
      </c>
      <c r="G183" s="48" t="s">
        <v>652</v>
      </c>
      <c r="H183" s="82" t="n">
        <f aca="false">DATE(YEAR(A183),MONTH(A183),1)</f>
        <v>43891</v>
      </c>
    </row>
    <row r="184" customFormat="false" ht="15" hidden="false" customHeight="false" outlineLevel="0" collapsed="false">
      <c r="A184" s="81" t="n">
        <v>43918</v>
      </c>
      <c r="B184" s="48" t="n">
        <v>1</v>
      </c>
      <c r="C184" s="48" t="n">
        <v>0</v>
      </c>
      <c r="D184" s="48" t="n">
        <v>0</v>
      </c>
      <c r="E184" s="48" t="s">
        <v>112</v>
      </c>
      <c r="F184" s="48" t="s">
        <v>71</v>
      </c>
      <c r="G184" s="48" t="s">
        <v>651</v>
      </c>
      <c r="H184" s="82" t="n">
        <f aca="false">DATE(YEAR(A184),MONTH(A184),1)</f>
        <v>43891</v>
      </c>
    </row>
    <row r="185" customFormat="false" ht="15" hidden="false" customHeight="false" outlineLevel="0" collapsed="false">
      <c r="A185" s="81" t="n">
        <v>43918</v>
      </c>
      <c r="B185" s="48" t="n">
        <v>1</v>
      </c>
      <c r="C185" s="48" t="n">
        <v>0</v>
      </c>
      <c r="D185" s="48" t="n">
        <v>0</v>
      </c>
      <c r="E185" s="48" t="s">
        <v>112</v>
      </c>
      <c r="F185" s="48" t="s">
        <v>71</v>
      </c>
      <c r="G185" s="48" t="s">
        <v>648</v>
      </c>
      <c r="H185" s="82" t="n">
        <f aca="false">DATE(YEAR(A185),MONTH(A185),1)</f>
        <v>43891</v>
      </c>
    </row>
    <row r="186" customFormat="false" ht="15" hidden="false" customHeight="false" outlineLevel="0" collapsed="false">
      <c r="A186" s="81" t="n">
        <v>43918</v>
      </c>
      <c r="B186" s="48" t="n">
        <v>2</v>
      </c>
      <c r="C186" s="48" t="n">
        <v>0</v>
      </c>
      <c r="D186" s="48" t="n">
        <v>0</v>
      </c>
      <c r="E186" s="48" t="s">
        <v>112</v>
      </c>
      <c r="F186" s="48" t="s">
        <v>71</v>
      </c>
      <c r="G186" s="48" t="s">
        <v>604</v>
      </c>
      <c r="H186" s="82" t="n">
        <f aca="false">DATE(YEAR(A186),MONTH(A186),1)</f>
        <v>43891</v>
      </c>
    </row>
    <row r="187" customFormat="false" ht="15" hidden="false" customHeight="false" outlineLevel="0" collapsed="false">
      <c r="A187" s="81" t="n">
        <v>43918</v>
      </c>
      <c r="B187" s="48" t="n">
        <v>1</v>
      </c>
      <c r="C187" s="48" t="n">
        <v>0</v>
      </c>
      <c r="D187" s="48" t="n">
        <v>0</v>
      </c>
      <c r="E187" s="48" t="s">
        <v>112</v>
      </c>
      <c r="F187" s="48" t="s">
        <v>71</v>
      </c>
      <c r="G187" s="48" t="s">
        <v>628</v>
      </c>
      <c r="H187" s="82" t="n">
        <f aca="false">DATE(YEAR(A187),MONTH(A187),1)</f>
        <v>43891</v>
      </c>
    </row>
    <row r="188" customFormat="false" ht="15" hidden="false" customHeight="false" outlineLevel="0" collapsed="false">
      <c r="A188" s="81" t="n">
        <v>43918</v>
      </c>
      <c r="B188" s="48" t="n">
        <v>26</v>
      </c>
      <c r="C188" s="48" t="n">
        <v>0</v>
      </c>
      <c r="D188" s="48" t="n">
        <v>0</v>
      </c>
      <c r="E188" s="48" t="s">
        <v>118</v>
      </c>
      <c r="F188" s="48" t="s">
        <v>71</v>
      </c>
      <c r="G188" s="48" t="s">
        <v>97</v>
      </c>
      <c r="H188" s="82" t="n">
        <f aca="false">DATE(YEAR(A188),MONTH(A188),1)</f>
        <v>43891</v>
      </c>
    </row>
    <row r="189" customFormat="false" ht="15" hidden="false" customHeight="false" outlineLevel="0" collapsed="false">
      <c r="A189" s="81" t="n">
        <v>43918</v>
      </c>
      <c r="B189" s="48" t="n">
        <v>14</v>
      </c>
      <c r="C189" s="48" t="n">
        <v>0</v>
      </c>
      <c r="D189" s="48" t="n">
        <v>0</v>
      </c>
      <c r="E189" s="48" t="s">
        <v>112</v>
      </c>
      <c r="F189" s="48" t="s">
        <v>71</v>
      </c>
      <c r="G189" s="48" t="s">
        <v>92</v>
      </c>
      <c r="H189" s="82" t="n">
        <f aca="false">DATE(YEAR(A189),MONTH(A189),1)</f>
        <v>43891</v>
      </c>
    </row>
    <row r="190" customFormat="false" ht="15" hidden="false" customHeight="false" outlineLevel="0" collapsed="false">
      <c r="A190" s="81" t="n">
        <v>43918</v>
      </c>
      <c r="B190" s="48" t="n">
        <v>4</v>
      </c>
      <c r="C190" s="48" t="n">
        <v>0</v>
      </c>
      <c r="D190" s="48" t="n">
        <v>0</v>
      </c>
      <c r="E190" s="48" t="s">
        <v>112</v>
      </c>
      <c r="F190" s="48" t="s">
        <v>71</v>
      </c>
      <c r="G190" s="48" t="s">
        <v>626</v>
      </c>
      <c r="H190" s="82" t="n">
        <f aca="false">DATE(YEAR(A190),MONTH(A190),1)</f>
        <v>43891</v>
      </c>
    </row>
    <row r="191" customFormat="false" ht="15" hidden="false" customHeight="false" outlineLevel="0" collapsed="false">
      <c r="A191" s="81" t="n">
        <v>43918</v>
      </c>
      <c r="B191" s="48" t="n">
        <v>10</v>
      </c>
      <c r="C191" s="48" t="n">
        <v>0</v>
      </c>
      <c r="D191" s="48" t="n">
        <v>0</v>
      </c>
      <c r="E191" s="48" t="s">
        <v>112</v>
      </c>
      <c r="F191" s="48" t="s">
        <v>71</v>
      </c>
      <c r="G191" s="48" t="s">
        <v>620</v>
      </c>
      <c r="H191" s="82" t="n">
        <f aca="false">DATE(YEAR(A191),MONTH(A191),1)</f>
        <v>43891</v>
      </c>
    </row>
    <row r="192" customFormat="false" ht="15" hidden="false" customHeight="false" outlineLevel="0" collapsed="false">
      <c r="A192" s="81" t="n">
        <v>43918</v>
      </c>
      <c r="B192" s="48" t="n">
        <v>5</v>
      </c>
      <c r="C192" s="48" t="n">
        <v>0</v>
      </c>
      <c r="D192" s="48" t="n">
        <v>0</v>
      </c>
      <c r="E192" s="48" t="s">
        <v>112</v>
      </c>
      <c r="F192" s="48" t="s">
        <v>71</v>
      </c>
      <c r="G192" s="48" t="s">
        <v>602</v>
      </c>
      <c r="H192" s="82" t="n">
        <f aca="false">DATE(YEAR(A192),MONTH(A192),1)</f>
        <v>43891</v>
      </c>
    </row>
    <row r="193" customFormat="false" ht="15" hidden="false" customHeight="false" outlineLevel="0" collapsed="false">
      <c r="A193" s="81" t="n">
        <v>43918</v>
      </c>
      <c r="B193" s="48" t="n">
        <v>2</v>
      </c>
      <c r="C193" s="48" t="n">
        <v>0</v>
      </c>
      <c r="D193" s="48" t="n">
        <v>0</v>
      </c>
      <c r="E193" s="48" t="s">
        <v>112</v>
      </c>
      <c r="F193" s="48" t="s">
        <v>71</v>
      </c>
      <c r="G193" s="48" t="s">
        <v>627</v>
      </c>
      <c r="H193" s="82" t="n">
        <f aca="false">DATE(YEAR(A193),MONTH(A193),1)</f>
        <v>43891</v>
      </c>
    </row>
    <row r="194" customFormat="false" ht="15" hidden="false" customHeight="false" outlineLevel="0" collapsed="false">
      <c r="A194" s="81" t="n">
        <v>43918</v>
      </c>
      <c r="B194" s="48" t="n">
        <v>29</v>
      </c>
      <c r="C194" s="48" t="n">
        <v>0</v>
      </c>
      <c r="D194" s="48" t="n">
        <v>0</v>
      </c>
      <c r="E194" s="48" t="s">
        <v>112</v>
      </c>
      <c r="F194" s="48" t="s">
        <v>71</v>
      </c>
      <c r="G194" s="48" t="s">
        <v>606</v>
      </c>
      <c r="H194" s="82" t="n">
        <f aca="false">DATE(YEAR(A194),MONTH(A194),1)</f>
        <v>43891</v>
      </c>
    </row>
    <row r="195" customFormat="false" ht="15" hidden="false" customHeight="false" outlineLevel="0" collapsed="false">
      <c r="A195" s="81" t="n">
        <v>43918</v>
      </c>
      <c r="B195" s="48" t="n">
        <v>5</v>
      </c>
      <c r="C195" s="48" t="n">
        <v>0</v>
      </c>
      <c r="D195" s="48" t="n">
        <v>0</v>
      </c>
      <c r="E195" s="48" t="s">
        <v>112</v>
      </c>
      <c r="F195" s="48" t="s">
        <v>71</v>
      </c>
      <c r="G195" s="48" t="s">
        <v>596</v>
      </c>
      <c r="H195" s="82" t="n">
        <f aca="false">DATE(YEAR(A195),MONTH(A195),1)</f>
        <v>43891</v>
      </c>
    </row>
    <row r="196" customFormat="false" ht="15" hidden="false" customHeight="false" outlineLevel="0" collapsed="false">
      <c r="A196" s="81" t="n">
        <v>43918</v>
      </c>
      <c r="B196" s="48" t="n">
        <v>21</v>
      </c>
      <c r="C196" s="48" t="n">
        <v>0</v>
      </c>
      <c r="D196" s="48" t="n">
        <v>0</v>
      </c>
      <c r="E196" s="48" t="s">
        <v>118</v>
      </c>
      <c r="F196" s="48" t="s">
        <v>71</v>
      </c>
      <c r="G196" s="48" t="s">
        <v>100</v>
      </c>
      <c r="H196" s="82" t="n">
        <f aca="false">DATE(YEAR(A196),MONTH(A196),1)</f>
        <v>43891</v>
      </c>
    </row>
    <row r="197" customFormat="false" ht="15" hidden="false" customHeight="false" outlineLevel="0" collapsed="false">
      <c r="A197" s="81" t="n">
        <v>43918</v>
      </c>
      <c r="B197" s="48" t="n">
        <v>25</v>
      </c>
      <c r="C197" s="48" t="n">
        <v>1</v>
      </c>
      <c r="D197" s="48" t="n">
        <v>0</v>
      </c>
      <c r="E197" s="48" t="s">
        <v>112</v>
      </c>
      <c r="F197" s="48" t="s">
        <v>70</v>
      </c>
      <c r="G197" s="48" t="s">
        <v>91</v>
      </c>
      <c r="H197" s="82" t="n">
        <f aca="false">DATE(YEAR(A197),MONTH(A197),1)</f>
        <v>43891</v>
      </c>
    </row>
    <row r="198" customFormat="false" ht="15" hidden="false" customHeight="false" outlineLevel="0" collapsed="false">
      <c r="A198" s="81" t="n">
        <v>43918</v>
      </c>
      <c r="B198" s="48" t="n">
        <v>4</v>
      </c>
      <c r="C198" s="48" t="n">
        <v>0</v>
      </c>
      <c r="D198" s="48" t="n">
        <v>0</v>
      </c>
      <c r="E198" s="48" t="s">
        <v>112</v>
      </c>
      <c r="F198" s="48" t="s">
        <v>70</v>
      </c>
      <c r="G198" s="48" t="s">
        <v>99</v>
      </c>
      <c r="H198" s="82" t="n">
        <f aca="false">DATE(YEAR(A198),MONTH(A198),1)</f>
        <v>43891</v>
      </c>
    </row>
    <row r="199" customFormat="false" ht="15" hidden="false" customHeight="false" outlineLevel="0" collapsed="false">
      <c r="A199" s="81" t="n">
        <v>43919</v>
      </c>
      <c r="B199" s="48" t="n">
        <v>4</v>
      </c>
      <c r="C199" s="48" t="n">
        <v>0</v>
      </c>
      <c r="D199" s="48" t="n">
        <v>0</v>
      </c>
      <c r="E199" s="48" t="s">
        <v>114</v>
      </c>
      <c r="F199" s="48" t="s">
        <v>76</v>
      </c>
      <c r="G199" s="48" t="s">
        <v>595</v>
      </c>
      <c r="H199" s="82" t="n">
        <f aca="false">DATE(YEAR(A199),MONTH(A199),1)</f>
        <v>43891</v>
      </c>
    </row>
    <row r="200" customFormat="false" ht="15" hidden="false" customHeight="false" outlineLevel="0" collapsed="false">
      <c r="A200" s="81" t="n">
        <v>43919</v>
      </c>
      <c r="B200" s="48" t="n">
        <v>0</v>
      </c>
      <c r="C200" s="48" t="n">
        <v>1</v>
      </c>
      <c r="D200" s="48" t="n">
        <v>0</v>
      </c>
      <c r="E200" s="48" t="s">
        <v>112</v>
      </c>
      <c r="F200" s="48" t="s">
        <v>75</v>
      </c>
      <c r="G200" s="48" t="s">
        <v>617</v>
      </c>
      <c r="H200" s="82" t="n">
        <f aca="false">DATE(YEAR(A200),MONTH(A200),1)</f>
        <v>43891</v>
      </c>
    </row>
    <row r="201" customFormat="false" ht="15" hidden="false" customHeight="false" outlineLevel="0" collapsed="false">
      <c r="A201" s="81" t="n">
        <v>43919</v>
      </c>
      <c r="B201" s="48" t="n">
        <v>5</v>
      </c>
      <c r="C201" s="48" t="n">
        <v>0</v>
      </c>
      <c r="D201" s="48" t="n">
        <v>0</v>
      </c>
      <c r="E201" s="48" t="s">
        <v>114</v>
      </c>
      <c r="F201" s="48" t="s">
        <v>75</v>
      </c>
      <c r="G201" s="48" t="s">
        <v>646</v>
      </c>
      <c r="H201" s="82" t="n">
        <f aca="false">DATE(YEAR(A201),MONTH(A201),1)</f>
        <v>43891</v>
      </c>
    </row>
    <row r="202" customFormat="false" ht="15" hidden="false" customHeight="false" outlineLevel="0" collapsed="false">
      <c r="A202" s="81" t="n">
        <v>43919</v>
      </c>
      <c r="B202" s="48" t="n">
        <v>2</v>
      </c>
      <c r="C202" s="48" t="n">
        <v>0</v>
      </c>
      <c r="D202" s="48" t="n">
        <v>0</v>
      </c>
      <c r="E202" s="48" t="s">
        <v>118</v>
      </c>
      <c r="F202" s="48" t="s">
        <v>75</v>
      </c>
      <c r="G202" s="48" t="s">
        <v>660</v>
      </c>
      <c r="H202" s="82" t="n">
        <f aca="false">DATE(YEAR(A202),MONTH(A202),1)</f>
        <v>43891</v>
      </c>
    </row>
    <row r="203" customFormat="false" ht="15" hidden="false" customHeight="false" outlineLevel="0" collapsed="false">
      <c r="A203" s="81" t="n">
        <v>43919</v>
      </c>
      <c r="B203" s="48" t="n">
        <v>3</v>
      </c>
      <c r="C203" s="48" t="n">
        <v>0</v>
      </c>
      <c r="D203" s="48" t="n">
        <v>0</v>
      </c>
      <c r="E203" s="48" t="s">
        <v>112</v>
      </c>
      <c r="F203" s="48" t="s">
        <v>75</v>
      </c>
      <c r="G203" s="48" t="s">
        <v>629</v>
      </c>
      <c r="H203" s="82" t="n">
        <f aca="false">DATE(YEAR(A203),MONTH(A203),1)</f>
        <v>43891</v>
      </c>
    </row>
    <row r="204" customFormat="false" ht="15" hidden="false" customHeight="false" outlineLevel="0" collapsed="false">
      <c r="A204" s="81" t="n">
        <v>43919</v>
      </c>
      <c r="B204" s="48" t="n">
        <v>2</v>
      </c>
      <c r="C204" s="48" t="n">
        <v>0</v>
      </c>
      <c r="D204" s="48" t="n">
        <v>0</v>
      </c>
      <c r="E204" s="48" t="s">
        <v>114</v>
      </c>
      <c r="F204" s="48" t="s">
        <v>75</v>
      </c>
      <c r="G204" s="48" t="s">
        <v>649</v>
      </c>
      <c r="H204" s="82" t="n">
        <f aca="false">DATE(YEAR(A204),MONTH(A204),1)</f>
        <v>43891</v>
      </c>
    </row>
    <row r="205" customFormat="false" ht="15" hidden="false" customHeight="false" outlineLevel="0" collapsed="false">
      <c r="A205" s="81" t="n">
        <v>43919</v>
      </c>
      <c r="B205" s="48" t="n">
        <v>4</v>
      </c>
      <c r="C205" s="48" t="n">
        <v>0</v>
      </c>
      <c r="D205" s="48" t="n">
        <v>1</v>
      </c>
      <c r="E205" s="48" t="s">
        <v>112</v>
      </c>
      <c r="F205" s="48" t="s">
        <v>74</v>
      </c>
      <c r="G205" s="48" t="s">
        <v>95</v>
      </c>
      <c r="H205" s="82" t="n">
        <f aca="false">DATE(YEAR(A205),MONTH(A205),1)</f>
        <v>43891</v>
      </c>
    </row>
    <row r="206" customFormat="false" ht="15" hidden="false" customHeight="false" outlineLevel="0" collapsed="false">
      <c r="A206" s="81" t="n">
        <v>43919</v>
      </c>
      <c r="B206" s="48" t="n">
        <v>1</v>
      </c>
      <c r="C206" s="48" t="n">
        <v>1</v>
      </c>
      <c r="D206" s="48" t="n">
        <v>0</v>
      </c>
      <c r="E206" s="48" t="s">
        <v>114</v>
      </c>
      <c r="F206" s="48" t="s">
        <v>72</v>
      </c>
      <c r="G206" s="48" t="s">
        <v>593</v>
      </c>
      <c r="H206" s="82" t="n">
        <f aca="false">DATE(YEAR(A206),MONTH(A206),1)</f>
        <v>43891</v>
      </c>
    </row>
    <row r="207" customFormat="false" ht="15" hidden="false" customHeight="false" outlineLevel="0" collapsed="false">
      <c r="A207" s="81" t="n">
        <v>43919</v>
      </c>
      <c r="B207" s="48" t="n">
        <v>2</v>
      </c>
      <c r="C207" s="48" t="n">
        <v>0</v>
      </c>
      <c r="D207" s="48" t="n">
        <v>0</v>
      </c>
      <c r="E207" s="48" t="s">
        <v>112</v>
      </c>
      <c r="F207" s="48" t="s">
        <v>72</v>
      </c>
      <c r="G207" s="48" t="s">
        <v>94</v>
      </c>
      <c r="H207" s="82" t="n">
        <f aca="false">DATE(YEAR(A207),MONTH(A207),1)</f>
        <v>43891</v>
      </c>
    </row>
    <row r="208" customFormat="false" ht="15" hidden="false" customHeight="false" outlineLevel="0" collapsed="false">
      <c r="A208" s="81" t="n">
        <v>43919</v>
      </c>
      <c r="B208" s="48" t="n">
        <v>1</v>
      </c>
      <c r="C208" s="48" t="n">
        <v>1</v>
      </c>
      <c r="D208" s="48" t="n">
        <v>0</v>
      </c>
      <c r="E208" s="48" t="s">
        <v>114</v>
      </c>
      <c r="F208" s="48" t="s">
        <v>72</v>
      </c>
      <c r="G208" s="48" t="s">
        <v>591</v>
      </c>
      <c r="H208" s="82" t="n">
        <f aca="false">DATE(YEAR(A208),MONTH(A208),1)</f>
        <v>43891</v>
      </c>
    </row>
    <row r="209" customFormat="false" ht="15" hidden="false" customHeight="false" outlineLevel="0" collapsed="false">
      <c r="A209" s="81" t="n">
        <v>43919</v>
      </c>
      <c r="B209" s="48" t="n">
        <v>0</v>
      </c>
      <c r="C209" s="48" t="n">
        <v>0</v>
      </c>
      <c r="D209" s="48" t="n">
        <v>3</v>
      </c>
      <c r="E209" s="48" t="s">
        <v>112</v>
      </c>
      <c r="F209" s="48" t="s">
        <v>71</v>
      </c>
      <c r="G209" s="48" t="s">
        <v>92</v>
      </c>
      <c r="H209" s="82" t="n">
        <f aca="false">DATE(YEAR(A209),MONTH(A209),1)</f>
        <v>43891</v>
      </c>
    </row>
    <row r="210" customFormat="false" ht="15" hidden="false" customHeight="false" outlineLevel="0" collapsed="false">
      <c r="A210" s="81" t="n">
        <v>43919</v>
      </c>
      <c r="B210" s="48" t="n">
        <v>1</v>
      </c>
      <c r="C210" s="48" t="n">
        <v>0</v>
      </c>
      <c r="D210" s="48" t="n">
        <v>0</v>
      </c>
      <c r="E210" s="48" t="s">
        <v>112</v>
      </c>
      <c r="F210" s="48" t="s">
        <v>71</v>
      </c>
      <c r="G210" s="48" t="s">
        <v>628</v>
      </c>
      <c r="H210" s="82" t="n">
        <f aca="false">DATE(YEAR(A210),MONTH(A210),1)</f>
        <v>43891</v>
      </c>
    </row>
    <row r="211" customFormat="false" ht="15" hidden="false" customHeight="false" outlineLevel="0" collapsed="false">
      <c r="A211" s="81" t="n">
        <v>43919</v>
      </c>
      <c r="B211" s="48" t="n">
        <v>1</v>
      </c>
      <c r="C211" s="48" t="n">
        <v>0</v>
      </c>
      <c r="D211" s="48" t="n">
        <v>0</v>
      </c>
      <c r="E211" s="48" t="s">
        <v>112</v>
      </c>
      <c r="F211" s="48" t="s">
        <v>71</v>
      </c>
      <c r="G211" s="48" t="s">
        <v>634</v>
      </c>
      <c r="H211" s="82" t="n">
        <f aca="false">DATE(YEAR(A211),MONTH(A211),1)</f>
        <v>43891</v>
      </c>
    </row>
    <row r="212" customFormat="false" ht="15" hidden="false" customHeight="false" outlineLevel="0" collapsed="false">
      <c r="A212" s="81" t="n">
        <v>43919</v>
      </c>
      <c r="B212" s="48" t="n">
        <v>3</v>
      </c>
      <c r="C212" s="48" t="n">
        <v>0</v>
      </c>
      <c r="D212" s="48" t="n">
        <v>0</v>
      </c>
      <c r="E212" s="48" t="s">
        <v>112</v>
      </c>
      <c r="F212" s="48" t="s">
        <v>71</v>
      </c>
      <c r="G212" s="48" t="s">
        <v>606</v>
      </c>
      <c r="H212" s="82" t="n">
        <f aca="false">DATE(YEAR(A212),MONTH(A212),1)</f>
        <v>43891</v>
      </c>
    </row>
    <row r="213" customFormat="false" ht="15" hidden="false" customHeight="false" outlineLevel="0" collapsed="false">
      <c r="A213" s="81" t="n">
        <v>43919</v>
      </c>
      <c r="B213" s="48" t="n">
        <v>7</v>
      </c>
      <c r="C213" s="48" t="n">
        <v>0</v>
      </c>
      <c r="D213" s="48" t="n">
        <v>0</v>
      </c>
      <c r="E213" s="48" t="s">
        <v>112</v>
      </c>
      <c r="F213" s="48" t="s">
        <v>71</v>
      </c>
      <c r="G213" s="48" t="s">
        <v>627</v>
      </c>
      <c r="H213" s="82" t="n">
        <f aca="false">DATE(YEAR(A213),MONTH(A213),1)</f>
        <v>43891</v>
      </c>
    </row>
    <row r="214" customFormat="false" ht="15" hidden="false" customHeight="false" outlineLevel="0" collapsed="false">
      <c r="A214" s="81" t="n">
        <v>43919</v>
      </c>
      <c r="B214" s="48" t="n">
        <v>1</v>
      </c>
      <c r="C214" s="48" t="n">
        <v>0</v>
      </c>
      <c r="D214" s="48" t="n">
        <v>0</v>
      </c>
      <c r="E214" s="48" t="s">
        <v>112</v>
      </c>
      <c r="F214" s="48" t="s">
        <v>71</v>
      </c>
      <c r="G214" s="48" t="s">
        <v>620</v>
      </c>
      <c r="H214" s="82" t="n">
        <f aca="false">DATE(YEAR(A214),MONTH(A214),1)</f>
        <v>43891</v>
      </c>
    </row>
    <row r="215" customFormat="false" ht="15" hidden="false" customHeight="false" outlineLevel="0" collapsed="false">
      <c r="A215" s="81" t="n">
        <v>43919</v>
      </c>
      <c r="B215" s="48" t="n">
        <v>11</v>
      </c>
      <c r="C215" s="48" t="n">
        <v>0</v>
      </c>
      <c r="D215" s="48" t="n">
        <v>0</v>
      </c>
      <c r="E215" s="48" t="s">
        <v>112</v>
      </c>
      <c r="F215" s="48" t="s">
        <v>71</v>
      </c>
      <c r="G215" s="48" t="s">
        <v>602</v>
      </c>
      <c r="H215" s="82" t="n">
        <f aca="false">DATE(YEAR(A215),MONTH(A215),1)</f>
        <v>43891</v>
      </c>
    </row>
    <row r="216" customFormat="false" ht="15" hidden="false" customHeight="false" outlineLevel="0" collapsed="false">
      <c r="A216" s="81" t="n">
        <v>43919</v>
      </c>
      <c r="B216" s="48" t="n">
        <v>5</v>
      </c>
      <c r="C216" s="48" t="n">
        <v>0</v>
      </c>
      <c r="D216" s="48" t="n">
        <v>0</v>
      </c>
      <c r="E216" s="48" t="s">
        <v>118</v>
      </c>
      <c r="F216" s="48" t="s">
        <v>71</v>
      </c>
      <c r="G216" s="48" t="s">
        <v>100</v>
      </c>
      <c r="H216" s="82" t="n">
        <f aca="false">DATE(YEAR(A216),MONTH(A216),1)</f>
        <v>43891</v>
      </c>
    </row>
    <row r="217" customFormat="false" ht="15" hidden="false" customHeight="false" outlineLevel="0" collapsed="false">
      <c r="A217" s="81" t="n">
        <v>43919</v>
      </c>
      <c r="B217" s="48" t="n">
        <v>1</v>
      </c>
      <c r="C217" s="48" t="n">
        <v>1</v>
      </c>
      <c r="D217" s="48" t="n">
        <v>0</v>
      </c>
      <c r="E217" s="48" t="s">
        <v>112</v>
      </c>
      <c r="F217" s="48" t="s">
        <v>71</v>
      </c>
      <c r="G217" s="48" t="s">
        <v>618</v>
      </c>
      <c r="H217" s="82" t="n">
        <f aca="false">DATE(YEAR(A217),MONTH(A217),1)</f>
        <v>43891</v>
      </c>
    </row>
    <row r="218" customFormat="false" ht="15" hidden="false" customHeight="false" outlineLevel="0" collapsed="false">
      <c r="A218" s="81" t="n">
        <v>43919</v>
      </c>
      <c r="B218" s="48" t="n">
        <v>33</v>
      </c>
      <c r="C218" s="48" t="n">
        <v>2</v>
      </c>
      <c r="D218" s="48" t="n">
        <v>3</v>
      </c>
      <c r="E218" s="48" t="s">
        <v>112</v>
      </c>
      <c r="F218" s="48" t="s">
        <v>70</v>
      </c>
      <c r="G218" s="48" t="s">
        <v>91</v>
      </c>
      <c r="H218" s="82" t="n">
        <f aca="false">DATE(YEAR(A218),MONTH(A218),1)</f>
        <v>43891</v>
      </c>
    </row>
    <row r="219" customFormat="false" ht="15" hidden="false" customHeight="false" outlineLevel="0" collapsed="false">
      <c r="A219" s="81" t="n">
        <v>43920</v>
      </c>
      <c r="B219" s="48" t="n">
        <v>6</v>
      </c>
      <c r="C219" s="48" t="n">
        <v>0</v>
      </c>
      <c r="D219" s="48" t="n">
        <v>0</v>
      </c>
      <c r="E219" s="48" t="s">
        <v>112</v>
      </c>
      <c r="F219" s="48" t="s">
        <v>73</v>
      </c>
      <c r="G219" s="48" t="s">
        <v>93</v>
      </c>
      <c r="H219" s="82" t="n">
        <f aca="false">DATE(YEAR(A219),MONTH(A219),1)</f>
        <v>43891</v>
      </c>
    </row>
    <row r="220" customFormat="false" ht="15" hidden="false" customHeight="false" outlineLevel="0" collapsed="false">
      <c r="A220" s="81" t="n">
        <v>43920</v>
      </c>
      <c r="B220" s="48" t="n">
        <v>1</v>
      </c>
      <c r="C220" s="48" t="n">
        <v>0</v>
      </c>
      <c r="D220" s="48" t="n">
        <v>0</v>
      </c>
      <c r="E220" s="48" t="s">
        <v>112</v>
      </c>
      <c r="F220" s="48" t="s">
        <v>77</v>
      </c>
      <c r="G220" s="48" t="s">
        <v>600</v>
      </c>
      <c r="H220" s="82" t="n">
        <f aca="false">DATE(YEAR(A220),MONTH(A220),1)</f>
        <v>43891</v>
      </c>
    </row>
    <row r="221" customFormat="false" ht="15" hidden="false" customHeight="false" outlineLevel="0" collapsed="false">
      <c r="A221" s="81" t="n">
        <v>43920</v>
      </c>
      <c r="B221" s="48" t="n">
        <v>18</v>
      </c>
      <c r="C221" s="48" t="n">
        <v>0</v>
      </c>
      <c r="D221" s="48" t="n">
        <v>4</v>
      </c>
      <c r="E221" s="48" t="s">
        <v>114</v>
      </c>
      <c r="F221" s="48" t="s">
        <v>75</v>
      </c>
      <c r="G221" s="48" t="s">
        <v>617</v>
      </c>
      <c r="H221" s="82" t="n">
        <f aca="false">DATE(YEAR(A221),MONTH(A221),1)</f>
        <v>43891</v>
      </c>
    </row>
    <row r="222" customFormat="false" ht="15" hidden="false" customHeight="false" outlineLevel="0" collapsed="false">
      <c r="A222" s="81" t="n">
        <v>43920</v>
      </c>
      <c r="B222" s="48" t="n">
        <v>8</v>
      </c>
      <c r="C222" s="48" t="n">
        <v>0</v>
      </c>
      <c r="D222" s="48" t="n">
        <v>1</v>
      </c>
      <c r="E222" s="48" t="s">
        <v>112</v>
      </c>
      <c r="F222" s="48" t="s">
        <v>74</v>
      </c>
      <c r="G222" s="48" t="s">
        <v>95</v>
      </c>
      <c r="H222" s="82" t="n">
        <f aca="false">DATE(YEAR(A222),MONTH(A222),1)</f>
        <v>43891</v>
      </c>
    </row>
    <row r="223" customFormat="false" ht="15" hidden="false" customHeight="false" outlineLevel="0" collapsed="false">
      <c r="A223" s="81" t="n">
        <v>43920</v>
      </c>
      <c r="B223" s="48" t="n">
        <v>3</v>
      </c>
      <c r="C223" s="48" t="n">
        <v>0</v>
      </c>
      <c r="D223" s="48" t="n">
        <v>0</v>
      </c>
      <c r="E223" s="48" t="s">
        <v>118</v>
      </c>
      <c r="F223" s="48" t="s">
        <v>72</v>
      </c>
      <c r="G223" s="48" t="s">
        <v>94</v>
      </c>
      <c r="H223" s="82" t="n">
        <f aca="false">DATE(YEAR(A223),MONTH(A223),1)</f>
        <v>43891</v>
      </c>
    </row>
    <row r="224" customFormat="false" ht="15" hidden="false" customHeight="false" outlineLevel="0" collapsed="false">
      <c r="A224" s="81" t="n">
        <v>43920</v>
      </c>
      <c r="B224" s="48" t="n">
        <v>1</v>
      </c>
      <c r="C224" s="48" t="n">
        <v>0</v>
      </c>
      <c r="D224" s="48" t="n">
        <v>0</v>
      </c>
      <c r="E224" s="48" t="s">
        <v>114</v>
      </c>
      <c r="F224" s="48" t="s">
        <v>72</v>
      </c>
      <c r="G224" s="48" t="s">
        <v>621</v>
      </c>
      <c r="H224" s="82" t="n">
        <f aca="false">DATE(YEAR(A224),MONTH(A224),1)</f>
        <v>43891</v>
      </c>
    </row>
    <row r="225" customFormat="false" ht="15" hidden="false" customHeight="false" outlineLevel="0" collapsed="false">
      <c r="A225" s="81" t="n">
        <v>43920</v>
      </c>
      <c r="B225" s="48" t="n">
        <v>1</v>
      </c>
      <c r="C225" s="48" t="n">
        <v>0</v>
      </c>
      <c r="D225" s="48" t="n">
        <v>0</v>
      </c>
      <c r="E225" s="48" t="s">
        <v>112</v>
      </c>
      <c r="F225" s="48" t="s">
        <v>72</v>
      </c>
      <c r="G225" s="48" t="s">
        <v>607</v>
      </c>
      <c r="H225" s="82" t="n">
        <f aca="false">DATE(YEAR(A225),MONTH(A225),1)</f>
        <v>43891</v>
      </c>
    </row>
    <row r="226" customFormat="false" ht="15" hidden="false" customHeight="false" outlineLevel="0" collapsed="false">
      <c r="A226" s="81" t="n">
        <v>43920</v>
      </c>
      <c r="B226" s="48" t="n">
        <v>3</v>
      </c>
      <c r="C226" s="48" t="n">
        <v>0</v>
      </c>
      <c r="D226" s="48" t="n">
        <v>0</v>
      </c>
      <c r="E226" s="48" t="s">
        <v>112</v>
      </c>
      <c r="F226" s="48" t="s">
        <v>72</v>
      </c>
      <c r="G226" s="48" t="s">
        <v>591</v>
      </c>
      <c r="H226" s="82" t="n">
        <f aca="false">DATE(YEAR(A226),MONTH(A226),1)</f>
        <v>43891</v>
      </c>
    </row>
    <row r="227" customFormat="false" ht="15" hidden="false" customHeight="false" outlineLevel="0" collapsed="false">
      <c r="A227" s="81" t="n">
        <v>43920</v>
      </c>
      <c r="B227" s="48" t="n">
        <v>1</v>
      </c>
      <c r="C227" s="48" t="n">
        <v>0</v>
      </c>
      <c r="D227" s="48" t="n">
        <v>0</v>
      </c>
      <c r="E227" s="48" t="s">
        <v>112</v>
      </c>
      <c r="F227" s="48" t="s">
        <v>72</v>
      </c>
      <c r="G227" s="48" t="s">
        <v>610</v>
      </c>
      <c r="H227" s="82" t="n">
        <f aca="false">DATE(YEAR(A227),MONTH(A227),1)</f>
        <v>43891</v>
      </c>
    </row>
    <row r="228" customFormat="false" ht="15" hidden="false" customHeight="false" outlineLevel="0" collapsed="false">
      <c r="A228" s="81" t="n">
        <v>43920</v>
      </c>
      <c r="B228" s="48" t="n">
        <v>1</v>
      </c>
      <c r="C228" s="48" t="n">
        <v>0</v>
      </c>
      <c r="D228" s="48" t="n">
        <v>0</v>
      </c>
      <c r="E228" s="48" t="s">
        <v>112</v>
      </c>
      <c r="F228" s="48" t="s">
        <v>72</v>
      </c>
      <c r="G228" s="48" t="s">
        <v>102</v>
      </c>
      <c r="H228" s="82" t="n">
        <f aca="false">DATE(YEAR(A228),MONTH(A228),1)</f>
        <v>43891</v>
      </c>
    </row>
    <row r="229" customFormat="false" ht="15" hidden="false" customHeight="false" outlineLevel="0" collapsed="false">
      <c r="A229" s="81" t="n">
        <v>43920</v>
      </c>
      <c r="B229" s="48" t="n">
        <v>16</v>
      </c>
      <c r="C229" s="48" t="n">
        <v>0</v>
      </c>
      <c r="D229" s="48" t="n">
        <v>0</v>
      </c>
      <c r="E229" s="48" t="s">
        <v>112</v>
      </c>
      <c r="F229" s="48" t="s">
        <v>72</v>
      </c>
      <c r="G229" s="48" t="s">
        <v>94</v>
      </c>
      <c r="H229" s="82" t="n">
        <f aca="false">DATE(YEAR(A229),MONTH(A229),1)</f>
        <v>43891</v>
      </c>
    </row>
    <row r="230" customFormat="false" ht="15" hidden="false" customHeight="false" outlineLevel="0" collapsed="false">
      <c r="A230" s="81" t="n">
        <v>43920</v>
      </c>
      <c r="B230" s="48" t="n">
        <v>11</v>
      </c>
      <c r="C230" s="48" t="n">
        <v>0</v>
      </c>
      <c r="D230" s="48" t="n">
        <v>1</v>
      </c>
      <c r="E230" s="48" t="s">
        <v>112</v>
      </c>
      <c r="F230" s="48" t="s">
        <v>71</v>
      </c>
      <c r="G230" s="48" t="s">
        <v>651</v>
      </c>
      <c r="H230" s="82" t="n">
        <f aca="false">DATE(YEAR(A230),MONTH(A230),1)</f>
        <v>43891</v>
      </c>
    </row>
    <row r="231" customFormat="false" ht="15" hidden="false" customHeight="false" outlineLevel="0" collapsed="false">
      <c r="A231" s="81" t="n">
        <v>43920</v>
      </c>
      <c r="B231" s="48" t="n">
        <v>14</v>
      </c>
      <c r="C231" s="48" t="n">
        <v>0</v>
      </c>
      <c r="D231" s="48" t="n">
        <v>0</v>
      </c>
      <c r="E231" s="48" t="s">
        <v>114</v>
      </c>
      <c r="F231" s="48" t="s">
        <v>71</v>
      </c>
      <c r="G231" s="48" t="s">
        <v>92</v>
      </c>
      <c r="H231" s="82" t="n">
        <f aca="false">DATE(YEAR(A231),MONTH(A231),1)</f>
        <v>43891</v>
      </c>
    </row>
    <row r="232" customFormat="false" ht="15" hidden="false" customHeight="false" outlineLevel="0" collapsed="false">
      <c r="A232" s="81" t="n">
        <v>43920</v>
      </c>
      <c r="B232" s="48" t="n">
        <v>8</v>
      </c>
      <c r="C232" s="48" t="n">
        <v>0</v>
      </c>
      <c r="D232" s="48" t="n">
        <v>0</v>
      </c>
      <c r="E232" s="48" t="s">
        <v>112</v>
      </c>
      <c r="F232" s="48" t="s">
        <v>71</v>
      </c>
      <c r="G232" s="48" t="s">
        <v>606</v>
      </c>
      <c r="H232" s="82" t="n">
        <f aca="false">DATE(YEAR(A232),MONTH(A232),1)</f>
        <v>43891</v>
      </c>
    </row>
    <row r="233" customFormat="false" ht="15" hidden="false" customHeight="false" outlineLevel="0" collapsed="false">
      <c r="A233" s="81" t="n">
        <v>43920</v>
      </c>
      <c r="B233" s="48" t="n">
        <v>26</v>
      </c>
      <c r="C233" s="48" t="n">
        <v>0</v>
      </c>
      <c r="D233" s="48" t="n">
        <v>1</v>
      </c>
      <c r="E233" s="48" t="s">
        <v>118</v>
      </c>
      <c r="F233" s="48" t="s">
        <v>71</v>
      </c>
      <c r="G233" s="48" t="s">
        <v>100</v>
      </c>
      <c r="H233" s="82" t="n">
        <f aca="false">DATE(YEAR(A233),MONTH(A233),1)</f>
        <v>43891</v>
      </c>
    </row>
    <row r="234" customFormat="false" ht="15" hidden="false" customHeight="false" outlineLevel="0" collapsed="false">
      <c r="A234" s="81" t="n">
        <v>43920</v>
      </c>
      <c r="B234" s="48" t="n">
        <v>21</v>
      </c>
      <c r="C234" s="48" t="n">
        <v>4</v>
      </c>
      <c r="D234" s="48" t="n">
        <v>2</v>
      </c>
      <c r="E234" s="48" t="s">
        <v>112</v>
      </c>
      <c r="F234" s="48" t="s">
        <v>70</v>
      </c>
      <c r="G234" s="48" t="s">
        <v>91</v>
      </c>
      <c r="H234" s="82" t="n">
        <f aca="false">DATE(YEAR(A234),MONTH(A234),1)</f>
        <v>43891</v>
      </c>
    </row>
    <row r="235" customFormat="false" ht="15" hidden="false" customHeight="false" outlineLevel="0" collapsed="false">
      <c r="A235" s="81" t="n">
        <v>43920</v>
      </c>
      <c r="B235" s="48" t="n">
        <v>6</v>
      </c>
      <c r="C235" s="48" t="n">
        <v>0</v>
      </c>
      <c r="D235" s="48" t="n">
        <v>23</v>
      </c>
      <c r="E235" s="48" t="s">
        <v>112</v>
      </c>
      <c r="F235" s="48" t="s">
        <v>70</v>
      </c>
      <c r="G235" s="48" t="s">
        <v>98</v>
      </c>
      <c r="H235" s="82" t="n">
        <f aca="false">DATE(YEAR(A235),MONTH(A235),1)</f>
        <v>43891</v>
      </c>
    </row>
    <row r="236" customFormat="false" ht="15" hidden="false" customHeight="false" outlineLevel="0" collapsed="false">
      <c r="A236" s="81" t="n">
        <v>43921</v>
      </c>
      <c r="B236" s="48" t="n">
        <v>14</v>
      </c>
      <c r="C236" s="48" t="n">
        <v>0</v>
      </c>
      <c r="D236" s="48" t="n">
        <v>17</v>
      </c>
      <c r="E236" s="48" t="s">
        <v>118</v>
      </c>
      <c r="F236" s="48" t="s">
        <v>73</v>
      </c>
      <c r="G236" s="48" t="s">
        <v>93</v>
      </c>
      <c r="H236" s="82" t="n">
        <f aca="false">DATE(YEAR(A236),MONTH(A236),1)</f>
        <v>43891</v>
      </c>
    </row>
    <row r="237" customFormat="false" ht="15" hidden="false" customHeight="false" outlineLevel="0" collapsed="false">
      <c r="A237" s="81" t="n">
        <v>43921</v>
      </c>
      <c r="B237" s="48" t="n">
        <v>1</v>
      </c>
      <c r="C237" s="48" t="n">
        <v>0</v>
      </c>
      <c r="D237" s="48" t="n">
        <v>0</v>
      </c>
      <c r="E237" s="48" t="s">
        <v>112</v>
      </c>
      <c r="F237" s="48" t="s">
        <v>77</v>
      </c>
      <c r="G237" s="48" t="s">
        <v>600</v>
      </c>
      <c r="H237" s="82" t="n">
        <f aca="false">DATE(YEAR(A237),MONTH(A237),1)</f>
        <v>43891</v>
      </c>
    </row>
    <row r="238" customFormat="false" ht="15" hidden="false" customHeight="false" outlineLevel="0" collapsed="false">
      <c r="A238" s="81" t="n">
        <v>43921</v>
      </c>
      <c r="B238" s="48" t="n">
        <v>1</v>
      </c>
      <c r="C238" s="48" t="n">
        <v>0</v>
      </c>
      <c r="D238" s="48" t="n">
        <v>0</v>
      </c>
      <c r="E238" s="48" t="s">
        <v>118</v>
      </c>
      <c r="F238" s="48" t="s">
        <v>77</v>
      </c>
      <c r="G238" s="48" t="s">
        <v>615</v>
      </c>
      <c r="H238" s="82" t="n">
        <f aca="false">DATE(YEAR(A238),MONTH(A238),1)</f>
        <v>43891</v>
      </c>
    </row>
    <row r="239" customFormat="false" ht="15" hidden="false" customHeight="false" outlineLevel="0" collapsed="false">
      <c r="A239" s="81" t="n">
        <v>43921</v>
      </c>
      <c r="B239" s="48" t="n">
        <v>37</v>
      </c>
      <c r="C239" s="48" t="n">
        <v>0</v>
      </c>
      <c r="D239" s="48" t="n">
        <v>0</v>
      </c>
      <c r="E239" s="48" t="s">
        <v>114</v>
      </c>
      <c r="F239" s="48" t="s">
        <v>75</v>
      </c>
      <c r="G239" s="48" t="s">
        <v>617</v>
      </c>
      <c r="H239" s="82" t="n">
        <f aca="false">DATE(YEAR(A239),MONTH(A239),1)</f>
        <v>43891</v>
      </c>
    </row>
    <row r="240" customFormat="false" ht="15" hidden="false" customHeight="false" outlineLevel="0" collapsed="false">
      <c r="A240" s="81" t="n">
        <v>43921</v>
      </c>
      <c r="B240" s="48" t="n">
        <v>7</v>
      </c>
      <c r="C240" s="48" t="n">
        <v>0</v>
      </c>
      <c r="D240" s="48" t="n">
        <v>0</v>
      </c>
      <c r="E240" s="48" t="s">
        <v>114</v>
      </c>
      <c r="F240" s="48" t="s">
        <v>74</v>
      </c>
      <c r="G240" s="48" t="s">
        <v>95</v>
      </c>
      <c r="H240" s="82" t="n">
        <f aca="false">DATE(YEAR(A240),MONTH(A240),1)</f>
        <v>43891</v>
      </c>
    </row>
    <row r="241" customFormat="false" ht="15" hidden="false" customHeight="false" outlineLevel="0" collapsed="false">
      <c r="A241" s="81" t="n">
        <v>43921</v>
      </c>
      <c r="B241" s="48" t="n">
        <v>0</v>
      </c>
      <c r="C241" s="48" t="n">
        <v>0</v>
      </c>
      <c r="D241" s="48" t="n">
        <v>0</v>
      </c>
      <c r="E241" s="48" t="s">
        <v>114</v>
      </c>
      <c r="F241" s="48" t="s">
        <v>72</v>
      </c>
      <c r="G241" s="48" t="s">
        <v>94</v>
      </c>
      <c r="H241" s="82" t="n">
        <f aca="false">DATE(YEAR(A241),MONTH(A241),1)</f>
        <v>43891</v>
      </c>
    </row>
    <row r="242" customFormat="false" ht="15" hidden="false" customHeight="false" outlineLevel="0" collapsed="false">
      <c r="A242" s="81" t="n">
        <v>43921</v>
      </c>
      <c r="B242" s="48" t="n">
        <v>3</v>
      </c>
      <c r="C242" s="48" t="n">
        <v>0</v>
      </c>
      <c r="D242" s="48" t="n">
        <v>0</v>
      </c>
      <c r="E242" s="48" t="s">
        <v>114</v>
      </c>
      <c r="F242" s="48" t="s">
        <v>72</v>
      </c>
      <c r="G242" s="48" t="s">
        <v>607</v>
      </c>
      <c r="H242" s="82" t="n">
        <f aca="false">DATE(YEAR(A242),MONTH(A242),1)</f>
        <v>43891</v>
      </c>
    </row>
    <row r="243" customFormat="false" ht="15" hidden="false" customHeight="false" outlineLevel="0" collapsed="false">
      <c r="A243" s="81" t="n">
        <v>43921</v>
      </c>
      <c r="B243" s="48" t="n">
        <v>1</v>
      </c>
      <c r="C243" s="48" t="n">
        <v>0</v>
      </c>
      <c r="D243" s="48" t="n">
        <v>0</v>
      </c>
      <c r="E243" s="48" t="s">
        <v>112</v>
      </c>
      <c r="F243" s="48" t="s">
        <v>72</v>
      </c>
      <c r="G243" s="48" t="s">
        <v>612</v>
      </c>
      <c r="H243" s="82" t="n">
        <f aca="false">DATE(YEAR(A243),MONTH(A243),1)</f>
        <v>43891</v>
      </c>
    </row>
    <row r="244" customFormat="false" ht="15" hidden="false" customHeight="false" outlineLevel="0" collapsed="false">
      <c r="A244" s="81" t="n">
        <v>43921</v>
      </c>
      <c r="B244" s="48" t="n">
        <v>10</v>
      </c>
      <c r="C244" s="48" t="n">
        <v>0</v>
      </c>
      <c r="D244" s="48" t="n">
        <v>0</v>
      </c>
      <c r="E244" s="48" t="s">
        <v>112</v>
      </c>
      <c r="F244" s="48" t="s">
        <v>72</v>
      </c>
      <c r="G244" s="48" t="s">
        <v>614</v>
      </c>
      <c r="H244" s="82" t="n">
        <f aca="false">DATE(YEAR(A244),MONTH(A244),1)</f>
        <v>43891</v>
      </c>
    </row>
    <row r="245" customFormat="false" ht="15" hidden="false" customHeight="false" outlineLevel="0" collapsed="false">
      <c r="A245" s="81" t="n">
        <v>43921</v>
      </c>
      <c r="B245" s="48" t="n">
        <v>1</v>
      </c>
      <c r="C245" s="48" t="n">
        <v>0</v>
      </c>
      <c r="D245" s="48" t="n">
        <v>5</v>
      </c>
      <c r="E245" s="48" t="s">
        <v>112</v>
      </c>
      <c r="F245" s="48" t="s">
        <v>72</v>
      </c>
      <c r="G245" s="48" t="s">
        <v>102</v>
      </c>
      <c r="H245" s="82" t="n">
        <f aca="false">DATE(YEAR(A245),MONTH(A245),1)</f>
        <v>43891</v>
      </c>
    </row>
    <row r="246" customFormat="false" ht="15" hidden="false" customHeight="false" outlineLevel="0" collapsed="false">
      <c r="A246" s="81" t="n">
        <v>43921</v>
      </c>
      <c r="B246" s="48" t="n">
        <v>4</v>
      </c>
      <c r="C246" s="48" t="n">
        <v>1</v>
      </c>
      <c r="D246" s="48" t="n">
        <v>10</v>
      </c>
      <c r="E246" s="48" t="s">
        <v>118</v>
      </c>
      <c r="F246" s="48" t="s">
        <v>72</v>
      </c>
      <c r="G246" s="48" t="s">
        <v>607</v>
      </c>
      <c r="H246" s="82" t="n">
        <f aca="false">DATE(YEAR(A246),MONTH(A246),1)</f>
        <v>43891</v>
      </c>
    </row>
    <row r="247" customFormat="false" ht="15" hidden="false" customHeight="false" outlineLevel="0" collapsed="false">
      <c r="A247" s="81" t="n">
        <v>43921</v>
      </c>
      <c r="B247" s="48" t="n">
        <v>10</v>
      </c>
      <c r="C247" s="48" t="n">
        <v>0</v>
      </c>
      <c r="D247" s="48" t="n">
        <v>0</v>
      </c>
      <c r="E247" s="48" t="s">
        <v>114</v>
      </c>
      <c r="F247" s="48" t="s">
        <v>72</v>
      </c>
      <c r="G247" s="48" t="s">
        <v>94</v>
      </c>
      <c r="H247" s="82" t="n">
        <f aca="false">DATE(YEAR(A247),MONTH(A247),1)</f>
        <v>43891</v>
      </c>
    </row>
    <row r="248" customFormat="false" ht="15" hidden="false" customHeight="false" outlineLevel="0" collapsed="false">
      <c r="A248" s="81" t="n">
        <v>43921</v>
      </c>
      <c r="B248" s="48" t="n">
        <v>0</v>
      </c>
      <c r="C248" s="48" t="n">
        <v>3</v>
      </c>
      <c r="D248" s="48" t="n">
        <v>0</v>
      </c>
      <c r="E248" s="48" t="s">
        <v>118</v>
      </c>
      <c r="F248" s="48" t="s">
        <v>71</v>
      </c>
      <c r="G248" s="48" t="s">
        <v>596</v>
      </c>
      <c r="H248" s="82" t="n">
        <f aca="false">DATE(YEAR(A248),MONTH(A248),1)</f>
        <v>43891</v>
      </c>
    </row>
    <row r="249" customFormat="false" ht="15" hidden="false" customHeight="false" outlineLevel="0" collapsed="false">
      <c r="A249" s="81" t="n">
        <v>43921</v>
      </c>
      <c r="B249" s="48" t="n">
        <v>14</v>
      </c>
      <c r="C249" s="48" t="n">
        <v>0</v>
      </c>
      <c r="D249" s="48" t="n">
        <v>0</v>
      </c>
      <c r="E249" s="48" t="s">
        <v>112</v>
      </c>
      <c r="F249" s="48" t="s">
        <v>71</v>
      </c>
      <c r="G249" s="48" t="s">
        <v>602</v>
      </c>
      <c r="H249" s="82" t="n">
        <f aca="false">DATE(YEAR(A249),MONTH(A249),1)</f>
        <v>43891</v>
      </c>
    </row>
    <row r="250" customFormat="false" ht="15" hidden="false" customHeight="false" outlineLevel="0" collapsed="false">
      <c r="A250" s="81" t="n">
        <v>43921</v>
      </c>
      <c r="B250" s="48" t="n">
        <v>1</v>
      </c>
      <c r="C250" s="48" t="n">
        <v>0</v>
      </c>
      <c r="D250" s="48" t="n">
        <v>0</v>
      </c>
      <c r="E250" s="48" t="s">
        <v>112</v>
      </c>
      <c r="F250" s="48" t="s">
        <v>71</v>
      </c>
      <c r="G250" s="48" t="s">
        <v>659</v>
      </c>
      <c r="H250" s="82" t="n">
        <f aca="false">DATE(YEAR(A250),MONTH(A250),1)</f>
        <v>43891</v>
      </c>
    </row>
    <row r="251" customFormat="false" ht="15" hidden="false" customHeight="false" outlineLevel="0" collapsed="false">
      <c r="A251" s="81" t="n">
        <v>43921</v>
      </c>
      <c r="B251" s="48" t="n">
        <v>1</v>
      </c>
      <c r="C251" s="48" t="n">
        <v>0</v>
      </c>
      <c r="D251" s="48" t="n">
        <v>0</v>
      </c>
      <c r="E251" s="48" t="s">
        <v>112</v>
      </c>
      <c r="F251" s="48" t="s">
        <v>71</v>
      </c>
      <c r="G251" s="48" t="s">
        <v>618</v>
      </c>
      <c r="H251" s="82" t="n">
        <f aca="false">DATE(YEAR(A251),MONTH(A251),1)</f>
        <v>43891</v>
      </c>
    </row>
    <row r="252" customFormat="false" ht="15" hidden="false" customHeight="false" outlineLevel="0" collapsed="false">
      <c r="A252" s="81" t="n">
        <v>43921</v>
      </c>
      <c r="B252" s="48" t="n">
        <v>5</v>
      </c>
      <c r="C252" s="48" t="n">
        <v>0</v>
      </c>
      <c r="D252" s="48" t="n">
        <v>0</v>
      </c>
      <c r="E252" s="48" t="s">
        <v>112</v>
      </c>
      <c r="F252" s="48" t="s">
        <v>71</v>
      </c>
      <c r="G252" s="48" t="s">
        <v>638</v>
      </c>
      <c r="H252" s="82" t="n">
        <f aca="false">DATE(YEAR(A252),MONTH(A252),1)</f>
        <v>43891</v>
      </c>
    </row>
    <row r="253" customFormat="false" ht="15" hidden="false" customHeight="false" outlineLevel="0" collapsed="false">
      <c r="A253" s="81" t="n">
        <v>43921</v>
      </c>
      <c r="B253" s="48" t="n">
        <v>1</v>
      </c>
      <c r="C253" s="48" t="n">
        <v>0</v>
      </c>
      <c r="D253" s="48" t="n">
        <v>0</v>
      </c>
      <c r="E253" s="48" t="s">
        <v>112</v>
      </c>
      <c r="F253" s="48" t="s">
        <v>71</v>
      </c>
      <c r="G253" s="48" t="s">
        <v>668</v>
      </c>
      <c r="H253" s="82" t="n">
        <f aca="false">DATE(YEAR(A253),MONTH(A253),1)</f>
        <v>43891</v>
      </c>
    </row>
    <row r="254" customFormat="false" ht="15" hidden="false" customHeight="false" outlineLevel="0" collapsed="false">
      <c r="A254" s="81" t="n">
        <v>43921</v>
      </c>
      <c r="B254" s="48" t="n">
        <v>1</v>
      </c>
      <c r="C254" s="48" t="n">
        <v>0</v>
      </c>
      <c r="D254" s="48" t="n">
        <v>0</v>
      </c>
      <c r="E254" s="48" t="s">
        <v>112</v>
      </c>
      <c r="F254" s="48" t="s">
        <v>71</v>
      </c>
      <c r="G254" s="48" t="s">
        <v>645</v>
      </c>
      <c r="H254" s="82" t="n">
        <f aca="false">DATE(YEAR(A254),MONTH(A254),1)</f>
        <v>43891</v>
      </c>
    </row>
    <row r="255" customFormat="false" ht="15" hidden="false" customHeight="false" outlineLevel="0" collapsed="false">
      <c r="A255" s="81" t="n">
        <v>43921</v>
      </c>
      <c r="B255" s="48" t="n">
        <v>16</v>
      </c>
      <c r="C255" s="48" t="n">
        <v>0</v>
      </c>
      <c r="D255" s="48" t="n">
        <v>0</v>
      </c>
      <c r="E255" s="48" t="s">
        <v>112</v>
      </c>
      <c r="F255" s="48" t="s">
        <v>70</v>
      </c>
      <c r="G255" s="48" t="s">
        <v>99</v>
      </c>
      <c r="H255" s="82" t="n">
        <f aca="false">DATE(YEAR(A255),MONTH(A255),1)</f>
        <v>43891</v>
      </c>
    </row>
    <row r="256" customFormat="false" ht="15" hidden="false" customHeight="false" outlineLevel="0" collapsed="false">
      <c r="A256" s="81" t="n">
        <v>43921</v>
      </c>
      <c r="B256" s="48" t="n">
        <v>0</v>
      </c>
      <c r="C256" s="48" t="n">
        <v>0</v>
      </c>
      <c r="D256" s="48" t="n">
        <v>10</v>
      </c>
      <c r="E256" s="48" t="s">
        <v>118</v>
      </c>
      <c r="F256" s="48" t="s">
        <v>70</v>
      </c>
      <c r="G256" s="48" t="s">
        <v>98</v>
      </c>
      <c r="H256" s="82" t="n">
        <f aca="false">DATE(YEAR(A256),MONTH(A256),1)</f>
        <v>43891</v>
      </c>
    </row>
    <row r="257" customFormat="false" ht="15" hidden="false" customHeight="false" outlineLevel="0" collapsed="false">
      <c r="A257" s="81" t="n">
        <v>43921</v>
      </c>
      <c r="B257" s="48" t="n">
        <v>94</v>
      </c>
      <c r="C257" s="48" t="n">
        <v>0</v>
      </c>
      <c r="D257" s="48" t="n">
        <v>0</v>
      </c>
      <c r="E257" s="48" t="s">
        <v>116</v>
      </c>
      <c r="F257" s="48" t="s">
        <v>70</v>
      </c>
      <c r="G257" s="48" t="s">
        <v>99</v>
      </c>
      <c r="H257" s="82" t="n">
        <f aca="false">DATE(YEAR(A257),MONTH(A257),1)</f>
        <v>43891</v>
      </c>
    </row>
    <row r="258" customFormat="false" ht="15" hidden="false" customHeight="false" outlineLevel="0" collapsed="false">
      <c r="A258" s="81" t="n">
        <v>43921</v>
      </c>
      <c r="B258" s="48" t="n">
        <v>1</v>
      </c>
      <c r="C258" s="48" t="n">
        <v>0</v>
      </c>
      <c r="D258" s="48" t="n">
        <v>0</v>
      </c>
      <c r="E258" s="48" t="s">
        <v>112</v>
      </c>
      <c r="F258" s="48" t="s">
        <v>70</v>
      </c>
      <c r="G258" s="48" t="s">
        <v>623</v>
      </c>
      <c r="H258" s="82" t="n">
        <f aca="false">DATE(YEAR(A258),MONTH(A258),1)</f>
        <v>43891</v>
      </c>
    </row>
    <row r="259" customFormat="false" ht="15" hidden="false" customHeight="false" outlineLevel="0" collapsed="false">
      <c r="A259" s="81" t="n">
        <v>43922</v>
      </c>
      <c r="B259" s="48" t="n">
        <v>2</v>
      </c>
      <c r="C259" s="48" t="n">
        <v>0</v>
      </c>
      <c r="D259" s="48" t="n">
        <v>0</v>
      </c>
      <c r="E259" s="48" t="s">
        <v>114</v>
      </c>
      <c r="F259" s="48" t="s">
        <v>76</v>
      </c>
      <c r="G259" s="48" t="s">
        <v>683</v>
      </c>
      <c r="H259" s="82" t="n">
        <f aca="false">DATE(YEAR(A259),MONTH(A259),1)</f>
        <v>43922</v>
      </c>
    </row>
    <row r="260" customFormat="false" ht="15" hidden="false" customHeight="false" outlineLevel="0" collapsed="false">
      <c r="A260" s="81" t="n">
        <v>43922</v>
      </c>
      <c r="B260" s="48" t="n">
        <v>1</v>
      </c>
      <c r="C260" s="48" t="n">
        <v>0</v>
      </c>
      <c r="D260" s="48" t="n">
        <v>0</v>
      </c>
      <c r="E260" s="48" t="s">
        <v>114</v>
      </c>
      <c r="F260" s="48" t="s">
        <v>76</v>
      </c>
      <c r="G260" s="48" t="s">
        <v>686</v>
      </c>
      <c r="H260" s="82" t="n">
        <f aca="false">DATE(YEAR(A260),MONTH(A260),1)</f>
        <v>43922</v>
      </c>
    </row>
    <row r="261" customFormat="false" ht="15" hidden="false" customHeight="false" outlineLevel="0" collapsed="false">
      <c r="A261" s="81" t="n">
        <v>43922</v>
      </c>
      <c r="B261" s="48" t="n">
        <v>6</v>
      </c>
      <c r="C261" s="48" t="n">
        <v>0</v>
      </c>
      <c r="D261" s="48" t="n">
        <v>0</v>
      </c>
      <c r="E261" s="48" t="s">
        <v>112</v>
      </c>
      <c r="F261" s="48" t="s">
        <v>73</v>
      </c>
      <c r="G261" s="48" t="s">
        <v>93</v>
      </c>
      <c r="H261" s="82" t="n">
        <f aca="false">DATE(YEAR(A261),MONTH(A261),1)</f>
        <v>43922</v>
      </c>
    </row>
    <row r="262" customFormat="false" ht="15" hidden="false" customHeight="false" outlineLevel="0" collapsed="false">
      <c r="A262" s="81" t="n">
        <v>43922</v>
      </c>
      <c r="B262" s="48" t="n">
        <v>1</v>
      </c>
      <c r="C262" s="48" t="n">
        <v>0</v>
      </c>
      <c r="D262" s="48" t="n">
        <v>0</v>
      </c>
      <c r="E262" s="48" t="s">
        <v>112</v>
      </c>
      <c r="F262" s="48" t="s">
        <v>77</v>
      </c>
      <c r="G262" s="48" t="s">
        <v>599</v>
      </c>
      <c r="H262" s="82" t="n">
        <f aca="false">DATE(YEAR(A262),MONTH(A262),1)</f>
        <v>43922</v>
      </c>
    </row>
    <row r="263" customFormat="false" ht="15" hidden="false" customHeight="false" outlineLevel="0" collapsed="false">
      <c r="A263" s="81" t="n">
        <v>43922</v>
      </c>
      <c r="B263" s="48" t="n">
        <v>2</v>
      </c>
      <c r="C263" s="48" t="n">
        <v>0</v>
      </c>
      <c r="D263" s="48" t="n">
        <v>0</v>
      </c>
      <c r="E263" s="48" t="s">
        <v>112</v>
      </c>
      <c r="F263" s="48" t="s">
        <v>77</v>
      </c>
      <c r="G263" s="48" t="s">
        <v>615</v>
      </c>
      <c r="H263" s="82" t="n">
        <f aca="false">DATE(YEAR(A263),MONTH(A263),1)</f>
        <v>43922</v>
      </c>
    </row>
    <row r="264" customFormat="false" ht="15" hidden="false" customHeight="false" outlineLevel="0" collapsed="false">
      <c r="A264" s="81" t="n">
        <v>43922</v>
      </c>
      <c r="B264" s="48" t="n">
        <v>1</v>
      </c>
      <c r="C264" s="48" t="n">
        <v>0</v>
      </c>
      <c r="D264" s="48" t="n">
        <v>0</v>
      </c>
      <c r="E264" s="48" t="s">
        <v>112</v>
      </c>
      <c r="F264" s="48" t="s">
        <v>77</v>
      </c>
      <c r="G264" s="48" t="s">
        <v>676</v>
      </c>
      <c r="H264" s="82" t="n">
        <f aca="false">DATE(YEAR(A264),MONTH(A264),1)</f>
        <v>43922</v>
      </c>
    </row>
    <row r="265" customFormat="false" ht="15" hidden="false" customHeight="false" outlineLevel="0" collapsed="false">
      <c r="A265" s="81" t="n">
        <v>43922</v>
      </c>
      <c r="B265" s="48" t="n">
        <v>13</v>
      </c>
      <c r="C265" s="48" t="n">
        <v>0</v>
      </c>
      <c r="D265" s="48" t="n">
        <v>0</v>
      </c>
      <c r="E265" s="48" t="s">
        <v>122</v>
      </c>
      <c r="F265" s="48" t="s">
        <v>74</v>
      </c>
      <c r="G265" s="48" t="s">
        <v>95</v>
      </c>
      <c r="H265" s="82" t="n">
        <f aca="false">DATE(YEAR(A265),MONTH(A265),1)</f>
        <v>43922</v>
      </c>
    </row>
    <row r="266" customFormat="false" ht="15" hidden="false" customHeight="false" outlineLevel="0" collapsed="false">
      <c r="A266" s="81" t="n">
        <v>43922</v>
      </c>
      <c r="B266" s="48" t="n">
        <v>1</v>
      </c>
      <c r="C266" s="48" t="n">
        <v>1</v>
      </c>
      <c r="D266" s="48" t="n">
        <v>0</v>
      </c>
      <c r="E266" s="48" t="s">
        <v>112</v>
      </c>
      <c r="F266" s="48" t="s">
        <v>72</v>
      </c>
      <c r="G266" s="48" t="s">
        <v>621</v>
      </c>
      <c r="H266" s="82" t="n">
        <f aca="false">DATE(YEAR(A266),MONTH(A266),1)</f>
        <v>43922</v>
      </c>
    </row>
    <row r="267" customFormat="false" ht="15" hidden="false" customHeight="false" outlineLevel="0" collapsed="false">
      <c r="A267" s="81" t="n">
        <v>43922</v>
      </c>
      <c r="B267" s="48" t="n">
        <v>1</v>
      </c>
      <c r="C267" s="48" t="n">
        <v>1</v>
      </c>
      <c r="D267" s="48" t="n">
        <v>0</v>
      </c>
      <c r="E267" s="48" t="s">
        <v>112</v>
      </c>
      <c r="F267" s="48" t="s">
        <v>72</v>
      </c>
      <c r="G267" s="48" t="s">
        <v>94</v>
      </c>
      <c r="H267" s="82" t="n">
        <f aca="false">DATE(YEAR(A267),MONTH(A267),1)</f>
        <v>43922</v>
      </c>
    </row>
    <row r="268" customFormat="false" ht="15" hidden="false" customHeight="false" outlineLevel="0" collapsed="false">
      <c r="A268" s="81" t="n">
        <v>43922</v>
      </c>
      <c r="B268" s="48" t="n">
        <v>0</v>
      </c>
      <c r="C268" s="48" t="n">
        <v>0</v>
      </c>
      <c r="D268" s="48" t="n">
        <v>2</v>
      </c>
      <c r="E268" s="48" t="s">
        <v>112</v>
      </c>
      <c r="F268" s="48" t="s">
        <v>72</v>
      </c>
      <c r="G268" s="48" t="s">
        <v>594</v>
      </c>
      <c r="H268" s="82" t="n">
        <f aca="false">DATE(YEAR(A268),MONTH(A268),1)</f>
        <v>43922</v>
      </c>
    </row>
    <row r="269" customFormat="false" ht="15" hidden="false" customHeight="false" outlineLevel="0" collapsed="false">
      <c r="A269" s="81" t="n">
        <v>43922</v>
      </c>
      <c r="B269" s="48" t="n">
        <v>3</v>
      </c>
      <c r="C269" s="48" t="n">
        <v>0</v>
      </c>
      <c r="D269" s="48" t="n">
        <v>0</v>
      </c>
      <c r="E269" s="48" t="s">
        <v>112</v>
      </c>
      <c r="F269" s="48" t="s">
        <v>72</v>
      </c>
      <c r="G269" s="48" t="s">
        <v>593</v>
      </c>
      <c r="H269" s="82" t="n">
        <f aca="false">DATE(YEAR(A269),MONTH(A269),1)</f>
        <v>43922</v>
      </c>
    </row>
    <row r="270" customFormat="false" ht="15" hidden="false" customHeight="false" outlineLevel="0" collapsed="false">
      <c r="A270" s="81" t="n">
        <v>43922</v>
      </c>
      <c r="B270" s="48" t="n">
        <v>1</v>
      </c>
      <c r="C270" s="48" t="n">
        <v>0</v>
      </c>
      <c r="D270" s="48" t="n">
        <v>0</v>
      </c>
      <c r="E270" s="48" t="s">
        <v>112</v>
      </c>
      <c r="F270" s="48" t="s">
        <v>72</v>
      </c>
      <c r="G270" s="48" t="s">
        <v>598</v>
      </c>
      <c r="H270" s="82" t="n">
        <f aca="false">DATE(YEAR(A270),MONTH(A270),1)</f>
        <v>43922</v>
      </c>
    </row>
    <row r="271" customFormat="false" ht="15" hidden="false" customHeight="false" outlineLevel="0" collapsed="false">
      <c r="A271" s="81" t="n">
        <v>43922</v>
      </c>
      <c r="B271" s="48" t="n">
        <v>2</v>
      </c>
      <c r="C271" s="48" t="n">
        <v>0</v>
      </c>
      <c r="D271" s="48" t="n">
        <v>0</v>
      </c>
      <c r="E271" s="48" t="s">
        <v>112</v>
      </c>
      <c r="F271" s="48" t="s">
        <v>72</v>
      </c>
      <c r="G271" s="48" t="s">
        <v>612</v>
      </c>
      <c r="H271" s="82" t="n">
        <f aca="false">DATE(YEAR(A271),MONTH(A271),1)</f>
        <v>43922</v>
      </c>
    </row>
    <row r="272" customFormat="false" ht="15" hidden="false" customHeight="false" outlineLevel="0" collapsed="false">
      <c r="A272" s="81" t="n">
        <v>43922</v>
      </c>
      <c r="B272" s="48" t="n">
        <v>1</v>
      </c>
      <c r="C272" s="48" t="n">
        <v>0</v>
      </c>
      <c r="D272" s="48" t="n">
        <v>0</v>
      </c>
      <c r="E272" s="48" t="s">
        <v>112</v>
      </c>
      <c r="F272" s="48" t="s">
        <v>72</v>
      </c>
      <c r="G272" s="48" t="s">
        <v>614</v>
      </c>
      <c r="H272" s="82" t="n">
        <f aca="false">DATE(YEAR(A272),MONTH(A272),1)</f>
        <v>43922</v>
      </c>
    </row>
    <row r="273" customFormat="false" ht="15" hidden="false" customHeight="false" outlineLevel="0" collapsed="false">
      <c r="A273" s="81" t="n">
        <v>43922</v>
      </c>
      <c r="B273" s="48" t="n">
        <v>2</v>
      </c>
      <c r="C273" s="48" t="n">
        <v>0</v>
      </c>
      <c r="D273" s="48" t="n">
        <v>0</v>
      </c>
      <c r="E273" s="48" t="s">
        <v>112</v>
      </c>
      <c r="F273" s="48" t="s">
        <v>72</v>
      </c>
      <c r="G273" s="48" t="s">
        <v>610</v>
      </c>
      <c r="H273" s="82" t="n">
        <f aca="false">DATE(YEAR(A273),MONTH(A273),1)</f>
        <v>43922</v>
      </c>
    </row>
    <row r="274" customFormat="false" ht="15" hidden="false" customHeight="false" outlineLevel="0" collapsed="false">
      <c r="A274" s="81" t="n">
        <v>43922</v>
      </c>
      <c r="B274" s="48" t="n">
        <v>7</v>
      </c>
      <c r="C274" s="48" t="n">
        <v>0</v>
      </c>
      <c r="D274" s="48" t="n">
        <v>10</v>
      </c>
      <c r="E274" s="48" t="s">
        <v>112</v>
      </c>
      <c r="F274" s="48" t="s">
        <v>72</v>
      </c>
      <c r="G274" s="48" t="s">
        <v>102</v>
      </c>
      <c r="H274" s="82" t="n">
        <f aca="false">DATE(YEAR(A274),MONTH(A274),1)</f>
        <v>43922</v>
      </c>
    </row>
    <row r="275" customFormat="false" ht="15" hidden="false" customHeight="false" outlineLevel="0" collapsed="false">
      <c r="A275" s="81" t="n">
        <v>43922</v>
      </c>
      <c r="B275" s="48" t="n">
        <v>1</v>
      </c>
      <c r="C275" s="48" t="n">
        <v>0</v>
      </c>
      <c r="D275" s="48" t="n">
        <v>0</v>
      </c>
      <c r="E275" s="48" t="s">
        <v>112</v>
      </c>
      <c r="F275" s="48" t="s">
        <v>72</v>
      </c>
      <c r="G275" s="48" t="s">
        <v>666</v>
      </c>
      <c r="H275" s="82" t="n">
        <f aca="false">DATE(YEAR(A275),MONTH(A275),1)</f>
        <v>43922</v>
      </c>
    </row>
    <row r="276" customFormat="false" ht="15" hidden="false" customHeight="false" outlineLevel="0" collapsed="false">
      <c r="A276" s="81" t="n">
        <v>43922</v>
      </c>
      <c r="B276" s="48" t="n">
        <v>1</v>
      </c>
      <c r="C276" s="48" t="n">
        <v>0</v>
      </c>
      <c r="D276" s="48" t="n">
        <v>0</v>
      </c>
      <c r="E276" s="48" t="s">
        <v>112</v>
      </c>
      <c r="F276" s="48" t="s">
        <v>72</v>
      </c>
      <c r="G276" s="48" t="s">
        <v>673</v>
      </c>
      <c r="H276" s="82" t="n">
        <f aca="false">DATE(YEAR(A276),MONTH(A276),1)</f>
        <v>43922</v>
      </c>
    </row>
    <row r="277" customFormat="false" ht="15" hidden="false" customHeight="false" outlineLevel="0" collapsed="false">
      <c r="A277" s="81" t="n">
        <v>43922</v>
      </c>
      <c r="B277" s="48" t="n">
        <v>2</v>
      </c>
      <c r="C277" s="48" t="n">
        <v>0</v>
      </c>
      <c r="D277" s="48" t="n">
        <v>0</v>
      </c>
      <c r="E277" s="48" t="s">
        <v>112</v>
      </c>
      <c r="F277" s="48" t="s">
        <v>71</v>
      </c>
      <c r="G277" s="48" t="s">
        <v>622</v>
      </c>
      <c r="H277" s="82" t="n">
        <f aca="false">DATE(YEAR(A277),MONTH(A277),1)</f>
        <v>43922</v>
      </c>
    </row>
    <row r="278" customFormat="false" ht="15" hidden="false" customHeight="false" outlineLevel="0" collapsed="false">
      <c r="A278" s="81" t="n">
        <v>43922</v>
      </c>
      <c r="B278" s="48" t="n">
        <v>48</v>
      </c>
      <c r="C278" s="48" t="n">
        <v>0</v>
      </c>
      <c r="D278" s="48" t="n">
        <v>0</v>
      </c>
      <c r="E278" s="48" t="s">
        <v>112</v>
      </c>
      <c r="F278" s="48" t="s">
        <v>71</v>
      </c>
      <c r="G278" s="48" t="s">
        <v>92</v>
      </c>
      <c r="H278" s="82" t="n">
        <f aca="false">DATE(YEAR(A278),MONTH(A278),1)</f>
        <v>43922</v>
      </c>
    </row>
    <row r="279" customFormat="false" ht="15" hidden="false" customHeight="false" outlineLevel="0" collapsed="false">
      <c r="A279" s="81" t="n">
        <v>43922</v>
      </c>
      <c r="B279" s="48" t="n">
        <v>7</v>
      </c>
      <c r="C279" s="48" t="n">
        <v>1</v>
      </c>
      <c r="D279" s="48" t="n">
        <v>0</v>
      </c>
      <c r="E279" s="48" t="s">
        <v>112</v>
      </c>
      <c r="F279" s="48" t="s">
        <v>71</v>
      </c>
      <c r="G279" s="48" t="s">
        <v>602</v>
      </c>
      <c r="H279" s="82" t="n">
        <f aca="false">DATE(YEAR(A279),MONTH(A279),1)</f>
        <v>43922</v>
      </c>
    </row>
    <row r="280" customFormat="false" ht="15" hidden="false" customHeight="false" outlineLevel="0" collapsed="false">
      <c r="A280" s="81" t="n">
        <v>43922</v>
      </c>
      <c r="B280" s="48" t="n">
        <v>28</v>
      </c>
      <c r="C280" s="48" t="n">
        <v>0</v>
      </c>
      <c r="D280" s="48" t="n">
        <v>0</v>
      </c>
      <c r="E280" s="48" t="s">
        <v>112</v>
      </c>
      <c r="F280" s="48" t="s">
        <v>71</v>
      </c>
      <c r="G280" s="48" t="s">
        <v>606</v>
      </c>
      <c r="H280" s="82" t="n">
        <f aca="false">DATE(YEAR(A280),MONTH(A280),1)</f>
        <v>43922</v>
      </c>
    </row>
    <row r="281" customFormat="false" ht="15" hidden="false" customHeight="false" outlineLevel="0" collapsed="false">
      <c r="A281" s="81" t="n">
        <v>43922</v>
      </c>
      <c r="B281" s="48" t="n">
        <v>2</v>
      </c>
      <c r="C281" s="48" t="n">
        <v>0</v>
      </c>
      <c r="D281" s="48" t="n">
        <v>0</v>
      </c>
      <c r="E281" s="48" t="s">
        <v>112</v>
      </c>
      <c r="F281" s="48" t="s">
        <v>71</v>
      </c>
      <c r="G281" s="48" t="s">
        <v>620</v>
      </c>
      <c r="H281" s="82" t="n">
        <f aca="false">DATE(YEAR(A281),MONTH(A281),1)</f>
        <v>43922</v>
      </c>
    </row>
    <row r="282" customFormat="false" ht="15" hidden="false" customHeight="false" outlineLevel="0" collapsed="false">
      <c r="A282" s="81" t="n">
        <v>43922</v>
      </c>
      <c r="B282" s="48" t="n">
        <v>1</v>
      </c>
      <c r="C282" s="48" t="n">
        <v>0</v>
      </c>
      <c r="D282" s="48" t="n">
        <v>0</v>
      </c>
      <c r="E282" s="48" t="s">
        <v>112</v>
      </c>
      <c r="F282" s="48" t="s">
        <v>71</v>
      </c>
      <c r="G282" s="48" t="s">
        <v>647</v>
      </c>
      <c r="H282" s="82" t="n">
        <f aca="false">DATE(YEAR(A282),MONTH(A282),1)</f>
        <v>43922</v>
      </c>
    </row>
    <row r="283" customFormat="false" ht="15" hidden="false" customHeight="false" outlineLevel="0" collapsed="false">
      <c r="A283" s="81" t="n">
        <v>43922</v>
      </c>
      <c r="B283" s="48" t="n">
        <v>8</v>
      </c>
      <c r="C283" s="48" t="n">
        <v>0</v>
      </c>
      <c r="D283" s="48" t="n">
        <v>0</v>
      </c>
      <c r="E283" s="48" t="s">
        <v>112</v>
      </c>
      <c r="F283" s="48" t="s">
        <v>71</v>
      </c>
      <c r="G283" s="48" t="s">
        <v>604</v>
      </c>
      <c r="H283" s="82" t="n">
        <f aca="false">DATE(YEAR(A283),MONTH(A283),1)</f>
        <v>43922</v>
      </c>
    </row>
    <row r="284" customFormat="false" ht="15" hidden="false" customHeight="false" outlineLevel="0" collapsed="false">
      <c r="A284" s="81" t="n">
        <v>43922</v>
      </c>
      <c r="B284" s="48" t="n">
        <v>1</v>
      </c>
      <c r="C284" s="48" t="n">
        <v>0</v>
      </c>
      <c r="D284" s="48" t="n">
        <v>0</v>
      </c>
      <c r="E284" s="48" t="s">
        <v>112</v>
      </c>
      <c r="F284" s="48" t="s">
        <v>71</v>
      </c>
      <c r="G284" s="48" t="s">
        <v>625</v>
      </c>
      <c r="H284" s="82" t="n">
        <f aca="false">DATE(YEAR(A284),MONTH(A284),1)</f>
        <v>43922</v>
      </c>
    </row>
    <row r="285" customFormat="false" ht="15" hidden="false" customHeight="false" outlineLevel="0" collapsed="false">
      <c r="A285" s="81" t="n">
        <v>43922</v>
      </c>
      <c r="B285" s="48" t="n">
        <v>2</v>
      </c>
      <c r="C285" s="48" t="n">
        <v>0</v>
      </c>
      <c r="D285" s="48" t="n">
        <v>0</v>
      </c>
      <c r="E285" s="48" t="s">
        <v>112</v>
      </c>
      <c r="F285" s="48" t="s">
        <v>71</v>
      </c>
      <c r="G285" s="48" t="s">
        <v>657</v>
      </c>
      <c r="H285" s="82" t="n">
        <f aca="false">DATE(YEAR(A285),MONTH(A285),1)</f>
        <v>43922</v>
      </c>
    </row>
    <row r="286" customFormat="false" ht="15" hidden="false" customHeight="false" outlineLevel="0" collapsed="false">
      <c r="A286" s="81" t="n">
        <v>43922</v>
      </c>
      <c r="B286" s="48" t="n">
        <v>16</v>
      </c>
      <c r="C286" s="48" t="n">
        <v>0</v>
      </c>
      <c r="D286" s="48" t="n">
        <v>0</v>
      </c>
      <c r="E286" s="48" t="s">
        <v>118</v>
      </c>
      <c r="F286" s="48" t="s">
        <v>71</v>
      </c>
      <c r="G286" s="48" t="s">
        <v>97</v>
      </c>
      <c r="H286" s="82" t="n">
        <f aca="false">DATE(YEAR(A286),MONTH(A286),1)</f>
        <v>43922</v>
      </c>
    </row>
    <row r="287" customFormat="false" ht="15" hidden="false" customHeight="false" outlineLevel="0" collapsed="false">
      <c r="A287" s="81" t="n">
        <v>43922</v>
      </c>
      <c r="B287" s="48" t="n">
        <v>63</v>
      </c>
      <c r="C287" s="48" t="n">
        <v>0</v>
      </c>
      <c r="D287" s="48" t="n">
        <v>0</v>
      </c>
      <c r="E287" s="48" t="s">
        <v>118</v>
      </c>
      <c r="F287" s="48" t="s">
        <v>71</v>
      </c>
      <c r="G287" s="48" t="s">
        <v>100</v>
      </c>
      <c r="H287" s="82" t="n">
        <f aca="false">DATE(YEAR(A287),MONTH(A287),1)</f>
        <v>43922</v>
      </c>
    </row>
    <row r="288" customFormat="false" ht="15" hidden="false" customHeight="false" outlineLevel="0" collapsed="false">
      <c r="A288" s="81" t="n">
        <v>43922</v>
      </c>
      <c r="B288" s="48" t="n">
        <v>3</v>
      </c>
      <c r="C288" s="48" t="n">
        <v>0</v>
      </c>
      <c r="D288" s="48" t="n">
        <v>0</v>
      </c>
      <c r="E288" s="48" t="s">
        <v>118</v>
      </c>
      <c r="F288" s="48" t="s">
        <v>71</v>
      </c>
      <c r="G288" s="48" t="s">
        <v>626</v>
      </c>
      <c r="H288" s="82" t="n">
        <f aca="false">DATE(YEAR(A288),MONTH(A288),1)</f>
        <v>43922</v>
      </c>
    </row>
    <row r="289" customFormat="false" ht="15" hidden="false" customHeight="false" outlineLevel="0" collapsed="false">
      <c r="A289" s="81" t="n">
        <v>43922</v>
      </c>
      <c r="B289" s="48" t="n">
        <v>33</v>
      </c>
      <c r="C289" s="48" t="n">
        <v>1</v>
      </c>
      <c r="D289" s="48" t="n">
        <v>3</v>
      </c>
      <c r="E289" s="48" t="s">
        <v>112</v>
      </c>
      <c r="F289" s="48" t="s">
        <v>70</v>
      </c>
      <c r="G289" s="48" t="s">
        <v>91</v>
      </c>
      <c r="H289" s="82" t="n">
        <f aca="false">DATE(YEAR(A289),MONTH(A289),1)</f>
        <v>43922</v>
      </c>
    </row>
    <row r="290" customFormat="false" ht="15" hidden="false" customHeight="false" outlineLevel="0" collapsed="false">
      <c r="A290" s="81" t="n">
        <v>43923</v>
      </c>
      <c r="B290" s="48" t="n">
        <v>5</v>
      </c>
      <c r="C290" s="48" t="n">
        <v>0</v>
      </c>
      <c r="D290" s="48" t="n">
        <v>0</v>
      </c>
      <c r="E290" s="48" t="s">
        <v>112</v>
      </c>
      <c r="F290" s="48" t="s">
        <v>73</v>
      </c>
      <c r="G290" s="48" t="s">
        <v>93</v>
      </c>
      <c r="H290" s="82" t="n">
        <f aca="false">DATE(YEAR(A290),MONTH(A290),1)</f>
        <v>43922</v>
      </c>
    </row>
    <row r="291" customFormat="false" ht="15" hidden="false" customHeight="false" outlineLevel="0" collapsed="false">
      <c r="A291" s="81" t="n">
        <v>43923</v>
      </c>
      <c r="B291" s="48" t="n">
        <v>3</v>
      </c>
      <c r="C291" s="48" t="n">
        <v>1</v>
      </c>
      <c r="D291" s="48" t="n">
        <v>0</v>
      </c>
      <c r="E291" s="48" t="s">
        <v>114</v>
      </c>
      <c r="F291" s="48" t="s">
        <v>75</v>
      </c>
      <c r="G291" s="48" t="s">
        <v>629</v>
      </c>
      <c r="H291" s="82" t="n">
        <f aca="false">DATE(YEAR(A291),MONTH(A291),1)</f>
        <v>43922</v>
      </c>
    </row>
    <row r="292" customFormat="false" ht="15" hidden="false" customHeight="false" outlineLevel="0" collapsed="false">
      <c r="A292" s="81" t="n">
        <v>43923</v>
      </c>
      <c r="B292" s="48" t="n">
        <v>4</v>
      </c>
      <c r="C292" s="48" t="n">
        <v>0</v>
      </c>
      <c r="D292" s="48" t="n">
        <v>0</v>
      </c>
      <c r="E292" s="48" t="s">
        <v>114</v>
      </c>
      <c r="F292" s="48" t="s">
        <v>74</v>
      </c>
      <c r="G292" s="48" t="s">
        <v>95</v>
      </c>
      <c r="H292" s="82" t="n">
        <f aca="false">DATE(YEAR(A292),MONTH(A292),1)</f>
        <v>43922</v>
      </c>
    </row>
    <row r="293" customFormat="false" ht="15" hidden="false" customHeight="false" outlineLevel="0" collapsed="false">
      <c r="A293" s="81" t="n">
        <v>43923</v>
      </c>
      <c r="B293" s="48" t="n">
        <v>1</v>
      </c>
      <c r="C293" s="48" t="n">
        <v>1</v>
      </c>
      <c r="D293" s="48" t="n">
        <v>0</v>
      </c>
      <c r="E293" s="48" t="s">
        <v>112</v>
      </c>
      <c r="F293" s="48" t="s">
        <v>72</v>
      </c>
      <c r="G293" s="48" t="s">
        <v>603</v>
      </c>
      <c r="H293" s="82" t="n">
        <f aca="false">DATE(YEAR(A293),MONTH(A293),1)</f>
        <v>43922</v>
      </c>
    </row>
    <row r="294" customFormat="false" ht="15" hidden="false" customHeight="false" outlineLevel="0" collapsed="false">
      <c r="A294" s="81" t="n">
        <v>43923</v>
      </c>
      <c r="B294" s="48" t="n">
        <v>1</v>
      </c>
      <c r="C294" s="48" t="n">
        <v>0</v>
      </c>
      <c r="D294" s="48" t="n">
        <v>0</v>
      </c>
      <c r="E294" s="48" t="s">
        <v>112</v>
      </c>
      <c r="F294" s="48" t="s">
        <v>72</v>
      </c>
      <c r="G294" s="48" t="s">
        <v>593</v>
      </c>
      <c r="H294" s="82" t="n">
        <f aca="false">DATE(YEAR(A294),MONTH(A294),1)</f>
        <v>43922</v>
      </c>
    </row>
    <row r="295" customFormat="false" ht="15" hidden="false" customHeight="false" outlineLevel="0" collapsed="false">
      <c r="A295" s="81" t="n">
        <v>43923</v>
      </c>
      <c r="B295" s="48" t="n">
        <v>5</v>
      </c>
      <c r="C295" s="48" t="n">
        <v>0</v>
      </c>
      <c r="D295" s="48" t="n">
        <v>0</v>
      </c>
      <c r="E295" s="48" t="s">
        <v>112</v>
      </c>
      <c r="F295" s="48" t="s">
        <v>72</v>
      </c>
      <c r="G295" s="48" t="s">
        <v>591</v>
      </c>
      <c r="H295" s="82" t="n">
        <f aca="false">DATE(YEAR(A295),MONTH(A295),1)</f>
        <v>43922</v>
      </c>
    </row>
    <row r="296" customFormat="false" ht="15" hidden="false" customHeight="false" outlineLevel="0" collapsed="false">
      <c r="A296" s="81" t="n">
        <v>43923</v>
      </c>
      <c r="B296" s="48" t="n">
        <v>2</v>
      </c>
      <c r="C296" s="48" t="n">
        <v>0</v>
      </c>
      <c r="D296" s="48" t="n">
        <v>0</v>
      </c>
      <c r="E296" s="48" t="s">
        <v>112</v>
      </c>
      <c r="F296" s="48" t="s">
        <v>72</v>
      </c>
      <c r="G296" s="48" t="s">
        <v>598</v>
      </c>
      <c r="H296" s="82" t="n">
        <f aca="false">DATE(YEAR(A296),MONTH(A296),1)</f>
        <v>43922</v>
      </c>
    </row>
    <row r="297" customFormat="false" ht="15" hidden="false" customHeight="false" outlineLevel="0" collapsed="false">
      <c r="A297" s="81" t="n">
        <v>43923</v>
      </c>
      <c r="B297" s="48" t="n">
        <v>1</v>
      </c>
      <c r="C297" s="48" t="n">
        <v>0</v>
      </c>
      <c r="D297" s="48" t="n">
        <v>0</v>
      </c>
      <c r="E297" s="48" t="s">
        <v>112</v>
      </c>
      <c r="F297" s="48" t="s">
        <v>72</v>
      </c>
      <c r="G297" s="48" t="s">
        <v>655</v>
      </c>
      <c r="H297" s="82" t="n">
        <f aca="false">DATE(YEAR(A297),MONTH(A297),1)</f>
        <v>43922</v>
      </c>
    </row>
    <row r="298" customFormat="false" ht="15" hidden="false" customHeight="false" outlineLevel="0" collapsed="false">
      <c r="A298" s="81" t="n">
        <v>43923</v>
      </c>
      <c r="B298" s="48" t="n">
        <v>1</v>
      </c>
      <c r="C298" s="48" t="n">
        <v>0</v>
      </c>
      <c r="D298" s="48" t="n">
        <v>0</v>
      </c>
      <c r="E298" s="48" t="s">
        <v>112</v>
      </c>
      <c r="F298" s="48" t="s">
        <v>72</v>
      </c>
      <c r="G298" s="48" t="s">
        <v>608</v>
      </c>
      <c r="H298" s="82" t="n">
        <f aca="false">DATE(YEAR(A298),MONTH(A298),1)</f>
        <v>43922</v>
      </c>
    </row>
    <row r="299" customFormat="false" ht="15" hidden="false" customHeight="false" outlineLevel="0" collapsed="false">
      <c r="A299" s="81" t="n">
        <v>43923</v>
      </c>
      <c r="B299" s="48" t="n">
        <v>6</v>
      </c>
      <c r="C299" s="48" t="n">
        <v>0</v>
      </c>
      <c r="D299" s="48" t="n">
        <v>0</v>
      </c>
      <c r="E299" s="48" t="s">
        <v>112</v>
      </c>
      <c r="F299" s="48" t="s">
        <v>72</v>
      </c>
      <c r="G299" s="48" t="s">
        <v>614</v>
      </c>
      <c r="H299" s="82" t="n">
        <f aca="false">DATE(YEAR(A299),MONTH(A299),1)</f>
        <v>43922</v>
      </c>
    </row>
    <row r="300" customFormat="false" ht="15" hidden="false" customHeight="false" outlineLevel="0" collapsed="false">
      <c r="A300" s="81" t="n">
        <v>43923</v>
      </c>
      <c r="B300" s="48" t="n">
        <v>1</v>
      </c>
      <c r="C300" s="48" t="n">
        <v>0</v>
      </c>
      <c r="D300" s="48" t="n">
        <v>0</v>
      </c>
      <c r="E300" s="48" t="s">
        <v>112</v>
      </c>
      <c r="F300" s="48" t="s">
        <v>72</v>
      </c>
      <c r="G300" s="48" t="s">
        <v>610</v>
      </c>
      <c r="H300" s="82" t="n">
        <f aca="false">DATE(YEAR(A300),MONTH(A300),1)</f>
        <v>43922</v>
      </c>
    </row>
    <row r="301" customFormat="false" ht="15" hidden="false" customHeight="false" outlineLevel="0" collapsed="false">
      <c r="A301" s="81" t="n">
        <v>43923</v>
      </c>
      <c r="B301" s="48" t="n">
        <v>1</v>
      </c>
      <c r="C301" s="48" t="n">
        <v>0</v>
      </c>
      <c r="D301" s="48" t="n">
        <v>0</v>
      </c>
      <c r="E301" s="48" t="s">
        <v>112</v>
      </c>
      <c r="F301" s="48" t="s">
        <v>72</v>
      </c>
      <c r="G301" s="48" t="s">
        <v>594</v>
      </c>
      <c r="H301" s="82" t="n">
        <f aca="false">DATE(YEAR(A301),MONTH(A301),1)</f>
        <v>43922</v>
      </c>
    </row>
    <row r="302" customFormat="false" ht="15" hidden="false" customHeight="false" outlineLevel="0" collapsed="false">
      <c r="A302" s="81" t="n">
        <v>43923</v>
      </c>
      <c r="B302" s="48" t="n">
        <v>17</v>
      </c>
      <c r="C302" s="48" t="n">
        <v>0</v>
      </c>
      <c r="D302" s="48" t="n">
        <v>0</v>
      </c>
      <c r="E302" s="48" t="s">
        <v>112</v>
      </c>
      <c r="F302" s="48" t="s">
        <v>72</v>
      </c>
      <c r="G302" s="48" t="s">
        <v>94</v>
      </c>
      <c r="H302" s="82" t="n">
        <f aca="false">DATE(YEAR(A302),MONTH(A302),1)</f>
        <v>43922</v>
      </c>
    </row>
    <row r="303" customFormat="false" ht="15" hidden="false" customHeight="false" outlineLevel="0" collapsed="false">
      <c r="A303" s="81" t="n">
        <v>43923</v>
      </c>
      <c r="B303" s="48" t="n">
        <v>1</v>
      </c>
      <c r="C303" s="48" t="n">
        <v>0</v>
      </c>
      <c r="D303" s="48" t="n">
        <v>3</v>
      </c>
      <c r="E303" s="48" t="s">
        <v>112</v>
      </c>
      <c r="F303" s="48" t="s">
        <v>72</v>
      </c>
      <c r="G303" s="48" t="s">
        <v>611</v>
      </c>
      <c r="H303" s="82" t="n">
        <f aca="false">DATE(YEAR(A303),MONTH(A303),1)</f>
        <v>43922</v>
      </c>
    </row>
    <row r="304" customFormat="false" ht="15" hidden="false" customHeight="false" outlineLevel="0" collapsed="false">
      <c r="A304" s="81" t="n">
        <v>43923</v>
      </c>
      <c r="B304" s="48" t="n">
        <v>27</v>
      </c>
      <c r="C304" s="48" t="n">
        <v>0</v>
      </c>
      <c r="D304" s="48" t="n">
        <v>0</v>
      </c>
      <c r="E304" s="48" t="s">
        <v>116</v>
      </c>
      <c r="F304" s="48" t="s">
        <v>71</v>
      </c>
      <c r="G304" s="48" t="s">
        <v>100</v>
      </c>
      <c r="H304" s="82" t="n">
        <f aca="false">DATE(YEAR(A304),MONTH(A304),1)</f>
        <v>43922</v>
      </c>
    </row>
    <row r="305" customFormat="false" ht="15" hidden="false" customHeight="false" outlineLevel="0" collapsed="false">
      <c r="A305" s="81" t="n">
        <v>43923</v>
      </c>
      <c r="B305" s="48" t="n">
        <v>21</v>
      </c>
      <c r="C305" s="48" t="n">
        <v>1</v>
      </c>
      <c r="D305" s="48" t="n">
        <v>0</v>
      </c>
      <c r="E305" s="48" t="s">
        <v>114</v>
      </c>
      <c r="F305" s="48" t="s">
        <v>71</v>
      </c>
      <c r="G305" s="48" t="s">
        <v>92</v>
      </c>
      <c r="H305" s="82" t="n">
        <f aca="false">DATE(YEAR(A305),MONTH(A305),1)</f>
        <v>43922</v>
      </c>
    </row>
    <row r="306" customFormat="false" ht="15" hidden="false" customHeight="false" outlineLevel="0" collapsed="false">
      <c r="A306" s="81" t="n">
        <v>43923</v>
      </c>
      <c r="B306" s="48" t="n">
        <v>1</v>
      </c>
      <c r="C306" s="48" t="n">
        <v>0</v>
      </c>
      <c r="D306" s="48" t="n">
        <v>0</v>
      </c>
      <c r="E306" s="48" t="s">
        <v>112</v>
      </c>
      <c r="F306" s="48" t="s">
        <v>71</v>
      </c>
      <c r="G306" s="48" t="s">
        <v>620</v>
      </c>
      <c r="H306" s="82" t="n">
        <f aca="false">DATE(YEAR(A306),MONTH(A306),1)</f>
        <v>43922</v>
      </c>
    </row>
    <row r="307" customFormat="false" ht="15" hidden="false" customHeight="false" outlineLevel="0" collapsed="false">
      <c r="A307" s="81" t="n">
        <v>43923</v>
      </c>
      <c r="B307" s="48" t="n">
        <v>2</v>
      </c>
      <c r="C307" s="48" t="n">
        <v>0</v>
      </c>
      <c r="D307" s="48" t="n">
        <v>0</v>
      </c>
      <c r="E307" s="48" t="s">
        <v>112</v>
      </c>
      <c r="F307" s="48" t="s">
        <v>71</v>
      </c>
      <c r="G307" s="48" t="s">
        <v>602</v>
      </c>
      <c r="H307" s="82" t="n">
        <f aca="false">DATE(YEAR(A307),MONTH(A307),1)</f>
        <v>43922</v>
      </c>
    </row>
    <row r="308" customFormat="false" ht="15" hidden="false" customHeight="false" outlineLevel="0" collapsed="false">
      <c r="A308" s="81" t="n">
        <v>43923</v>
      </c>
      <c r="B308" s="48" t="n">
        <v>10</v>
      </c>
      <c r="C308" s="48" t="n">
        <v>0</v>
      </c>
      <c r="D308" s="48" t="n">
        <v>0</v>
      </c>
      <c r="E308" s="48" t="s">
        <v>112</v>
      </c>
      <c r="F308" s="48" t="s">
        <v>71</v>
      </c>
      <c r="G308" s="48" t="s">
        <v>648</v>
      </c>
      <c r="H308" s="82" t="n">
        <f aca="false">DATE(YEAR(A308),MONTH(A308),1)</f>
        <v>43922</v>
      </c>
    </row>
    <row r="309" customFormat="false" ht="15" hidden="false" customHeight="false" outlineLevel="0" collapsed="false">
      <c r="A309" s="81" t="n">
        <v>43923</v>
      </c>
      <c r="B309" s="48" t="n">
        <v>6</v>
      </c>
      <c r="C309" s="48" t="n">
        <v>0</v>
      </c>
      <c r="D309" s="48" t="n">
        <v>0</v>
      </c>
      <c r="E309" s="48" t="s">
        <v>112</v>
      </c>
      <c r="F309" s="48" t="s">
        <v>71</v>
      </c>
      <c r="G309" s="48" t="s">
        <v>628</v>
      </c>
      <c r="H309" s="82" t="n">
        <f aca="false">DATE(YEAR(A309),MONTH(A309),1)</f>
        <v>43922</v>
      </c>
    </row>
    <row r="310" customFormat="false" ht="15" hidden="false" customHeight="false" outlineLevel="0" collapsed="false">
      <c r="A310" s="81" t="n">
        <v>43923</v>
      </c>
      <c r="B310" s="48" t="n">
        <v>6</v>
      </c>
      <c r="C310" s="48" t="n">
        <v>0</v>
      </c>
      <c r="D310" s="48" t="n">
        <v>0</v>
      </c>
      <c r="E310" s="48" t="s">
        <v>118</v>
      </c>
      <c r="F310" s="48" t="s">
        <v>71</v>
      </c>
      <c r="G310" s="48" t="s">
        <v>596</v>
      </c>
      <c r="H310" s="82" t="n">
        <f aca="false">DATE(YEAR(A310),MONTH(A310),1)</f>
        <v>43922</v>
      </c>
    </row>
    <row r="311" customFormat="false" ht="15" hidden="false" customHeight="false" outlineLevel="0" collapsed="false">
      <c r="A311" s="81" t="n">
        <v>43923</v>
      </c>
      <c r="B311" s="48" t="n">
        <v>27</v>
      </c>
      <c r="C311" s="48" t="n">
        <v>0</v>
      </c>
      <c r="D311" s="48" t="n">
        <v>0</v>
      </c>
      <c r="E311" s="48" t="s">
        <v>118</v>
      </c>
      <c r="F311" s="48" t="s">
        <v>71</v>
      </c>
      <c r="G311" s="48" t="s">
        <v>100</v>
      </c>
      <c r="H311" s="82" t="n">
        <f aca="false">DATE(YEAR(A311),MONTH(A311),1)</f>
        <v>43922</v>
      </c>
    </row>
    <row r="312" customFormat="false" ht="15" hidden="false" customHeight="false" outlineLevel="0" collapsed="false">
      <c r="A312" s="81" t="n">
        <v>43923</v>
      </c>
      <c r="B312" s="48" t="n">
        <v>2</v>
      </c>
      <c r="C312" s="48" t="n">
        <v>0</v>
      </c>
      <c r="D312" s="48" t="n">
        <v>0</v>
      </c>
      <c r="E312" s="48" t="s">
        <v>118</v>
      </c>
      <c r="F312" s="48" t="s">
        <v>71</v>
      </c>
      <c r="G312" s="48" t="s">
        <v>626</v>
      </c>
      <c r="H312" s="82" t="n">
        <f aca="false">DATE(YEAR(A312),MONTH(A312),1)</f>
        <v>43922</v>
      </c>
    </row>
    <row r="313" customFormat="false" ht="15" hidden="false" customHeight="false" outlineLevel="0" collapsed="false">
      <c r="A313" s="81" t="n">
        <v>43923</v>
      </c>
      <c r="B313" s="48" t="n">
        <v>32</v>
      </c>
      <c r="C313" s="48" t="n">
        <v>1</v>
      </c>
      <c r="D313" s="48" t="n">
        <v>9</v>
      </c>
      <c r="E313" s="48" t="s">
        <v>112</v>
      </c>
      <c r="F313" s="48" t="s">
        <v>70</v>
      </c>
      <c r="G313" s="48" t="s">
        <v>91</v>
      </c>
      <c r="H313" s="82" t="n">
        <f aca="false">DATE(YEAR(A313),MONTH(A313),1)</f>
        <v>43922</v>
      </c>
    </row>
    <row r="314" customFormat="false" ht="15" hidden="false" customHeight="false" outlineLevel="0" collapsed="false">
      <c r="A314" s="81" t="n">
        <v>43923</v>
      </c>
      <c r="B314" s="48" t="n">
        <v>0</v>
      </c>
      <c r="C314" s="48" t="n">
        <v>1</v>
      </c>
      <c r="D314" s="48" t="n">
        <v>0</v>
      </c>
      <c r="E314" s="48" t="s">
        <v>116</v>
      </c>
      <c r="F314" s="48" t="s">
        <v>70</v>
      </c>
      <c r="G314" s="48" t="s">
        <v>99</v>
      </c>
      <c r="H314" s="82" t="n">
        <f aca="false">DATE(YEAR(A314),MONTH(A314),1)</f>
        <v>43922</v>
      </c>
    </row>
    <row r="315" customFormat="false" ht="15" hidden="false" customHeight="false" outlineLevel="0" collapsed="false">
      <c r="A315" s="81" t="n">
        <v>43923</v>
      </c>
      <c r="B315" s="48" t="n">
        <v>0</v>
      </c>
      <c r="C315" s="48" t="n">
        <v>0</v>
      </c>
      <c r="D315" s="48" t="n">
        <v>2</v>
      </c>
      <c r="E315" s="48" t="s">
        <v>118</v>
      </c>
      <c r="F315" s="48" t="s">
        <v>70</v>
      </c>
      <c r="G315" s="48" t="s">
        <v>98</v>
      </c>
      <c r="H315" s="82" t="n">
        <f aca="false">DATE(YEAR(A315),MONTH(A315),1)</f>
        <v>43922</v>
      </c>
    </row>
    <row r="316" customFormat="false" ht="15" hidden="false" customHeight="false" outlineLevel="0" collapsed="false">
      <c r="A316" s="81" t="n">
        <v>43924</v>
      </c>
      <c r="B316" s="48" t="n">
        <v>6</v>
      </c>
      <c r="C316" s="48" t="n">
        <v>0</v>
      </c>
      <c r="D316" s="48" t="n">
        <v>0</v>
      </c>
      <c r="E316" s="48" t="s">
        <v>114</v>
      </c>
      <c r="F316" s="48" t="s">
        <v>73</v>
      </c>
      <c r="G316" s="48" t="s">
        <v>93</v>
      </c>
      <c r="H316" s="82" t="n">
        <f aca="false">DATE(YEAR(A316),MONTH(A316),1)</f>
        <v>43922</v>
      </c>
    </row>
    <row r="317" customFormat="false" ht="15" hidden="false" customHeight="false" outlineLevel="0" collapsed="false">
      <c r="A317" s="81" t="n">
        <v>43924</v>
      </c>
      <c r="B317" s="48" t="n">
        <v>1</v>
      </c>
      <c r="C317" s="48" t="n">
        <v>0</v>
      </c>
      <c r="D317" s="48" t="n">
        <v>1</v>
      </c>
      <c r="E317" s="48" t="s">
        <v>114</v>
      </c>
      <c r="F317" s="48" t="s">
        <v>75</v>
      </c>
      <c r="G317" s="48" t="s">
        <v>646</v>
      </c>
      <c r="H317" s="82" t="n">
        <f aca="false">DATE(YEAR(A317),MONTH(A317),1)</f>
        <v>43922</v>
      </c>
    </row>
    <row r="318" customFormat="false" ht="15" hidden="false" customHeight="false" outlineLevel="0" collapsed="false">
      <c r="A318" s="81" t="n">
        <v>43924</v>
      </c>
      <c r="B318" s="48" t="n">
        <v>1</v>
      </c>
      <c r="C318" s="48" t="n">
        <v>0</v>
      </c>
      <c r="D318" s="48" t="n">
        <v>0</v>
      </c>
      <c r="E318" s="48" t="s">
        <v>114</v>
      </c>
      <c r="F318" s="48" t="s">
        <v>75</v>
      </c>
      <c r="G318" s="48" t="s">
        <v>617</v>
      </c>
      <c r="H318" s="82" t="n">
        <f aca="false">DATE(YEAR(A318),MONTH(A318),1)</f>
        <v>43922</v>
      </c>
    </row>
    <row r="319" customFormat="false" ht="15" hidden="false" customHeight="false" outlineLevel="0" collapsed="false">
      <c r="A319" s="81" t="n">
        <v>43924</v>
      </c>
      <c r="B319" s="48" t="n">
        <v>1</v>
      </c>
      <c r="C319" s="48" t="n">
        <v>0</v>
      </c>
      <c r="D319" s="48" t="n">
        <v>0</v>
      </c>
      <c r="E319" s="48" t="s">
        <v>114</v>
      </c>
      <c r="F319" s="48" t="s">
        <v>75</v>
      </c>
      <c r="G319" s="48" t="s">
        <v>629</v>
      </c>
      <c r="H319" s="82" t="n">
        <f aca="false">DATE(YEAR(A319),MONTH(A319),1)</f>
        <v>43922</v>
      </c>
    </row>
    <row r="320" customFormat="false" ht="15" hidden="false" customHeight="false" outlineLevel="0" collapsed="false">
      <c r="A320" s="81" t="n">
        <v>43924</v>
      </c>
      <c r="B320" s="48" t="n">
        <v>6</v>
      </c>
      <c r="C320" s="48" t="n">
        <v>0</v>
      </c>
      <c r="D320" s="48" t="n">
        <v>0</v>
      </c>
      <c r="E320" s="48" t="s">
        <v>114</v>
      </c>
      <c r="F320" s="48" t="s">
        <v>74</v>
      </c>
      <c r="G320" s="48" t="s">
        <v>95</v>
      </c>
      <c r="H320" s="82" t="n">
        <f aca="false">DATE(YEAR(A320),MONTH(A320),1)</f>
        <v>43922</v>
      </c>
    </row>
    <row r="321" customFormat="false" ht="15" hidden="false" customHeight="false" outlineLevel="0" collapsed="false">
      <c r="A321" s="81" t="n">
        <v>43924</v>
      </c>
      <c r="B321" s="48" t="n">
        <v>4</v>
      </c>
      <c r="C321" s="48" t="n">
        <v>0</v>
      </c>
      <c r="D321" s="48" t="n">
        <v>0</v>
      </c>
      <c r="E321" s="48" t="s">
        <v>112</v>
      </c>
      <c r="F321" s="48" t="s">
        <v>72</v>
      </c>
      <c r="G321" s="48" t="s">
        <v>94</v>
      </c>
      <c r="H321" s="82" t="n">
        <f aca="false">DATE(YEAR(A321),MONTH(A321),1)</f>
        <v>43922</v>
      </c>
    </row>
    <row r="322" customFormat="false" ht="15" hidden="false" customHeight="false" outlineLevel="0" collapsed="false">
      <c r="A322" s="81" t="n">
        <v>43924</v>
      </c>
      <c r="B322" s="48" t="n">
        <v>6</v>
      </c>
      <c r="C322" s="48" t="n">
        <v>0</v>
      </c>
      <c r="D322" s="48" t="n">
        <v>0</v>
      </c>
      <c r="E322" s="48" t="s">
        <v>112</v>
      </c>
      <c r="F322" s="48" t="s">
        <v>72</v>
      </c>
      <c r="G322" s="48" t="s">
        <v>593</v>
      </c>
      <c r="H322" s="82" t="n">
        <f aca="false">DATE(YEAR(A322),MONTH(A322),1)</f>
        <v>43922</v>
      </c>
    </row>
    <row r="323" customFormat="false" ht="15" hidden="false" customHeight="false" outlineLevel="0" collapsed="false">
      <c r="A323" s="81" t="n">
        <v>43924</v>
      </c>
      <c r="B323" s="48" t="n">
        <v>1</v>
      </c>
      <c r="C323" s="48" t="n">
        <v>0</v>
      </c>
      <c r="D323" s="48" t="n">
        <v>0</v>
      </c>
      <c r="E323" s="48" t="s">
        <v>112</v>
      </c>
      <c r="F323" s="48" t="s">
        <v>72</v>
      </c>
      <c r="G323" s="48" t="s">
        <v>603</v>
      </c>
      <c r="H323" s="82" t="n">
        <f aca="false">DATE(YEAR(A323),MONTH(A323),1)</f>
        <v>43922</v>
      </c>
    </row>
    <row r="324" customFormat="false" ht="15" hidden="false" customHeight="false" outlineLevel="0" collapsed="false">
      <c r="A324" s="81" t="n">
        <v>43924</v>
      </c>
      <c r="B324" s="48" t="n">
        <v>1</v>
      </c>
      <c r="C324" s="48" t="n">
        <v>0</v>
      </c>
      <c r="D324" s="48" t="n">
        <v>0</v>
      </c>
      <c r="E324" s="48" t="s">
        <v>112</v>
      </c>
      <c r="F324" s="48" t="s">
        <v>72</v>
      </c>
      <c r="G324" s="48" t="s">
        <v>598</v>
      </c>
      <c r="H324" s="82" t="n">
        <f aca="false">DATE(YEAR(A324),MONTH(A324),1)</f>
        <v>43922</v>
      </c>
    </row>
    <row r="325" customFormat="false" ht="15" hidden="false" customHeight="false" outlineLevel="0" collapsed="false">
      <c r="A325" s="81" t="n">
        <v>43924</v>
      </c>
      <c r="B325" s="48" t="n">
        <v>8</v>
      </c>
      <c r="C325" s="48" t="n">
        <v>0</v>
      </c>
      <c r="D325" s="48" t="n">
        <v>0</v>
      </c>
      <c r="E325" s="48" t="s">
        <v>112</v>
      </c>
      <c r="F325" s="48" t="s">
        <v>72</v>
      </c>
      <c r="G325" s="48" t="s">
        <v>655</v>
      </c>
      <c r="H325" s="82" t="n">
        <f aca="false">DATE(YEAR(A325),MONTH(A325),1)</f>
        <v>43922</v>
      </c>
    </row>
    <row r="326" customFormat="false" ht="15" hidden="false" customHeight="false" outlineLevel="0" collapsed="false">
      <c r="A326" s="81" t="n">
        <v>43924</v>
      </c>
      <c r="B326" s="48" t="n">
        <v>2</v>
      </c>
      <c r="C326" s="48" t="n">
        <v>1</v>
      </c>
      <c r="D326" s="48" t="n">
        <v>0</v>
      </c>
      <c r="E326" s="48" t="s">
        <v>112</v>
      </c>
      <c r="F326" s="48" t="s">
        <v>72</v>
      </c>
      <c r="G326" s="48" t="s">
        <v>610</v>
      </c>
      <c r="H326" s="82" t="n">
        <f aca="false">DATE(YEAR(A326),MONTH(A326),1)</f>
        <v>43922</v>
      </c>
    </row>
    <row r="327" customFormat="false" ht="15" hidden="false" customHeight="false" outlineLevel="0" collapsed="false">
      <c r="A327" s="81" t="n">
        <v>43924</v>
      </c>
      <c r="B327" s="48" t="n">
        <v>10</v>
      </c>
      <c r="C327" s="48" t="n">
        <v>1</v>
      </c>
      <c r="D327" s="48" t="n">
        <v>0</v>
      </c>
      <c r="E327" s="48" t="s">
        <v>112</v>
      </c>
      <c r="F327" s="48" t="s">
        <v>72</v>
      </c>
      <c r="G327" s="48" t="s">
        <v>96</v>
      </c>
      <c r="H327" s="82" t="n">
        <f aca="false">DATE(YEAR(A327),MONTH(A327),1)</f>
        <v>43922</v>
      </c>
    </row>
    <row r="328" customFormat="false" ht="15" hidden="false" customHeight="false" outlineLevel="0" collapsed="false">
      <c r="A328" s="81" t="n">
        <v>43924</v>
      </c>
      <c r="B328" s="48" t="n">
        <v>11</v>
      </c>
      <c r="C328" s="48" t="n">
        <v>0</v>
      </c>
      <c r="D328" s="48" t="n">
        <v>0</v>
      </c>
      <c r="E328" s="48" t="s">
        <v>112</v>
      </c>
      <c r="F328" s="48" t="s">
        <v>71</v>
      </c>
      <c r="G328" s="48" t="s">
        <v>92</v>
      </c>
      <c r="H328" s="82" t="n">
        <f aca="false">DATE(YEAR(A328),MONTH(A328),1)</f>
        <v>43922</v>
      </c>
    </row>
    <row r="329" customFormat="false" ht="15" hidden="false" customHeight="false" outlineLevel="0" collapsed="false">
      <c r="A329" s="81" t="n">
        <v>43924</v>
      </c>
      <c r="B329" s="48" t="n">
        <v>5</v>
      </c>
      <c r="C329" s="48" t="n">
        <v>0</v>
      </c>
      <c r="D329" s="48" t="n">
        <v>0</v>
      </c>
      <c r="E329" s="48" t="s">
        <v>112</v>
      </c>
      <c r="F329" s="48" t="s">
        <v>71</v>
      </c>
      <c r="G329" s="48" t="s">
        <v>606</v>
      </c>
      <c r="H329" s="82" t="n">
        <f aca="false">DATE(YEAR(A329),MONTH(A329),1)</f>
        <v>43922</v>
      </c>
    </row>
    <row r="330" customFormat="false" ht="15" hidden="false" customHeight="false" outlineLevel="0" collapsed="false">
      <c r="A330" s="81" t="n">
        <v>43924</v>
      </c>
      <c r="B330" s="48" t="n">
        <v>1</v>
      </c>
      <c r="C330" s="48" t="n">
        <v>0</v>
      </c>
      <c r="D330" s="48" t="n">
        <v>0</v>
      </c>
      <c r="E330" s="48" t="s">
        <v>112</v>
      </c>
      <c r="F330" s="48" t="s">
        <v>71</v>
      </c>
      <c r="G330" s="48" t="s">
        <v>627</v>
      </c>
      <c r="H330" s="82" t="n">
        <f aca="false">DATE(YEAR(A330),MONTH(A330),1)</f>
        <v>43922</v>
      </c>
    </row>
    <row r="331" customFormat="false" ht="15" hidden="false" customHeight="false" outlineLevel="0" collapsed="false">
      <c r="A331" s="81" t="n">
        <v>43924</v>
      </c>
      <c r="B331" s="48" t="n">
        <v>1</v>
      </c>
      <c r="C331" s="48" t="n">
        <v>0</v>
      </c>
      <c r="D331" s="48" t="n">
        <v>0</v>
      </c>
      <c r="E331" s="48" t="s">
        <v>112</v>
      </c>
      <c r="F331" s="48" t="s">
        <v>71</v>
      </c>
      <c r="G331" s="48" t="s">
        <v>620</v>
      </c>
      <c r="H331" s="82" t="n">
        <f aca="false">DATE(YEAR(A331),MONTH(A331),1)</f>
        <v>43922</v>
      </c>
    </row>
    <row r="332" customFormat="false" ht="15" hidden="false" customHeight="false" outlineLevel="0" collapsed="false">
      <c r="A332" s="81" t="n">
        <v>43924</v>
      </c>
      <c r="B332" s="48" t="n">
        <v>2</v>
      </c>
      <c r="C332" s="48" t="n">
        <v>0</v>
      </c>
      <c r="D332" s="48" t="n">
        <v>0</v>
      </c>
      <c r="E332" s="48" t="s">
        <v>112</v>
      </c>
      <c r="F332" s="48" t="s">
        <v>71</v>
      </c>
      <c r="G332" s="48" t="s">
        <v>602</v>
      </c>
      <c r="H332" s="82" t="n">
        <f aca="false">DATE(YEAR(A332),MONTH(A332),1)</f>
        <v>43922</v>
      </c>
    </row>
    <row r="333" customFormat="false" ht="15" hidden="false" customHeight="false" outlineLevel="0" collapsed="false">
      <c r="A333" s="81" t="n">
        <v>43924</v>
      </c>
      <c r="B333" s="48" t="n">
        <v>1</v>
      </c>
      <c r="C333" s="48" t="n">
        <v>0</v>
      </c>
      <c r="D333" s="48" t="n">
        <v>0</v>
      </c>
      <c r="E333" s="48" t="s">
        <v>112</v>
      </c>
      <c r="F333" s="48" t="s">
        <v>71</v>
      </c>
      <c r="G333" s="48" t="s">
        <v>675</v>
      </c>
      <c r="H333" s="82" t="n">
        <f aca="false">DATE(YEAR(A333),MONTH(A333),1)</f>
        <v>43922</v>
      </c>
    </row>
    <row r="334" customFormat="false" ht="15" hidden="false" customHeight="false" outlineLevel="0" collapsed="false">
      <c r="A334" s="81" t="n">
        <v>43924</v>
      </c>
      <c r="B334" s="48" t="n">
        <v>2</v>
      </c>
      <c r="C334" s="48" t="n">
        <v>0</v>
      </c>
      <c r="D334" s="48" t="n">
        <v>0</v>
      </c>
      <c r="E334" s="48" t="s">
        <v>112</v>
      </c>
      <c r="F334" s="48" t="s">
        <v>71</v>
      </c>
      <c r="G334" s="48" t="s">
        <v>618</v>
      </c>
      <c r="H334" s="82" t="n">
        <f aca="false">DATE(YEAR(A334),MONTH(A334),1)</f>
        <v>43922</v>
      </c>
    </row>
    <row r="335" customFormat="false" ht="15" hidden="false" customHeight="false" outlineLevel="0" collapsed="false">
      <c r="A335" s="81" t="n">
        <v>43924</v>
      </c>
      <c r="B335" s="48" t="n">
        <v>1</v>
      </c>
      <c r="C335" s="48" t="n">
        <v>0</v>
      </c>
      <c r="D335" s="48" t="n">
        <v>0</v>
      </c>
      <c r="E335" s="48" t="s">
        <v>112</v>
      </c>
      <c r="F335" s="48" t="s">
        <v>71</v>
      </c>
      <c r="G335" s="48" t="s">
        <v>625</v>
      </c>
      <c r="H335" s="82" t="n">
        <f aca="false">DATE(YEAR(A335),MONTH(A335),1)</f>
        <v>43922</v>
      </c>
    </row>
    <row r="336" customFormat="false" ht="15" hidden="false" customHeight="false" outlineLevel="0" collapsed="false">
      <c r="A336" s="81" t="n">
        <v>43924</v>
      </c>
      <c r="B336" s="48" t="n">
        <v>11</v>
      </c>
      <c r="C336" s="48" t="n">
        <v>0</v>
      </c>
      <c r="D336" s="48" t="n">
        <v>0</v>
      </c>
      <c r="E336" s="48" t="s">
        <v>112</v>
      </c>
      <c r="F336" s="48" t="s">
        <v>71</v>
      </c>
      <c r="G336" s="48" t="s">
        <v>628</v>
      </c>
      <c r="H336" s="82" t="n">
        <f aca="false">DATE(YEAR(A336),MONTH(A336),1)</f>
        <v>43922</v>
      </c>
    </row>
    <row r="337" customFormat="false" ht="15" hidden="false" customHeight="false" outlineLevel="0" collapsed="false">
      <c r="A337" s="81" t="n">
        <v>43924</v>
      </c>
      <c r="B337" s="48" t="n">
        <v>1</v>
      </c>
      <c r="C337" s="48" t="n">
        <v>0</v>
      </c>
      <c r="D337" s="48" t="n">
        <v>0</v>
      </c>
      <c r="E337" s="48" t="s">
        <v>112</v>
      </c>
      <c r="F337" s="48" t="s">
        <v>71</v>
      </c>
      <c r="G337" s="48" t="s">
        <v>634</v>
      </c>
      <c r="H337" s="82" t="n">
        <f aca="false">DATE(YEAR(A337),MONTH(A337),1)</f>
        <v>43922</v>
      </c>
    </row>
    <row r="338" customFormat="false" ht="15" hidden="false" customHeight="false" outlineLevel="0" collapsed="false">
      <c r="A338" s="81" t="n">
        <v>43924</v>
      </c>
      <c r="B338" s="48" t="n">
        <v>1</v>
      </c>
      <c r="C338" s="48" t="n">
        <v>0</v>
      </c>
      <c r="D338" s="48" t="n">
        <v>0</v>
      </c>
      <c r="E338" s="48" t="s">
        <v>112</v>
      </c>
      <c r="F338" s="48" t="s">
        <v>71</v>
      </c>
      <c r="G338" s="48" t="s">
        <v>653</v>
      </c>
      <c r="H338" s="82" t="n">
        <f aca="false">DATE(YEAR(A338),MONTH(A338),1)</f>
        <v>43922</v>
      </c>
    </row>
    <row r="339" customFormat="false" ht="15" hidden="false" customHeight="false" outlineLevel="0" collapsed="false">
      <c r="A339" s="81" t="n">
        <v>43924</v>
      </c>
      <c r="B339" s="48" t="n">
        <v>12</v>
      </c>
      <c r="C339" s="48" t="n">
        <v>0</v>
      </c>
      <c r="D339" s="48" t="n">
        <v>0</v>
      </c>
      <c r="E339" s="48" t="s">
        <v>116</v>
      </c>
      <c r="F339" s="48" t="s">
        <v>71</v>
      </c>
      <c r="G339" s="48" t="s">
        <v>596</v>
      </c>
      <c r="H339" s="82" t="n">
        <f aca="false">DATE(YEAR(A339),MONTH(A339),1)</f>
        <v>43922</v>
      </c>
    </row>
    <row r="340" customFormat="false" ht="15" hidden="false" customHeight="false" outlineLevel="0" collapsed="false">
      <c r="A340" s="81" t="n">
        <v>43924</v>
      </c>
      <c r="B340" s="48" t="n">
        <v>3</v>
      </c>
      <c r="C340" s="48" t="n">
        <v>0</v>
      </c>
      <c r="D340" s="48" t="n">
        <v>0</v>
      </c>
      <c r="E340" s="48" t="s">
        <v>116</v>
      </c>
      <c r="F340" s="48" t="s">
        <v>71</v>
      </c>
      <c r="G340" s="48" t="s">
        <v>97</v>
      </c>
      <c r="H340" s="82" t="n">
        <f aca="false">DATE(YEAR(A340),MONTH(A340),1)</f>
        <v>43922</v>
      </c>
    </row>
    <row r="341" customFormat="false" ht="15" hidden="false" customHeight="false" outlineLevel="0" collapsed="false">
      <c r="A341" s="81" t="n">
        <v>43924</v>
      </c>
      <c r="B341" s="48" t="n">
        <v>100</v>
      </c>
      <c r="C341" s="48" t="n">
        <v>0</v>
      </c>
      <c r="D341" s="48" t="n">
        <v>0</v>
      </c>
      <c r="E341" s="48" t="s">
        <v>116</v>
      </c>
      <c r="F341" s="48" t="s">
        <v>71</v>
      </c>
      <c r="G341" s="48" t="s">
        <v>100</v>
      </c>
      <c r="H341" s="82" t="n">
        <f aca="false">DATE(YEAR(A341),MONTH(A341),1)</f>
        <v>43922</v>
      </c>
    </row>
    <row r="342" customFormat="false" ht="15" hidden="false" customHeight="false" outlineLevel="0" collapsed="false">
      <c r="A342" s="81" t="n">
        <v>43924</v>
      </c>
      <c r="B342" s="48" t="n">
        <v>40</v>
      </c>
      <c r="C342" s="48" t="n">
        <v>3</v>
      </c>
      <c r="D342" s="48" t="n">
        <v>0</v>
      </c>
      <c r="E342" s="48" t="s">
        <v>112</v>
      </c>
      <c r="F342" s="48" t="s">
        <v>70</v>
      </c>
      <c r="G342" s="48" t="s">
        <v>91</v>
      </c>
      <c r="H342" s="82" t="n">
        <f aca="false">DATE(YEAR(A342),MONTH(A342),1)</f>
        <v>43922</v>
      </c>
    </row>
    <row r="343" customFormat="false" ht="15" hidden="false" customHeight="false" outlineLevel="0" collapsed="false">
      <c r="A343" s="81" t="n">
        <v>43925</v>
      </c>
      <c r="B343" s="48" t="n">
        <v>3</v>
      </c>
      <c r="C343" s="48" t="n">
        <v>0</v>
      </c>
      <c r="D343" s="48" t="n">
        <v>0</v>
      </c>
      <c r="E343" s="48" t="s">
        <v>114</v>
      </c>
      <c r="F343" s="48" t="s">
        <v>76</v>
      </c>
      <c r="G343" s="48" t="s">
        <v>595</v>
      </c>
      <c r="H343" s="82" t="n">
        <f aca="false">DATE(YEAR(A343),MONTH(A343),1)</f>
        <v>43922</v>
      </c>
    </row>
    <row r="344" customFormat="false" ht="15" hidden="false" customHeight="false" outlineLevel="0" collapsed="false">
      <c r="A344" s="81" t="n">
        <v>43925</v>
      </c>
      <c r="B344" s="48" t="n">
        <v>10</v>
      </c>
      <c r="C344" s="48" t="n">
        <v>0</v>
      </c>
      <c r="D344" s="48" t="n">
        <v>0</v>
      </c>
      <c r="E344" s="48" t="s">
        <v>114</v>
      </c>
      <c r="F344" s="48" t="s">
        <v>73</v>
      </c>
      <c r="G344" s="48" t="s">
        <v>93</v>
      </c>
      <c r="H344" s="82" t="n">
        <f aca="false">DATE(YEAR(A344),MONTH(A344),1)</f>
        <v>43922</v>
      </c>
    </row>
    <row r="345" customFormat="false" ht="15" hidden="false" customHeight="false" outlineLevel="0" collapsed="false">
      <c r="A345" s="81" t="n">
        <v>43925</v>
      </c>
      <c r="B345" s="48" t="n">
        <v>3</v>
      </c>
      <c r="C345" s="48" t="n">
        <v>0</v>
      </c>
      <c r="D345" s="48" t="n">
        <v>0</v>
      </c>
      <c r="E345" s="48" t="s">
        <v>112</v>
      </c>
      <c r="F345" s="48" t="s">
        <v>77</v>
      </c>
      <c r="G345" s="48" t="s">
        <v>599</v>
      </c>
      <c r="H345" s="82" t="n">
        <f aca="false">DATE(YEAR(A345),MONTH(A345),1)</f>
        <v>43922</v>
      </c>
    </row>
    <row r="346" customFormat="false" ht="15" hidden="false" customHeight="false" outlineLevel="0" collapsed="false">
      <c r="A346" s="81" t="n">
        <v>43925</v>
      </c>
      <c r="B346" s="48" t="n">
        <v>0</v>
      </c>
      <c r="C346" s="48" t="n">
        <v>0</v>
      </c>
      <c r="D346" s="48" t="n">
        <v>5</v>
      </c>
      <c r="E346" s="48" t="s">
        <v>114</v>
      </c>
      <c r="F346" s="48" t="s">
        <v>75</v>
      </c>
      <c r="G346" s="48" t="s">
        <v>624</v>
      </c>
      <c r="H346" s="82" t="n">
        <f aca="false">DATE(YEAR(A346),MONTH(A346),1)</f>
        <v>43922</v>
      </c>
    </row>
    <row r="347" customFormat="false" ht="15" hidden="false" customHeight="false" outlineLevel="0" collapsed="false">
      <c r="A347" s="81" t="n">
        <v>43925</v>
      </c>
      <c r="B347" s="48" t="n">
        <v>0</v>
      </c>
      <c r="C347" s="48" t="n">
        <v>0</v>
      </c>
      <c r="D347" s="48" t="n">
        <v>9</v>
      </c>
      <c r="E347" s="48" t="s">
        <v>114</v>
      </c>
      <c r="F347" s="48" t="s">
        <v>75</v>
      </c>
      <c r="G347" s="48" t="s">
        <v>617</v>
      </c>
      <c r="H347" s="82" t="n">
        <f aca="false">DATE(YEAR(A347),MONTH(A347),1)</f>
        <v>43922</v>
      </c>
    </row>
    <row r="348" customFormat="false" ht="15" hidden="false" customHeight="false" outlineLevel="0" collapsed="false">
      <c r="A348" s="81" t="n">
        <v>43925</v>
      </c>
      <c r="B348" s="48" t="n">
        <v>0</v>
      </c>
      <c r="C348" s="48" t="n">
        <v>0</v>
      </c>
      <c r="D348" s="48" t="n">
        <v>3</v>
      </c>
      <c r="E348" s="48" t="s">
        <v>114</v>
      </c>
      <c r="F348" s="48" t="s">
        <v>75</v>
      </c>
      <c r="G348" s="48" t="s">
        <v>649</v>
      </c>
      <c r="H348" s="82" t="n">
        <f aca="false">DATE(YEAR(A348),MONTH(A348),1)</f>
        <v>43922</v>
      </c>
    </row>
    <row r="349" customFormat="false" ht="15" hidden="false" customHeight="false" outlineLevel="0" collapsed="false">
      <c r="A349" s="81" t="n">
        <v>43925</v>
      </c>
      <c r="B349" s="48" t="n">
        <v>7</v>
      </c>
      <c r="C349" s="48" t="n">
        <v>0</v>
      </c>
      <c r="D349" s="48" t="n">
        <v>0</v>
      </c>
      <c r="E349" s="48" t="s">
        <v>112</v>
      </c>
      <c r="F349" s="48" t="s">
        <v>74</v>
      </c>
      <c r="G349" s="48" t="s">
        <v>95</v>
      </c>
      <c r="H349" s="82" t="n">
        <f aca="false">DATE(YEAR(A349),MONTH(A349),1)</f>
        <v>43922</v>
      </c>
    </row>
    <row r="350" customFormat="false" ht="15" hidden="false" customHeight="false" outlineLevel="0" collapsed="false">
      <c r="A350" s="81" t="n">
        <v>43925</v>
      </c>
      <c r="B350" s="48" t="n">
        <v>6</v>
      </c>
      <c r="C350" s="48" t="n">
        <v>3</v>
      </c>
      <c r="D350" s="48" t="n">
        <v>0</v>
      </c>
      <c r="E350" s="48" t="s">
        <v>112</v>
      </c>
      <c r="F350" s="48" t="s">
        <v>72</v>
      </c>
      <c r="G350" s="48" t="s">
        <v>94</v>
      </c>
      <c r="H350" s="82" t="n">
        <f aca="false">DATE(YEAR(A350),MONTH(A350),1)</f>
        <v>43922</v>
      </c>
    </row>
    <row r="351" customFormat="false" ht="15" hidden="false" customHeight="false" outlineLevel="0" collapsed="false">
      <c r="A351" s="81" t="n">
        <v>43925</v>
      </c>
      <c r="B351" s="48" t="n">
        <v>4</v>
      </c>
      <c r="C351" s="48" t="n">
        <v>0</v>
      </c>
      <c r="D351" s="48" t="n">
        <v>0</v>
      </c>
      <c r="E351" s="48" t="s">
        <v>112</v>
      </c>
      <c r="F351" s="48" t="s">
        <v>72</v>
      </c>
      <c r="G351" s="48" t="s">
        <v>621</v>
      </c>
      <c r="H351" s="82" t="n">
        <f aca="false">DATE(YEAR(A351),MONTH(A351),1)</f>
        <v>43922</v>
      </c>
    </row>
    <row r="352" customFormat="false" ht="15" hidden="false" customHeight="false" outlineLevel="0" collapsed="false">
      <c r="A352" s="81" t="n">
        <v>43925</v>
      </c>
      <c r="B352" s="48" t="n">
        <v>4</v>
      </c>
      <c r="C352" s="48" t="n">
        <v>0</v>
      </c>
      <c r="D352" s="48" t="n">
        <v>0</v>
      </c>
      <c r="E352" s="48" t="s">
        <v>112</v>
      </c>
      <c r="F352" s="48" t="s">
        <v>72</v>
      </c>
      <c r="G352" s="48" t="s">
        <v>603</v>
      </c>
      <c r="H352" s="82" t="n">
        <f aca="false">DATE(YEAR(A352),MONTH(A352),1)</f>
        <v>43922</v>
      </c>
    </row>
    <row r="353" customFormat="false" ht="15" hidden="false" customHeight="false" outlineLevel="0" collapsed="false">
      <c r="A353" s="81" t="n">
        <v>43925</v>
      </c>
      <c r="B353" s="48" t="n">
        <v>1</v>
      </c>
      <c r="C353" s="48" t="n">
        <v>0</v>
      </c>
      <c r="D353" s="48" t="n">
        <v>0</v>
      </c>
      <c r="E353" s="48" t="s">
        <v>112</v>
      </c>
      <c r="F353" s="48" t="s">
        <v>72</v>
      </c>
      <c r="G353" s="48" t="s">
        <v>607</v>
      </c>
      <c r="H353" s="82" t="n">
        <f aca="false">DATE(YEAR(A353),MONTH(A353),1)</f>
        <v>43922</v>
      </c>
    </row>
    <row r="354" customFormat="false" ht="15" hidden="false" customHeight="false" outlineLevel="0" collapsed="false">
      <c r="A354" s="81" t="n">
        <v>43925</v>
      </c>
      <c r="B354" s="48" t="n">
        <v>2</v>
      </c>
      <c r="C354" s="48" t="n">
        <v>0</v>
      </c>
      <c r="D354" s="48" t="n">
        <v>0</v>
      </c>
      <c r="E354" s="48" t="s">
        <v>112</v>
      </c>
      <c r="F354" s="48" t="s">
        <v>72</v>
      </c>
      <c r="G354" s="48" t="s">
        <v>598</v>
      </c>
      <c r="H354" s="82" t="n">
        <f aca="false">DATE(YEAR(A354),MONTH(A354),1)</f>
        <v>43922</v>
      </c>
    </row>
    <row r="355" customFormat="false" ht="15" hidden="false" customHeight="false" outlineLevel="0" collapsed="false">
      <c r="A355" s="81" t="n">
        <v>43925</v>
      </c>
      <c r="B355" s="48" t="n">
        <v>4</v>
      </c>
      <c r="C355" s="48" t="n">
        <v>0</v>
      </c>
      <c r="D355" s="48" t="n">
        <v>0</v>
      </c>
      <c r="E355" s="48" t="s">
        <v>112</v>
      </c>
      <c r="F355" s="48" t="s">
        <v>72</v>
      </c>
      <c r="G355" s="48" t="s">
        <v>664</v>
      </c>
      <c r="H355" s="82" t="n">
        <f aca="false">DATE(YEAR(A355),MONTH(A355),1)</f>
        <v>43922</v>
      </c>
    </row>
    <row r="356" customFormat="false" ht="15" hidden="false" customHeight="false" outlineLevel="0" collapsed="false">
      <c r="A356" s="81" t="n">
        <v>43925</v>
      </c>
      <c r="B356" s="48" t="n">
        <v>2</v>
      </c>
      <c r="C356" s="48" t="n">
        <v>0</v>
      </c>
      <c r="D356" s="48" t="n">
        <v>0</v>
      </c>
      <c r="E356" s="48" t="s">
        <v>112</v>
      </c>
      <c r="F356" s="48" t="s">
        <v>72</v>
      </c>
      <c r="G356" s="48" t="s">
        <v>594</v>
      </c>
      <c r="H356" s="82" t="n">
        <f aca="false">DATE(YEAR(A356),MONTH(A356),1)</f>
        <v>43922</v>
      </c>
    </row>
    <row r="357" customFormat="false" ht="15" hidden="false" customHeight="false" outlineLevel="0" collapsed="false">
      <c r="A357" s="81" t="n">
        <v>43925</v>
      </c>
      <c r="B357" s="48" t="n">
        <v>2</v>
      </c>
      <c r="C357" s="48" t="n">
        <v>0</v>
      </c>
      <c r="D357" s="48" t="n">
        <v>1</v>
      </c>
      <c r="E357" s="48" t="s">
        <v>112</v>
      </c>
      <c r="F357" s="48" t="s">
        <v>72</v>
      </c>
      <c r="G357" s="48" t="s">
        <v>609</v>
      </c>
      <c r="H357" s="82" t="n">
        <f aca="false">DATE(YEAR(A357),MONTH(A357),1)</f>
        <v>43922</v>
      </c>
    </row>
    <row r="358" customFormat="false" ht="15" hidden="false" customHeight="false" outlineLevel="0" collapsed="false">
      <c r="A358" s="81" t="n">
        <v>43925</v>
      </c>
      <c r="B358" s="48" t="n">
        <v>1</v>
      </c>
      <c r="C358" s="48" t="n">
        <v>0</v>
      </c>
      <c r="D358" s="48" t="n">
        <v>0</v>
      </c>
      <c r="E358" s="48" t="s">
        <v>112</v>
      </c>
      <c r="F358" s="48" t="s">
        <v>72</v>
      </c>
      <c r="G358" s="48" t="s">
        <v>685</v>
      </c>
      <c r="H358" s="82" t="n">
        <f aca="false">DATE(YEAR(A358),MONTH(A358),1)</f>
        <v>43922</v>
      </c>
    </row>
    <row r="359" customFormat="false" ht="15" hidden="false" customHeight="false" outlineLevel="0" collapsed="false">
      <c r="A359" s="81" t="n">
        <v>43925</v>
      </c>
      <c r="B359" s="48" t="n">
        <v>0</v>
      </c>
      <c r="C359" s="48" t="n">
        <v>0</v>
      </c>
      <c r="D359" s="48" t="n">
        <v>3</v>
      </c>
      <c r="E359" s="48" t="s">
        <v>118</v>
      </c>
      <c r="F359" s="48" t="s">
        <v>72</v>
      </c>
      <c r="G359" s="48" t="s">
        <v>607</v>
      </c>
      <c r="H359" s="82" t="n">
        <f aca="false">DATE(YEAR(A359),MONTH(A359),1)</f>
        <v>43922</v>
      </c>
    </row>
    <row r="360" customFormat="false" ht="15" hidden="false" customHeight="false" outlineLevel="0" collapsed="false">
      <c r="A360" s="81" t="n">
        <v>43925</v>
      </c>
      <c r="B360" s="48" t="n">
        <v>30</v>
      </c>
      <c r="C360" s="48" t="n">
        <v>1</v>
      </c>
      <c r="D360" s="48" t="n">
        <v>0</v>
      </c>
      <c r="E360" s="48" t="s">
        <v>112</v>
      </c>
      <c r="F360" s="48" t="s">
        <v>71</v>
      </c>
      <c r="G360" s="48" t="s">
        <v>92</v>
      </c>
      <c r="H360" s="82" t="n">
        <f aca="false">DATE(YEAR(A360),MONTH(A360),1)</f>
        <v>43922</v>
      </c>
    </row>
    <row r="361" customFormat="false" ht="15" hidden="false" customHeight="false" outlineLevel="0" collapsed="false">
      <c r="A361" s="81" t="n">
        <v>43925</v>
      </c>
      <c r="B361" s="48" t="n">
        <v>0</v>
      </c>
      <c r="C361" s="48" t="n">
        <v>0</v>
      </c>
      <c r="D361" s="48" t="n">
        <v>12</v>
      </c>
      <c r="E361" s="48" t="s">
        <v>112</v>
      </c>
      <c r="F361" s="48" t="s">
        <v>70</v>
      </c>
      <c r="G361" s="48" t="s">
        <v>91</v>
      </c>
      <c r="H361" s="82" t="n">
        <f aca="false">DATE(YEAR(A361),MONTH(A361),1)</f>
        <v>43922</v>
      </c>
    </row>
    <row r="362" customFormat="false" ht="15" hidden="false" customHeight="false" outlineLevel="0" collapsed="false">
      <c r="A362" s="81" t="n">
        <v>43926</v>
      </c>
      <c r="B362" s="48" t="n">
        <v>2</v>
      </c>
      <c r="C362" s="48" t="n">
        <v>0</v>
      </c>
      <c r="D362" s="48" t="n">
        <v>0</v>
      </c>
      <c r="E362" s="48" t="s">
        <v>112</v>
      </c>
      <c r="F362" s="48" t="s">
        <v>76</v>
      </c>
      <c r="G362" s="48" t="s">
        <v>672</v>
      </c>
      <c r="H362" s="82" t="n">
        <f aca="false">DATE(YEAR(A362),MONTH(A362),1)</f>
        <v>43922</v>
      </c>
    </row>
    <row r="363" customFormat="false" ht="15" hidden="false" customHeight="false" outlineLevel="0" collapsed="false">
      <c r="A363" s="81" t="n">
        <v>43926</v>
      </c>
      <c r="B363" s="48" t="n">
        <v>6</v>
      </c>
      <c r="C363" s="48" t="n">
        <v>0</v>
      </c>
      <c r="D363" s="48" t="n">
        <v>13</v>
      </c>
      <c r="E363" s="48" t="s">
        <v>114</v>
      </c>
      <c r="F363" s="48" t="s">
        <v>73</v>
      </c>
      <c r="G363" s="48" t="s">
        <v>93</v>
      </c>
      <c r="H363" s="82" t="n">
        <f aca="false">DATE(YEAR(A363),MONTH(A363),1)</f>
        <v>43922</v>
      </c>
    </row>
    <row r="364" customFormat="false" ht="15" hidden="false" customHeight="false" outlineLevel="0" collapsed="false">
      <c r="A364" s="81" t="n">
        <v>43926</v>
      </c>
      <c r="B364" s="48" t="n">
        <v>1</v>
      </c>
      <c r="C364" s="48" t="n">
        <v>0</v>
      </c>
      <c r="D364" s="48" t="n">
        <v>0</v>
      </c>
      <c r="E364" s="48" t="s">
        <v>112</v>
      </c>
      <c r="F364" s="48" t="s">
        <v>77</v>
      </c>
      <c r="G364" s="48" t="s">
        <v>600</v>
      </c>
      <c r="H364" s="82" t="n">
        <f aca="false">DATE(YEAR(A364),MONTH(A364),1)</f>
        <v>43922</v>
      </c>
    </row>
    <row r="365" customFormat="false" ht="15" hidden="false" customHeight="false" outlineLevel="0" collapsed="false">
      <c r="A365" s="81" t="n">
        <v>43926</v>
      </c>
      <c r="B365" s="48" t="n">
        <v>0</v>
      </c>
      <c r="C365" s="48" t="n">
        <v>0</v>
      </c>
      <c r="D365" s="48" t="n">
        <v>1</v>
      </c>
      <c r="E365" s="48" t="s">
        <v>112</v>
      </c>
      <c r="F365" s="48" t="s">
        <v>77</v>
      </c>
      <c r="G365" s="48" t="s">
        <v>615</v>
      </c>
      <c r="H365" s="82" t="n">
        <f aca="false">DATE(YEAR(A365),MONTH(A365),1)</f>
        <v>43922</v>
      </c>
    </row>
    <row r="366" customFormat="false" ht="15" hidden="false" customHeight="false" outlineLevel="0" collapsed="false">
      <c r="A366" s="81" t="n">
        <v>43926</v>
      </c>
      <c r="B366" s="48" t="n">
        <v>0</v>
      </c>
      <c r="C366" s="48" t="n">
        <v>0</v>
      </c>
      <c r="D366" s="48" t="n">
        <v>1</v>
      </c>
      <c r="E366" s="48" t="s">
        <v>112</v>
      </c>
      <c r="F366" s="48" t="s">
        <v>77</v>
      </c>
      <c r="G366" s="48" t="s">
        <v>676</v>
      </c>
      <c r="H366" s="82" t="n">
        <f aca="false">DATE(YEAR(A366),MONTH(A366),1)</f>
        <v>43922</v>
      </c>
    </row>
    <row r="367" customFormat="false" ht="15" hidden="false" customHeight="false" outlineLevel="0" collapsed="false">
      <c r="A367" s="81" t="n">
        <v>43926</v>
      </c>
      <c r="B367" s="48" t="n">
        <v>17</v>
      </c>
      <c r="C367" s="48" t="n">
        <v>0</v>
      </c>
      <c r="D367" s="48" t="n">
        <v>7</v>
      </c>
      <c r="E367" s="48" t="s">
        <v>116</v>
      </c>
      <c r="F367" s="48" t="s">
        <v>75</v>
      </c>
      <c r="G367" s="48" t="s">
        <v>103</v>
      </c>
      <c r="H367" s="82" t="n">
        <f aca="false">DATE(YEAR(A367),MONTH(A367),1)</f>
        <v>43922</v>
      </c>
    </row>
    <row r="368" customFormat="false" ht="15" hidden="false" customHeight="false" outlineLevel="0" collapsed="false">
      <c r="A368" s="81" t="n">
        <v>43926</v>
      </c>
      <c r="B368" s="48" t="n">
        <v>0</v>
      </c>
      <c r="C368" s="48" t="n">
        <v>0</v>
      </c>
      <c r="D368" s="48" t="n">
        <v>2</v>
      </c>
      <c r="E368" s="48" t="s">
        <v>118</v>
      </c>
      <c r="F368" s="48" t="s">
        <v>75</v>
      </c>
      <c r="G368" s="48" t="s">
        <v>660</v>
      </c>
      <c r="H368" s="82" t="n">
        <f aca="false">DATE(YEAR(A368),MONTH(A368),1)</f>
        <v>43922</v>
      </c>
    </row>
    <row r="369" customFormat="false" ht="15" hidden="false" customHeight="false" outlineLevel="0" collapsed="false">
      <c r="A369" s="81" t="n">
        <v>43926</v>
      </c>
      <c r="B369" s="48" t="n">
        <v>0</v>
      </c>
      <c r="C369" s="48" t="n">
        <v>0</v>
      </c>
      <c r="D369" s="48" t="n">
        <v>1</v>
      </c>
      <c r="E369" s="48" t="s">
        <v>128</v>
      </c>
      <c r="F369" s="48" t="s">
        <v>75</v>
      </c>
      <c r="G369" s="48" t="s">
        <v>660</v>
      </c>
      <c r="H369" s="82" t="n">
        <f aca="false">DATE(YEAR(A369),MONTH(A369),1)</f>
        <v>43922</v>
      </c>
    </row>
    <row r="370" customFormat="false" ht="15" hidden="false" customHeight="false" outlineLevel="0" collapsed="false">
      <c r="A370" s="81" t="n">
        <v>43926</v>
      </c>
      <c r="B370" s="48" t="n">
        <v>3</v>
      </c>
      <c r="C370" s="48" t="n">
        <v>0</v>
      </c>
      <c r="D370" s="48" t="n">
        <v>0</v>
      </c>
      <c r="E370" s="48" t="s">
        <v>112</v>
      </c>
      <c r="F370" s="48" t="s">
        <v>74</v>
      </c>
      <c r="G370" s="48" t="s">
        <v>95</v>
      </c>
      <c r="H370" s="82" t="n">
        <f aca="false">DATE(YEAR(A370),MONTH(A370),1)</f>
        <v>43922</v>
      </c>
    </row>
    <row r="371" customFormat="false" ht="15" hidden="false" customHeight="false" outlineLevel="0" collapsed="false">
      <c r="A371" s="81" t="n">
        <v>43926</v>
      </c>
      <c r="B371" s="48" t="n">
        <v>4</v>
      </c>
      <c r="C371" s="48" t="n">
        <v>2</v>
      </c>
      <c r="D371" s="48" t="n">
        <v>0</v>
      </c>
      <c r="E371" s="48" t="s">
        <v>112</v>
      </c>
      <c r="F371" s="48" t="s">
        <v>72</v>
      </c>
      <c r="G371" s="48" t="s">
        <v>96</v>
      </c>
      <c r="H371" s="82" t="n">
        <f aca="false">DATE(YEAR(A371),MONTH(A371),1)</f>
        <v>43922</v>
      </c>
    </row>
    <row r="372" customFormat="false" ht="15" hidden="false" customHeight="false" outlineLevel="0" collapsed="false">
      <c r="A372" s="81" t="n">
        <v>43926</v>
      </c>
      <c r="B372" s="48" t="n">
        <v>7</v>
      </c>
      <c r="C372" s="48" t="n">
        <v>0</v>
      </c>
      <c r="D372" s="48" t="n">
        <v>0</v>
      </c>
      <c r="E372" s="48" t="s">
        <v>112</v>
      </c>
      <c r="F372" s="48" t="s">
        <v>72</v>
      </c>
      <c r="G372" s="48" t="s">
        <v>94</v>
      </c>
      <c r="H372" s="82" t="n">
        <f aca="false">DATE(YEAR(A372),MONTH(A372),1)</f>
        <v>43922</v>
      </c>
    </row>
    <row r="373" customFormat="false" ht="15" hidden="false" customHeight="false" outlineLevel="0" collapsed="false">
      <c r="A373" s="81" t="n">
        <v>43926</v>
      </c>
      <c r="B373" s="48" t="n">
        <v>6</v>
      </c>
      <c r="C373" s="48" t="n">
        <v>0</v>
      </c>
      <c r="D373" s="48" t="n">
        <v>0</v>
      </c>
      <c r="E373" s="48" t="s">
        <v>112</v>
      </c>
      <c r="F373" s="48" t="s">
        <v>72</v>
      </c>
      <c r="G373" s="48" t="s">
        <v>594</v>
      </c>
      <c r="H373" s="82" t="n">
        <f aca="false">DATE(YEAR(A373),MONTH(A373),1)</f>
        <v>43922</v>
      </c>
    </row>
    <row r="374" customFormat="false" ht="15" hidden="false" customHeight="false" outlineLevel="0" collapsed="false">
      <c r="A374" s="81" t="n">
        <v>43926</v>
      </c>
      <c r="B374" s="48" t="n">
        <v>0</v>
      </c>
      <c r="C374" s="48" t="n">
        <v>0</v>
      </c>
      <c r="D374" s="48" t="n">
        <v>1</v>
      </c>
      <c r="E374" s="48" t="s">
        <v>112</v>
      </c>
      <c r="F374" s="48" t="s">
        <v>72</v>
      </c>
      <c r="G374" s="48" t="s">
        <v>666</v>
      </c>
      <c r="H374" s="82" t="n">
        <f aca="false">DATE(YEAR(A374),MONTH(A374),1)</f>
        <v>43922</v>
      </c>
    </row>
    <row r="375" customFormat="false" ht="15" hidden="false" customHeight="false" outlineLevel="0" collapsed="false">
      <c r="A375" s="81" t="n">
        <v>43926</v>
      </c>
      <c r="B375" s="48" t="n">
        <v>5</v>
      </c>
      <c r="C375" s="48" t="n">
        <v>0</v>
      </c>
      <c r="D375" s="48" t="n">
        <v>0</v>
      </c>
      <c r="E375" s="48" t="s">
        <v>112</v>
      </c>
      <c r="F375" s="48" t="s">
        <v>72</v>
      </c>
      <c r="G375" s="48" t="s">
        <v>593</v>
      </c>
      <c r="H375" s="82" t="n">
        <f aca="false">DATE(YEAR(A375),MONTH(A375),1)</f>
        <v>43922</v>
      </c>
    </row>
    <row r="376" customFormat="false" ht="15" hidden="false" customHeight="false" outlineLevel="0" collapsed="false">
      <c r="A376" s="81" t="n">
        <v>43926</v>
      </c>
      <c r="B376" s="48" t="n">
        <v>0</v>
      </c>
      <c r="C376" s="48" t="n">
        <v>0</v>
      </c>
      <c r="D376" s="48" t="n">
        <v>1</v>
      </c>
      <c r="E376" s="48" t="s">
        <v>112</v>
      </c>
      <c r="F376" s="48" t="s">
        <v>72</v>
      </c>
      <c r="G376" s="48" t="s">
        <v>597</v>
      </c>
      <c r="H376" s="82" t="n">
        <f aca="false">DATE(YEAR(A376),MONTH(A376),1)</f>
        <v>43922</v>
      </c>
    </row>
    <row r="377" customFormat="false" ht="15" hidden="false" customHeight="false" outlineLevel="0" collapsed="false">
      <c r="A377" s="81" t="n">
        <v>43926</v>
      </c>
      <c r="B377" s="48" t="n">
        <v>0</v>
      </c>
      <c r="C377" s="48" t="n">
        <v>0</v>
      </c>
      <c r="D377" s="48" t="n">
        <v>1</v>
      </c>
      <c r="E377" s="48" t="s">
        <v>112</v>
      </c>
      <c r="F377" s="48" t="s">
        <v>72</v>
      </c>
      <c r="G377" s="48" t="s">
        <v>591</v>
      </c>
      <c r="H377" s="82" t="n">
        <f aca="false">DATE(YEAR(A377),MONTH(A377),1)</f>
        <v>43922</v>
      </c>
    </row>
    <row r="378" customFormat="false" ht="15" hidden="false" customHeight="false" outlineLevel="0" collapsed="false">
      <c r="A378" s="81" t="n">
        <v>43926</v>
      </c>
      <c r="B378" s="48" t="n">
        <v>0</v>
      </c>
      <c r="C378" s="48" t="n">
        <v>0</v>
      </c>
      <c r="D378" s="48" t="n">
        <v>2</v>
      </c>
      <c r="E378" s="48" t="s">
        <v>112</v>
      </c>
      <c r="F378" s="48" t="s">
        <v>72</v>
      </c>
      <c r="G378" s="48" t="s">
        <v>598</v>
      </c>
      <c r="H378" s="82" t="n">
        <f aca="false">DATE(YEAR(A378),MONTH(A378),1)</f>
        <v>43922</v>
      </c>
    </row>
    <row r="379" customFormat="false" ht="15" hidden="false" customHeight="false" outlineLevel="0" collapsed="false">
      <c r="A379" s="81" t="n">
        <v>43926</v>
      </c>
      <c r="B379" s="48" t="n">
        <v>4</v>
      </c>
      <c r="C379" s="48" t="n">
        <v>0</v>
      </c>
      <c r="D379" s="48" t="n">
        <v>4</v>
      </c>
      <c r="E379" s="48" t="s">
        <v>112</v>
      </c>
      <c r="F379" s="48" t="s">
        <v>72</v>
      </c>
      <c r="G379" s="48" t="s">
        <v>603</v>
      </c>
      <c r="H379" s="82" t="n">
        <f aca="false">DATE(YEAR(A379),MONTH(A379),1)</f>
        <v>43922</v>
      </c>
    </row>
    <row r="380" customFormat="false" ht="15" hidden="false" customHeight="false" outlineLevel="0" collapsed="false">
      <c r="A380" s="81" t="n">
        <v>43926</v>
      </c>
      <c r="B380" s="48" t="n">
        <v>3</v>
      </c>
      <c r="C380" s="48" t="n">
        <v>0</v>
      </c>
      <c r="D380" s="48" t="n">
        <v>9</v>
      </c>
      <c r="E380" s="48" t="s">
        <v>112</v>
      </c>
      <c r="F380" s="48" t="s">
        <v>72</v>
      </c>
      <c r="G380" s="48" t="s">
        <v>102</v>
      </c>
      <c r="H380" s="82" t="n">
        <f aca="false">DATE(YEAR(A380),MONTH(A380),1)</f>
        <v>43922</v>
      </c>
    </row>
    <row r="381" customFormat="false" ht="15" hidden="false" customHeight="false" outlineLevel="0" collapsed="false">
      <c r="A381" s="81" t="n">
        <v>43926</v>
      </c>
      <c r="B381" s="48" t="n">
        <v>0</v>
      </c>
      <c r="C381" s="48" t="n">
        <v>0</v>
      </c>
      <c r="D381" s="48" t="n">
        <v>1</v>
      </c>
      <c r="E381" s="48" t="s">
        <v>112</v>
      </c>
      <c r="F381" s="48" t="s">
        <v>72</v>
      </c>
      <c r="G381" s="48" t="s">
        <v>101</v>
      </c>
      <c r="H381" s="82" t="n">
        <f aca="false">DATE(YEAR(A381),MONTH(A381),1)</f>
        <v>43922</v>
      </c>
    </row>
    <row r="382" customFormat="false" ht="15" hidden="false" customHeight="false" outlineLevel="0" collapsed="false">
      <c r="A382" s="81" t="n">
        <v>43926</v>
      </c>
      <c r="B382" s="48" t="n">
        <v>0</v>
      </c>
      <c r="C382" s="48" t="n">
        <v>0</v>
      </c>
      <c r="D382" s="48" t="n">
        <v>1</v>
      </c>
      <c r="E382" s="48" t="s">
        <v>112</v>
      </c>
      <c r="F382" s="48" t="s">
        <v>72</v>
      </c>
      <c r="G382" s="48" t="s">
        <v>610</v>
      </c>
      <c r="H382" s="82" t="n">
        <f aca="false">DATE(YEAR(A382),MONTH(A382),1)</f>
        <v>43922</v>
      </c>
    </row>
    <row r="383" customFormat="false" ht="15" hidden="false" customHeight="false" outlineLevel="0" collapsed="false">
      <c r="A383" s="81" t="n">
        <v>43926</v>
      </c>
      <c r="B383" s="48" t="n">
        <v>1</v>
      </c>
      <c r="C383" s="48" t="n">
        <v>0</v>
      </c>
      <c r="D383" s="48" t="n">
        <v>0</v>
      </c>
      <c r="E383" s="48" t="s">
        <v>112</v>
      </c>
      <c r="F383" s="48" t="s">
        <v>72</v>
      </c>
      <c r="G383" s="48" t="s">
        <v>621</v>
      </c>
      <c r="H383" s="82" t="n">
        <f aca="false">DATE(YEAR(A383),MONTH(A383),1)</f>
        <v>43922</v>
      </c>
    </row>
    <row r="384" customFormat="false" ht="15" hidden="false" customHeight="false" outlineLevel="0" collapsed="false">
      <c r="A384" s="81" t="n">
        <v>43926</v>
      </c>
      <c r="B384" s="48" t="n">
        <v>1</v>
      </c>
      <c r="C384" s="48" t="n">
        <v>0</v>
      </c>
      <c r="D384" s="48" t="n">
        <v>0</v>
      </c>
      <c r="E384" s="48" t="s">
        <v>112</v>
      </c>
      <c r="F384" s="48" t="s">
        <v>72</v>
      </c>
      <c r="G384" s="48" t="s">
        <v>612</v>
      </c>
      <c r="H384" s="82" t="n">
        <f aca="false">DATE(YEAR(A384),MONTH(A384),1)</f>
        <v>43922</v>
      </c>
    </row>
    <row r="385" customFormat="false" ht="15" hidden="false" customHeight="false" outlineLevel="0" collapsed="false">
      <c r="A385" s="81" t="n">
        <v>43926</v>
      </c>
      <c r="B385" s="48" t="n">
        <v>1</v>
      </c>
      <c r="C385" s="48" t="n">
        <v>0</v>
      </c>
      <c r="D385" s="48" t="n">
        <v>0</v>
      </c>
      <c r="E385" s="48" t="s">
        <v>112</v>
      </c>
      <c r="F385" s="48" t="s">
        <v>72</v>
      </c>
      <c r="G385" s="48" t="s">
        <v>608</v>
      </c>
      <c r="H385" s="82" t="n">
        <f aca="false">DATE(YEAR(A385),MONTH(A385),1)</f>
        <v>43922</v>
      </c>
    </row>
    <row r="386" customFormat="false" ht="15" hidden="false" customHeight="false" outlineLevel="0" collapsed="false">
      <c r="A386" s="81" t="n">
        <v>43926</v>
      </c>
      <c r="B386" s="48" t="n">
        <v>31</v>
      </c>
      <c r="C386" s="48" t="n">
        <v>0</v>
      </c>
      <c r="D386" s="48" t="n">
        <v>0</v>
      </c>
      <c r="E386" s="48" t="s">
        <v>112</v>
      </c>
      <c r="F386" s="48" t="s">
        <v>71</v>
      </c>
      <c r="G386" s="48" t="s">
        <v>92</v>
      </c>
      <c r="H386" s="82" t="n">
        <f aca="false">DATE(YEAR(A386),MONTH(A386),1)</f>
        <v>43922</v>
      </c>
    </row>
    <row r="387" customFormat="false" ht="15" hidden="false" customHeight="false" outlineLevel="0" collapsed="false">
      <c r="A387" s="81" t="n">
        <v>43926</v>
      </c>
      <c r="B387" s="48" t="n">
        <v>0</v>
      </c>
      <c r="C387" s="48" t="n">
        <v>0</v>
      </c>
      <c r="D387" s="48" t="n">
        <v>0</v>
      </c>
      <c r="E387" s="48" t="s">
        <v>112</v>
      </c>
      <c r="F387" s="48" t="s">
        <v>71</v>
      </c>
      <c r="G387" s="48" t="s">
        <v>626</v>
      </c>
      <c r="H387" s="82" t="n">
        <f aca="false">DATE(YEAR(A387),MONTH(A387),1)</f>
        <v>43922</v>
      </c>
    </row>
    <row r="388" customFormat="false" ht="15" hidden="false" customHeight="false" outlineLevel="0" collapsed="false">
      <c r="A388" s="81" t="n">
        <v>43926</v>
      </c>
      <c r="B388" s="48" t="n">
        <v>47</v>
      </c>
      <c r="C388" s="48" t="n">
        <v>0</v>
      </c>
      <c r="D388" s="48" t="n">
        <v>0</v>
      </c>
      <c r="E388" s="48" t="s">
        <v>118</v>
      </c>
      <c r="F388" s="48" t="s">
        <v>71</v>
      </c>
      <c r="G388" s="48" t="s">
        <v>100</v>
      </c>
      <c r="H388" s="82" t="n">
        <f aca="false">DATE(YEAR(A388),MONTH(A388),1)</f>
        <v>43922</v>
      </c>
    </row>
    <row r="389" customFormat="false" ht="15" hidden="false" customHeight="false" outlineLevel="0" collapsed="false">
      <c r="A389" s="81" t="n">
        <v>43926</v>
      </c>
      <c r="B389" s="48" t="n">
        <v>41</v>
      </c>
      <c r="C389" s="48" t="n">
        <v>1</v>
      </c>
      <c r="D389" s="48" t="n">
        <v>0</v>
      </c>
      <c r="E389" s="48" t="s">
        <v>112</v>
      </c>
      <c r="F389" s="48" t="s">
        <v>70</v>
      </c>
      <c r="G389" s="48" t="s">
        <v>91</v>
      </c>
      <c r="H389" s="82" t="n">
        <f aca="false">DATE(YEAR(A389),MONTH(A389),1)</f>
        <v>43922</v>
      </c>
    </row>
    <row r="390" customFormat="false" ht="15" hidden="false" customHeight="false" outlineLevel="0" collapsed="false">
      <c r="A390" s="81" t="n">
        <v>43927</v>
      </c>
      <c r="B390" s="48" t="n">
        <v>1</v>
      </c>
      <c r="C390" s="48" t="n">
        <v>0</v>
      </c>
      <c r="D390" s="48" t="n">
        <v>0</v>
      </c>
      <c r="E390" s="48" t="s">
        <v>112</v>
      </c>
      <c r="F390" s="48" t="s">
        <v>76</v>
      </c>
      <c r="G390" s="48" t="s">
        <v>595</v>
      </c>
      <c r="H390" s="82" t="n">
        <f aca="false">DATE(YEAR(A390),MONTH(A390),1)</f>
        <v>43922</v>
      </c>
    </row>
    <row r="391" customFormat="false" ht="15" hidden="false" customHeight="false" outlineLevel="0" collapsed="false">
      <c r="A391" s="81" t="n">
        <v>43927</v>
      </c>
      <c r="B391" s="48" t="n">
        <v>3</v>
      </c>
      <c r="C391" s="48" t="n">
        <v>0</v>
      </c>
      <c r="D391" s="48" t="n">
        <v>31</v>
      </c>
      <c r="E391" s="48" t="s">
        <v>112</v>
      </c>
      <c r="F391" s="48" t="s">
        <v>73</v>
      </c>
      <c r="G391" s="48" t="s">
        <v>93</v>
      </c>
      <c r="H391" s="82" t="n">
        <f aca="false">DATE(YEAR(A391),MONTH(A391),1)</f>
        <v>43922</v>
      </c>
    </row>
    <row r="392" customFormat="false" ht="15" hidden="false" customHeight="false" outlineLevel="0" collapsed="false">
      <c r="A392" s="81" t="n">
        <v>43927</v>
      </c>
      <c r="B392" s="48" t="n">
        <v>1</v>
      </c>
      <c r="C392" s="48" t="n">
        <v>0</v>
      </c>
      <c r="D392" s="48" t="n">
        <v>0</v>
      </c>
      <c r="E392" s="48" t="s">
        <v>112</v>
      </c>
      <c r="F392" s="48" t="s">
        <v>77</v>
      </c>
      <c r="G392" s="48" t="s">
        <v>599</v>
      </c>
      <c r="H392" s="82" t="n">
        <f aca="false">DATE(YEAR(A392),MONTH(A392),1)</f>
        <v>43922</v>
      </c>
    </row>
    <row r="393" customFormat="false" ht="15" hidden="false" customHeight="false" outlineLevel="0" collapsed="false">
      <c r="A393" s="81" t="n">
        <v>43927</v>
      </c>
      <c r="B393" s="48" t="n">
        <v>3</v>
      </c>
      <c r="C393" s="48" t="n">
        <v>0</v>
      </c>
      <c r="D393" s="48" t="n">
        <v>0</v>
      </c>
      <c r="E393" s="48" t="s">
        <v>112</v>
      </c>
      <c r="F393" s="48" t="s">
        <v>77</v>
      </c>
      <c r="G393" s="48" t="s">
        <v>667</v>
      </c>
      <c r="H393" s="82" t="n">
        <f aca="false">DATE(YEAR(A393),MONTH(A393),1)</f>
        <v>43922</v>
      </c>
    </row>
    <row r="394" customFormat="false" ht="15" hidden="false" customHeight="false" outlineLevel="0" collapsed="false">
      <c r="A394" s="81" t="n">
        <v>43927</v>
      </c>
      <c r="B394" s="48" t="n">
        <v>1</v>
      </c>
      <c r="C394" s="48" t="n">
        <v>0</v>
      </c>
      <c r="D394" s="48" t="n">
        <v>0</v>
      </c>
      <c r="E394" s="48" t="s">
        <v>112</v>
      </c>
      <c r="F394" s="48" t="s">
        <v>75</v>
      </c>
      <c r="G394" s="48" t="s">
        <v>103</v>
      </c>
      <c r="H394" s="82" t="n">
        <f aca="false">DATE(YEAR(A394),MONTH(A394),1)</f>
        <v>43922</v>
      </c>
    </row>
    <row r="395" customFormat="false" ht="15" hidden="false" customHeight="false" outlineLevel="0" collapsed="false">
      <c r="A395" s="81" t="n">
        <v>43927</v>
      </c>
      <c r="B395" s="48" t="n">
        <v>0</v>
      </c>
      <c r="C395" s="48" t="n">
        <v>0</v>
      </c>
      <c r="D395" s="48" t="n">
        <v>11</v>
      </c>
      <c r="E395" s="48" t="s">
        <v>112</v>
      </c>
      <c r="F395" s="48" t="s">
        <v>75</v>
      </c>
      <c r="G395" s="48" t="s">
        <v>646</v>
      </c>
      <c r="H395" s="82" t="n">
        <f aca="false">DATE(YEAR(A395),MONTH(A395),1)</f>
        <v>43922</v>
      </c>
    </row>
    <row r="396" customFormat="false" ht="15" hidden="false" customHeight="false" outlineLevel="0" collapsed="false">
      <c r="A396" s="81" t="n">
        <v>43927</v>
      </c>
      <c r="B396" s="48" t="n">
        <v>1</v>
      </c>
      <c r="C396" s="48" t="n">
        <v>0</v>
      </c>
      <c r="D396" s="48" t="n">
        <v>0</v>
      </c>
      <c r="E396" s="48" t="s">
        <v>112</v>
      </c>
      <c r="F396" s="48" t="s">
        <v>72</v>
      </c>
      <c r="G396" s="48" t="s">
        <v>593</v>
      </c>
      <c r="H396" s="82" t="n">
        <f aca="false">DATE(YEAR(A396),MONTH(A396),1)</f>
        <v>43922</v>
      </c>
    </row>
    <row r="397" customFormat="false" ht="15" hidden="false" customHeight="false" outlineLevel="0" collapsed="false">
      <c r="A397" s="81" t="n">
        <v>43927</v>
      </c>
      <c r="B397" s="48" t="n">
        <v>2</v>
      </c>
      <c r="C397" s="48" t="n">
        <v>0</v>
      </c>
      <c r="D397" s="48" t="n">
        <v>0</v>
      </c>
      <c r="E397" s="48" t="s">
        <v>112</v>
      </c>
      <c r="F397" s="48" t="s">
        <v>72</v>
      </c>
      <c r="G397" s="48" t="s">
        <v>621</v>
      </c>
      <c r="H397" s="82" t="n">
        <f aca="false">DATE(YEAR(A397),MONTH(A397),1)</f>
        <v>43922</v>
      </c>
    </row>
    <row r="398" customFormat="false" ht="15" hidden="false" customHeight="false" outlineLevel="0" collapsed="false">
      <c r="A398" s="81" t="n">
        <v>43927</v>
      </c>
      <c r="B398" s="48" t="n">
        <v>1</v>
      </c>
      <c r="C398" s="48" t="n">
        <v>0</v>
      </c>
      <c r="D398" s="48" t="n">
        <v>0</v>
      </c>
      <c r="E398" s="48" t="s">
        <v>112</v>
      </c>
      <c r="F398" s="48" t="s">
        <v>72</v>
      </c>
      <c r="G398" s="48" t="s">
        <v>603</v>
      </c>
      <c r="H398" s="82" t="n">
        <f aca="false">DATE(YEAR(A398),MONTH(A398),1)</f>
        <v>43922</v>
      </c>
    </row>
    <row r="399" customFormat="false" ht="15" hidden="false" customHeight="false" outlineLevel="0" collapsed="false">
      <c r="A399" s="81" t="n">
        <v>43927</v>
      </c>
      <c r="B399" s="48" t="n">
        <v>4</v>
      </c>
      <c r="C399" s="48" t="n">
        <v>0</v>
      </c>
      <c r="D399" s="48" t="n">
        <v>0</v>
      </c>
      <c r="E399" s="48" t="s">
        <v>112</v>
      </c>
      <c r="F399" s="48" t="s">
        <v>72</v>
      </c>
      <c r="G399" s="48" t="s">
        <v>597</v>
      </c>
      <c r="H399" s="82" t="n">
        <f aca="false">DATE(YEAR(A399),MONTH(A399),1)</f>
        <v>43922</v>
      </c>
    </row>
    <row r="400" customFormat="false" ht="15" hidden="false" customHeight="false" outlineLevel="0" collapsed="false">
      <c r="A400" s="81" t="n">
        <v>43927</v>
      </c>
      <c r="B400" s="48" t="n">
        <v>3</v>
      </c>
      <c r="C400" s="48" t="n">
        <v>0</v>
      </c>
      <c r="D400" s="48" t="n">
        <v>0</v>
      </c>
      <c r="E400" s="48" t="s">
        <v>118</v>
      </c>
      <c r="F400" s="48" t="s">
        <v>72</v>
      </c>
      <c r="G400" s="48" t="s">
        <v>607</v>
      </c>
      <c r="H400" s="82" t="n">
        <f aca="false">DATE(YEAR(A400),MONTH(A400),1)</f>
        <v>43922</v>
      </c>
    </row>
    <row r="401" customFormat="false" ht="15" hidden="false" customHeight="false" outlineLevel="0" collapsed="false">
      <c r="A401" s="81" t="n">
        <v>43927</v>
      </c>
      <c r="B401" s="48" t="n">
        <v>1</v>
      </c>
      <c r="C401" s="48" t="n">
        <v>0</v>
      </c>
      <c r="D401" s="48" t="n">
        <v>0</v>
      </c>
      <c r="E401" s="48" t="s">
        <v>112</v>
      </c>
      <c r="F401" s="48" t="s">
        <v>72</v>
      </c>
      <c r="G401" s="48" t="s">
        <v>607</v>
      </c>
      <c r="H401" s="82" t="n">
        <f aca="false">DATE(YEAR(A401),MONTH(A401),1)</f>
        <v>43922</v>
      </c>
    </row>
    <row r="402" customFormat="false" ht="15" hidden="false" customHeight="false" outlineLevel="0" collapsed="false">
      <c r="A402" s="81" t="n">
        <v>43927</v>
      </c>
      <c r="B402" s="48" t="n">
        <v>6</v>
      </c>
      <c r="C402" s="48" t="n">
        <v>0</v>
      </c>
      <c r="D402" s="48" t="n">
        <v>1</v>
      </c>
      <c r="E402" s="48" t="s">
        <v>112</v>
      </c>
      <c r="F402" s="48" t="s">
        <v>72</v>
      </c>
      <c r="G402" s="48" t="s">
        <v>591</v>
      </c>
      <c r="H402" s="82" t="n">
        <f aca="false">DATE(YEAR(A402),MONTH(A402),1)</f>
        <v>43922</v>
      </c>
    </row>
    <row r="403" customFormat="false" ht="15" hidden="false" customHeight="false" outlineLevel="0" collapsed="false">
      <c r="A403" s="81" t="n">
        <v>43927</v>
      </c>
      <c r="B403" s="48" t="n">
        <v>14</v>
      </c>
      <c r="C403" s="48" t="n">
        <v>0</v>
      </c>
      <c r="D403" s="48" t="n">
        <v>0</v>
      </c>
      <c r="E403" s="48" t="s">
        <v>112</v>
      </c>
      <c r="F403" s="48" t="s">
        <v>72</v>
      </c>
      <c r="G403" s="48" t="s">
        <v>598</v>
      </c>
      <c r="H403" s="82" t="n">
        <f aca="false">DATE(YEAR(A403),MONTH(A403),1)</f>
        <v>43922</v>
      </c>
    </row>
    <row r="404" customFormat="false" ht="15" hidden="false" customHeight="false" outlineLevel="0" collapsed="false">
      <c r="A404" s="81" t="n">
        <v>43927</v>
      </c>
      <c r="B404" s="48" t="n">
        <v>1</v>
      </c>
      <c r="C404" s="48" t="n">
        <v>0</v>
      </c>
      <c r="D404" s="48" t="n">
        <v>0</v>
      </c>
      <c r="E404" s="48" t="s">
        <v>112</v>
      </c>
      <c r="F404" s="48" t="s">
        <v>72</v>
      </c>
      <c r="G404" s="48" t="s">
        <v>608</v>
      </c>
      <c r="H404" s="82" t="n">
        <f aca="false">DATE(YEAR(A404),MONTH(A404),1)</f>
        <v>43922</v>
      </c>
    </row>
    <row r="405" customFormat="false" ht="15" hidden="false" customHeight="false" outlineLevel="0" collapsed="false">
      <c r="A405" s="81" t="n">
        <v>43927</v>
      </c>
      <c r="B405" s="48" t="n">
        <v>15</v>
      </c>
      <c r="C405" s="48" t="n">
        <v>0</v>
      </c>
      <c r="D405" s="48" t="n">
        <v>1</v>
      </c>
      <c r="E405" s="48" t="s">
        <v>112</v>
      </c>
      <c r="F405" s="48" t="s">
        <v>72</v>
      </c>
      <c r="G405" s="48" t="s">
        <v>614</v>
      </c>
      <c r="H405" s="82" t="n">
        <f aca="false">DATE(YEAR(A405),MONTH(A405),1)</f>
        <v>43922</v>
      </c>
    </row>
    <row r="406" customFormat="false" ht="15" hidden="false" customHeight="false" outlineLevel="0" collapsed="false">
      <c r="A406" s="81" t="n">
        <v>43927</v>
      </c>
      <c r="B406" s="48" t="n">
        <v>1</v>
      </c>
      <c r="C406" s="48" t="n">
        <v>0</v>
      </c>
      <c r="D406" s="48" t="n">
        <v>0</v>
      </c>
      <c r="E406" s="48" t="s">
        <v>112</v>
      </c>
      <c r="F406" s="48" t="s">
        <v>72</v>
      </c>
      <c r="G406" s="48" t="s">
        <v>610</v>
      </c>
      <c r="H406" s="82" t="n">
        <f aca="false">DATE(YEAR(A406),MONTH(A406),1)</f>
        <v>43922</v>
      </c>
    </row>
    <row r="407" customFormat="false" ht="15" hidden="false" customHeight="false" outlineLevel="0" collapsed="false">
      <c r="A407" s="81" t="n">
        <v>43927</v>
      </c>
      <c r="B407" s="48" t="n">
        <v>9</v>
      </c>
      <c r="C407" s="48" t="n">
        <v>0</v>
      </c>
      <c r="D407" s="48" t="n">
        <v>0</v>
      </c>
      <c r="E407" s="48" t="s">
        <v>112</v>
      </c>
      <c r="F407" s="48" t="s">
        <v>72</v>
      </c>
      <c r="G407" s="48" t="s">
        <v>102</v>
      </c>
      <c r="H407" s="82" t="n">
        <f aca="false">DATE(YEAR(A407),MONTH(A407),1)</f>
        <v>43922</v>
      </c>
    </row>
    <row r="408" customFormat="false" ht="15" hidden="false" customHeight="false" outlineLevel="0" collapsed="false">
      <c r="A408" s="81" t="n">
        <v>43927</v>
      </c>
      <c r="B408" s="48" t="n">
        <v>1</v>
      </c>
      <c r="C408" s="48" t="n">
        <v>0</v>
      </c>
      <c r="D408" s="48" t="n">
        <v>0</v>
      </c>
      <c r="E408" s="48" t="s">
        <v>112</v>
      </c>
      <c r="F408" s="48" t="s">
        <v>72</v>
      </c>
      <c r="G408" s="48" t="s">
        <v>656</v>
      </c>
      <c r="H408" s="82" t="n">
        <f aca="false">DATE(YEAR(A408),MONTH(A408),1)</f>
        <v>43922</v>
      </c>
    </row>
    <row r="409" customFormat="false" ht="15" hidden="false" customHeight="false" outlineLevel="0" collapsed="false">
      <c r="A409" s="81" t="n">
        <v>43927</v>
      </c>
      <c r="B409" s="48" t="n">
        <v>24</v>
      </c>
      <c r="C409" s="48" t="n">
        <v>0</v>
      </c>
      <c r="D409" s="48" t="n">
        <v>0</v>
      </c>
      <c r="E409" s="48" t="s">
        <v>112</v>
      </c>
      <c r="F409" s="48" t="s">
        <v>72</v>
      </c>
      <c r="G409" s="48" t="s">
        <v>94</v>
      </c>
      <c r="H409" s="82" t="n">
        <f aca="false">DATE(YEAR(A409),MONTH(A409),1)</f>
        <v>43922</v>
      </c>
    </row>
    <row r="410" customFormat="false" ht="15" hidden="false" customHeight="false" outlineLevel="0" collapsed="false">
      <c r="A410" s="81" t="n">
        <v>43927</v>
      </c>
      <c r="B410" s="48" t="n">
        <v>2</v>
      </c>
      <c r="C410" s="48" t="n">
        <v>0</v>
      </c>
      <c r="D410" s="48" t="n">
        <v>1</v>
      </c>
      <c r="E410" s="48" t="s">
        <v>112</v>
      </c>
      <c r="F410" s="48" t="s">
        <v>72</v>
      </c>
      <c r="G410" s="48" t="s">
        <v>611</v>
      </c>
      <c r="H410" s="82" t="n">
        <f aca="false">DATE(YEAR(A410),MONTH(A410),1)</f>
        <v>43922</v>
      </c>
    </row>
    <row r="411" customFormat="false" ht="15" hidden="false" customHeight="false" outlineLevel="0" collapsed="false">
      <c r="A411" s="81" t="n">
        <v>43927</v>
      </c>
      <c r="B411" s="48" t="n">
        <v>7</v>
      </c>
      <c r="C411" s="48" t="n">
        <v>0</v>
      </c>
      <c r="D411" s="48" t="n">
        <v>0</v>
      </c>
      <c r="E411" s="48" t="s">
        <v>112</v>
      </c>
      <c r="F411" s="48" t="s">
        <v>72</v>
      </c>
      <c r="G411" s="48" t="s">
        <v>96</v>
      </c>
      <c r="H411" s="82" t="n">
        <f aca="false">DATE(YEAR(A411),MONTH(A411),1)</f>
        <v>43922</v>
      </c>
    </row>
    <row r="412" customFormat="false" ht="15" hidden="false" customHeight="false" outlineLevel="0" collapsed="false">
      <c r="A412" s="81" t="n">
        <v>43927</v>
      </c>
      <c r="B412" s="48" t="n">
        <v>20</v>
      </c>
      <c r="C412" s="48" t="n">
        <v>3</v>
      </c>
      <c r="D412" s="48" t="n">
        <v>0</v>
      </c>
      <c r="E412" s="48" t="s">
        <v>112</v>
      </c>
      <c r="F412" s="48" t="s">
        <v>71</v>
      </c>
      <c r="G412" s="48" t="s">
        <v>92</v>
      </c>
      <c r="H412" s="82" t="n">
        <f aca="false">DATE(YEAR(A412),MONTH(A412),1)</f>
        <v>43922</v>
      </c>
    </row>
    <row r="413" customFormat="false" ht="15" hidden="false" customHeight="false" outlineLevel="0" collapsed="false">
      <c r="A413" s="81" t="n">
        <v>43927</v>
      </c>
      <c r="B413" s="48" t="n">
        <v>77</v>
      </c>
      <c r="C413" s="48" t="n">
        <v>0</v>
      </c>
      <c r="D413" s="48" t="n">
        <v>0</v>
      </c>
      <c r="E413" s="48" t="s">
        <v>120</v>
      </c>
      <c r="F413" s="48" t="s">
        <v>71</v>
      </c>
      <c r="G413" s="48" t="s">
        <v>92</v>
      </c>
      <c r="H413" s="82" t="n">
        <f aca="false">DATE(YEAR(A413),MONTH(A413),1)</f>
        <v>43922</v>
      </c>
    </row>
    <row r="414" customFormat="false" ht="15" hidden="false" customHeight="false" outlineLevel="0" collapsed="false">
      <c r="A414" s="81" t="n">
        <v>43927</v>
      </c>
      <c r="B414" s="48" t="n">
        <v>51</v>
      </c>
      <c r="C414" s="48" t="n">
        <v>2</v>
      </c>
      <c r="D414" s="48" t="n">
        <v>0</v>
      </c>
      <c r="E414" s="48" t="s">
        <v>112</v>
      </c>
      <c r="F414" s="48" t="s">
        <v>70</v>
      </c>
      <c r="G414" s="48" t="s">
        <v>91</v>
      </c>
      <c r="H414" s="82" t="n">
        <f aca="false">DATE(YEAR(A414),MONTH(A414),1)</f>
        <v>43922</v>
      </c>
    </row>
    <row r="415" customFormat="false" ht="15" hidden="false" customHeight="false" outlineLevel="0" collapsed="false">
      <c r="A415" s="81" t="n">
        <v>43927</v>
      </c>
      <c r="B415" s="48" t="n">
        <v>0</v>
      </c>
      <c r="C415" s="48" t="n">
        <v>0</v>
      </c>
      <c r="D415" s="48" t="n">
        <v>130</v>
      </c>
      <c r="E415" s="48" t="s">
        <v>118</v>
      </c>
      <c r="F415" s="48" t="s">
        <v>70</v>
      </c>
      <c r="G415" s="48" t="s">
        <v>98</v>
      </c>
      <c r="H415" s="82" t="n">
        <f aca="false">DATE(YEAR(A415),MONTH(A415),1)</f>
        <v>43922</v>
      </c>
    </row>
    <row r="416" customFormat="false" ht="15" hidden="false" customHeight="false" outlineLevel="0" collapsed="false">
      <c r="A416" s="81" t="n">
        <v>43928</v>
      </c>
      <c r="B416" s="48" t="n">
        <v>3</v>
      </c>
      <c r="C416" s="48" t="n">
        <v>0</v>
      </c>
      <c r="D416" s="48" t="n">
        <v>0</v>
      </c>
      <c r="E416" s="48" t="s">
        <v>112</v>
      </c>
      <c r="F416" s="48" t="s">
        <v>76</v>
      </c>
      <c r="G416" s="48" t="s">
        <v>595</v>
      </c>
      <c r="H416" s="82" t="n">
        <f aca="false">DATE(YEAR(A416),MONTH(A416),1)</f>
        <v>43922</v>
      </c>
    </row>
    <row r="417" customFormat="false" ht="15" hidden="false" customHeight="false" outlineLevel="0" collapsed="false">
      <c r="A417" s="81" t="n">
        <v>43928</v>
      </c>
      <c r="B417" s="48" t="n">
        <v>12</v>
      </c>
      <c r="C417" s="48" t="n">
        <v>0</v>
      </c>
      <c r="D417" s="48" t="n">
        <v>3</v>
      </c>
      <c r="E417" s="48" t="s">
        <v>112</v>
      </c>
      <c r="F417" s="48" t="s">
        <v>73</v>
      </c>
      <c r="G417" s="48" t="s">
        <v>93</v>
      </c>
      <c r="H417" s="82" t="n">
        <f aca="false">DATE(YEAR(A417),MONTH(A417),1)</f>
        <v>43922</v>
      </c>
    </row>
    <row r="418" customFormat="false" ht="15" hidden="false" customHeight="false" outlineLevel="0" collapsed="false">
      <c r="A418" s="81" t="n">
        <v>43928</v>
      </c>
      <c r="B418" s="48" t="n">
        <v>1</v>
      </c>
      <c r="C418" s="48" t="n">
        <v>0</v>
      </c>
      <c r="D418" s="48" t="n">
        <v>0</v>
      </c>
      <c r="E418" s="48" t="s">
        <v>112</v>
      </c>
      <c r="F418" s="48" t="s">
        <v>77</v>
      </c>
      <c r="G418" s="48" t="s">
        <v>600</v>
      </c>
      <c r="H418" s="82" t="n">
        <f aca="false">DATE(YEAR(A418),MONTH(A418),1)</f>
        <v>43922</v>
      </c>
    </row>
    <row r="419" customFormat="false" ht="15" hidden="false" customHeight="false" outlineLevel="0" collapsed="false">
      <c r="A419" s="81" t="n">
        <v>43928</v>
      </c>
      <c r="B419" s="48" t="n">
        <v>1</v>
      </c>
      <c r="C419" s="48" t="n">
        <v>0</v>
      </c>
      <c r="D419" s="48" t="n">
        <v>0</v>
      </c>
      <c r="E419" s="48" t="s">
        <v>112</v>
      </c>
      <c r="F419" s="48" t="s">
        <v>77</v>
      </c>
      <c r="G419" s="48" t="s">
        <v>599</v>
      </c>
      <c r="H419" s="82" t="n">
        <f aca="false">DATE(YEAR(A419),MONTH(A419),1)</f>
        <v>43922</v>
      </c>
    </row>
    <row r="420" customFormat="false" ht="15" hidden="false" customHeight="false" outlineLevel="0" collapsed="false">
      <c r="A420" s="81" t="n">
        <v>43928</v>
      </c>
      <c r="B420" s="48" t="n">
        <v>0</v>
      </c>
      <c r="C420" s="48" t="n">
        <v>0</v>
      </c>
      <c r="D420" s="48" t="n">
        <v>1</v>
      </c>
      <c r="E420" s="48" t="s">
        <v>112</v>
      </c>
      <c r="F420" s="48" t="s">
        <v>77</v>
      </c>
      <c r="G420" s="48" t="s">
        <v>615</v>
      </c>
      <c r="H420" s="82" t="n">
        <f aca="false">DATE(YEAR(A420),MONTH(A420),1)</f>
        <v>43922</v>
      </c>
    </row>
    <row r="421" customFormat="false" ht="15" hidden="false" customHeight="false" outlineLevel="0" collapsed="false">
      <c r="A421" s="81" t="n">
        <v>43928</v>
      </c>
      <c r="B421" s="48" t="n">
        <v>0</v>
      </c>
      <c r="C421" s="48" t="n">
        <v>0</v>
      </c>
      <c r="D421" s="48" t="n">
        <v>28</v>
      </c>
      <c r="E421" s="48" t="s">
        <v>112</v>
      </c>
      <c r="F421" s="48" t="s">
        <v>75</v>
      </c>
      <c r="G421" s="48" t="s">
        <v>624</v>
      </c>
      <c r="H421" s="82" t="n">
        <f aca="false">DATE(YEAR(A421),MONTH(A421),1)</f>
        <v>43922</v>
      </c>
    </row>
    <row r="422" customFormat="false" ht="15" hidden="false" customHeight="false" outlineLevel="0" collapsed="false">
      <c r="A422" s="81" t="n">
        <v>43928</v>
      </c>
      <c r="B422" s="48" t="n">
        <v>1</v>
      </c>
      <c r="C422" s="48" t="n">
        <v>0</v>
      </c>
      <c r="D422" s="48" t="n">
        <v>2</v>
      </c>
      <c r="E422" s="48" t="s">
        <v>112</v>
      </c>
      <c r="F422" s="48" t="s">
        <v>75</v>
      </c>
      <c r="G422" s="48" t="s">
        <v>660</v>
      </c>
      <c r="H422" s="82" t="n">
        <f aca="false">DATE(YEAR(A422),MONTH(A422),1)</f>
        <v>43922</v>
      </c>
    </row>
    <row r="423" customFormat="false" ht="15" hidden="false" customHeight="false" outlineLevel="0" collapsed="false">
      <c r="A423" s="81" t="n">
        <v>43928</v>
      </c>
      <c r="B423" s="48" t="n">
        <v>1</v>
      </c>
      <c r="C423" s="48" t="n">
        <v>1</v>
      </c>
      <c r="D423" s="48" t="n">
        <v>0</v>
      </c>
      <c r="E423" s="48" t="s">
        <v>112</v>
      </c>
      <c r="F423" s="48" t="s">
        <v>74</v>
      </c>
      <c r="G423" s="48" t="s">
        <v>95</v>
      </c>
      <c r="H423" s="82" t="n">
        <f aca="false">DATE(YEAR(A423),MONTH(A423),1)</f>
        <v>43922</v>
      </c>
    </row>
    <row r="424" customFormat="false" ht="15" hidden="false" customHeight="false" outlineLevel="0" collapsed="false">
      <c r="A424" s="81" t="n">
        <v>43928</v>
      </c>
      <c r="B424" s="48" t="n">
        <v>0</v>
      </c>
      <c r="C424" s="48" t="n">
        <v>0</v>
      </c>
      <c r="D424" s="48" t="n">
        <v>1</v>
      </c>
      <c r="E424" s="48" t="s">
        <v>118</v>
      </c>
      <c r="F424" s="48" t="s">
        <v>72</v>
      </c>
      <c r="G424" s="48" t="s">
        <v>94</v>
      </c>
      <c r="H424" s="82" t="n">
        <f aca="false">DATE(YEAR(A424),MONTH(A424),1)</f>
        <v>43922</v>
      </c>
    </row>
    <row r="425" customFormat="false" ht="15" hidden="false" customHeight="false" outlineLevel="0" collapsed="false">
      <c r="A425" s="81" t="n">
        <v>43928</v>
      </c>
      <c r="B425" s="48" t="n">
        <v>7</v>
      </c>
      <c r="C425" s="48" t="n">
        <v>1</v>
      </c>
      <c r="D425" s="48" t="n">
        <v>4</v>
      </c>
      <c r="E425" s="48" t="s">
        <v>112</v>
      </c>
      <c r="F425" s="48" t="s">
        <v>72</v>
      </c>
      <c r="G425" s="48" t="s">
        <v>94</v>
      </c>
      <c r="H425" s="82" t="n">
        <f aca="false">DATE(YEAR(A425),MONTH(A425),1)</f>
        <v>43922</v>
      </c>
    </row>
    <row r="426" customFormat="false" ht="15" hidden="false" customHeight="false" outlineLevel="0" collapsed="false">
      <c r="A426" s="81" t="n">
        <v>43928</v>
      </c>
      <c r="B426" s="48" t="n">
        <v>2</v>
      </c>
      <c r="C426" s="48" t="n">
        <v>0</v>
      </c>
      <c r="D426" s="48" t="n">
        <v>0</v>
      </c>
      <c r="E426" s="48" t="s">
        <v>112</v>
      </c>
      <c r="F426" s="48" t="s">
        <v>72</v>
      </c>
      <c r="G426" s="48" t="s">
        <v>593</v>
      </c>
      <c r="H426" s="82" t="n">
        <f aca="false">DATE(YEAR(A426),MONTH(A426),1)</f>
        <v>43922</v>
      </c>
    </row>
    <row r="427" customFormat="false" ht="15" hidden="false" customHeight="false" outlineLevel="0" collapsed="false">
      <c r="A427" s="81" t="n">
        <v>43928</v>
      </c>
      <c r="B427" s="48" t="n">
        <v>1</v>
      </c>
      <c r="C427" s="48" t="n">
        <v>0</v>
      </c>
      <c r="D427" s="48" t="n">
        <v>0</v>
      </c>
      <c r="E427" s="48" t="s">
        <v>112</v>
      </c>
      <c r="F427" s="48" t="s">
        <v>72</v>
      </c>
      <c r="G427" s="48" t="s">
        <v>621</v>
      </c>
      <c r="H427" s="82" t="n">
        <f aca="false">DATE(YEAR(A427),MONTH(A427),1)</f>
        <v>43922</v>
      </c>
    </row>
    <row r="428" customFormat="false" ht="15" hidden="false" customHeight="false" outlineLevel="0" collapsed="false">
      <c r="A428" s="81" t="n">
        <v>43928</v>
      </c>
      <c r="B428" s="48" t="n">
        <v>2</v>
      </c>
      <c r="C428" s="48" t="n">
        <v>0</v>
      </c>
      <c r="D428" s="48" t="n">
        <v>0</v>
      </c>
      <c r="E428" s="48" t="s">
        <v>112</v>
      </c>
      <c r="F428" s="48" t="s">
        <v>72</v>
      </c>
      <c r="G428" s="48" t="s">
        <v>597</v>
      </c>
      <c r="H428" s="82" t="n">
        <f aca="false">DATE(YEAR(A428),MONTH(A428),1)</f>
        <v>43922</v>
      </c>
    </row>
    <row r="429" customFormat="false" ht="15" hidden="false" customHeight="false" outlineLevel="0" collapsed="false">
      <c r="A429" s="81" t="n">
        <v>43928</v>
      </c>
      <c r="B429" s="48" t="n">
        <v>3</v>
      </c>
      <c r="C429" s="48" t="n">
        <v>0</v>
      </c>
      <c r="D429" s="48" t="n">
        <v>0</v>
      </c>
      <c r="E429" s="48" t="s">
        <v>112</v>
      </c>
      <c r="F429" s="48" t="s">
        <v>72</v>
      </c>
      <c r="G429" s="48" t="s">
        <v>598</v>
      </c>
      <c r="H429" s="82" t="n">
        <f aca="false">DATE(YEAR(A429),MONTH(A429),1)</f>
        <v>43922</v>
      </c>
    </row>
    <row r="430" customFormat="false" ht="15" hidden="false" customHeight="false" outlineLevel="0" collapsed="false">
      <c r="A430" s="81" t="n">
        <v>43928</v>
      </c>
      <c r="B430" s="48" t="n">
        <v>2</v>
      </c>
      <c r="C430" s="48" t="n">
        <v>0</v>
      </c>
      <c r="D430" s="48" t="n">
        <v>0</v>
      </c>
      <c r="E430" s="48" t="s">
        <v>112</v>
      </c>
      <c r="F430" s="48" t="s">
        <v>72</v>
      </c>
      <c r="G430" s="48" t="s">
        <v>608</v>
      </c>
      <c r="H430" s="82" t="n">
        <f aca="false">DATE(YEAR(A430),MONTH(A430),1)</f>
        <v>43922</v>
      </c>
    </row>
    <row r="431" customFormat="false" ht="15" hidden="false" customHeight="false" outlineLevel="0" collapsed="false">
      <c r="A431" s="81" t="n">
        <v>43928</v>
      </c>
      <c r="B431" s="48" t="n">
        <v>3</v>
      </c>
      <c r="C431" s="48" t="n">
        <v>0</v>
      </c>
      <c r="D431" s="48" t="n">
        <v>0</v>
      </c>
      <c r="E431" s="48" t="s">
        <v>112</v>
      </c>
      <c r="F431" s="48" t="s">
        <v>72</v>
      </c>
      <c r="G431" s="48" t="s">
        <v>666</v>
      </c>
      <c r="H431" s="82" t="n">
        <f aca="false">DATE(YEAR(A431),MONTH(A431),1)</f>
        <v>43922</v>
      </c>
    </row>
    <row r="432" customFormat="false" ht="15" hidden="false" customHeight="false" outlineLevel="0" collapsed="false">
      <c r="A432" s="81" t="n">
        <v>43928</v>
      </c>
      <c r="B432" s="48" t="n">
        <v>2</v>
      </c>
      <c r="C432" s="48" t="n">
        <v>0</v>
      </c>
      <c r="D432" s="48" t="n">
        <v>0</v>
      </c>
      <c r="E432" s="48" t="s">
        <v>112</v>
      </c>
      <c r="F432" s="48" t="s">
        <v>72</v>
      </c>
      <c r="G432" s="48" t="s">
        <v>609</v>
      </c>
      <c r="H432" s="82" t="n">
        <f aca="false">DATE(YEAR(A432),MONTH(A432),1)</f>
        <v>43922</v>
      </c>
    </row>
    <row r="433" customFormat="false" ht="15" hidden="false" customHeight="false" outlineLevel="0" collapsed="false">
      <c r="A433" s="81" t="n">
        <v>43928</v>
      </c>
      <c r="B433" s="48" t="n">
        <v>1</v>
      </c>
      <c r="C433" s="48" t="n">
        <v>0</v>
      </c>
      <c r="D433" s="48" t="n">
        <v>0</v>
      </c>
      <c r="E433" s="48" t="s">
        <v>112</v>
      </c>
      <c r="F433" s="48" t="s">
        <v>72</v>
      </c>
      <c r="G433" s="48" t="s">
        <v>96</v>
      </c>
      <c r="H433" s="82" t="n">
        <f aca="false">DATE(YEAR(A433),MONTH(A433),1)</f>
        <v>43922</v>
      </c>
    </row>
    <row r="434" customFormat="false" ht="15" hidden="false" customHeight="false" outlineLevel="0" collapsed="false">
      <c r="A434" s="81" t="n">
        <v>43928</v>
      </c>
      <c r="B434" s="48" t="n">
        <v>0</v>
      </c>
      <c r="C434" s="48" t="n">
        <v>0</v>
      </c>
      <c r="D434" s="48" t="n">
        <v>0</v>
      </c>
      <c r="E434" s="48" t="s">
        <v>116</v>
      </c>
      <c r="F434" s="48" t="s">
        <v>71</v>
      </c>
      <c r="G434" s="48" t="s">
        <v>100</v>
      </c>
      <c r="H434" s="82" t="n">
        <f aca="false">DATE(YEAR(A434),MONTH(A434),1)</f>
        <v>43922</v>
      </c>
    </row>
    <row r="435" customFormat="false" ht="15" hidden="false" customHeight="false" outlineLevel="0" collapsed="false">
      <c r="A435" s="81" t="n">
        <v>43928</v>
      </c>
      <c r="B435" s="48" t="n">
        <v>54</v>
      </c>
      <c r="C435" s="48" t="n">
        <v>1</v>
      </c>
      <c r="D435" s="48" t="n">
        <v>16</v>
      </c>
      <c r="E435" s="48" t="s">
        <v>112</v>
      </c>
      <c r="F435" s="48" t="s">
        <v>70</v>
      </c>
      <c r="G435" s="48" t="s">
        <v>91</v>
      </c>
      <c r="H435" s="82" t="n">
        <f aca="false">DATE(YEAR(A435),MONTH(A435),1)</f>
        <v>43922</v>
      </c>
    </row>
    <row r="436" customFormat="false" ht="15" hidden="false" customHeight="false" outlineLevel="0" collapsed="false">
      <c r="A436" s="81" t="n">
        <v>43928</v>
      </c>
      <c r="B436" s="48" t="n">
        <v>11</v>
      </c>
      <c r="C436" s="48" t="n">
        <v>0</v>
      </c>
      <c r="D436" s="48" t="n">
        <v>27</v>
      </c>
      <c r="E436" s="48" t="s">
        <v>112</v>
      </c>
      <c r="F436" s="48" t="s">
        <v>70</v>
      </c>
      <c r="G436" s="48" t="s">
        <v>91</v>
      </c>
      <c r="H436" s="82" t="n">
        <f aca="false">DATE(YEAR(A436),MONTH(A436),1)</f>
        <v>43922</v>
      </c>
    </row>
    <row r="437" customFormat="false" ht="15" hidden="false" customHeight="false" outlineLevel="0" collapsed="false">
      <c r="A437" s="81" t="n">
        <v>43929</v>
      </c>
      <c r="B437" s="48" t="n">
        <v>10</v>
      </c>
      <c r="C437" s="48" t="n">
        <v>0</v>
      </c>
      <c r="D437" s="48" t="n">
        <v>0</v>
      </c>
      <c r="E437" s="48" t="s">
        <v>112</v>
      </c>
      <c r="F437" s="48" t="s">
        <v>76</v>
      </c>
      <c r="G437" s="48" t="s">
        <v>595</v>
      </c>
      <c r="H437" s="82" t="n">
        <f aca="false">DATE(YEAR(A437),MONTH(A437),1)</f>
        <v>43922</v>
      </c>
    </row>
    <row r="438" customFormat="false" ht="15" hidden="false" customHeight="false" outlineLevel="0" collapsed="false">
      <c r="A438" s="81" t="n">
        <v>43929</v>
      </c>
      <c r="B438" s="48" t="n">
        <v>8</v>
      </c>
      <c r="C438" s="48" t="n">
        <v>1</v>
      </c>
      <c r="D438" s="48" t="n">
        <v>10</v>
      </c>
      <c r="E438" s="48" t="s">
        <v>112</v>
      </c>
      <c r="F438" s="48" t="s">
        <v>73</v>
      </c>
      <c r="G438" s="48" t="s">
        <v>93</v>
      </c>
      <c r="H438" s="82" t="n">
        <f aca="false">DATE(YEAR(A438),MONTH(A438),1)</f>
        <v>43922</v>
      </c>
    </row>
    <row r="439" customFormat="false" ht="15" hidden="false" customHeight="false" outlineLevel="0" collapsed="false">
      <c r="A439" s="81" t="n">
        <v>43929</v>
      </c>
      <c r="B439" s="48" t="n">
        <v>2</v>
      </c>
      <c r="C439" s="48" t="n">
        <v>0</v>
      </c>
      <c r="D439" s="48" t="n">
        <v>0</v>
      </c>
      <c r="E439" s="48" t="s">
        <v>112</v>
      </c>
      <c r="F439" s="48" t="s">
        <v>77</v>
      </c>
      <c r="G439" s="48" t="s">
        <v>599</v>
      </c>
      <c r="H439" s="82" t="n">
        <f aca="false">DATE(YEAR(A439),MONTH(A439),1)</f>
        <v>43922</v>
      </c>
    </row>
    <row r="440" customFormat="false" ht="15" hidden="false" customHeight="false" outlineLevel="0" collapsed="false">
      <c r="A440" s="81" t="n">
        <v>43929</v>
      </c>
      <c r="B440" s="48" t="n">
        <v>4</v>
      </c>
      <c r="C440" s="48" t="n">
        <v>0</v>
      </c>
      <c r="D440" s="48" t="n">
        <v>0</v>
      </c>
      <c r="E440" s="48" t="s">
        <v>112</v>
      </c>
      <c r="F440" s="48" t="s">
        <v>77</v>
      </c>
      <c r="G440" s="48" t="s">
        <v>615</v>
      </c>
      <c r="H440" s="82" t="n">
        <f aca="false">DATE(YEAR(A440),MONTH(A440),1)</f>
        <v>43922</v>
      </c>
    </row>
    <row r="441" customFormat="false" ht="15" hidden="false" customHeight="false" outlineLevel="0" collapsed="false">
      <c r="A441" s="81" t="n">
        <v>43929</v>
      </c>
      <c r="B441" s="48" t="n">
        <v>1</v>
      </c>
      <c r="C441" s="48" t="n">
        <v>0</v>
      </c>
      <c r="D441" s="48" t="n">
        <v>20</v>
      </c>
      <c r="E441" s="48" t="s">
        <v>112</v>
      </c>
      <c r="F441" s="48" t="s">
        <v>75</v>
      </c>
      <c r="G441" s="48" t="s">
        <v>617</v>
      </c>
      <c r="H441" s="82" t="n">
        <f aca="false">DATE(YEAR(A441),MONTH(A441),1)</f>
        <v>43922</v>
      </c>
    </row>
    <row r="442" customFormat="false" ht="15" hidden="false" customHeight="false" outlineLevel="0" collapsed="false">
      <c r="A442" s="81" t="n">
        <v>43929</v>
      </c>
      <c r="B442" s="48" t="n">
        <v>0</v>
      </c>
      <c r="C442" s="48" t="n">
        <v>0</v>
      </c>
      <c r="D442" s="48" t="n">
        <v>0</v>
      </c>
      <c r="E442" s="48" t="s">
        <v>112</v>
      </c>
      <c r="F442" s="48" t="s">
        <v>72</v>
      </c>
      <c r="G442" s="48" t="s">
        <v>94</v>
      </c>
      <c r="H442" s="82" t="n">
        <f aca="false">DATE(YEAR(A442),MONTH(A442),1)</f>
        <v>43922</v>
      </c>
    </row>
    <row r="443" customFormat="false" ht="15" hidden="false" customHeight="false" outlineLevel="0" collapsed="false">
      <c r="A443" s="81" t="n">
        <v>43929</v>
      </c>
      <c r="B443" s="48" t="n">
        <v>0</v>
      </c>
      <c r="C443" s="48" t="n">
        <v>1</v>
      </c>
      <c r="D443" s="48" t="n">
        <v>0</v>
      </c>
      <c r="E443" s="48" t="s">
        <v>112</v>
      </c>
      <c r="F443" s="48" t="s">
        <v>72</v>
      </c>
      <c r="G443" s="48" t="s">
        <v>609</v>
      </c>
      <c r="H443" s="82" t="n">
        <f aca="false">DATE(YEAR(A443),MONTH(A443),1)</f>
        <v>43922</v>
      </c>
    </row>
    <row r="444" customFormat="false" ht="15" hidden="false" customHeight="false" outlineLevel="0" collapsed="false">
      <c r="A444" s="81" t="n">
        <v>43929</v>
      </c>
      <c r="B444" s="48" t="n">
        <v>2</v>
      </c>
      <c r="C444" s="48" t="n">
        <v>1</v>
      </c>
      <c r="D444" s="48" t="n">
        <v>0</v>
      </c>
      <c r="E444" s="48" t="s">
        <v>112</v>
      </c>
      <c r="F444" s="48" t="s">
        <v>72</v>
      </c>
      <c r="G444" s="48" t="s">
        <v>614</v>
      </c>
      <c r="H444" s="82" t="n">
        <f aca="false">DATE(YEAR(A444),MONTH(A444),1)</f>
        <v>43922</v>
      </c>
    </row>
    <row r="445" customFormat="false" ht="15" hidden="false" customHeight="false" outlineLevel="0" collapsed="false">
      <c r="A445" s="81" t="n">
        <v>43929</v>
      </c>
      <c r="B445" s="48" t="n">
        <v>12</v>
      </c>
      <c r="C445" s="48" t="n">
        <v>0</v>
      </c>
      <c r="D445" s="48" t="n">
        <v>1</v>
      </c>
      <c r="E445" s="48" t="s">
        <v>112</v>
      </c>
      <c r="F445" s="48" t="s">
        <v>72</v>
      </c>
      <c r="G445" s="48" t="s">
        <v>603</v>
      </c>
      <c r="H445" s="82" t="n">
        <f aca="false">DATE(YEAR(A445),MONTH(A445),1)</f>
        <v>43922</v>
      </c>
    </row>
    <row r="446" customFormat="false" ht="15" hidden="false" customHeight="false" outlineLevel="0" collapsed="false">
      <c r="A446" s="81" t="n">
        <v>43929</v>
      </c>
      <c r="B446" s="48" t="n">
        <v>3</v>
      </c>
      <c r="C446" s="48" t="n">
        <v>0</v>
      </c>
      <c r="D446" s="48" t="n">
        <v>1</v>
      </c>
      <c r="E446" s="48" t="s">
        <v>112</v>
      </c>
      <c r="F446" s="48" t="s">
        <v>72</v>
      </c>
      <c r="G446" s="48" t="s">
        <v>597</v>
      </c>
      <c r="H446" s="82" t="n">
        <f aca="false">DATE(YEAR(A446),MONTH(A446),1)</f>
        <v>43922</v>
      </c>
    </row>
    <row r="447" customFormat="false" ht="15" hidden="false" customHeight="false" outlineLevel="0" collapsed="false">
      <c r="A447" s="81" t="n">
        <v>43929</v>
      </c>
      <c r="B447" s="48" t="n">
        <v>2</v>
      </c>
      <c r="C447" s="48" t="n">
        <v>0</v>
      </c>
      <c r="D447" s="48" t="n">
        <v>0</v>
      </c>
      <c r="E447" s="48" t="s">
        <v>112</v>
      </c>
      <c r="F447" s="48" t="s">
        <v>72</v>
      </c>
      <c r="G447" s="48" t="s">
        <v>598</v>
      </c>
      <c r="H447" s="82" t="n">
        <f aca="false">DATE(YEAR(A447),MONTH(A447),1)</f>
        <v>43922</v>
      </c>
    </row>
    <row r="448" customFormat="false" ht="15" hidden="false" customHeight="false" outlineLevel="0" collapsed="false">
      <c r="A448" s="81" t="n">
        <v>43929</v>
      </c>
      <c r="B448" s="48" t="n">
        <v>5</v>
      </c>
      <c r="C448" s="48" t="n">
        <v>0</v>
      </c>
      <c r="D448" s="48" t="n">
        <v>0</v>
      </c>
      <c r="E448" s="48" t="s">
        <v>112</v>
      </c>
      <c r="F448" s="48" t="s">
        <v>72</v>
      </c>
      <c r="G448" s="48" t="s">
        <v>594</v>
      </c>
      <c r="H448" s="82" t="n">
        <f aca="false">DATE(YEAR(A448),MONTH(A448),1)</f>
        <v>43922</v>
      </c>
    </row>
    <row r="449" customFormat="false" ht="15" hidden="false" customHeight="false" outlineLevel="0" collapsed="false">
      <c r="A449" s="81" t="n">
        <v>43929</v>
      </c>
      <c r="B449" s="48" t="n">
        <v>1</v>
      </c>
      <c r="C449" s="48" t="n">
        <v>0</v>
      </c>
      <c r="D449" s="48" t="n">
        <v>0</v>
      </c>
      <c r="E449" s="48" t="s">
        <v>112</v>
      </c>
      <c r="F449" s="48" t="s">
        <v>72</v>
      </c>
      <c r="G449" s="48" t="s">
        <v>685</v>
      </c>
      <c r="H449" s="82" t="n">
        <f aca="false">DATE(YEAR(A449),MONTH(A449),1)</f>
        <v>43922</v>
      </c>
    </row>
    <row r="450" customFormat="false" ht="15" hidden="false" customHeight="false" outlineLevel="0" collapsed="false">
      <c r="A450" s="81" t="n">
        <v>43929</v>
      </c>
      <c r="B450" s="48" t="n">
        <v>0</v>
      </c>
      <c r="C450" s="48" t="n">
        <v>0</v>
      </c>
      <c r="D450" s="48" t="n">
        <v>48</v>
      </c>
      <c r="E450" s="48" t="s">
        <v>118</v>
      </c>
      <c r="F450" s="48" t="s">
        <v>72</v>
      </c>
      <c r="G450" s="48" t="s">
        <v>607</v>
      </c>
      <c r="H450" s="82" t="n">
        <f aca="false">DATE(YEAR(A450),MONTH(A450),1)</f>
        <v>43922</v>
      </c>
    </row>
    <row r="451" customFormat="false" ht="15" hidden="false" customHeight="false" outlineLevel="0" collapsed="false">
      <c r="A451" s="81" t="n">
        <v>43929</v>
      </c>
      <c r="B451" s="48" t="n">
        <v>0</v>
      </c>
      <c r="C451" s="48" t="n">
        <v>0</v>
      </c>
      <c r="D451" s="48" t="n">
        <v>1</v>
      </c>
      <c r="E451" s="48" t="s">
        <v>112</v>
      </c>
      <c r="F451" s="48" t="s">
        <v>72</v>
      </c>
      <c r="G451" s="48" t="s">
        <v>610</v>
      </c>
      <c r="H451" s="82" t="n">
        <f aca="false">DATE(YEAR(A451),MONTH(A451),1)</f>
        <v>43922</v>
      </c>
    </row>
    <row r="452" customFormat="false" ht="15" hidden="false" customHeight="false" outlineLevel="0" collapsed="false">
      <c r="A452" s="81" t="n">
        <v>43929</v>
      </c>
      <c r="B452" s="48" t="n">
        <v>49</v>
      </c>
      <c r="C452" s="48" t="n">
        <v>2</v>
      </c>
      <c r="D452" s="48" t="n">
        <v>0</v>
      </c>
      <c r="E452" s="48" t="s">
        <v>112</v>
      </c>
      <c r="F452" s="48" t="s">
        <v>71</v>
      </c>
      <c r="G452" s="48" t="s">
        <v>92</v>
      </c>
      <c r="H452" s="82" t="n">
        <f aca="false">DATE(YEAR(A452),MONTH(A452),1)</f>
        <v>43922</v>
      </c>
    </row>
    <row r="453" customFormat="false" ht="15" hidden="false" customHeight="false" outlineLevel="0" collapsed="false">
      <c r="A453" s="81" t="n">
        <v>43929</v>
      </c>
      <c r="B453" s="48" t="n">
        <v>2</v>
      </c>
      <c r="C453" s="48" t="n">
        <v>0</v>
      </c>
      <c r="D453" s="48" t="n">
        <v>0</v>
      </c>
      <c r="E453" s="48" t="s">
        <v>112</v>
      </c>
      <c r="F453" s="48" t="s">
        <v>71</v>
      </c>
      <c r="G453" s="48" t="s">
        <v>97</v>
      </c>
      <c r="H453" s="82" t="n">
        <f aca="false">DATE(YEAR(A453),MONTH(A453),1)</f>
        <v>43922</v>
      </c>
    </row>
    <row r="454" customFormat="false" ht="15" hidden="false" customHeight="false" outlineLevel="0" collapsed="false">
      <c r="A454" s="81" t="n">
        <v>43929</v>
      </c>
      <c r="B454" s="48" t="n">
        <v>3</v>
      </c>
      <c r="C454" s="48" t="n">
        <v>0</v>
      </c>
      <c r="D454" s="48" t="n">
        <v>0</v>
      </c>
      <c r="E454" s="48" t="s">
        <v>112</v>
      </c>
      <c r="F454" s="48" t="s">
        <v>71</v>
      </c>
      <c r="G454" s="48" t="s">
        <v>606</v>
      </c>
      <c r="H454" s="82" t="n">
        <f aca="false">DATE(YEAR(A454),MONTH(A454),1)</f>
        <v>43922</v>
      </c>
    </row>
    <row r="455" customFormat="false" ht="15" hidden="false" customHeight="false" outlineLevel="0" collapsed="false">
      <c r="A455" s="81" t="n">
        <v>43929</v>
      </c>
      <c r="B455" s="48" t="n">
        <v>1</v>
      </c>
      <c r="C455" s="48" t="n">
        <v>0</v>
      </c>
      <c r="D455" s="48" t="n">
        <v>0</v>
      </c>
      <c r="E455" s="48" t="s">
        <v>112</v>
      </c>
      <c r="F455" s="48" t="s">
        <v>71</v>
      </c>
      <c r="G455" s="48" t="s">
        <v>627</v>
      </c>
      <c r="H455" s="82" t="n">
        <f aca="false">DATE(YEAR(A455),MONTH(A455),1)</f>
        <v>43922</v>
      </c>
    </row>
    <row r="456" customFormat="false" ht="15" hidden="false" customHeight="false" outlineLevel="0" collapsed="false">
      <c r="A456" s="81" t="n">
        <v>43929</v>
      </c>
      <c r="B456" s="48" t="n">
        <v>15</v>
      </c>
      <c r="C456" s="48" t="n">
        <v>0</v>
      </c>
      <c r="D456" s="48" t="n">
        <v>0</v>
      </c>
      <c r="E456" s="48" t="s">
        <v>112</v>
      </c>
      <c r="F456" s="48" t="s">
        <v>71</v>
      </c>
      <c r="G456" s="48" t="s">
        <v>620</v>
      </c>
      <c r="H456" s="82" t="n">
        <f aca="false">DATE(YEAR(A456),MONTH(A456),1)</f>
        <v>43922</v>
      </c>
    </row>
    <row r="457" customFormat="false" ht="15" hidden="false" customHeight="false" outlineLevel="0" collapsed="false">
      <c r="A457" s="81" t="n">
        <v>43929</v>
      </c>
      <c r="B457" s="48" t="n">
        <v>8</v>
      </c>
      <c r="C457" s="48" t="n">
        <v>0</v>
      </c>
      <c r="D457" s="48" t="n">
        <v>0</v>
      </c>
      <c r="E457" s="48" t="s">
        <v>112</v>
      </c>
      <c r="F457" s="48" t="s">
        <v>71</v>
      </c>
      <c r="G457" s="48" t="s">
        <v>602</v>
      </c>
      <c r="H457" s="82" t="n">
        <f aca="false">DATE(YEAR(A457),MONTH(A457),1)</f>
        <v>43922</v>
      </c>
    </row>
    <row r="458" customFormat="false" ht="15" hidden="false" customHeight="false" outlineLevel="0" collapsed="false">
      <c r="A458" s="81" t="n">
        <v>43929</v>
      </c>
      <c r="B458" s="48" t="n">
        <v>12</v>
      </c>
      <c r="C458" s="48" t="n">
        <v>0</v>
      </c>
      <c r="D458" s="48" t="n">
        <v>0</v>
      </c>
      <c r="E458" s="48" t="s">
        <v>112</v>
      </c>
      <c r="F458" s="48" t="s">
        <v>71</v>
      </c>
      <c r="G458" s="48" t="s">
        <v>626</v>
      </c>
      <c r="H458" s="82" t="n">
        <f aca="false">DATE(YEAR(A458),MONTH(A458),1)</f>
        <v>43922</v>
      </c>
    </row>
    <row r="459" customFormat="false" ht="15" hidden="false" customHeight="false" outlineLevel="0" collapsed="false">
      <c r="A459" s="81" t="n">
        <v>43929</v>
      </c>
      <c r="B459" s="48" t="n">
        <v>7</v>
      </c>
      <c r="C459" s="48" t="n">
        <v>0</v>
      </c>
      <c r="D459" s="48" t="n">
        <v>0</v>
      </c>
      <c r="E459" s="48" t="s">
        <v>112</v>
      </c>
      <c r="F459" s="48" t="s">
        <v>71</v>
      </c>
      <c r="G459" s="48" t="s">
        <v>675</v>
      </c>
      <c r="H459" s="82" t="n">
        <f aca="false">DATE(YEAR(A459),MONTH(A459),1)</f>
        <v>43922</v>
      </c>
    </row>
    <row r="460" customFormat="false" ht="15" hidden="false" customHeight="false" outlineLevel="0" collapsed="false">
      <c r="A460" s="81" t="n">
        <v>43929</v>
      </c>
      <c r="B460" s="48" t="n">
        <v>1</v>
      </c>
      <c r="C460" s="48" t="n">
        <v>0</v>
      </c>
      <c r="D460" s="48" t="n">
        <v>0</v>
      </c>
      <c r="E460" s="48" t="s">
        <v>112</v>
      </c>
      <c r="F460" s="48" t="s">
        <v>71</v>
      </c>
      <c r="G460" s="48" t="s">
        <v>648</v>
      </c>
      <c r="H460" s="82" t="n">
        <f aca="false">DATE(YEAR(A460),MONTH(A460),1)</f>
        <v>43922</v>
      </c>
    </row>
    <row r="461" customFormat="false" ht="15" hidden="false" customHeight="false" outlineLevel="0" collapsed="false">
      <c r="A461" s="81" t="n">
        <v>43929</v>
      </c>
      <c r="B461" s="48" t="n">
        <v>7</v>
      </c>
      <c r="C461" s="48" t="n">
        <v>0</v>
      </c>
      <c r="D461" s="48" t="n">
        <v>0</v>
      </c>
      <c r="E461" s="48" t="s">
        <v>112</v>
      </c>
      <c r="F461" s="48" t="s">
        <v>71</v>
      </c>
      <c r="G461" s="48" t="s">
        <v>659</v>
      </c>
      <c r="H461" s="82" t="n">
        <f aca="false">DATE(YEAR(A461),MONTH(A461),1)</f>
        <v>43922</v>
      </c>
    </row>
    <row r="462" customFormat="false" ht="15" hidden="false" customHeight="false" outlineLevel="0" collapsed="false">
      <c r="A462" s="81" t="n">
        <v>43929</v>
      </c>
      <c r="B462" s="48" t="n">
        <v>4</v>
      </c>
      <c r="C462" s="48" t="n">
        <v>0</v>
      </c>
      <c r="D462" s="48" t="n">
        <v>0</v>
      </c>
      <c r="E462" s="48" t="s">
        <v>112</v>
      </c>
      <c r="F462" s="48" t="s">
        <v>71</v>
      </c>
      <c r="G462" s="48" t="s">
        <v>647</v>
      </c>
      <c r="H462" s="82" t="n">
        <f aca="false">DATE(YEAR(A462),MONTH(A462),1)</f>
        <v>43922</v>
      </c>
    </row>
    <row r="463" customFormat="false" ht="15" hidden="false" customHeight="false" outlineLevel="0" collapsed="false">
      <c r="A463" s="81" t="n">
        <v>43929</v>
      </c>
      <c r="B463" s="48" t="n">
        <v>0</v>
      </c>
      <c r="C463" s="48" t="n">
        <v>0</v>
      </c>
      <c r="D463" s="48" t="n">
        <v>2</v>
      </c>
      <c r="E463" s="48" t="s">
        <v>112</v>
      </c>
      <c r="F463" s="48" t="s">
        <v>71</v>
      </c>
      <c r="G463" s="48" t="s">
        <v>618</v>
      </c>
      <c r="H463" s="82" t="n">
        <f aca="false">DATE(YEAR(A463),MONTH(A463),1)</f>
        <v>43922</v>
      </c>
    </row>
    <row r="464" customFormat="false" ht="15" hidden="false" customHeight="false" outlineLevel="0" collapsed="false">
      <c r="A464" s="81" t="n">
        <v>43929</v>
      </c>
      <c r="B464" s="48" t="n">
        <v>0</v>
      </c>
      <c r="C464" s="48" t="n">
        <v>0</v>
      </c>
      <c r="D464" s="48" t="n">
        <v>4</v>
      </c>
      <c r="E464" s="48" t="s">
        <v>112</v>
      </c>
      <c r="F464" s="48" t="s">
        <v>71</v>
      </c>
      <c r="G464" s="48" t="s">
        <v>604</v>
      </c>
      <c r="H464" s="82" t="n">
        <f aca="false">DATE(YEAR(A464),MONTH(A464),1)</f>
        <v>43922</v>
      </c>
    </row>
    <row r="465" customFormat="false" ht="15" hidden="false" customHeight="false" outlineLevel="0" collapsed="false">
      <c r="A465" s="81" t="n">
        <v>43929</v>
      </c>
      <c r="B465" s="48" t="n">
        <v>17</v>
      </c>
      <c r="C465" s="48" t="n">
        <v>0</v>
      </c>
      <c r="D465" s="48" t="n">
        <v>0</v>
      </c>
      <c r="E465" s="48" t="s">
        <v>112</v>
      </c>
      <c r="F465" s="48" t="s">
        <v>71</v>
      </c>
      <c r="G465" s="48" t="s">
        <v>625</v>
      </c>
      <c r="H465" s="82" t="n">
        <f aca="false">DATE(YEAR(A465),MONTH(A465),1)</f>
        <v>43922</v>
      </c>
    </row>
    <row r="466" customFormat="false" ht="15" hidden="false" customHeight="false" outlineLevel="0" collapsed="false">
      <c r="A466" s="81" t="n">
        <v>43929</v>
      </c>
      <c r="B466" s="48" t="n">
        <v>6</v>
      </c>
      <c r="C466" s="48" t="n">
        <v>0</v>
      </c>
      <c r="D466" s="48" t="n">
        <v>0</v>
      </c>
      <c r="E466" s="48" t="s">
        <v>112</v>
      </c>
      <c r="F466" s="48" t="s">
        <v>71</v>
      </c>
      <c r="G466" s="48" t="s">
        <v>657</v>
      </c>
      <c r="H466" s="82" t="n">
        <f aca="false">DATE(YEAR(A466),MONTH(A466),1)</f>
        <v>43922</v>
      </c>
    </row>
    <row r="467" customFormat="false" ht="15" hidden="false" customHeight="false" outlineLevel="0" collapsed="false">
      <c r="A467" s="81" t="n">
        <v>43929</v>
      </c>
      <c r="B467" s="48" t="n">
        <v>13</v>
      </c>
      <c r="C467" s="48" t="n">
        <v>0</v>
      </c>
      <c r="D467" s="48" t="n">
        <v>0</v>
      </c>
      <c r="E467" s="48" t="s">
        <v>112</v>
      </c>
      <c r="F467" s="48" t="s">
        <v>71</v>
      </c>
      <c r="G467" s="48" t="s">
        <v>596</v>
      </c>
      <c r="H467" s="82" t="n">
        <f aca="false">DATE(YEAR(A467),MONTH(A467),1)</f>
        <v>43922</v>
      </c>
    </row>
    <row r="468" customFormat="false" ht="15" hidden="false" customHeight="false" outlineLevel="0" collapsed="false">
      <c r="A468" s="81" t="n">
        <v>43929</v>
      </c>
      <c r="B468" s="48" t="n">
        <v>1</v>
      </c>
      <c r="C468" s="48" t="n">
        <v>0</v>
      </c>
      <c r="D468" s="48" t="n">
        <v>0</v>
      </c>
      <c r="E468" s="48" t="s">
        <v>112</v>
      </c>
      <c r="F468" s="48" t="s">
        <v>71</v>
      </c>
      <c r="G468" s="48" t="s">
        <v>638</v>
      </c>
      <c r="H468" s="82" t="n">
        <f aca="false">DATE(YEAR(A468),MONTH(A468),1)</f>
        <v>43922</v>
      </c>
    </row>
    <row r="469" customFormat="false" ht="15" hidden="false" customHeight="false" outlineLevel="0" collapsed="false">
      <c r="A469" s="81" t="n">
        <v>43929</v>
      </c>
      <c r="B469" s="48" t="n">
        <v>0</v>
      </c>
      <c r="C469" s="48" t="n">
        <v>0</v>
      </c>
      <c r="D469" s="48" t="n">
        <v>6</v>
      </c>
      <c r="E469" s="48" t="s">
        <v>112</v>
      </c>
      <c r="F469" s="48" t="s">
        <v>71</v>
      </c>
      <c r="G469" s="48" t="s">
        <v>628</v>
      </c>
      <c r="H469" s="82" t="n">
        <f aca="false">DATE(YEAR(A469),MONTH(A469),1)</f>
        <v>43922</v>
      </c>
    </row>
    <row r="470" customFormat="false" ht="15" hidden="false" customHeight="false" outlineLevel="0" collapsed="false">
      <c r="A470" s="81" t="n">
        <v>43929</v>
      </c>
      <c r="B470" s="48" t="n">
        <v>1</v>
      </c>
      <c r="C470" s="48" t="n">
        <v>0</v>
      </c>
      <c r="D470" s="48" t="n">
        <v>0</v>
      </c>
      <c r="E470" s="48" t="s">
        <v>112</v>
      </c>
      <c r="F470" s="48" t="s">
        <v>71</v>
      </c>
      <c r="G470" s="48" t="s">
        <v>688</v>
      </c>
      <c r="H470" s="82" t="n">
        <f aca="false">DATE(YEAR(A470),MONTH(A470),1)</f>
        <v>43922</v>
      </c>
    </row>
    <row r="471" customFormat="false" ht="15" hidden="false" customHeight="false" outlineLevel="0" collapsed="false">
      <c r="A471" s="81" t="n">
        <v>43929</v>
      </c>
      <c r="B471" s="48" t="n">
        <v>1</v>
      </c>
      <c r="C471" s="48" t="n">
        <v>0</v>
      </c>
      <c r="D471" s="48" t="n">
        <v>0</v>
      </c>
      <c r="E471" s="48" t="s">
        <v>112</v>
      </c>
      <c r="F471" s="48" t="s">
        <v>71</v>
      </c>
      <c r="G471" s="48" t="s">
        <v>634</v>
      </c>
      <c r="H471" s="82" t="n">
        <f aca="false">DATE(YEAR(A471),MONTH(A471),1)</f>
        <v>43922</v>
      </c>
    </row>
    <row r="472" customFormat="false" ht="15" hidden="false" customHeight="false" outlineLevel="0" collapsed="false">
      <c r="A472" s="81" t="n">
        <v>43929</v>
      </c>
      <c r="B472" s="48" t="n">
        <v>8</v>
      </c>
      <c r="C472" s="48" t="n">
        <v>0</v>
      </c>
      <c r="D472" s="48" t="n">
        <v>0</v>
      </c>
      <c r="E472" s="48" t="s">
        <v>112</v>
      </c>
      <c r="F472" s="48" t="s">
        <v>71</v>
      </c>
      <c r="G472" s="48" t="s">
        <v>668</v>
      </c>
      <c r="H472" s="82" t="n">
        <f aca="false">DATE(YEAR(A472),MONTH(A472),1)</f>
        <v>43922</v>
      </c>
    </row>
    <row r="473" customFormat="false" ht="15" hidden="false" customHeight="false" outlineLevel="0" collapsed="false">
      <c r="A473" s="81" t="n">
        <v>43929</v>
      </c>
      <c r="B473" s="48" t="n">
        <v>1</v>
      </c>
      <c r="C473" s="48" t="n">
        <v>0</v>
      </c>
      <c r="D473" s="48" t="n">
        <v>0</v>
      </c>
      <c r="E473" s="48" t="s">
        <v>112</v>
      </c>
      <c r="F473" s="48" t="s">
        <v>71</v>
      </c>
      <c r="G473" s="48" t="s">
        <v>622</v>
      </c>
      <c r="H473" s="82" t="n">
        <f aca="false">DATE(YEAR(A473),MONTH(A473),1)</f>
        <v>43922</v>
      </c>
    </row>
    <row r="474" customFormat="false" ht="15" hidden="false" customHeight="false" outlineLevel="0" collapsed="false">
      <c r="A474" s="81" t="n">
        <v>43929</v>
      </c>
      <c r="B474" s="48" t="n">
        <v>2</v>
      </c>
      <c r="C474" s="48" t="n">
        <v>0</v>
      </c>
      <c r="D474" s="48" t="n">
        <v>0</v>
      </c>
      <c r="E474" s="48" t="s">
        <v>112</v>
      </c>
      <c r="F474" s="48" t="s">
        <v>71</v>
      </c>
      <c r="G474" s="48" t="s">
        <v>677</v>
      </c>
      <c r="H474" s="82" t="n">
        <f aca="false">DATE(YEAR(A474),MONTH(A474),1)</f>
        <v>43922</v>
      </c>
    </row>
    <row r="475" customFormat="false" ht="15" hidden="false" customHeight="false" outlineLevel="0" collapsed="false">
      <c r="A475" s="81" t="n">
        <v>43929</v>
      </c>
      <c r="B475" s="48" t="n">
        <v>50</v>
      </c>
      <c r="C475" s="48" t="n">
        <v>1</v>
      </c>
      <c r="D475" s="48" t="n">
        <v>1</v>
      </c>
      <c r="E475" s="48" t="s">
        <v>112</v>
      </c>
      <c r="F475" s="48" t="s">
        <v>70</v>
      </c>
      <c r="G475" s="48" t="s">
        <v>91</v>
      </c>
      <c r="H475" s="82" t="n">
        <f aca="false">DATE(YEAR(A475),MONTH(A475),1)</f>
        <v>43922</v>
      </c>
    </row>
    <row r="476" customFormat="false" ht="15" hidden="false" customHeight="false" outlineLevel="0" collapsed="false">
      <c r="A476" s="81" t="n">
        <v>43929</v>
      </c>
      <c r="B476" s="48" t="n">
        <v>6</v>
      </c>
      <c r="C476" s="48" t="n">
        <v>0</v>
      </c>
      <c r="D476" s="48" t="n">
        <v>0</v>
      </c>
      <c r="E476" s="48" t="s">
        <v>112</v>
      </c>
      <c r="F476" s="48" t="s">
        <v>70</v>
      </c>
      <c r="G476" s="48" t="s">
        <v>104</v>
      </c>
      <c r="H476" s="82" t="n">
        <f aca="false">DATE(YEAR(A476),MONTH(A476),1)</f>
        <v>43922</v>
      </c>
    </row>
    <row r="477" customFormat="false" ht="15" hidden="false" customHeight="false" outlineLevel="0" collapsed="false">
      <c r="A477" s="81" t="n">
        <v>43929</v>
      </c>
      <c r="B477" s="48" t="n">
        <v>2</v>
      </c>
      <c r="C477" s="48" t="n">
        <v>0</v>
      </c>
      <c r="D477" s="48" t="n">
        <v>0</v>
      </c>
      <c r="E477" s="48" t="s">
        <v>112</v>
      </c>
      <c r="F477" s="48" t="s">
        <v>70</v>
      </c>
      <c r="G477" s="48" t="s">
        <v>619</v>
      </c>
      <c r="H477" s="82" t="n">
        <f aca="false">DATE(YEAR(A477),MONTH(A477),1)</f>
        <v>43922</v>
      </c>
    </row>
    <row r="478" customFormat="false" ht="15" hidden="false" customHeight="false" outlineLevel="0" collapsed="false">
      <c r="A478" s="81" t="n">
        <v>43929</v>
      </c>
      <c r="B478" s="48" t="n">
        <v>1</v>
      </c>
      <c r="C478" s="48" t="n">
        <v>0</v>
      </c>
      <c r="D478" s="48" t="n">
        <v>0</v>
      </c>
      <c r="E478" s="48" t="s">
        <v>112</v>
      </c>
      <c r="F478" s="48" t="s">
        <v>70</v>
      </c>
      <c r="G478" s="48" t="s">
        <v>633</v>
      </c>
      <c r="H478" s="82" t="n">
        <f aca="false">DATE(YEAR(A478),MONTH(A478),1)</f>
        <v>43922</v>
      </c>
    </row>
    <row r="479" customFormat="false" ht="15" hidden="false" customHeight="false" outlineLevel="0" collapsed="false">
      <c r="A479" s="81" t="n">
        <v>43929</v>
      </c>
      <c r="B479" s="48" t="n">
        <v>7</v>
      </c>
      <c r="C479" s="48" t="n">
        <v>0</v>
      </c>
      <c r="D479" s="48" t="n">
        <v>0</v>
      </c>
      <c r="E479" s="48" t="s">
        <v>112</v>
      </c>
      <c r="F479" s="48" t="s">
        <v>70</v>
      </c>
      <c r="G479" s="48" t="s">
        <v>605</v>
      </c>
      <c r="H479" s="82" t="n">
        <f aca="false">DATE(YEAR(A479),MONTH(A479),1)</f>
        <v>43922</v>
      </c>
    </row>
    <row r="480" customFormat="false" ht="15" hidden="false" customHeight="false" outlineLevel="0" collapsed="false">
      <c r="A480" s="81" t="n">
        <v>43929</v>
      </c>
      <c r="B480" s="48" t="n">
        <v>4</v>
      </c>
      <c r="C480" s="48" t="n">
        <v>0</v>
      </c>
      <c r="D480" s="48" t="n">
        <v>0</v>
      </c>
      <c r="E480" s="48" t="s">
        <v>112</v>
      </c>
      <c r="F480" s="48" t="s">
        <v>70</v>
      </c>
      <c r="G480" s="48" t="s">
        <v>641</v>
      </c>
      <c r="H480" s="82" t="n">
        <f aca="false">DATE(YEAR(A480),MONTH(A480),1)</f>
        <v>43922</v>
      </c>
    </row>
    <row r="481" customFormat="false" ht="15" hidden="false" customHeight="false" outlineLevel="0" collapsed="false">
      <c r="A481" s="81" t="n">
        <v>43929</v>
      </c>
      <c r="B481" s="48" t="n">
        <v>1</v>
      </c>
      <c r="C481" s="48" t="n">
        <v>0</v>
      </c>
      <c r="D481" s="48" t="n">
        <v>0</v>
      </c>
      <c r="E481" s="48" t="s">
        <v>112</v>
      </c>
      <c r="F481" s="48" t="s">
        <v>70</v>
      </c>
      <c r="G481" s="48" t="s">
        <v>644</v>
      </c>
      <c r="H481" s="82" t="n">
        <f aca="false">DATE(YEAR(A481),MONTH(A481),1)</f>
        <v>43922</v>
      </c>
    </row>
    <row r="482" customFormat="false" ht="15" hidden="false" customHeight="false" outlineLevel="0" collapsed="false">
      <c r="A482" s="81" t="n">
        <v>43929</v>
      </c>
      <c r="B482" s="48" t="n">
        <v>1</v>
      </c>
      <c r="C482" s="48" t="n">
        <v>0</v>
      </c>
      <c r="D482" s="48" t="n">
        <v>0</v>
      </c>
      <c r="E482" s="48" t="s">
        <v>112</v>
      </c>
      <c r="F482" s="48" t="s">
        <v>70</v>
      </c>
      <c r="G482" s="48" t="s">
        <v>630</v>
      </c>
      <c r="H482" s="82" t="n">
        <f aca="false">DATE(YEAR(A482),MONTH(A482),1)</f>
        <v>43922</v>
      </c>
    </row>
    <row r="483" customFormat="false" ht="15" hidden="false" customHeight="false" outlineLevel="0" collapsed="false">
      <c r="A483" s="81" t="n">
        <v>43929</v>
      </c>
      <c r="B483" s="48" t="n">
        <v>12</v>
      </c>
      <c r="C483" s="48" t="n">
        <v>0</v>
      </c>
      <c r="D483" s="48" t="n">
        <v>0</v>
      </c>
      <c r="E483" s="48" t="s">
        <v>112</v>
      </c>
      <c r="F483" s="48" t="s">
        <v>70</v>
      </c>
      <c r="G483" s="48" t="s">
        <v>642</v>
      </c>
      <c r="H483" s="82" t="n">
        <f aca="false">DATE(YEAR(A483),MONTH(A483),1)</f>
        <v>43922</v>
      </c>
    </row>
    <row r="484" customFormat="false" ht="15" hidden="false" customHeight="false" outlineLevel="0" collapsed="false">
      <c r="A484" s="81" t="n">
        <v>43929</v>
      </c>
      <c r="B484" s="48" t="n">
        <v>2</v>
      </c>
      <c r="C484" s="48" t="n">
        <v>0</v>
      </c>
      <c r="D484" s="48" t="n">
        <v>0</v>
      </c>
      <c r="E484" s="48" t="s">
        <v>112</v>
      </c>
      <c r="F484" s="48" t="s">
        <v>70</v>
      </c>
      <c r="G484" s="48" t="s">
        <v>105</v>
      </c>
      <c r="H484" s="82" t="n">
        <f aca="false">DATE(YEAR(A484),MONTH(A484),1)</f>
        <v>43922</v>
      </c>
    </row>
    <row r="485" customFormat="false" ht="15" hidden="false" customHeight="false" outlineLevel="0" collapsed="false">
      <c r="A485" s="81" t="n">
        <v>43929</v>
      </c>
      <c r="B485" s="48" t="n">
        <v>42</v>
      </c>
      <c r="C485" s="48" t="n">
        <v>1</v>
      </c>
      <c r="D485" s="48" t="n">
        <v>0</v>
      </c>
      <c r="E485" s="48" t="s">
        <v>116</v>
      </c>
      <c r="F485" s="48" t="s">
        <v>70</v>
      </c>
      <c r="G485" s="48" t="s">
        <v>99</v>
      </c>
      <c r="H485" s="82" t="n">
        <f aca="false">DATE(YEAR(A485),MONTH(A485),1)</f>
        <v>43922</v>
      </c>
    </row>
    <row r="486" customFormat="false" ht="15" hidden="false" customHeight="false" outlineLevel="0" collapsed="false">
      <c r="A486" s="81" t="n">
        <v>43929</v>
      </c>
      <c r="B486" s="48" t="n">
        <v>0</v>
      </c>
      <c r="C486" s="48" t="n">
        <v>0</v>
      </c>
      <c r="D486" s="48" t="n">
        <v>18</v>
      </c>
      <c r="E486" s="48" t="s">
        <v>118</v>
      </c>
      <c r="F486" s="48" t="s">
        <v>70</v>
      </c>
      <c r="G486" s="48" t="s">
        <v>98</v>
      </c>
      <c r="H486" s="82" t="n">
        <f aca="false">DATE(YEAR(A486),MONTH(A486),1)</f>
        <v>43922</v>
      </c>
    </row>
    <row r="487" customFormat="false" ht="15" hidden="false" customHeight="false" outlineLevel="0" collapsed="false">
      <c r="A487" s="81" t="n">
        <v>43930</v>
      </c>
      <c r="B487" s="48" t="n">
        <v>5</v>
      </c>
      <c r="C487" s="48" t="n">
        <v>0</v>
      </c>
      <c r="D487" s="48" t="n">
        <v>0</v>
      </c>
      <c r="E487" s="48" t="s">
        <v>112</v>
      </c>
      <c r="F487" s="48" t="s">
        <v>76</v>
      </c>
      <c r="G487" s="48" t="s">
        <v>595</v>
      </c>
      <c r="H487" s="82" t="n">
        <f aca="false">DATE(YEAR(A487),MONTH(A487),1)</f>
        <v>43922</v>
      </c>
    </row>
    <row r="488" customFormat="false" ht="15" hidden="false" customHeight="false" outlineLevel="0" collapsed="false">
      <c r="A488" s="81" t="n">
        <v>43930</v>
      </c>
      <c r="B488" s="48" t="n">
        <v>7</v>
      </c>
      <c r="C488" s="48" t="n">
        <v>0</v>
      </c>
      <c r="D488" s="48" t="n">
        <v>0</v>
      </c>
      <c r="E488" s="48" t="s">
        <v>112</v>
      </c>
      <c r="F488" s="48" t="s">
        <v>73</v>
      </c>
      <c r="G488" s="48" t="s">
        <v>93</v>
      </c>
      <c r="H488" s="82" t="n">
        <f aca="false">DATE(YEAR(A488),MONTH(A488),1)</f>
        <v>43922</v>
      </c>
    </row>
    <row r="489" customFormat="false" ht="15" hidden="false" customHeight="false" outlineLevel="0" collapsed="false">
      <c r="A489" s="81" t="n">
        <v>43930</v>
      </c>
      <c r="B489" s="48" t="n">
        <v>1</v>
      </c>
      <c r="C489" s="48" t="n">
        <v>0</v>
      </c>
      <c r="D489" s="48" t="n">
        <v>0</v>
      </c>
      <c r="E489" s="48" t="s">
        <v>112</v>
      </c>
      <c r="F489" s="48" t="s">
        <v>77</v>
      </c>
      <c r="G489" s="48" t="s">
        <v>667</v>
      </c>
      <c r="H489" s="82" t="n">
        <f aca="false">DATE(YEAR(A489),MONTH(A489),1)</f>
        <v>43922</v>
      </c>
    </row>
    <row r="490" customFormat="false" ht="15" hidden="false" customHeight="false" outlineLevel="0" collapsed="false">
      <c r="A490" s="81" t="n">
        <v>43930</v>
      </c>
      <c r="B490" s="48" t="n">
        <v>2</v>
      </c>
      <c r="C490" s="48" t="n">
        <v>0</v>
      </c>
      <c r="D490" s="48" t="n">
        <v>0</v>
      </c>
      <c r="E490" s="48" t="s">
        <v>112</v>
      </c>
      <c r="F490" s="48" t="s">
        <v>75</v>
      </c>
      <c r="G490" s="48" t="s">
        <v>660</v>
      </c>
      <c r="H490" s="82" t="n">
        <f aca="false">DATE(YEAR(A490),MONTH(A490),1)</f>
        <v>43922</v>
      </c>
    </row>
    <row r="491" customFormat="false" ht="15" hidden="false" customHeight="false" outlineLevel="0" collapsed="false">
      <c r="A491" s="81" t="n">
        <v>43930</v>
      </c>
      <c r="B491" s="48" t="n">
        <v>35</v>
      </c>
      <c r="C491" s="48" t="n">
        <v>0</v>
      </c>
      <c r="D491" s="48" t="n">
        <v>7</v>
      </c>
      <c r="E491" s="48" t="s">
        <v>112</v>
      </c>
      <c r="F491" s="48" t="s">
        <v>74</v>
      </c>
      <c r="G491" s="48" t="s">
        <v>95</v>
      </c>
      <c r="H491" s="82" t="n">
        <f aca="false">DATE(YEAR(A491),MONTH(A491),1)</f>
        <v>43922</v>
      </c>
    </row>
    <row r="492" customFormat="false" ht="15" hidden="false" customHeight="false" outlineLevel="0" collapsed="false">
      <c r="A492" s="81" t="n">
        <v>43930</v>
      </c>
      <c r="B492" s="48" t="n">
        <v>3</v>
      </c>
      <c r="C492" s="48" t="n">
        <v>0</v>
      </c>
      <c r="D492" s="48" t="n">
        <v>0</v>
      </c>
      <c r="E492" s="48" t="s">
        <v>112</v>
      </c>
      <c r="F492" s="48" t="s">
        <v>72</v>
      </c>
      <c r="G492" s="48" t="s">
        <v>593</v>
      </c>
      <c r="H492" s="82" t="n">
        <f aca="false">DATE(YEAR(A492),MONTH(A492),1)</f>
        <v>43922</v>
      </c>
    </row>
    <row r="493" customFormat="false" ht="15" hidden="false" customHeight="false" outlineLevel="0" collapsed="false">
      <c r="A493" s="81" t="n">
        <v>43930</v>
      </c>
      <c r="B493" s="48" t="n">
        <v>6</v>
      </c>
      <c r="C493" s="48" t="n">
        <v>0</v>
      </c>
      <c r="D493" s="48" t="n">
        <v>0</v>
      </c>
      <c r="E493" s="48" t="s">
        <v>112</v>
      </c>
      <c r="F493" s="48" t="s">
        <v>72</v>
      </c>
      <c r="G493" s="48" t="s">
        <v>603</v>
      </c>
      <c r="H493" s="82" t="n">
        <f aca="false">DATE(YEAR(A493),MONTH(A493),1)</f>
        <v>43922</v>
      </c>
    </row>
    <row r="494" customFormat="false" ht="15" hidden="false" customHeight="false" outlineLevel="0" collapsed="false">
      <c r="A494" s="81" t="n">
        <v>43930</v>
      </c>
      <c r="B494" s="48" t="n">
        <v>1</v>
      </c>
      <c r="C494" s="48" t="n">
        <v>0</v>
      </c>
      <c r="D494" s="48" t="n">
        <v>0</v>
      </c>
      <c r="E494" s="48" t="s">
        <v>112</v>
      </c>
      <c r="F494" s="48" t="s">
        <v>72</v>
      </c>
      <c r="G494" s="48" t="s">
        <v>597</v>
      </c>
      <c r="H494" s="82" t="n">
        <f aca="false">DATE(YEAR(A494),MONTH(A494),1)</f>
        <v>43922</v>
      </c>
    </row>
    <row r="495" customFormat="false" ht="15" hidden="false" customHeight="false" outlineLevel="0" collapsed="false">
      <c r="A495" s="81" t="n">
        <v>43930</v>
      </c>
      <c r="B495" s="48" t="n">
        <v>10</v>
      </c>
      <c r="C495" s="48" t="n">
        <v>0</v>
      </c>
      <c r="D495" s="48" t="n">
        <v>0</v>
      </c>
      <c r="E495" s="48" t="s">
        <v>112</v>
      </c>
      <c r="F495" s="48" t="s">
        <v>72</v>
      </c>
      <c r="G495" s="48" t="s">
        <v>598</v>
      </c>
      <c r="H495" s="82" t="n">
        <f aca="false">DATE(YEAR(A495),MONTH(A495),1)</f>
        <v>43922</v>
      </c>
    </row>
    <row r="496" customFormat="false" ht="15" hidden="false" customHeight="false" outlineLevel="0" collapsed="false">
      <c r="A496" s="81" t="n">
        <v>43930</v>
      </c>
      <c r="B496" s="48" t="n">
        <v>4</v>
      </c>
      <c r="C496" s="48" t="n">
        <v>0</v>
      </c>
      <c r="D496" s="48" t="n">
        <v>0</v>
      </c>
      <c r="E496" s="48" t="s">
        <v>112</v>
      </c>
      <c r="F496" s="48" t="s">
        <v>72</v>
      </c>
      <c r="G496" s="48" t="s">
        <v>655</v>
      </c>
      <c r="H496" s="82" t="n">
        <f aca="false">DATE(YEAR(A496),MONTH(A496),1)</f>
        <v>43922</v>
      </c>
    </row>
    <row r="497" customFormat="false" ht="15" hidden="false" customHeight="false" outlineLevel="0" collapsed="false">
      <c r="A497" s="81" t="n">
        <v>43930</v>
      </c>
      <c r="B497" s="48" t="n">
        <v>1</v>
      </c>
      <c r="C497" s="48" t="n">
        <v>0</v>
      </c>
      <c r="D497" s="48" t="n">
        <v>0</v>
      </c>
      <c r="E497" s="48" t="s">
        <v>112</v>
      </c>
      <c r="F497" s="48" t="s">
        <v>72</v>
      </c>
      <c r="G497" s="48" t="s">
        <v>612</v>
      </c>
      <c r="H497" s="82" t="n">
        <f aca="false">DATE(YEAR(A497),MONTH(A497),1)</f>
        <v>43922</v>
      </c>
    </row>
    <row r="498" customFormat="false" ht="15" hidden="false" customHeight="false" outlineLevel="0" collapsed="false">
      <c r="A498" s="81" t="n">
        <v>43930</v>
      </c>
      <c r="B498" s="48" t="n">
        <v>6</v>
      </c>
      <c r="C498" s="48" t="n">
        <v>1</v>
      </c>
      <c r="D498" s="48" t="n">
        <v>0</v>
      </c>
      <c r="E498" s="48" t="s">
        <v>112</v>
      </c>
      <c r="F498" s="48" t="s">
        <v>72</v>
      </c>
      <c r="G498" s="48" t="s">
        <v>102</v>
      </c>
      <c r="H498" s="82" t="n">
        <f aca="false">DATE(YEAR(A498),MONTH(A498),1)</f>
        <v>43922</v>
      </c>
    </row>
    <row r="499" customFormat="false" ht="15" hidden="false" customHeight="false" outlineLevel="0" collapsed="false">
      <c r="A499" s="81" t="n">
        <v>43930</v>
      </c>
      <c r="B499" s="48" t="n">
        <v>1</v>
      </c>
      <c r="C499" s="48" t="n">
        <v>0</v>
      </c>
      <c r="D499" s="48" t="n">
        <v>0</v>
      </c>
      <c r="E499" s="48" t="s">
        <v>112</v>
      </c>
      <c r="F499" s="48" t="s">
        <v>72</v>
      </c>
      <c r="G499" s="48" t="s">
        <v>594</v>
      </c>
      <c r="H499" s="82" t="n">
        <f aca="false">DATE(YEAR(A499),MONTH(A499),1)</f>
        <v>43922</v>
      </c>
    </row>
    <row r="500" customFormat="false" ht="15" hidden="false" customHeight="false" outlineLevel="0" collapsed="false">
      <c r="A500" s="81" t="n">
        <v>43930</v>
      </c>
      <c r="B500" s="48" t="n">
        <v>1</v>
      </c>
      <c r="C500" s="48" t="n">
        <v>0</v>
      </c>
      <c r="D500" s="48" t="n">
        <v>0</v>
      </c>
      <c r="E500" s="48" t="s">
        <v>112</v>
      </c>
      <c r="F500" s="48" t="s">
        <v>72</v>
      </c>
      <c r="G500" s="48" t="s">
        <v>666</v>
      </c>
      <c r="H500" s="82" t="n">
        <f aca="false">DATE(YEAR(A500),MONTH(A500),1)</f>
        <v>43922</v>
      </c>
    </row>
    <row r="501" customFormat="false" ht="15" hidden="false" customHeight="false" outlineLevel="0" collapsed="false">
      <c r="A501" s="81" t="n">
        <v>43930</v>
      </c>
      <c r="B501" s="48" t="n">
        <v>15</v>
      </c>
      <c r="C501" s="48" t="n">
        <v>1</v>
      </c>
      <c r="D501" s="48" t="n">
        <v>0</v>
      </c>
      <c r="E501" s="48" t="s">
        <v>112</v>
      </c>
      <c r="F501" s="48" t="s">
        <v>72</v>
      </c>
      <c r="G501" s="48" t="s">
        <v>94</v>
      </c>
      <c r="H501" s="82" t="n">
        <f aca="false">DATE(YEAR(A501),MONTH(A501),1)</f>
        <v>43922</v>
      </c>
    </row>
    <row r="502" customFormat="false" ht="15" hidden="false" customHeight="false" outlineLevel="0" collapsed="false">
      <c r="A502" s="81" t="n">
        <v>43930</v>
      </c>
      <c r="B502" s="48" t="n">
        <v>2</v>
      </c>
      <c r="C502" s="48" t="n">
        <v>0</v>
      </c>
      <c r="D502" s="48" t="n">
        <v>0</v>
      </c>
      <c r="E502" s="48" t="s">
        <v>112</v>
      </c>
      <c r="F502" s="48" t="s">
        <v>72</v>
      </c>
      <c r="G502" s="48" t="s">
        <v>609</v>
      </c>
      <c r="H502" s="82" t="n">
        <f aca="false">DATE(YEAR(A502),MONTH(A502),1)</f>
        <v>43922</v>
      </c>
    </row>
    <row r="503" customFormat="false" ht="15" hidden="false" customHeight="false" outlineLevel="0" collapsed="false">
      <c r="A503" s="81" t="n">
        <v>43930</v>
      </c>
      <c r="B503" s="48" t="n">
        <v>1</v>
      </c>
      <c r="C503" s="48" t="n">
        <v>0</v>
      </c>
      <c r="D503" s="48" t="n">
        <v>0</v>
      </c>
      <c r="E503" s="48" t="s">
        <v>112</v>
      </c>
      <c r="F503" s="48" t="s">
        <v>72</v>
      </c>
      <c r="G503" s="48" t="s">
        <v>611</v>
      </c>
      <c r="H503" s="82" t="n">
        <f aca="false">DATE(YEAR(A503),MONTH(A503),1)</f>
        <v>43922</v>
      </c>
    </row>
    <row r="504" customFormat="false" ht="15" hidden="false" customHeight="false" outlineLevel="0" collapsed="false">
      <c r="A504" s="81" t="n">
        <v>43930</v>
      </c>
      <c r="B504" s="48" t="n">
        <v>7</v>
      </c>
      <c r="C504" s="48" t="n">
        <v>0</v>
      </c>
      <c r="D504" s="48" t="n">
        <v>0</v>
      </c>
      <c r="E504" s="48" t="s">
        <v>112</v>
      </c>
      <c r="F504" s="48" t="s">
        <v>72</v>
      </c>
      <c r="G504" s="48" t="s">
        <v>96</v>
      </c>
      <c r="H504" s="82" t="n">
        <f aca="false">DATE(YEAR(A504),MONTH(A504),1)</f>
        <v>43922</v>
      </c>
    </row>
    <row r="505" customFormat="false" ht="15" hidden="false" customHeight="false" outlineLevel="0" collapsed="false">
      <c r="A505" s="81" t="n">
        <v>43930</v>
      </c>
      <c r="B505" s="48" t="n">
        <v>0</v>
      </c>
      <c r="C505" s="48" t="n">
        <v>0</v>
      </c>
      <c r="D505" s="48" t="n">
        <v>5</v>
      </c>
      <c r="E505" s="48" t="s">
        <v>118</v>
      </c>
      <c r="F505" s="48" t="s">
        <v>71</v>
      </c>
      <c r="G505" s="48" t="s">
        <v>596</v>
      </c>
      <c r="H505" s="82" t="n">
        <f aca="false">DATE(YEAR(A505),MONTH(A505),1)</f>
        <v>43922</v>
      </c>
    </row>
    <row r="506" customFormat="false" ht="15" hidden="false" customHeight="false" outlineLevel="0" collapsed="false">
      <c r="A506" s="81" t="n">
        <v>43930</v>
      </c>
      <c r="B506" s="48" t="n">
        <v>213</v>
      </c>
      <c r="C506" s="48" t="n">
        <v>1</v>
      </c>
      <c r="D506" s="48" t="n">
        <v>0</v>
      </c>
      <c r="E506" s="48" t="s">
        <v>116</v>
      </c>
      <c r="F506" s="48" t="s">
        <v>71</v>
      </c>
      <c r="G506" s="48" t="s">
        <v>100</v>
      </c>
      <c r="H506" s="82" t="n">
        <f aca="false">DATE(YEAR(A506),MONTH(A506),1)</f>
        <v>43922</v>
      </c>
    </row>
    <row r="507" customFormat="false" ht="15" hidden="false" customHeight="false" outlineLevel="0" collapsed="false">
      <c r="A507" s="81" t="n">
        <v>43930</v>
      </c>
      <c r="B507" s="48" t="n">
        <v>18</v>
      </c>
      <c r="C507" s="48" t="n">
        <v>0</v>
      </c>
      <c r="D507" s="48" t="n">
        <v>0</v>
      </c>
      <c r="E507" s="48" t="s">
        <v>116</v>
      </c>
      <c r="F507" s="48" t="s">
        <v>71</v>
      </c>
      <c r="G507" s="48" t="s">
        <v>626</v>
      </c>
      <c r="H507" s="82" t="n">
        <f aca="false">DATE(YEAR(A507),MONTH(A507),1)</f>
        <v>43922</v>
      </c>
    </row>
    <row r="508" customFormat="false" ht="15" hidden="false" customHeight="false" outlineLevel="0" collapsed="false">
      <c r="A508" s="81" t="n">
        <v>43930</v>
      </c>
      <c r="B508" s="48" t="n">
        <v>366</v>
      </c>
      <c r="C508" s="48" t="n">
        <v>0</v>
      </c>
      <c r="D508" s="48" t="n">
        <v>0</v>
      </c>
      <c r="E508" s="48" t="s">
        <v>116</v>
      </c>
      <c r="F508" s="48" t="s">
        <v>71</v>
      </c>
      <c r="G508" s="48" t="s">
        <v>97</v>
      </c>
      <c r="H508" s="82" t="n">
        <f aca="false">DATE(YEAR(A508),MONTH(A508),1)</f>
        <v>43922</v>
      </c>
    </row>
    <row r="509" customFormat="false" ht="15" hidden="false" customHeight="false" outlineLevel="0" collapsed="false">
      <c r="A509" s="81" t="n">
        <v>43930</v>
      </c>
      <c r="B509" s="48" t="n">
        <v>23</v>
      </c>
      <c r="C509" s="48" t="n">
        <v>0</v>
      </c>
      <c r="D509" s="48" t="n">
        <v>0</v>
      </c>
      <c r="E509" s="48" t="s">
        <v>112</v>
      </c>
      <c r="F509" s="48" t="s">
        <v>71</v>
      </c>
      <c r="G509" s="48" t="s">
        <v>92</v>
      </c>
      <c r="H509" s="82" t="n">
        <f aca="false">DATE(YEAR(A509),MONTH(A509),1)</f>
        <v>43922</v>
      </c>
    </row>
    <row r="510" customFormat="false" ht="15" hidden="false" customHeight="false" outlineLevel="0" collapsed="false">
      <c r="A510" s="81" t="n">
        <v>43930</v>
      </c>
      <c r="B510" s="48" t="n">
        <v>1</v>
      </c>
      <c r="C510" s="48" t="n">
        <v>0</v>
      </c>
      <c r="D510" s="48" t="n">
        <v>0</v>
      </c>
      <c r="E510" s="48" t="s">
        <v>112</v>
      </c>
      <c r="F510" s="48" t="s">
        <v>71</v>
      </c>
      <c r="G510" s="48" t="s">
        <v>606</v>
      </c>
      <c r="H510" s="82" t="n">
        <f aca="false">DATE(YEAR(A510),MONTH(A510),1)</f>
        <v>43922</v>
      </c>
    </row>
    <row r="511" customFormat="false" ht="15" hidden="false" customHeight="false" outlineLevel="0" collapsed="false">
      <c r="A511" s="81" t="n">
        <v>43930</v>
      </c>
      <c r="B511" s="48" t="n">
        <v>0</v>
      </c>
      <c r="C511" s="48" t="n">
        <v>0</v>
      </c>
      <c r="D511" s="48" t="n">
        <v>1</v>
      </c>
      <c r="E511" s="48" t="s">
        <v>112</v>
      </c>
      <c r="F511" s="48" t="s">
        <v>71</v>
      </c>
      <c r="G511" s="48" t="s">
        <v>627</v>
      </c>
      <c r="H511" s="82" t="n">
        <f aca="false">DATE(YEAR(A511),MONTH(A511),1)</f>
        <v>43922</v>
      </c>
    </row>
    <row r="512" customFormat="false" ht="15" hidden="false" customHeight="false" outlineLevel="0" collapsed="false">
      <c r="A512" s="81" t="n">
        <v>43930</v>
      </c>
      <c r="B512" s="48" t="n">
        <v>0</v>
      </c>
      <c r="C512" s="48" t="n">
        <v>0</v>
      </c>
      <c r="D512" s="48" t="n">
        <v>1</v>
      </c>
      <c r="E512" s="48" t="s">
        <v>112</v>
      </c>
      <c r="F512" s="48" t="s">
        <v>71</v>
      </c>
      <c r="G512" s="48" t="s">
        <v>620</v>
      </c>
      <c r="H512" s="82" t="n">
        <f aca="false">DATE(YEAR(A512),MONTH(A512),1)</f>
        <v>43922</v>
      </c>
    </row>
    <row r="513" customFormat="false" ht="15" hidden="false" customHeight="false" outlineLevel="0" collapsed="false">
      <c r="A513" s="81" t="n">
        <v>43930</v>
      </c>
      <c r="B513" s="48" t="n">
        <v>1</v>
      </c>
      <c r="C513" s="48" t="n">
        <v>0</v>
      </c>
      <c r="D513" s="48" t="n">
        <v>0</v>
      </c>
      <c r="E513" s="48" t="s">
        <v>112</v>
      </c>
      <c r="F513" s="48" t="s">
        <v>71</v>
      </c>
      <c r="G513" s="48" t="s">
        <v>602</v>
      </c>
      <c r="H513" s="82" t="n">
        <f aca="false">DATE(YEAR(A513),MONTH(A513),1)</f>
        <v>43922</v>
      </c>
    </row>
    <row r="514" customFormat="false" ht="15" hidden="false" customHeight="false" outlineLevel="0" collapsed="false">
      <c r="A514" s="81" t="n">
        <v>43930</v>
      </c>
      <c r="B514" s="48" t="n">
        <v>4</v>
      </c>
      <c r="C514" s="48" t="n">
        <v>0</v>
      </c>
      <c r="D514" s="48" t="n">
        <v>0</v>
      </c>
      <c r="E514" s="48" t="s">
        <v>112</v>
      </c>
      <c r="F514" s="48" t="s">
        <v>71</v>
      </c>
      <c r="G514" s="48" t="s">
        <v>680</v>
      </c>
      <c r="H514" s="82" t="n">
        <f aca="false">DATE(YEAR(A514),MONTH(A514),1)</f>
        <v>43922</v>
      </c>
    </row>
    <row r="515" customFormat="false" ht="15" hidden="false" customHeight="false" outlineLevel="0" collapsed="false">
      <c r="A515" s="81" t="n">
        <v>43930</v>
      </c>
      <c r="B515" s="48" t="n">
        <v>6</v>
      </c>
      <c r="C515" s="48" t="n">
        <v>0</v>
      </c>
      <c r="D515" s="48" t="n">
        <v>0</v>
      </c>
      <c r="E515" s="48" t="s">
        <v>112</v>
      </c>
      <c r="F515" s="48" t="s">
        <v>71</v>
      </c>
      <c r="G515" s="48" t="s">
        <v>626</v>
      </c>
      <c r="H515" s="82" t="n">
        <f aca="false">DATE(YEAR(A515),MONTH(A515),1)</f>
        <v>43922</v>
      </c>
    </row>
    <row r="516" customFormat="false" ht="15" hidden="false" customHeight="false" outlineLevel="0" collapsed="false">
      <c r="A516" s="81" t="n">
        <v>43930</v>
      </c>
      <c r="B516" s="48" t="n">
        <v>0</v>
      </c>
      <c r="C516" s="48" t="n">
        <v>0</v>
      </c>
      <c r="D516" s="48" t="n">
        <v>7</v>
      </c>
      <c r="E516" s="48" t="s">
        <v>112</v>
      </c>
      <c r="F516" s="48" t="s">
        <v>71</v>
      </c>
      <c r="G516" s="48" t="s">
        <v>648</v>
      </c>
      <c r="H516" s="82" t="n">
        <f aca="false">DATE(YEAR(A516),MONTH(A516),1)</f>
        <v>43922</v>
      </c>
    </row>
    <row r="517" customFormat="false" ht="15" hidden="false" customHeight="false" outlineLevel="0" collapsed="false">
      <c r="A517" s="81" t="n">
        <v>43930</v>
      </c>
      <c r="B517" s="48" t="n">
        <v>0</v>
      </c>
      <c r="C517" s="48" t="n">
        <v>0</v>
      </c>
      <c r="D517" s="48" t="n">
        <v>1</v>
      </c>
      <c r="E517" s="48" t="s">
        <v>112</v>
      </c>
      <c r="F517" s="48" t="s">
        <v>71</v>
      </c>
      <c r="G517" s="48" t="s">
        <v>659</v>
      </c>
      <c r="H517" s="82" t="n">
        <f aca="false">DATE(YEAR(A517),MONTH(A517),1)</f>
        <v>43922</v>
      </c>
    </row>
    <row r="518" customFormat="false" ht="15" hidden="false" customHeight="false" outlineLevel="0" collapsed="false">
      <c r="A518" s="81" t="n">
        <v>43930</v>
      </c>
      <c r="B518" s="48" t="n">
        <v>2</v>
      </c>
      <c r="C518" s="48" t="n">
        <v>0</v>
      </c>
      <c r="D518" s="48" t="n">
        <v>0</v>
      </c>
      <c r="E518" s="48" t="s">
        <v>112</v>
      </c>
      <c r="F518" s="48" t="s">
        <v>71</v>
      </c>
      <c r="G518" s="48" t="s">
        <v>647</v>
      </c>
      <c r="H518" s="82" t="n">
        <f aca="false">DATE(YEAR(A518),MONTH(A518),1)</f>
        <v>43922</v>
      </c>
    </row>
    <row r="519" customFormat="false" ht="15" hidden="false" customHeight="false" outlineLevel="0" collapsed="false">
      <c r="A519" s="81" t="n">
        <v>43930</v>
      </c>
      <c r="B519" s="48" t="n">
        <v>17</v>
      </c>
      <c r="C519" s="48" t="n">
        <v>0</v>
      </c>
      <c r="D519" s="48" t="n">
        <v>0</v>
      </c>
      <c r="E519" s="48" t="s">
        <v>112</v>
      </c>
      <c r="F519" s="48" t="s">
        <v>71</v>
      </c>
      <c r="G519" s="48" t="s">
        <v>618</v>
      </c>
      <c r="H519" s="82" t="n">
        <f aca="false">DATE(YEAR(A519),MONTH(A519),1)</f>
        <v>43922</v>
      </c>
    </row>
    <row r="520" customFormat="false" ht="15" hidden="false" customHeight="false" outlineLevel="0" collapsed="false">
      <c r="A520" s="81" t="n">
        <v>43930</v>
      </c>
      <c r="B520" s="48" t="n">
        <v>2</v>
      </c>
      <c r="C520" s="48" t="n">
        <v>0</v>
      </c>
      <c r="D520" s="48" t="n">
        <v>0</v>
      </c>
      <c r="E520" s="48" t="s">
        <v>112</v>
      </c>
      <c r="F520" s="48" t="s">
        <v>71</v>
      </c>
      <c r="G520" s="48" t="s">
        <v>604</v>
      </c>
      <c r="H520" s="82" t="n">
        <f aca="false">DATE(YEAR(A520),MONTH(A520),1)</f>
        <v>43922</v>
      </c>
    </row>
    <row r="521" customFormat="false" ht="15" hidden="false" customHeight="false" outlineLevel="0" collapsed="false">
      <c r="A521" s="81" t="n">
        <v>43930</v>
      </c>
      <c r="B521" s="48" t="n">
        <v>1</v>
      </c>
      <c r="C521" s="48" t="n">
        <v>0</v>
      </c>
      <c r="D521" s="48" t="n">
        <v>0</v>
      </c>
      <c r="E521" s="48" t="s">
        <v>112</v>
      </c>
      <c r="F521" s="48" t="s">
        <v>71</v>
      </c>
      <c r="G521" s="48" t="s">
        <v>684</v>
      </c>
      <c r="H521" s="82" t="n">
        <f aca="false">DATE(YEAR(A521),MONTH(A521),1)</f>
        <v>43922</v>
      </c>
    </row>
    <row r="522" customFormat="false" ht="15" hidden="false" customHeight="false" outlineLevel="0" collapsed="false">
      <c r="A522" s="81" t="n">
        <v>43930</v>
      </c>
      <c r="B522" s="48" t="n">
        <v>8</v>
      </c>
      <c r="C522" s="48" t="n">
        <v>0</v>
      </c>
      <c r="D522" s="48" t="n">
        <v>0</v>
      </c>
      <c r="E522" s="48" t="s">
        <v>112</v>
      </c>
      <c r="F522" s="48" t="s">
        <v>71</v>
      </c>
      <c r="G522" s="48" t="s">
        <v>625</v>
      </c>
      <c r="H522" s="82" t="n">
        <f aca="false">DATE(YEAR(A522),MONTH(A522),1)</f>
        <v>43922</v>
      </c>
    </row>
    <row r="523" customFormat="false" ht="15" hidden="false" customHeight="false" outlineLevel="0" collapsed="false">
      <c r="A523" s="81" t="n">
        <v>43930</v>
      </c>
      <c r="B523" s="48" t="n">
        <v>0</v>
      </c>
      <c r="C523" s="48" t="n">
        <v>0</v>
      </c>
      <c r="D523" s="48" t="n">
        <v>4</v>
      </c>
      <c r="E523" s="48" t="s">
        <v>112</v>
      </c>
      <c r="F523" s="48" t="s">
        <v>71</v>
      </c>
      <c r="G523" s="48" t="s">
        <v>657</v>
      </c>
      <c r="H523" s="82" t="n">
        <f aca="false">DATE(YEAR(A523),MONTH(A523),1)</f>
        <v>43922</v>
      </c>
    </row>
    <row r="524" customFormat="false" ht="15" hidden="false" customHeight="false" outlineLevel="0" collapsed="false">
      <c r="A524" s="81" t="n">
        <v>43930</v>
      </c>
      <c r="B524" s="48" t="n">
        <v>6</v>
      </c>
      <c r="C524" s="48" t="n">
        <v>0</v>
      </c>
      <c r="D524" s="48" t="n">
        <v>0</v>
      </c>
      <c r="E524" s="48" t="s">
        <v>112</v>
      </c>
      <c r="F524" s="48" t="s">
        <v>71</v>
      </c>
      <c r="G524" s="48" t="s">
        <v>638</v>
      </c>
      <c r="H524" s="82" t="n">
        <f aca="false">DATE(YEAR(A524),MONTH(A524),1)</f>
        <v>43922</v>
      </c>
    </row>
    <row r="525" customFormat="false" ht="15" hidden="false" customHeight="false" outlineLevel="0" collapsed="false">
      <c r="A525" s="81" t="n">
        <v>43930</v>
      </c>
      <c r="B525" s="48" t="n">
        <v>2</v>
      </c>
      <c r="C525" s="48" t="n">
        <v>0</v>
      </c>
      <c r="D525" s="48" t="n">
        <v>0</v>
      </c>
      <c r="E525" s="48" t="s">
        <v>112</v>
      </c>
      <c r="F525" s="48" t="s">
        <v>71</v>
      </c>
      <c r="G525" s="48" t="s">
        <v>652</v>
      </c>
      <c r="H525" s="82" t="n">
        <f aca="false">DATE(YEAR(A525),MONTH(A525),1)</f>
        <v>43922</v>
      </c>
    </row>
    <row r="526" customFormat="false" ht="15" hidden="false" customHeight="false" outlineLevel="0" collapsed="false">
      <c r="A526" s="81" t="n">
        <v>43930</v>
      </c>
      <c r="B526" s="48" t="n">
        <v>2</v>
      </c>
      <c r="C526" s="48" t="n">
        <v>0</v>
      </c>
      <c r="D526" s="48" t="n">
        <v>0</v>
      </c>
      <c r="E526" s="48" t="s">
        <v>112</v>
      </c>
      <c r="F526" s="48" t="s">
        <v>71</v>
      </c>
      <c r="G526" s="48" t="s">
        <v>634</v>
      </c>
      <c r="H526" s="82" t="n">
        <f aca="false">DATE(YEAR(A526),MONTH(A526),1)</f>
        <v>43922</v>
      </c>
    </row>
    <row r="527" customFormat="false" ht="15" hidden="false" customHeight="false" outlineLevel="0" collapsed="false">
      <c r="A527" s="81" t="n">
        <v>43930</v>
      </c>
      <c r="B527" s="48" t="n">
        <v>2</v>
      </c>
      <c r="C527" s="48" t="n">
        <v>0</v>
      </c>
      <c r="D527" s="48" t="n">
        <v>0</v>
      </c>
      <c r="E527" s="48" t="s">
        <v>112</v>
      </c>
      <c r="F527" s="48" t="s">
        <v>71</v>
      </c>
      <c r="G527" s="48" t="s">
        <v>653</v>
      </c>
      <c r="H527" s="82" t="n">
        <f aca="false">DATE(YEAR(A527),MONTH(A527),1)</f>
        <v>43922</v>
      </c>
    </row>
    <row r="528" customFormat="false" ht="15" hidden="false" customHeight="false" outlineLevel="0" collapsed="false">
      <c r="A528" s="81" t="n">
        <v>43930</v>
      </c>
      <c r="B528" s="48" t="n">
        <v>0</v>
      </c>
      <c r="C528" s="48" t="n">
        <v>0</v>
      </c>
      <c r="D528" s="48" t="n">
        <v>18</v>
      </c>
      <c r="E528" s="48" t="s">
        <v>112</v>
      </c>
      <c r="F528" s="48" t="s">
        <v>70</v>
      </c>
      <c r="G528" s="48" t="s">
        <v>98</v>
      </c>
      <c r="H528" s="82" t="n">
        <f aca="false">DATE(YEAR(A528),MONTH(A528),1)</f>
        <v>43922</v>
      </c>
    </row>
    <row r="529" customFormat="false" ht="15" hidden="false" customHeight="false" outlineLevel="0" collapsed="false">
      <c r="A529" s="81" t="n">
        <v>43930</v>
      </c>
      <c r="B529" s="48" t="n">
        <v>92</v>
      </c>
      <c r="C529" s="48" t="n">
        <v>1</v>
      </c>
      <c r="D529" s="48" t="n">
        <v>0</v>
      </c>
      <c r="E529" s="48" t="s">
        <v>114</v>
      </c>
      <c r="F529" s="48" t="s">
        <v>70</v>
      </c>
      <c r="G529" s="48" t="s">
        <v>91</v>
      </c>
      <c r="H529" s="82" t="n">
        <f aca="false">DATE(YEAR(A529),MONTH(A529),1)</f>
        <v>43922</v>
      </c>
    </row>
    <row r="530" customFormat="false" ht="15" hidden="false" customHeight="false" outlineLevel="0" collapsed="false">
      <c r="A530" s="81" t="n">
        <v>43930</v>
      </c>
      <c r="B530" s="48" t="n">
        <v>0</v>
      </c>
      <c r="C530" s="48" t="n">
        <v>0</v>
      </c>
      <c r="D530" s="48" t="n">
        <v>69</v>
      </c>
      <c r="E530" s="48" t="s">
        <v>118</v>
      </c>
      <c r="F530" s="48" t="s">
        <v>70</v>
      </c>
      <c r="G530" s="48" t="s">
        <v>98</v>
      </c>
      <c r="H530" s="82" t="n">
        <f aca="false">DATE(YEAR(A530),MONTH(A530),1)</f>
        <v>43922</v>
      </c>
    </row>
    <row r="531" customFormat="false" ht="15" hidden="false" customHeight="false" outlineLevel="0" collapsed="false">
      <c r="A531" s="81" t="n">
        <v>43931</v>
      </c>
      <c r="B531" s="48" t="n">
        <v>0</v>
      </c>
      <c r="C531" s="48" t="n">
        <v>0</v>
      </c>
      <c r="D531" s="48" t="n">
        <v>0</v>
      </c>
      <c r="E531" s="48" t="s">
        <v>112</v>
      </c>
      <c r="F531" s="48" t="s">
        <v>76</v>
      </c>
      <c r="G531" s="48" t="s">
        <v>595</v>
      </c>
      <c r="H531" s="82" t="n">
        <f aca="false">DATE(YEAR(A531),MONTH(A531),1)</f>
        <v>43922</v>
      </c>
    </row>
    <row r="532" customFormat="false" ht="15" hidden="false" customHeight="false" outlineLevel="0" collapsed="false">
      <c r="A532" s="81" t="n">
        <v>43931</v>
      </c>
      <c r="B532" s="48" t="n">
        <v>1</v>
      </c>
      <c r="C532" s="48" t="n">
        <v>0</v>
      </c>
      <c r="D532" s="48" t="n">
        <v>13</v>
      </c>
      <c r="E532" s="48" t="s">
        <v>112</v>
      </c>
      <c r="F532" s="48" t="s">
        <v>73</v>
      </c>
      <c r="G532" s="48" t="s">
        <v>93</v>
      </c>
      <c r="H532" s="82" t="n">
        <f aca="false">DATE(YEAR(A532),MONTH(A532),1)</f>
        <v>43922</v>
      </c>
    </row>
    <row r="533" customFormat="false" ht="15" hidden="false" customHeight="false" outlineLevel="0" collapsed="false">
      <c r="A533" s="81" t="n">
        <v>43931</v>
      </c>
      <c r="B533" s="48" t="n">
        <v>3</v>
      </c>
      <c r="C533" s="48" t="n">
        <v>0</v>
      </c>
      <c r="D533" s="48" t="n">
        <v>3</v>
      </c>
      <c r="E533" s="48" t="s">
        <v>112</v>
      </c>
      <c r="F533" s="48" t="s">
        <v>77</v>
      </c>
      <c r="G533" s="48" t="s">
        <v>600</v>
      </c>
      <c r="H533" s="82" t="n">
        <f aca="false">DATE(YEAR(A533),MONTH(A533),1)</f>
        <v>43922</v>
      </c>
    </row>
    <row r="534" customFormat="false" ht="15" hidden="false" customHeight="false" outlineLevel="0" collapsed="false">
      <c r="A534" s="81" t="n">
        <v>43931</v>
      </c>
      <c r="B534" s="48" t="n">
        <v>0</v>
      </c>
      <c r="C534" s="48" t="n">
        <v>0</v>
      </c>
      <c r="D534" s="48" t="n">
        <v>14</v>
      </c>
      <c r="E534" s="48" t="s">
        <v>112</v>
      </c>
      <c r="F534" s="48" t="s">
        <v>75</v>
      </c>
      <c r="G534" s="48" t="s">
        <v>617</v>
      </c>
      <c r="H534" s="82" t="n">
        <f aca="false">DATE(YEAR(A534),MONTH(A534),1)</f>
        <v>43922</v>
      </c>
    </row>
    <row r="535" customFormat="false" ht="15" hidden="false" customHeight="false" outlineLevel="0" collapsed="false">
      <c r="A535" s="81" t="n">
        <v>43931</v>
      </c>
      <c r="B535" s="48" t="n">
        <v>0</v>
      </c>
      <c r="C535" s="48" t="n">
        <v>0</v>
      </c>
      <c r="D535" s="48" t="n">
        <v>0</v>
      </c>
      <c r="E535" s="48" t="s">
        <v>112</v>
      </c>
      <c r="F535" s="48" t="s">
        <v>72</v>
      </c>
      <c r="G535" s="48" t="s">
        <v>94</v>
      </c>
      <c r="H535" s="82" t="n">
        <f aca="false">DATE(YEAR(A535),MONTH(A535),1)</f>
        <v>43922</v>
      </c>
    </row>
    <row r="536" customFormat="false" ht="15" hidden="false" customHeight="false" outlineLevel="0" collapsed="false">
      <c r="A536" s="81" t="n">
        <v>43931</v>
      </c>
      <c r="B536" s="48" t="n">
        <v>3</v>
      </c>
      <c r="C536" s="48" t="n">
        <v>0</v>
      </c>
      <c r="D536" s="48" t="n">
        <v>0</v>
      </c>
      <c r="E536" s="48" t="s">
        <v>112</v>
      </c>
      <c r="F536" s="48" t="s">
        <v>72</v>
      </c>
      <c r="G536" s="48" t="s">
        <v>593</v>
      </c>
      <c r="H536" s="82" t="n">
        <f aca="false">DATE(YEAR(A536),MONTH(A536),1)</f>
        <v>43922</v>
      </c>
    </row>
    <row r="537" customFormat="false" ht="15" hidden="false" customHeight="false" outlineLevel="0" collapsed="false">
      <c r="A537" s="81" t="n">
        <v>43931</v>
      </c>
      <c r="B537" s="48" t="n">
        <v>5</v>
      </c>
      <c r="C537" s="48" t="n">
        <v>0</v>
      </c>
      <c r="D537" s="48" t="n">
        <v>0</v>
      </c>
      <c r="E537" s="48" t="s">
        <v>112</v>
      </c>
      <c r="F537" s="48" t="s">
        <v>72</v>
      </c>
      <c r="G537" s="48" t="s">
        <v>621</v>
      </c>
      <c r="H537" s="82" t="n">
        <f aca="false">DATE(YEAR(A537),MONTH(A537),1)</f>
        <v>43922</v>
      </c>
    </row>
    <row r="538" customFormat="false" ht="15" hidden="false" customHeight="false" outlineLevel="0" collapsed="false">
      <c r="A538" s="81" t="n">
        <v>43931</v>
      </c>
      <c r="B538" s="48" t="n">
        <v>4</v>
      </c>
      <c r="C538" s="48" t="n">
        <v>0</v>
      </c>
      <c r="D538" s="48" t="n">
        <v>1</v>
      </c>
      <c r="E538" s="48" t="s">
        <v>112</v>
      </c>
      <c r="F538" s="48" t="s">
        <v>72</v>
      </c>
      <c r="G538" s="48" t="s">
        <v>603</v>
      </c>
      <c r="H538" s="82" t="n">
        <f aca="false">DATE(YEAR(A538),MONTH(A538),1)</f>
        <v>43922</v>
      </c>
    </row>
    <row r="539" customFormat="false" ht="15" hidden="false" customHeight="false" outlineLevel="0" collapsed="false">
      <c r="A539" s="81" t="n">
        <v>43931</v>
      </c>
      <c r="B539" s="48" t="n">
        <v>3</v>
      </c>
      <c r="C539" s="48" t="n">
        <v>0</v>
      </c>
      <c r="D539" s="48" t="n">
        <v>0</v>
      </c>
      <c r="E539" s="48" t="s">
        <v>112</v>
      </c>
      <c r="F539" s="48" t="s">
        <v>72</v>
      </c>
      <c r="G539" s="48" t="s">
        <v>597</v>
      </c>
      <c r="H539" s="82" t="n">
        <f aca="false">DATE(YEAR(A539),MONTH(A539),1)</f>
        <v>43922</v>
      </c>
    </row>
    <row r="540" customFormat="false" ht="15" hidden="false" customHeight="false" outlineLevel="0" collapsed="false">
      <c r="A540" s="81" t="n">
        <v>43931</v>
      </c>
      <c r="B540" s="48" t="n">
        <v>0</v>
      </c>
      <c r="C540" s="48" t="n">
        <v>1</v>
      </c>
      <c r="D540" s="48" t="n">
        <v>0</v>
      </c>
      <c r="E540" s="48" t="s">
        <v>116</v>
      </c>
      <c r="F540" s="48" t="s">
        <v>72</v>
      </c>
      <c r="G540" s="48" t="s">
        <v>591</v>
      </c>
      <c r="H540" s="82" t="n">
        <f aca="false">DATE(YEAR(A540),MONTH(A540),1)</f>
        <v>43922</v>
      </c>
    </row>
    <row r="541" customFormat="false" ht="15" hidden="false" customHeight="false" outlineLevel="0" collapsed="false">
      <c r="A541" s="81" t="n">
        <v>43931</v>
      </c>
      <c r="B541" s="48" t="n">
        <v>1</v>
      </c>
      <c r="C541" s="48" t="n">
        <v>0</v>
      </c>
      <c r="D541" s="48" t="n">
        <v>0</v>
      </c>
      <c r="E541" s="48" t="s">
        <v>112</v>
      </c>
      <c r="F541" s="48" t="s">
        <v>72</v>
      </c>
      <c r="G541" s="48" t="s">
        <v>598</v>
      </c>
      <c r="H541" s="82" t="n">
        <f aca="false">DATE(YEAR(A541),MONTH(A541),1)</f>
        <v>43922</v>
      </c>
    </row>
    <row r="542" customFormat="false" ht="15" hidden="false" customHeight="false" outlineLevel="0" collapsed="false">
      <c r="A542" s="81" t="n">
        <v>43931</v>
      </c>
      <c r="B542" s="48" t="n">
        <v>1</v>
      </c>
      <c r="C542" s="48" t="n">
        <v>0</v>
      </c>
      <c r="D542" s="48" t="n">
        <v>1</v>
      </c>
      <c r="E542" s="48" t="s">
        <v>112</v>
      </c>
      <c r="F542" s="48" t="s">
        <v>72</v>
      </c>
      <c r="G542" s="48" t="s">
        <v>655</v>
      </c>
      <c r="H542" s="82" t="n">
        <f aca="false">DATE(YEAR(A542),MONTH(A542),1)</f>
        <v>43922</v>
      </c>
    </row>
    <row r="543" customFormat="false" ht="15" hidden="false" customHeight="false" outlineLevel="0" collapsed="false">
      <c r="A543" s="81" t="n">
        <v>43931</v>
      </c>
      <c r="B543" s="48" t="n">
        <v>1</v>
      </c>
      <c r="C543" s="48" t="n">
        <v>0</v>
      </c>
      <c r="D543" s="48" t="n">
        <v>0</v>
      </c>
      <c r="E543" s="48" t="s">
        <v>112</v>
      </c>
      <c r="F543" s="48" t="s">
        <v>72</v>
      </c>
      <c r="G543" s="48" t="s">
        <v>612</v>
      </c>
      <c r="H543" s="82" t="n">
        <f aca="false">DATE(YEAR(A543),MONTH(A543),1)</f>
        <v>43922</v>
      </c>
    </row>
    <row r="544" customFormat="false" ht="15" hidden="false" customHeight="false" outlineLevel="0" collapsed="false">
      <c r="A544" s="81" t="n">
        <v>43931</v>
      </c>
      <c r="B544" s="48" t="n">
        <v>0</v>
      </c>
      <c r="C544" s="48" t="n">
        <v>0</v>
      </c>
      <c r="D544" s="48" t="n">
        <v>1</v>
      </c>
      <c r="E544" s="48" t="s">
        <v>112</v>
      </c>
      <c r="F544" s="48" t="s">
        <v>72</v>
      </c>
      <c r="G544" s="48" t="s">
        <v>608</v>
      </c>
      <c r="H544" s="82" t="n">
        <f aca="false">DATE(YEAR(A544),MONTH(A544),1)</f>
        <v>43922</v>
      </c>
    </row>
    <row r="545" customFormat="false" ht="15" hidden="false" customHeight="false" outlineLevel="0" collapsed="false">
      <c r="A545" s="81" t="n">
        <v>43931</v>
      </c>
      <c r="B545" s="48" t="n">
        <v>2</v>
      </c>
      <c r="C545" s="48" t="n">
        <v>0</v>
      </c>
      <c r="D545" s="48" t="n">
        <v>1</v>
      </c>
      <c r="E545" s="48" t="s">
        <v>112</v>
      </c>
      <c r="F545" s="48" t="s">
        <v>72</v>
      </c>
      <c r="G545" s="48" t="s">
        <v>614</v>
      </c>
      <c r="H545" s="82" t="n">
        <f aca="false">DATE(YEAR(A545),MONTH(A545),1)</f>
        <v>43922</v>
      </c>
    </row>
    <row r="546" customFormat="false" ht="15" hidden="false" customHeight="false" outlineLevel="0" collapsed="false">
      <c r="A546" s="81" t="n">
        <v>43931</v>
      </c>
      <c r="B546" s="48" t="n">
        <v>2</v>
      </c>
      <c r="C546" s="48" t="n">
        <v>1</v>
      </c>
      <c r="D546" s="48" t="n">
        <v>0</v>
      </c>
      <c r="E546" s="48" t="s">
        <v>112</v>
      </c>
      <c r="F546" s="48" t="s">
        <v>72</v>
      </c>
      <c r="G546" s="48" t="s">
        <v>101</v>
      </c>
      <c r="H546" s="82" t="n">
        <f aca="false">DATE(YEAR(A546),MONTH(A546),1)</f>
        <v>43922</v>
      </c>
    </row>
    <row r="547" customFormat="false" ht="15" hidden="false" customHeight="false" outlineLevel="0" collapsed="false">
      <c r="A547" s="81" t="n">
        <v>43931</v>
      </c>
      <c r="B547" s="48" t="n">
        <v>1</v>
      </c>
      <c r="C547" s="48" t="n">
        <v>0</v>
      </c>
      <c r="D547" s="48" t="n">
        <v>0</v>
      </c>
      <c r="E547" s="48" t="s">
        <v>112</v>
      </c>
      <c r="F547" s="48" t="s">
        <v>72</v>
      </c>
      <c r="G547" s="48" t="s">
        <v>594</v>
      </c>
      <c r="H547" s="82" t="n">
        <f aca="false">DATE(YEAR(A547),MONTH(A547),1)</f>
        <v>43922</v>
      </c>
    </row>
    <row r="548" customFormat="false" ht="15" hidden="false" customHeight="false" outlineLevel="0" collapsed="false">
      <c r="A548" s="81" t="n">
        <v>43931</v>
      </c>
      <c r="B548" s="48" t="n">
        <v>8</v>
      </c>
      <c r="C548" s="48" t="n">
        <v>0</v>
      </c>
      <c r="D548" s="48" t="n">
        <v>0</v>
      </c>
      <c r="E548" s="48" t="s">
        <v>112</v>
      </c>
      <c r="F548" s="48" t="s">
        <v>72</v>
      </c>
      <c r="G548" s="48" t="s">
        <v>94</v>
      </c>
      <c r="H548" s="82" t="n">
        <f aca="false">DATE(YEAR(A548),MONTH(A548),1)</f>
        <v>43922</v>
      </c>
    </row>
    <row r="549" customFormat="false" ht="15" hidden="false" customHeight="false" outlineLevel="0" collapsed="false">
      <c r="A549" s="81" t="n">
        <v>43931</v>
      </c>
      <c r="B549" s="48" t="n">
        <v>3</v>
      </c>
      <c r="C549" s="48" t="n">
        <v>0</v>
      </c>
      <c r="D549" s="48" t="n">
        <v>0</v>
      </c>
      <c r="E549" s="48" t="s">
        <v>112</v>
      </c>
      <c r="F549" s="48" t="s">
        <v>72</v>
      </c>
      <c r="G549" s="48" t="s">
        <v>611</v>
      </c>
      <c r="H549" s="82" t="n">
        <f aca="false">DATE(YEAR(A549),MONTH(A549),1)</f>
        <v>43922</v>
      </c>
    </row>
    <row r="550" customFormat="false" ht="15" hidden="false" customHeight="false" outlineLevel="0" collapsed="false">
      <c r="A550" s="81" t="n">
        <v>43931</v>
      </c>
      <c r="B550" s="48" t="n">
        <v>2</v>
      </c>
      <c r="C550" s="48" t="n">
        <v>1</v>
      </c>
      <c r="D550" s="48" t="n">
        <v>2</v>
      </c>
      <c r="E550" s="48" t="s">
        <v>116</v>
      </c>
      <c r="F550" s="48" t="s">
        <v>72</v>
      </c>
      <c r="G550" s="48" t="s">
        <v>96</v>
      </c>
      <c r="H550" s="82" t="n">
        <f aca="false">DATE(YEAR(A550),MONTH(A550),1)</f>
        <v>43922</v>
      </c>
    </row>
    <row r="551" customFormat="false" ht="15" hidden="false" customHeight="false" outlineLevel="0" collapsed="false">
      <c r="A551" s="81" t="n">
        <v>43931</v>
      </c>
      <c r="B551" s="48" t="n">
        <v>0</v>
      </c>
      <c r="C551" s="48" t="n">
        <v>0</v>
      </c>
      <c r="D551" s="48" t="n">
        <v>1</v>
      </c>
      <c r="E551" s="48" t="s">
        <v>112</v>
      </c>
      <c r="F551" s="48" t="s">
        <v>72</v>
      </c>
      <c r="G551" s="48" t="s">
        <v>673</v>
      </c>
      <c r="H551" s="82" t="n">
        <f aca="false">DATE(YEAR(A551),MONTH(A551),1)</f>
        <v>43922</v>
      </c>
    </row>
    <row r="552" customFormat="false" ht="15" hidden="false" customHeight="false" outlineLevel="0" collapsed="false">
      <c r="A552" s="81" t="n">
        <v>43931</v>
      </c>
      <c r="B552" s="48" t="n">
        <v>0</v>
      </c>
      <c r="C552" s="48" t="n">
        <v>0</v>
      </c>
      <c r="D552" s="48" t="n">
        <v>2</v>
      </c>
      <c r="E552" s="48" t="s">
        <v>118</v>
      </c>
      <c r="F552" s="48" t="s">
        <v>72</v>
      </c>
      <c r="G552" s="48" t="s">
        <v>607</v>
      </c>
      <c r="H552" s="82" t="n">
        <f aca="false">DATE(YEAR(A552),MONTH(A552),1)</f>
        <v>43922</v>
      </c>
    </row>
    <row r="553" customFormat="false" ht="15" hidden="false" customHeight="false" outlineLevel="0" collapsed="false">
      <c r="A553" s="81" t="n">
        <v>43931</v>
      </c>
      <c r="B553" s="48" t="n">
        <v>12</v>
      </c>
      <c r="C553" s="48" t="n">
        <v>0</v>
      </c>
      <c r="D553" s="48" t="n">
        <v>0</v>
      </c>
      <c r="E553" s="48" t="s">
        <v>120</v>
      </c>
      <c r="F553" s="48" t="s">
        <v>71</v>
      </c>
      <c r="G553" s="48" t="s">
        <v>92</v>
      </c>
      <c r="H553" s="82" t="n">
        <f aca="false">DATE(YEAR(A553),MONTH(A553),1)</f>
        <v>43922</v>
      </c>
    </row>
    <row r="554" customFormat="false" ht="15" hidden="false" customHeight="false" outlineLevel="0" collapsed="false">
      <c r="A554" s="81" t="n">
        <v>43931</v>
      </c>
      <c r="B554" s="48" t="n">
        <v>10</v>
      </c>
      <c r="C554" s="48" t="n">
        <v>0</v>
      </c>
      <c r="D554" s="48" t="n">
        <v>0</v>
      </c>
      <c r="E554" s="48" t="s">
        <v>112</v>
      </c>
      <c r="F554" s="48" t="s">
        <v>71</v>
      </c>
      <c r="G554" s="48" t="s">
        <v>92</v>
      </c>
      <c r="H554" s="82" t="n">
        <f aca="false">DATE(YEAR(A554),MONTH(A554),1)</f>
        <v>43922</v>
      </c>
    </row>
    <row r="555" customFormat="false" ht="15" hidden="false" customHeight="false" outlineLevel="0" collapsed="false">
      <c r="A555" s="81" t="n">
        <v>43931</v>
      </c>
      <c r="B555" s="48" t="n">
        <v>1</v>
      </c>
      <c r="C555" s="48" t="n">
        <v>0</v>
      </c>
      <c r="D555" s="48" t="n">
        <v>0</v>
      </c>
      <c r="E555" s="48" t="s">
        <v>112</v>
      </c>
      <c r="F555" s="48" t="s">
        <v>71</v>
      </c>
      <c r="G555" s="48" t="s">
        <v>626</v>
      </c>
      <c r="H555" s="82" t="n">
        <f aca="false">DATE(YEAR(A555),MONTH(A555),1)</f>
        <v>43922</v>
      </c>
    </row>
    <row r="556" customFormat="false" ht="15" hidden="false" customHeight="false" outlineLevel="0" collapsed="false">
      <c r="A556" s="81" t="n">
        <v>43931</v>
      </c>
      <c r="B556" s="48" t="n">
        <v>0</v>
      </c>
      <c r="C556" s="48" t="n">
        <v>0</v>
      </c>
      <c r="D556" s="48" t="n">
        <v>5</v>
      </c>
      <c r="E556" s="48" t="s">
        <v>112</v>
      </c>
      <c r="F556" s="48" t="s">
        <v>71</v>
      </c>
      <c r="G556" s="48" t="s">
        <v>651</v>
      </c>
      <c r="H556" s="82" t="n">
        <f aca="false">DATE(YEAR(A556),MONTH(A556),1)</f>
        <v>43922</v>
      </c>
    </row>
    <row r="557" customFormat="false" ht="15" hidden="false" customHeight="false" outlineLevel="0" collapsed="false">
      <c r="A557" s="81" t="n">
        <v>43931</v>
      </c>
      <c r="B557" s="48" t="n">
        <v>7</v>
      </c>
      <c r="C557" s="48" t="n">
        <v>0</v>
      </c>
      <c r="D557" s="48" t="n">
        <v>0</v>
      </c>
      <c r="E557" s="48" t="s">
        <v>112</v>
      </c>
      <c r="F557" s="48" t="s">
        <v>71</v>
      </c>
      <c r="G557" s="48" t="s">
        <v>653</v>
      </c>
      <c r="H557" s="82" t="n">
        <f aca="false">DATE(YEAR(A557),MONTH(A557),1)</f>
        <v>43922</v>
      </c>
    </row>
    <row r="558" customFormat="false" ht="15" hidden="false" customHeight="false" outlineLevel="0" collapsed="false">
      <c r="A558" s="81" t="n">
        <v>43931</v>
      </c>
      <c r="B558" s="48" t="n">
        <v>85</v>
      </c>
      <c r="C558" s="48" t="n">
        <v>1</v>
      </c>
      <c r="D558" s="48" t="n">
        <v>9</v>
      </c>
      <c r="E558" s="48" t="s">
        <v>112</v>
      </c>
      <c r="F558" s="48" t="s">
        <v>70</v>
      </c>
      <c r="G558" s="48" t="s">
        <v>91</v>
      </c>
      <c r="H558" s="82" t="n">
        <f aca="false">DATE(YEAR(A558),MONTH(A558),1)</f>
        <v>43922</v>
      </c>
    </row>
    <row r="559" customFormat="false" ht="15" hidden="false" customHeight="false" outlineLevel="0" collapsed="false">
      <c r="A559" s="81" t="n">
        <v>43931</v>
      </c>
      <c r="B559" s="48" t="n">
        <v>1</v>
      </c>
      <c r="C559" s="48" t="n">
        <v>0</v>
      </c>
      <c r="D559" s="48" t="n">
        <v>0</v>
      </c>
      <c r="E559" s="48" t="s">
        <v>112</v>
      </c>
      <c r="F559" s="48" t="s">
        <v>70</v>
      </c>
      <c r="G559" s="48" t="s">
        <v>605</v>
      </c>
      <c r="H559" s="82" t="n">
        <f aca="false">DATE(YEAR(A559),MONTH(A559),1)</f>
        <v>43922</v>
      </c>
    </row>
    <row r="560" customFormat="false" ht="15" hidden="false" customHeight="false" outlineLevel="0" collapsed="false">
      <c r="A560" s="81" t="n">
        <v>43932</v>
      </c>
      <c r="B560" s="48" t="n">
        <v>1</v>
      </c>
      <c r="C560" s="48" t="n">
        <v>0</v>
      </c>
      <c r="D560" s="48" t="n">
        <v>0</v>
      </c>
      <c r="E560" s="48" t="s">
        <v>112</v>
      </c>
      <c r="F560" s="48" t="s">
        <v>76</v>
      </c>
      <c r="G560" s="48" t="s">
        <v>595</v>
      </c>
      <c r="H560" s="82" t="n">
        <f aca="false">DATE(YEAR(A560),MONTH(A560),1)</f>
        <v>43922</v>
      </c>
    </row>
    <row r="561" customFormat="false" ht="15" hidden="false" customHeight="false" outlineLevel="0" collapsed="false">
      <c r="A561" s="81" t="n">
        <v>43932</v>
      </c>
      <c r="B561" s="48" t="n">
        <v>8</v>
      </c>
      <c r="C561" s="48" t="n">
        <v>0</v>
      </c>
      <c r="D561" s="48" t="n">
        <v>6</v>
      </c>
      <c r="E561" s="48" t="s">
        <v>112</v>
      </c>
      <c r="F561" s="48" t="s">
        <v>73</v>
      </c>
      <c r="G561" s="48" t="s">
        <v>93</v>
      </c>
      <c r="H561" s="82" t="n">
        <f aca="false">DATE(YEAR(A561),MONTH(A561),1)</f>
        <v>43922</v>
      </c>
    </row>
    <row r="562" customFormat="false" ht="15" hidden="false" customHeight="false" outlineLevel="0" collapsed="false">
      <c r="A562" s="81" t="n">
        <v>43932</v>
      </c>
      <c r="B562" s="48" t="n">
        <v>1</v>
      </c>
      <c r="C562" s="48" t="n">
        <v>0</v>
      </c>
      <c r="D562" s="48" t="n">
        <v>10</v>
      </c>
      <c r="E562" s="48" t="s">
        <v>112</v>
      </c>
      <c r="F562" s="48" t="s">
        <v>75</v>
      </c>
      <c r="G562" s="48" t="s">
        <v>103</v>
      </c>
      <c r="H562" s="82" t="n">
        <f aca="false">DATE(YEAR(A562),MONTH(A562),1)</f>
        <v>43922</v>
      </c>
    </row>
    <row r="563" customFormat="false" ht="15" hidden="false" customHeight="false" outlineLevel="0" collapsed="false">
      <c r="A563" s="81" t="n">
        <v>43932</v>
      </c>
      <c r="B563" s="48" t="n">
        <v>0</v>
      </c>
      <c r="C563" s="48" t="n">
        <v>0</v>
      </c>
      <c r="D563" s="48" t="n">
        <v>11</v>
      </c>
      <c r="E563" s="48" t="s">
        <v>112</v>
      </c>
      <c r="F563" s="48" t="s">
        <v>75</v>
      </c>
      <c r="G563" s="48" t="s">
        <v>617</v>
      </c>
      <c r="H563" s="82" t="n">
        <f aca="false">DATE(YEAR(A563),MONTH(A563),1)</f>
        <v>43922</v>
      </c>
    </row>
    <row r="564" customFormat="false" ht="15" hidden="false" customHeight="false" outlineLevel="0" collapsed="false">
      <c r="A564" s="81" t="n">
        <v>43932</v>
      </c>
      <c r="B564" s="48" t="n">
        <v>5</v>
      </c>
      <c r="C564" s="48" t="n">
        <v>4</v>
      </c>
      <c r="D564" s="48" t="n">
        <v>1</v>
      </c>
      <c r="E564" s="48" t="s">
        <v>112</v>
      </c>
      <c r="F564" s="48" t="s">
        <v>72</v>
      </c>
      <c r="G564" s="48" t="s">
        <v>94</v>
      </c>
      <c r="H564" s="82" t="n">
        <f aca="false">DATE(YEAR(A564),MONTH(A564),1)</f>
        <v>43922</v>
      </c>
    </row>
    <row r="565" customFormat="false" ht="15" hidden="false" customHeight="false" outlineLevel="0" collapsed="false">
      <c r="A565" s="81" t="n">
        <v>43932</v>
      </c>
      <c r="B565" s="48" t="n">
        <v>5</v>
      </c>
      <c r="C565" s="48" t="n">
        <v>1</v>
      </c>
      <c r="D565" s="48" t="n">
        <v>0</v>
      </c>
      <c r="E565" s="48" t="s">
        <v>112</v>
      </c>
      <c r="F565" s="48" t="s">
        <v>72</v>
      </c>
      <c r="G565" s="48" t="s">
        <v>614</v>
      </c>
      <c r="H565" s="82" t="n">
        <f aca="false">DATE(YEAR(A565),MONTH(A565),1)</f>
        <v>43922</v>
      </c>
    </row>
    <row r="566" customFormat="false" ht="15" hidden="false" customHeight="false" outlineLevel="0" collapsed="false">
      <c r="A566" s="81" t="n">
        <v>43932</v>
      </c>
      <c r="B566" s="48" t="n">
        <v>3</v>
      </c>
      <c r="C566" s="48" t="n">
        <v>1</v>
      </c>
      <c r="D566" s="48" t="n">
        <v>0</v>
      </c>
      <c r="E566" s="48" t="s">
        <v>112</v>
      </c>
      <c r="F566" s="48" t="s">
        <v>72</v>
      </c>
      <c r="G566" s="48" t="s">
        <v>594</v>
      </c>
      <c r="H566" s="82" t="n">
        <f aca="false">DATE(YEAR(A566),MONTH(A566),1)</f>
        <v>43922</v>
      </c>
    </row>
    <row r="567" customFormat="false" ht="15" hidden="false" customHeight="false" outlineLevel="0" collapsed="false">
      <c r="A567" s="81" t="n">
        <v>43932</v>
      </c>
      <c r="B567" s="48" t="n">
        <v>1</v>
      </c>
      <c r="C567" s="48" t="n">
        <v>0</v>
      </c>
      <c r="D567" s="48" t="n">
        <v>4</v>
      </c>
      <c r="E567" s="48" t="s">
        <v>112</v>
      </c>
      <c r="F567" s="48" t="s">
        <v>72</v>
      </c>
      <c r="G567" s="48" t="s">
        <v>593</v>
      </c>
      <c r="H567" s="82" t="n">
        <f aca="false">DATE(YEAR(A567),MONTH(A567),1)</f>
        <v>43922</v>
      </c>
    </row>
    <row r="568" customFormat="false" ht="15" hidden="false" customHeight="false" outlineLevel="0" collapsed="false">
      <c r="A568" s="81" t="n">
        <v>43932</v>
      </c>
      <c r="B568" s="48" t="n">
        <v>5</v>
      </c>
      <c r="C568" s="48" t="n">
        <v>0</v>
      </c>
      <c r="D568" s="48" t="n">
        <v>0</v>
      </c>
      <c r="E568" s="48" t="s">
        <v>112</v>
      </c>
      <c r="F568" s="48" t="s">
        <v>72</v>
      </c>
      <c r="G568" s="48" t="s">
        <v>603</v>
      </c>
      <c r="H568" s="82" t="n">
        <f aca="false">DATE(YEAR(A568),MONTH(A568),1)</f>
        <v>43922</v>
      </c>
    </row>
    <row r="569" customFormat="false" ht="15" hidden="false" customHeight="false" outlineLevel="0" collapsed="false">
      <c r="A569" s="81" t="n">
        <v>43932</v>
      </c>
      <c r="B569" s="48" t="n">
        <v>3</v>
      </c>
      <c r="C569" s="48" t="n">
        <v>0</v>
      </c>
      <c r="D569" s="48" t="n">
        <v>0</v>
      </c>
      <c r="E569" s="48" t="s">
        <v>112</v>
      </c>
      <c r="F569" s="48" t="s">
        <v>72</v>
      </c>
      <c r="G569" s="48" t="s">
        <v>591</v>
      </c>
      <c r="H569" s="82" t="n">
        <f aca="false">DATE(YEAR(A569),MONTH(A569),1)</f>
        <v>43922</v>
      </c>
    </row>
    <row r="570" customFormat="false" ht="15" hidden="false" customHeight="false" outlineLevel="0" collapsed="false">
      <c r="A570" s="81" t="n">
        <v>43932</v>
      </c>
      <c r="B570" s="48" t="n">
        <v>6</v>
      </c>
      <c r="C570" s="48" t="n">
        <v>0</v>
      </c>
      <c r="D570" s="48" t="n">
        <v>0</v>
      </c>
      <c r="E570" s="48" t="s">
        <v>112</v>
      </c>
      <c r="F570" s="48" t="s">
        <v>72</v>
      </c>
      <c r="G570" s="48" t="s">
        <v>598</v>
      </c>
      <c r="H570" s="82" t="n">
        <f aca="false">DATE(YEAR(A570),MONTH(A570),1)</f>
        <v>43922</v>
      </c>
    </row>
    <row r="571" customFormat="false" ht="15" hidden="false" customHeight="false" outlineLevel="0" collapsed="false">
      <c r="A571" s="81" t="n">
        <v>43932</v>
      </c>
      <c r="B571" s="48" t="n">
        <v>6</v>
      </c>
      <c r="C571" s="48" t="n">
        <v>0</v>
      </c>
      <c r="D571" s="48" t="n">
        <v>0</v>
      </c>
      <c r="E571" s="48" t="s">
        <v>112</v>
      </c>
      <c r="F571" s="48" t="s">
        <v>72</v>
      </c>
      <c r="G571" s="48" t="s">
        <v>610</v>
      </c>
      <c r="H571" s="82" t="n">
        <f aca="false">DATE(YEAR(A571),MONTH(A571),1)</f>
        <v>43922</v>
      </c>
    </row>
    <row r="572" customFormat="false" ht="15" hidden="false" customHeight="false" outlineLevel="0" collapsed="false">
      <c r="A572" s="81" t="n">
        <v>43932</v>
      </c>
      <c r="B572" s="48" t="n">
        <v>5</v>
      </c>
      <c r="C572" s="48" t="n">
        <v>0</v>
      </c>
      <c r="D572" s="48" t="n">
        <v>0</v>
      </c>
      <c r="E572" s="48" t="s">
        <v>112</v>
      </c>
      <c r="F572" s="48" t="s">
        <v>72</v>
      </c>
      <c r="G572" s="48" t="s">
        <v>102</v>
      </c>
      <c r="H572" s="82" t="n">
        <f aca="false">DATE(YEAR(A572),MONTH(A572),1)</f>
        <v>43922</v>
      </c>
    </row>
    <row r="573" customFormat="false" ht="15" hidden="false" customHeight="false" outlineLevel="0" collapsed="false">
      <c r="A573" s="81" t="n">
        <v>43932</v>
      </c>
      <c r="B573" s="48" t="n">
        <v>4</v>
      </c>
      <c r="C573" s="48" t="n">
        <v>0</v>
      </c>
      <c r="D573" s="48" t="n">
        <v>0</v>
      </c>
      <c r="E573" s="48" t="s">
        <v>112</v>
      </c>
      <c r="F573" s="48" t="s">
        <v>72</v>
      </c>
      <c r="G573" s="48" t="s">
        <v>609</v>
      </c>
      <c r="H573" s="82" t="n">
        <f aca="false">DATE(YEAR(A573),MONTH(A573),1)</f>
        <v>43922</v>
      </c>
    </row>
    <row r="574" customFormat="false" ht="15" hidden="false" customHeight="false" outlineLevel="0" collapsed="false">
      <c r="A574" s="81" t="n">
        <v>43932</v>
      </c>
      <c r="B574" s="48" t="n">
        <v>2</v>
      </c>
      <c r="C574" s="48" t="n">
        <v>0</v>
      </c>
      <c r="D574" s="48" t="n">
        <v>2</v>
      </c>
      <c r="E574" s="48" t="s">
        <v>112</v>
      </c>
      <c r="F574" s="48" t="s">
        <v>72</v>
      </c>
      <c r="G574" s="48" t="s">
        <v>96</v>
      </c>
      <c r="H574" s="82" t="n">
        <f aca="false">DATE(YEAR(A574),MONTH(A574),1)</f>
        <v>43922</v>
      </c>
    </row>
    <row r="575" customFormat="false" ht="15" hidden="false" customHeight="false" outlineLevel="0" collapsed="false">
      <c r="A575" s="81" t="n">
        <v>43932</v>
      </c>
      <c r="B575" s="48" t="n">
        <v>0</v>
      </c>
      <c r="C575" s="48" t="n">
        <v>0</v>
      </c>
      <c r="D575" s="48" t="n">
        <v>1</v>
      </c>
      <c r="E575" s="48" t="s">
        <v>112</v>
      </c>
      <c r="F575" s="48" t="s">
        <v>72</v>
      </c>
      <c r="G575" s="48" t="s">
        <v>607</v>
      </c>
      <c r="H575" s="82" t="n">
        <f aca="false">DATE(YEAR(A575),MONTH(A575),1)</f>
        <v>43922</v>
      </c>
    </row>
    <row r="576" customFormat="false" ht="15" hidden="false" customHeight="false" outlineLevel="0" collapsed="false">
      <c r="A576" s="81" t="n">
        <v>43932</v>
      </c>
      <c r="B576" s="48" t="n">
        <v>29</v>
      </c>
      <c r="C576" s="48" t="n">
        <v>3</v>
      </c>
      <c r="D576" s="48" t="n">
        <v>0</v>
      </c>
      <c r="E576" s="48" t="s">
        <v>112</v>
      </c>
      <c r="F576" s="48" t="s">
        <v>71</v>
      </c>
      <c r="G576" s="48" t="s">
        <v>92</v>
      </c>
      <c r="H576" s="82" t="n">
        <f aca="false">DATE(YEAR(A576),MONTH(A576),1)</f>
        <v>43922</v>
      </c>
    </row>
    <row r="577" customFormat="false" ht="15" hidden="false" customHeight="false" outlineLevel="0" collapsed="false">
      <c r="A577" s="81" t="n">
        <v>43932</v>
      </c>
      <c r="B577" s="48" t="n">
        <v>1</v>
      </c>
      <c r="C577" s="48" t="n">
        <v>0</v>
      </c>
      <c r="D577" s="48" t="n">
        <v>0</v>
      </c>
      <c r="E577" s="48" t="s">
        <v>116</v>
      </c>
      <c r="F577" s="48" t="s">
        <v>71</v>
      </c>
      <c r="G577" s="48" t="s">
        <v>596</v>
      </c>
      <c r="H577" s="82" t="n">
        <f aca="false">DATE(YEAR(A577),MONTH(A577),1)</f>
        <v>43922</v>
      </c>
    </row>
    <row r="578" customFormat="false" ht="15" hidden="false" customHeight="false" outlineLevel="0" collapsed="false">
      <c r="A578" s="81" t="n">
        <v>43932</v>
      </c>
      <c r="B578" s="48" t="n">
        <v>30</v>
      </c>
      <c r="C578" s="48" t="n">
        <v>0</v>
      </c>
      <c r="D578" s="48" t="n">
        <v>0</v>
      </c>
      <c r="E578" s="48" t="s">
        <v>112</v>
      </c>
      <c r="F578" s="48" t="s">
        <v>71</v>
      </c>
      <c r="G578" s="48" t="s">
        <v>606</v>
      </c>
      <c r="H578" s="82" t="n">
        <f aca="false">DATE(YEAR(A578),MONTH(A578),1)</f>
        <v>43922</v>
      </c>
    </row>
    <row r="579" customFormat="false" ht="15" hidden="false" customHeight="false" outlineLevel="0" collapsed="false">
      <c r="A579" s="81" t="n">
        <v>43932</v>
      </c>
      <c r="B579" s="48" t="n">
        <v>7</v>
      </c>
      <c r="C579" s="48" t="n">
        <v>0</v>
      </c>
      <c r="D579" s="48" t="n">
        <v>0</v>
      </c>
      <c r="E579" s="48" t="s">
        <v>116</v>
      </c>
      <c r="F579" s="48" t="s">
        <v>71</v>
      </c>
      <c r="G579" s="48" t="s">
        <v>100</v>
      </c>
      <c r="H579" s="82" t="n">
        <f aca="false">DATE(YEAR(A579),MONTH(A579),1)</f>
        <v>43922</v>
      </c>
    </row>
    <row r="580" customFormat="false" ht="15" hidden="false" customHeight="false" outlineLevel="0" collapsed="false">
      <c r="A580" s="81" t="n">
        <v>43932</v>
      </c>
      <c r="B580" s="48" t="n">
        <v>5</v>
      </c>
      <c r="C580" s="48" t="n">
        <v>0</v>
      </c>
      <c r="D580" s="48" t="n">
        <v>0</v>
      </c>
      <c r="E580" s="48" t="s">
        <v>112</v>
      </c>
      <c r="F580" s="48" t="s">
        <v>71</v>
      </c>
      <c r="G580" s="48" t="s">
        <v>602</v>
      </c>
      <c r="H580" s="82" t="n">
        <f aca="false">DATE(YEAR(A580),MONTH(A580),1)</f>
        <v>43922</v>
      </c>
    </row>
    <row r="581" customFormat="false" ht="15" hidden="false" customHeight="false" outlineLevel="0" collapsed="false">
      <c r="A581" s="81" t="n">
        <v>43932</v>
      </c>
      <c r="B581" s="48" t="n">
        <v>3</v>
      </c>
      <c r="C581" s="48" t="n">
        <v>0</v>
      </c>
      <c r="D581" s="48" t="n">
        <v>0</v>
      </c>
      <c r="E581" s="48" t="s">
        <v>112</v>
      </c>
      <c r="F581" s="48" t="s">
        <v>71</v>
      </c>
      <c r="G581" s="48" t="s">
        <v>651</v>
      </c>
      <c r="H581" s="82" t="n">
        <f aca="false">DATE(YEAR(A581),MONTH(A581),1)</f>
        <v>43922</v>
      </c>
    </row>
    <row r="582" customFormat="false" ht="15" hidden="false" customHeight="false" outlineLevel="0" collapsed="false">
      <c r="A582" s="81" t="n">
        <v>43932</v>
      </c>
      <c r="B582" s="48" t="n">
        <v>16</v>
      </c>
      <c r="C582" s="48" t="n">
        <v>0</v>
      </c>
      <c r="D582" s="48" t="n">
        <v>0</v>
      </c>
      <c r="E582" s="48" t="s">
        <v>112</v>
      </c>
      <c r="F582" s="48" t="s">
        <v>71</v>
      </c>
      <c r="G582" s="48" t="s">
        <v>645</v>
      </c>
      <c r="H582" s="82" t="n">
        <f aca="false">DATE(YEAR(A582),MONTH(A582),1)</f>
        <v>43922</v>
      </c>
    </row>
    <row r="583" customFormat="false" ht="15" hidden="false" customHeight="false" outlineLevel="0" collapsed="false">
      <c r="A583" s="81" t="n">
        <v>43932</v>
      </c>
      <c r="B583" s="48" t="n">
        <v>0</v>
      </c>
      <c r="C583" s="48" t="n">
        <v>0</v>
      </c>
      <c r="D583" s="48" t="n">
        <v>2</v>
      </c>
      <c r="E583" s="48" t="s">
        <v>112</v>
      </c>
      <c r="F583" s="48" t="s">
        <v>71</v>
      </c>
      <c r="G583" s="48" t="s">
        <v>627</v>
      </c>
      <c r="H583" s="82" t="n">
        <f aca="false">DATE(YEAR(A583),MONTH(A583),1)</f>
        <v>43922</v>
      </c>
    </row>
    <row r="584" customFormat="false" ht="15" hidden="false" customHeight="false" outlineLevel="0" collapsed="false">
      <c r="A584" s="81" t="n">
        <v>43932</v>
      </c>
      <c r="B584" s="48" t="n">
        <v>47</v>
      </c>
      <c r="C584" s="48" t="n">
        <v>0</v>
      </c>
      <c r="D584" s="48" t="n">
        <v>0</v>
      </c>
      <c r="E584" s="48" t="s">
        <v>114</v>
      </c>
      <c r="F584" s="48" t="s">
        <v>71</v>
      </c>
      <c r="G584" s="48" t="s">
        <v>631</v>
      </c>
      <c r="H584" s="82" t="n">
        <f aca="false">DATE(YEAR(A584),MONTH(A584),1)</f>
        <v>43922</v>
      </c>
    </row>
    <row r="585" customFormat="false" ht="15" hidden="false" customHeight="false" outlineLevel="0" collapsed="false">
      <c r="A585" s="81" t="n">
        <v>43932</v>
      </c>
      <c r="B585" s="48" t="n">
        <v>84</v>
      </c>
      <c r="C585" s="48" t="n">
        <v>6</v>
      </c>
      <c r="D585" s="48" t="n">
        <v>0</v>
      </c>
      <c r="E585" s="48" t="s">
        <v>112</v>
      </c>
      <c r="F585" s="48" t="s">
        <v>70</v>
      </c>
      <c r="G585" s="48" t="s">
        <v>91</v>
      </c>
      <c r="H585" s="82" t="n">
        <f aca="false">DATE(YEAR(A585),MONTH(A585),1)</f>
        <v>43922</v>
      </c>
    </row>
    <row r="586" customFormat="false" ht="15" hidden="false" customHeight="false" outlineLevel="0" collapsed="false">
      <c r="A586" s="81" t="n">
        <v>43932</v>
      </c>
      <c r="B586" s="48" t="n">
        <v>3</v>
      </c>
      <c r="C586" s="48" t="n">
        <v>0</v>
      </c>
      <c r="D586" s="48" t="n">
        <v>0</v>
      </c>
      <c r="E586" s="48" t="s">
        <v>112</v>
      </c>
      <c r="F586" s="48" t="s">
        <v>70</v>
      </c>
      <c r="G586" s="48" t="s">
        <v>104</v>
      </c>
      <c r="H586" s="82" t="n">
        <f aca="false">DATE(YEAR(A586),MONTH(A586),1)</f>
        <v>43922</v>
      </c>
    </row>
    <row r="587" customFormat="false" ht="15" hidden="false" customHeight="false" outlineLevel="0" collapsed="false">
      <c r="A587" s="81" t="n">
        <v>43932</v>
      </c>
      <c r="B587" s="48" t="n">
        <v>17</v>
      </c>
      <c r="C587" s="48" t="n">
        <v>0</v>
      </c>
      <c r="D587" s="48" t="n">
        <v>0</v>
      </c>
      <c r="E587" s="48" t="s">
        <v>112</v>
      </c>
      <c r="F587" s="48" t="s">
        <v>70</v>
      </c>
      <c r="G587" s="48" t="s">
        <v>99</v>
      </c>
      <c r="H587" s="82" t="n">
        <f aca="false">DATE(YEAR(A587),MONTH(A587),1)</f>
        <v>43922</v>
      </c>
    </row>
    <row r="588" customFormat="false" ht="15" hidden="false" customHeight="false" outlineLevel="0" collapsed="false">
      <c r="A588" s="81" t="n">
        <v>43933</v>
      </c>
      <c r="B588" s="48" t="n">
        <v>6</v>
      </c>
      <c r="C588" s="48" t="n">
        <v>0</v>
      </c>
      <c r="D588" s="48" t="n">
        <v>1</v>
      </c>
      <c r="E588" s="48" t="s">
        <v>112</v>
      </c>
      <c r="F588" s="48" t="s">
        <v>76</v>
      </c>
      <c r="G588" s="48" t="s">
        <v>595</v>
      </c>
      <c r="H588" s="82" t="n">
        <f aca="false">DATE(YEAR(A588),MONTH(A588),1)</f>
        <v>43922</v>
      </c>
    </row>
    <row r="589" customFormat="false" ht="15" hidden="false" customHeight="false" outlineLevel="0" collapsed="false">
      <c r="A589" s="81" t="n">
        <v>43933</v>
      </c>
      <c r="B589" s="48" t="n">
        <v>8</v>
      </c>
      <c r="C589" s="48" t="n">
        <v>0</v>
      </c>
      <c r="D589" s="48" t="n">
        <v>0</v>
      </c>
      <c r="E589" s="48" t="s">
        <v>112</v>
      </c>
      <c r="F589" s="48" t="s">
        <v>73</v>
      </c>
      <c r="G589" s="48" t="s">
        <v>93</v>
      </c>
      <c r="H589" s="82" t="n">
        <f aca="false">DATE(YEAR(A589),MONTH(A589),1)</f>
        <v>43922</v>
      </c>
    </row>
    <row r="590" customFormat="false" ht="15" hidden="false" customHeight="false" outlineLevel="0" collapsed="false">
      <c r="A590" s="81" t="n">
        <v>43933</v>
      </c>
      <c r="B590" s="48" t="n">
        <v>2</v>
      </c>
      <c r="C590" s="48" t="n">
        <v>0</v>
      </c>
      <c r="D590" s="48" t="n">
        <v>0</v>
      </c>
      <c r="E590" s="48" t="s">
        <v>112</v>
      </c>
      <c r="F590" s="48" t="s">
        <v>77</v>
      </c>
      <c r="G590" s="48" t="s">
        <v>615</v>
      </c>
      <c r="H590" s="82" t="n">
        <f aca="false">DATE(YEAR(A590),MONTH(A590),1)</f>
        <v>43922</v>
      </c>
    </row>
    <row r="591" customFormat="false" ht="15" hidden="false" customHeight="false" outlineLevel="0" collapsed="false">
      <c r="A591" s="81" t="n">
        <v>43933</v>
      </c>
      <c r="B591" s="48" t="n">
        <v>1</v>
      </c>
      <c r="C591" s="48" t="n">
        <v>0</v>
      </c>
      <c r="D591" s="48" t="n">
        <v>0</v>
      </c>
      <c r="E591" s="48" t="s">
        <v>112</v>
      </c>
      <c r="F591" s="48" t="s">
        <v>77</v>
      </c>
      <c r="G591" s="48" t="s">
        <v>676</v>
      </c>
      <c r="H591" s="82" t="n">
        <f aca="false">DATE(YEAR(A591),MONTH(A591),1)</f>
        <v>43922</v>
      </c>
    </row>
    <row r="592" customFormat="false" ht="15" hidden="false" customHeight="false" outlineLevel="0" collapsed="false">
      <c r="A592" s="81" t="n">
        <v>43933</v>
      </c>
      <c r="B592" s="48" t="n">
        <v>0</v>
      </c>
      <c r="C592" s="48" t="n">
        <v>0</v>
      </c>
      <c r="D592" s="48" t="n">
        <v>2</v>
      </c>
      <c r="E592" s="48" t="s">
        <v>112</v>
      </c>
      <c r="F592" s="48" t="s">
        <v>77</v>
      </c>
      <c r="G592" s="48" t="s">
        <v>667</v>
      </c>
      <c r="H592" s="82" t="n">
        <f aca="false">DATE(YEAR(A592),MONTH(A592),1)</f>
        <v>43922</v>
      </c>
    </row>
    <row r="593" customFormat="false" ht="15" hidden="false" customHeight="false" outlineLevel="0" collapsed="false">
      <c r="A593" s="81" t="n">
        <v>43933</v>
      </c>
      <c r="B593" s="48" t="n">
        <v>1</v>
      </c>
      <c r="C593" s="48" t="n">
        <v>0</v>
      </c>
      <c r="D593" s="48" t="n">
        <v>3</v>
      </c>
      <c r="E593" s="48" t="s">
        <v>112</v>
      </c>
      <c r="F593" s="48" t="s">
        <v>74</v>
      </c>
      <c r="G593" s="48" t="s">
        <v>95</v>
      </c>
      <c r="H593" s="82" t="n">
        <f aca="false">DATE(YEAR(A593),MONTH(A593),1)</f>
        <v>43922</v>
      </c>
    </row>
    <row r="594" customFormat="false" ht="15" hidden="false" customHeight="false" outlineLevel="0" collapsed="false">
      <c r="A594" s="81" t="n">
        <v>43933</v>
      </c>
      <c r="B594" s="48" t="n">
        <v>9</v>
      </c>
      <c r="C594" s="48" t="n">
        <v>1</v>
      </c>
      <c r="D594" s="48" t="n">
        <v>0</v>
      </c>
      <c r="E594" s="48" t="s">
        <v>112</v>
      </c>
      <c r="F594" s="48" t="s">
        <v>72</v>
      </c>
      <c r="G594" s="48" t="s">
        <v>94</v>
      </c>
      <c r="H594" s="82" t="n">
        <f aca="false">DATE(YEAR(A594),MONTH(A594),1)</f>
        <v>43922</v>
      </c>
    </row>
    <row r="595" customFormat="false" ht="15" hidden="false" customHeight="false" outlineLevel="0" collapsed="false">
      <c r="A595" s="81" t="n">
        <v>43933</v>
      </c>
      <c r="B595" s="48" t="n">
        <v>2</v>
      </c>
      <c r="C595" s="48" t="n">
        <v>1</v>
      </c>
      <c r="D595" s="48" t="n">
        <v>0</v>
      </c>
      <c r="E595" s="48" t="s">
        <v>112</v>
      </c>
      <c r="F595" s="48" t="s">
        <v>72</v>
      </c>
      <c r="G595" s="48" t="s">
        <v>102</v>
      </c>
      <c r="H595" s="82" t="n">
        <f aca="false">DATE(YEAR(A595),MONTH(A595),1)</f>
        <v>43922</v>
      </c>
    </row>
    <row r="596" customFormat="false" ht="15" hidden="false" customHeight="false" outlineLevel="0" collapsed="false">
      <c r="A596" s="81" t="n">
        <v>43933</v>
      </c>
      <c r="B596" s="48" t="n">
        <v>0</v>
      </c>
      <c r="C596" s="48" t="n">
        <v>1</v>
      </c>
      <c r="D596" s="48" t="n">
        <v>0</v>
      </c>
      <c r="E596" s="48" t="s">
        <v>112</v>
      </c>
      <c r="F596" s="48" t="s">
        <v>72</v>
      </c>
      <c r="G596" s="48" t="s">
        <v>611</v>
      </c>
      <c r="H596" s="82" t="n">
        <f aca="false">DATE(YEAR(A596),MONTH(A596),1)</f>
        <v>43922</v>
      </c>
    </row>
    <row r="597" customFormat="false" ht="15" hidden="false" customHeight="false" outlineLevel="0" collapsed="false">
      <c r="A597" s="81" t="n">
        <v>43933</v>
      </c>
      <c r="B597" s="48" t="n">
        <v>6</v>
      </c>
      <c r="C597" s="48" t="n">
        <v>0</v>
      </c>
      <c r="D597" s="48" t="n">
        <v>0</v>
      </c>
      <c r="E597" s="48" t="s">
        <v>112</v>
      </c>
      <c r="F597" s="48" t="s">
        <v>72</v>
      </c>
      <c r="G597" s="48" t="s">
        <v>603</v>
      </c>
      <c r="H597" s="82" t="n">
        <f aca="false">DATE(YEAR(A597),MONTH(A597),1)</f>
        <v>43922</v>
      </c>
    </row>
    <row r="598" customFormat="false" ht="15" hidden="false" customHeight="false" outlineLevel="0" collapsed="false">
      <c r="A598" s="81" t="n">
        <v>43933</v>
      </c>
      <c r="B598" s="48" t="n">
        <v>1</v>
      </c>
      <c r="C598" s="48" t="n">
        <v>0</v>
      </c>
      <c r="D598" s="48" t="n">
        <v>0</v>
      </c>
      <c r="E598" s="48" t="s">
        <v>112</v>
      </c>
      <c r="F598" s="48" t="s">
        <v>72</v>
      </c>
      <c r="G598" s="48" t="s">
        <v>598</v>
      </c>
      <c r="H598" s="82" t="n">
        <f aca="false">DATE(YEAR(A598),MONTH(A598),1)</f>
        <v>43922</v>
      </c>
    </row>
    <row r="599" customFormat="false" ht="15" hidden="false" customHeight="false" outlineLevel="0" collapsed="false">
      <c r="A599" s="81" t="n">
        <v>43933</v>
      </c>
      <c r="B599" s="48" t="n">
        <v>1</v>
      </c>
      <c r="C599" s="48" t="n">
        <v>0</v>
      </c>
      <c r="D599" s="48" t="n">
        <v>0</v>
      </c>
      <c r="E599" s="48" t="s">
        <v>112</v>
      </c>
      <c r="F599" s="48" t="s">
        <v>72</v>
      </c>
      <c r="G599" s="48" t="s">
        <v>655</v>
      </c>
      <c r="H599" s="82" t="n">
        <f aca="false">DATE(YEAR(A599),MONTH(A599),1)</f>
        <v>43922</v>
      </c>
    </row>
    <row r="600" customFormat="false" ht="15" hidden="false" customHeight="false" outlineLevel="0" collapsed="false">
      <c r="A600" s="81" t="n">
        <v>43933</v>
      </c>
      <c r="B600" s="48" t="n">
        <v>4</v>
      </c>
      <c r="C600" s="48" t="n">
        <v>0</v>
      </c>
      <c r="D600" s="48" t="n">
        <v>0</v>
      </c>
      <c r="E600" s="48" t="s">
        <v>112</v>
      </c>
      <c r="F600" s="48" t="s">
        <v>72</v>
      </c>
      <c r="G600" s="48" t="s">
        <v>608</v>
      </c>
      <c r="H600" s="82" t="n">
        <f aca="false">DATE(YEAR(A600),MONTH(A600),1)</f>
        <v>43922</v>
      </c>
    </row>
    <row r="601" customFormat="false" ht="15" hidden="false" customHeight="false" outlineLevel="0" collapsed="false">
      <c r="A601" s="81" t="n">
        <v>43933</v>
      </c>
      <c r="B601" s="48" t="n">
        <v>4</v>
      </c>
      <c r="C601" s="48" t="n">
        <v>0</v>
      </c>
      <c r="D601" s="48" t="n">
        <v>0</v>
      </c>
      <c r="E601" s="48" t="s">
        <v>112</v>
      </c>
      <c r="F601" s="48" t="s">
        <v>72</v>
      </c>
      <c r="G601" s="48" t="s">
        <v>614</v>
      </c>
      <c r="H601" s="82" t="n">
        <f aca="false">DATE(YEAR(A601),MONTH(A601),1)</f>
        <v>43922</v>
      </c>
    </row>
    <row r="602" customFormat="false" ht="15" hidden="false" customHeight="false" outlineLevel="0" collapsed="false">
      <c r="A602" s="81" t="n">
        <v>43933</v>
      </c>
      <c r="B602" s="48" t="n">
        <v>3</v>
      </c>
      <c r="C602" s="48" t="n">
        <v>0</v>
      </c>
      <c r="D602" s="48" t="n">
        <v>0</v>
      </c>
      <c r="E602" s="48" t="s">
        <v>112</v>
      </c>
      <c r="F602" s="48" t="s">
        <v>72</v>
      </c>
      <c r="G602" s="48" t="s">
        <v>101</v>
      </c>
      <c r="H602" s="82" t="n">
        <f aca="false">DATE(YEAR(A602),MONTH(A602),1)</f>
        <v>43922</v>
      </c>
    </row>
    <row r="603" customFormat="false" ht="15" hidden="false" customHeight="false" outlineLevel="0" collapsed="false">
      <c r="A603" s="81" t="n">
        <v>43933</v>
      </c>
      <c r="B603" s="48" t="n">
        <v>10</v>
      </c>
      <c r="C603" s="48" t="n">
        <v>0</v>
      </c>
      <c r="D603" s="48" t="n">
        <v>0</v>
      </c>
      <c r="E603" s="48" t="s">
        <v>112</v>
      </c>
      <c r="F603" s="48" t="s">
        <v>72</v>
      </c>
      <c r="G603" s="48" t="s">
        <v>610</v>
      </c>
      <c r="H603" s="82" t="n">
        <f aca="false">DATE(YEAR(A603),MONTH(A603),1)</f>
        <v>43922</v>
      </c>
    </row>
    <row r="604" customFormat="false" ht="15" hidden="false" customHeight="false" outlineLevel="0" collapsed="false">
      <c r="A604" s="81" t="n">
        <v>43933</v>
      </c>
      <c r="B604" s="48" t="n">
        <v>2</v>
      </c>
      <c r="C604" s="48" t="n">
        <v>0</v>
      </c>
      <c r="D604" s="48" t="n">
        <v>0</v>
      </c>
      <c r="E604" s="48" t="s">
        <v>112</v>
      </c>
      <c r="F604" s="48" t="s">
        <v>72</v>
      </c>
      <c r="G604" s="48" t="s">
        <v>594</v>
      </c>
      <c r="H604" s="82" t="n">
        <f aca="false">DATE(YEAR(A604),MONTH(A604),1)</f>
        <v>43922</v>
      </c>
    </row>
    <row r="605" customFormat="false" ht="15" hidden="false" customHeight="false" outlineLevel="0" collapsed="false">
      <c r="A605" s="81" t="n">
        <v>43933</v>
      </c>
      <c r="B605" s="48" t="n">
        <v>2</v>
      </c>
      <c r="C605" s="48" t="n">
        <v>0</v>
      </c>
      <c r="D605" s="48" t="n">
        <v>1</v>
      </c>
      <c r="E605" s="48" t="s">
        <v>112</v>
      </c>
      <c r="F605" s="48" t="s">
        <v>72</v>
      </c>
      <c r="G605" s="48" t="s">
        <v>96</v>
      </c>
      <c r="H605" s="82" t="n">
        <f aca="false">DATE(YEAR(A605),MONTH(A605),1)</f>
        <v>43922</v>
      </c>
    </row>
    <row r="606" customFormat="false" ht="15" hidden="false" customHeight="false" outlineLevel="0" collapsed="false">
      <c r="A606" s="81" t="n">
        <v>43933</v>
      </c>
      <c r="B606" s="48" t="n">
        <v>32</v>
      </c>
      <c r="C606" s="48" t="n">
        <v>2</v>
      </c>
      <c r="D606" s="48" t="n">
        <v>25</v>
      </c>
      <c r="E606" s="48" t="s">
        <v>112</v>
      </c>
      <c r="F606" s="48" t="s">
        <v>71</v>
      </c>
      <c r="G606" s="48" t="s">
        <v>92</v>
      </c>
      <c r="H606" s="82" t="n">
        <f aca="false">DATE(YEAR(A606),MONTH(A606),1)</f>
        <v>43922</v>
      </c>
    </row>
    <row r="607" customFormat="false" ht="15" hidden="false" customHeight="false" outlineLevel="0" collapsed="false">
      <c r="A607" s="81" t="n">
        <v>43933</v>
      </c>
      <c r="B607" s="48" t="n">
        <v>19</v>
      </c>
      <c r="C607" s="48" t="n">
        <v>0</v>
      </c>
      <c r="D607" s="48" t="n">
        <v>0</v>
      </c>
      <c r="E607" s="48" t="s">
        <v>112</v>
      </c>
      <c r="F607" s="48" t="s">
        <v>71</v>
      </c>
      <c r="G607" s="48" t="s">
        <v>97</v>
      </c>
      <c r="H607" s="82" t="n">
        <f aca="false">DATE(YEAR(A607),MONTH(A607),1)</f>
        <v>43922</v>
      </c>
    </row>
    <row r="608" customFormat="false" ht="15" hidden="false" customHeight="false" outlineLevel="0" collapsed="false">
      <c r="A608" s="81" t="n">
        <v>43933</v>
      </c>
      <c r="B608" s="48" t="n">
        <v>0</v>
      </c>
      <c r="C608" s="48" t="n">
        <v>0</v>
      </c>
      <c r="D608" s="48" t="n">
        <v>175</v>
      </c>
      <c r="E608" s="48" t="s">
        <v>118</v>
      </c>
      <c r="F608" s="48" t="s">
        <v>71</v>
      </c>
      <c r="G608" s="48" t="s">
        <v>596</v>
      </c>
      <c r="H608" s="82" t="n">
        <f aca="false">DATE(YEAR(A608),MONTH(A608),1)</f>
        <v>43922</v>
      </c>
    </row>
    <row r="609" customFormat="false" ht="15" hidden="false" customHeight="false" outlineLevel="0" collapsed="false">
      <c r="A609" s="81" t="n">
        <v>43933</v>
      </c>
      <c r="B609" s="48" t="n">
        <v>6</v>
      </c>
      <c r="C609" s="48" t="n">
        <v>0</v>
      </c>
      <c r="D609" s="48" t="n">
        <v>0</v>
      </c>
      <c r="E609" s="48" t="s">
        <v>112</v>
      </c>
      <c r="F609" s="48" t="s">
        <v>71</v>
      </c>
      <c r="G609" s="48" t="s">
        <v>606</v>
      </c>
      <c r="H609" s="82" t="n">
        <f aca="false">DATE(YEAR(A609),MONTH(A609),1)</f>
        <v>43922</v>
      </c>
    </row>
    <row r="610" customFormat="false" ht="15" hidden="false" customHeight="false" outlineLevel="0" collapsed="false">
      <c r="A610" s="81" t="n">
        <v>43933</v>
      </c>
      <c r="B610" s="48" t="n">
        <v>2</v>
      </c>
      <c r="C610" s="48" t="n">
        <v>0</v>
      </c>
      <c r="D610" s="48" t="n">
        <v>0</v>
      </c>
      <c r="E610" s="48" t="s">
        <v>112</v>
      </c>
      <c r="F610" s="48" t="s">
        <v>71</v>
      </c>
      <c r="G610" s="48" t="s">
        <v>602</v>
      </c>
      <c r="H610" s="82" t="n">
        <f aca="false">DATE(YEAR(A610),MONTH(A610),1)</f>
        <v>43922</v>
      </c>
    </row>
    <row r="611" customFormat="false" ht="15" hidden="false" customHeight="false" outlineLevel="0" collapsed="false">
      <c r="A611" s="81" t="n">
        <v>43933</v>
      </c>
      <c r="B611" s="48" t="n">
        <v>3</v>
      </c>
      <c r="C611" s="48" t="n">
        <v>0</v>
      </c>
      <c r="D611" s="48" t="n">
        <v>0</v>
      </c>
      <c r="E611" s="48" t="s">
        <v>112</v>
      </c>
      <c r="F611" s="48" t="s">
        <v>71</v>
      </c>
      <c r="G611" s="48" t="s">
        <v>626</v>
      </c>
      <c r="H611" s="82" t="n">
        <f aca="false">DATE(YEAR(A611),MONTH(A611),1)</f>
        <v>43922</v>
      </c>
    </row>
    <row r="612" customFormat="false" ht="15" hidden="false" customHeight="false" outlineLevel="0" collapsed="false">
      <c r="A612" s="81" t="n">
        <v>43933</v>
      </c>
      <c r="B612" s="48" t="n">
        <v>19</v>
      </c>
      <c r="C612" s="48" t="n">
        <v>0</v>
      </c>
      <c r="D612" s="48" t="n">
        <v>0</v>
      </c>
      <c r="E612" s="48" t="s">
        <v>112</v>
      </c>
      <c r="F612" s="48" t="s">
        <v>71</v>
      </c>
      <c r="G612" s="48" t="s">
        <v>618</v>
      </c>
      <c r="H612" s="82" t="n">
        <f aca="false">DATE(YEAR(A612),MONTH(A612),1)</f>
        <v>43922</v>
      </c>
    </row>
    <row r="613" customFormat="false" ht="15" hidden="false" customHeight="false" outlineLevel="0" collapsed="false">
      <c r="A613" s="81" t="n">
        <v>43933</v>
      </c>
      <c r="B613" s="48" t="n">
        <v>6</v>
      </c>
      <c r="C613" s="48" t="n">
        <v>0</v>
      </c>
      <c r="D613" s="48" t="n">
        <v>0</v>
      </c>
      <c r="E613" s="48" t="s">
        <v>112</v>
      </c>
      <c r="F613" s="48" t="s">
        <v>71</v>
      </c>
      <c r="G613" s="48" t="s">
        <v>628</v>
      </c>
      <c r="H613" s="82" t="n">
        <f aca="false">DATE(YEAR(A613),MONTH(A613),1)</f>
        <v>43922</v>
      </c>
    </row>
    <row r="614" customFormat="false" ht="15" hidden="false" customHeight="false" outlineLevel="0" collapsed="false">
      <c r="A614" s="81" t="n">
        <v>43933</v>
      </c>
      <c r="B614" s="48" t="n">
        <v>1</v>
      </c>
      <c r="C614" s="48" t="n">
        <v>0</v>
      </c>
      <c r="D614" s="48" t="n">
        <v>0</v>
      </c>
      <c r="E614" s="48" t="s">
        <v>112</v>
      </c>
      <c r="F614" s="48" t="s">
        <v>71</v>
      </c>
      <c r="G614" s="48" t="s">
        <v>652</v>
      </c>
      <c r="H614" s="82" t="n">
        <f aca="false">DATE(YEAR(A614),MONTH(A614),1)</f>
        <v>43922</v>
      </c>
    </row>
    <row r="615" customFormat="false" ht="15" hidden="false" customHeight="false" outlineLevel="0" collapsed="false">
      <c r="A615" s="81" t="n">
        <v>43933</v>
      </c>
      <c r="B615" s="48" t="n">
        <v>1</v>
      </c>
      <c r="C615" s="48" t="n">
        <v>0</v>
      </c>
      <c r="D615" s="48" t="n">
        <v>0</v>
      </c>
      <c r="E615" s="48" t="s">
        <v>112</v>
      </c>
      <c r="F615" s="48" t="s">
        <v>71</v>
      </c>
      <c r="G615" s="48" t="s">
        <v>634</v>
      </c>
      <c r="H615" s="82" t="n">
        <f aca="false">DATE(YEAR(A615),MONTH(A615),1)</f>
        <v>43922</v>
      </c>
    </row>
    <row r="616" customFormat="false" ht="15" hidden="false" customHeight="false" outlineLevel="0" collapsed="false">
      <c r="A616" s="81" t="n">
        <v>43933</v>
      </c>
      <c r="B616" s="48" t="n">
        <v>9</v>
      </c>
      <c r="C616" s="48" t="n">
        <v>0</v>
      </c>
      <c r="D616" s="48" t="n">
        <v>0</v>
      </c>
      <c r="E616" s="48" t="s">
        <v>120</v>
      </c>
      <c r="F616" s="48" t="s">
        <v>71</v>
      </c>
      <c r="G616" s="48" t="s">
        <v>92</v>
      </c>
      <c r="H616" s="82" t="n">
        <f aca="false">DATE(YEAR(A616),MONTH(A616),1)</f>
        <v>43922</v>
      </c>
    </row>
    <row r="617" customFormat="false" ht="15" hidden="false" customHeight="false" outlineLevel="0" collapsed="false">
      <c r="A617" s="81" t="n">
        <v>43933</v>
      </c>
      <c r="B617" s="48" t="n">
        <v>79</v>
      </c>
      <c r="C617" s="48" t="n">
        <v>2</v>
      </c>
      <c r="D617" s="48" t="n">
        <v>18</v>
      </c>
      <c r="E617" s="48" t="s">
        <v>114</v>
      </c>
      <c r="F617" s="48" t="s">
        <v>70</v>
      </c>
      <c r="G617" s="48" t="s">
        <v>91</v>
      </c>
      <c r="H617" s="82" t="n">
        <f aca="false">DATE(YEAR(A617),MONTH(A617),1)</f>
        <v>43922</v>
      </c>
    </row>
    <row r="618" customFormat="false" ht="15" hidden="false" customHeight="false" outlineLevel="0" collapsed="false">
      <c r="A618" s="81" t="n">
        <v>43933</v>
      </c>
      <c r="B618" s="48" t="n">
        <v>14</v>
      </c>
      <c r="C618" s="48" t="n">
        <v>0</v>
      </c>
      <c r="D618" s="48" t="n">
        <v>0</v>
      </c>
      <c r="E618" s="48" t="s">
        <v>114</v>
      </c>
      <c r="F618" s="48" t="s">
        <v>70</v>
      </c>
      <c r="G618" s="48" t="s">
        <v>592</v>
      </c>
      <c r="H618" s="82" t="n">
        <f aca="false">DATE(YEAR(A618),MONTH(A618),1)</f>
        <v>43922</v>
      </c>
    </row>
    <row r="619" customFormat="false" ht="15" hidden="false" customHeight="false" outlineLevel="0" collapsed="false">
      <c r="A619" s="81" t="n">
        <v>43934</v>
      </c>
      <c r="B619" s="48" t="n">
        <v>3</v>
      </c>
      <c r="C619" s="48" t="n">
        <v>0</v>
      </c>
      <c r="D619" s="48" t="n">
        <v>0</v>
      </c>
      <c r="E619" s="48" t="s">
        <v>112</v>
      </c>
      <c r="F619" s="48" t="s">
        <v>76</v>
      </c>
      <c r="G619" s="48" t="s">
        <v>595</v>
      </c>
      <c r="H619" s="82" t="n">
        <f aca="false">DATE(YEAR(A619),MONTH(A619),1)</f>
        <v>43922</v>
      </c>
    </row>
    <row r="620" customFormat="false" ht="15" hidden="false" customHeight="false" outlineLevel="0" collapsed="false">
      <c r="A620" s="81" t="n">
        <v>43934</v>
      </c>
      <c r="B620" s="48" t="n">
        <v>1</v>
      </c>
      <c r="C620" s="48" t="n">
        <v>0</v>
      </c>
      <c r="D620" s="48" t="n">
        <v>0</v>
      </c>
      <c r="E620" s="48" t="s">
        <v>112</v>
      </c>
      <c r="F620" s="48" t="s">
        <v>73</v>
      </c>
      <c r="G620" s="48" t="s">
        <v>93</v>
      </c>
      <c r="H620" s="82" t="n">
        <f aca="false">DATE(YEAR(A620),MONTH(A620),1)</f>
        <v>43922</v>
      </c>
    </row>
    <row r="621" customFormat="false" ht="15" hidden="false" customHeight="false" outlineLevel="0" collapsed="false">
      <c r="A621" s="81" t="n">
        <v>43934</v>
      </c>
      <c r="B621" s="48" t="n">
        <v>9</v>
      </c>
      <c r="C621" s="48" t="n">
        <v>0</v>
      </c>
      <c r="D621" s="48" t="n">
        <v>0</v>
      </c>
      <c r="E621" s="48" t="s">
        <v>112</v>
      </c>
      <c r="F621" s="48" t="s">
        <v>77</v>
      </c>
      <c r="G621" s="48" t="s">
        <v>615</v>
      </c>
      <c r="H621" s="82" t="n">
        <f aca="false">DATE(YEAR(A621),MONTH(A621),1)</f>
        <v>43922</v>
      </c>
    </row>
    <row r="622" customFormat="false" ht="15" hidden="false" customHeight="false" outlineLevel="0" collapsed="false">
      <c r="A622" s="81" t="n">
        <v>43934</v>
      </c>
      <c r="B622" s="48" t="n">
        <v>1</v>
      </c>
      <c r="C622" s="48" t="n">
        <v>0</v>
      </c>
      <c r="D622" s="48" t="n">
        <v>0</v>
      </c>
      <c r="E622" s="48" t="s">
        <v>112</v>
      </c>
      <c r="F622" s="48" t="s">
        <v>77</v>
      </c>
      <c r="G622" s="48" t="s">
        <v>656</v>
      </c>
      <c r="H622" s="82" t="n">
        <f aca="false">DATE(YEAR(A622),MONTH(A622),1)</f>
        <v>43922</v>
      </c>
    </row>
    <row r="623" customFormat="false" ht="15" hidden="false" customHeight="false" outlineLevel="0" collapsed="false">
      <c r="A623" s="81" t="n">
        <v>43934</v>
      </c>
      <c r="B623" s="48" t="n">
        <v>0</v>
      </c>
      <c r="C623" s="48" t="n">
        <v>0</v>
      </c>
      <c r="D623" s="48" t="n">
        <v>1</v>
      </c>
      <c r="E623" s="48" t="s">
        <v>112</v>
      </c>
      <c r="F623" s="48" t="s">
        <v>77</v>
      </c>
      <c r="G623" s="48" t="s">
        <v>600</v>
      </c>
      <c r="H623" s="82" t="n">
        <f aca="false">DATE(YEAR(A623),MONTH(A623),1)</f>
        <v>43922</v>
      </c>
    </row>
    <row r="624" customFormat="false" ht="15" hidden="false" customHeight="false" outlineLevel="0" collapsed="false">
      <c r="A624" s="81" t="n">
        <v>43934</v>
      </c>
      <c r="B624" s="48" t="n">
        <v>12</v>
      </c>
      <c r="C624" s="48" t="n">
        <v>0</v>
      </c>
      <c r="D624" s="48" t="n">
        <v>0</v>
      </c>
      <c r="E624" s="48" t="s">
        <v>112</v>
      </c>
      <c r="F624" s="48" t="s">
        <v>74</v>
      </c>
      <c r="G624" s="48" t="s">
        <v>95</v>
      </c>
      <c r="H624" s="82" t="n">
        <f aca="false">DATE(YEAR(A624),MONTH(A624),1)</f>
        <v>43922</v>
      </c>
    </row>
    <row r="625" customFormat="false" ht="15" hidden="false" customHeight="false" outlineLevel="0" collapsed="false">
      <c r="A625" s="81" t="n">
        <v>43934</v>
      </c>
      <c r="B625" s="48" t="n">
        <v>0</v>
      </c>
      <c r="C625" s="48" t="n">
        <v>1</v>
      </c>
      <c r="D625" s="48" t="n">
        <v>0</v>
      </c>
      <c r="E625" s="48" t="s">
        <v>112</v>
      </c>
      <c r="F625" s="48" t="s">
        <v>72</v>
      </c>
      <c r="G625" s="48" t="s">
        <v>94</v>
      </c>
      <c r="H625" s="82" t="n">
        <f aca="false">DATE(YEAR(A625),MONTH(A625),1)</f>
        <v>43922</v>
      </c>
    </row>
    <row r="626" customFormat="false" ht="15" hidden="false" customHeight="false" outlineLevel="0" collapsed="false">
      <c r="A626" s="81" t="n">
        <v>43934</v>
      </c>
      <c r="B626" s="48" t="n">
        <v>1</v>
      </c>
      <c r="C626" s="48" t="n">
        <v>1</v>
      </c>
      <c r="D626" s="48" t="n">
        <v>1</v>
      </c>
      <c r="E626" s="48" t="s">
        <v>112</v>
      </c>
      <c r="F626" s="48" t="s">
        <v>72</v>
      </c>
      <c r="G626" s="48" t="s">
        <v>593</v>
      </c>
      <c r="H626" s="82" t="n">
        <f aca="false">DATE(YEAR(A626),MONTH(A626),1)</f>
        <v>43922</v>
      </c>
    </row>
    <row r="627" customFormat="false" ht="15" hidden="false" customHeight="false" outlineLevel="0" collapsed="false">
      <c r="A627" s="81" t="n">
        <v>43934</v>
      </c>
      <c r="B627" s="48" t="n">
        <v>5</v>
      </c>
      <c r="C627" s="48" t="n">
        <v>0</v>
      </c>
      <c r="D627" s="48" t="n">
        <v>0</v>
      </c>
      <c r="E627" s="48" t="s">
        <v>112</v>
      </c>
      <c r="F627" s="48" t="s">
        <v>72</v>
      </c>
      <c r="G627" s="48" t="s">
        <v>597</v>
      </c>
      <c r="H627" s="82" t="n">
        <f aca="false">DATE(YEAR(A627),MONTH(A627),1)</f>
        <v>43922</v>
      </c>
    </row>
    <row r="628" customFormat="false" ht="15" hidden="false" customHeight="false" outlineLevel="0" collapsed="false">
      <c r="A628" s="81" t="n">
        <v>43934</v>
      </c>
      <c r="B628" s="48" t="n">
        <v>3</v>
      </c>
      <c r="C628" s="48" t="n">
        <v>0</v>
      </c>
      <c r="D628" s="48" t="n">
        <v>2</v>
      </c>
      <c r="E628" s="48" t="s">
        <v>112</v>
      </c>
      <c r="F628" s="48" t="s">
        <v>72</v>
      </c>
      <c r="G628" s="48" t="s">
        <v>614</v>
      </c>
      <c r="H628" s="82" t="n">
        <f aca="false">DATE(YEAR(A628),MONTH(A628),1)</f>
        <v>43922</v>
      </c>
    </row>
    <row r="629" customFormat="false" ht="15" hidden="false" customHeight="false" outlineLevel="0" collapsed="false">
      <c r="A629" s="81" t="n">
        <v>43934</v>
      </c>
      <c r="B629" s="48" t="n">
        <v>2</v>
      </c>
      <c r="C629" s="48" t="n">
        <v>0</v>
      </c>
      <c r="D629" s="48" t="n">
        <v>0</v>
      </c>
      <c r="E629" s="48" t="s">
        <v>112</v>
      </c>
      <c r="F629" s="48" t="s">
        <v>72</v>
      </c>
      <c r="G629" s="48" t="s">
        <v>101</v>
      </c>
      <c r="H629" s="82" t="n">
        <f aca="false">DATE(YEAR(A629),MONTH(A629),1)</f>
        <v>43922</v>
      </c>
    </row>
    <row r="630" customFormat="false" ht="15" hidden="false" customHeight="false" outlineLevel="0" collapsed="false">
      <c r="A630" s="81" t="n">
        <v>43934</v>
      </c>
      <c r="B630" s="48" t="n">
        <v>1</v>
      </c>
      <c r="C630" s="48" t="n">
        <v>0</v>
      </c>
      <c r="D630" s="48" t="n">
        <v>0</v>
      </c>
      <c r="E630" s="48" t="s">
        <v>112</v>
      </c>
      <c r="F630" s="48" t="s">
        <v>72</v>
      </c>
      <c r="G630" s="48" t="s">
        <v>594</v>
      </c>
      <c r="H630" s="82" t="n">
        <f aca="false">DATE(YEAR(A630),MONTH(A630),1)</f>
        <v>43922</v>
      </c>
    </row>
    <row r="631" customFormat="false" ht="15" hidden="false" customHeight="false" outlineLevel="0" collapsed="false">
      <c r="A631" s="81" t="n">
        <v>43934</v>
      </c>
      <c r="B631" s="48" t="n">
        <v>31</v>
      </c>
      <c r="C631" s="48" t="n">
        <v>0</v>
      </c>
      <c r="D631" s="48" t="n">
        <v>0</v>
      </c>
      <c r="E631" s="48" t="s">
        <v>112</v>
      </c>
      <c r="F631" s="48" t="s">
        <v>72</v>
      </c>
      <c r="G631" s="48" t="s">
        <v>94</v>
      </c>
      <c r="H631" s="82" t="n">
        <f aca="false">DATE(YEAR(A631),MONTH(A631),1)</f>
        <v>43922</v>
      </c>
    </row>
    <row r="632" customFormat="false" ht="15" hidden="false" customHeight="false" outlineLevel="0" collapsed="false">
      <c r="A632" s="81" t="n">
        <v>43934</v>
      </c>
      <c r="B632" s="48" t="n">
        <v>3</v>
      </c>
      <c r="C632" s="48" t="n">
        <v>0</v>
      </c>
      <c r="D632" s="48" t="n">
        <v>0</v>
      </c>
      <c r="E632" s="48" t="s">
        <v>112</v>
      </c>
      <c r="F632" s="48" t="s">
        <v>72</v>
      </c>
      <c r="G632" s="48" t="s">
        <v>96</v>
      </c>
      <c r="H632" s="82" t="n">
        <f aca="false">DATE(YEAR(A632),MONTH(A632),1)</f>
        <v>43922</v>
      </c>
    </row>
    <row r="633" customFormat="false" ht="15" hidden="false" customHeight="false" outlineLevel="0" collapsed="false">
      <c r="A633" s="81" t="n">
        <v>43934</v>
      </c>
      <c r="B633" s="48" t="n">
        <v>0</v>
      </c>
      <c r="C633" s="48" t="n">
        <v>0</v>
      </c>
      <c r="D633" s="48" t="n">
        <v>1</v>
      </c>
      <c r="E633" s="48" t="s">
        <v>112</v>
      </c>
      <c r="F633" s="48" t="s">
        <v>72</v>
      </c>
      <c r="G633" s="48" t="s">
        <v>611</v>
      </c>
      <c r="H633" s="82" t="n">
        <f aca="false">DATE(YEAR(A633),MONTH(A633),1)</f>
        <v>43922</v>
      </c>
    </row>
    <row r="634" customFormat="false" ht="15" hidden="false" customHeight="false" outlineLevel="0" collapsed="false">
      <c r="A634" s="81" t="n">
        <v>43934</v>
      </c>
      <c r="B634" s="48" t="n">
        <v>0</v>
      </c>
      <c r="C634" s="48" t="n">
        <v>0</v>
      </c>
      <c r="D634" s="48" t="n">
        <v>0</v>
      </c>
      <c r="E634" s="48" t="s">
        <v>112</v>
      </c>
      <c r="F634" s="48" t="s">
        <v>72</v>
      </c>
      <c r="G634" s="48" t="s">
        <v>664</v>
      </c>
      <c r="H634" s="82" t="n">
        <f aca="false">DATE(YEAR(A634),MONTH(A634),1)</f>
        <v>43922</v>
      </c>
    </row>
    <row r="635" customFormat="false" ht="15" hidden="false" customHeight="false" outlineLevel="0" collapsed="false">
      <c r="A635" s="81" t="n">
        <v>43934</v>
      </c>
      <c r="B635" s="48" t="n">
        <v>0</v>
      </c>
      <c r="C635" s="48" t="n">
        <v>0</v>
      </c>
      <c r="D635" s="48" t="n">
        <v>2</v>
      </c>
      <c r="E635" s="48" t="s">
        <v>112</v>
      </c>
      <c r="F635" s="48" t="s">
        <v>72</v>
      </c>
      <c r="G635" s="48" t="s">
        <v>591</v>
      </c>
      <c r="H635" s="82" t="n">
        <f aca="false">DATE(YEAR(A635),MONTH(A635),1)</f>
        <v>43922</v>
      </c>
    </row>
    <row r="636" customFormat="false" ht="15" hidden="false" customHeight="false" outlineLevel="0" collapsed="false">
      <c r="A636" s="81" t="n">
        <v>43934</v>
      </c>
      <c r="B636" s="48" t="n">
        <v>0</v>
      </c>
      <c r="C636" s="48" t="n">
        <v>0</v>
      </c>
      <c r="D636" s="48" t="n">
        <v>1</v>
      </c>
      <c r="E636" s="48" t="s">
        <v>112</v>
      </c>
      <c r="F636" s="48" t="s">
        <v>72</v>
      </c>
      <c r="G636" s="48" t="s">
        <v>621</v>
      </c>
      <c r="H636" s="82" t="n">
        <f aca="false">DATE(YEAR(A636),MONTH(A636),1)</f>
        <v>43922</v>
      </c>
    </row>
    <row r="637" customFormat="false" ht="15" hidden="false" customHeight="false" outlineLevel="0" collapsed="false">
      <c r="A637" s="81" t="n">
        <v>43934</v>
      </c>
      <c r="B637" s="48" t="n">
        <v>0</v>
      </c>
      <c r="C637" s="48" t="n">
        <v>1</v>
      </c>
      <c r="D637" s="48" t="n">
        <v>0</v>
      </c>
      <c r="E637" s="48" t="s">
        <v>114</v>
      </c>
      <c r="F637" s="48" t="s">
        <v>71</v>
      </c>
      <c r="G637" s="48" t="s">
        <v>92</v>
      </c>
      <c r="H637" s="82" t="n">
        <f aca="false">DATE(YEAR(A637),MONTH(A637),1)</f>
        <v>43922</v>
      </c>
    </row>
    <row r="638" customFormat="false" ht="15" hidden="false" customHeight="false" outlineLevel="0" collapsed="false">
      <c r="A638" s="81" t="n">
        <v>43934</v>
      </c>
      <c r="B638" s="48" t="n">
        <v>0</v>
      </c>
      <c r="C638" s="48" t="n">
        <v>0</v>
      </c>
      <c r="D638" s="48" t="n">
        <v>0</v>
      </c>
      <c r="E638" s="48" t="s">
        <v>116</v>
      </c>
      <c r="F638" s="48" t="s">
        <v>71</v>
      </c>
      <c r="G638" s="48" t="s">
        <v>596</v>
      </c>
      <c r="H638" s="82" t="n">
        <f aca="false">DATE(YEAR(A638),MONTH(A638),1)</f>
        <v>43922</v>
      </c>
    </row>
    <row r="639" customFormat="false" ht="15" hidden="false" customHeight="false" outlineLevel="0" collapsed="false">
      <c r="A639" s="81" t="n">
        <v>43934</v>
      </c>
      <c r="B639" s="48" t="n">
        <v>60</v>
      </c>
      <c r="C639" s="48" t="n">
        <v>0</v>
      </c>
      <c r="D639" s="48" t="n">
        <v>0</v>
      </c>
      <c r="E639" s="48" t="s">
        <v>112</v>
      </c>
      <c r="F639" s="48" t="s">
        <v>71</v>
      </c>
      <c r="G639" s="48" t="s">
        <v>97</v>
      </c>
      <c r="H639" s="82" t="n">
        <f aca="false">DATE(YEAR(A639),MONTH(A639),1)</f>
        <v>43922</v>
      </c>
    </row>
    <row r="640" customFormat="false" ht="15" hidden="false" customHeight="false" outlineLevel="0" collapsed="false">
      <c r="A640" s="81" t="n">
        <v>43934</v>
      </c>
      <c r="B640" s="48" t="n">
        <v>39</v>
      </c>
      <c r="C640" s="48" t="n">
        <v>1</v>
      </c>
      <c r="D640" s="48" t="n">
        <v>30</v>
      </c>
      <c r="E640" s="48" t="s">
        <v>114</v>
      </c>
      <c r="F640" s="48" t="s">
        <v>70</v>
      </c>
      <c r="G640" s="48" t="s">
        <v>91</v>
      </c>
      <c r="H640" s="82" t="n">
        <f aca="false">DATE(YEAR(A640),MONTH(A640),1)</f>
        <v>43922</v>
      </c>
    </row>
    <row r="641" customFormat="false" ht="15" hidden="false" customHeight="false" outlineLevel="0" collapsed="false">
      <c r="A641" s="81" t="n">
        <v>43934</v>
      </c>
      <c r="B641" s="48" t="n">
        <v>1</v>
      </c>
      <c r="C641" s="48" t="n">
        <v>0</v>
      </c>
      <c r="D641" s="48" t="n">
        <v>0</v>
      </c>
      <c r="E641" s="48" t="s">
        <v>112</v>
      </c>
      <c r="F641" s="48" t="s">
        <v>70</v>
      </c>
      <c r="G641" s="48" t="s">
        <v>644</v>
      </c>
      <c r="H641" s="82" t="n">
        <f aca="false">DATE(YEAR(A641),MONTH(A641),1)</f>
        <v>43922</v>
      </c>
    </row>
    <row r="642" customFormat="false" ht="15" hidden="false" customHeight="false" outlineLevel="0" collapsed="false">
      <c r="A642" s="81" t="n">
        <v>43934</v>
      </c>
      <c r="B642" s="48" t="n">
        <v>1</v>
      </c>
      <c r="C642" s="48" t="n">
        <v>0</v>
      </c>
      <c r="D642" s="48" t="n">
        <v>0</v>
      </c>
      <c r="E642" s="48" t="s">
        <v>112</v>
      </c>
      <c r="F642" s="48" t="s">
        <v>70</v>
      </c>
      <c r="G642" s="48" t="s">
        <v>630</v>
      </c>
      <c r="H642" s="82" t="n">
        <f aca="false">DATE(YEAR(A642),MONTH(A642),1)</f>
        <v>43922</v>
      </c>
    </row>
    <row r="643" customFormat="false" ht="15" hidden="false" customHeight="false" outlineLevel="0" collapsed="false">
      <c r="A643" s="81" t="n">
        <v>43935</v>
      </c>
      <c r="B643" s="48" t="n">
        <v>17</v>
      </c>
      <c r="C643" s="48" t="n">
        <v>0</v>
      </c>
      <c r="D643" s="48" t="n">
        <v>0</v>
      </c>
      <c r="E643" s="48" t="s">
        <v>112</v>
      </c>
      <c r="F643" s="48" t="s">
        <v>73</v>
      </c>
      <c r="G643" s="48" t="s">
        <v>93</v>
      </c>
      <c r="H643" s="82" t="n">
        <f aca="false">DATE(YEAR(A643),MONTH(A643),1)</f>
        <v>43922</v>
      </c>
    </row>
    <row r="644" customFormat="false" ht="15" hidden="false" customHeight="false" outlineLevel="0" collapsed="false">
      <c r="A644" s="81" t="n">
        <v>43935</v>
      </c>
      <c r="B644" s="48" t="n">
        <v>1</v>
      </c>
      <c r="C644" s="48" t="n">
        <v>0</v>
      </c>
      <c r="D644" s="48" t="n">
        <v>0</v>
      </c>
      <c r="E644" s="48" t="s">
        <v>112</v>
      </c>
      <c r="F644" s="48" t="s">
        <v>77</v>
      </c>
      <c r="G644" s="48" t="s">
        <v>599</v>
      </c>
      <c r="H644" s="82" t="n">
        <f aca="false">DATE(YEAR(A644),MONTH(A644),1)</f>
        <v>43922</v>
      </c>
    </row>
    <row r="645" customFormat="false" ht="15" hidden="false" customHeight="false" outlineLevel="0" collapsed="false">
      <c r="A645" s="81" t="n">
        <v>43935</v>
      </c>
      <c r="B645" s="48" t="n">
        <v>1</v>
      </c>
      <c r="C645" s="48" t="n">
        <v>0</v>
      </c>
      <c r="D645" s="48" t="n">
        <v>0</v>
      </c>
      <c r="E645" s="48" t="s">
        <v>112</v>
      </c>
      <c r="F645" s="48" t="s">
        <v>77</v>
      </c>
      <c r="G645" s="48" t="s">
        <v>667</v>
      </c>
      <c r="H645" s="82" t="n">
        <f aca="false">DATE(YEAR(A645),MONTH(A645),1)</f>
        <v>43922</v>
      </c>
    </row>
    <row r="646" customFormat="false" ht="15" hidden="false" customHeight="false" outlineLevel="0" collapsed="false">
      <c r="A646" s="81" t="n">
        <v>43935</v>
      </c>
      <c r="B646" s="48" t="n">
        <v>10</v>
      </c>
      <c r="C646" s="48" t="n">
        <v>0</v>
      </c>
      <c r="D646" s="48" t="n">
        <v>6</v>
      </c>
      <c r="E646" s="48" t="s">
        <v>112</v>
      </c>
      <c r="F646" s="48" t="s">
        <v>75</v>
      </c>
      <c r="G646" s="48" t="s">
        <v>646</v>
      </c>
      <c r="H646" s="82" t="n">
        <f aca="false">DATE(YEAR(A646),MONTH(A646),1)</f>
        <v>43922</v>
      </c>
    </row>
    <row r="647" customFormat="false" ht="15" hidden="false" customHeight="false" outlineLevel="0" collapsed="false">
      <c r="A647" s="81" t="n">
        <v>43935</v>
      </c>
      <c r="B647" s="48" t="n">
        <v>0</v>
      </c>
      <c r="C647" s="48" t="n">
        <v>0</v>
      </c>
      <c r="D647" s="48" t="n">
        <v>5</v>
      </c>
      <c r="E647" s="48" t="s">
        <v>112</v>
      </c>
      <c r="F647" s="48" t="s">
        <v>75</v>
      </c>
      <c r="G647" s="48" t="s">
        <v>660</v>
      </c>
      <c r="H647" s="82" t="n">
        <f aca="false">DATE(YEAR(A647),MONTH(A647),1)</f>
        <v>43922</v>
      </c>
    </row>
    <row r="648" customFormat="false" ht="15" hidden="false" customHeight="false" outlineLevel="0" collapsed="false">
      <c r="A648" s="81" t="n">
        <v>43935</v>
      </c>
      <c r="B648" s="48" t="n">
        <v>0</v>
      </c>
      <c r="C648" s="48" t="n">
        <v>0</v>
      </c>
      <c r="D648" s="48" t="n">
        <v>11</v>
      </c>
      <c r="E648" s="48" t="s">
        <v>112</v>
      </c>
      <c r="F648" s="48" t="s">
        <v>75</v>
      </c>
      <c r="G648" s="48" t="s">
        <v>624</v>
      </c>
      <c r="H648" s="82" t="n">
        <f aca="false">DATE(YEAR(A648),MONTH(A648),1)</f>
        <v>43922</v>
      </c>
    </row>
    <row r="649" customFormat="false" ht="15" hidden="false" customHeight="false" outlineLevel="0" collapsed="false">
      <c r="A649" s="81" t="n">
        <v>43935</v>
      </c>
      <c r="B649" s="48" t="n">
        <v>0</v>
      </c>
      <c r="C649" s="48" t="n">
        <v>0</v>
      </c>
      <c r="D649" s="48" t="n">
        <v>2</v>
      </c>
      <c r="E649" s="48" t="s">
        <v>112</v>
      </c>
      <c r="F649" s="48" t="s">
        <v>75</v>
      </c>
      <c r="G649" s="48" t="s">
        <v>649</v>
      </c>
      <c r="H649" s="82" t="n">
        <f aca="false">DATE(YEAR(A649),MONTH(A649),1)</f>
        <v>43922</v>
      </c>
    </row>
    <row r="650" customFormat="false" ht="15" hidden="false" customHeight="false" outlineLevel="0" collapsed="false">
      <c r="A650" s="81" t="n">
        <v>43935</v>
      </c>
      <c r="B650" s="48" t="n">
        <v>22</v>
      </c>
      <c r="C650" s="48" t="n">
        <v>3</v>
      </c>
      <c r="D650" s="48" t="n">
        <v>0</v>
      </c>
      <c r="E650" s="48" t="s">
        <v>114</v>
      </c>
      <c r="F650" s="48" t="s">
        <v>72</v>
      </c>
      <c r="G650" s="48" t="s">
        <v>94</v>
      </c>
      <c r="H650" s="82" t="n">
        <f aca="false">DATE(YEAR(A650),MONTH(A650),1)</f>
        <v>43922</v>
      </c>
    </row>
    <row r="651" customFormat="false" ht="15" hidden="false" customHeight="false" outlineLevel="0" collapsed="false">
      <c r="A651" s="81" t="n">
        <v>43935</v>
      </c>
      <c r="B651" s="48" t="n">
        <v>4</v>
      </c>
      <c r="C651" s="48" t="n">
        <v>0</v>
      </c>
      <c r="D651" s="48" t="n">
        <v>0</v>
      </c>
      <c r="E651" s="48" t="s">
        <v>114</v>
      </c>
      <c r="F651" s="48" t="s">
        <v>72</v>
      </c>
      <c r="G651" s="48" t="s">
        <v>607</v>
      </c>
      <c r="H651" s="82" t="n">
        <f aca="false">DATE(YEAR(A651),MONTH(A651),1)</f>
        <v>43922</v>
      </c>
    </row>
    <row r="652" customFormat="false" ht="15" hidden="false" customHeight="false" outlineLevel="0" collapsed="false">
      <c r="A652" s="81" t="n">
        <v>43935</v>
      </c>
      <c r="B652" s="48" t="n">
        <v>5</v>
      </c>
      <c r="C652" s="48" t="n">
        <v>0</v>
      </c>
      <c r="D652" s="48" t="n">
        <v>0</v>
      </c>
      <c r="E652" s="48" t="s">
        <v>112</v>
      </c>
      <c r="F652" s="48" t="s">
        <v>72</v>
      </c>
      <c r="G652" s="48" t="s">
        <v>621</v>
      </c>
      <c r="H652" s="82" t="n">
        <f aca="false">DATE(YEAR(A652),MONTH(A652),1)</f>
        <v>43922</v>
      </c>
    </row>
    <row r="653" customFormat="false" ht="15" hidden="false" customHeight="false" outlineLevel="0" collapsed="false">
      <c r="A653" s="81" t="n">
        <v>43935</v>
      </c>
      <c r="B653" s="48" t="n">
        <v>7</v>
      </c>
      <c r="C653" s="48" t="n">
        <v>0</v>
      </c>
      <c r="D653" s="48" t="n">
        <v>1</v>
      </c>
      <c r="E653" s="48" t="s">
        <v>112</v>
      </c>
      <c r="F653" s="48" t="s">
        <v>72</v>
      </c>
      <c r="G653" s="48" t="s">
        <v>603</v>
      </c>
      <c r="H653" s="82" t="n">
        <f aca="false">DATE(YEAR(A653),MONTH(A653),1)</f>
        <v>43922</v>
      </c>
    </row>
    <row r="654" customFormat="false" ht="15" hidden="false" customHeight="false" outlineLevel="0" collapsed="false">
      <c r="A654" s="81" t="n">
        <v>43935</v>
      </c>
      <c r="B654" s="48" t="n">
        <v>4</v>
      </c>
      <c r="C654" s="48" t="n">
        <v>0</v>
      </c>
      <c r="D654" s="48" t="n">
        <v>2</v>
      </c>
      <c r="E654" s="48" t="s">
        <v>112</v>
      </c>
      <c r="F654" s="48" t="s">
        <v>72</v>
      </c>
      <c r="G654" s="48" t="s">
        <v>597</v>
      </c>
      <c r="H654" s="82" t="n">
        <f aca="false">DATE(YEAR(A654),MONTH(A654),1)</f>
        <v>43922</v>
      </c>
    </row>
    <row r="655" customFormat="false" ht="15" hidden="false" customHeight="false" outlineLevel="0" collapsed="false">
      <c r="A655" s="81" t="n">
        <v>43935</v>
      </c>
      <c r="B655" s="48" t="n">
        <v>11</v>
      </c>
      <c r="C655" s="48" t="n">
        <v>0</v>
      </c>
      <c r="D655" s="48" t="n">
        <v>7</v>
      </c>
      <c r="E655" s="48" t="s">
        <v>112</v>
      </c>
      <c r="F655" s="48" t="s">
        <v>72</v>
      </c>
      <c r="G655" s="48" t="s">
        <v>598</v>
      </c>
      <c r="H655" s="82" t="n">
        <f aca="false">DATE(YEAR(A655),MONTH(A655),1)</f>
        <v>43922</v>
      </c>
    </row>
    <row r="656" customFormat="false" ht="15" hidden="false" customHeight="false" outlineLevel="0" collapsed="false">
      <c r="A656" s="81" t="n">
        <v>43935</v>
      </c>
      <c r="B656" s="48" t="n">
        <v>3</v>
      </c>
      <c r="C656" s="48" t="n">
        <v>0</v>
      </c>
      <c r="D656" s="48" t="n">
        <v>0</v>
      </c>
      <c r="E656" s="48" t="s">
        <v>112</v>
      </c>
      <c r="F656" s="48" t="s">
        <v>72</v>
      </c>
      <c r="G656" s="48" t="s">
        <v>655</v>
      </c>
      <c r="H656" s="82" t="n">
        <f aca="false">DATE(YEAR(A656),MONTH(A656),1)</f>
        <v>43922</v>
      </c>
    </row>
    <row r="657" customFormat="false" ht="15" hidden="false" customHeight="false" outlineLevel="0" collapsed="false">
      <c r="A657" s="81" t="n">
        <v>43935</v>
      </c>
      <c r="B657" s="48" t="n">
        <v>1</v>
      </c>
      <c r="C657" s="48" t="n">
        <v>0</v>
      </c>
      <c r="D657" s="48" t="n">
        <v>5</v>
      </c>
      <c r="E657" s="48" t="s">
        <v>112</v>
      </c>
      <c r="F657" s="48" t="s">
        <v>72</v>
      </c>
      <c r="G657" s="48" t="s">
        <v>614</v>
      </c>
      <c r="H657" s="82" t="n">
        <f aca="false">DATE(YEAR(A657),MONTH(A657),1)</f>
        <v>43922</v>
      </c>
    </row>
    <row r="658" customFormat="false" ht="15" hidden="false" customHeight="false" outlineLevel="0" collapsed="false">
      <c r="A658" s="81" t="n">
        <v>43935</v>
      </c>
      <c r="B658" s="48" t="n">
        <v>4</v>
      </c>
      <c r="C658" s="48" t="n">
        <v>0</v>
      </c>
      <c r="D658" s="48" t="n">
        <v>0</v>
      </c>
      <c r="E658" s="48" t="s">
        <v>112</v>
      </c>
      <c r="F658" s="48" t="s">
        <v>72</v>
      </c>
      <c r="G658" s="48" t="s">
        <v>594</v>
      </c>
      <c r="H658" s="82" t="n">
        <f aca="false">DATE(YEAR(A658),MONTH(A658),1)</f>
        <v>43922</v>
      </c>
    </row>
    <row r="659" customFormat="false" ht="15" hidden="false" customHeight="false" outlineLevel="0" collapsed="false">
      <c r="A659" s="81" t="n">
        <v>43935</v>
      </c>
      <c r="B659" s="48" t="n">
        <v>2</v>
      </c>
      <c r="C659" s="48" t="n">
        <v>0</v>
      </c>
      <c r="D659" s="48" t="n">
        <v>0</v>
      </c>
      <c r="E659" s="48" t="s">
        <v>112</v>
      </c>
      <c r="F659" s="48" t="s">
        <v>72</v>
      </c>
      <c r="G659" s="48" t="s">
        <v>609</v>
      </c>
      <c r="H659" s="82" t="n">
        <f aca="false">DATE(YEAR(A659),MONTH(A659),1)</f>
        <v>43922</v>
      </c>
    </row>
    <row r="660" customFormat="false" ht="15" hidden="false" customHeight="false" outlineLevel="0" collapsed="false">
      <c r="A660" s="81" t="n">
        <v>43935</v>
      </c>
      <c r="B660" s="48" t="n">
        <v>0</v>
      </c>
      <c r="C660" s="48" t="n">
        <v>0</v>
      </c>
      <c r="D660" s="48" t="n">
        <v>3</v>
      </c>
      <c r="E660" s="48" t="s">
        <v>112</v>
      </c>
      <c r="F660" s="48" t="s">
        <v>72</v>
      </c>
      <c r="G660" s="48" t="s">
        <v>593</v>
      </c>
      <c r="H660" s="82" t="n">
        <f aca="false">DATE(YEAR(A660),MONTH(A660),1)</f>
        <v>43922</v>
      </c>
    </row>
    <row r="661" customFormat="false" ht="15" hidden="false" customHeight="false" outlineLevel="0" collapsed="false">
      <c r="A661" s="81" t="n">
        <v>43935</v>
      </c>
      <c r="B661" s="48" t="n">
        <v>0</v>
      </c>
      <c r="C661" s="48" t="n">
        <v>0</v>
      </c>
      <c r="D661" s="48" t="n">
        <v>3</v>
      </c>
      <c r="E661" s="48" t="s">
        <v>112</v>
      </c>
      <c r="F661" s="48" t="s">
        <v>72</v>
      </c>
      <c r="G661" s="48" t="s">
        <v>96</v>
      </c>
      <c r="H661" s="82" t="n">
        <f aca="false">DATE(YEAR(A661),MONTH(A661),1)</f>
        <v>43922</v>
      </c>
    </row>
    <row r="662" customFormat="false" ht="15" hidden="false" customHeight="false" outlineLevel="0" collapsed="false">
      <c r="A662" s="81" t="n">
        <v>43935</v>
      </c>
      <c r="B662" s="48" t="n">
        <v>0</v>
      </c>
      <c r="C662" s="48" t="n">
        <v>0</v>
      </c>
      <c r="D662" s="48" t="n">
        <v>4</v>
      </c>
      <c r="E662" s="48" t="s">
        <v>112</v>
      </c>
      <c r="F662" s="48" t="s">
        <v>72</v>
      </c>
      <c r="G662" s="48" t="s">
        <v>591</v>
      </c>
      <c r="H662" s="82" t="n">
        <f aca="false">DATE(YEAR(A662),MONTH(A662),1)</f>
        <v>43922</v>
      </c>
    </row>
    <row r="663" customFormat="false" ht="15" hidden="false" customHeight="false" outlineLevel="0" collapsed="false">
      <c r="A663" s="81" t="n">
        <v>43935</v>
      </c>
      <c r="B663" s="48" t="n">
        <v>0</v>
      </c>
      <c r="C663" s="48" t="n">
        <v>0</v>
      </c>
      <c r="D663" s="48" t="n">
        <v>3</v>
      </c>
      <c r="E663" s="48" t="s">
        <v>112</v>
      </c>
      <c r="F663" s="48" t="s">
        <v>72</v>
      </c>
      <c r="G663" s="48" t="s">
        <v>612</v>
      </c>
      <c r="H663" s="82" t="n">
        <f aca="false">DATE(YEAR(A663),MONTH(A663),1)</f>
        <v>43922</v>
      </c>
    </row>
    <row r="664" customFormat="false" ht="15" hidden="false" customHeight="false" outlineLevel="0" collapsed="false">
      <c r="A664" s="81" t="n">
        <v>43935</v>
      </c>
      <c r="B664" s="48" t="n">
        <v>35</v>
      </c>
      <c r="C664" s="48" t="n">
        <v>4</v>
      </c>
      <c r="D664" s="48" t="n">
        <v>0</v>
      </c>
      <c r="E664" s="48" t="s">
        <v>114</v>
      </c>
      <c r="F664" s="48" t="s">
        <v>71</v>
      </c>
      <c r="G664" s="48" t="s">
        <v>92</v>
      </c>
      <c r="H664" s="82" t="n">
        <f aca="false">DATE(YEAR(A664),MONTH(A664),1)</f>
        <v>43922</v>
      </c>
    </row>
    <row r="665" customFormat="false" ht="15" hidden="false" customHeight="false" outlineLevel="0" collapsed="false">
      <c r="A665" s="81" t="n">
        <v>43935</v>
      </c>
      <c r="B665" s="48" t="n">
        <v>45</v>
      </c>
      <c r="C665" s="48" t="n">
        <v>0</v>
      </c>
      <c r="D665" s="48" t="n">
        <v>0</v>
      </c>
      <c r="E665" s="48" t="s">
        <v>112</v>
      </c>
      <c r="F665" s="48" t="s">
        <v>71</v>
      </c>
      <c r="G665" s="48" t="s">
        <v>97</v>
      </c>
      <c r="H665" s="82" t="n">
        <f aca="false">DATE(YEAR(A665),MONTH(A665),1)</f>
        <v>43922</v>
      </c>
    </row>
    <row r="666" customFormat="false" ht="15" hidden="false" customHeight="false" outlineLevel="0" collapsed="false">
      <c r="A666" s="81" t="n">
        <v>43935</v>
      </c>
      <c r="B666" s="48" t="n">
        <v>13</v>
      </c>
      <c r="C666" s="48" t="n">
        <v>0</v>
      </c>
      <c r="D666" s="48" t="n">
        <v>0</v>
      </c>
      <c r="E666" s="48" t="s">
        <v>112</v>
      </c>
      <c r="F666" s="48" t="s">
        <v>71</v>
      </c>
      <c r="G666" s="48" t="s">
        <v>606</v>
      </c>
      <c r="H666" s="82" t="n">
        <f aca="false">DATE(YEAR(A666),MONTH(A666),1)</f>
        <v>43922</v>
      </c>
    </row>
    <row r="667" customFormat="false" ht="15" hidden="false" customHeight="false" outlineLevel="0" collapsed="false">
      <c r="A667" s="81" t="n">
        <v>43935</v>
      </c>
      <c r="B667" s="48" t="n">
        <v>44</v>
      </c>
      <c r="C667" s="48" t="n">
        <v>0</v>
      </c>
      <c r="D667" s="48" t="n">
        <v>0</v>
      </c>
      <c r="E667" s="48" t="s">
        <v>112</v>
      </c>
      <c r="F667" s="48" t="s">
        <v>71</v>
      </c>
      <c r="G667" s="48" t="s">
        <v>627</v>
      </c>
      <c r="H667" s="82" t="n">
        <f aca="false">DATE(YEAR(A667),MONTH(A667),1)</f>
        <v>43922</v>
      </c>
    </row>
    <row r="668" customFormat="false" ht="15" hidden="false" customHeight="false" outlineLevel="0" collapsed="false">
      <c r="A668" s="81" t="n">
        <v>43935</v>
      </c>
      <c r="B668" s="48" t="n">
        <v>2</v>
      </c>
      <c r="C668" s="48" t="n">
        <v>0</v>
      </c>
      <c r="D668" s="48" t="n">
        <v>0</v>
      </c>
      <c r="E668" s="48" t="s">
        <v>112</v>
      </c>
      <c r="F668" s="48" t="s">
        <v>71</v>
      </c>
      <c r="G668" s="48" t="s">
        <v>620</v>
      </c>
      <c r="H668" s="82" t="n">
        <f aca="false">DATE(YEAR(A668),MONTH(A668),1)</f>
        <v>43922</v>
      </c>
    </row>
    <row r="669" customFormat="false" ht="15" hidden="false" customHeight="false" outlineLevel="0" collapsed="false">
      <c r="A669" s="81" t="n">
        <v>43935</v>
      </c>
      <c r="B669" s="48" t="n">
        <v>22</v>
      </c>
      <c r="C669" s="48" t="n">
        <v>0</v>
      </c>
      <c r="D669" s="48" t="n">
        <v>0</v>
      </c>
      <c r="E669" s="48" t="s">
        <v>112</v>
      </c>
      <c r="F669" s="48" t="s">
        <v>71</v>
      </c>
      <c r="G669" s="48" t="s">
        <v>602</v>
      </c>
      <c r="H669" s="82" t="n">
        <f aca="false">DATE(YEAR(A669),MONTH(A669),1)</f>
        <v>43922</v>
      </c>
    </row>
    <row r="670" customFormat="false" ht="15" hidden="false" customHeight="false" outlineLevel="0" collapsed="false">
      <c r="A670" s="81" t="n">
        <v>43935</v>
      </c>
      <c r="B670" s="48" t="n">
        <v>7</v>
      </c>
      <c r="C670" s="48" t="n">
        <v>0</v>
      </c>
      <c r="D670" s="48" t="n">
        <v>0</v>
      </c>
      <c r="E670" s="48" t="s">
        <v>112</v>
      </c>
      <c r="F670" s="48" t="s">
        <v>71</v>
      </c>
      <c r="G670" s="48" t="s">
        <v>626</v>
      </c>
      <c r="H670" s="82" t="n">
        <f aca="false">DATE(YEAR(A670),MONTH(A670),1)</f>
        <v>43922</v>
      </c>
    </row>
    <row r="671" customFormat="false" ht="15" hidden="false" customHeight="false" outlineLevel="0" collapsed="false">
      <c r="A671" s="81" t="n">
        <v>43935</v>
      </c>
      <c r="B671" s="48" t="n">
        <v>11</v>
      </c>
      <c r="C671" s="48" t="n">
        <v>0</v>
      </c>
      <c r="D671" s="48" t="n">
        <v>0</v>
      </c>
      <c r="E671" s="48" t="s">
        <v>112</v>
      </c>
      <c r="F671" s="48" t="s">
        <v>71</v>
      </c>
      <c r="G671" s="48" t="s">
        <v>648</v>
      </c>
      <c r="H671" s="82" t="n">
        <f aca="false">DATE(YEAR(A671),MONTH(A671),1)</f>
        <v>43922</v>
      </c>
    </row>
    <row r="672" customFormat="false" ht="15" hidden="false" customHeight="false" outlineLevel="0" collapsed="false">
      <c r="A672" s="81" t="n">
        <v>43935</v>
      </c>
      <c r="B672" s="48" t="n">
        <v>8</v>
      </c>
      <c r="C672" s="48" t="n">
        <v>0</v>
      </c>
      <c r="D672" s="48" t="n">
        <v>0</v>
      </c>
      <c r="E672" s="48" t="s">
        <v>112</v>
      </c>
      <c r="F672" s="48" t="s">
        <v>71</v>
      </c>
      <c r="G672" s="48" t="s">
        <v>659</v>
      </c>
      <c r="H672" s="82" t="n">
        <f aca="false">DATE(YEAR(A672),MONTH(A672),1)</f>
        <v>43922</v>
      </c>
    </row>
    <row r="673" customFormat="false" ht="15" hidden="false" customHeight="false" outlineLevel="0" collapsed="false">
      <c r="A673" s="81" t="n">
        <v>43935</v>
      </c>
      <c r="B673" s="48" t="n">
        <v>15</v>
      </c>
      <c r="C673" s="48" t="n">
        <v>0</v>
      </c>
      <c r="D673" s="48" t="n">
        <v>0</v>
      </c>
      <c r="E673" s="48" t="s">
        <v>112</v>
      </c>
      <c r="F673" s="48" t="s">
        <v>71</v>
      </c>
      <c r="G673" s="48" t="s">
        <v>647</v>
      </c>
      <c r="H673" s="82" t="n">
        <f aca="false">DATE(YEAR(A673),MONTH(A673),1)</f>
        <v>43922</v>
      </c>
    </row>
    <row r="674" customFormat="false" ht="15" hidden="false" customHeight="false" outlineLevel="0" collapsed="false">
      <c r="A674" s="81" t="n">
        <v>43935</v>
      </c>
      <c r="B674" s="48" t="n">
        <v>5</v>
      </c>
      <c r="C674" s="48" t="n">
        <v>0</v>
      </c>
      <c r="D674" s="48" t="n">
        <v>0</v>
      </c>
      <c r="E674" s="48" t="s">
        <v>112</v>
      </c>
      <c r="F674" s="48" t="s">
        <v>71</v>
      </c>
      <c r="G674" s="48" t="s">
        <v>618</v>
      </c>
      <c r="H674" s="82" t="n">
        <f aca="false">DATE(YEAR(A674),MONTH(A674),1)</f>
        <v>43922</v>
      </c>
    </row>
    <row r="675" customFormat="false" ht="15" hidden="false" customHeight="false" outlineLevel="0" collapsed="false">
      <c r="A675" s="81" t="n">
        <v>43935</v>
      </c>
      <c r="B675" s="48" t="n">
        <v>36</v>
      </c>
      <c r="C675" s="48" t="n">
        <v>0</v>
      </c>
      <c r="D675" s="48" t="n">
        <v>0</v>
      </c>
      <c r="E675" s="48" t="s">
        <v>112</v>
      </c>
      <c r="F675" s="48" t="s">
        <v>71</v>
      </c>
      <c r="G675" s="48" t="s">
        <v>604</v>
      </c>
      <c r="H675" s="82" t="n">
        <f aca="false">DATE(YEAR(A675),MONTH(A675),1)</f>
        <v>43922</v>
      </c>
    </row>
    <row r="676" customFormat="false" ht="15" hidden="false" customHeight="false" outlineLevel="0" collapsed="false">
      <c r="A676" s="81" t="n">
        <v>43935</v>
      </c>
      <c r="B676" s="48" t="n">
        <v>7</v>
      </c>
      <c r="C676" s="48" t="n">
        <v>0</v>
      </c>
      <c r="D676" s="48" t="n">
        <v>0</v>
      </c>
      <c r="E676" s="48" t="s">
        <v>112</v>
      </c>
      <c r="F676" s="48" t="s">
        <v>71</v>
      </c>
      <c r="G676" s="48" t="s">
        <v>674</v>
      </c>
      <c r="H676" s="82" t="n">
        <f aca="false">DATE(YEAR(A676),MONTH(A676),1)</f>
        <v>43922</v>
      </c>
    </row>
    <row r="677" customFormat="false" ht="15" hidden="false" customHeight="false" outlineLevel="0" collapsed="false">
      <c r="A677" s="81" t="n">
        <v>43935</v>
      </c>
      <c r="B677" s="48" t="n">
        <v>9</v>
      </c>
      <c r="C677" s="48" t="n">
        <v>0</v>
      </c>
      <c r="D677" s="48" t="n">
        <v>0</v>
      </c>
      <c r="E677" s="48" t="s">
        <v>112</v>
      </c>
      <c r="F677" s="48" t="s">
        <v>71</v>
      </c>
      <c r="G677" s="48" t="s">
        <v>669</v>
      </c>
      <c r="H677" s="82" t="n">
        <f aca="false">DATE(YEAR(A677),MONTH(A677),1)</f>
        <v>43922</v>
      </c>
    </row>
    <row r="678" customFormat="false" ht="15" hidden="false" customHeight="false" outlineLevel="0" collapsed="false">
      <c r="A678" s="81" t="n">
        <v>43935</v>
      </c>
      <c r="B678" s="48" t="n">
        <v>22</v>
      </c>
      <c r="C678" s="48" t="n">
        <v>0</v>
      </c>
      <c r="D678" s="48" t="n">
        <v>0</v>
      </c>
      <c r="E678" s="48" t="s">
        <v>112</v>
      </c>
      <c r="F678" s="48" t="s">
        <v>71</v>
      </c>
      <c r="G678" s="48" t="s">
        <v>625</v>
      </c>
      <c r="H678" s="82" t="n">
        <f aca="false">DATE(YEAR(A678),MONTH(A678),1)</f>
        <v>43922</v>
      </c>
    </row>
    <row r="679" customFormat="false" ht="15" hidden="false" customHeight="false" outlineLevel="0" collapsed="false">
      <c r="A679" s="81" t="n">
        <v>43935</v>
      </c>
      <c r="B679" s="48" t="n">
        <v>5</v>
      </c>
      <c r="C679" s="48" t="n">
        <v>0</v>
      </c>
      <c r="D679" s="48" t="n">
        <v>0</v>
      </c>
      <c r="E679" s="48" t="s">
        <v>112</v>
      </c>
      <c r="F679" s="48" t="s">
        <v>71</v>
      </c>
      <c r="G679" s="48" t="s">
        <v>657</v>
      </c>
      <c r="H679" s="82" t="n">
        <f aca="false">DATE(YEAR(A679),MONTH(A679),1)</f>
        <v>43922</v>
      </c>
    </row>
    <row r="680" customFormat="false" ht="15" hidden="false" customHeight="false" outlineLevel="0" collapsed="false">
      <c r="A680" s="81" t="n">
        <v>43935</v>
      </c>
      <c r="B680" s="48" t="n">
        <v>35</v>
      </c>
      <c r="C680" s="48" t="n">
        <v>0</v>
      </c>
      <c r="D680" s="48" t="n">
        <v>0</v>
      </c>
      <c r="E680" s="48" t="s">
        <v>112</v>
      </c>
      <c r="F680" s="48" t="s">
        <v>71</v>
      </c>
      <c r="G680" s="48" t="s">
        <v>638</v>
      </c>
      <c r="H680" s="82" t="n">
        <f aca="false">DATE(YEAR(A680),MONTH(A680),1)</f>
        <v>43922</v>
      </c>
    </row>
    <row r="681" customFormat="false" ht="15" hidden="false" customHeight="false" outlineLevel="0" collapsed="false">
      <c r="A681" s="81" t="n">
        <v>43935</v>
      </c>
      <c r="B681" s="48" t="n">
        <v>52</v>
      </c>
      <c r="C681" s="48" t="n">
        <v>0</v>
      </c>
      <c r="D681" s="48" t="n">
        <v>0</v>
      </c>
      <c r="E681" s="48" t="s">
        <v>112</v>
      </c>
      <c r="F681" s="48" t="s">
        <v>71</v>
      </c>
      <c r="G681" s="48" t="s">
        <v>632</v>
      </c>
      <c r="H681" s="82" t="n">
        <f aca="false">DATE(YEAR(A681),MONTH(A681),1)</f>
        <v>43922</v>
      </c>
    </row>
    <row r="682" customFormat="false" ht="15" hidden="false" customHeight="false" outlineLevel="0" collapsed="false">
      <c r="A682" s="81" t="n">
        <v>43935</v>
      </c>
      <c r="B682" s="48" t="n">
        <v>2</v>
      </c>
      <c r="C682" s="48" t="n">
        <v>0</v>
      </c>
      <c r="D682" s="48" t="n">
        <v>0</v>
      </c>
      <c r="E682" s="48" t="s">
        <v>112</v>
      </c>
      <c r="F682" s="48" t="s">
        <v>71</v>
      </c>
      <c r="G682" s="48" t="s">
        <v>651</v>
      </c>
      <c r="H682" s="82" t="n">
        <f aca="false">DATE(YEAR(A682),MONTH(A682),1)</f>
        <v>43922</v>
      </c>
    </row>
    <row r="683" customFormat="false" ht="15" hidden="false" customHeight="false" outlineLevel="0" collapsed="false">
      <c r="A683" s="81" t="n">
        <v>43935</v>
      </c>
      <c r="B683" s="48" t="n">
        <v>47</v>
      </c>
      <c r="C683" s="48" t="n">
        <v>0</v>
      </c>
      <c r="D683" s="48" t="n">
        <v>0</v>
      </c>
      <c r="E683" s="48" t="s">
        <v>112</v>
      </c>
      <c r="F683" s="48" t="s">
        <v>71</v>
      </c>
      <c r="G683" s="48" t="s">
        <v>628</v>
      </c>
      <c r="H683" s="82" t="n">
        <f aca="false">DATE(YEAR(A683),MONTH(A683),1)</f>
        <v>43922</v>
      </c>
    </row>
    <row r="684" customFormat="false" ht="15" hidden="false" customHeight="false" outlineLevel="0" collapsed="false">
      <c r="A684" s="81" t="n">
        <v>43935</v>
      </c>
      <c r="B684" s="48" t="n">
        <v>2</v>
      </c>
      <c r="C684" s="48" t="n">
        <v>0</v>
      </c>
      <c r="D684" s="48" t="n">
        <v>0</v>
      </c>
      <c r="E684" s="48" t="s">
        <v>112</v>
      </c>
      <c r="F684" s="48" t="s">
        <v>71</v>
      </c>
      <c r="G684" s="48" t="s">
        <v>652</v>
      </c>
      <c r="H684" s="82" t="n">
        <f aca="false">DATE(YEAR(A684),MONTH(A684),1)</f>
        <v>43922</v>
      </c>
    </row>
    <row r="685" customFormat="false" ht="15" hidden="false" customHeight="false" outlineLevel="0" collapsed="false">
      <c r="A685" s="81" t="n">
        <v>43935</v>
      </c>
      <c r="B685" s="48" t="n">
        <v>11</v>
      </c>
      <c r="C685" s="48" t="n">
        <v>0</v>
      </c>
      <c r="D685" s="48" t="n">
        <v>0</v>
      </c>
      <c r="E685" s="48" t="s">
        <v>112</v>
      </c>
      <c r="F685" s="48" t="s">
        <v>71</v>
      </c>
      <c r="G685" s="48" t="s">
        <v>645</v>
      </c>
      <c r="H685" s="82" t="n">
        <f aca="false">DATE(YEAR(A685),MONTH(A685),1)</f>
        <v>43922</v>
      </c>
    </row>
    <row r="686" customFormat="false" ht="15" hidden="false" customHeight="false" outlineLevel="0" collapsed="false">
      <c r="A686" s="81" t="n">
        <v>43935</v>
      </c>
      <c r="B686" s="48" t="n">
        <v>2</v>
      </c>
      <c r="C686" s="48" t="n">
        <v>0</v>
      </c>
      <c r="D686" s="48" t="n">
        <v>0</v>
      </c>
      <c r="E686" s="48" t="s">
        <v>112</v>
      </c>
      <c r="F686" s="48" t="s">
        <v>71</v>
      </c>
      <c r="G686" s="48" t="s">
        <v>678</v>
      </c>
      <c r="H686" s="82" t="n">
        <f aca="false">DATE(YEAR(A686),MONTH(A686),1)</f>
        <v>43922</v>
      </c>
    </row>
    <row r="687" customFormat="false" ht="15" hidden="false" customHeight="false" outlineLevel="0" collapsed="false">
      <c r="A687" s="81" t="n">
        <v>43935</v>
      </c>
      <c r="B687" s="48" t="n">
        <v>8</v>
      </c>
      <c r="C687" s="48" t="n">
        <v>0</v>
      </c>
      <c r="D687" s="48" t="n">
        <v>0</v>
      </c>
      <c r="E687" s="48" t="s">
        <v>112</v>
      </c>
      <c r="F687" s="48" t="s">
        <v>71</v>
      </c>
      <c r="G687" s="48" t="s">
        <v>653</v>
      </c>
      <c r="H687" s="82" t="n">
        <f aca="false">DATE(YEAR(A687),MONTH(A687),1)</f>
        <v>43922</v>
      </c>
    </row>
    <row r="688" customFormat="false" ht="15" hidden="false" customHeight="false" outlineLevel="0" collapsed="false">
      <c r="A688" s="81" t="n">
        <v>43935</v>
      </c>
      <c r="B688" s="48" t="n">
        <v>1</v>
      </c>
      <c r="C688" s="48" t="n">
        <v>0</v>
      </c>
      <c r="D688" s="48" t="n">
        <v>0</v>
      </c>
      <c r="E688" s="48" t="s">
        <v>112</v>
      </c>
      <c r="F688" s="48" t="s">
        <v>71</v>
      </c>
      <c r="G688" s="48" t="s">
        <v>690</v>
      </c>
      <c r="H688" s="82" t="n">
        <f aca="false">DATE(YEAR(A688),MONTH(A688),1)</f>
        <v>43922</v>
      </c>
    </row>
    <row r="689" customFormat="false" ht="15" hidden="false" customHeight="false" outlineLevel="0" collapsed="false">
      <c r="A689" s="81" t="n">
        <v>43935</v>
      </c>
      <c r="B689" s="48" t="n">
        <v>14</v>
      </c>
      <c r="C689" s="48" t="n">
        <v>0</v>
      </c>
      <c r="D689" s="48" t="n">
        <v>0</v>
      </c>
      <c r="E689" s="48" t="s">
        <v>112</v>
      </c>
      <c r="F689" s="48" t="s">
        <v>71</v>
      </c>
      <c r="G689" s="48" t="s">
        <v>631</v>
      </c>
      <c r="H689" s="82" t="n">
        <f aca="false">DATE(YEAR(A689),MONTH(A689),1)</f>
        <v>43922</v>
      </c>
    </row>
    <row r="690" customFormat="false" ht="15" hidden="false" customHeight="false" outlineLevel="0" collapsed="false">
      <c r="A690" s="81" t="n">
        <v>43935</v>
      </c>
      <c r="B690" s="48" t="n">
        <v>10</v>
      </c>
      <c r="C690" s="48" t="n">
        <v>0</v>
      </c>
      <c r="D690" s="48" t="n">
        <v>0</v>
      </c>
      <c r="E690" s="48" t="s">
        <v>116</v>
      </c>
      <c r="F690" s="48" t="s">
        <v>71</v>
      </c>
      <c r="G690" s="48" t="s">
        <v>100</v>
      </c>
      <c r="H690" s="82" t="n">
        <f aca="false">DATE(YEAR(A690),MONTH(A690),1)</f>
        <v>43922</v>
      </c>
    </row>
    <row r="691" customFormat="false" ht="15" hidden="false" customHeight="false" outlineLevel="0" collapsed="false">
      <c r="A691" s="81" t="n">
        <v>43935</v>
      </c>
      <c r="B691" s="48" t="n">
        <v>66</v>
      </c>
      <c r="C691" s="48" t="n">
        <v>3</v>
      </c>
      <c r="D691" s="48" t="n">
        <v>0</v>
      </c>
      <c r="E691" s="48" t="s">
        <v>112</v>
      </c>
      <c r="F691" s="48" t="s">
        <v>70</v>
      </c>
      <c r="G691" s="48" t="s">
        <v>91</v>
      </c>
      <c r="H691" s="82" t="n">
        <f aca="false">DATE(YEAR(A691),MONTH(A691),1)</f>
        <v>43922</v>
      </c>
    </row>
    <row r="692" customFormat="false" ht="15" hidden="false" customHeight="false" outlineLevel="0" collapsed="false">
      <c r="A692" s="81" t="n">
        <v>43935</v>
      </c>
      <c r="B692" s="48" t="n">
        <v>0</v>
      </c>
      <c r="C692" s="48" t="n">
        <v>1</v>
      </c>
      <c r="D692" s="48" t="n">
        <v>3</v>
      </c>
      <c r="E692" s="48" t="s">
        <v>112</v>
      </c>
      <c r="F692" s="48" t="s">
        <v>70</v>
      </c>
      <c r="G692" s="48" t="s">
        <v>99</v>
      </c>
      <c r="H692" s="82" t="n">
        <f aca="false">DATE(YEAR(A692),MONTH(A692),1)</f>
        <v>43922</v>
      </c>
    </row>
    <row r="693" customFormat="false" ht="15" hidden="false" customHeight="false" outlineLevel="0" collapsed="false">
      <c r="A693" s="81" t="n">
        <v>43935</v>
      </c>
      <c r="B693" s="48" t="n">
        <v>0</v>
      </c>
      <c r="C693" s="48" t="n">
        <v>0</v>
      </c>
      <c r="D693" s="48" t="n">
        <v>1</v>
      </c>
      <c r="E693" s="48" t="s">
        <v>118</v>
      </c>
      <c r="F693" s="48" t="s">
        <v>70</v>
      </c>
      <c r="G693" s="48" t="s">
        <v>98</v>
      </c>
      <c r="H693" s="82" t="n">
        <f aca="false">DATE(YEAR(A693),MONTH(A693),1)</f>
        <v>43922</v>
      </c>
    </row>
    <row r="694" customFormat="false" ht="15" hidden="false" customHeight="false" outlineLevel="0" collapsed="false">
      <c r="A694" s="81" t="n">
        <v>43936</v>
      </c>
      <c r="B694" s="48" t="n">
        <v>3</v>
      </c>
      <c r="C694" s="48" t="n">
        <v>0</v>
      </c>
      <c r="D694" s="48" t="n">
        <v>0</v>
      </c>
      <c r="E694" s="48" t="s">
        <v>114</v>
      </c>
      <c r="F694" s="48" t="s">
        <v>76</v>
      </c>
      <c r="G694" s="48" t="s">
        <v>595</v>
      </c>
      <c r="H694" s="82" t="n">
        <f aca="false">DATE(YEAR(A694),MONTH(A694),1)</f>
        <v>43922</v>
      </c>
    </row>
    <row r="695" customFormat="false" ht="15" hidden="false" customHeight="false" outlineLevel="0" collapsed="false">
      <c r="A695" s="81" t="n">
        <v>43936</v>
      </c>
      <c r="B695" s="48" t="n">
        <v>33</v>
      </c>
      <c r="C695" s="48" t="n">
        <v>1</v>
      </c>
      <c r="D695" s="48" t="n">
        <v>13</v>
      </c>
      <c r="E695" s="48" t="s">
        <v>114</v>
      </c>
      <c r="F695" s="48" t="s">
        <v>73</v>
      </c>
      <c r="G695" s="48" t="s">
        <v>93</v>
      </c>
      <c r="H695" s="82" t="n">
        <f aca="false">DATE(YEAR(A695),MONTH(A695),1)</f>
        <v>43922</v>
      </c>
    </row>
    <row r="696" customFormat="false" ht="15" hidden="false" customHeight="false" outlineLevel="0" collapsed="false">
      <c r="A696" s="81" t="n">
        <v>43936</v>
      </c>
      <c r="B696" s="48" t="n">
        <v>0</v>
      </c>
      <c r="C696" s="48" t="n">
        <v>0</v>
      </c>
      <c r="D696" s="48" t="n">
        <v>1</v>
      </c>
      <c r="E696" s="48" t="s">
        <v>112</v>
      </c>
      <c r="F696" s="48" t="s">
        <v>77</v>
      </c>
      <c r="G696" s="48" t="s">
        <v>599</v>
      </c>
      <c r="H696" s="82" t="n">
        <f aca="false">DATE(YEAR(A696),MONTH(A696),1)</f>
        <v>43922</v>
      </c>
    </row>
    <row r="697" customFormat="false" ht="15" hidden="false" customHeight="false" outlineLevel="0" collapsed="false">
      <c r="A697" s="81" t="n">
        <v>43936</v>
      </c>
      <c r="B697" s="48" t="n">
        <v>0</v>
      </c>
      <c r="C697" s="48" t="n">
        <v>0</v>
      </c>
      <c r="D697" s="48" t="n">
        <v>19</v>
      </c>
      <c r="E697" s="48" t="s">
        <v>112</v>
      </c>
      <c r="F697" s="48" t="s">
        <v>75</v>
      </c>
      <c r="G697" s="48" t="s">
        <v>624</v>
      </c>
      <c r="H697" s="82" t="n">
        <f aca="false">DATE(YEAR(A697),MONTH(A697),1)</f>
        <v>43922</v>
      </c>
    </row>
    <row r="698" customFormat="false" ht="15" hidden="false" customHeight="false" outlineLevel="0" collapsed="false">
      <c r="A698" s="81" t="n">
        <v>43936</v>
      </c>
      <c r="B698" s="48" t="n">
        <v>3</v>
      </c>
      <c r="C698" s="48" t="n">
        <v>0</v>
      </c>
      <c r="D698" s="48" t="n">
        <v>0</v>
      </c>
      <c r="E698" s="48" t="s">
        <v>112</v>
      </c>
      <c r="F698" s="48" t="s">
        <v>75</v>
      </c>
      <c r="G698" s="48" t="s">
        <v>654</v>
      </c>
      <c r="H698" s="82" t="n">
        <f aca="false">DATE(YEAR(A698),MONTH(A698),1)</f>
        <v>43922</v>
      </c>
    </row>
    <row r="699" customFormat="false" ht="15" hidden="false" customHeight="false" outlineLevel="0" collapsed="false">
      <c r="A699" s="81" t="n">
        <v>43936</v>
      </c>
      <c r="B699" s="48" t="n">
        <v>2</v>
      </c>
      <c r="C699" s="48" t="n">
        <v>0</v>
      </c>
      <c r="D699" s="48" t="n">
        <v>0</v>
      </c>
      <c r="E699" s="48" t="s">
        <v>112</v>
      </c>
      <c r="F699" s="48" t="s">
        <v>75</v>
      </c>
      <c r="G699" s="48" t="s">
        <v>617</v>
      </c>
      <c r="H699" s="82" t="n">
        <f aca="false">DATE(YEAR(A699),MONTH(A699),1)</f>
        <v>43922</v>
      </c>
    </row>
    <row r="700" customFormat="false" ht="15" hidden="false" customHeight="false" outlineLevel="0" collapsed="false">
      <c r="A700" s="81" t="n">
        <v>43936</v>
      </c>
      <c r="B700" s="48" t="n">
        <v>6</v>
      </c>
      <c r="C700" s="48" t="n">
        <v>0</v>
      </c>
      <c r="D700" s="48" t="n">
        <v>2</v>
      </c>
      <c r="E700" s="48" t="s">
        <v>112</v>
      </c>
      <c r="F700" s="48" t="s">
        <v>75</v>
      </c>
      <c r="G700" s="48" t="s">
        <v>629</v>
      </c>
      <c r="H700" s="82" t="n">
        <f aca="false">DATE(YEAR(A700),MONTH(A700),1)</f>
        <v>43922</v>
      </c>
    </row>
    <row r="701" customFormat="false" ht="15" hidden="false" customHeight="false" outlineLevel="0" collapsed="false">
      <c r="A701" s="81" t="n">
        <v>43936</v>
      </c>
      <c r="B701" s="48" t="n">
        <v>0</v>
      </c>
      <c r="C701" s="48" t="n">
        <v>0</v>
      </c>
      <c r="D701" s="48" t="n">
        <v>1</v>
      </c>
      <c r="E701" s="48" t="s">
        <v>112</v>
      </c>
      <c r="F701" s="48" t="s">
        <v>75</v>
      </c>
      <c r="G701" s="48" t="s">
        <v>617</v>
      </c>
      <c r="H701" s="82" t="n">
        <f aca="false">DATE(YEAR(A701),MONTH(A701),1)</f>
        <v>43922</v>
      </c>
    </row>
    <row r="702" customFormat="false" ht="15" hidden="false" customHeight="false" outlineLevel="0" collapsed="false">
      <c r="A702" s="81" t="n">
        <v>43936</v>
      </c>
      <c r="B702" s="48" t="n">
        <v>9</v>
      </c>
      <c r="C702" s="48" t="n">
        <v>0</v>
      </c>
      <c r="D702" s="48" t="n">
        <v>0</v>
      </c>
      <c r="E702" s="48" t="s">
        <v>112</v>
      </c>
      <c r="F702" s="48" t="s">
        <v>74</v>
      </c>
      <c r="G702" s="48" t="s">
        <v>95</v>
      </c>
      <c r="H702" s="82" t="n">
        <f aca="false">DATE(YEAR(A702),MONTH(A702),1)</f>
        <v>43922</v>
      </c>
    </row>
    <row r="703" customFormat="false" ht="15" hidden="false" customHeight="false" outlineLevel="0" collapsed="false">
      <c r="A703" s="81" t="n">
        <v>43936</v>
      </c>
      <c r="B703" s="48" t="n">
        <v>38</v>
      </c>
      <c r="C703" s="48" t="n">
        <v>4</v>
      </c>
      <c r="D703" s="48" t="n">
        <v>0</v>
      </c>
      <c r="E703" s="48" t="s">
        <v>112</v>
      </c>
      <c r="F703" s="48" t="s">
        <v>72</v>
      </c>
      <c r="G703" s="48" t="s">
        <v>94</v>
      </c>
      <c r="H703" s="82" t="n">
        <f aca="false">DATE(YEAR(A703),MONTH(A703),1)</f>
        <v>43922</v>
      </c>
    </row>
    <row r="704" customFormat="false" ht="15" hidden="false" customHeight="false" outlineLevel="0" collapsed="false">
      <c r="A704" s="81" t="n">
        <v>43936</v>
      </c>
      <c r="B704" s="48" t="n">
        <v>0</v>
      </c>
      <c r="C704" s="48" t="n">
        <v>0</v>
      </c>
      <c r="D704" s="48" t="n">
        <v>3</v>
      </c>
      <c r="E704" s="48" t="s">
        <v>118</v>
      </c>
      <c r="F704" s="48" t="s">
        <v>72</v>
      </c>
      <c r="G704" s="48" t="s">
        <v>94</v>
      </c>
      <c r="H704" s="82" t="n">
        <f aca="false">DATE(YEAR(A704),MONTH(A704),1)</f>
        <v>43922</v>
      </c>
    </row>
    <row r="705" customFormat="false" ht="15" hidden="false" customHeight="false" outlineLevel="0" collapsed="false">
      <c r="A705" s="81" t="n">
        <v>43936</v>
      </c>
      <c r="B705" s="48" t="n">
        <v>1</v>
      </c>
      <c r="C705" s="48" t="n">
        <v>0</v>
      </c>
      <c r="D705" s="48" t="n">
        <v>0</v>
      </c>
      <c r="E705" s="48" t="s">
        <v>112</v>
      </c>
      <c r="F705" s="48" t="s">
        <v>72</v>
      </c>
      <c r="G705" s="48" t="s">
        <v>603</v>
      </c>
      <c r="H705" s="82" t="n">
        <f aca="false">DATE(YEAR(A705),MONTH(A705),1)</f>
        <v>43922</v>
      </c>
    </row>
    <row r="706" customFormat="false" ht="15" hidden="false" customHeight="false" outlineLevel="0" collapsed="false">
      <c r="A706" s="81" t="n">
        <v>43936</v>
      </c>
      <c r="B706" s="48" t="n">
        <v>7</v>
      </c>
      <c r="C706" s="48" t="n">
        <v>0</v>
      </c>
      <c r="D706" s="48" t="n">
        <v>0</v>
      </c>
      <c r="E706" s="48" t="s">
        <v>112</v>
      </c>
      <c r="F706" s="48" t="s">
        <v>72</v>
      </c>
      <c r="G706" s="48" t="s">
        <v>607</v>
      </c>
      <c r="H706" s="82" t="n">
        <f aca="false">DATE(YEAR(A706),MONTH(A706),1)</f>
        <v>43922</v>
      </c>
    </row>
    <row r="707" customFormat="false" ht="15" hidden="false" customHeight="false" outlineLevel="0" collapsed="false">
      <c r="A707" s="81" t="n">
        <v>43936</v>
      </c>
      <c r="B707" s="48" t="n">
        <v>1</v>
      </c>
      <c r="C707" s="48" t="n">
        <v>0</v>
      </c>
      <c r="D707" s="48" t="n">
        <v>1</v>
      </c>
      <c r="E707" s="48" t="s">
        <v>112</v>
      </c>
      <c r="F707" s="48" t="s">
        <v>72</v>
      </c>
      <c r="G707" s="48" t="s">
        <v>614</v>
      </c>
      <c r="H707" s="82" t="n">
        <f aca="false">DATE(YEAR(A707),MONTH(A707),1)</f>
        <v>43922</v>
      </c>
    </row>
    <row r="708" customFormat="false" ht="15" hidden="false" customHeight="false" outlineLevel="0" collapsed="false">
      <c r="A708" s="81" t="n">
        <v>43936</v>
      </c>
      <c r="B708" s="48" t="n">
        <v>2</v>
      </c>
      <c r="C708" s="48" t="n">
        <v>0</v>
      </c>
      <c r="D708" s="48" t="n">
        <v>0</v>
      </c>
      <c r="E708" s="48" t="s">
        <v>112</v>
      </c>
      <c r="F708" s="48" t="s">
        <v>72</v>
      </c>
      <c r="G708" s="48" t="s">
        <v>666</v>
      </c>
      <c r="H708" s="82" t="n">
        <f aca="false">DATE(YEAR(A708),MONTH(A708),1)</f>
        <v>43922</v>
      </c>
    </row>
    <row r="709" customFormat="false" ht="15" hidden="false" customHeight="false" outlineLevel="0" collapsed="false">
      <c r="A709" s="81" t="n">
        <v>43936</v>
      </c>
      <c r="B709" s="48" t="n">
        <v>1</v>
      </c>
      <c r="C709" s="48" t="n">
        <v>0</v>
      </c>
      <c r="D709" s="48" t="n">
        <v>3</v>
      </c>
      <c r="E709" s="48" t="s">
        <v>112</v>
      </c>
      <c r="F709" s="48" t="s">
        <v>72</v>
      </c>
      <c r="G709" s="48" t="s">
        <v>96</v>
      </c>
      <c r="H709" s="82" t="n">
        <f aca="false">DATE(YEAR(A709),MONTH(A709),1)</f>
        <v>43922</v>
      </c>
    </row>
    <row r="710" customFormat="false" ht="15" hidden="false" customHeight="false" outlineLevel="0" collapsed="false">
      <c r="A710" s="81" t="n">
        <v>43936</v>
      </c>
      <c r="B710" s="48" t="n">
        <v>0</v>
      </c>
      <c r="C710" s="48" t="n">
        <v>0</v>
      </c>
      <c r="D710" s="48" t="n">
        <v>1</v>
      </c>
      <c r="E710" s="48" t="s">
        <v>112</v>
      </c>
      <c r="F710" s="48" t="s">
        <v>72</v>
      </c>
      <c r="G710" s="48" t="s">
        <v>102</v>
      </c>
      <c r="H710" s="82" t="n">
        <f aca="false">DATE(YEAR(A710),MONTH(A710),1)</f>
        <v>43922</v>
      </c>
    </row>
    <row r="711" customFormat="false" ht="15" hidden="false" customHeight="false" outlineLevel="0" collapsed="false">
      <c r="A711" s="81" t="n">
        <v>43936</v>
      </c>
      <c r="B711" s="48" t="n">
        <v>0</v>
      </c>
      <c r="C711" s="48" t="n">
        <v>0</v>
      </c>
      <c r="D711" s="48" t="n">
        <v>2</v>
      </c>
      <c r="E711" s="48" t="s">
        <v>112</v>
      </c>
      <c r="F711" s="48" t="s">
        <v>72</v>
      </c>
      <c r="G711" s="48" t="s">
        <v>610</v>
      </c>
      <c r="H711" s="82" t="n">
        <f aca="false">DATE(YEAR(A711),MONTH(A711),1)</f>
        <v>43922</v>
      </c>
    </row>
    <row r="712" customFormat="false" ht="15" hidden="false" customHeight="false" outlineLevel="0" collapsed="false">
      <c r="A712" s="81" t="n">
        <v>43936</v>
      </c>
      <c r="B712" s="48" t="n">
        <v>0</v>
      </c>
      <c r="C712" s="48" t="n">
        <v>0</v>
      </c>
      <c r="D712" s="48" t="n">
        <v>2</v>
      </c>
      <c r="E712" s="48" t="s">
        <v>112</v>
      </c>
      <c r="F712" s="48" t="s">
        <v>72</v>
      </c>
      <c r="G712" s="48" t="s">
        <v>598</v>
      </c>
      <c r="H712" s="82" t="n">
        <f aca="false">DATE(YEAR(A712),MONTH(A712),1)</f>
        <v>43922</v>
      </c>
    </row>
    <row r="713" customFormat="false" ht="15" hidden="false" customHeight="false" outlineLevel="0" collapsed="false">
      <c r="A713" s="81" t="n">
        <v>43936</v>
      </c>
      <c r="B713" s="48" t="n">
        <v>0</v>
      </c>
      <c r="C713" s="48" t="n">
        <v>0</v>
      </c>
      <c r="D713" s="48" t="n">
        <v>1</v>
      </c>
      <c r="E713" s="48" t="s">
        <v>112</v>
      </c>
      <c r="F713" s="48" t="s">
        <v>72</v>
      </c>
      <c r="G713" s="48" t="s">
        <v>593</v>
      </c>
      <c r="H713" s="82" t="n">
        <f aca="false">DATE(YEAR(A713),MONTH(A713),1)</f>
        <v>43922</v>
      </c>
    </row>
    <row r="714" customFormat="false" ht="15" hidden="false" customHeight="false" outlineLevel="0" collapsed="false">
      <c r="A714" s="81" t="n">
        <v>43936</v>
      </c>
      <c r="B714" s="48" t="n">
        <v>20</v>
      </c>
      <c r="C714" s="48" t="n">
        <v>0</v>
      </c>
      <c r="D714" s="48" t="n">
        <v>0</v>
      </c>
      <c r="E714" s="48" t="s">
        <v>112</v>
      </c>
      <c r="F714" s="48" t="s">
        <v>71</v>
      </c>
      <c r="G714" s="48" t="s">
        <v>602</v>
      </c>
      <c r="H714" s="82" t="n">
        <f aca="false">DATE(YEAR(A714),MONTH(A714),1)</f>
        <v>43922</v>
      </c>
    </row>
    <row r="715" customFormat="false" ht="15" hidden="false" customHeight="false" outlineLevel="0" collapsed="false">
      <c r="A715" s="81" t="n">
        <v>43936</v>
      </c>
      <c r="B715" s="48" t="n">
        <v>10</v>
      </c>
      <c r="C715" s="48" t="n">
        <v>0</v>
      </c>
      <c r="D715" s="48" t="n">
        <v>0</v>
      </c>
      <c r="E715" s="48" t="s">
        <v>112</v>
      </c>
      <c r="F715" s="48" t="s">
        <v>71</v>
      </c>
      <c r="G715" s="48" t="s">
        <v>620</v>
      </c>
      <c r="H715" s="82" t="n">
        <f aca="false">DATE(YEAR(A715),MONTH(A715),1)</f>
        <v>43922</v>
      </c>
    </row>
    <row r="716" customFormat="false" ht="15" hidden="false" customHeight="false" outlineLevel="0" collapsed="false">
      <c r="A716" s="81" t="n">
        <v>43936</v>
      </c>
      <c r="B716" s="48" t="n">
        <v>0</v>
      </c>
      <c r="C716" s="48" t="n">
        <v>0</v>
      </c>
      <c r="D716" s="48" t="n">
        <v>28</v>
      </c>
      <c r="E716" s="48" t="s">
        <v>112</v>
      </c>
      <c r="F716" s="48" t="s">
        <v>71</v>
      </c>
      <c r="G716" s="48" t="s">
        <v>92</v>
      </c>
      <c r="H716" s="82" t="n">
        <f aca="false">DATE(YEAR(A716),MONTH(A716),1)</f>
        <v>43922</v>
      </c>
    </row>
    <row r="717" customFormat="false" ht="15" hidden="false" customHeight="false" outlineLevel="0" collapsed="false">
      <c r="A717" s="81" t="n">
        <v>43936</v>
      </c>
      <c r="B717" s="48" t="n">
        <v>0</v>
      </c>
      <c r="C717" s="48" t="n">
        <v>0</v>
      </c>
      <c r="D717" s="48" t="n">
        <v>1</v>
      </c>
      <c r="E717" s="48" t="s">
        <v>112</v>
      </c>
      <c r="F717" s="48" t="s">
        <v>71</v>
      </c>
      <c r="G717" s="48" t="s">
        <v>680</v>
      </c>
      <c r="H717" s="82" t="n">
        <f aca="false">DATE(YEAR(A717),MONTH(A717),1)</f>
        <v>43922</v>
      </c>
    </row>
    <row r="718" customFormat="false" ht="15" hidden="false" customHeight="false" outlineLevel="0" collapsed="false">
      <c r="A718" s="81" t="n">
        <v>43936</v>
      </c>
      <c r="B718" s="48" t="n">
        <v>24</v>
      </c>
      <c r="C718" s="48" t="n">
        <v>0</v>
      </c>
      <c r="D718" s="48" t="n">
        <v>0</v>
      </c>
      <c r="E718" s="48" t="s">
        <v>112</v>
      </c>
      <c r="F718" s="48" t="s">
        <v>71</v>
      </c>
      <c r="G718" s="48" t="s">
        <v>92</v>
      </c>
      <c r="H718" s="82" t="n">
        <f aca="false">DATE(YEAR(A718),MONTH(A718),1)</f>
        <v>43922</v>
      </c>
    </row>
    <row r="719" customFormat="false" ht="15" hidden="false" customHeight="false" outlineLevel="0" collapsed="false">
      <c r="A719" s="81" t="n">
        <v>43936</v>
      </c>
      <c r="B719" s="48" t="n">
        <v>3</v>
      </c>
      <c r="C719" s="48" t="n">
        <v>0</v>
      </c>
      <c r="D719" s="48" t="n">
        <v>0</v>
      </c>
      <c r="E719" s="48" t="s">
        <v>112</v>
      </c>
      <c r="F719" s="48" t="s">
        <v>71</v>
      </c>
      <c r="G719" s="48" t="s">
        <v>648</v>
      </c>
      <c r="H719" s="82" t="n">
        <f aca="false">DATE(YEAR(A719),MONTH(A719),1)</f>
        <v>43922</v>
      </c>
    </row>
    <row r="720" customFormat="false" ht="15" hidden="false" customHeight="false" outlineLevel="0" collapsed="false">
      <c r="A720" s="81" t="n">
        <v>43936</v>
      </c>
      <c r="B720" s="48" t="n">
        <v>1</v>
      </c>
      <c r="C720" s="48" t="n">
        <v>0</v>
      </c>
      <c r="D720" s="48" t="n">
        <v>0</v>
      </c>
      <c r="E720" s="48" t="s">
        <v>112</v>
      </c>
      <c r="F720" s="48" t="s">
        <v>71</v>
      </c>
      <c r="G720" s="48" t="s">
        <v>684</v>
      </c>
      <c r="H720" s="82" t="n">
        <f aca="false">DATE(YEAR(A720),MONTH(A720),1)</f>
        <v>43922</v>
      </c>
    </row>
    <row r="721" customFormat="false" ht="15" hidden="false" customHeight="false" outlineLevel="0" collapsed="false">
      <c r="A721" s="81" t="n">
        <v>43936</v>
      </c>
      <c r="B721" s="48" t="n">
        <v>7</v>
      </c>
      <c r="C721" s="48" t="n">
        <v>0</v>
      </c>
      <c r="D721" s="48" t="n">
        <v>0</v>
      </c>
      <c r="E721" s="48" t="s">
        <v>112</v>
      </c>
      <c r="F721" s="48" t="s">
        <v>71</v>
      </c>
      <c r="G721" s="48" t="s">
        <v>647</v>
      </c>
      <c r="H721" s="82" t="n">
        <f aca="false">DATE(YEAR(A721),MONTH(A721),1)</f>
        <v>43922</v>
      </c>
    </row>
    <row r="722" customFormat="false" ht="15" hidden="false" customHeight="false" outlineLevel="0" collapsed="false">
      <c r="A722" s="81" t="n">
        <v>43936</v>
      </c>
      <c r="B722" s="48" t="n">
        <v>1</v>
      </c>
      <c r="C722" s="48" t="n">
        <v>0</v>
      </c>
      <c r="D722" s="48" t="n">
        <v>0</v>
      </c>
      <c r="E722" s="48" t="s">
        <v>112</v>
      </c>
      <c r="F722" s="48" t="s">
        <v>70</v>
      </c>
      <c r="G722" s="48" t="s">
        <v>104</v>
      </c>
      <c r="H722" s="82" t="n">
        <f aca="false">DATE(YEAR(A722),MONTH(A722),1)</f>
        <v>43922</v>
      </c>
    </row>
    <row r="723" customFormat="false" ht="15" hidden="false" customHeight="false" outlineLevel="0" collapsed="false">
      <c r="A723" s="81" t="n">
        <v>43936</v>
      </c>
      <c r="B723" s="48" t="n">
        <v>7</v>
      </c>
      <c r="C723" s="48" t="n">
        <v>0</v>
      </c>
      <c r="D723" s="48" t="n">
        <v>0</v>
      </c>
      <c r="E723" s="48" t="s">
        <v>112</v>
      </c>
      <c r="F723" s="48" t="s">
        <v>70</v>
      </c>
      <c r="G723" s="48" t="s">
        <v>641</v>
      </c>
      <c r="H723" s="82" t="n">
        <f aca="false">DATE(YEAR(A723),MONTH(A723),1)</f>
        <v>43922</v>
      </c>
    </row>
    <row r="724" customFormat="false" ht="15" hidden="false" customHeight="false" outlineLevel="0" collapsed="false">
      <c r="A724" s="81" t="n">
        <v>43936</v>
      </c>
      <c r="B724" s="48" t="n">
        <v>28</v>
      </c>
      <c r="C724" s="48" t="n">
        <v>0</v>
      </c>
      <c r="D724" s="48" t="n">
        <v>0</v>
      </c>
      <c r="E724" s="48" t="s">
        <v>112</v>
      </c>
      <c r="F724" s="48" t="s">
        <v>70</v>
      </c>
      <c r="G724" s="48" t="s">
        <v>605</v>
      </c>
      <c r="H724" s="82" t="n">
        <f aca="false">DATE(YEAR(A724),MONTH(A724),1)</f>
        <v>43922</v>
      </c>
    </row>
    <row r="725" customFormat="false" ht="15" hidden="false" customHeight="false" outlineLevel="0" collapsed="false">
      <c r="A725" s="81" t="n">
        <v>43936</v>
      </c>
      <c r="B725" s="48" t="n">
        <v>20</v>
      </c>
      <c r="C725" s="48" t="n">
        <v>0</v>
      </c>
      <c r="D725" s="48" t="n">
        <v>104</v>
      </c>
      <c r="E725" s="48" t="s">
        <v>116</v>
      </c>
      <c r="F725" s="48" t="s">
        <v>70</v>
      </c>
      <c r="G725" s="48" t="s">
        <v>99</v>
      </c>
      <c r="H725" s="82" t="n">
        <f aca="false">DATE(YEAR(A725),MONTH(A725),1)</f>
        <v>43922</v>
      </c>
    </row>
    <row r="726" customFormat="false" ht="15" hidden="false" customHeight="false" outlineLevel="0" collapsed="false">
      <c r="A726" s="81" t="n">
        <v>43936</v>
      </c>
      <c r="B726" s="48" t="n">
        <v>94</v>
      </c>
      <c r="C726" s="48" t="n">
        <v>5</v>
      </c>
      <c r="D726" s="48" t="n">
        <v>27</v>
      </c>
      <c r="E726" s="48" t="s">
        <v>112</v>
      </c>
      <c r="F726" s="48" t="s">
        <v>70</v>
      </c>
      <c r="G726" s="48" t="s">
        <v>91</v>
      </c>
      <c r="H726" s="82" t="n">
        <f aca="false">DATE(YEAR(A726),MONTH(A726),1)</f>
        <v>43922</v>
      </c>
    </row>
    <row r="727" customFormat="false" ht="15" hidden="false" customHeight="false" outlineLevel="0" collapsed="false">
      <c r="A727" s="81" t="n">
        <v>43936</v>
      </c>
      <c r="B727" s="48" t="n">
        <v>0</v>
      </c>
      <c r="C727" s="48" t="n">
        <v>1</v>
      </c>
      <c r="D727" s="48" t="n">
        <v>0</v>
      </c>
      <c r="E727" s="48" t="s">
        <v>118</v>
      </c>
      <c r="F727" s="48" t="s">
        <v>70</v>
      </c>
      <c r="G727" s="48" t="s">
        <v>98</v>
      </c>
      <c r="H727" s="82" t="n">
        <f aca="false">DATE(YEAR(A727),MONTH(A727),1)</f>
        <v>43922</v>
      </c>
    </row>
    <row r="728" customFormat="false" ht="15" hidden="false" customHeight="false" outlineLevel="0" collapsed="false">
      <c r="A728" s="81" t="n">
        <v>43937</v>
      </c>
      <c r="B728" s="48" t="n">
        <v>24</v>
      </c>
      <c r="C728" s="48" t="n">
        <v>2</v>
      </c>
      <c r="D728" s="48" t="n">
        <v>59</v>
      </c>
      <c r="E728" s="48" t="s">
        <v>112</v>
      </c>
      <c r="F728" s="48" t="s">
        <v>73</v>
      </c>
      <c r="G728" s="48" t="s">
        <v>93</v>
      </c>
      <c r="H728" s="82" t="n">
        <f aca="false">DATE(YEAR(A728),MONTH(A728),1)</f>
        <v>43922</v>
      </c>
    </row>
    <row r="729" customFormat="false" ht="15" hidden="false" customHeight="false" outlineLevel="0" collapsed="false">
      <c r="A729" s="81" t="n">
        <v>43937</v>
      </c>
      <c r="B729" s="48" t="n">
        <v>2</v>
      </c>
      <c r="C729" s="48" t="n">
        <v>0</v>
      </c>
      <c r="D729" s="48" t="n">
        <v>0</v>
      </c>
      <c r="E729" s="48" t="s">
        <v>112</v>
      </c>
      <c r="F729" s="48" t="s">
        <v>77</v>
      </c>
      <c r="G729" s="48" t="s">
        <v>615</v>
      </c>
      <c r="H729" s="82" t="n">
        <f aca="false">DATE(YEAR(A729),MONTH(A729),1)</f>
        <v>43922</v>
      </c>
    </row>
    <row r="730" customFormat="false" ht="15" hidden="false" customHeight="false" outlineLevel="0" collapsed="false">
      <c r="A730" s="81" t="n">
        <v>43937</v>
      </c>
      <c r="B730" s="48" t="n">
        <v>0</v>
      </c>
      <c r="C730" s="48" t="n">
        <v>0</v>
      </c>
      <c r="D730" s="48" t="n">
        <v>1</v>
      </c>
      <c r="E730" s="48" t="s">
        <v>112</v>
      </c>
      <c r="F730" s="48" t="s">
        <v>77</v>
      </c>
      <c r="G730" s="48" t="s">
        <v>600</v>
      </c>
      <c r="H730" s="82" t="n">
        <f aca="false">DATE(YEAR(A730),MONTH(A730),1)</f>
        <v>43922</v>
      </c>
    </row>
    <row r="731" customFormat="false" ht="15" hidden="false" customHeight="false" outlineLevel="0" collapsed="false">
      <c r="A731" s="81" t="n">
        <v>43937</v>
      </c>
      <c r="B731" s="48" t="n">
        <v>8</v>
      </c>
      <c r="C731" s="48" t="n">
        <v>0</v>
      </c>
      <c r="D731" s="48" t="n">
        <v>6</v>
      </c>
      <c r="E731" s="48" t="s">
        <v>114</v>
      </c>
      <c r="F731" s="48" t="s">
        <v>75</v>
      </c>
      <c r="G731" s="48" t="s">
        <v>103</v>
      </c>
      <c r="H731" s="82" t="n">
        <f aca="false">DATE(YEAR(A731),MONTH(A731),1)</f>
        <v>43922</v>
      </c>
    </row>
    <row r="732" customFormat="false" ht="15" hidden="false" customHeight="false" outlineLevel="0" collapsed="false">
      <c r="A732" s="81" t="n">
        <v>43937</v>
      </c>
      <c r="B732" s="48" t="n">
        <v>5</v>
      </c>
      <c r="C732" s="48" t="n">
        <v>0</v>
      </c>
      <c r="D732" s="48" t="n">
        <v>0</v>
      </c>
      <c r="E732" s="48" t="s">
        <v>112</v>
      </c>
      <c r="F732" s="48" t="s">
        <v>74</v>
      </c>
      <c r="G732" s="48" t="s">
        <v>95</v>
      </c>
      <c r="H732" s="82" t="n">
        <f aca="false">DATE(YEAR(A732),MONTH(A732),1)</f>
        <v>43922</v>
      </c>
    </row>
    <row r="733" customFormat="false" ht="15" hidden="false" customHeight="false" outlineLevel="0" collapsed="false">
      <c r="A733" s="81" t="n">
        <v>43937</v>
      </c>
      <c r="B733" s="48" t="n">
        <v>22</v>
      </c>
      <c r="C733" s="48" t="n">
        <v>2</v>
      </c>
      <c r="D733" s="48" t="n">
        <v>1</v>
      </c>
      <c r="E733" s="48" t="s">
        <v>112</v>
      </c>
      <c r="F733" s="48" t="s">
        <v>72</v>
      </c>
      <c r="G733" s="48" t="s">
        <v>94</v>
      </c>
      <c r="H733" s="82" t="n">
        <f aca="false">DATE(YEAR(A733),MONTH(A733),1)</f>
        <v>43922</v>
      </c>
    </row>
    <row r="734" customFormat="false" ht="15" hidden="false" customHeight="false" outlineLevel="0" collapsed="false">
      <c r="A734" s="81" t="n">
        <v>43937</v>
      </c>
      <c r="B734" s="48" t="n">
        <v>1</v>
      </c>
      <c r="C734" s="48" t="n">
        <v>1</v>
      </c>
      <c r="D734" s="48" t="n">
        <v>4</v>
      </c>
      <c r="E734" s="48" t="s">
        <v>112</v>
      </c>
      <c r="F734" s="48" t="s">
        <v>72</v>
      </c>
      <c r="G734" s="48" t="s">
        <v>594</v>
      </c>
      <c r="H734" s="82" t="n">
        <f aca="false">DATE(YEAR(A734),MONTH(A734),1)</f>
        <v>43922</v>
      </c>
    </row>
    <row r="735" customFormat="false" ht="15" hidden="false" customHeight="false" outlineLevel="0" collapsed="false">
      <c r="A735" s="81" t="n">
        <v>43937</v>
      </c>
      <c r="B735" s="48" t="n">
        <v>7</v>
      </c>
      <c r="C735" s="48" t="n">
        <v>0</v>
      </c>
      <c r="D735" s="48" t="n">
        <v>0</v>
      </c>
      <c r="E735" s="48" t="s">
        <v>112</v>
      </c>
      <c r="F735" s="48" t="s">
        <v>72</v>
      </c>
      <c r="G735" s="48" t="s">
        <v>603</v>
      </c>
      <c r="H735" s="82" t="n">
        <f aca="false">DATE(YEAR(A735),MONTH(A735),1)</f>
        <v>43922</v>
      </c>
    </row>
    <row r="736" customFormat="false" ht="15" hidden="false" customHeight="false" outlineLevel="0" collapsed="false">
      <c r="A736" s="81" t="n">
        <v>43937</v>
      </c>
      <c r="B736" s="48" t="n">
        <v>2</v>
      </c>
      <c r="C736" s="48" t="n">
        <v>0</v>
      </c>
      <c r="D736" s="48" t="n">
        <v>0</v>
      </c>
      <c r="E736" s="48" t="s">
        <v>112</v>
      </c>
      <c r="F736" s="48" t="s">
        <v>72</v>
      </c>
      <c r="G736" s="48" t="s">
        <v>591</v>
      </c>
      <c r="H736" s="82" t="n">
        <f aca="false">DATE(YEAR(A736),MONTH(A736),1)</f>
        <v>43922</v>
      </c>
    </row>
    <row r="737" customFormat="false" ht="15" hidden="false" customHeight="false" outlineLevel="0" collapsed="false">
      <c r="A737" s="81" t="n">
        <v>43937</v>
      </c>
      <c r="B737" s="48" t="n">
        <v>3</v>
      </c>
      <c r="C737" s="48" t="n">
        <v>0</v>
      </c>
      <c r="D737" s="48" t="n">
        <v>0</v>
      </c>
      <c r="E737" s="48" t="s">
        <v>112</v>
      </c>
      <c r="F737" s="48" t="s">
        <v>72</v>
      </c>
      <c r="G737" s="48" t="s">
        <v>598</v>
      </c>
      <c r="H737" s="82" t="n">
        <f aca="false">DATE(YEAR(A737),MONTH(A737),1)</f>
        <v>43922</v>
      </c>
    </row>
    <row r="738" customFormat="false" ht="15" hidden="false" customHeight="false" outlineLevel="0" collapsed="false">
      <c r="A738" s="81" t="n">
        <v>43937</v>
      </c>
      <c r="B738" s="48" t="n">
        <v>1</v>
      </c>
      <c r="C738" s="48" t="n">
        <v>0</v>
      </c>
      <c r="D738" s="48" t="n">
        <v>0</v>
      </c>
      <c r="E738" s="48" t="s">
        <v>112</v>
      </c>
      <c r="F738" s="48" t="s">
        <v>72</v>
      </c>
      <c r="G738" s="48" t="s">
        <v>612</v>
      </c>
      <c r="H738" s="82" t="n">
        <f aca="false">DATE(YEAR(A738),MONTH(A738),1)</f>
        <v>43922</v>
      </c>
    </row>
    <row r="739" customFormat="false" ht="15" hidden="false" customHeight="false" outlineLevel="0" collapsed="false">
      <c r="A739" s="81" t="n">
        <v>43937</v>
      </c>
      <c r="B739" s="48" t="n">
        <v>2</v>
      </c>
      <c r="C739" s="48" t="n">
        <v>0</v>
      </c>
      <c r="D739" s="48" t="n">
        <v>3</v>
      </c>
      <c r="E739" s="48" t="s">
        <v>112</v>
      </c>
      <c r="F739" s="48" t="s">
        <v>72</v>
      </c>
      <c r="G739" s="48" t="s">
        <v>614</v>
      </c>
      <c r="H739" s="82" t="n">
        <f aca="false">DATE(YEAR(A739),MONTH(A739),1)</f>
        <v>43922</v>
      </c>
    </row>
    <row r="740" customFormat="false" ht="15" hidden="false" customHeight="false" outlineLevel="0" collapsed="false">
      <c r="A740" s="81" t="n">
        <v>43937</v>
      </c>
      <c r="B740" s="48" t="n">
        <v>4</v>
      </c>
      <c r="C740" s="48" t="n">
        <v>0</v>
      </c>
      <c r="D740" s="48" t="n">
        <v>0</v>
      </c>
      <c r="E740" s="48" t="s">
        <v>112</v>
      </c>
      <c r="F740" s="48" t="s">
        <v>72</v>
      </c>
      <c r="G740" s="48" t="s">
        <v>101</v>
      </c>
      <c r="H740" s="82" t="n">
        <f aca="false">DATE(YEAR(A740),MONTH(A740),1)</f>
        <v>43922</v>
      </c>
    </row>
    <row r="741" customFormat="false" ht="15" hidden="false" customHeight="false" outlineLevel="0" collapsed="false">
      <c r="A741" s="81" t="n">
        <v>43937</v>
      </c>
      <c r="B741" s="48" t="n">
        <v>5</v>
      </c>
      <c r="C741" s="48" t="n">
        <v>0</v>
      </c>
      <c r="D741" s="48" t="n">
        <v>0</v>
      </c>
      <c r="E741" s="48" t="s">
        <v>112</v>
      </c>
      <c r="F741" s="48" t="s">
        <v>72</v>
      </c>
      <c r="G741" s="48" t="s">
        <v>610</v>
      </c>
      <c r="H741" s="82" t="n">
        <f aca="false">DATE(YEAR(A741),MONTH(A741),1)</f>
        <v>43922</v>
      </c>
    </row>
    <row r="742" customFormat="false" ht="15" hidden="false" customHeight="false" outlineLevel="0" collapsed="false">
      <c r="A742" s="81" t="n">
        <v>43937</v>
      </c>
      <c r="B742" s="48" t="n">
        <v>1</v>
      </c>
      <c r="C742" s="48" t="n">
        <v>0</v>
      </c>
      <c r="D742" s="48" t="n">
        <v>0</v>
      </c>
      <c r="E742" s="48" t="s">
        <v>112</v>
      </c>
      <c r="F742" s="48" t="s">
        <v>72</v>
      </c>
      <c r="G742" s="48" t="s">
        <v>102</v>
      </c>
      <c r="H742" s="82" t="n">
        <f aca="false">DATE(YEAR(A742),MONTH(A742),1)</f>
        <v>43922</v>
      </c>
    </row>
    <row r="743" customFormat="false" ht="15" hidden="false" customHeight="false" outlineLevel="0" collapsed="false">
      <c r="A743" s="81" t="n">
        <v>43937</v>
      </c>
      <c r="B743" s="48" t="n">
        <v>1</v>
      </c>
      <c r="C743" s="48" t="n">
        <v>0</v>
      </c>
      <c r="D743" s="48" t="n">
        <v>0</v>
      </c>
      <c r="E743" s="48" t="s">
        <v>112</v>
      </c>
      <c r="F743" s="48" t="s">
        <v>72</v>
      </c>
      <c r="G743" s="48" t="s">
        <v>609</v>
      </c>
      <c r="H743" s="82" t="n">
        <f aca="false">DATE(YEAR(A743),MONTH(A743),1)</f>
        <v>43922</v>
      </c>
    </row>
    <row r="744" customFormat="false" ht="15" hidden="false" customHeight="false" outlineLevel="0" collapsed="false">
      <c r="A744" s="81" t="n">
        <v>43937</v>
      </c>
      <c r="B744" s="48" t="n">
        <v>7</v>
      </c>
      <c r="C744" s="48" t="n">
        <v>0</v>
      </c>
      <c r="D744" s="48" t="n">
        <v>0</v>
      </c>
      <c r="E744" s="48" t="s">
        <v>112</v>
      </c>
      <c r="F744" s="48" t="s">
        <v>72</v>
      </c>
      <c r="G744" s="48" t="s">
        <v>96</v>
      </c>
      <c r="H744" s="82" t="n">
        <f aca="false">DATE(YEAR(A744),MONTH(A744),1)</f>
        <v>43922</v>
      </c>
    </row>
    <row r="745" customFormat="false" ht="15" hidden="false" customHeight="false" outlineLevel="0" collapsed="false">
      <c r="A745" s="81" t="n">
        <v>43937</v>
      </c>
      <c r="B745" s="48" t="n">
        <v>0</v>
      </c>
      <c r="C745" s="48" t="n">
        <v>0</v>
      </c>
      <c r="D745" s="48" t="n">
        <v>2</v>
      </c>
      <c r="E745" s="48" t="s">
        <v>112</v>
      </c>
      <c r="F745" s="48" t="s">
        <v>72</v>
      </c>
      <c r="G745" s="48" t="s">
        <v>621</v>
      </c>
      <c r="H745" s="82" t="n">
        <f aca="false">DATE(YEAR(A745),MONTH(A745),1)</f>
        <v>43922</v>
      </c>
    </row>
    <row r="746" customFormat="false" ht="15" hidden="false" customHeight="false" outlineLevel="0" collapsed="false">
      <c r="A746" s="81" t="n">
        <v>43937</v>
      </c>
      <c r="B746" s="48" t="n">
        <v>0</v>
      </c>
      <c r="C746" s="48" t="n">
        <v>0</v>
      </c>
      <c r="D746" s="48" t="n">
        <v>3</v>
      </c>
      <c r="E746" s="48" t="s">
        <v>112</v>
      </c>
      <c r="F746" s="48" t="s">
        <v>72</v>
      </c>
      <c r="G746" s="48" t="s">
        <v>664</v>
      </c>
      <c r="H746" s="82" t="n">
        <f aca="false">DATE(YEAR(A746),MONTH(A746),1)</f>
        <v>43922</v>
      </c>
    </row>
    <row r="747" customFormat="false" ht="15" hidden="false" customHeight="false" outlineLevel="0" collapsed="false">
      <c r="A747" s="81" t="n">
        <v>43937</v>
      </c>
      <c r="B747" s="48" t="n">
        <v>21</v>
      </c>
      <c r="C747" s="48" t="n">
        <v>0</v>
      </c>
      <c r="D747" s="48" t="n">
        <v>0</v>
      </c>
      <c r="E747" s="48" t="s">
        <v>112</v>
      </c>
      <c r="F747" s="48" t="s">
        <v>71</v>
      </c>
      <c r="G747" s="48" t="s">
        <v>602</v>
      </c>
      <c r="H747" s="82" t="n">
        <f aca="false">DATE(YEAR(A747),MONTH(A747),1)</f>
        <v>43922</v>
      </c>
    </row>
    <row r="748" customFormat="false" ht="15" hidden="false" customHeight="false" outlineLevel="0" collapsed="false">
      <c r="A748" s="81" t="n">
        <v>43937</v>
      </c>
      <c r="B748" s="48" t="n">
        <v>10</v>
      </c>
      <c r="C748" s="48" t="n">
        <v>0</v>
      </c>
      <c r="D748" s="48" t="n">
        <v>0</v>
      </c>
      <c r="E748" s="48" t="s">
        <v>112</v>
      </c>
      <c r="F748" s="48" t="s">
        <v>71</v>
      </c>
      <c r="G748" s="48" t="s">
        <v>620</v>
      </c>
      <c r="H748" s="82" t="n">
        <f aca="false">DATE(YEAR(A748),MONTH(A748),1)</f>
        <v>43922</v>
      </c>
    </row>
    <row r="749" customFormat="false" ht="15" hidden="false" customHeight="false" outlineLevel="0" collapsed="false">
      <c r="A749" s="81" t="n">
        <v>43937</v>
      </c>
      <c r="B749" s="48" t="n">
        <v>9</v>
      </c>
      <c r="C749" s="48" t="n">
        <v>0</v>
      </c>
      <c r="D749" s="48" t="n">
        <v>0</v>
      </c>
      <c r="E749" s="48" t="s">
        <v>112</v>
      </c>
      <c r="F749" s="48" t="s">
        <v>71</v>
      </c>
      <c r="G749" s="48" t="s">
        <v>97</v>
      </c>
      <c r="H749" s="82" t="n">
        <f aca="false">DATE(YEAR(A749),MONTH(A749),1)</f>
        <v>43922</v>
      </c>
    </row>
    <row r="750" customFormat="false" ht="15" hidden="false" customHeight="false" outlineLevel="0" collapsed="false">
      <c r="A750" s="81" t="n">
        <v>43937</v>
      </c>
      <c r="B750" s="48" t="n">
        <v>4</v>
      </c>
      <c r="C750" s="48" t="n">
        <v>0</v>
      </c>
      <c r="D750" s="48" t="n">
        <v>0</v>
      </c>
      <c r="E750" s="48" t="s">
        <v>112</v>
      </c>
      <c r="F750" s="48" t="s">
        <v>71</v>
      </c>
      <c r="G750" s="48" t="s">
        <v>606</v>
      </c>
      <c r="H750" s="82" t="n">
        <f aca="false">DATE(YEAR(A750),MONTH(A750),1)</f>
        <v>43922</v>
      </c>
    </row>
    <row r="751" customFormat="false" ht="15" hidden="false" customHeight="false" outlineLevel="0" collapsed="false">
      <c r="A751" s="81" t="n">
        <v>43937</v>
      </c>
      <c r="B751" s="48" t="n">
        <v>0</v>
      </c>
      <c r="C751" s="48" t="n">
        <v>7</v>
      </c>
      <c r="D751" s="48" t="n">
        <v>112</v>
      </c>
      <c r="E751" s="48" t="s">
        <v>114</v>
      </c>
      <c r="F751" s="48" t="s">
        <v>71</v>
      </c>
      <c r="G751" s="48" t="s">
        <v>92</v>
      </c>
      <c r="H751" s="82" t="n">
        <f aca="false">DATE(YEAR(A751),MONTH(A751),1)</f>
        <v>43922</v>
      </c>
    </row>
    <row r="752" customFormat="false" ht="15" hidden="false" customHeight="false" outlineLevel="0" collapsed="false">
      <c r="A752" s="81" t="n">
        <v>43937</v>
      </c>
      <c r="B752" s="48" t="n">
        <v>24</v>
      </c>
      <c r="C752" s="48" t="n">
        <v>0</v>
      </c>
      <c r="D752" s="48" t="n">
        <v>0</v>
      </c>
      <c r="E752" s="48" t="s">
        <v>112</v>
      </c>
      <c r="F752" s="48" t="s">
        <v>71</v>
      </c>
      <c r="G752" s="48" t="s">
        <v>92</v>
      </c>
      <c r="H752" s="82" t="n">
        <f aca="false">DATE(YEAR(A752),MONTH(A752),1)</f>
        <v>43922</v>
      </c>
    </row>
    <row r="753" customFormat="false" ht="15" hidden="false" customHeight="false" outlineLevel="0" collapsed="false">
      <c r="A753" s="81" t="n">
        <v>43937</v>
      </c>
      <c r="B753" s="48" t="n">
        <v>8</v>
      </c>
      <c r="C753" s="48" t="n">
        <v>0</v>
      </c>
      <c r="D753" s="48" t="n">
        <v>0</v>
      </c>
      <c r="E753" s="48" t="s">
        <v>112</v>
      </c>
      <c r="F753" s="48" t="s">
        <v>71</v>
      </c>
      <c r="G753" s="48" t="s">
        <v>626</v>
      </c>
      <c r="H753" s="82" t="n">
        <f aca="false">DATE(YEAR(A753),MONTH(A753),1)</f>
        <v>43922</v>
      </c>
    </row>
    <row r="754" customFormat="false" ht="15" hidden="false" customHeight="false" outlineLevel="0" collapsed="false">
      <c r="A754" s="81" t="n">
        <v>43937</v>
      </c>
      <c r="B754" s="48" t="n">
        <v>1</v>
      </c>
      <c r="C754" s="48" t="n">
        <v>0</v>
      </c>
      <c r="D754" s="48" t="n">
        <v>0</v>
      </c>
      <c r="E754" s="48" t="s">
        <v>112</v>
      </c>
      <c r="F754" s="48" t="s">
        <v>71</v>
      </c>
      <c r="G754" s="48" t="s">
        <v>596</v>
      </c>
      <c r="H754" s="82" t="n">
        <f aca="false">DATE(YEAR(A754),MONTH(A754),1)</f>
        <v>43922</v>
      </c>
    </row>
    <row r="755" customFormat="false" ht="15" hidden="false" customHeight="false" outlineLevel="0" collapsed="false">
      <c r="A755" s="81" t="n">
        <v>43937</v>
      </c>
      <c r="B755" s="48" t="n">
        <v>21</v>
      </c>
      <c r="C755" s="48" t="n">
        <v>0</v>
      </c>
      <c r="D755" s="48" t="n">
        <v>0</v>
      </c>
      <c r="E755" s="48" t="s">
        <v>112</v>
      </c>
      <c r="F755" s="48" t="s">
        <v>71</v>
      </c>
      <c r="G755" s="48" t="s">
        <v>618</v>
      </c>
      <c r="H755" s="82" t="n">
        <f aca="false">DATE(YEAR(A755),MONTH(A755),1)</f>
        <v>43922</v>
      </c>
    </row>
    <row r="756" customFormat="false" ht="15" hidden="false" customHeight="false" outlineLevel="0" collapsed="false">
      <c r="A756" s="81" t="n">
        <v>43937</v>
      </c>
      <c r="B756" s="48" t="n">
        <v>86</v>
      </c>
      <c r="C756" s="48" t="n">
        <v>0</v>
      </c>
      <c r="D756" s="48" t="n">
        <v>0</v>
      </c>
      <c r="E756" s="48" t="s">
        <v>114</v>
      </c>
      <c r="F756" s="48" t="s">
        <v>71</v>
      </c>
      <c r="G756" s="48" t="s">
        <v>604</v>
      </c>
      <c r="H756" s="82" t="n">
        <f aca="false">DATE(YEAR(A756),MONTH(A756),1)</f>
        <v>43922</v>
      </c>
    </row>
    <row r="757" customFormat="false" ht="15" hidden="false" customHeight="false" outlineLevel="0" collapsed="false">
      <c r="A757" s="81" t="n">
        <v>43937</v>
      </c>
      <c r="B757" s="48" t="n">
        <v>3</v>
      </c>
      <c r="C757" s="48" t="n">
        <v>0</v>
      </c>
      <c r="D757" s="48" t="n">
        <v>0</v>
      </c>
      <c r="E757" s="48" t="s">
        <v>112</v>
      </c>
      <c r="F757" s="48" t="s">
        <v>71</v>
      </c>
      <c r="G757" s="48" t="s">
        <v>625</v>
      </c>
      <c r="H757" s="82" t="n">
        <f aca="false">DATE(YEAR(A757),MONTH(A757),1)</f>
        <v>43922</v>
      </c>
    </row>
    <row r="758" customFormat="false" ht="15" hidden="false" customHeight="false" outlineLevel="0" collapsed="false">
      <c r="A758" s="81" t="n">
        <v>43937</v>
      </c>
      <c r="B758" s="48" t="n">
        <v>3</v>
      </c>
      <c r="C758" s="48" t="n">
        <v>0</v>
      </c>
      <c r="D758" s="48" t="n">
        <v>0</v>
      </c>
      <c r="E758" s="48" t="s">
        <v>112</v>
      </c>
      <c r="F758" s="48" t="s">
        <v>71</v>
      </c>
      <c r="G758" s="48" t="s">
        <v>657</v>
      </c>
      <c r="H758" s="82" t="n">
        <f aca="false">DATE(YEAR(A758),MONTH(A758),1)</f>
        <v>43922</v>
      </c>
    </row>
    <row r="759" customFormat="false" ht="15" hidden="false" customHeight="false" outlineLevel="0" collapsed="false">
      <c r="A759" s="81" t="n">
        <v>43937</v>
      </c>
      <c r="B759" s="48" t="n">
        <v>48</v>
      </c>
      <c r="C759" s="48" t="n">
        <v>0</v>
      </c>
      <c r="D759" s="48" t="n">
        <v>0</v>
      </c>
      <c r="E759" s="48" t="s">
        <v>114</v>
      </c>
      <c r="F759" s="48" t="s">
        <v>71</v>
      </c>
      <c r="G759" s="48" t="s">
        <v>634</v>
      </c>
      <c r="H759" s="82" t="n">
        <f aca="false">DATE(YEAR(A759),MONTH(A759),1)</f>
        <v>43922</v>
      </c>
    </row>
    <row r="760" customFormat="false" ht="15" hidden="false" customHeight="false" outlineLevel="0" collapsed="false">
      <c r="A760" s="81" t="n">
        <v>43937</v>
      </c>
      <c r="B760" s="48" t="n">
        <v>4</v>
      </c>
      <c r="C760" s="48" t="n">
        <v>0</v>
      </c>
      <c r="D760" s="48" t="n">
        <v>0</v>
      </c>
      <c r="E760" s="48" t="s">
        <v>112</v>
      </c>
      <c r="F760" s="48" t="s">
        <v>71</v>
      </c>
      <c r="G760" s="48" t="s">
        <v>653</v>
      </c>
      <c r="H760" s="82" t="n">
        <f aca="false">DATE(YEAR(A760),MONTH(A760),1)</f>
        <v>43922</v>
      </c>
    </row>
    <row r="761" customFormat="false" ht="15" hidden="false" customHeight="false" outlineLevel="0" collapsed="false">
      <c r="A761" s="81" t="n">
        <v>43937</v>
      </c>
      <c r="B761" s="48" t="n">
        <v>1</v>
      </c>
      <c r="C761" s="48" t="n">
        <v>0</v>
      </c>
      <c r="D761" s="48" t="n">
        <v>0</v>
      </c>
      <c r="E761" s="48" t="s">
        <v>112</v>
      </c>
      <c r="F761" s="48" t="s">
        <v>71</v>
      </c>
      <c r="G761" s="48" t="s">
        <v>631</v>
      </c>
      <c r="H761" s="82" t="n">
        <f aca="false">DATE(YEAR(A761),MONTH(A761),1)</f>
        <v>43922</v>
      </c>
    </row>
    <row r="762" customFormat="false" ht="15" hidden="false" customHeight="false" outlineLevel="0" collapsed="false">
      <c r="A762" s="81" t="n">
        <v>43937</v>
      </c>
      <c r="B762" s="48" t="n">
        <v>10</v>
      </c>
      <c r="C762" s="48" t="n">
        <v>0</v>
      </c>
      <c r="D762" s="48" t="n">
        <v>0</v>
      </c>
      <c r="E762" s="48" t="s">
        <v>116</v>
      </c>
      <c r="F762" s="48" t="s">
        <v>71</v>
      </c>
      <c r="G762" s="48" t="s">
        <v>97</v>
      </c>
      <c r="H762" s="82" t="n">
        <f aca="false">DATE(YEAR(A762),MONTH(A762),1)</f>
        <v>43922</v>
      </c>
    </row>
    <row r="763" customFormat="false" ht="15" hidden="false" customHeight="false" outlineLevel="0" collapsed="false">
      <c r="A763" s="81" t="n">
        <v>43937</v>
      </c>
      <c r="B763" s="48" t="n">
        <v>21</v>
      </c>
      <c r="C763" s="48" t="n">
        <v>0</v>
      </c>
      <c r="D763" s="48" t="n">
        <v>0</v>
      </c>
      <c r="E763" s="48" t="s">
        <v>112</v>
      </c>
      <c r="F763" s="48" t="s">
        <v>71</v>
      </c>
      <c r="G763" s="48" t="s">
        <v>652</v>
      </c>
      <c r="H763" s="82" t="n">
        <f aca="false">DATE(YEAR(A763),MONTH(A763),1)</f>
        <v>43922</v>
      </c>
    </row>
    <row r="764" customFormat="false" ht="15" hidden="false" customHeight="false" outlineLevel="0" collapsed="false">
      <c r="A764" s="81" t="n">
        <v>43937</v>
      </c>
      <c r="B764" s="48" t="n">
        <v>70</v>
      </c>
      <c r="C764" s="48" t="n">
        <v>4</v>
      </c>
      <c r="D764" s="48" t="n">
        <v>16</v>
      </c>
      <c r="E764" s="48" t="s">
        <v>112</v>
      </c>
      <c r="F764" s="48" t="s">
        <v>70</v>
      </c>
      <c r="G764" s="48" t="s">
        <v>91</v>
      </c>
      <c r="H764" s="82" t="n">
        <f aca="false">DATE(YEAR(A764),MONTH(A764),1)</f>
        <v>43922</v>
      </c>
    </row>
    <row r="765" customFormat="false" ht="15" hidden="false" customHeight="false" outlineLevel="0" collapsed="false">
      <c r="A765" s="81" t="n">
        <v>43937</v>
      </c>
      <c r="B765" s="48" t="n">
        <v>1</v>
      </c>
      <c r="C765" s="48" t="n">
        <v>0</v>
      </c>
      <c r="D765" s="48" t="n">
        <v>0</v>
      </c>
      <c r="E765" s="48" t="s">
        <v>112</v>
      </c>
      <c r="F765" s="48" t="s">
        <v>70</v>
      </c>
      <c r="G765" s="48" t="s">
        <v>99</v>
      </c>
      <c r="H765" s="82" t="n">
        <f aca="false">DATE(YEAR(A765),MONTH(A765),1)</f>
        <v>43922</v>
      </c>
    </row>
    <row r="766" customFormat="false" ht="15" hidden="false" customHeight="false" outlineLevel="0" collapsed="false">
      <c r="A766" s="81" t="n">
        <v>43937</v>
      </c>
      <c r="B766" s="48" t="n">
        <v>10</v>
      </c>
      <c r="C766" s="48" t="n">
        <v>0</v>
      </c>
      <c r="D766" s="48" t="n">
        <v>0</v>
      </c>
      <c r="E766" s="48" t="s">
        <v>112</v>
      </c>
      <c r="F766" s="48" t="s">
        <v>70</v>
      </c>
      <c r="G766" s="48" t="s">
        <v>635</v>
      </c>
      <c r="H766" s="82" t="n">
        <f aca="false">DATE(YEAR(A766),MONTH(A766),1)</f>
        <v>43922</v>
      </c>
    </row>
    <row r="767" customFormat="false" ht="15" hidden="false" customHeight="false" outlineLevel="0" collapsed="false">
      <c r="A767" s="81" t="n">
        <v>43937</v>
      </c>
      <c r="B767" s="48" t="n">
        <v>3</v>
      </c>
      <c r="C767" s="48" t="n">
        <v>0</v>
      </c>
      <c r="D767" s="48" t="n">
        <v>0</v>
      </c>
      <c r="E767" s="48" t="s">
        <v>112</v>
      </c>
      <c r="F767" s="48" t="s">
        <v>70</v>
      </c>
      <c r="G767" s="48" t="s">
        <v>601</v>
      </c>
      <c r="H767" s="82" t="n">
        <f aca="false">DATE(YEAR(A767),MONTH(A767),1)</f>
        <v>43922</v>
      </c>
    </row>
    <row r="768" customFormat="false" ht="15" hidden="false" customHeight="false" outlineLevel="0" collapsed="false">
      <c r="A768" s="81" t="n">
        <v>43937</v>
      </c>
      <c r="B768" s="48" t="n">
        <v>0</v>
      </c>
      <c r="C768" s="48" t="n">
        <v>0</v>
      </c>
      <c r="D768" s="48" t="n">
        <v>0</v>
      </c>
      <c r="E768" s="48" t="s">
        <v>114</v>
      </c>
      <c r="F768" s="48" t="s">
        <v>70</v>
      </c>
      <c r="G768" s="48" t="s">
        <v>592</v>
      </c>
      <c r="H768" s="82" t="n">
        <f aca="false">DATE(YEAR(A768),MONTH(A768),1)</f>
        <v>43922</v>
      </c>
    </row>
    <row r="769" customFormat="false" ht="15" hidden="false" customHeight="false" outlineLevel="0" collapsed="false">
      <c r="A769" s="81" t="n">
        <v>43937</v>
      </c>
      <c r="B769" s="48" t="n">
        <v>52</v>
      </c>
      <c r="C769" s="48" t="n">
        <v>0</v>
      </c>
      <c r="D769" s="48" t="n">
        <v>0</v>
      </c>
      <c r="E769" s="48" t="s">
        <v>114</v>
      </c>
      <c r="F769" s="48" t="s">
        <v>70</v>
      </c>
      <c r="G769" s="48" t="s">
        <v>98</v>
      </c>
      <c r="H769" s="82" t="n">
        <f aca="false">DATE(YEAR(A769),MONTH(A769),1)</f>
        <v>43922</v>
      </c>
    </row>
    <row r="770" customFormat="false" ht="15" hidden="false" customHeight="false" outlineLevel="0" collapsed="false">
      <c r="A770" s="81" t="n">
        <v>43937</v>
      </c>
      <c r="B770" s="48" t="n">
        <v>96</v>
      </c>
      <c r="C770" s="48" t="n">
        <v>0</v>
      </c>
      <c r="D770" s="48" t="n">
        <v>0</v>
      </c>
      <c r="E770" s="48" t="s">
        <v>114</v>
      </c>
      <c r="F770" s="48" t="s">
        <v>70</v>
      </c>
      <c r="G770" s="48" t="s">
        <v>105</v>
      </c>
      <c r="H770" s="82" t="n">
        <f aca="false">DATE(YEAR(A770),MONTH(A770),1)</f>
        <v>43922</v>
      </c>
    </row>
    <row r="771" customFormat="false" ht="15" hidden="false" customHeight="false" outlineLevel="0" collapsed="false">
      <c r="A771" s="81" t="n">
        <v>43937</v>
      </c>
      <c r="B771" s="48" t="n">
        <v>4</v>
      </c>
      <c r="C771" s="48" t="n">
        <v>0</v>
      </c>
      <c r="D771" s="48" t="n">
        <v>0</v>
      </c>
      <c r="E771" s="48" t="s">
        <v>112</v>
      </c>
      <c r="F771" s="48" t="s">
        <v>70</v>
      </c>
      <c r="G771" s="48" t="s">
        <v>671</v>
      </c>
      <c r="H771" s="82" t="n">
        <f aca="false">DATE(YEAR(A771),MONTH(A771),1)</f>
        <v>43922</v>
      </c>
    </row>
    <row r="772" customFormat="false" ht="15" hidden="false" customHeight="false" outlineLevel="0" collapsed="false">
      <c r="A772" s="81" t="n">
        <v>43937</v>
      </c>
      <c r="B772" s="48" t="n">
        <v>1</v>
      </c>
      <c r="C772" s="48" t="n">
        <v>0</v>
      </c>
      <c r="D772" s="48" t="n">
        <v>0</v>
      </c>
      <c r="E772" s="48" t="s">
        <v>112</v>
      </c>
      <c r="F772" s="48" t="s">
        <v>70</v>
      </c>
      <c r="G772" s="48" t="s">
        <v>642</v>
      </c>
      <c r="H772" s="82" t="n">
        <f aca="false">DATE(YEAR(A772),MONTH(A772),1)</f>
        <v>43922</v>
      </c>
    </row>
    <row r="773" customFormat="false" ht="15" hidden="false" customHeight="false" outlineLevel="0" collapsed="false">
      <c r="A773" s="81" t="n">
        <v>43937</v>
      </c>
      <c r="B773" s="48" t="n">
        <v>12</v>
      </c>
      <c r="C773" s="48" t="n">
        <v>0</v>
      </c>
      <c r="D773" s="48" t="n">
        <v>0</v>
      </c>
      <c r="E773" s="48" t="s">
        <v>112</v>
      </c>
      <c r="F773" s="48" t="s">
        <v>70</v>
      </c>
      <c r="G773" s="48" t="s">
        <v>630</v>
      </c>
      <c r="H773" s="82" t="n">
        <f aca="false">DATE(YEAR(A773),MONTH(A773),1)</f>
        <v>43922</v>
      </c>
    </row>
    <row r="774" customFormat="false" ht="15" hidden="false" customHeight="false" outlineLevel="0" collapsed="false">
      <c r="A774" s="81" t="n">
        <v>43937</v>
      </c>
      <c r="B774" s="48" t="n">
        <v>5</v>
      </c>
      <c r="C774" s="48" t="n">
        <v>0</v>
      </c>
      <c r="D774" s="48" t="n">
        <v>0</v>
      </c>
      <c r="E774" s="48" t="s">
        <v>112</v>
      </c>
      <c r="F774" s="48" t="s">
        <v>70</v>
      </c>
      <c r="G774" s="48" t="s">
        <v>644</v>
      </c>
      <c r="H774" s="82" t="n">
        <f aca="false">DATE(YEAR(A774),MONTH(A774),1)</f>
        <v>43922</v>
      </c>
    </row>
    <row r="775" customFormat="false" ht="15" hidden="false" customHeight="false" outlineLevel="0" collapsed="false">
      <c r="A775" s="81" t="n">
        <v>43937</v>
      </c>
      <c r="B775" s="48" t="n">
        <v>3</v>
      </c>
      <c r="C775" s="48" t="n">
        <v>0</v>
      </c>
      <c r="D775" s="48" t="n">
        <v>0</v>
      </c>
      <c r="E775" s="48" t="s">
        <v>112</v>
      </c>
      <c r="F775" s="48" t="s">
        <v>70</v>
      </c>
      <c r="G775" s="48" t="s">
        <v>641</v>
      </c>
      <c r="H775" s="82" t="n">
        <f aca="false">DATE(YEAR(A775),MONTH(A775),1)</f>
        <v>43922</v>
      </c>
    </row>
    <row r="776" customFormat="false" ht="15" hidden="false" customHeight="false" outlineLevel="0" collapsed="false">
      <c r="A776" s="81" t="n">
        <v>43937</v>
      </c>
      <c r="B776" s="48" t="n">
        <v>2</v>
      </c>
      <c r="C776" s="48" t="n">
        <v>0</v>
      </c>
      <c r="D776" s="48" t="n">
        <v>0</v>
      </c>
      <c r="E776" s="48" t="s">
        <v>112</v>
      </c>
      <c r="F776" s="48" t="s">
        <v>70</v>
      </c>
      <c r="G776" s="48" t="s">
        <v>633</v>
      </c>
      <c r="H776" s="82" t="n">
        <f aca="false">DATE(YEAR(A776),MONTH(A776),1)</f>
        <v>43922</v>
      </c>
    </row>
    <row r="777" customFormat="false" ht="15" hidden="false" customHeight="false" outlineLevel="0" collapsed="false">
      <c r="A777" s="81" t="n">
        <v>43937</v>
      </c>
      <c r="B777" s="48" t="n">
        <v>2</v>
      </c>
      <c r="C777" s="48" t="n">
        <v>0</v>
      </c>
      <c r="D777" s="48" t="n">
        <v>0</v>
      </c>
      <c r="E777" s="48" t="s">
        <v>112</v>
      </c>
      <c r="F777" s="48" t="s">
        <v>70</v>
      </c>
      <c r="G777" s="48" t="s">
        <v>619</v>
      </c>
      <c r="H777" s="82" t="n">
        <f aca="false">DATE(YEAR(A777),MONTH(A777),1)</f>
        <v>43922</v>
      </c>
    </row>
    <row r="778" customFormat="false" ht="15" hidden="false" customHeight="false" outlineLevel="0" collapsed="false">
      <c r="A778" s="81" t="n">
        <v>43937</v>
      </c>
      <c r="B778" s="48" t="n">
        <v>53</v>
      </c>
      <c r="C778" s="48" t="n">
        <v>0</v>
      </c>
      <c r="D778" s="48" t="n">
        <v>0</v>
      </c>
      <c r="E778" s="48" t="s">
        <v>114</v>
      </c>
      <c r="F778" s="48" t="s">
        <v>70</v>
      </c>
      <c r="G778" s="48" t="s">
        <v>605</v>
      </c>
      <c r="H778" s="82" t="n">
        <f aca="false">DATE(YEAR(A778),MONTH(A778),1)</f>
        <v>43922</v>
      </c>
    </row>
    <row r="779" customFormat="false" ht="15" hidden="false" customHeight="false" outlineLevel="0" collapsed="false">
      <c r="A779" s="81" t="n">
        <v>43938</v>
      </c>
      <c r="B779" s="48" t="n">
        <v>2</v>
      </c>
      <c r="C779" s="48" t="n">
        <v>0</v>
      </c>
      <c r="D779" s="48" t="n">
        <v>0</v>
      </c>
      <c r="E779" s="48" t="s">
        <v>112</v>
      </c>
      <c r="F779" s="48" t="s">
        <v>76</v>
      </c>
      <c r="G779" s="48" t="s">
        <v>595</v>
      </c>
      <c r="H779" s="82" t="n">
        <f aca="false">DATE(YEAR(A779),MONTH(A779),1)</f>
        <v>43922</v>
      </c>
    </row>
    <row r="780" customFormat="false" ht="15" hidden="false" customHeight="false" outlineLevel="0" collapsed="false">
      <c r="A780" s="81" t="n">
        <v>43938</v>
      </c>
      <c r="B780" s="48" t="n">
        <v>6</v>
      </c>
      <c r="C780" s="48" t="n">
        <v>0</v>
      </c>
      <c r="D780" s="48" t="n">
        <v>0</v>
      </c>
      <c r="E780" s="48" t="s">
        <v>114</v>
      </c>
      <c r="F780" s="48" t="s">
        <v>73</v>
      </c>
      <c r="G780" s="48" t="s">
        <v>93</v>
      </c>
      <c r="H780" s="82" t="n">
        <f aca="false">DATE(YEAR(A780),MONTH(A780),1)</f>
        <v>43922</v>
      </c>
    </row>
    <row r="781" customFormat="false" ht="15" hidden="false" customHeight="false" outlineLevel="0" collapsed="false">
      <c r="A781" s="81" t="n">
        <v>43938</v>
      </c>
      <c r="B781" s="48" t="n">
        <v>41</v>
      </c>
      <c r="C781" s="48" t="n">
        <v>0</v>
      </c>
      <c r="D781" s="48" t="n">
        <v>0</v>
      </c>
      <c r="E781" s="48" t="s">
        <v>112</v>
      </c>
      <c r="F781" s="48" t="s">
        <v>73</v>
      </c>
      <c r="G781" s="48" t="s">
        <v>93</v>
      </c>
      <c r="H781" s="82" t="n">
        <f aca="false">DATE(YEAR(A781),MONTH(A781),1)</f>
        <v>43922</v>
      </c>
    </row>
    <row r="782" customFormat="false" ht="15" hidden="false" customHeight="false" outlineLevel="0" collapsed="false">
      <c r="A782" s="81" t="n">
        <v>43938</v>
      </c>
      <c r="B782" s="48" t="n">
        <v>5</v>
      </c>
      <c r="C782" s="48" t="n">
        <v>0</v>
      </c>
      <c r="D782" s="48" t="n">
        <v>9</v>
      </c>
      <c r="E782" s="48" t="s">
        <v>112</v>
      </c>
      <c r="F782" s="48" t="s">
        <v>75</v>
      </c>
      <c r="G782" s="48" t="s">
        <v>103</v>
      </c>
      <c r="H782" s="82" t="n">
        <f aca="false">DATE(YEAR(A782),MONTH(A782),1)</f>
        <v>43922</v>
      </c>
    </row>
    <row r="783" customFormat="false" ht="15" hidden="false" customHeight="false" outlineLevel="0" collapsed="false">
      <c r="A783" s="81" t="n">
        <v>43938</v>
      </c>
      <c r="B783" s="48" t="n">
        <v>9</v>
      </c>
      <c r="C783" s="48" t="n">
        <v>0</v>
      </c>
      <c r="D783" s="48" t="n">
        <v>0</v>
      </c>
      <c r="E783" s="48" t="s">
        <v>112</v>
      </c>
      <c r="F783" s="48" t="s">
        <v>74</v>
      </c>
      <c r="G783" s="48" t="s">
        <v>95</v>
      </c>
      <c r="H783" s="82" t="n">
        <f aca="false">DATE(YEAR(A783),MONTH(A783),1)</f>
        <v>43922</v>
      </c>
    </row>
    <row r="784" customFormat="false" ht="15" hidden="false" customHeight="false" outlineLevel="0" collapsed="false">
      <c r="A784" s="81" t="n">
        <v>43938</v>
      </c>
      <c r="B784" s="48" t="n">
        <v>24</v>
      </c>
      <c r="C784" s="48" t="n">
        <v>2</v>
      </c>
      <c r="D784" s="48" t="n">
        <v>0</v>
      </c>
      <c r="E784" s="48" t="s">
        <v>112</v>
      </c>
      <c r="F784" s="48" t="s">
        <v>71</v>
      </c>
      <c r="G784" s="48" t="s">
        <v>92</v>
      </c>
      <c r="H784" s="82" t="n">
        <f aca="false">DATE(YEAR(A784),MONTH(A784),1)</f>
        <v>43922</v>
      </c>
    </row>
    <row r="785" customFormat="false" ht="15" hidden="false" customHeight="false" outlineLevel="0" collapsed="false">
      <c r="A785" s="81" t="n">
        <v>43938</v>
      </c>
      <c r="B785" s="48" t="n">
        <v>20</v>
      </c>
      <c r="C785" s="48" t="n">
        <v>0</v>
      </c>
      <c r="D785" s="48" t="n">
        <v>0</v>
      </c>
      <c r="E785" s="48" t="s">
        <v>112</v>
      </c>
      <c r="F785" s="48" t="s">
        <v>71</v>
      </c>
      <c r="G785" s="48" t="s">
        <v>602</v>
      </c>
      <c r="H785" s="82" t="n">
        <f aca="false">DATE(YEAR(A785),MONTH(A785),1)</f>
        <v>43922</v>
      </c>
    </row>
    <row r="786" customFormat="false" ht="15" hidden="false" customHeight="false" outlineLevel="0" collapsed="false">
      <c r="A786" s="81" t="n">
        <v>43938</v>
      </c>
      <c r="B786" s="48" t="n">
        <v>10</v>
      </c>
      <c r="C786" s="48" t="n">
        <v>0</v>
      </c>
      <c r="D786" s="48" t="n">
        <v>0</v>
      </c>
      <c r="E786" s="48" t="s">
        <v>112</v>
      </c>
      <c r="F786" s="48" t="s">
        <v>71</v>
      </c>
      <c r="G786" s="48" t="s">
        <v>620</v>
      </c>
      <c r="H786" s="82" t="n">
        <f aca="false">DATE(YEAR(A786),MONTH(A786),1)</f>
        <v>43922</v>
      </c>
    </row>
    <row r="787" customFormat="false" ht="15" hidden="false" customHeight="false" outlineLevel="0" collapsed="false">
      <c r="A787" s="81" t="n">
        <v>43938</v>
      </c>
      <c r="B787" s="48" t="n">
        <v>9</v>
      </c>
      <c r="C787" s="48" t="n">
        <v>0</v>
      </c>
      <c r="D787" s="48" t="n">
        <v>0</v>
      </c>
      <c r="E787" s="48" t="s">
        <v>112</v>
      </c>
      <c r="F787" s="48" t="s">
        <v>71</v>
      </c>
      <c r="G787" s="48" t="s">
        <v>97</v>
      </c>
      <c r="H787" s="82" t="n">
        <f aca="false">DATE(YEAR(A787),MONTH(A787),1)</f>
        <v>43922</v>
      </c>
    </row>
    <row r="788" customFormat="false" ht="15" hidden="false" customHeight="false" outlineLevel="0" collapsed="false">
      <c r="A788" s="81" t="n">
        <v>43938</v>
      </c>
      <c r="B788" s="48" t="n">
        <v>4</v>
      </c>
      <c r="C788" s="48" t="n">
        <v>0</v>
      </c>
      <c r="D788" s="48" t="n">
        <v>0</v>
      </c>
      <c r="E788" s="48" t="s">
        <v>112</v>
      </c>
      <c r="F788" s="48" t="s">
        <v>71</v>
      </c>
      <c r="G788" s="48" t="s">
        <v>606</v>
      </c>
      <c r="H788" s="82" t="n">
        <f aca="false">DATE(YEAR(A788),MONTH(A788),1)</f>
        <v>43922</v>
      </c>
    </row>
    <row r="789" customFormat="false" ht="15" hidden="false" customHeight="false" outlineLevel="0" collapsed="false">
      <c r="A789" s="81" t="n">
        <v>43938</v>
      </c>
      <c r="B789" s="48" t="n">
        <v>8</v>
      </c>
      <c r="C789" s="48" t="n">
        <v>0</v>
      </c>
      <c r="D789" s="48" t="n">
        <v>0</v>
      </c>
      <c r="E789" s="48" t="s">
        <v>112</v>
      </c>
      <c r="F789" s="48" t="s">
        <v>71</v>
      </c>
      <c r="G789" s="48" t="s">
        <v>626</v>
      </c>
      <c r="H789" s="82" t="n">
        <f aca="false">DATE(YEAR(A789),MONTH(A789),1)</f>
        <v>43922</v>
      </c>
    </row>
    <row r="790" customFormat="false" ht="15" hidden="false" customHeight="false" outlineLevel="0" collapsed="false">
      <c r="A790" s="81" t="n">
        <v>43938</v>
      </c>
      <c r="B790" s="48" t="n">
        <v>20</v>
      </c>
      <c r="C790" s="48" t="n">
        <v>0</v>
      </c>
      <c r="D790" s="48" t="n">
        <v>0</v>
      </c>
      <c r="E790" s="48" t="s">
        <v>112</v>
      </c>
      <c r="F790" s="48" t="s">
        <v>71</v>
      </c>
      <c r="G790" s="48" t="s">
        <v>618</v>
      </c>
      <c r="H790" s="82" t="n">
        <f aca="false">DATE(YEAR(A790),MONTH(A790),1)</f>
        <v>43922</v>
      </c>
    </row>
    <row r="791" customFormat="false" ht="15" hidden="false" customHeight="false" outlineLevel="0" collapsed="false">
      <c r="A791" s="81" t="n">
        <v>43938</v>
      </c>
      <c r="B791" s="48" t="n">
        <v>3</v>
      </c>
      <c r="C791" s="48" t="n">
        <v>0</v>
      </c>
      <c r="D791" s="48" t="n">
        <v>0</v>
      </c>
      <c r="E791" s="48" t="s">
        <v>112</v>
      </c>
      <c r="F791" s="48" t="s">
        <v>71</v>
      </c>
      <c r="G791" s="48" t="s">
        <v>625</v>
      </c>
      <c r="H791" s="82" t="n">
        <f aca="false">DATE(YEAR(A791),MONTH(A791),1)</f>
        <v>43922</v>
      </c>
    </row>
    <row r="792" customFormat="false" ht="15" hidden="false" customHeight="false" outlineLevel="0" collapsed="false">
      <c r="A792" s="81" t="n">
        <v>43938</v>
      </c>
      <c r="B792" s="48" t="n">
        <v>4</v>
      </c>
      <c r="C792" s="48" t="n">
        <v>0</v>
      </c>
      <c r="D792" s="48" t="n">
        <v>0</v>
      </c>
      <c r="E792" s="48" t="s">
        <v>112</v>
      </c>
      <c r="F792" s="48" t="s">
        <v>71</v>
      </c>
      <c r="G792" s="48" t="s">
        <v>657</v>
      </c>
      <c r="H792" s="82" t="n">
        <f aca="false">DATE(YEAR(A792),MONTH(A792),1)</f>
        <v>43922</v>
      </c>
    </row>
    <row r="793" customFormat="false" ht="15" hidden="false" customHeight="false" outlineLevel="0" collapsed="false">
      <c r="A793" s="81" t="n">
        <v>43938</v>
      </c>
      <c r="B793" s="48" t="n">
        <v>95</v>
      </c>
      <c r="C793" s="48" t="n">
        <v>0</v>
      </c>
      <c r="D793" s="48" t="n">
        <v>0</v>
      </c>
      <c r="E793" s="48" t="s">
        <v>116</v>
      </c>
      <c r="F793" s="48" t="s">
        <v>71</v>
      </c>
      <c r="G793" s="48" t="s">
        <v>97</v>
      </c>
      <c r="H793" s="82" t="n">
        <f aca="false">DATE(YEAR(A793),MONTH(A793),1)</f>
        <v>43922</v>
      </c>
    </row>
    <row r="794" customFormat="false" ht="15" hidden="false" customHeight="false" outlineLevel="0" collapsed="false">
      <c r="A794" s="81" t="n">
        <v>43938</v>
      </c>
      <c r="B794" s="48" t="n">
        <v>9</v>
      </c>
      <c r="C794" s="48" t="n">
        <v>0</v>
      </c>
      <c r="D794" s="48" t="n">
        <v>0</v>
      </c>
      <c r="E794" s="48" t="s">
        <v>112</v>
      </c>
      <c r="F794" s="48" t="s">
        <v>71</v>
      </c>
      <c r="G794" s="48" t="s">
        <v>632</v>
      </c>
      <c r="H794" s="82" t="n">
        <f aca="false">DATE(YEAR(A794),MONTH(A794),1)</f>
        <v>43922</v>
      </c>
    </row>
    <row r="795" customFormat="false" ht="15" hidden="false" customHeight="false" outlineLevel="0" collapsed="false">
      <c r="A795" s="81" t="n">
        <v>43938</v>
      </c>
      <c r="B795" s="48" t="n">
        <v>2</v>
      </c>
      <c r="C795" s="48" t="n">
        <v>0</v>
      </c>
      <c r="D795" s="48" t="n">
        <v>0</v>
      </c>
      <c r="E795" s="48" t="s">
        <v>112</v>
      </c>
      <c r="F795" s="48" t="s">
        <v>71</v>
      </c>
      <c r="G795" s="48" t="s">
        <v>651</v>
      </c>
      <c r="H795" s="82" t="n">
        <f aca="false">DATE(YEAR(A795),MONTH(A795),1)</f>
        <v>43922</v>
      </c>
    </row>
    <row r="796" customFormat="false" ht="15" hidden="false" customHeight="false" outlineLevel="0" collapsed="false">
      <c r="A796" s="81" t="n">
        <v>43938</v>
      </c>
      <c r="B796" s="48" t="n">
        <v>1</v>
      </c>
      <c r="C796" s="48" t="n">
        <v>0</v>
      </c>
      <c r="D796" s="48" t="n">
        <v>0</v>
      </c>
      <c r="E796" s="48" t="s">
        <v>112</v>
      </c>
      <c r="F796" s="48" t="s">
        <v>71</v>
      </c>
      <c r="G796" s="48" t="s">
        <v>668</v>
      </c>
      <c r="H796" s="82" t="n">
        <f aca="false">DATE(YEAR(A796),MONTH(A796),1)</f>
        <v>43922</v>
      </c>
    </row>
    <row r="797" customFormat="false" ht="15" hidden="false" customHeight="false" outlineLevel="0" collapsed="false">
      <c r="A797" s="81" t="n">
        <v>43938</v>
      </c>
      <c r="B797" s="48" t="n">
        <v>4</v>
      </c>
      <c r="C797" s="48" t="n">
        <v>0</v>
      </c>
      <c r="D797" s="48" t="n">
        <v>0</v>
      </c>
      <c r="E797" s="48" t="s">
        <v>112</v>
      </c>
      <c r="F797" s="48" t="s">
        <v>71</v>
      </c>
      <c r="G797" s="48" t="s">
        <v>645</v>
      </c>
      <c r="H797" s="82" t="n">
        <f aca="false">DATE(YEAR(A797),MONTH(A797),1)</f>
        <v>43922</v>
      </c>
    </row>
    <row r="798" customFormat="false" ht="15" hidden="false" customHeight="false" outlineLevel="0" collapsed="false">
      <c r="A798" s="81" t="n">
        <v>43938</v>
      </c>
      <c r="B798" s="48" t="n">
        <v>123</v>
      </c>
      <c r="C798" s="48" t="n">
        <v>2</v>
      </c>
      <c r="D798" s="48" t="n">
        <v>3</v>
      </c>
      <c r="E798" s="48" t="s">
        <v>114</v>
      </c>
      <c r="F798" s="48" t="s">
        <v>70</v>
      </c>
      <c r="G798" s="48" t="s">
        <v>91</v>
      </c>
      <c r="H798" s="82" t="n">
        <f aca="false">DATE(YEAR(A798),MONTH(A798),1)</f>
        <v>43922</v>
      </c>
    </row>
    <row r="799" customFormat="false" ht="15" hidden="false" customHeight="false" outlineLevel="0" collapsed="false">
      <c r="A799" s="81" t="n">
        <v>43938</v>
      </c>
      <c r="B799" s="48" t="n">
        <v>0</v>
      </c>
      <c r="C799" s="48" t="n">
        <v>0</v>
      </c>
      <c r="D799" s="48" t="n">
        <v>2</v>
      </c>
      <c r="E799" s="48" t="s">
        <v>112</v>
      </c>
      <c r="F799" s="48" t="s">
        <v>70</v>
      </c>
      <c r="G799" s="48" t="s">
        <v>104</v>
      </c>
      <c r="H799" s="82" t="n">
        <f aca="false">DATE(YEAR(A799),MONTH(A799),1)</f>
        <v>43922</v>
      </c>
    </row>
    <row r="800" customFormat="false" ht="15" hidden="false" customHeight="false" outlineLevel="0" collapsed="false">
      <c r="A800" s="81" t="n">
        <v>43938</v>
      </c>
      <c r="B800" s="48" t="n">
        <v>1</v>
      </c>
      <c r="C800" s="48" t="n">
        <v>0</v>
      </c>
      <c r="D800" s="48" t="n">
        <v>0</v>
      </c>
      <c r="E800" s="48" t="s">
        <v>112</v>
      </c>
      <c r="F800" s="48" t="s">
        <v>70</v>
      </c>
      <c r="G800" s="48" t="s">
        <v>633</v>
      </c>
      <c r="H800" s="82" t="n">
        <f aca="false">DATE(YEAR(A800),MONTH(A800),1)</f>
        <v>43922</v>
      </c>
    </row>
    <row r="801" customFormat="false" ht="15" hidden="false" customHeight="false" outlineLevel="0" collapsed="false">
      <c r="A801" s="81" t="n">
        <v>43938</v>
      </c>
      <c r="B801" s="48" t="n">
        <v>1</v>
      </c>
      <c r="C801" s="48" t="n">
        <v>0</v>
      </c>
      <c r="D801" s="48" t="n">
        <v>0</v>
      </c>
      <c r="E801" s="48" t="s">
        <v>112</v>
      </c>
      <c r="F801" s="48" t="s">
        <v>70</v>
      </c>
      <c r="G801" s="48" t="s">
        <v>641</v>
      </c>
      <c r="H801" s="82" t="n">
        <f aca="false">DATE(YEAR(A801),MONTH(A801),1)</f>
        <v>43922</v>
      </c>
    </row>
    <row r="802" customFormat="false" ht="15" hidden="false" customHeight="false" outlineLevel="0" collapsed="false">
      <c r="A802" s="81" t="n">
        <v>43938</v>
      </c>
      <c r="B802" s="48" t="n">
        <v>2</v>
      </c>
      <c r="C802" s="48" t="n">
        <v>0</v>
      </c>
      <c r="D802" s="48" t="n">
        <v>0</v>
      </c>
      <c r="E802" s="48" t="s">
        <v>112</v>
      </c>
      <c r="F802" s="48" t="s">
        <v>70</v>
      </c>
      <c r="G802" s="48" t="s">
        <v>644</v>
      </c>
      <c r="H802" s="82" t="n">
        <f aca="false">DATE(YEAR(A802),MONTH(A802),1)</f>
        <v>43922</v>
      </c>
    </row>
    <row r="803" customFormat="false" ht="15" hidden="false" customHeight="false" outlineLevel="0" collapsed="false">
      <c r="A803" s="81" t="n">
        <v>43938</v>
      </c>
      <c r="B803" s="48" t="n">
        <v>1</v>
      </c>
      <c r="C803" s="48" t="n">
        <v>0</v>
      </c>
      <c r="D803" s="48" t="n">
        <v>0</v>
      </c>
      <c r="E803" s="48" t="s">
        <v>112</v>
      </c>
      <c r="F803" s="48" t="s">
        <v>70</v>
      </c>
      <c r="G803" s="48" t="s">
        <v>630</v>
      </c>
      <c r="H803" s="82" t="n">
        <f aca="false">DATE(YEAR(A803),MONTH(A803),1)</f>
        <v>43922</v>
      </c>
    </row>
    <row r="804" customFormat="false" ht="15" hidden="false" customHeight="false" outlineLevel="0" collapsed="false">
      <c r="A804" s="81" t="n">
        <v>43938</v>
      </c>
      <c r="B804" s="48" t="n">
        <v>6</v>
      </c>
      <c r="C804" s="48" t="n">
        <v>0</v>
      </c>
      <c r="D804" s="48" t="n">
        <v>0</v>
      </c>
      <c r="E804" s="48" t="s">
        <v>112</v>
      </c>
      <c r="F804" s="48" t="s">
        <v>70</v>
      </c>
      <c r="G804" s="48" t="s">
        <v>642</v>
      </c>
      <c r="H804" s="82" t="n">
        <f aca="false">DATE(YEAR(A804),MONTH(A804),1)</f>
        <v>43922</v>
      </c>
    </row>
    <row r="805" customFormat="false" ht="15" hidden="false" customHeight="false" outlineLevel="0" collapsed="false">
      <c r="A805" s="81" t="n">
        <v>43938</v>
      </c>
      <c r="B805" s="48" t="n">
        <v>28</v>
      </c>
      <c r="C805" s="48" t="n">
        <v>0</v>
      </c>
      <c r="D805" s="48" t="n">
        <v>0</v>
      </c>
      <c r="E805" s="48" t="s">
        <v>114</v>
      </c>
      <c r="F805" s="48" t="s">
        <v>70</v>
      </c>
      <c r="G805" s="48" t="s">
        <v>105</v>
      </c>
      <c r="H805" s="82" t="n">
        <f aca="false">DATE(YEAR(A805),MONTH(A805),1)</f>
        <v>43922</v>
      </c>
    </row>
    <row r="806" customFormat="false" ht="15" hidden="false" customHeight="false" outlineLevel="0" collapsed="false">
      <c r="A806" s="81" t="n">
        <v>43938</v>
      </c>
      <c r="B806" s="48" t="n">
        <v>73</v>
      </c>
      <c r="C806" s="48" t="n">
        <v>0</v>
      </c>
      <c r="D806" s="48" t="n">
        <v>0</v>
      </c>
      <c r="E806" s="48" t="s">
        <v>114</v>
      </c>
      <c r="F806" s="48" t="s">
        <v>70</v>
      </c>
      <c r="G806" s="48" t="s">
        <v>592</v>
      </c>
      <c r="H806" s="82" t="n">
        <f aca="false">DATE(YEAR(A806),MONTH(A806),1)</f>
        <v>43922</v>
      </c>
    </row>
    <row r="807" customFormat="false" ht="15" hidden="false" customHeight="false" outlineLevel="0" collapsed="false">
      <c r="A807" s="81" t="n">
        <v>43938</v>
      </c>
      <c r="B807" s="48" t="n">
        <v>1</v>
      </c>
      <c r="C807" s="48" t="n">
        <v>0</v>
      </c>
      <c r="D807" s="48" t="n">
        <v>0</v>
      </c>
      <c r="E807" s="48" t="s">
        <v>112</v>
      </c>
      <c r="F807" s="48" t="s">
        <v>70</v>
      </c>
      <c r="G807" s="48" t="s">
        <v>670</v>
      </c>
      <c r="H807" s="82" t="n">
        <f aca="false">DATE(YEAR(A807),MONTH(A807),1)</f>
        <v>43922</v>
      </c>
    </row>
    <row r="808" customFormat="false" ht="15" hidden="false" customHeight="false" outlineLevel="0" collapsed="false">
      <c r="A808" s="81" t="n">
        <v>43939</v>
      </c>
      <c r="B808" s="48" t="n">
        <v>8</v>
      </c>
      <c r="C808" s="48" t="n">
        <v>0</v>
      </c>
      <c r="D808" s="48" t="n">
        <v>0</v>
      </c>
      <c r="E808" s="48" t="s">
        <v>112</v>
      </c>
      <c r="F808" s="48" t="s">
        <v>73</v>
      </c>
      <c r="G808" s="48" t="s">
        <v>93</v>
      </c>
      <c r="H808" s="82" t="n">
        <f aca="false">DATE(YEAR(A808),MONTH(A808),1)</f>
        <v>43922</v>
      </c>
    </row>
    <row r="809" customFormat="false" ht="15" hidden="false" customHeight="false" outlineLevel="0" collapsed="false">
      <c r="A809" s="81" t="n">
        <v>43939</v>
      </c>
      <c r="B809" s="48" t="n">
        <v>7</v>
      </c>
      <c r="C809" s="48" t="n">
        <v>0</v>
      </c>
      <c r="D809" s="48" t="n">
        <v>1</v>
      </c>
      <c r="E809" s="48" t="s">
        <v>112</v>
      </c>
      <c r="F809" s="48" t="s">
        <v>75</v>
      </c>
      <c r="G809" s="48" t="s">
        <v>103</v>
      </c>
      <c r="H809" s="82" t="n">
        <f aca="false">DATE(YEAR(A809),MONTH(A809),1)</f>
        <v>43922</v>
      </c>
    </row>
    <row r="810" customFormat="false" ht="15" hidden="false" customHeight="false" outlineLevel="0" collapsed="false">
      <c r="A810" s="81" t="n">
        <v>43939</v>
      </c>
      <c r="B810" s="48" t="n">
        <v>9</v>
      </c>
      <c r="C810" s="48" t="n">
        <v>1</v>
      </c>
      <c r="D810" s="48" t="n">
        <v>2</v>
      </c>
      <c r="E810" s="48" t="s">
        <v>112</v>
      </c>
      <c r="F810" s="48" t="s">
        <v>74</v>
      </c>
      <c r="G810" s="48" t="s">
        <v>95</v>
      </c>
      <c r="H810" s="82" t="n">
        <f aca="false">DATE(YEAR(A810),MONTH(A810),1)</f>
        <v>43922</v>
      </c>
    </row>
    <row r="811" customFormat="false" ht="15" hidden="false" customHeight="false" outlineLevel="0" collapsed="false">
      <c r="A811" s="81" t="n">
        <v>43939</v>
      </c>
      <c r="B811" s="48" t="n">
        <v>43</v>
      </c>
      <c r="C811" s="48" t="n">
        <v>5</v>
      </c>
      <c r="D811" s="48" t="n">
        <v>0</v>
      </c>
      <c r="E811" s="48" t="s">
        <v>114</v>
      </c>
      <c r="F811" s="48" t="s">
        <v>72</v>
      </c>
      <c r="G811" s="48" t="s">
        <v>94</v>
      </c>
      <c r="H811" s="82" t="n">
        <f aca="false">DATE(YEAR(A811),MONTH(A811),1)</f>
        <v>43922</v>
      </c>
    </row>
    <row r="812" customFormat="false" ht="15" hidden="false" customHeight="false" outlineLevel="0" collapsed="false">
      <c r="A812" s="81" t="n">
        <v>43939</v>
      </c>
      <c r="B812" s="48" t="n">
        <v>41</v>
      </c>
      <c r="C812" s="48" t="n">
        <v>0</v>
      </c>
      <c r="D812" s="48" t="n">
        <v>0</v>
      </c>
      <c r="E812" s="48" t="s">
        <v>121</v>
      </c>
      <c r="F812" s="48" t="s">
        <v>72</v>
      </c>
      <c r="G812" s="48" t="s">
        <v>94</v>
      </c>
      <c r="H812" s="82" t="n">
        <f aca="false">DATE(YEAR(A812),MONTH(A812),1)</f>
        <v>43922</v>
      </c>
    </row>
    <row r="813" customFormat="false" ht="15" hidden="false" customHeight="false" outlineLevel="0" collapsed="false">
      <c r="A813" s="81" t="n">
        <v>43939</v>
      </c>
      <c r="B813" s="48" t="n">
        <v>2</v>
      </c>
      <c r="C813" s="48" t="n">
        <v>0</v>
      </c>
      <c r="D813" s="48" t="n">
        <v>25</v>
      </c>
      <c r="E813" s="48" t="s">
        <v>127</v>
      </c>
      <c r="F813" s="48" t="s">
        <v>71</v>
      </c>
      <c r="G813" s="48" t="s">
        <v>92</v>
      </c>
      <c r="H813" s="82" t="n">
        <f aca="false">DATE(YEAR(A813),MONTH(A813),1)</f>
        <v>43922</v>
      </c>
    </row>
    <row r="814" customFormat="false" ht="15" hidden="false" customHeight="false" outlineLevel="0" collapsed="false">
      <c r="A814" s="81" t="n">
        <v>43939</v>
      </c>
      <c r="B814" s="48" t="n">
        <v>5</v>
      </c>
      <c r="C814" s="48" t="n">
        <v>4</v>
      </c>
      <c r="D814" s="48" t="n">
        <v>0</v>
      </c>
      <c r="E814" s="48" t="s">
        <v>112</v>
      </c>
      <c r="F814" s="48" t="s">
        <v>71</v>
      </c>
      <c r="G814" s="48" t="s">
        <v>92</v>
      </c>
      <c r="H814" s="82" t="n">
        <f aca="false">DATE(YEAR(A814),MONTH(A814),1)</f>
        <v>43922</v>
      </c>
    </row>
    <row r="815" customFormat="false" ht="15" hidden="false" customHeight="false" outlineLevel="0" collapsed="false">
      <c r="A815" s="81" t="n">
        <v>43939</v>
      </c>
      <c r="B815" s="48" t="n">
        <v>2</v>
      </c>
      <c r="C815" s="48" t="n">
        <v>0</v>
      </c>
      <c r="D815" s="48" t="n">
        <v>0</v>
      </c>
      <c r="E815" s="48" t="s">
        <v>112</v>
      </c>
      <c r="F815" s="48" t="s">
        <v>71</v>
      </c>
      <c r="G815" s="48" t="s">
        <v>596</v>
      </c>
      <c r="H815" s="82" t="n">
        <f aca="false">DATE(YEAR(A815),MONTH(A815),1)</f>
        <v>43922</v>
      </c>
    </row>
    <row r="816" customFormat="false" ht="15" hidden="false" customHeight="false" outlineLevel="0" collapsed="false">
      <c r="A816" s="81" t="n">
        <v>43939</v>
      </c>
      <c r="B816" s="48" t="n">
        <v>7</v>
      </c>
      <c r="C816" s="48" t="n">
        <v>0</v>
      </c>
      <c r="D816" s="48" t="n">
        <v>0</v>
      </c>
      <c r="E816" s="48" t="s">
        <v>112</v>
      </c>
      <c r="F816" s="48" t="s">
        <v>71</v>
      </c>
      <c r="G816" s="48" t="s">
        <v>606</v>
      </c>
      <c r="H816" s="82" t="n">
        <f aca="false">DATE(YEAR(A816),MONTH(A816),1)</f>
        <v>43922</v>
      </c>
    </row>
    <row r="817" customFormat="false" ht="15" hidden="false" customHeight="false" outlineLevel="0" collapsed="false">
      <c r="A817" s="81" t="n">
        <v>43939</v>
      </c>
      <c r="B817" s="48" t="n">
        <v>1</v>
      </c>
      <c r="C817" s="48" t="n">
        <v>0</v>
      </c>
      <c r="D817" s="48" t="n">
        <v>0</v>
      </c>
      <c r="E817" s="48" t="s">
        <v>112</v>
      </c>
      <c r="F817" s="48" t="s">
        <v>71</v>
      </c>
      <c r="G817" s="48" t="s">
        <v>602</v>
      </c>
      <c r="H817" s="82" t="n">
        <f aca="false">DATE(YEAR(A817),MONTH(A817),1)</f>
        <v>43922</v>
      </c>
    </row>
    <row r="818" customFormat="false" ht="15" hidden="false" customHeight="false" outlineLevel="0" collapsed="false">
      <c r="A818" s="81" t="n">
        <v>43939</v>
      </c>
      <c r="B818" s="48" t="n">
        <v>1</v>
      </c>
      <c r="C818" s="48" t="n">
        <v>0</v>
      </c>
      <c r="D818" s="48" t="n">
        <v>0</v>
      </c>
      <c r="E818" s="48" t="s">
        <v>112</v>
      </c>
      <c r="F818" s="48" t="s">
        <v>71</v>
      </c>
      <c r="G818" s="48" t="s">
        <v>680</v>
      </c>
      <c r="H818" s="82" t="n">
        <f aca="false">DATE(YEAR(A818),MONTH(A818),1)</f>
        <v>43922</v>
      </c>
    </row>
    <row r="819" customFormat="false" ht="15" hidden="false" customHeight="false" outlineLevel="0" collapsed="false">
      <c r="A819" s="81" t="n">
        <v>43939</v>
      </c>
      <c r="B819" s="48" t="n">
        <v>1</v>
      </c>
      <c r="C819" s="48" t="n">
        <v>0</v>
      </c>
      <c r="D819" s="48" t="n">
        <v>0</v>
      </c>
      <c r="E819" s="48" t="s">
        <v>112</v>
      </c>
      <c r="F819" s="48" t="s">
        <v>71</v>
      </c>
      <c r="G819" s="48" t="s">
        <v>661</v>
      </c>
      <c r="H819" s="82" t="n">
        <f aca="false">DATE(YEAR(A819),MONTH(A819),1)</f>
        <v>43922</v>
      </c>
    </row>
    <row r="820" customFormat="false" ht="15" hidden="false" customHeight="false" outlineLevel="0" collapsed="false">
      <c r="A820" s="81" t="n">
        <v>43939</v>
      </c>
      <c r="B820" s="48" t="n">
        <v>138</v>
      </c>
      <c r="C820" s="48" t="n">
        <v>1</v>
      </c>
      <c r="D820" s="48" t="n">
        <v>11</v>
      </c>
      <c r="E820" s="48" t="s">
        <v>114</v>
      </c>
      <c r="F820" s="48" t="s">
        <v>70</v>
      </c>
      <c r="G820" s="48" t="s">
        <v>91</v>
      </c>
      <c r="H820" s="82" t="n">
        <f aca="false">DATE(YEAR(A820),MONTH(A820),1)</f>
        <v>43922</v>
      </c>
    </row>
    <row r="821" customFormat="false" ht="15" hidden="false" customHeight="false" outlineLevel="0" collapsed="false">
      <c r="A821" s="81" t="n">
        <v>43939</v>
      </c>
      <c r="B821" s="48" t="n">
        <v>1</v>
      </c>
      <c r="C821" s="48" t="n">
        <v>0</v>
      </c>
      <c r="D821" s="48" t="n">
        <v>0</v>
      </c>
      <c r="E821" s="48" t="s">
        <v>112</v>
      </c>
      <c r="F821" s="48" t="s">
        <v>70</v>
      </c>
      <c r="G821" s="48" t="s">
        <v>616</v>
      </c>
      <c r="H821" s="82" t="n">
        <f aca="false">DATE(YEAR(A821),MONTH(A821),1)</f>
        <v>43922</v>
      </c>
    </row>
    <row r="822" customFormat="false" ht="15" hidden="false" customHeight="false" outlineLevel="0" collapsed="false">
      <c r="A822" s="81" t="n">
        <v>43939</v>
      </c>
      <c r="B822" s="48" t="n">
        <v>9</v>
      </c>
      <c r="C822" s="48" t="n">
        <v>0</v>
      </c>
      <c r="D822" s="48" t="n">
        <v>0</v>
      </c>
      <c r="E822" s="48" t="s">
        <v>112</v>
      </c>
      <c r="F822" s="48" t="s">
        <v>70</v>
      </c>
      <c r="G822" s="48" t="s">
        <v>640</v>
      </c>
      <c r="H822" s="82" t="n">
        <f aca="false">DATE(YEAR(A822),MONTH(A822),1)</f>
        <v>43922</v>
      </c>
    </row>
    <row r="823" customFormat="false" ht="15" hidden="false" customHeight="false" outlineLevel="0" collapsed="false">
      <c r="A823" s="81" t="n">
        <v>43939</v>
      </c>
      <c r="B823" s="48" t="n">
        <v>6</v>
      </c>
      <c r="C823" s="48" t="n">
        <v>0</v>
      </c>
      <c r="D823" s="48" t="n">
        <v>0</v>
      </c>
      <c r="E823" s="48" t="s">
        <v>112</v>
      </c>
      <c r="F823" s="48" t="s">
        <v>70</v>
      </c>
      <c r="G823" s="48" t="s">
        <v>639</v>
      </c>
      <c r="H823" s="82" t="n">
        <f aca="false">DATE(YEAR(A823),MONTH(A823),1)</f>
        <v>43922</v>
      </c>
    </row>
    <row r="824" customFormat="false" ht="15" hidden="false" customHeight="false" outlineLevel="0" collapsed="false">
      <c r="A824" s="81" t="n">
        <v>43939</v>
      </c>
      <c r="B824" s="48" t="n">
        <v>4</v>
      </c>
      <c r="C824" s="48" t="n">
        <v>0</v>
      </c>
      <c r="D824" s="48" t="n">
        <v>0</v>
      </c>
      <c r="E824" s="48" t="s">
        <v>112</v>
      </c>
      <c r="F824" s="48" t="s">
        <v>70</v>
      </c>
      <c r="G824" s="48" t="s">
        <v>679</v>
      </c>
      <c r="H824" s="82" t="n">
        <f aca="false">DATE(YEAR(A824),MONTH(A824),1)</f>
        <v>43922</v>
      </c>
    </row>
    <row r="825" customFormat="false" ht="15" hidden="false" customHeight="false" outlineLevel="0" collapsed="false">
      <c r="A825" s="81" t="n">
        <v>43939</v>
      </c>
      <c r="B825" s="48" t="n">
        <v>0</v>
      </c>
      <c r="C825" s="48" t="n">
        <v>0</v>
      </c>
      <c r="D825" s="48" t="n">
        <v>0</v>
      </c>
      <c r="E825" s="48" t="s">
        <v>118</v>
      </c>
      <c r="F825" s="48" t="s">
        <v>70</v>
      </c>
      <c r="G825" s="48" t="s">
        <v>98</v>
      </c>
      <c r="H825" s="82" t="n">
        <f aca="false">DATE(YEAR(A825),MONTH(A825),1)</f>
        <v>43922</v>
      </c>
    </row>
    <row r="826" customFormat="false" ht="15" hidden="false" customHeight="false" outlineLevel="0" collapsed="false">
      <c r="A826" s="81" t="n">
        <v>43940</v>
      </c>
      <c r="B826" s="48" t="n">
        <v>1</v>
      </c>
      <c r="C826" s="48" t="n">
        <v>0</v>
      </c>
      <c r="D826" s="48" t="n">
        <v>0</v>
      </c>
      <c r="E826" s="48" t="s">
        <v>112</v>
      </c>
      <c r="F826" s="48" t="s">
        <v>76</v>
      </c>
      <c r="G826" s="48" t="s">
        <v>595</v>
      </c>
      <c r="H826" s="82" t="n">
        <f aca="false">DATE(YEAR(A826),MONTH(A826),1)</f>
        <v>43922</v>
      </c>
    </row>
    <row r="827" customFormat="false" ht="15" hidden="false" customHeight="false" outlineLevel="0" collapsed="false">
      <c r="A827" s="81" t="n">
        <v>43940</v>
      </c>
      <c r="B827" s="48" t="n">
        <v>56</v>
      </c>
      <c r="C827" s="48" t="n">
        <v>0</v>
      </c>
      <c r="D827" s="48" t="n">
        <v>0</v>
      </c>
      <c r="E827" s="48" t="s">
        <v>112</v>
      </c>
      <c r="F827" s="48" t="s">
        <v>73</v>
      </c>
      <c r="G827" s="48" t="s">
        <v>93</v>
      </c>
      <c r="H827" s="82" t="n">
        <f aca="false">DATE(YEAR(A827),MONTH(A827),1)</f>
        <v>43922</v>
      </c>
    </row>
    <row r="828" customFormat="false" ht="15" hidden="false" customHeight="false" outlineLevel="0" collapsed="false">
      <c r="A828" s="81" t="n">
        <v>43940</v>
      </c>
      <c r="B828" s="48" t="n">
        <v>0</v>
      </c>
      <c r="C828" s="48" t="n">
        <v>1</v>
      </c>
      <c r="D828" s="48" t="n">
        <v>0</v>
      </c>
      <c r="E828" s="48" t="s">
        <v>112</v>
      </c>
      <c r="F828" s="48" t="s">
        <v>77</v>
      </c>
      <c r="G828" s="48" t="s">
        <v>656</v>
      </c>
      <c r="H828" s="82" t="n">
        <f aca="false">DATE(YEAR(A828),MONTH(A828),1)</f>
        <v>43922</v>
      </c>
    </row>
    <row r="829" customFormat="false" ht="15" hidden="false" customHeight="false" outlineLevel="0" collapsed="false">
      <c r="A829" s="81" t="n">
        <v>43940</v>
      </c>
      <c r="B829" s="48" t="n">
        <v>6</v>
      </c>
      <c r="C829" s="48" t="n">
        <v>0</v>
      </c>
      <c r="D829" s="48" t="n">
        <v>1</v>
      </c>
      <c r="E829" s="48" t="s">
        <v>112</v>
      </c>
      <c r="F829" s="48" t="s">
        <v>75</v>
      </c>
      <c r="G829" s="48" t="s">
        <v>103</v>
      </c>
      <c r="H829" s="82" t="n">
        <f aca="false">DATE(YEAR(A829),MONTH(A829),1)</f>
        <v>43922</v>
      </c>
    </row>
    <row r="830" customFormat="false" ht="15" hidden="false" customHeight="false" outlineLevel="0" collapsed="false">
      <c r="A830" s="81" t="n">
        <v>43940</v>
      </c>
      <c r="B830" s="48" t="n">
        <v>8</v>
      </c>
      <c r="C830" s="48" t="n">
        <v>0</v>
      </c>
      <c r="D830" s="48" t="n">
        <v>0</v>
      </c>
      <c r="E830" s="48" t="s">
        <v>112</v>
      </c>
      <c r="F830" s="48" t="s">
        <v>74</v>
      </c>
      <c r="G830" s="48" t="s">
        <v>95</v>
      </c>
      <c r="H830" s="82" t="n">
        <f aca="false">DATE(YEAR(A830),MONTH(A830),1)</f>
        <v>43922</v>
      </c>
    </row>
    <row r="831" customFormat="false" ht="15" hidden="false" customHeight="false" outlineLevel="0" collapsed="false">
      <c r="A831" s="81" t="n">
        <v>43940</v>
      </c>
      <c r="B831" s="48" t="n">
        <v>60</v>
      </c>
      <c r="C831" s="48" t="n">
        <v>2</v>
      </c>
      <c r="D831" s="48" t="n">
        <v>0</v>
      </c>
      <c r="E831" s="48" t="s">
        <v>112</v>
      </c>
      <c r="F831" s="48" t="s">
        <v>72</v>
      </c>
      <c r="G831" s="48" t="s">
        <v>94</v>
      </c>
      <c r="H831" s="82" t="n">
        <f aca="false">DATE(YEAR(A831),MONTH(A831),1)</f>
        <v>43922</v>
      </c>
    </row>
    <row r="832" customFormat="false" ht="15" hidden="false" customHeight="false" outlineLevel="0" collapsed="false">
      <c r="A832" s="81" t="n">
        <v>43940</v>
      </c>
      <c r="B832" s="48" t="n">
        <v>0</v>
      </c>
      <c r="C832" s="48" t="n">
        <v>1</v>
      </c>
      <c r="D832" s="48" t="n">
        <v>0</v>
      </c>
      <c r="E832" s="48" t="s">
        <v>112</v>
      </c>
      <c r="F832" s="48" t="s">
        <v>72</v>
      </c>
      <c r="G832" s="48" t="s">
        <v>594</v>
      </c>
      <c r="H832" s="82" t="n">
        <f aca="false">DATE(YEAR(A832),MONTH(A832),1)</f>
        <v>43922</v>
      </c>
    </row>
    <row r="833" customFormat="false" ht="15" hidden="false" customHeight="false" outlineLevel="0" collapsed="false">
      <c r="A833" s="81" t="n">
        <v>43940</v>
      </c>
      <c r="B833" s="48" t="n">
        <v>0</v>
      </c>
      <c r="C833" s="48" t="n">
        <v>4</v>
      </c>
      <c r="D833" s="48" t="n">
        <v>0</v>
      </c>
      <c r="E833" s="48" t="s">
        <v>112</v>
      </c>
      <c r="F833" s="48" t="s">
        <v>72</v>
      </c>
      <c r="G833" s="48" t="s">
        <v>96</v>
      </c>
      <c r="H833" s="82" t="n">
        <f aca="false">DATE(YEAR(A833),MONTH(A833),1)</f>
        <v>43922</v>
      </c>
    </row>
    <row r="834" customFormat="false" ht="15" hidden="false" customHeight="false" outlineLevel="0" collapsed="false">
      <c r="A834" s="81" t="n">
        <v>43940</v>
      </c>
      <c r="B834" s="48" t="n">
        <v>0</v>
      </c>
      <c r="C834" s="48" t="n">
        <v>1</v>
      </c>
      <c r="D834" s="48" t="n">
        <v>0</v>
      </c>
      <c r="E834" s="48" t="s">
        <v>112</v>
      </c>
      <c r="F834" s="48" t="s">
        <v>72</v>
      </c>
      <c r="G834" s="48" t="s">
        <v>101</v>
      </c>
      <c r="H834" s="82" t="n">
        <f aca="false">DATE(YEAR(A834),MONTH(A834),1)</f>
        <v>43922</v>
      </c>
    </row>
    <row r="835" customFormat="false" ht="15" hidden="false" customHeight="false" outlineLevel="0" collapsed="false">
      <c r="A835" s="81" t="n">
        <v>43940</v>
      </c>
      <c r="B835" s="48" t="n">
        <v>0</v>
      </c>
      <c r="C835" s="48" t="n">
        <v>1</v>
      </c>
      <c r="D835" s="48" t="n">
        <v>0</v>
      </c>
      <c r="E835" s="48" t="s">
        <v>112</v>
      </c>
      <c r="F835" s="48" t="s">
        <v>72</v>
      </c>
      <c r="G835" s="48" t="s">
        <v>593</v>
      </c>
      <c r="H835" s="82" t="n">
        <f aca="false">DATE(YEAR(A835),MONTH(A835),1)</f>
        <v>43922</v>
      </c>
    </row>
    <row r="836" customFormat="false" ht="15" hidden="false" customHeight="false" outlineLevel="0" collapsed="false">
      <c r="A836" s="81" t="n">
        <v>43940</v>
      </c>
      <c r="B836" s="48" t="n">
        <v>0</v>
      </c>
      <c r="C836" s="48" t="n">
        <v>0</v>
      </c>
      <c r="D836" s="48" t="n">
        <v>5</v>
      </c>
      <c r="E836" s="48" t="s">
        <v>112</v>
      </c>
      <c r="F836" s="48" t="s">
        <v>72</v>
      </c>
      <c r="G836" s="48" t="s">
        <v>655</v>
      </c>
      <c r="H836" s="82" t="n">
        <f aca="false">DATE(YEAR(A836),MONTH(A836),1)</f>
        <v>43922</v>
      </c>
    </row>
    <row r="837" customFormat="false" ht="15" hidden="false" customHeight="false" outlineLevel="0" collapsed="false">
      <c r="A837" s="81" t="n">
        <v>43940</v>
      </c>
      <c r="B837" s="48" t="n">
        <v>0</v>
      </c>
      <c r="C837" s="48" t="n">
        <v>0</v>
      </c>
      <c r="D837" s="48" t="n">
        <v>3</v>
      </c>
      <c r="E837" s="48" t="s">
        <v>112</v>
      </c>
      <c r="F837" s="48" t="s">
        <v>72</v>
      </c>
      <c r="G837" s="48" t="s">
        <v>612</v>
      </c>
      <c r="H837" s="82" t="n">
        <f aca="false">DATE(YEAR(A837),MONTH(A837),1)</f>
        <v>43922</v>
      </c>
    </row>
    <row r="838" customFormat="false" ht="15" hidden="false" customHeight="false" outlineLevel="0" collapsed="false">
      <c r="A838" s="81" t="n">
        <v>43940</v>
      </c>
      <c r="B838" s="48" t="n">
        <v>0</v>
      </c>
      <c r="C838" s="48" t="n">
        <v>0</v>
      </c>
      <c r="D838" s="48" t="n">
        <v>2</v>
      </c>
      <c r="E838" s="48" t="s">
        <v>112</v>
      </c>
      <c r="F838" s="48" t="s">
        <v>72</v>
      </c>
      <c r="G838" s="48" t="s">
        <v>614</v>
      </c>
      <c r="H838" s="82" t="n">
        <f aca="false">DATE(YEAR(A838),MONTH(A838),1)</f>
        <v>43922</v>
      </c>
    </row>
    <row r="839" customFormat="false" ht="15" hidden="false" customHeight="false" outlineLevel="0" collapsed="false">
      <c r="A839" s="81" t="n">
        <v>43940</v>
      </c>
      <c r="B839" s="48" t="n">
        <v>0</v>
      </c>
      <c r="C839" s="48" t="n">
        <v>0</v>
      </c>
      <c r="D839" s="48" t="n">
        <v>1</v>
      </c>
      <c r="E839" s="48" t="s">
        <v>112</v>
      </c>
      <c r="F839" s="48" t="s">
        <v>72</v>
      </c>
      <c r="G839" s="48" t="s">
        <v>664</v>
      </c>
      <c r="H839" s="82" t="n">
        <f aca="false">DATE(YEAR(A839),MONTH(A839),1)</f>
        <v>43922</v>
      </c>
    </row>
    <row r="840" customFormat="false" ht="15" hidden="false" customHeight="false" outlineLevel="0" collapsed="false">
      <c r="A840" s="81" t="n">
        <v>43940</v>
      </c>
      <c r="B840" s="48" t="n">
        <v>0</v>
      </c>
      <c r="C840" s="48" t="n">
        <v>0</v>
      </c>
      <c r="D840" s="48" t="n">
        <v>4</v>
      </c>
      <c r="E840" s="48" t="s">
        <v>112</v>
      </c>
      <c r="F840" s="48" t="s">
        <v>72</v>
      </c>
      <c r="G840" s="48" t="s">
        <v>609</v>
      </c>
      <c r="H840" s="82" t="n">
        <f aca="false">DATE(YEAR(A840),MONTH(A840),1)</f>
        <v>43922</v>
      </c>
    </row>
    <row r="841" customFormat="false" ht="15" hidden="false" customHeight="false" outlineLevel="0" collapsed="false">
      <c r="A841" s="81" t="n">
        <v>43940</v>
      </c>
      <c r="B841" s="48" t="n">
        <v>0</v>
      </c>
      <c r="C841" s="48" t="n">
        <v>0</v>
      </c>
      <c r="D841" s="48" t="n">
        <v>3</v>
      </c>
      <c r="E841" s="48" t="s">
        <v>112</v>
      </c>
      <c r="F841" s="48" t="s">
        <v>72</v>
      </c>
      <c r="G841" s="48" t="s">
        <v>611</v>
      </c>
      <c r="H841" s="82" t="n">
        <f aca="false">DATE(YEAR(A841),MONTH(A841),1)</f>
        <v>43922</v>
      </c>
    </row>
    <row r="842" customFormat="false" ht="15" hidden="false" customHeight="false" outlineLevel="0" collapsed="false">
      <c r="A842" s="81" t="n">
        <v>43940</v>
      </c>
      <c r="B842" s="48" t="n">
        <v>0</v>
      </c>
      <c r="C842" s="48" t="n">
        <v>0</v>
      </c>
      <c r="D842" s="48" t="n">
        <v>8</v>
      </c>
      <c r="E842" s="48" t="s">
        <v>112</v>
      </c>
      <c r="F842" s="48" t="s">
        <v>72</v>
      </c>
      <c r="G842" s="48" t="s">
        <v>597</v>
      </c>
      <c r="H842" s="82" t="n">
        <f aca="false">DATE(YEAR(A842),MONTH(A842),1)</f>
        <v>43922</v>
      </c>
    </row>
    <row r="843" customFormat="false" ht="15" hidden="false" customHeight="false" outlineLevel="0" collapsed="false">
      <c r="A843" s="81" t="n">
        <v>43940</v>
      </c>
      <c r="B843" s="48" t="n">
        <v>0</v>
      </c>
      <c r="C843" s="48" t="n">
        <v>0</v>
      </c>
      <c r="D843" s="48" t="n">
        <v>15</v>
      </c>
      <c r="E843" s="48" t="s">
        <v>112</v>
      </c>
      <c r="F843" s="48" t="s">
        <v>72</v>
      </c>
      <c r="G843" s="48" t="s">
        <v>603</v>
      </c>
      <c r="H843" s="82" t="n">
        <f aca="false">DATE(YEAR(A843),MONTH(A843),1)</f>
        <v>43922</v>
      </c>
    </row>
    <row r="844" customFormat="false" ht="15" hidden="false" customHeight="false" outlineLevel="0" collapsed="false">
      <c r="A844" s="81" t="n">
        <v>43940</v>
      </c>
      <c r="B844" s="48" t="n">
        <v>0</v>
      </c>
      <c r="C844" s="48" t="n">
        <v>0</v>
      </c>
      <c r="D844" s="48" t="n">
        <v>4</v>
      </c>
      <c r="E844" s="48" t="s">
        <v>112</v>
      </c>
      <c r="F844" s="48" t="s">
        <v>72</v>
      </c>
      <c r="G844" s="48" t="s">
        <v>621</v>
      </c>
      <c r="H844" s="82" t="n">
        <f aca="false">DATE(YEAR(A844),MONTH(A844),1)</f>
        <v>43922</v>
      </c>
    </row>
    <row r="845" customFormat="false" ht="15" hidden="false" customHeight="false" outlineLevel="0" collapsed="false">
      <c r="A845" s="81" t="n">
        <v>43940</v>
      </c>
      <c r="B845" s="48" t="n">
        <v>0</v>
      </c>
      <c r="C845" s="48" t="n">
        <v>0</v>
      </c>
      <c r="D845" s="48" t="n">
        <v>29</v>
      </c>
      <c r="E845" s="48" t="s">
        <v>116</v>
      </c>
      <c r="F845" s="48" t="s">
        <v>71</v>
      </c>
      <c r="G845" s="48" t="s">
        <v>92</v>
      </c>
      <c r="H845" s="82" t="n">
        <f aca="false">DATE(YEAR(A845),MONTH(A845),1)</f>
        <v>43922</v>
      </c>
    </row>
    <row r="846" customFormat="false" ht="15" hidden="false" customHeight="false" outlineLevel="0" collapsed="false">
      <c r="A846" s="81" t="n">
        <v>43940</v>
      </c>
      <c r="B846" s="48" t="n">
        <v>3</v>
      </c>
      <c r="C846" s="48" t="n">
        <v>0</v>
      </c>
      <c r="D846" s="48" t="n">
        <v>0</v>
      </c>
      <c r="E846" s="48" t="s">
        <v>120</v>
      </c>
      <c r="F846" s="48" t="s">
        <v>71</v>
      </c>
      <c r="G846" s="48" t="s">
        <v>92</v>
      </c>
      <c r="H846" s="82" t="n">
        <f aca="false">DATE(YEAR(A846),MONTH(A846),1)</f>
        <v>43922</v>
      </c>
    </row>
    <row r="847" customFormat="false" ht="15" hidden="false" customHeight="false" outlineLevel="0" collapsed="false">
      <c r="A847" s="81" t="n">
        <v>43940</v>
      </c>
      <c r="B847" s="48" t="n">
        <v>36</v>
      </c>
      <c r="C847" s="48" t="n">
        <v>0</v>
      </c>
      <c r="D847" s="48" t="n">
        <v>0</v>
      </c>
      <c r="E847" s="48" t="s">
        <v>112</v>
      </c>
      <c r="F847" s="48" t="s">
        <v>71</v>
      </c>
      <c r="G847" s="48" t="s">
        <v>92</v>
      </c>
      <c r="H847" s="82" t="n">
        <f aca="false">DATE(YEAR(A847),MONTH(A847),1)</f>
        <v>43922</v>
      </c>
    </row>
    <row r="848" customFormat="false" ht="15" hidden="false" customHeight="false" outlineLevel="0" collapsed="false">
      <c r="A848" s="81" t="n">
        <v>43940</v>
      </c>
      <c r="B848" s="48" t="n">
        <v>3</v>
      </c>
      <c r="C848" s="48" t="n">
        <v>0</v>
      </c>
      <c r="D848" s="48" t="n">
        <v>0</v>
      </c>
      <c r="E848" s="48" t="s">
        <v>112</v>
      </c>
      <c r="F848" s="48" t="s">
        <v>71</v>
      </c>
      <c r="G848" s="48" t="s">
        <v>97</v>
      </c>
      <c r="H848" s="82" t="n">
        <f aca="false">DATE(YEAR(A848),MONTH(A848),1)</f>
        <v>43922</v>
      </c>
    </row>
    <row r="849" customFormat="false" ht="15" hidden="false" customHeight="false" outlineLevel="0" collapsed="false">
      <c r="A849" s="81" t="n">
        <v>43940</v>
      </c>
      <c r="B849" s="48" t="n">
        <v>0</v>
      </c>
      <c r="C849" s="48" t="n">
        <v>0</v>
      </c>
      <c r="D849" s="48" t="n">
        <v>4</v>
      </c>
      <c r="E849" s="48" t="s">
        <v>112</v>
      </c>
      <c r="F849" s="48" t="s">
        <v>71</v>
      </c>
      <c r="G849" s="48" t="s">
        <v>606</v>
      </c>
      <c r="H849" s="82" t="n">
        <f aca="false">DATE(YEAR(A849),MONTH(A849),1)</f>
        <v>43922</v>
      </c>
    </row>
    <row r="850" customFormat="false" ht="15" hidden="false" customHeight="false" outlineLevel="0" collapsed="false">
      <c r="A850" s="81" t="n">
        <v>43940</v>
      </c>
      <c r="B850" s="48" t="n">
        <v>15</v>
      </c>
      <c r="C850" s="48" t="n">
        <v>0</v>
      </c>
      <c r="D850" s="48" t="n">
        <v>0</v>
      </c>
      <c r="E850" s="48" t="s">
        <v>112</v>
      </c>
      <c r="F850" s="48" t="s">
        <v>71</v>
      </c>
      <c r="G850" s="48" t="s">
        <v>620</v>
      </c>
      <c r="H850" s="82" t="n">
        <f aca="false">DATE(YEAR(A850),MONTH(A850),1)</f>
        <v>43922</v>
      </c>
    </row>
    <row r="851" customFormat="false" ht="15" hidden="false" customHeight="false" outlineLevel="0" collapsed="false">
      <c r="A851" s="81" t="n">
        <v>43940</v>
      </c>
      <c r="B851" s="48" t="n">
        <v>32</v>
      </c>
      <c r="C851" s="48" t="n">
        <v>0</v>
      </c>
      <c r="D851" s="48" t="n">
        <v>0</v>
      </c>
      <c r="E851" s="48" t="s">
        <v>112</v>
      </c>
      <c r="F851" s="48" t="s">
        <v>71</v>
      </c>
      <c r="G851" s="48" t="s">
        <v>602</v>
      </c>
      <c r="H851" s="82" t="n">
        <f aca="false">DATE(YEAR(A851),MONTH(A851),1)</f>
        <v>43922</v>
      </c>
    </row>
    <row r="852" customFormat="false" ht="15" hidden="false" customHeight="false" outlineLevel="0" collapsed="false">
      <c r="A852" s="81" t="n">
        <v>43940</v>
      </c>
      <c r="B852" s="48" t="n">
        <v>1</v>
      </c>
      <c r="C852" s="48" t="n">
        <v>0</v>
      </c>
      <c r="D852" s="48" t="n">
        <v>0</v>
      </c>
      <c r="E852" s="48" t="s">
        <v>112</v>
      </c>
      <c r="F852" s="48" t="s">
        <v>71</v>
      </c>
      <c r="G852" s="48" t="s">
        <v>647</v>
      </c>
      <c r="H852" s="82" t="n">
        <f aca="false">DATE(YEAR(A852),MONTH(A852),1)</f>
        <v>43922</v>
      </c>
    </row>
    <row r="853" customFormat="false" ht="15" hidden="false" customHeight="false" outlineLevel="0" collapsed="false">
      <c r="A853" s="81" t="n">
        <v>43940</v>
      </c>
      <c r="B853" s="48" t="n">
        <v>2</v>
      </c>
      <c r="C853" s="48" t="n">
        <v>0</v>
      </c>
      <c r="D853" s="48" t="n">
        <v>0</v>
      </c>
      <c r="E853" s="48" t="s">
        <v>112</v>
      </c>
      <c r="F853" s="48" t="s">
        <v>71</v>
      </c>
      <c r="G853" s="48" t="s">
        <v>618</v>
      </c>
      <c r="H853" s="82" t="n">
        <f aca="false">DATE(YEAR(A853),MONTH(A853),1)</f>
        <v>43922</v>
      </c>
    </row>
    <row r="854" customFormat="false" ht="15" hidden="false" customHeight="false" outlineLevel="0" collapsed="false">
      <c r="A854" s="81" t="n">
        <v>43940</v>
      </c>
      <c r="B854" s="48" t="n">
        <v>29</v>
      </c>
      <c r="C854" s="48" t="n">
        <v>0</v>
      </c>
      <c r="D854" s="48" t="n">
        <v>0</v>
      </c>
      <c r="E854" s="48" t="s">
        <v>112</v>
      </c>
      <c r="F854" s="48" t="s">
        <v>71</v>
      </c>
      <c r="G854" s="48" t="s">
        <v>604</v>
      </c>
      <c r="H854" s="82" t="n">
        <f aca="false">DATE(YEAR(A854),MONTH(A854),1)</f>
        <v>43922</v>
      </c>
    </row>
    <row r="855" customFormat="false" ht="15" hidden="false" customHeight="false" outlineLevel="0" collapsed="false">
      <c r="A855" s="81" t="n">
        <v>43940</v>
      </c>
      <c r="B855" s="48" t="n">
        <v>13</v>
      </c>
      <c r="C855" s="48" t="n">
        <v>0</v>
      </c>
      <c r="D855" s="48" t="n">
        <v>0</v>
      </c>
      <c r="E855" s="48" t="s">
        <v>112</v>
      </c>
      <c r="F855" s="48" t="s">
        <v>71</v>
      </c>
      <c r="G855" s="48" t="s">
        <v>661</v>
      </c>
      <c r="H855" s="82" t="n">
        <f aca="false">DATE(YEAR(A855),MONTH(A855),1)</f>
        <v>43922</v>
      </c>
    </row>
    <row r="856" customFormat="false" ht="15" hidden="false" customHeight="false" outlineLevel="0" collapsed="false">
      <c r="A856" s="81" t="n">
        <v>43940</v>
      </c>
      <c r="B856" s="48" t="n">
        <v>1</v>
      </c>
      <c r="C856" s="48" t="n">
        <v>0</v>
      </c>
      <c r="D856" s="48" t="n">
        <v>0</v>
      </c>
      <c r="E856" s="48" t="s">
        <v>112</v>
      </c>
      <c r="F856" s="48" t="s">
        <v>71</v>
      </c>
      <c r="G856" s="48" t="s">
        <v>674</v>
      </c>
      <c r="H856" s="82" t="n">
        <f aca="false">DATE(YEAR(A856),MONTH(A856),1)</f>
        <v>43922</v>
      </c>
    </row>
    <row r="857" customFormat="false" ht="15" hidden="false" customHeight="false" outlineLevel="0" collapsed="false">
      <c r="A857" s="81" t="n">
        <v>43940</v>
      </c>
      <c r="B857" s="48" t="n">
        <v>23</v>
      </c>
      <c r="C857" s="48" t="n">
        <v>0</v>
      </c>
      <c r="D857" s="48" t="n">
        <v>0</v>
      </c>
      <c r="E857" s="48" t="s">
        <v>112</v>
      </c>
      <c r="F857" s="48" t="s">
        <v>71</v>
      </c>
      <c r="G857" s="48" t="s">
        <v>625</v>
      </c>
      <c r="H857" s="82" t="n">
        <f aca="false">DATE(YEAR(A857),MONTH(A857),1)</f>
        <v>43922</v>
      </c>
    </row>
    <row r="858" customFormat="false" ht="15" hidden="false" customHeight="false" outlineLevel="0" collapsed="false">
      <c r="A858" s="81" t="n">
        <v>43940</v>
      </c>
      <c r="B858" s="48" t="n">
        <v>0</v>
      </c>
      <c r="C858" s="48" t="n">
        <v>0</v>
      </c>
      <c r="D858" s="48" t="n">
        <v>1</v>
      </c>
      <c r="E858" s="48" t="s">
        <v>112</v>
      </c>
      <c r="F858" s="48" t="s">
        <v>71</v>
      </c>
      <c r="G858" s="48" t="s">
        <v>638</v>
      </c>
      <c r="H858" s="82" t="n">
        <f aca="false">DATE(YEAR(A858),MONTH(A858),1)</f>
        <v>43922</v>
      </c>
    </row>
    <row r="859" customFormat="false" ht="15" hidden="false" customHeight="false" outlineLevel="0" collapsed="false">
      <c r="A859" s="81" t="n">
        <v>43940</v>
      </c>
      <c r="B859" s="48" t="n">
        <v>7</v>
      </c>
      <c r="C859" s="48" t="n">
        <v>0</v>
      </c>
      <c r="D859" s="48" t="n">
        <v>0</v>
      </c>
      <c r="E859" s="48" t="s">
        <v>112</v>
      </c>
      <c r="F859" s="48" t="s">
        <v>71</v>
      </c>
      <c r="G859" s="48" t="s">
        <v>651</v>
      </c>
      <c r="H859" s="82" t="n">
        <f aca="false">DATE(YEAR(A859),MONTH(A859),1)</f>
        <v>43922</v>
      </c>
    </row>
    <row r="860" customFormat="false" ht="15" hidden="false" customHeight="false" outlineLevel="0" collapsed="false">
      <c r="A860" s="81" t="n">
        <v>43940</v>
      </c>
      <c r="B860" s="48" t="n">
        <v>0</v>
      </c>
      <c r="C860" s="48" t="n">
        <v>0</v>
      </c>
      <c r="D860" s="48" t="n">
        <v>4</v>
      </c>
      <c r="E860" s="48" t="s">
        <v>112</v>
      </c>
      <c r="F860" s="48" t="s">
        <v>71</v>
      </c>
      <c r="G860" s="48" t="s">
        <v>634</v>
      </c>
      <c r="H860" s="82" t="n">
        <f aca="false">DATE(YEAR(A860),MONTH(A860),1)</f>
        <v>43922</v>
      </c>
    </row>
    <row r="861" customFormat="false" ht="15" hidden="false" customHeight="false" outlineLevel="0" collapsed="false">
      <c r="A861" s="81" t="n">
        <v>43940</v>
      </c>
      <c r="B861" s="48" t="n">
        <v>76</v>
      </c>
      <c r="C861" s="48" t="n">
        <v>0</v>
      </c>
      <c r="D861" s="48" t="n">
        <v>0</v>
      </c>
      <c r="E861" s="48" t="s">
        <v>112</v>
      </c>
      <c r="F861" s="48" t="s">
        <v>71</v>
      </c>
      <c r="G861" s="48" t="s">
        <v>622</v>
      </c>
      <c r="H861" s="82" t="n">
        <f aca="false">DATE(YEAR(A861),MONTH(A861),1)</f>
        <v>43922</v>
      </c>
    </row>
    <row r="862" customFormat="false" ht="15" hidden="false" customHeight="false" outlineLevel="0" collapsed="false">
      <c r="A862" s="81" t="n">
        <v>43940</v>
      </c>
      <c r="B862" s="48" t="n">
        <v>5</v>
      </c>
      <c r="C862" s="48" t="n">
        <v>0</v>
      </c>
      <c r="D862" s="48" t="n">
        <v>0</v>
      </c>
      <c r="E862" s="48" t="s">
        <v>112</v>
      </c>
      <c r="F862" s="48" t="s">
        <v>71</v>
      </c>
      <c r="G862" s="48" t="s">
        <v>678</v>
      </c>
      <c r="H862" s="82" t="n">
        <f aca="false">DATE(YEAR(A862),MONTH(A862),1)</f>
        <v>43922</v>
      </c>
    </row>
    <row r="863" customFormat="false" ht="15" hidden="false" customHeight="false" outlineLevel="0" collapsed="false">
      <c r="A863" s="81" t="n">
        <v>43940</v>
      </c>
      <c r="B863" s="48" t="n">
        <v>5</v>
      </c>
      <c r="C863" s="48" t="n">
        <v>0</v>
      </c>
      <c r="D863" s="48" t="n">
        <v>0</v>
      </c>
      <c r="E863" s="48" t="s">
        <v>112</v>
      </c>
      <c r="F863" s="48" t="s">
        <v>71</v>
      </c>
      <c r="G863" s="48" t="s">
        <v>677</v>
      </c>
      <c r="H863" s="82" t="n">
        <f aca="false">DATE(YEAR(A863),MONTH(A863),1)</f>
        <v>43922</v>
      </c>
    </row>
    <row r="864" customFormat="false" ht="15" hidden="false" customHeight="false" outlineLevel="0" collapsed="false">
      <c r="A864" s="81" t="n">
        <v>43940</v>
      </c>
      <c r="B864" s="48" t="n">
        <v>3</v>
      </c>
      <c r="C864" s="48" t="n">
        <v>0</v>
      </c>
      <c r="D864" s="48" t="n">
        <v>0</v>
      </c>
      <c r="E864" s="48" t="s">
        <v>112</v>
      </c>
      <c r="F864" s="48" t="s">
        <v>71</v>
      </c>
      <c r="G864" s="48" t="s">
        <v>653</v>
      </c>
      <c r="H864" s="82" t="n">
        <f aca="false">DATE(YEAR(A864),MONTH(A864),1)</f>
        <v>43922</v>
      </c>
    </row>
    <row r="865" customFormat="false" ht="15" hidden="false" customHeight="false" outlineLevel="0" collapsed="false">
      <c r="A865" s="81" t="n">
        <v>43940</v>
      </c>
      <c r="B865" s="48" t="n">
        <v>1</v>
      </c>
      <c r="C865" s="48" t="n">
        <v>0</v>
      </c>
      <c r="D865" s="48" t="n">
        <v>0</v>
      </c>
      <c r="E865" s="48" t="s">
        <v>112</v>
      </c>
      <c r="F865" s="48" t="s">
        <v>71</v>
      </c>
      <c r="G865" s="48" t="s">
        <v>631</v>
      </c>
      <c r="H865" s="82" t="n">
        <f aca="false">DATE(YEAR(A865),MONTH(A865),1)</f>
        <v>43922</v>
      </c>
    </row>
    <row r="866" customFormat="false" ht="15" hidden="false" customHeight="false" outlineLevel="0" collapsed="false">
      <c r="A866" s="81" t="n">
        <v>43940</v>
      </c>
      <c r="B866" s="48" t="n">
        <v>182</v>
      </c>
      <c r="C866" s="48" t="n">
        <v>8</v>
      </c>
      <c r="D866" s="48" t="n">
        <v>0</v>
      </c>
      <c r="E866" s="48" t="s">
        <v>114</v>
      </c>
      <c r="F866" s="48" t="s">
        <v>70</v>
      </c>
      <c r="G866" s="48" t="s">
        <v>91</v>
      </c>
      <c r="H866" s="82" t="n">
        <f aca="false">DATE(YEAR(A866),MONTH(A866),1)</f>
        <v>43922</v>
      </c>
    </row>
    <row r="867" customFormat="false" ht="15" hidden="false" customHeight="false" outlineLevel="0" collapsed="false">
      <c r="A867" s="81" t="n">
        <v>43940</v>
      </c>
      <c r="B867" s="48" t="n">
        <v>3</v>
      </c>
      <c r="C867" s="48" t="n">
        <v>0</v>
      </c>
      <c r="D867" s="48" t="n">
        <v>0</v>
      </c>
      <c r="E867" s="48" t="s">
        <v>112</v>
      </c>
      <c r="F867" s="48" t="s">
        <v>70</v>
      </c>
      <c r="G867" s="48" t="s">
        <v>670</v>
      </c>
      <c r="H867" s="82" t="n">
        <f aca="false">DATE(YEAR(A867),MONTH(A867),1)</f>
        <v>43922</v>
      </c>
    </row>
    <row r="868" customFormat="false" ht="15" hidden="false" customHeight="false" outlineLevel="0" collapsed="false">
      <c r="A868" s="81" t="n">
        <v>43940</v>
      </c>
      <c r="B868" s="48" t="n">
        <v>2</v>
      </c>
      <c r="C868" s="48" t="n">
        <v>0</v>
      </c>
      <c r="D868" s="48" t="n">
        <v>0</v>
      </c>
      <c r="E868" s="48" t="s">
        <v>112</v>
      </c>
      <c r="F868" s="48" t="s">
        <v>70</v>
      </c>
      <c r="G868" s="48" t="s">
        <v>601</v>
      </c>
      <c r="H868" s="82" t="n">
        <f aca="false">DATE(YEAR(A868),MONTH(A868),1)</f>
        <v>43922</v>
      </c>
    </row>
    <row r="869" customFormat="false" ht="15" hidden="false" customHeight="false" outlineLevel="0" collapsed="false">
      <c r="A869" s="81" t="n">
        <v>43940</v>
      </c>
      <c r="B869" s="48" t="n">
        <v>10</v>
      </c>
      <c r="C869" s="48" t="n">
        <v>0</v>
      </c>
      <c r="D869" s="48" t="n">
        <v>0</v>
      </c>
      <c r="E869" s="48" t="s">
        <v>112</v>
      </c>
      <c r="F869" s="48" t="s">
        <v>70</v>
      </c>
      <c r="G869" s="48" t="s">
        <v>623</v>
      </c>
      <c r="H869" s="82" t="n">
        <f aca="false">DATE(YEAR(A869),MONTH(A869),1)</f>
        <v>43922</v>
      </c>
    </row>
    <row r="870" customFormat="false" ht="15" hidden="false" customHeight="false" outlineLevel="0" collapsed="false">
      <c r="A870" s="81" t="n">
        <v>43941</v>
      </c>
      <c r="B870" s="48" t="n">
        <v>33</v>
      </c>
      <c r="C870" s="48" t="n">
        <v>1</v>
      </c>
      <c r="D870" s="48" t="n">
        <v>0</v>
      </c>
      <c r="E870" s="48" t="s">
        <v>112</v>
      </c>
      <c r="F870" s="48" t="s">
        <v>73</v>
      </c>
      <c r="G870" s="48" t="s">
        <v>93</v>
      </c>
      <c r="H870" s="82" t="n">
        <f aca="false">DATE(YEAR(A870),MONTH(A870),1)</f>
        <v>43922</v>
      </c>
    </row>
    <row r="871" customFormat="false" ht="15" hidden="false" customHeight="false" outlineLevel="0" collapsed="false">
      <c r="A871" s="81" t="n">
        <v>43941</v>
      </c>
      <c r="B871" s="48" t="n">
        <v>18</v>
      </c>
      <c r="C871" s="48" t="n">
        <v>0</v>
      </c>
      <c r="D871" s="48" t="n">
        <v>0</v>
      </c>
      <c r="E871" s="48" t="s">
        <v>112</v>
      </c>
      <c r="F871" s="48" t="s">
        <v>75</v>
      </c>
      <c r="G871" s="48" t="s">
        <v>103</v>
      </c>
      <c r="H871" s="82" t="n">
        <f aca="false">DATE(YEAR(A871),MONTH(A871),1)</f>
        <v>43922</v>
      </c>
    </row>
    <row r="872" customFormat="false" ht="15" hidden="false" customHeight="false" outlineLevel="0" collapsed="false">
      <c r="A872" s="81" t="n">
        <v>43941</v>
      </c>
      <c r="B872" s="48" t="n">
        <v>10</v>
      </c>
      <c r="C872" s="48" t="n">
        <v>1</v>
      </c>
      <c r="D872" s="48" t="n">
        <v>0</v>
      </c>
      <c r="E872" s="48" t="s">
        <v>112</v>
      </c>
      <c r="F872" s="48" t="s">
        <v>74</v>
      </c>
      <c r="G872" s="48" t="s">
        <v>95</v>
      </c>
      <c r="H872" s="82" t="n">
        <f aca="false">DATE(YEAR(A872),MONTH(A872),1)</f>
        <v>43922</v>
      </c>
    </row>
    <row r="873" customFormat="false" ht="15" hidden="false" customHeight="false" outlineLevel="0" collapsed="false">
      <c r="A873" s="81" t="n">
        <v>43941</v>
      </c>
      <c r="B873" s="48" t="n">
        <v>98</v>
      </c>
      <c r="C873" s="48" t="n">
        <v>5</v>
      </c>
      <c r="D873" s="48" t="n">
        <v>11</v>
      </c>
      <c r="E873" s="48" t="s">
        <v>112</v>
      </c>
      <c r="F873" s="48" t="s">
        <v>72</v>
      </c>
      <c r="G873" s="48" t="s">
        <v>94</v>
      </c>
      <c r="H873" s="82" t="n">
        <f aca="false">DATE(YEAR(A873),MONTH(A873),1)</f>
        <v>43922</v>
      </c>
    </row>
    <row r="874" customFormat="false" ht="15" hidden="false" customHeight="false" outlineLevel="0" collapsed="false">
      <c r="A874" s="81" t="n">
        <v>43941</v>
      </c>
      <c r="B874" s="48" t="n">
        <v>0</v>
      </c>
      <c r="C874" s="48" t="n">
        <v>1</v>
      </c>
      <c r="D874" s="48" t="n">
        <v>0</v>
      </c>
      <c r="E874" s="48" t="s">
        <v>112</v>
      </c>
      <c r="F874" s="48" t="s">
        <v>72</v>
      </c>
      <c r="G874" s="48" t="s">
        <v>614</v>
      </c>
      <c r="H874" s="82" t="n">
        <f aca="false">DATE(YEAR(A874),MONTH(A874),1)</f>
        <v>43922</v>
      </c>
    </row>
    <row r="875" customFormat="false" ht="15" hidden="false" customHeight="false" outlineLevel="0" collapsed="false">
      <c r="A875" s="81" t="n">
        <v>43941</v>
      </c>
      <c r="B875" s="48" t="n">
        <v>0</v>
      </c>
      <c r="C875" s="48" t="n">
        <v>2</v>
      </c>
      <c r="D875" s="48" t="n">
        <v>0</v>
      </c>
      <c r="E875" s="48" t="s">
        <v>112</v>
      </c>
      <c r="F875" s="48" t="s">
        <v>72</v>
      </c>
      <c r="G875" s="48" t="s">
        <v>615</v>
      </c>
      <c r="H875" s="82" t="n">
        <f aca="false">DATE(YEAR(A875),MONTH(A875),1)</f>
        <v>43922</v>
      </c>
    </row>
    <row r="876" customFormat="false" ht="15" hidden="false" customHeight="false" outlineLevel="0" collapsed="false">
      <c r="A876" s="81" t="n">
        <v>43941</v>
      </c>
      <c r="B876" s="48" t="n">
        <v>0</v>
      </c>
      <c r="C876" s="48" t="n">
        <v>2</v>
      </c>
      <c r="D876" s="48" t="n">
        <v>0</v>
      </c>
      <c r="E876" s="48" t="s">
        <v>112</v>
      </c>
      <c r="F876" s="48" t="s">
        <v>72</v>
      </c>
      <c r="G876" s="48" t="s">
        <v>610</v>
      </c>
      <c r="H876" s="82" t="n">
        <f aca="false">DATE(YEAR(A876),MONTH(A876),1)</f>
        <v>43922</v>
      </c>
    </row>
    <row r="877" customFormat="false" ht="15" hidden="false" customHeight="false" outlineLevel="0" collapsed="false">
      <c r="A877" s="81" t="n">
        <v>43941</v>
      </c>
      <c r="B877" s="48" t="n">
        <v>0</v>
      </c>
      <c r="C877" s="48" t="n">
        <v>0</v>
      </c>
      <c r="D877" s="48" t="n">
        <v>4</v>
      </c>
      <c r="E877" s="48" t="s">
        <v>112</v>
      </c>
      <c r="F877" s="48" t="s">
        <v>72</v>
      </c>
      <c r="G877" s="48" t="s">
        <v>607</v>
      </c>
      <c r="H877" s="82" t="n">
        <f aca="false">DATE(YEAR(A877),MONTH(A877),1)</f>
        <v>43922</v>
      </c>
    </row>
    <row r="878" customFormat="false" ht="15" hidden="false" customHeight="false" outlineLevel="0" collapsed="false">
      <c r="A878" s="81" t="n">
        <v>43941</v>
      </c>
      <c r="B878" s="48" t="n">
        <v>0</v>
      </c>
      <c r="C878" s="48" t="n">
        <v>0</v>
      </c>
      <c r="D878" s="48" t="n">
        <v>15</v>
      </c>
      <c r="E878" s="48" t="s">
        <v>112</v>
      </c>
      <c r="F878" s="48" t="s">
        <v>72</v>
      </c>
      <c r="G878" s="48" t="s">
        <v>96</v>
      </c>
      <c r="H878" s="82" t="n">
        <f aca="false">DATE(YEAR(A878),MONTH(A878),1)</f>
        <v>43922</v>
      </c>
    </row>
    <row r="879" customFormat="false" ht="15" hidden="false" customHeight="false" outlineLevel="0" collapsed="false">
      <c r="A879" s="81" t="n">
        <v>43941</v>
      </c>
      <c r="B879" s="48" t="n">
        <v>0</v>
      </c>
      <c r="C879" s="48" t="n">
        <v>0</v>
      </c>
      <c r="D879" s="48" t="n">
        <v>17</v>
      </c>
      <c r="E879" s="48" t="s">
        <v>112</v>
      </c>
      <c r="F879" s="48" t="s">
        <v>72</v>
      </c>
      <c r="G879" s="48" t="s">
        <v>102</v>
      </c>
      <c r="H879" s="82" t="n">
        <f aca="false">DATE(YEAR(A879),MONTH(A879),1)</f>
        <v>43922</v>
      </c>
    </row>
    <row r="880" customFormat="false" ht="15" hidden="false" customHeight="false" outlineLevel="0" collapsed="false">
      <c r="A880" s="81" t="n">
        <v>43941</v>
      </c>
      <c r="B880" s="48" t="n">
        <v>0</v>
      </c>
      <c r="C880" s="48" t="n">
        <v>0</v>
      </c>
      <c r="D880" s="48" t="n">
        <v>5</v>
      </c>
      <c r="E880" s="48" t="s">
        <v>112</v>
      </c>
      <c r="F880" s="48" t="s">
        <v>72</v>
      </c>
      <c r="G880" s="48" t="s">
        <v>593</v>
      </c>
      <c r="H880" s="82" t="n">
        <f aca="false">DATE(YEAR(A880),MONTH(A880),1)</f>
        <v>43922</v>
      </c>
    </row>
    <row r="881" customFormat="false" ht="15" hidden="false" customHeight="false" outlineLevel="0" collapsed="false">
      <c r="A881" s="81" t="n">
        <v>43941</v>
      </c>
      <c r="B881" s="48" t="n">
        <v>334</v>
      </c>
      <c r="C881" s="48" t="n">
        <v>1</v>
      </c>
      <c r="D881" s="48" t="n">
        <v>0</v>
      </c>
      <c r="E881" s="48" t="s">
        <v>112</v>
      </c>
      <c r="F881" s="48" t="s">
        <v>71</v>
      </c>
      <c r="G881" s="48" t="s">
        <v>92</v>
      </c>
      <c r="H881" s="82" t="n">
        <f aca="false">DATE(YEAR(A881),MONTH(A881),1)</f>
        <v>43922</v>
      </c>
    </row>
    <row r="882" customFormat="false" ht="15" hidden="false" customHeight="false" outlineLevel="0" collapsed="false">
      <c r="A882" s="81" t="n">
        <v>43941</v>
      </c>
      <c r="B882" s="48" t="n">
        <v>150</v>
      </c>
      <c r="C882" s="48" t="n">
        <v>5</v>
      </c>
      <c r="D882" s="48" t="n">
        <v>10</v>
      </c>
      <c r="E882" s="48" t="s">
        <v>112</v>
      </c>
      <c r="F882" s="48" t="s">
        <v>70</v>
      </c>
      <c r="G882" s="48" t="s">
        <v>91</v>
      </c>
      <c r="H882" s="82" t="n">
        <f aca="false">DATE(YEAR(A882),MONTH(A882),1)</f>
        <v>43922</v>
      </c>
    </row>
    <row r="883" customFormat="false" ht="15" hidden="false" customHeight="false" outlineLevel="0" collapsed="false">
      <c r="A883" s="81" t="n">
        <v>43941</v>
      </c>
      <c r="B883" s="48" t="n">
        <v>57</v>
      </c>
      <c r="C883" s="48" t="n">
        <v>0</v>
      </c>
      <c r="D883" s="48" t="n">
        <v>0</v>
      </c>
      <c r="E883" s="48" t="s">
        <v>114</v>
      </c>
      <c r="F883" s="48" t="s">
        <v>70</v>
      </c>
      <c r="G883" s="48" t="s">
        <v>104</v>
      </c>
      <c r="H883" s="82" t="n">
        <f aca="false">DATE(YEAR(A883),MONTH(A883),1)</f>
        <v>43922</v>
      </c>
    </row>
    <row r="884" customFormat="false" ht="15" hidden="false" customHeight="false" outlineLevel="0" collapsed="false">
      <c r="A884" s="81" t="n">
        <v>43941</v>
      </c>
      <c r="B884" s="48" t="n">
        <v>6</v>
      </c>
      <c r="C884" s="48" t="n">
        <v>0</v>
      </c>
      <c r="D884" s="48" t="n">
        <v>0</v>
      </c>
      <c r="E884" s="48" t="s">
        <v>120</v>
      </c>
      <c r="F884" s="48" t="s">
        <v>70</v>
      </c>
      <c r="G884" s="48" t="s">
        <v>91</v>
      </c>
      <c r="H884" s="82" t="n">
        <f aca="false">DATE(YEAR(A884),MONTH(A884),1)</f>
        <v>43922</v>
      </c>
    </row>
    <row r="885" customFormat="false" ht="15" hidden="false" customHeight="false" outlineLevel="0" collapsed="false">
      <c r="A885" s="81" t="n">
        <v>43941</v>
      </c>
      <c r="B885" s="48" t="n">
        <v>1</v>
      </c>
      <c r="C885" s="48" t="n">
        <v>0</v>
      </c>
      <c r="D885" s="48" t="n">
        <v>0</v>
      </c>
      <c r="E885" s="48" t="s">
        <v>112</v>
      </c>
      <c r="F885" s="48" t="s">
        <v>70</v>
      </c>
      <c r="G885" s="48" t="s">
        <v>635</v>
      </c>
      <c r="H885" s="82" t="n">
        <f aca="false">DATE(YEAR(A885),MONTH(A885),1)</f>
        <v>43922</v>
      </c>
    </row>
    <row r="886" customFormat="false" ht="15" hidden="false" customHeight="false" outlineLevel="0" collapsed="false">
      <c r="A886" s="81" t="n">
        <v>43942</v>
      </c>
      <c r="B886" s="48" t="n">
        <v>1</v>
      </c>
      <c r="C886" s="48" t="n">
        <v>0</v>
      </c>
      <c r="D886" s="48" t="n">
        <v>0</v>
      </c>
      <c r="E886" s="48" t="s">
        <v>112</v>
      </c>
      <c r="F886" s="48" t="s">
        <v>76</v>
      </c>
      <c r="G886" s="48" t="s">
        <v>595</v>
      </c>
      <c r="H886" s="82" t="n">
        <f aca="false">DATE(YEAR(A886),MONTH(A886),1)</f>
        <v>43922</v>
      </c>
    </row>
    <row r="887" customFormat="false" ht="15" hidden="false" customHeight="false" outlineLevel="0" collapsed="false">
      <c r="A887" s="81" t="n">
        <v>43942</v>
      </c>
      <c r="B887" s="48" t="n">
        <v>31</v>
      </c>
      <c r="C887" s="48" t="n">
        <v>0</v>
      </c>
      <c r="D887" s="48" t="n">
        <v>0</v>
      </c>
      <c r="E887" s="48" t="s">
        <v>112</v>
      </c>
      <c r="F887" s="48" t="s">
        <v>73</v>
      </c>
      <c r="G887" s="48" t="s">
        <v>93</v>
      </c>
      <c r="H887" s="82" t="n">
        <f aca="false">DATE(YEAR(A887),MONTH(A887),1)</f>
        <v>43922</v>
      </c>
    </row>
    <row r="888" customFormat="false" ht="15" hidden="false" customHeight="false" outlineLevel="0" collapsed="false">
      <c r="A888" s="81" t="n">
        <v>43942</v>
      </c>
      <c r="B888" s="48" t="n">
        <v>1</v>
      </c>
      <c r="C888" s="48" t="n">
        <v>0</v>
      </c>
      <c r="D888" s="48" t="n">
        <v>4</v>
      </c>
      <c r="E888" s="48" t="s">
        <v>112</v>
      </c>
      <c r="F888" s="48" t="s">
        <v>77</v>
      </c>
      <c r="G888" s="48" t="s">
        <v>599</v>
      </c>
      <c r="H888" s="82" t="n">
        <f aca="false">DATE(YEAR(A888),MONTH(A888),1)</f>
        <v>43922</v>
      </c>
    </row>
    <row r="889" customFormat="false" ht="15" hidden="false" customHeight="false" outlineLevel="0" collapsed="false">
      <c r="A889" s="81" t="n">
        <v>43942</v>
      </c>
      <c r="B889" s="48" t="n">
        <v>5</v>
      </c>
      <c r="C889" s="48" t="n">
        <v>0</v>
      </c>
      <c r="D889" s="48" t="n">
        <v>0</v>
      </c>
      <c r="E889" s="48" t="s">
        <v>112</v>
      </c>
      <c r="F889" s="48" t="s">
        <v>77</v>
      </c>
      <c r="G889" s="48" t="s">
        <v>615</v>
      </c>
      <c r="H889" s="82" t="n">
        <f aca="false">DATE(YEAR(A889),MONTH(A889),1)</f>
        <v>43922</v>
      </c>
    </row>
    <row r="890" customFormat="false" ht="15" hidden="false" customHeight="false" outlineLevel="0" collapsed="false">
      <c r="A890" s="81" t="n">
        <v>43942</v>
      </c>
      <c r="B890" s="48" t="n">
        <v>1</v>
      </c>
      <c r="C890" s="48" t="n">
        <v>0</v>
      </c>
      <c r="D890" s="48" t="n">
        <v>0</v>
      </c>
      <c r="E890" s="48" t="s">
        <v>112</v>
      </c>
      <c r="F890" s="48" t="s">
        <v>77</v>
      </c>
      <c r="G890" s="48" t="s">
        <v>667</v>
      </c>
      <c r="H890" s="82" t="n">
        <f aca="false">DATE(YEAR(A890),MONTH(A890),1)</f>
        <v>43922</v>
      </c>
    </row>
    <row r="891" customFormat="false" ht="15" hidden="false" customHeight="false" outlineLevel="0" collapsed="false">
      <c r="A891" s="81" t="n">
        <v>43942</v>
      </c>
      <c r="B891" s="48" t="n">
        <v>2</v>
      </c>
      <c r="C891" s="48" t="n">
        <v>0</v>
      </c>
      <c r="D891" s="48" t="n">
        <v>3</v>
      </c>
      <c r="E891" s="48" t="s">
        <v>112</v>
      </c>
      <c r="F891" s="48" t="s">
        <v>75</v>
      </c>
      <c r="G891" s="48" t="s">
        <v>103</v>
      </c>
      <c r="H891" s="82" t="n">
        <f aca="false">DATE(YEAR(A891),MONTH(A891),1)</f>
        <v>43922</v>
      </c>
    </row>
    <row r="892" customFormat="false" ht="15" hidden="false" customHeight="false" outlineLevel="0" collapsed="false">
      <c r="A892" s="81" t="n">
        <v>43942</v>
      </c>
      <c r="B892" s="48" t="n">
        <v>4</v>
      </c>
      <c r="C892" s="48" t="n">
        <v>0</v>
      </c>
      <c r="D892" s="48" t="n">
        <v>0</v>
      </c>
      <c r="E892" s="48" t="s">
        <v>112</v>
      </c>
      <c r="F892" s="48" t="s">
        <v>74</v>
      </c>
      <c r="G892" s="48" t="s">
        <v>95</v>
      </c>
      <c r="H892" s="82" t="n">
        <f aca="false">DATE(YEAR(A892),MONTH(A892),1)</f>
        <v>43922</v>
      </c>
    </row>
    <row r="893" customFormat="false" ht="15" hidden="false" customHeight="false" outlineLevel="0" collapsed="false">
      <c r="A893" s="81" t="n">
        <v>43942</v>
      </c>
      <c r="B893" s="48" t="n">
        <v>0</v>
      </c>
      <c r="C893" s="48" t="n">
        <v>0</v>
      </c>
      <c r="D893" s="48" t="n">
        <v>0</v>
      </c>
      <c r="E893" s="48" t="s">
        <v>112</v>
      </c>
      <c r="F893" s="48" t="s">
        <v>72</v>
      </c>
      <c r="G893" s="48" t="s">
        <v>94</v>
      </c>
      <c r="H893" s="82" t="n">
        <f aca="false">DATE(YEAR(A893),MONTH(A893),1)</f>
        <v>43922</v>
      </c>
    </row>
    <row r="894" customFormat="false" ht="15" hidden="false" customHeight="false" outlineLevel="0" collapsed="false">
      <c r="A894" s="81" t="n">
        <v>43942</v>
      </c>
      <c r="B894" s="48" t="n">
        <v>69</v>
      </c>
      <c r="C894" s="48" t="n">
        <v>0</v>
      </c>
      <c r="D894" s="48" t="n">
        <v>1</v>
      </c>
      <c r="E894" s="48" t="s">
        <v>112</v>
      </c>
      <c r="F894" s="48" t="s">
        <v>72</v>
      </c>
      <c r="G894" s="48" t="s">
        <v>608</v>
      </c>
      <c r="H894" s="82" t="n">
        <f aca="false">DATE(YEAR(A894),MONTH(A894),1)</f>
        <v>43922</v>
      </c>
    </row>
    <row r="895" customFormat="false" ht="15" hidden="false" customHeight="false" outlineLevel="0" collapsed="false">
      <c r="A895" s="81" t="n">
        <v>43942</v>
      </c>
      <c r="B895" s="48" t="n">
        <v>0</v>
      </c>
      <c r="C895" s="48" t="n">
        <v>0</v>
      </c>
      <c r="D895" s="48" t="n">
        <v>7</v>
      </c>
      <c r="E895" s="48" t="s">
        <v>112</v>
      </c>
      <c r="F895" s="48" t="s">
        <v>72</v>
      </c>
      <c r="G895" s="48" t="s">
        <v>591</v>
      </c>
      <c r="H895" s="82" t="n">
        <f aca="false">DATE(YEAR(A895),MONTH(A895),1)</f>
        <v>43922</v>
      </c>
    </row>
    <row r="896" customFormat="false" ht="15" hidden="false" customHeight="false" outlineLevel="0" collapsed="false">
      <c r="A896" s="81" t="n">
        <v>43942</v>
      </c>
      <c r="B896" s="48" t="n">
        <v>0</v>
      </c>
      <c r="C896" s="48" t="n">
        <v>0</v>
      </c>
      <c r="D896" s="48" t="n">
        <v>8</v>
      </c>
      <c r="E896" s="48" t="s">
        <v>112</v>
      </c>
      <c r="F896" s="48" t="s">
        <v>72</v>
      </c>
      <c r="G896" s="48" t="s">
        <v>598</v>
      </c>
      <c r="H896" s="82" t="n">
        <f aca="false">DATE(YEAR(A896),MONTH(A896),1)</f>
        <v>43922</v>
      </c>
    </row>
    <row r="897" customFormat="false" ht="15" hidden="false" customHeight="false" outlineLevel="0" collapsed="false">
      <c r="A897" s="81" t="n">
        <v>43942</v>
      </c>
      <c r="B897" s="48" t="n">
        <v>26</v>
      </c>
      <c r="C897" s="48" t="n">
        <v>5</v>
      </c>
      <c r="D897" s="48" t="n">
        <v>2</v>
      </c>
      <c r="E897" s="48" t="s">
        <v>112</v>
      </c>
      <c r="F897" s="48" t="s">
        <v>72</v>
      </c>
      <c r="G897" s="48" t="s">
        <v>94</v>
      </c>
      <c r="H897" s="82" t="n">
        <f aca="false">DATE(YEAR(A897),MONTH(A897),1)</f>
        <v>43922</v>
      </c>
    </row>
    <row r="898" customFormat="false" ht="15" hidden="false" customHeight="false" outlineLevel="0" collapsed="false">
      <c r="A898" s="81" t="n">
        <v>43942</v>
      </c>
      <c r="B898" s="48" t="n">
        <v>2</v>
      </c>
      <c r="C898" s="48" t="n">
        <v>0</v>
      </c>
      <c r="D898" s="48" t="n">
        <v>0</v>
      </c>
      <c r="E898" s="48" t="s">
        <v>121</v>
      </c>
      <c r="F898" s="48" t="s">
        <v>72</v>
      </c>
      <c r="G898" s="48" t="s">
        <v>94</v>
      </c>
      <c r="H898" s="82" t="n">
        <f aca="false">DATE(YEAR(A898),MONTH(A898),1)</f>
        <v>43922</v>
      </c>
    </row>
    <row r="899" customFormat="false" ht="15" hidden="false" customHeight="false" outlineLevel="0" collapsed="false">
      <c r="A899" s="81" t="n">
        <v>43942</v>
      </c>
      <c r="B899" s="48" t="n">
        <v>4</v>
      </c>
      <c r="C899" s="48" t="n">
        <v>0</v>
      </c>
      <c r="D899" s="48" t="n">
        <v>0</v>
      </c>
      <c r="E899" s="48" t="s">
        <v>112</v>
      </c>
      <c r="F899" s="48" t="s">
        <v>72</v>
      </c>
      <c r="G899" s="48" t="s">
        <v>597</v>
      </c>
      <c r="H899" s="82" t="n">
        <f aca="false">DATE(YEAR(A899),MONTH(A899),1)</f>
        <v>43922</v>
      </c>
    </row>
    <row r="900" customFormat="false" ht="15" hidden="false" customHeight="false" outlineLevel="0" collapsed="false">
      <c r="A900" s="81" t="n">
        <v>43942</v>
      </c>
      <c r="B900" s="48" t="n">
        <v>1</v>
      </c>
      <c r="C900" s="48" t="n">
        <v>0</v>
      </c>
      <c r="D900" s="48" t="n">
        <v>9</v>
      </c>
      <c r="E900" s="48" t="s">
        <v>112</v>
      </c>
      <c r="F900" s="48" t="s">
        <v>72</v>
      </c>
      <c r="G900" s="48" t="s">
        <v>594</v>
      </c>
      <c r="H900" s="82" t="n">
        <f aca="false">DATE(YEAR(A900),MONTH(A900),1)</f>
        <v>43922</v>
      </c>
    </row>
    <row r="901" customFormat="false" ht="15" hidden="false" customHeight="false" outlineLevel="0" collapsed="false">
      <c r="A901" s="81" t="n">
        <v>43942</v>
      </c>
      <c r="B901" s="48" t="n">
        <v>8</v>
      </c>
      <c r="C901" s="48" t="n">
        <v>1</v>
      </c>
      <c r="D901" s="48" t="n">
        <v>0</v>
      </c>
      <c r="E901" s="48" t="s">
        <v>112</v>
      </c>
      <c r="F901" s="48" t="s">
        <v>72</v>
      </c>
      <c r="G901" s="48" t="s">
        <v>102</v>
      </c>
      <c r="H901" s="82" t="n">
        <f aca="false">DATE(YEAR(A901),MONTH(A901),1)</f>
        <v>43922</v>
      </c>
    </row>
    <row r="902" customFormat="false" ht="15" hidden="false" customHeight="false" outlineLevel="0" collapsed="false">
      <c r="A902" s="81" t="n">
        <v>43942</v>
      </c>
      <c r="B902" s="48" t="n">
        <v>0</v>
      </c>
      <c r="C902" s="48" t="n">
        <v>1</v>
      </c>
      <c r="D902" s="48" t="n">
        <v>0</v>
      </c>
      <c r="E902" s="48" t="s">
        <v>112</v>
      </c>
      <c r="F902" s="48" t="s">
        <v>72</v>
      </c>
      <c r="G902" s="48" t="s">
        <v>611</v>
      </c>
      <c r="H902" s="82" t="n">
        <f aca="false">DATE(YEAR(A902),MONTH(A902),1)</f>
        <v>43922</v>
      </c>
    </row>
    <row r="903" customFormat="false" ht="15" hidden="false" customHeight="false" outlineLevel="0" collapsed="false">
      <c r="A903" s="81" t="n">
        <v>43942</v>
      </c>
      <c r="B903" s="48" t="n">
        <v>2</v>
      </c>
      <c r="C903" s="48" t="n">
        <v>0</v>
      </c>
      <c r="D903" s="48" t="n">
        <v>0</v>
      </c>
      <c r="E903" s="48" t="s">
        <v>112</v>
      </c>
      <c r="F903" s="48" t="s">
        <v>72</v>
      </c>
      <c r="G903" s="48" t="s">
        <v>621</v>
      </c>
      <c r="H903" s="82" t="n">
        <f aca="false">DATE(YEAR(A903),MONTH(A903),1)</f>
        <v>43922</v>
      </c>
    </row>
    <row r="904" customFormat="false" ht="15" hidden="false" customHeight="false" outlineLevel="0" collapsed="false">
      <c r="A904" s="81" t="n">
        <v>43942</v>
      </c>
      <c r="B904" s="48" t="n">
        <v>1</v>
      </c>
      <c r="C904" s="48" t="n">
        <v>0</v>
      </c>
      <c r="D904" s="48" t="n">
        <v>0</v>
      </c>
      <c r="E904" s="48" t="s">
        <v>112</v>
      </c>
      <c r="F904" s="48" t="s">
        <v>72</v>
      </c>
      <c r="G904" s="48" t="s">
        <v>591</v>
      </c>
      <c r="H904" s="82" t="n">
        <f aca="false">DATE(YEAR(A904),MONTH(A904),1)</f>
        <v>43922</v>
      </c>
    </row>
    <row r="905" customFormat="false" ht="15" hidden="false" customHeight="false" outlineLevel="0" collapsed="false">
      <c r="A905" s="81" t="n">
        <v>43942</v>
      </c>
      <c r="B905" s="48" t="n">
        <v>2</v>
      </c>
      <c r="C905" s="48" t="n">
        <v>0</v>
      </c>
      <c r="D905" s="48" t="n">
        <v>0</v>
      </c>
      <c r="E905" s="48" t="s">
        <v>112</v>
      </c>
      <c r="F905" s="48" t="s">
        <v>72</v>
      </c>
      <c r="G905" s="48" t="s">
        <v>598</v>
      </c>
      <c r="H905" s="82" t="n">
        <f aca="false">DATE(YEAR(A905),MONTH(A905),1)</f>
        <v>43922</v>
      </c>
    </row>
    <row r="906" customFormat="false" ht="15" hidden="false" customHeight="false" outlineLevel="0" collapsed="false">
      <c r="A906" s="81" t="n">
        <v>43942</v>
      </c>
      <c r="B906" s="48" t="n">
        <v>11</v>
      </c>
      <c r="C906" s="48" t="n">
        <v>0</v>
      </c>
      <c r="D906" s="48" t="n">
        <v>0</v>
      </c>
      <c r="E906" s="48" t="s">
        <v>112</v>
      </c>
      <c r="F906" s="48" t="s">
        <v>72</v>
      </c>
      <c r="G906" s="48" t="s">
        <v>101</v>
      </c>
      <c r="H906" s="82" t="n">
        <f aca="false">DATE(YEAR(A906),MONTH(A906),1)</f>
        <v>43922</v>
      </c>
    </row>
    <row r="907" customFormat="false" ht="15" hidden="false" customHeight="false" outlineLevel="0" collapsed="false">
      <c r="A907" s="81" t="n">
        <v>43942</v>
      </c>
      <c r="B907" s="48" t="n">
        <v>2</v>
      </c>
      <c r="C907" s="48" t="n">
        <v>0</v>
      </c>
      <c r="D907" s="48" t="n">
        <v>0</v>
      </c>
      <c r="E907" s="48" t="s">
        <v>112</v>
      </c>
      <c r="F907" s="48" t="s">
        <v>72</v>
      </c>
      <c r="G907" s="48" t="s">
        <v>614</v>
      </c>
      <c r="H907" s="82" t="n">
        <f aca="false">DATE(YEAR(A907),MONTH(A907),1)</f>
        <v>43922</v>
      </c>
    </row>
    <row r="908" customFormat="false" ht="15" hidden="false" customHeight="false" outlineLevel="0" collapsed="false">
      <c r="A908" s="81" t="n">
        <v>43942</v>
      </c>
      <c r="B908" s="48" t="n">
        <v>1</v>
      </c>
      <c r="C908" s="48" t="n">
        <v>0</v>
      </c>
      <c r="D908" s="48" t="n">
        <v>0</v>
      </c>
      <c r="E908" s="48" t="s">
        <v>112</v>
      </c>
      <c r="F908" s="48" t="s">
        <v>72</v>
      </c>
      <c r="G908" s="48" t="s">
        <v>664</v>
      </c>
      <c r="H908" s="82" t="n">
        <f aca="false">DATE(YEAR(A908),MONTH(A908),1)</f>
        <v>43922</v>
      </c>
    </row>
    <row r="909" customFormat="false" ht="15" hidden="false" customHeight="false" outlineLevel="0" collapsed="false">
      <c r="A909" s="81" t="n">
        <v>43942</v>
      </c>
      <c r="B909" s="48" t="n">
        <v>0</v>
      </c>
      <c r="C909" s="48" t="n">
        <v>2</v>
      </c>
      <c r="D909" s="48" t="n">
        <v>0</v>
      </c>
      <c r="E909" s="48" t="s">
        <v>112</v>
      </c>
      <c r="F909" s="48" t="s">
        <v>72</v>
      </c>
      <c r="G909" s="48" t="s">
        <v>96</v>
      </c>
      <c r="H909" s="82" t="n">
        <f aca="false">DATE(YEAR(A909),MONTH(A909),1)</f>
        <v>43922</v>
      </c>
    </row>
    <row r="910" customFormat="false" ht="15" hidden="false" customHeight="false" outlineLevel="0" collapsed="false">
      <c r="A910" s="81" t="n">
        <v>43942</v>
      </c>
      <c r="B910" s="48" t="n">
        <v>217</v>
      </c>
      <c r="C910" s="48" t="n">
        <v>9</v>
      </c>
      <c r="D910" s="48" t="n">
        <v>39</v>
      </c>
      <c r="E910" s="48" t="s">
        <v>114</v>
      </c>
      <c r="F910" s="48" t="s">
        <v>71</v>
      </c>
      <c r="G910" s="48" t="s">
        <v>92</v>
      </c>
      <c r="H910" s="82" t="n">
        <f aca="false">DATE(YEAR(A910),MONTH(A910),1)</f>
        <v>43922</v>
      </c>
    </row>
    <row r="911" customFormat="false" ht="15" hidden="false" customHeight="false" outlineLevel="0" collapsed="false">
      <c r="A911" s="81" t="n">
        <v>43942</v>
      </c>
      <c r="B911" s="48" t="n">
        <v>286</v>
      </c>
      <c r="C911" s="48" t="n">
        <v>5</v>
      </c>
      <c r="D911" s="48" t="n">
        <v>30</v>
      </c>
      <c r="E911" s="48" t="s">
        <v>112</v>
      </c>
      <c r="F911" s="48" t="s">
        <v>70</v>
      </c>
      <c r="G911" s="48" t="s">
        <v>91</v>
      </c>
      <c r="H911" s="82" t="n">
        <f aca="false">DATE(YEAR(A911),MONTH(A911),1)</f>
        <v>43922</v>
      </c>
    </row>
    <row r="912" customFormat="false" ht="15" hidden="false" customHeight="false" outlineLevel="0" collapsed="false">
      <c r="A912" s="81" t="n">
        <v>43943</v>
      </c>
      <c r="B912" s="48" t="n">
        <v>1</v>
      </c>
      <c r="C912" s="48" t="n">
        <v>0</v>
      </c>
      <c r="D912" s="48" t="n">
        <v>0</v>
      </c>
      <c r="E912" s="48" t="s">
        <v>112</v>
      </c>
      <c r="F912" s="48" t="s">
        <v>76</v>
      </c>
      <c r="G912" s="48" t="s">
        <v>595</v>
      </c>
      <c r="H912" s="82" t="n">
        <f aca="false">DATE(YEAR(A912),MONTH(A912),1)</f>
        <v>43922</v>
      </c>
    </row>
    <row r="913" customFormat="false" ht="15" hidden="false" customHeight="false" outlineLevel="0" collapsed="false">
      <c r="A913" s="81" t="n">
        <v>43943</v>
      </c>
      <c r="B913" s="48" t="n">
        <v>56</v>
      </c>
      <c r="C913" s="48" t="n">
        <v>0</v>
      </c>
      <c r="D913" s="48" t="n">
        <v>0</v>
      </c>
      <c r="E913" s="48" t="s">
        <v>112</v>
      </c>
      <c r="F913" s="48" t="s">
        <v>73</v>
      </c>
      <c r="G913" s="48" t="s">
        <v>93</v>
      </c>
      <c r="H913" s="82" t="n">
        <f aca="false">DATE(YEAR(A913),MONTH(A913),1)</f>
        <v>43922</v>
      </c>
    </row>
    <row r="914" customFormat="false" ht="15" hidden="false" customHeight="false" outlineLevel="0" collapsed="false">
      <c r="A914" s="81" t="n">
        <v>43943</v>
      </c>
      <c r="B914" s="48" t="n">
        <v>7</v>
      </c>
      <c r="C914" s="48" t="n">
        <v>0</v>
      </c>
      <c r="D914" s="48" t="n">
        <v>3</v>
      </c>
      <c r="E914" s="48" t="s">
        <v>112</v>
      </c>
      <c r="F914" s="48" t="s">
        <v>75</v>
      </c>
      <c r="G914" s="48" t="s">
        <v>103</v>
      </c>
      <c r="H914" s="82" t="n">
        <f aca="false">DATE(YEAR(A914),MONTH(A914),1)</f>
        <v>43922</v>
      </c>
    </row>
    <row r="915" customFormat="false" ht="15" hidden="false" customHeight="false" outlineLevel="0" collapsed="false">
      <c r="A915" s="81" t="n">
        <v>43943</v>
      </c>
      <c r="B915" s="48" t="n">
        <v>9</v>
      </c>
      <c r="C915" s="48" t="n">
        <v>0</v>
      </c>
      <c r="D915" s="48" t="n">
        <v>0</v>
      </c>
      <c r="E915" s="48" t="s">
        <v>112</v>
      </c>
      <c r="F915" s="48" t="s">
        <v>74</v>
      </c>
      <c r="G915" s="48" t="s">
        <v>95</v>
      </c>
      <c r="H915" s="82" t="n">
        <f aca="false">DATE(YEAR(A915),MONTH(A915),1)</f>
        <v>43922</v>
      </c>
    </row>
    <row r="916" customFormat="false" ht="15" hidden="false" customHeight="false" outlineLevel="0" collapsed="false">
      <c r="A916" s="81" t="n">
        <v>43943</v>
      </c>
      <c r="B916" s="48" t="n">
        <v>2</v>
      </c>
      <c r="C916" s="48" t="n">
        <v>0</v>
      </c>
      <c r="D916" s="48" t="n">
        <v>0</v>
      </c>
      <c r="E916" s="48" t="s">
        <v>121</v>
      </c>
      <c r="F916" s="48" t="s">
        <v>72</v>
      </c>
      <c r="G916" s="48" t="s">
        <v>94</v>
      </c>
      <c r="H916" s="82" t="n">
        <f aca="false">DATE(YEAR(A916),MONTH(A916),1)</f>
        <v>43922</v>
      </c>
    </row>
    <row r="917" customFormat="false" ht="15" hidden="false" customHeight="false" outlineLevel="0" collapsed="false">
      <c r="A917" s="81" t="n">
        <v>43943</v>
      </c>
      <c r="B917" s="48" t="n">
        <v>2</v>
      </c>
      <c r="C917" s="48" t="n">
        <v>0</v>
      </c>
      <c r="D917" s="48" t="n">
        <v>0</v>
      </c>
      <c r="E917" s="48" t="s">
        <v>118</v>
      </c>
      <c r="F917" s="48" t="s">
        <v>72</v>
      </c>
      <c r="G917" s="48" t="s">
        <v>94</v>
      </c>
      <c r="H917" s="82" t="n">
        <f aca="false">DATE(YEAR(A917),MONTH(A917),1)</f>
        <v>43922</v>
      </c>
    </row>
    <row r="918" customFormat="false" ht="15" hidden="false" customHeight="false" outlineLevel="0" collapsed="false">
      <c r="A918" s="81" t="n">
        <v>43943</v>
      </c>
      <c r="B918" s="48" t="n">
        <v>0</v>
      </c>
      <c r="C918" s="48" t="n">
        <v>1</v>
      </c>
      <c r="D918" s="48" t="n">
        <v>0</v>
      </c>
      <c r="E918" s="48" t="s">
        <v>112</v>
      </c>
      <c r="F918" s="48" t="s">
        <v>72</v>
      </c>
      <c r="G918" s="48" t="s">
        <v>597</v>
      </c>
      <c r="H918" s="82" t="n">
        <f aca="false">DATE(YEAR(A918),MONTH(A918),1)</f>
        <v>43922</v>
      </c>
    </row>
    <row r="919" customFormat="false" ht="15" hidden="false" customHeight="false" outlineLevel="0" collapsed="false">
      <c r="A919" s="81" t="n">
        <v>43943</v>
      </c>
      <c r="B919" s="48" t="n">
        <v>2</v>
      </c>
      <c r="C919" s="48" t="n">
        <v>0</v>
      </c>
      <c r="D919" s="48" t="n">
        <v>0</v>
      </c>
      <c r="E919" s="48" t="s">
        <v>112</v>
      </c>
      <c r="F919" s="48" t="s">
        <v>72</v>
      </c>
      <c r="G919" s="48" t="s">
        <v>594</v>
      </c>
      <c r="H919" s="82" t="n">
        <f aca="false">DATE(YEAR(A919),MONTH(A919),1)</f>
        <v>43922</v>
      </c>
    </row>
    <row r="920" customFormat="false" ht="15" hidden="false" customHeight="false" outlineLevel="0" collapsed="false">
      <c r="A920" s="81" t="n">
        <v>43943</v>
      </c>
      <c r="B920" s="48" t="n">
        <v>29</v>
      </c>
      <c r="C920" s="48" t="n">
        <v>0</v>
      </c>
      <c r="D920" s="48" t="n">
        <v>0</v>
      </c>
      <c r="E920" s="48" t="s">
        <v>112</v>
      </c>
      <c r="F920" s="48" t="s">
        <v>72</v>
      </c>
      <c r="G920" s="48" t="s">
        <v>96</v>
      </c>
      <c r="H920" s="82" t="n">
        <f aca="false">DATE(YEAR(A920),MONTH(A920),1)</f>
        <v>43922</v>
      </c>
    </row>
    <row r="921" customFormat="false" ht="15" hidden="false" customHeight="false" outlineLevel="0" collapsed="false">
      <c r="A921" s="81" t="n">
        <v>43943</v>
      </c>
      <c r="B921" s="48" t="n">
        <v>1</v>
      </c>
      <c r="C921" s="48" t="n">
        <v>0</v>
      </c>
      <c r="D921" s="48" t="n">
        <v>0</v>
      </c>
      <c r="E921" s="48" t="s">
        <v>112</v>
      </c>
      <c r="F921" s="48" t="s">
        <v>72</v>
      </c>
      <c r="G921" s="48" t="s">
        <v>603</v>
      </c>
      <c r="H921" s="82" t="n">
        <f aca="false">DATE(YEAR(A921),MONTH(A921),1)</f>
        <v>43922</v>
      </c>
    </row>
    <row r="922" customFormat="false" ht="15" hidden="false" customHeight="false" outlineLevel="0" collapsed="false">
      <c r="A922" s="81" t="n">
        <v>43943</v>
      </c>
      <c r="B922" s="48" t="n">
        <v>2</v>
      </c>
      <c r="C922" s="48" t="n">
        <v>0</v>
      </c>
      <c r="D922" s="48" t="n">
        <v>0</v>
      </c>
      <c r="E922" s="48" t="s">
        <v>112</v>
      </c>
      <c r="F922" s="48" t="s">
        <v>72</v>
      </c>
      <c r="G922" s="48" t="s">
        <v>591</v>
      </c>
      <c r="H922" s="82" t="n">
        <f aca="false">DATE(YEAR(A922),MONTH(A922),1)</f>
        <v>43922</v>
      </c>
    </row>
    <row r="923" customFormat="false" ht="15" hidden="false" customHeight="false" outlineLevel="0" collapsed="false">
      <c r="A923" s="81" t="n">
        <v>43943</v>
      </c>
      <c r="B923" s="48" t="n">
        <v>17</v>
      </c>
      <c r="C923" s="48" t="n">
        <v>0</v>
      </c>
      <c r="D923" s="48" t="n">
        <v>0</v>
      </c>
      <c r="E923" s="48" t="s">
        <v>112</v>
      </c>
      <c r="F923" s="48" t="s">
        <v>72</v>
      </c>
      <c r="G923" s="48" t="s">
        <v>101</v>
      </c>
      <c r="H923" s="82" t="n">
        <f aca="false">DATE(YEAR(A923),MONTH(A923),1)</f>
        <v>43922</v>
      </c>
    </row>
    <row r="924" customFormat="false" ht="15" hidden="false" customHeight="false" outlineLevel="0" collapsed="false">
      <c r="A924" s="81" t="n">
        <v>43943</v>
      </c>
      <c r="B924" s="48" t="n">
        <v>2</v>
      </c>
      <c r="C924" s="48" t="n">
        <v>0</v>
      </c>
      <c r="D924" s="48" t="n">
        <v>0</v>
      </c>
      <c r="E924" s="48" t="s">
        <v>112</v>
      </c>
      <c r="F924" s="48" t="s">
        <v>72</v>
      </c>
      <c r="G924" s="48" t="s">
        <v>610</v>
      </c>
      <c r="H924" s="82" t="n">
        <f aca="false">DATE(YEAR(A924),MONTH(A924),1)</f>
        <v>43922</v>
      </c>
    </row>
    <row r="925" customFormat="false" ht="15" hidden="false" customHeight="false" outlineLevel="0" collapsed="false">
      <c r="A925" s="81" t="n">
        <v>43943</v>
      </c>
      <c r="B925" s="48" t="n">
        <v>6</v>
      </c>
      <c r="C925" s="48" t="n">
        <v>0</v>
      </c>
      <c r="D925" s="48" t="n">
        <v>0</v>
      </c>
      <c r="E925" s="48" t="s">
        <v>112</v>
      </c>
      <c r="F925" s="48" t="s">
        <v>72</v>
      </c>
      <c r="G925" s="48" t="s">
        <v>613</v>
      </c>
      <c r="H925" s="82" t="n">
        <f aca="false">DATE(YEAR(A925),MONTH(A925),1)</f>
        <v>43922</v>
      </c>
    </row>
    <row r="926" customFormat="false" ht="15" hidden="false" customHeight="false" outlineLevel="0" collapsed="false">
      <c r="A926" s="81" t="n">
        <v>43943</v>
      </c>
      <c r="B926" s="48" t="n">
        <v>2</v>
      </c>
      <c r="C926" s="48" t="n">
        <v>0</v>
      </c>
      <c r="D926" s="48" t="n">
        <v>0</v>
      </c>
      <c r="E926" s="48" t="s">
        <v>112</v>
      </c>
      <c r="F926" s="48" t="s">
        <v>72</v>
      </c>
      <c r="G926" s="48" t="s">
        <v>608</v>
      </c>
      <c r="H926" s="82" t="n">
        <f aca="false">DATE(YEAR(A926),MONTH(A926),1)</f>
        <v>43922</v>
      </c>
    </row>
    <row r="927" customFormat="false" ht="15" hidden="false" customHeight="false" outlineLevel="0" collapsed="false">
      <c r="A927" s="81" t="n">
        <v>43943</v>
      </c>
      <c r="B927" s="48" t="n">
        <v>1</v>
      </c>
      <c r="C927" s="48" t="n">
        <v>0</v>
      </c>
      <c r="D927" s="48" t="n">
        <v>0</v>
      </c>
      <c r="E927" s="48" t="s">
        <v>112</v>
      </c>
      <c r="F927" s="48" t="s">
        <v>72</v>
      </c>
      <c r="G927" s="48" t="s">
        <v>615</v>
      </c>
      <c r="H927" s="82" t="n">
        <f aca="false">DATE(YEAR(A927),MONTH(A927),1)</f>
        <v>43922</v>
      </c>
    </row>
    <row r="928" customFormat="false" ht="15" hidden="false" customHeight="false" outlineLevel="0" collapsed="false">
      <c r="A928" s="81" t="n">
        <v>43943</v>
      </c>
      <c r="B928" s="48" t="n">
        <v>39</v>
      </c>
      <c r="C928" s="48" t="n">
        <v>0</v>
      </c>
      <c r="D928" s="48" t="n">
        <v>0</v>
      </c>
      <c r="E928" s="48" t="s">
        <v>112</v>
      </c>
      <c r="F928" s="48" t="s">
        <v>72</v>
      </c>
      <c r="G928" s="48" t="s">
        <v>94</v>
      </c>
      <c r="H928" s="82" t="n">
        <f aca="false">DATE(YEAR(A928),MONTH(A928),1)</f>
        <v>43922</v>
      </c>
    </row>
    <row r="929" customFormat="false" ht="15" hidden="false" customHeight="false" outlineLevel="0" collapsed="false">
      <c r="A929" s="81" t="n">
        <v>43943</v>
      </c>
      <c r="B929" s="48" t="n">
        <v>1</v>
      </c>
      <c r="C929" s="48" t="n">
        <v>0</v>
      </c>
      <c r="D929" s="48" t="n">
        <v>0</v>
      </c>
      <c r="E929" s="48" t="s">
        <v>112</v>
      </c>
      <c r="F929" s="48" t="s">
        <v>72</v>
      </c>
      <c r="G929" s="48" t="s">
        <v>621</v>
      </c>
      <c r="H929" s="82" t="n">
        <f aca="false">DATE(YEAR(A929),MONTH(A929),1)</f>
        <v>43922</v>
      </c>
    </row>
    <row r="930" customFormat="false" ht="15" hidden="false" customHeight="false" outlineLevel="0" collapsed="false">
      <c r="A930" s="81" t="n">
        <v>43943</v>
      </c>
      <c r="B930" s="48" t="n">
        <v>1</v>
      </c>
      <c r="C930" s="48" t="n">
        <v>1</v>
      </c>
      <c r="D930" s="48" t="n">
        <v>0</v>
      </c>
      <c r="E930" s="48" t="s">
        <v>112</v>
      </c>
      <c r="F930" s="48" t="s">
        <v>72</v>
      </c>
      <c r="G930" s="48" t="s">
        <v>102</v>
      </c>
      <c r="H930" s="82" t="n">
        <f aca="false">DATE(YEAR(A930),MONTH(A930),1)</f>
        <v>43922</v>
      </c>
    </row>
    <row r="931" customFormat="false" ht="15" hidden="false" customHeight="false" outlineLevel="0" collapsed="false">
      <c r="A931" s="81" t="n">
        <v>43943</v>
      </c>
      <c r="B931" s="48" t="n">
        <v>1</v>
      </c>
      <c r="C931" s="48" t="n">
        <v>1</v>
      </c>
      <c r="D931" s="48" t="n">
        <v>0</v>
      </c>
      <c r="E931" s="48" t="s">
        <v>112</v>
      </c>
      <c r="F931" s="48" t="s">
        <v>72</v>
      </c>
      <c r="G931" s="48" t="s">
        <v>96</v>
      </c>
      <c r="H931" s="82" t="n">
        <f aca="false">DATE(YEAR(A931),MONTH(A931),1)</f>
        <v>43922</v>
      </c>
    </row>
    <row r="932" customFormat="false" ht="15" hidden="false" customHeight="false" outlineLevel="0" collapsed="false">
      <c r="A932" s="81" t="n">
        <v>43943</v>
      </c>
      <c r="B932" s="48" t="n">
        <v>1</v>
      </c>
      <c r="C932" s="48" t="n">
        <v>0</v>
      </c>
      <c r="D932" s="48" t="n">
        <v>0</v>
      </c>
      <c r="E932" s="48" t="s">
        <v>112</v>
      </c>
      <c r="F932" s="48" t="s">
        <v>72</v>
      </c>
      <c r="G932" s="48" t="s">
        <v>94</v>
      </c>
      <c r="H932" s="82" t="n">
        <f aca="false">DATE(YEAR(A932),MONTH(A932),1)</f>
        <v>43922</v>
      </c>
    </row>
    <row r="933" customFormat="false" ht="15" hidden="false" customHeight="false" outlineLevel="0" collapsed="false">
      <c r="A933" s="81" t="n">
        <v>43943</v>
      </c>
      <c r="B933" s="48" t="n">
        <v>1</v>
      </c>
      <c r="C933" s="48" t="n">
        <v>0</v>
      </c>
      <c r="D933" s="48" t="n">
        <v>0</v>
      </c>
      <c r="E933" s="48" t="s">
        <v>112</v>
      </c>
      <c r="F933" s="48" t="s">
        <v>72</v>
      </c>
      <c r="G933" s="48" t="s">
        <v>609</v>
      </c>
      <c r="H933" s="82" t="n">
        <f aca="false">DATE(YEAR(A933),MONTH(A933),1)</f>
        <v>43922</v>
      </c>
    </row>
    <row r="934" customFormat="false" ht="15" hidden="false" customHeight="false" outlineLevel="0" collapsed="false">
      <c r="A934" s="81" t="n">
        <v>43943</v>
      </c>
      <c r="B934" s="48" t="n">
        <v>262</v>
      </c>
      <c r="C934" s="48" t="n">
        <v>7</v>
      </c>
      <c r="D934" s="48" t="n">
        <v>0</v>
      </c>
      <c r="E934" s="48" t="s">
        <v>114</v>
      </c>
      <c r="F934" s="48" t="s">
        <v>71</v>
      </c>
      <c r="G934" s="48" t="s">
        <v>92</v>
      </c>
      <c r="H934" s="82" t="n">
        <f aca="false">DATE(YEAR(A934),MONTH(A934),1)</f>
        <v>43922</v>
      </c>
    </row>
    <row r="935" customFormat="false" ht="15" hidden="false" customHeight="false" outlineLevel="0" collapsed="false">
      <c r="A935" s="81" t="n">
        <v>43943</v>
      </c>
      <c r="B935" s="48" t="n">
        <v>2</v>
      </c>
      <c r="C935" s="48" t="n">
        <v>0</v>
      </c>
      <c r="D935" s="48" t="n">
        <v>5</v>
      </c>
      <c r="E935" s="48" t="s">
        <v>112</v>
      </c>
      <c r="F935" s="48" t="s">
        <v>70</v>
      </c>
      <c r="G935" s="48" t="s">
        <v>104</v>
      </c>
      <c r="H935" s="82" t="n">
        <f aca="false">DATE(YEAR(A935),MONTH(A935),1)</f>
        <v>43922</v>
      </c>
    </row>
    <row r="936" customFormat="false" ht="15" hidden="false" customHeight="false" outlineLevel="0" collapsed="false">
      <c r="A936" s="81" t="n">
        <v>43943</v>
      </c>
      <c r="B936" s="48" t="n">
        <v>78</v>
      </c>
      <c r="C936" s="48" t="n">
        <v>0</v>
      </c>
      <c r="D936" s="48" t="n">
        <v>0</v>
      </c>
      <c r="E936" s="48" t="s">
        <v>116</v>
      </c>
      <c r="F936" s="48" t="s">
        <v>70</v>
      </c>
      <c r="G936" s="48" t="s">
        <v>592</v>
      </c>
      <c r="H936" s="82" t="n">
        <f aca="false">DATE(YEAR(A936),MONTH(A936),1)</f>
        <v>43922</v>
      </c>
    </row>
    <row r="937" customFormat="false" ht="15" hidden="false" customHeight="false" outlineLevel="0" collapsed="false">
      <c r="A937" s="81" t="n">
        <v>43943</v>
      </c>
      <c r="B937" s="48" t="n">
        <v>12</v>
      </c>
      <c r="C937" s="48" t="n">
        <v>0</v>
      </c>
      <c r="D937" s="48" t="n">
        <v>10</v>
      </c>
      <c r="E937" s="48" t="s">
        <v>112</v>
      </c>
      <c r="F937" s="48" t="s">
        <v>70</v>
      </c>
      <c r="G937" s="48" t="s">
        <v>642</v>
      </c>
      <c r="H937" s="82" t="n">
        <f aca="false">DATE(YEAR(A937),MONTH(A937),1)</f>
        <v>43922</v>
      </c>
    </row>
    <row r="938" customFormat="false" ht="15" hidden="false" customHeight="false" outlineLevel="0" collapsed="false">
      <c r="A938" s="81" t="n">
        <v>43943</v>
      </c>
      <c r="B938" s="48" t="n">
        <v>10</v>
      </c>
      <c r="C938" s="48" t="n">
        <v>0</v>
      </c>
      <c r="D938" s="48" t="n">
        <v>0</v>
      </c>
      <c r="E938" s="48" t="s">
        <v>112</v>
      </c>
      <c r="F938" s="48" t="s">
        <v>70</v>
      </c>
      <c r="G938" s="48" t="s">
        <v>619</v>
      </c>
      <c r="H938" s="82" t="n">
        <f aca="false">DATE(YEAR(A938),MONTH(A938),1)</f>
        <v>43922</v>
      </c>
    </row>
    <row r="939" customFormat="false" ht="15" hidden="false" customHeight="false" outlineLevel="0" collapsed="false">
      <c r="A939" s="81" t="n">
        <v>43943</v>
      </c>
      <c r="B939" s="48" t="n">
        <v>6</v>
      </c>
      <c r="C939" s="48" t="n">
        <v>0</v>
      </c>
      <c r="D939" s="48" t="n">
        <v>0</v>
      </c>
      <c r="E939" s="48" t="s">
        <v>112</v>
      </c>
      <c r="F939" s="48" t="s">
        <v>70</v>
      </c>
      <c r="G939" s="48" t="s">
        <v>633</v>
      </c>
      <c r="H939" s="82" t="n">
        <f aca="false">DATE(YEAR(A939),MONTH(A939),1)</f>
        <v>43922</v>
      </c>
    </row>
    <row r="940" customFormat="false" ht="15" hidden="false" customHeight="false" outlineLevel="0" collapsed="false">
      <c r="A940" s="81" t="n">
        <v>43943</v>
      </c>
      <c r="B940" s="48" t="n">
        <v>2</v>
      </c>
      <c r="C940" s="48" t="n">
        <v>0</v>
      </c>
      <c r="D940" s="48" t="n">
        <v>0</v>
      </c>
      <c r="E940" s="48" t="s">
        <v>112</v>
      </c>
      <c r="F940" s="48" t="s">
        <v>70</v>
      </c>
      <c r="G940" s="48" t="s">
        <v>630</v>
      </c>
      <c r="H940" s="82" t="n">
        <f aca="false">DATE(YEAR(A940),MONTH(A940),1)</f>
        <v>43922</v>
      </c>
    </row>
    <row r="941" customFormat="false" ht="15" hidden="false" customHeight="false" outlineLevel="0" collapsed="false">
      <c r="A941" s="81" t="n">
        <v>43943</v>
      </c>
      <c r="B941" s="48" t="n">
        <v>4</v>
      </c>
      <c r="C941" s="48" t="n">
        <v>0</v>
      </c>
      <c r="D941" s="48" t="n">
        <v>0</v>
      </c>
      <c r="E941" s="48" t="s">
        <v>112</v>
      </c>
      <c r="F941" s="48" t="s">
        <v>70</v>
      </c>
      <c r="G941" s="48" t="s">
        <v>637</v>
      </c>
      <c r="H941" s="82" t="n">
        <f aca="false">DATE(YEAR(A941),MONTH(A941),1)</f>
        <v>43922</v>
      </c>
    </row>
    <row r="942" customFormat="false" ht="15" hidden="false" customHeight="false" outlineLevel="0" collapsed="false">
      <c r="A942" s="81" t="n">
        <v>43943</v>
      </c>
      <c r="B942" s="48" t="n">
        <v>38</v>
      </c>
      <c r="C942" s="48" t="n">
        <v>0</v>
      </c>
      <c r="D942" s="48" t="n">
        <v>18</v>
      </c>
      <c r="E942" s="48" t="s">
        <v>112</v>
      </c>
      <c r="F942" s="48" t="s">
        <v>70</v>
      </c>
      <c r="G942" s="48" t="s">
        <v>99</v>
      </c>
      <c r="H942" s="82" t="n">
        <f aca="false">DATE(YEAR(A942),MONTH(A942),1)</f>
        <v>43922</v>
      </c>
    </row>
    <row r="943" customFormat="false" ht="15" hidden="false" customHeight="false" outlineLevel="0" collapsed="false">
      <c r="A943" s="81" t="n">
        <v>43943</v>
      </c>
      <c r="B943" s="48" t="n">
        <v>155</v>
      </c>
      <c r="C943" s="48" t="n">
        <v>2</v>
      </c>
      <c r="D943" s="48" t="n">
        <v>32</v>
      </c>
      <c r="E943" s="48" t="s">
        <v>112</v>
      </c>
      <c r="F943" s="48" t="s">
        <v>70</v>
      </c>
      <c r="G943" s="48" t="s">
        <v>91</v>
      </c>
      <c r="H943" s="82" t="n">
        <f aca="false">DATE(YEAR(A943),MONTH(A943),1)</f>
        <v>43922</v>
      </c>
    </row>
    <row r="944" customFormat="false" ht="15" hidden="false" customHeight="false" outlineLevel="0" collapsed="false">
      <c r="A944" s="81" t="n">
        <v>43943</v>
      </c>
      <c r="B944" s="48" t="n">
        <v>15</v>
      </c>
      <c r="C944" s="48" t="n">
        <v>1</v>
      </c>
      <c r="D944" s="48" t="n">
        <v>0</v>
      </c>
      <c r="E944" s="48" t="s">
        <v>112</v>
      </c>
      <c r="F944" s="48" t="s">
        <v>70</v>
      </c>
      <c r="G944" s="48" t="s">
        <v>98</v>
      </c>
      <c r="H944" s="82" t="n">
        <f aca="false">DATE(YEAR(A944),MONTH(A944),1)</f>
        <v>43922</v>
      </c>
    </row>
    <row r="945" customFormat="false" ht="15" hidden="false" customHeight="false" outlineLevel="0" collapsed="false">
      <c r="A945" s="81" t="n">
        <v>43944</v>
      </c>
      <c r="B945" s="48" t="n">
        <v>4</v>
      </c>
      <c r="C945" s="48" t="n">
        <v>0</v>
      </c>
      <c r="D945" s="48" t="n">
        <v>0</v>
      </c>
      <c r="E945" s="48" t="s">
        <v>112</v>
      </c>
      <c r="F945" s="48" t="s">
        <v>76</v>
      </c>
      <c r="G945" s="48" t="s">
        <v>595</v>
      </c>
      <c r="H945" s="82" t="n">
        <f aca="false">DATE(YEAR(A945),MONTH(A945),1)</f>
        <v>43922</v>
      </c>
    </row>
    <row r="946" customFormat="false" ht="15" hidden="false" customHeight="false" outlineLevel="0" collapsed="false">
      <c r="A946" s="81" t="n">
        <v>43944</v>
      </c>
      <c r="B946" s="48" t="n">
        <v>55</v>
      </c>
      <c r="C946" s="48" t="n">
        <v>0</v>
      </c>
      <c r="D946" s="48" t="n">
        <v>0</v>
      </c>
      <c r="E946" s="48" t="s">
        <v>114</v>
      </c>
      <c r="F946" s="48" t="s">
        <v>73</v>
      </c>
      <c r="G946" s="48" t="s">
        <v>93</v>
      </c>
      <c r="H946" s="82" t="n">
        <f aca="false">DATE(YEAR(A946),MONTH(A946),1)</f>
        <v>43922</v>
      </c>
    </row>
    <row r="947" customFormat="false" ht="15" hidden="false" customHeight="false" outlineLevel="0" collapsed="false">
      <c r="A947" s="81" t="n">
        <v>43944</v>
      </c>
      <c r="B947" s="48" t="n">
        <v>10</v>
      </c>
      <c r="C947" s="48" t="n">
        <v>0</v>
      </c>
      <c r="D947" s="48" t="n">
        <v>0</v>
      </c>
      <c r="E947" s="48" t="s">
        <v>112</v>
      </c>
      <c r="F947" s="48" t="s">
        <v>75</v>
      </c>
      <c r="G947" s="48" t="s">
        <v>103</v>
      </c>
      <c r="H947" s="82" t="n">
        <f aca="false">DATE(YEAR(A947),MONTH(A947),1)</f>
        <v>43922</v>
      </c>
    </row>
    <row r="948" customFormat="false" ht="15" hidden="false" customHeight="false" outlineLevel="0" collapsed="false">
      <c r="A948" s="81" t="n">
        <v>43944</v>
      </c>
      <c r="B948" s="48" t="n">
        <v>10</v>
      </c>
      <c r="C948" s="48" t="n">
        <v>0</v>
      </c>
      <c r="D948" s="48" t="n">
        <v>0</v>
      </c>
      <c r="E948" s="48" t="s">
        <v>112</v>
      </c>
      <c r="F948" s="48" t="s">
        <v>74</v>
      </c>
      <c r="G948" s="48" t="s">
        <v>95</v>
      </c>
      <c r="H948" s="82" t="n">
        <f aca="false">DATE(YEAR(A948),MONTH(A948),1)</f>
        <v>43922</v>
      </c>
    </row>
    <row r="949" customFormat="false" ht="15" hidden="false" customHeight="false" outlineLevel="0" collapsed="false">
      <c r="A949" s="81" t="n">
        <v>43944</v>
      </c>
      <c r="B949" s="48" t="n">
        <v>14</v>
      </c>
      <c r="C949" s="48" t="n">
        <v>1</v>
      </c>
      <c r="D949" s="48" t="n">
        <v>3</v>
      </c>
      <c r="E949" s="48" t="s">
        <v>112</v>
      </c>
      <c r="F949" s="48" t="s">
        <v>72</v>
      </c>
      <c r="G949" s="48" t="s">
        <v>94</v>
      </c>
      <c r="H949" s="82" t="n">
        <f aca="false">DATE(YEAR(A949),MONTH(A949),1)</f>
        <v>43922</v>
      </c>
    </row>
    <row r="950" customFormat="false" ht="15" hidden="false" customHeight="false" outlineLevel="0" collapsed="false">
      <c r="A950" s="81" t="n">
        <v>43944</v>
      </c>
      <c r="B950" s="48" t="n">
        <v>7</v>
      </c>
      <c r="C950" s="48" t="n">
        <v>1</v>
      </c>
      <c r="D950" s="48" t="n">
        <v>5</v>
      </c>
      <c r="E950" s="48" t="s">
        <v>112</v>
      </c>
      <c r="F950" s="48" t="s">
        <v>72</v>
      </c>
      <c r="G950" s="48" t="s">
        <v>597</v>
      </c>
      <c r="H950" s="82" t="n">
        <f aca="false">DATE(YEAR(A950),MONTH(A950),1)</f>
        <v>43922</v>
      </c>
    </row>
    <row r="951" customFormat="false" ht="15" hidden="false" customHeight="false" outlineLevel="0" collapsed="false">
      <c r="A951" s="81" t="n">
        <v>43944</v>
      </c>
      <c r="B951" s="48" t="n">
        <v>1</v>
      </c>
      <c r="C951" s="48" t="n">
        <v>0</v>
      </c>
      <c r="D951" s="48" t="n">
        <v>0</v>
      </c>
      <c r="E951" s="48" t="s">
        <v>112</v>
      </c>
      <c r="F951" s="48" t="s">
        <v>72</v>
      </c>
      <c r="G951" s="48" t="s">
        <v>594</v>
      </c>
      <c r="H951" s="82" t="n">
        <f aca="false">DATE(YEAR(A951),MONTH(A951),1)</f>
        <v>43922</v>
      </c>
    </row>
    <row r="952" customFormat="false" ht="15" hidden="false" customHeight="false" outlineLevel="0" collapsed="false">
      <c r="A952" s="81" t="n">
        <v>43944</v>
      </c>
      <c r="B952" s="48" t="n">
        <v>0</v>
      </c>
      <c r="C952" s="48" t="n">
        <v>0</v>
      </c>
      <c r="D952" s="48" t="n">
        <v>6</v>
      </c>
      <c r="E952" s="48" t="s">
        <v>112</v>
      </c>
      <c r="F952" s="48" t="s">
        <v>72</v>
      </c>
      <c r="G952" s="48" t="s">
        <v>599</v>
      </c>
      <c r="H952" s="82" t="n">
        <f aca="false">DATE(YEAR(A952),MONTH(A952),1)</f>
        <v>43922</v>
      </c>
    </row>
    <row r="953" customFormat="false" ht="15" hidden="false" customHeight="false" outlineLevel="0" collapsed="false">
      <c r="A953" s="81" t="n">
        <v>43944</v>
      </c>
      <c r="B953" s="48" t="n">
        <v>0</v>
      </c>
      <c r="C953" s="48" t="n">
        <v>0</v>
      </c>
      <c r="D953" s="48" t="n">
        <v>0</v>
      </c>
      <c r="E953" s="48" t="s">
        <v>112</v>
      </c>
      <c r="F953" s="48" t="s">
        <v>72</v>
      </c>
      <c r="G953" s="48" t="s">
        <v>656</v>
      </c>
      <c r="H953" s="82" t="n">
        <f aca="false">DATE(YEAR(A953),MONTH(A953),1)</f>
        <v>43922</v>
      </c>
    </row>
    <row r="954" customFormat="false" ht="15" hidden="false" customHeight="false" outlineLevel="0" collapsed="false">
      <c r="A954" s="81" t="n">
        <v>43944</v>
      </c>
      <c r="B954" s="48" t="n">
        <v>1</v>
      </c>
      <c r="C954" s="48" t="n">
        <v>0</v>
      </c>
      <c r="D954" s="48" t="n">
        <v>10</v>
      </c>
      <c r="E954" s="48" t="s">
        <v>112</v>
      </c>
      <c r="F954" s="48" t="s">
        <v>72</v>
      </c>
      <c r="G954" s="48" t="s">
        <v>102</v>
      </c>
      <c r="H954" s="82" t="n">
        <f aca="false">DATE(YEAR(A954),MONTH(A954),1)</f>
        <v>43922</v>
      </c>
    </row>
    <row r="955" customFormat="false" ht="15" hidden="false" customHeight="false" outlineLevel="0" collapsed="false">
      <c r="A955" s="81" t="n">
        <v>43944</v>
      </c>
      <c r="B955" s="48" t="n">
        <v>0</v>
      </c>
      <c r="C955" s="48" t="n">
        <v>0</v>
      </c>
      <c r="D955" s="48" t="n">
        <v>2</v>
      </c>
      <c r="E955" s="48" t="s">
        <v>112</v>
      </c>
      <c r="F955" s="48" t="s">
        <v>72</v>
      </c>
      <c r="G955" s="48" t="s">
        <v>611</v>
      </c>
      <c r="H955" s="82" t="n">
        <f aca="false">DATE(YEAR(A955),MONTH(A955),1)</f>
        <v>43922</v>
      </c>
    </row>
    <row r="956" customFormat="false" ht="15" hidden="false" customHeight="false" outlineLevel="0" collapsed="false">
      <c r="A956" s="81" t="n">
        <v>43944</v>
      </c>
      <c r="B956" s="48" t="n">
        <v>3</v>
      </c>
      <c r="C956" s="48" t="n">
        <v>0</v>
      </c>
      <c r="D956" s="48" t="n">
        <v>10</v>
      </c>
      <c r="E956" s="48" t="s">
        <v>112</v>
      </c>
      <c r="F956" s="48" t="s">
        <v>72</v>
      </c>
      <c r="G956" s="48" t="s">
        <v>96</v>
      </c>
      <c r="H956" s="82" t="n">
        <f aca="false">DATE(YEAR(A956),MONTH(A956),1)</f>
        <v>43922</v>
      </c>
    </row>
    <row r="957" customFormat="false" ht="15" hidden="false" customHeight="false" outlineLevel="0" collapsed="false">
      <c r="A957" s="81" t="n">
        <v>43944</v>
      </c>
      <c r="B957" s="48" t="n">
        <v>4</v>
      </c>
      <c r="C957" s="48" t="n">
        <v>0</v>
      </c>
      <c r="D957" s="48" t="n">
        <v>11</v>
      </c>
      <c r="E957" s="48" t="s">
        <v>112</v>
      </c>
      <c r="F957" s="48" t="s">
        <v>72</v>
      </c>
      <c r="G957" s="48" t="s">
        <v>603</v>
      </c>
      <c r="H957" s="82" t="n">
        <f aca="false">DATE(YEAR(A957),MONTH(A957),1)</f>
        <v>43922</v>
      </c>
    </row>
    <row r="958" customFormat="false" ht="15" hidden="false" customHeight="false" outlineLevel="0" collapsed="false">
      <c r="A958" s="81" t="n">
        <v>43944</v>
      </c>
      <c r="B958" s="48" t="n">
        <v>3</v>
      </c>
      <c r="C958" s="48" t="n">
        <v>0</v>
      </c>
      <c r="D958" s="48" t="n">
        <v>2</v>
      </c>
      <c r="E958" s="48" t="s">
        <v>112</v>
      </c>
      <c r="F958" s="48" t="s">
        <v>72</v>
      </c>
      <c r="G958" s="48" t="s">
        <v>591</v>
      </c>
      <c r="H958" s="82" t="n">
        <f aca="false">DATE(YEAR(A958),MONTH(A958),1)</f>
        <v>43922</v>
      </c>
    </row>
    <row r="959" customFormat="false" ht="15" hidden="false" customHeight="false" outlineLevel="0" collapsed="false">
      <c r="A959" s="81" t="n">
        <v>43944</v>
      </c>
      <c r="B959" s="48" t="n">
        <v>0</v>
      </c>
      <c r="C959" s="48" t="n">
        <v>0</v>
      </c>
      <c r="D959" s="48" t="n">
        <v>25</v>
      </c>
      <c r="E959" s="48" t="s">
        <v>112</v>
      </c>
      <c r="F959" s="48" t="s">
        <v>72</v>
      </c>
      <c r="G959" s="48" t="s">
        <v>598</v>
      </c>
      <c r="H959" s="82" t="n">
        <f aca="false">DATE(YEAR(A959),MONTH(A959),1)</f>
        <v>43922</v>
      </c>
    </row>
    <row r="960" customFormat="false" ht="15" hidden="false" customHeight="false" outlineLevel="0" collapsed="false">
      <c r="A960" s="81" t="n">
        <v>43944</v>
      </c>
      <c r="B960" s="48" t="n">
        <v>4</v>
      </c>
      <c r="C960" s="48" t="n">
        <v>0</v>
      </c>
      <c r="D960" s="48" t="n">
        <v>4</v>
      </c>
      <c r="E960" s="48" t="s">
        <v>112</v>
      </c>
      <c r="F960" s="48" t="s">
        <v>72</v>
      </c>
      <c r="G960" s="48" t="s">
        <v>609</v>
      </c>
      <c r="H960" s="82" t="n">
        <f aca="false">DATE(YEAR(A960),MONTH(A960),1)</f>
        <v>43922</v>
      </c>
    </row>
    <row r="961" customFormat="false" ht="15" hidden="false" customHeight="false" outlineLevel="0" collapsed="false">
      <c r="A961" s="81" t="n">
        <v>43944</v>
      </c>
      <c r="B961" s="48" t="n">
        <v>6</v>
      </c>
      <c r="C961" s="48" t="n">
        <v>0</v>
      </c>
      <c r="D961" s="48" t="n">
        <v>0</v>
      </c>
      <c r="E961" s="48" t="s">
        <v>112</v>
      </c>
      <c r="F961" s="48" t="s">
        <v>72</v>
      </c>
      <c r="G961" s="48" t="s">
        <v>101</v>
      </c>
      <c r="H961" s="82" t="n">
        <f aca="false">DATE(YEAR(A961),MONTH(A961),1)</f>
        <v>43922</v>
      </c>
    </row>
    <row r="962" customFormat="false" ht="15" hidden="false" customHeight="false" outlineLevel="0" collapsed="false">
      <c r="A962" s="81" t="n">
        <v>43944</v>
      </c>
      <c r="B962" s="48" t="n">
        <v>0</v>
      </c>
      <c r="C962" s="48" t="n">
        <v>0</v>
      </c>
      <c r="D962" s="48" t="n">
        <v>0</v>
      </c>
      <c r="E962" s="48" t="s">
        <v>112</v>
      </c>
      <c r="F962" s="48" t="s">
        <v>72</v>
      </c>
      <c r="G962" s="48" t="s">
        <v>643</v>
      </c>
      <c r="H962" s="82" t="n">
        <f aca="false">DATE(YEAR(A962),MONTH(A962),1)</f>
        <v>43922</v>
      </c>
    </row>
    <row r="963" customFormat="false" ht="15" hidden="false" customHeight="false" outlineLevel="0" collapsed="false">
      <c r="A963" s="81" t="n">
        <v>43944</v>
      </c>
      <c r="B963" s="48" t="n">
        <v>0</v>
      </c>
      <c r="C963" s="48" t="n">
        <v>0</v>
      </c>
      <c r="D963" s="48" t="n">
        <v>0</v>
      </c>
      <c r="E963" s="48" t="s">
        <v>112</v>
      </c>
      <c r="F963" s="48" t="s">
        <v>72</v>
      </c>
      <c r="G963" s="48" t="s">
        <v>662</v>
      </c>
      <c r="H963" s="82" t="n">
        <f aca="false">DATE(YEAR(A963),MONTH(A963),1)</f>
        <v>43922</v>
      </c>
    </row>
    <row r="964" customFormat="false" ht="15" hidden="false" customHeight="false" outlineLevel="0" collapsed="false">
      <c r="A964" s="81" t="n">
        <v>43944</v>
      </c>
      <c r="B964" s="48" t="n">
        <v>3</v>
      </c>
      <c r="C964" s="48" t="n">
        <v>0</v>
      </c>
      <c r="D964" s="48" t="n">
        <v>0</v>
      </c>
      <c r="E964" s="48" t="s">
        <v>112</v>
      </c>
      <c r="F964" s="48" t="s">
        <v>72</v>
      </c>
      <c r="G964" s="48" t="s">
        <v>600</v>
      </c>
      <c r="H964" s="82" t="n">
        <f aca="false">DATE(YEAR(A964),MONTH(A964),1)</f>
        <v>43922</v>
      </c>
    </row>
    <row r="965" customFormat="false" ht="15" hidden="false" customHeight="false" outlineLevel="0" collapsed="false">
      <c r="A965" s="81" t="n">
        <v>43944</v>
      </c>
      <c r="B965" s="48" t="n">
        <v>2</v>
      </c>
      <c r="C965" s="48" t="n">
        <v>0</v>
      </c>
      <c r="D965" s="48" t="n">
        <v>1</v>
      </c>
      <c r="E965" s="48" t="s">
        <v>112</v>
      </c>
      <c r="F965" s="48" t="s">
        <v>72</v>
      </c>
      <c r="G965" s="48" t="s">
        <v>610</v>
      </c>
      <c r="H965" s="82" t="n">
        <f aca="false">DATE(YEAR(A965),MONTH(A965),1)</f>
        <v>43922</v>
      </c>
    </row>
    <row r="966" customFormat="false" ht="15" hidden="false" customHeight="false" outlineLevel="0" collapsed="false">
      <c r="A966" s="81" t="n">
        <v>43944</v>
      </c>
      <c r="B966" s="48" t="n">
        <v>0</v>
      </c>
      <c r="C966" s="48" t="n">
        <v>0</v>
      </c>
      <c r="D966" s="48" t="n">
        <v>1</v>
      </c>
      <c r="E966" s="48" t="s">
        <v>112</v>
      </c>
      <c r="F966" s="48" t="s">
        <v>72</v>
      </c>
      <c r="G966" s="48" t="s">
        <v>593</v>
      </c>
      <c r="H966" s="82" t="n">
        <f aca="false">DATE(YEAR(A966),MONTH(A966),1)</f>
        <v>43922</v>
      </c>
    </row>
    <row r="967" customFormat="false" ht="15" hidden="false" customHeight="false" outlineLevel="0" collapsed="false">
      <c r="A967" s="81" t="n">
        <v>43944</v>
      </c>
      <c r="B967" s="48" t="n">
        <v>0</v>
      </c>
      <c r="C967" s="48" t="n">
        <v>0</v>
      </c>
      <c r="D967" s="48" t="n">
        <v>0</v>
      </c>
      <c r="E967" s="48" t="s">
        <v>112</v>
      </c>
      <c r="F967" s="48" t="s">
        <v>72</v>
      </c>
      <c r="G967" s="48" t="s">
        <v>612</v>
      </c>
      <c r="H967" s="82" t="n">
        <f aca="false">DATE(YEAR(A967),MONTH(A967),1)</f>
        <v>43922</v>
      </c>
    </row>
    <row r="968" customFormat="false" ht="15" hidden="false" customHeight="false" outlineLevel="0" collapsed="false">
      <c r="A968" s="81" t="n">
        <v>43944</v>
      </c>
      <c r="B968" s="48" t="n">
        <v>0</v>
      </c>
      <c r="C968" s="48" t="n">
        <v>0</v>
      </c>
      <c r="D968" s="48" t="n">
        <v>0</v>
      </c>
      <c r="E968" s="48" t="s">
        <v>112</v>
      </c>
      <c r="F968" s="48" t="s">
        <v>72</v>
      </c>
      <c r="G968" s="48" t="s">
        <v>685</v>
      </c>
      <c r="H968" s="82" t="n">
        <f aca="false">DATE(YEAR(A968),MONTH(A968),1)</f>
        <v>43922</v>
      </c>
    </row>
    <row r="969" customFormat="false" ht="15" hidden="false" customHeight="false" outlineLevel="0" collapsed="false">
      <c r="A969" s="81" t="n">
        <v>43944</v>
      </c>
      <c r="B969" s="48" t="n">
        <v>1</v>
      </c>
      <c r="C969" s="48" t="n">
        <v>0</v>
      </c>
      <c r="D969" s="48" t="n">
        <v>0</v>
      </c>
      <c r="E969" s="48" t="s">
        <v>112</v>
      </c>
      <c r="F969" s="48" t="s">
        <v>72</v>
      </c>
      <c r="G969" s="48" t="s">
        <v>687</v>
      </c>
      <c r="H969" s="82" t="n">
        <f aca="false">DATE(YEAR(A969),MONTH(A969),1)</f>
        <v>43922</v>
      </c>
    </row>
    <row r="970" customFormat="false" ht="15" hidden="false" customHeight="false" outlineLevel="0" collapsed="false">
      <c r="A970" s="81" t="n">
        <v>43944</v>
      </c>
      <c r="B970" s="48" t="n">
        <v>0</v>
      </c>
      <c r="C970" s="48" t="n">
        <v>0</v>
      </c>
      <c r="D970" s="48" t="n">
        <v>0</v>
      </c>
      <c r="E970" s="48" t="s">
        <v>112</v>
      </c>
      <c r="F970" s="48" t="s">
        <v>72</v>
      </c>
      <c r="G970" s="48" t="s">
        <v>682</v>
      </c>
      <c r="H970" s="82" t="n">
        <f aca="false">DATE(YEAR(A970),MONTH(A970),1)</f>
        <v>43922</v>
      </c>
    </row>
    <row r="971" customFormat="false" ht="15" hidden="false" customHeight="false" outlineLevel="0" collapsed="false">
      <c r="A971" s="81" t="n">
        <v>43944</v>
      </c>
      <c r="B971" s="48" t="n">
        <v>0</v>
      </c>
      <c r="C971" s="48" t="n">
        <v>0</v>
      </c>
      <c r="D971" s="48" t="n">
        <v>0</v>
      </c>
      <c r="E971" s="48" t="s">
        <v>112</v>
      </c>
      <c r="F971" s="48" t="s">
        <v>72</v>
      </c>
      <c r="G971" s="48" t="s">
        <v>692</v>
      </c>
      <c r="H971" s="82" t="n">
        <f aca="false">DATE(YEAR(A971),MONTH(A971),1)</f>
        <v>43922</v>
      </c>
    </row>
    <row r="972" customFormat="false" ht="15" hidden="false" customHeight="false" outlineLevel="0" collapsed="false">
      <c r="A972" s="81" t="n">
        <v>43944</v>
      </c>
      <c r="B972" s="48" t="n">
        <v>1</v>
      </c>
      <c r="C972" s="48" t="n">
        <v>0</v>
      </c>
      <c r="D972" s="48" t="n">
        <v>0</v>
      </c>
      <c r="E972" s="48" t="s">
        <v>112</v>
      </c>
      <c r="F972" s="48" t="s">
        <v>72</v>
      </c>
      <c r="G972" s="48" t="s">
        <v>613</v>
      </c>
      <c r="H972" s="82" t="n">
        <f aca="false">DATE(YEAR(A972),MONTH(A972),1)</f>
        <v>43922</v>
      </c>
    </row>
    <row r="973" customFormat="false" ht="15" hidden="false" customHeight="false" outlineLevel="0" collapsed="false">
      <c r="A973" s="81" t="n">
        <v>43944</v>
      </c>
      <c r="B973" s="48" t="n">
        <v>2</v>
      </c>
      <c r="C973" s="48" t="n">
        <v>0</v>
      </c>
      <c r="D973" s="48" t="n">
        <v>15</v>
      </c>
      <c r="E973" s="48" t="s">
        <v>112</v>
      </c>
      <c r="F973" s="48" t="s">
        <v>72</v>
      </c>
      <c r="G973" s="48" t="s">
        <v>614</v>
      </c>
      <c r="H973" s="82" t="n">
        <f aca="false">DATE(YEAR(A973),MONTH(A973),1)</f>
        <v>43922</v>
      </c>
    </row>
    <row r="974" customFormat="false" ht="15" hidden="false" customHeight="false" outlineLevel="0" collapsed="false">
      <c r="A974" s="81" t="n">
        <v>43944</v>
      </c>
      <c r="B974" s="48" t="n">
        <v>0</v>
      </c>
      <c r="C974" s="48" t="n">
        <v>0</v>
      </c>
      <c r="D974" s="48" t="n">
        <v>4</v>
      </c>
      <c r="E974" s="48" t="s">
        <v>112</v>
      </c>
      <c r="F974" s="48" t="s">
        <v>72</v>
      </c>
      <c r="G974" s="48" t="s">
        <v>655</v>
      </c>
      <c r="H974" s="82" t="n">
        <f aca="false">DATE(YEAR(A974),MONTH(A974),1)</f>
        <v>43922</v>
      </c>
    </row>
    <row r="975" customFormat="false" ht="15" hidden="false" customHeight="false" outlineLevel="0" collapsed="false">
      <c r="A975" s="81" t="n">
        <v>43944</v>
      </c>
      <c r="B975" s="48" t="n">
        <v>2</v>
      </c>
      <c r="C975" s="48" t="n">
        <v>0</v>
      </c>
      <c r="D975" s="48" t="n">
        <v>2</v>
      </c>
      <c r="E975" s="48" t="s">
        <v>112</v>
      </c>
      <c r="F975" s="48" t="s">
        <v>72</v>
      </c>
      <c r="G975" s="48" t="s">
        <v>608</v>
      </c>
      <c r="H975" s="82" t="n">
        <f aca="false">DATE(YEAR(A975),MONTH(A975),1)</f>
        <v>43922</v>
      </c>
    </row>
    <row r="976" customFormat="false" ht="15" hidden="false" customHeight="false" outlineLevel="0" collapsed="false">
      <c r="A976" s="81" t="n">
        <v>43944</v>
      </c>
      <c r="B976" s="48" t="n">
        <v>0</v>
      </c>
      <c r="C976" s="48" t="n">
        <v>0</v>
      </c>
      <c r="D976" s="48" t="n">
        <v>0</v>
      </c>
      <c r="E976" s="48" t="s">
        <v>112</v>
      </c>
      <c r="F976" s="48" t="s">
        <v>72</v>
      </c>
      <c r="G976" s="48" t="s">
        <v>615</v>
      </c>
      <c r="H976" s="82" t="n">
        <f aca="false">DATE(YEAR(A976),MONTH(A976),1)</f>
        <v>43922</v>
      </c>
    </row>
    <row r="977" customFormat="false" ht="15" hidden="false" customHeight="false" outlineLevel="0" collapsed="false">
      <c r="A977" s="81" t="n">
        <v>43944</v>
      </c>
      <c r="B977" s="48" t="n">
        <v>0</v>
      </c>
      <c r="C977" s="48" t="n">
        <v>0</v>
      </c>
      <c r="D977" s="48" t="n">
        <v>2</v>
      </c>
      <c r="E977" s="48" t="s">
        <v>112</v>
      </c>
      <c r="F977" s="48" t="s">
        <v>72</v>
      </c>
      <c r="G977" s="48" t="s">
        <v>666</v>
      </c>
      <c r="H977" s="82" t="n">
        <f aca="false">DATE(YEAR(A977),MONTH(A977),1)</f>
        <v>43922</v>
      </c>
    </row>
    <row r="978" customFormat="false" ht="15" hidden="false" customHeight="false" outlineLevel="0" collapsed="false">
      <c r="A978" s="81" t="n">
        <v>43944</v>
      </c>
      <c r="B978" s="48" t="n">
        <v>0</v>
      </c>
      <c r="C978" s="48" t="n">
        <v>0</v>
      </c>
      <c r="D978" s="48" t="n">
        <v>11</v>
      </c>
      <c r="E978" s="48" t="s">
        <v>112</v>
      </c>
      <c r="F978" s="48" t="s">
        <v>72</v>
      </c>
      <c r="G978" s="48" t="s">
        <v>621</v>
      </c>
      <c r="H978" s="82" t="n">
        <f aca="false">DATE(YEAR(A978),MONTH(A978),1)</f>
        <v>43922</v>
      </c>
    </row>
    <row r="979" customFormat="false" ht="15" hidden="false" customHeight="false" outlineLevel="0" collapsed="false">
      <c r="A979" s="81" t="n">
        <v>43944</v>
      </c>
      <c r="B979" s="48" t="n">
        <v>0</v>
      </c>
      <c r="C979" s="48" t="n">
        <v>0</v>
      </c>
      <c r="D979" s="48" t="n">
        <v>0</v>
      </c>
      <c r="E979" s="48" t="s">
        <v>112</v>
      </c>
      <c r="F979" s="48" t="s">
        <v>72</v>
      </c>
      <c r="G979" s="48" t="s">
        <v>664</v>
      </c>
      <c r="H979" s="82" t="n">
        <f aca="false">DATE(YEAR(A979),MONTH(A979),1)</f>
        <v>43922</v>
      </c>
    </row>
    <row r="980" customFormat="false" ht="15" hidden="false" customHeight="false" outlineLevel="0" collapsed="false">
      <c r="A980" s="81" t="n">
        <v>43944</v>
      </c>
      <c r="B980" s="48" t="n">
        <v>0</v>
      </c>
      <c r="C980" s="48" t="n">
        <v>0</v>
      </c>
      <c r="D980" s="48" t="n">
        <v>1</v>
      </c>
      <c r="E980" s="48" t="s">
        <v>112</v>
      </c>
      <c r="F980" s="48" t="s">
        <v>72</v>
      </c>
      <c r="G980" s="48" t="s">
        <v>667</v>
      </c>
      <c r="H980" s="82" t="n">
        <f aca="false">DATE(YEAR(A980),MONTH(A980),1)</f>
        <v>43922</v>
      </c>
    </row>
    <row r="981" customFormat="false" ht="15" hidden="false" customHeight="false" outlineLevel="0" collapsed="false">
      <c r="A981" s="81" t="n">
        <v>43944</v>
      </c>
      <c r="B981" s="48" t="n">
        <v>2</v>
      </c>
      <c r="C981" s="48" t="n">
        <v>0</v>
      </c>
      <c r="D981" s="48" t="n">
        <v>2</v>
      </c>
      <c r="E981" s="48" t="s">
        <v>112</v>
      </c>
      <c r="F981" s="48" t="s">
        <v>72</v>
      </c>
      <c r="G981" s="48" t="s">
        <v>607</v>
      </c>
      <c r="H981" s="82" t="n">
        <f aca="false">DATE(YEAR(A981),MONTH(A981),1)</f>
        <v>43922</v>
      </c>
    </row>
    <row r="982" customFormat="false" ht="15" hidden="false" customHeight="false" outlineLevel="0" collapsed="false">
      <c r="A982" s="81" t="n">
        <v>43944</v>
      </c>
      <c r="B982" s="48" t="n">
        <v>0</v>
      </c>
      <c r="C982" s="48" t="n">
        <v>0</v>
      </c>
      <c r="D982" s="48" t="n">
        <v>0</v>
      </c>
      <c r="E982" s="48" t="s">
        <v>112</v>
      </c>
      <c r="F982" s="48" t="s">
        <v>72</v>
      </c>
      <c r="G982" s="48" t="s">
        <v>673</v>
      </c>
      <c r="H982" s="82" t="n">
        <f aca="false">DATE(YEAR(A982),MONTH(A982),1)</f>
        <v>43922</v>
      </c>
    </row>
    <row r="983" customFormat="false" ht="15" hidden="false" customHeight="false" outlineLevel="0" collapsed="false">
      <c r="A983" s="81" t="n">
        <v>43944</v>
      </c>
      <c r="B983" s="48" t="n">
        <v>0</v>
      </c>
      <c r="C983" s="48" t="n">
        <v>0</v>
      </c>
      <c r="D983" s="48" t="n">
        <v>1</v>
      </c>
      <c r="E983" s="48" t="s">
        <v>112</v>
      </c>
      <c r="F983" s="48" t="s">
        <v>72</v>
      </c>
      <c r="G983" s="48" t="s">
        <v>676</v>
      </c>
      <c r="H983" s="82" t="n">
        <f aca="false">DATE(YEAR(A983),MONTH(A983),1)</f>
        <v>43922</v>
      </c>
    </row>
    <row r="984" customFormat="false" ht="15" hidden="false" customHeight="false" outlineLevel="0" collapsed="false">
      <c r="A984" s="81" t="n">
        <v>43944</v>
      </c>
      <c r="B984" s="48" t="n">
        <v>23</v>
      </c>
      <c r="C984" s="48" t="n">
        <v>0</v>
      </c>
      <c r="D984" s="48" t="n">
        <v>0</v>
      </c>
      <c r="E984" s="48" t="s">
        <v>121</v>
      </c>
      <c r="F984" s="48" t="s">
        <v>72</v>
      </c>
      <c r="G984" s="48" t="s">
        <v>94</v>
      </c>
      <c r="H984" s="82" t="n">
        <f aca="false">DATE(YEAR(A984),MONTH(A984),1)</f>
        <v>43922</v>
      </c>
    </row>
    <row r="985" customFormat="false" ht="15" hidden="false" customHeight="false" outlineLevel="0" collapsed="false">
      <c r="A985" s="81" t="n">
        <v>43944</v>
      </c>
      <c r="B985" s="48" t="n">
        <v>8</v>
      </c>
      <c r="C985" s="48" t="n">
        <v>0</v>
      </c>
      <c r="D985" s="48" t="n">
        <v>0</v>
      </c>
      <c r="E985" s="48" t="s">
        <v>122</v>
      </c>
      <c r="F985" s="48" t="s">
        <v>72</v>
      </c>
      <c r="G985" s="48" t="s">
        <v>94</v>
      </c>
      <c r="H985" s="82" t="n">
        <f aca="false">DATE(YEAR(A985),MONTH(A985),1)</f>
        <v>43922</v>
      </c>
    </row>
    <row r="986" customFormat="false" ht="15" hidden="false" customHeight="false" outlineLevel="0" collapsed="false">
      <c r="A986" s="81" t="n">
        <v>43944</v>
      </c>
      <c r="B986" s="48" t="n">
        <v>177</v>
      </c>
      <c r="C986" s="48" t="n">
        <v>2</v>
      </c>
      <c r="D986" s="48" t="n">
        <v>115</v>
      </c>
      <c r="E986" s="48" t="s">
        <v>114</v>
      </c>
      <c r="F986" s="48" t="s">
        <v>71</v>
      </c>
      <c r="G986" s="48" t="s">
        <v>92</v>
      </c>
      <c r="H986" s="82" t="n">
        <f aca="false">DATE(YEAR(A986),MONTH(A986),1)</f>
        <v>43922</v>
      </c>
    </row>
    <row r="987" customFormat="false" ht="15" hidden="false" customHeight="false" outlineLevel="0" collapsed="false">
      <c r="A987" s="81" t="n">
        <v>43944</v>
      </c>
      <c r="B987" s="48" t="n">
        <v>242</v>
      </c>
      <c r="C987" s="48" t="n">
        <v>3</v>
      </c>
      <c r="D987" s="48" t="n">
        <v>0</v>
      </c>
      <c r="E987" s="48" t="s">
        <v>112</v>
      </c>
      <c r="F987" s="48" t="s">
        <v>70</v>
      </c>
      <c r="G987" s="48" t="s">
        <v>91</v>
      </c>
      <c r="H987" s="82" t="n">
        <f aca="false">DATE(YEAR(A987),MONTH(A987),1)</f>
        <v>43922</v>
      </c>
    </row>
    <row r="988" customFormat="false" ht="15" hidden="false" customHeight="false" outlineLevel="0" collapsed="false">
      <c r="A988" s="81" t="n">
        <v>43944</v>
      </c>
      <c r="B988" s="48" t="n">
        <v>1</v>
      </c>
      <c r="C988" s="48" t="n">
        <v>0</v>
      </c>
      <c r="D988" s="48" t="n">
        <v>0</v>
      </c>
      <c r="E988" s="48" t="s">
        <v>112</v>
      </c>
      <c r="F988" s="48" t="s">
        <v>70</v>
      </c>
      <c r="G988" s="48" t="s">
        <v>592</v>
      </c>
      <c r="H988" s="82" t="n">
        <f aca="false">DATE(YEAR(A988),MONTH(A988),1)</f>
        <v>43922</v>
      </c>
    </row>
    <row r="989" customFormat="false" ht="15" hidden="false" customHeight="false" outlineLevel="0" collapsed="false">
      <c r="A989" s="81" t="n">
        <v>43944</v>
      </c>
      <c r="B989" s="48" t="n">
        <v>14</v>
      </c>
      <c r="C989" s="48" t="n">
        <v>1</v>
      </c>
      <c r="D989" s="48" t="n">
        <v>0</v>
      </c>
      <c r="E989" s="48" t="s">
        <v>112</v>
      </c>
      <c r="F989" s="48" t="s">
        <v>70</v>
      </c>
      <c r="G989" s="48" t="s">
        <v>605</v>
      </c>
      <c r="H989" s="82" t="n">
        <f aca="false">DATE(YEAR(A989),MONTH(A989),1)</f>
        <v>43922</v>
      </c>
    </row>
    <row r="990" customFormat="false" ht="15" hidden="false" customHeight="false" outlineLevel="0" collapsed="false">
      <c r="A990" s="81" t="n">
        <v>43944</v>
      </c>
      <c r="B990" s="48" t="n">
        <v>1</v>
      </c>
      <c r="C990" s="48" t="n">
        <v>0</v>
      </c>
      <c r="D990" s="48" t="n">
        <v>0</v>
      </c>
      <c r="E990" s="48" t="s">
        <v>112</v>
      </c>
      <c r="F990" s="48" t="s">
        <v>70</v>
      </c>
      <c r="G990" s="48" t="s">
        <v>644</v>
      </c>
      <c r="H990" s="82" t="n">
        <f aca="false">DATE(YEAR(A990),MONTH(A990),1)</f>
        <v>43922</v>
      </c>
    </row>
    <row r="991" customFormat="false" ht="15" hidden="false" customHeight="false" outlineLevel="0" collapsed="false">
      <c r="A991" s="81" t="n">
        <v>43944</v>
      </c>
      <c r="B991" s="48" t="n">
        <v>1</v>
      </c>
      <c r="C991" s="48" t="n">
        <v>0</v>
      </c>
      <c r="D991" s="48" t="n">
        <v>0</v>
      </c>
      <c r="E991" s="48" t="s">
        <v>112</v>
      </c>
      <c r="F991" s="48" t="s">
        <v>70</v>
      </c>
      <c r="G991" s="48" t="s">
        <v>630</v>
      </c>
      <c r="H991" s="82" t="n">
        <f aca="false">DATE(YEAR(A991),MONTH(A991),1)</f>
        <v>43922</v>
      </c>
    </row>
    <row r="992" customFormat="false" ht="15" hidden="false" customHeight="false" outlineLevel="0" collapsed="false">
      <c r="A992" s="81" t="n">
        <v>43944</v>
      </c>
      <c r="B992" s="48" t="n">
        <v>1</v>
      </c>
      <c r="C992" s="48" t="n">
        <v>0</v>
      </c>
      <c r="D992" s="48" t="n">
        <v>0</v>
      </c>
      <c r="E992" s="48" t="s">
        <v>112</v>
      </c>
      <c r="F992" s="48" t="s">
        <v>70</v>
      </c>
      <c r="G992" s="48" t="s">
        <v>105</v>
      </c>
      <c r="H992" s="82" t="n">
        <f aca="false">DATE(YEAR(A992),MONTH(A992),1)</f>
        <v>43922</v>
      </c>
    </row>
    <row r="993" customFormat="false" ht="15" hidden="false" customHeight="false" outlineLevel="0" collapsed="false">
      <c r="A993" s="81" t="n">
        <v>43944</v>
      </c>
      <c r="B993" s="48" t="n">
        <v>25</v>
      </c>
      <c r="C993" s="48" t="n">
        <v>0</v>
      </c>
      <c r="D993" s="48" t="n">
        <v>8</v>
      </c>
      <c r="E993" s="48" t="s">
        <v>112</v>
      </c>
      <c r="F993" s="48" t="s">
        <v>70</v>
      </c>
      <c r="G993" s="48" t="s">
        <v>98</v>
      </c>
      <c r="H993" s="82" t="n">
        <f aca="false">DATE(YEAR(A993),MONTH(A993),1)</f>
        <v>43922</v>
      </c>
    </row>
    <row r="994" customFormat="false" ht="15" hidden="false" customHeight="false" outlineLevel="0" collapsed="false">
      <c r="A994" s="81" t="n">
        <v>43944</v>
      </c>
      <c r="B994" s="48" t="n">
        <v>11</v>
      </c>
      <c r="C994" s="48" t="n">
        <v>0</v>
      </c>
      <c r="D994" s="48" t="n">
        <v>1</v>
      </c>
      <c r="E994" s="48" t="s">
        <v>112</v>
      </c>
      <c r="F994" s="48" t="s">
        <v>70</v>
      </c>
      <c r="G994" s="48" t="s">
        <v>104</v>
      </c>
      <c r="H994" s="82" t="n">
        <f aca="false">DATE(YEAR(A994),MONTH(A994),1)</f>
        <v>43922</v>
      </c>
    </row>
    <row r="995" customFormat="false" ht="15" hidden="false" customHeight="false" outlineLevel="0" collapsed="false">
      <c r="A995" s="81" t="n">
        <v>43944</v>
      </c>
      <c r="B995" s="48" t="n">
        <v>1</v>
      </c>
      <c r="C995" s="48" t="n">
        <v>0</v>
      </c>
      <c r="D995" s="48" t="n">
        <v>1</v>
      </c>
      <c r="E995" s="48" t="s">
        <v>112</v>
      </c>
      <c r="F995" s="48" t="s">
        <v>70</v>
      </c>
      <c r="G995" s="48" t="s">
        <v>635</v>
      </c>
      <c r="H995" s="82" t="n">
        <f aca="false">DATE(YEAR(A995),MONTH(A995),1)</f>
        <v>43922</v>
      </c>
    </row>
    <row r="996" customFormat="false" ht="15" hidden="false" customHeight="false" outlineLevel="0" collapsed="false">
      <c r="A996" s="81" t="n">
        <v>43944</v>
      </c>
      <c r="B996" s="48" t="n">
        <v>1</v>
      </c>
      <c r="C996" s="48" t="n">
        <v>0</v>
      </c>
      <c r="D996" s="48" t="n">
        <v>1</v>
      </c>
      <c r="E996" s="48" t="s">
        <v>112</v>
      </c>
      <c r="F996" s="48" t="s">
        <v>70</v>
      </c>
      <c r="G996" s="48" t="s">
        <v>623</v>
      </c>
      <c r="H996" s="82" t="n">
        <f aca="false">DATE(YEAR(A996),MONTH(A996),1)</f>
        <v>43922</v>
      </c>
    </row>
    <row r="997" customFormat="false" ht="15" hidden="false" customHeight="false" outlineLevel="0" collapsed="false">
      <c r="A997" s="81" t="n">
        <v>43944</v>
      </c>
      <c r="B997" s="48" t="n">
        <v>0</v>
      </c>
      <c r="C997" s="48" t="n">
        <v>0</v>
      </c>
      <c r="D997" s="48" t="n">
        <v>17</v>
      </c>
      <c r="E997" s="48" t="s">
        <v>112</v>
      </c>
      <c r="F997" s="48" t="s">
        <v>70</v>
      </c>
      <c r="G997" s="48" t="s">
        <v>99</v>
      </c>
      <c r="H997" s="82" t="n">
        <f aca="false">DATE(YEAR(A997),MONTH(A997),1)</f>
        <v>43922</v>
      </c>
    </row>
    <row r="998" customFormat="false" ht="15" hidden="false" customHeight="false" outlineLevel="0" collapsed="false">
      <c r="A998" s="81" t="n">
        <v>43944</v>
      </c>
      <c r="B998" s="48" t="n">
        <v>0</v>
      </c>
      <c r="C998" s="48" t="n">
        <v>0</v>
      </c>
      <c r="D998" s="48" t="n">
        <v>5</v>
      </c>
      <c r="E998" s="48" t="s">
        <v>112</v>
      </c>
      <c r="F998" s="48" t="s">
        <v>70</v>
      </c>
      <c r="G998" s="48" t="s">
        <v>642</v>
      </c>
      <c r="H998" s="82" t="n">
        <f aca="false">DATE(YEAR(A998),MONTH(A998),1)</f>
        <v>43922</v>
      </c>
    </row>
    <row r="999" customFormat="false" ht="15" hidden="false" customHeight="false" outlineLevel="0" collapsed="false">
      <c r="A999" s="81" t="n">
        <v>43945</v>
      </c>
      <c r="B999" s="48" t="n">
        <v>49</v>
      </c>
      <c r="C999" s="48" t="n">
        <v>2</v>
      </c>
      <c r="D999" s="48" t="n">
        <v>0</v>
      </c>
      <c r="E999" s="48" t="s">
        <v>112</v>
      </c>
      <c r="F999" s="48" t="s">
        <v>73</v>
      </c>
      <c r="G999" s="48" t="s">
        <v>93</v>
      </c>
      <c r="H999" s="82" t="n">
        <f aca="false">DATE(YEAR(A999),MONTH(A999),1)</f>
        <v>43922</v>
      </c>
    </row>
    <row r="1000" customFormat="false" ht="15" hidden="false" customHeight="false" outlineLevel="0" collapsed="false">
      <c r="A1000" s="81" t="n">
        <v>43945</v>
      </c>
      <c r="B1000" s="48" t="n">
        <v>7</v>
      </c>
      <c r="C1000" s="48" t="n">
        <v>0</v>
      </c>
      <c r="D1000" s="48" t="n">
        <v>0</v>
      </c>
      <c r="E1000" s="48" t="s">
        <v>112</v>
      </c>
      <c r="F1000" s="48" t="s">
        <v>75</v>
      </c>
      <c r="G1000" s="48" t="s">
        <v>103</v>
      </c>
      <c r="H1000" s="82" t="n">
        <f aca="false">DATE(YEAR(A1000),MONTH(A1000),1)</f>
        <v>43922</v>
      </c>
    </row>
    <row r="1001" customFormat="false" ht="15" hidden="false" customHeight="false" outlineLevel="0" collapsed="false">
      <c r="A1001" s="81" t="n">
        <v>43945</v>
      </c>
      <c r="B1001" s="48" t="n">
        <v>10</v>
      </c>
      <c r="C1001" s="48" t="n">
        <v>0</v>
      </c>
      <c r="D1001" s="48" t="n">
        <v>0</v>
      </c>
      <c r="E1001" s="48" t="s">
        <v>112</v>
      </c>
      <c r="F1001" s="48" t="s">
        <v>74</v>
      </c>
      <c r="G1001" s="48" t="s">
        <v>95</v>
      </c>
      <c r="H1001" s="82" t="n">
        <f aca="false">DATE(YEAR(A1001),MONTH(A1001),1)</f>
        <v>43922</v>
      </c>
    </row>
    <row r="1002" customFormat="false" ht="15" hidden="false" customHeight="false" outlineLevel="0" collapsed="false">
      <c r="A1002" s="81" t="n">
        <v>43945</v>
      </c>
      <c r="B1002" s="48" t="n">
        <v>0</v>
      </c>
      <c r="C1002" s="48" t="n">
        <v>0</v>
      </c>
      <c r="D1002" s="48" t="n">
        <v>56</v>
      </c>
      <c r="E1002" s="48" t="s">
        <v>122</v>
      </c>
      <c r="F1002" s="48" t="s">
        <v>72</v>
      </c>
      <c r="G1002" s="48" t="s">
        <v>94</v>
      </c>
      <c r="H1002" s="82" t="n">
        <f aca="false">DATE(YEAR(A1002),MONTH(A1002),1)</f>
        <v>43922</v>
      </c>
    </row>
    <row r="1003" customFormat="false" ht="15" hidden="false" customHeight="false" outlineLevel="0" collapsed="false">
      <c r="A1003" s="81" t="n">
        <v>43945</v>
      </c>
      <c r="B1003" s="48" t="n">
        <v>66</v>
      </c>
      <c r="C1003" s="48" t="n">
        <v>4</v>
      </c>
      <c r="D1003" s="48" t="n">
        <v>7</v>
      </c>
      <c r="E1003" s="48" t="s">
        <v>112</v>
      </c>
      <c r="F1003" s="48" t="s">
        <v>72</v>
      </c>
      <c r="G1003" s="48" t="s">
        <v>94</v>
      </c>
      <c r="H1003" s="82" t="n">
        <f aca="false">DATE(YEAR(A1003),MONTH(A1003),1)</f>
        <v>43922</v>
      </c>
    </row>
    <row r="1004" customFormat="false" ht="15" hidden="false" customHeight="false" outlineLevel="0" collapsed="false">
      <c r="A1004" s="81" t="n">
        <v>43945</v>
      </c>
      <c r="B1004" s="48" t="n">
        <v>4</v>
      </c>
      <c r="C1004" s="48" t="n">
        <v>0</v>
      </c>
      <c r="D1004" s="48" t="n">
        <v>1</v>
      </c>
      <c r="E1004" s="48" t="s">
        <v>112</v>
      </c>
      <c r="F1004" s="48" t="s">
        <v>72</v>
      </c>
      <c r="G1004" s="48" t="s">
        <v>597</v>
      </c>
      <c r="H1004" s="82" t="n">
        <f aca="false">DATE(YEAR(A1004),MONTH(A1004),1)</f>
        <v>43922</v>
      </c>
    </row>
    <row r="1005" customFormat="false" ht="15" hidden="false" customHeight="false" outlineLevel="0" collapsed="false">
      <c r="A1005" s="81" t="n">
        <v>43945</v>
      </c>
      <c r="B1005" s="48" t="n">
        <v>4</v>
      </c>
      <c r="C1005" s="48" t="n">
        <v>0</v>
      </c>
      <c r="D1005" s="48" t="n">
        <v>1</v>
      </c>
      <c r="E1005" s="48" t="s">
        <v>112</v>
      </c>
      <c r="F1005" s="48" t="s">
        <v>72</v>
      </c>
      <c r="G1005" s="48" t="s">
        <v>594</v>
      </c>
      <c r="H1005" s="82" t="n">
        <f aca="false">DATE(YEAR(A1005),MONTH(A1005),1)</f>
        <v>43922</v>
      </c>
    </row>
    <row r="1006" customFormat="false" ht="15" hidden="false" customHeight="false" outlineLevel="0" collapsed="false">
      <c r="A1006" s="81" t="n">
        <v>43945</v>
      </c>
      <c r="B1006" s="48" t="n">
        <v>7</v>
      </c>
      <c r="C1006" s="48" t="n">
        <v>0</v>
      </c>
      <c r="D1006" s="48" t="n">
        <v>0</v>
      </c>
      <c r="E1006" s="48" t="s">
        <v>112</v>
      </c>
      <c r="F1006" s="48" t="s">
        <v>72</v>
      </c>
      <c r="G1006" s="48" t="s">
        <v>102</v>
      </c>
      <c r="H1006" s="82" t="n">
        <f aca="false">DATE(YEAR(A1006),MONTH(A1006),1)</f>
        <v>43922</v>
      </c>
    </row>
    <row r="1007" customFormat="false" ht="15" hidden="false" customHeight="false" outlineLevel="0" collapsed="false">
      <c r="A1007" s="81" t="n">
        <v>43945</v>
      </c>
      <c r="B1007" s="48" t="n">
        <v>0</v>
      </c>
      <c r="C1007" s="48" t="n">
        <v>0</v>
      </c>
      <c r="D1007" s="48" t="n">
        <v>2</v>
      </c>
      <c r="E1007" s="48" t="s">
        <v>112</v>
      </c>
      <c r="F1007" s="48" t="s">
        <v>72</v>
      </c>
      <c r="G1007" s="48" t="s">
        <v>611</v>
      </c>
      <c r="H1007" s="82" t="n">
        <f aca="false">DATE(YEAR(A1007),MONTH(A1007),1)</f>
        <v>43922</v>
      </c>
    </row>
    <row r="1008" customFormat="false" ht="15" hidden="false" customHeight="false" outlineLevel="0" collapsed="false">
      <c r="A1008" s="81" t="n">
        <v>43945</v>
      </c>
      <c r="B1008" s="48" t="n">
        <v>2</v>
      </c>
      <c r="C1008" s="48" t="n">
        <v>0</v>
      </c>
      <c r="D1008" s="48" t="n">
        <v>0</v>
      </c>
      <c r="E1008" s="48" t="s">
        <v>112</v>
      </c>
      <c r="F1008" s="48" t="s">
        <v>72</v>
      </c>
      <c r="G1008" s="48" t="s">
        <v>96</v>
      </c>
      <c r="H1008" s="82" t="n">
        <f aca="false">DATE(YEAR(A1008),MONTH(A1008),1)</f>
        <v>43922</v>
      </c>
    </row>
    <row r="1009" customFormat="false" ht="15" hidden="false" customHeight="false" outlineLevel="0" collapsed="false">
      <c r="A1009" s="81" t="n">
        <v>43945</v>
      </c>
      <c r="B1009" s="48" t="n">
        <v>6</v>
      </c>
      <c r="C1009" s="48" t="n">
        <v>0</v>
      </c>
      <c r="D1009" s="48" t="n">
        <v>1</v>
      </c>
      <c r="E1009" s="48" t="s">
        <v>112</v>
      </c>
      <c r="F1009" s="48" t="s">
        <v>72</v>
      </c>
      <c r="G1009" s="48" t="s">
        <v>603</v>
      </c>
      <c r="H1009" s="82" t="n">
        <f aca="false">DATE(YEAR(A1009),MONTH(A1009),1)</f>
        <v>43922</v>
      </c>
    </row>
    <row r="1010" customFormat="false" ht="15" hidden="false" customHeight="false" outlineLevel="0" collapsed="false">
      <c r="A1010" s="81" t="n">
        <v>43945</v>
      </c>
      <c r="B1010" s="48" t="n">
        <v>4</v>
      </c>
      <c r="C1010" s="48" t="n">
        <v>0</v>
      </c>
      <c r="D1010" s="48" t="n">
        <v>2</v>
      </c>
      <c r="E1010" s="48" t="s">
        <v>112</v>
      </c>
      <c r="F1010" s="48" t="s">
        <v>72</v>
      </c>
      <c r="G1010" s="48" t="s">
        <v>591</v>
      </c>
      <c r="H1010" s="82" t="n">
        <f aca="false">DATE(YEAR(A1010),MONTH(A1010),1)</f>
        <v>43922</v>
      </c>
    </row>
    <row r="1011" customFormat="false" ht="15" hidden="false" customHeight="false" outlineLevel="0" collapsed="false">
      <c r="A1011" s="81" t="n">
        <v>43945</v>
      </c>
      <c r="B1011" s="48" t="n">
        <v>1</v>
      </c>
      <c r="C1011" s="48" t="n">
        <v>0</v>
      </c>
      <c r="D1011" s="48" t="n">
        <v>0</v>
      </c>
      <c r="E1011" s="48" t="s">
        <v>112</v>
      </c>
      <c r="F1011" s="48" t="s">
        <v>72</v>
      </c>
      <c r="G1011" s="48" t="s">
        <v>598</v>
      </c>
      <c r="H1011" s="82" t="n">
        <f aca="false">DATE(YEAR(A1011),MONTH(A1011),1)</f>
        <v>43922</v>
      </c>
    </row>
    <row r="1012" customFormat="false" ht="15" hidden="false" customHeight="false" outlineLevel="0" collapsed="false">
      <c r="A1012" s="81" t="n">
        <v>43945</v>
      </c>
      <c r="B1012" s="48" t="n">
        <v>7</v>
      </c>
      <c r="C1012" s="48" t="n">
        <v>0</v>
      </c>
      <c r="D1012" s="48" t="n">
        <v>0</v>
      </c>
      <c r="E1012" s="48" t="s">
        <v>112</v>
      </c>
      <c r="F1012" s="48" t="s">
        <v>72</v>
      </c>
      <c r="G1012" s="48" t="s">
        <v>609</v>
      </c>
      <c r="H1012" s="82" t="n">
        <f aca="false">DATE(YEAR(A1012),MONTH(A1012),1)</f>
        <v>43922</v>
      </c>
    </row>
    <row r="1013" customFormat="false" ht="15" hidden="false" customHeight="false" outlineLevel="0" collapsed="false">
      <c r="A1013" s="81" t="n">
        <v>43945</v>
      </c>
      <c r="B1013" s="48" t="n">
        <v>0</v>
      </c>
      <c r="C1013" s="48" t="n">
        <v>0</v>
      </c>
      <c r="D1013" s="48" t="n">
        <v>0</v>
      </c>
      <c r="E1013" s="48" t="s">
        <v>112</v>
      </c>
      <c r="F1013" s="48" t="s">
        <v>72</v>
      </c>
      <c r="G1013" s="48" t="s">
        <v>101</v>
      </c>
      <c r="H1013" s="82" t="n">
        <f aca="false">DATE(YEAR(A1013),MONTH(A1013),1)</f>
        <v>43922</v>
      </c>
    </row>
    <row r="1014" customFormat="false" ht="15" hidden="false" customHeight="false" outlineLevel="0" collapsed="false">
      <c r="A1014" s="81" t="n">
        <v>43945</v>
      </c>
      <c r="B1014" s="48" t="n">
        <v>1</v>
      </c>
      <c r="C1014" s="48" t="n">
        <v>0</v>
      </c>
      <c r="D1014" s="48" t="n">
        <v>0</v>
      </c>
      <c r="E1014" s="48" t="s">
        <v>112</v>
      </c>
      <c r="F1014" s="48" t="s">
        <v>72</v>
      </c>
      <c r="G1014" s="48" t="s">
        <v>643</v>
      </c>
      <c r="H1014" s="82" t="n">
        <f aca="false">DATE(YEAR(A1014),MONTH(A1014),1)</f>
        <v>43922</v>
      </c>
    </row>
    <row r="1015" customFormat="false" ht="15" hidden="false" customHeight="false" outlineLevel="0" collapsed="false">
      <c r="A1015" s="81" t="n">
        <v>43945</v>
      </c>
      <c r="B1015" s="48" t="n">
        <v>0</v>
      </c>
      <c r="C1015" s="48" t="n">
        <v>0</v>
      </c>
      <c r="D1015" s="48" t="n">
        <v>0</v>
      </c>
      <c r="E1015" s="48" t="s">
        <v>112</v>
      </c>
      <c r="F1015" s="48" t="s">
        <v>72</v>
      </c>
      <c r="G1015" s="48" t="s">
        <v>662</v>
      </c>
      <c r="H1015" s="82" t="n">
        <f aca="false">DATE(YEAR(A1015),MONTH(A1015),1)</f>
        <v>43922</v>
      </c>
    </row>
    <row r="1016" customFormat="false" ht="15" hidden="false" customHeight="false" outlineLevel="0" collapsed="false">
      <c r="A1016" s="81" t="n">
        <v>43945</v>
      </c>
      <c r="B1016" s="48" t="n">
        <v>0</v>
      </c>
      <c r="C1016" s="48" t="n">
        <v>0</v>
      </c>
      <c r="D1016" s="48" t="n">
        <v>0</v>
      </c>
      <c r="E1016" s="48" t="s">
        <v>112</v>
      </c>
      <c r="F1016" s="48" t="s">
        <v>72</v>
      </c>
      <c r="G1016" s="48" t="s">
        <v>600</v>
      </c>
      <c r="H1016" s="82" t="n">
        <f aca="false">DATE(YEAR(A1016),MONTH(A1016),1)</f>
        <v>43922</v>
      </c>
    </row>
    <row r="1017" customFormat="false" ht="15" hidden="false" customHeight="false" outlineLevel="0" collapsed="false">
      <c r="A1017" s="81" t="n">
        <v>43945</v>
      </c>
      <c r="B1017" s="48" t="n">
        <v>6</v>
      </c>
      <c r="C1017" s="48" t="n">
        <v>0</v>
      </c>
      <c r="D1017" s="48" t="n">
        <v>2</v>
      </c>
      <c r="E1017" s="48" t="s">
        <v>112</v>
      </c>
      <c r="F1017" s="48" t="s">
        <v>72</v>
      </c>
      <c r="G1017" s="48" t="s">
        <v>610</v>
      </c>
      <c r="H1017" s="82" t="n">
        <f aca="false">DATE(YEAR(A1017),MONTH(A1017),1)</f>
        <v>43922</v>
      </c>
    </row>
    <row r="1018" customFormat="false" ht="15" hidden="false" customHeight="false" outlineLevel="0" collapsed="false">
      <c r="A1018" s="81" t="n">
        <v>43945</v>
      </c>
      <c r="B1018" s="48" t="n">
        <v>3</v>
      </c>
      <c r="C1018" s="48" t="n">
        <v>0</v>
      </c>
      <c r="D1018" s="48" t="n">
        <v>0</v>
      </c>
      <c r="E1018" s="48" t="s">
        <v>112</v>
      </c>
      <c r="F1018" s="48" t="s">
        <v>72</v>
      </c>
      <c r="G1018" s="48" t="s">
        <v>593</v>
      </c>
      <c r="H1018" s="82" t="n">
        <f aca="false">DATE(YEAR(A1018),MONTH(A1018),1)</f>
        <v>43922</v>
      </c>
    </row>
    <row r="1019" customFormat="false" ht="15" hidden="false" customHeight="false" outlineLevel="0" collapsed="false">
      <c r="A1019" s="81" t="n">
        <v>43945</v>
      </c>
      <c r="B1019" s="48" t="n">
        <v>84</v>
      </c>
      <c r="C1019" s="48" t="n">
        <v>3</v>
      </c>
      <c r="D1019" s="48" t="n">
        <v>20</v>
      </c>
      <c r="E1019" s="48" t="s">
        <v>114</v>
      </c>
      <c r="F1019" s="48" t="s">
        <v>71</v>
      </c>
      <c r="G1019" s="48" t="s">
        <v>92</v>
      </c>
      <c r="H1019" s="82" t="n">
        <f aca="false">DATE(YEAR(A1019),MONTH(A1019),1)</f>
        <v>43922</v>
      </c>
    </row>
    <row r="1020" customFormat="false" ht="15" hidden="false" customHeight="false" outlineLevel="0" collapsed="false">
      <c r="A1020" s="81" t="n">
        <v>43945</v>
      </c>
      <c r="B1020" s="48" t="n">
        <v>243</v>
      </c>
      <c r="C1020" s="48" t="n">
        <v>2</v>
      </c>
      <c r="D1020" s="48" t="n">
        <v>24</v>
      </c>
      <c r="E1020" s="48" t="s">
        <v>112</v>
      </c>
      <c r="F1020" s="48" t="s">
        <v>70</v>
      </c>
      <c r="G1020" s="48" t="s">
        <v>91</v>
      </c>
      <c r="H1020" s="82" t="n">
        <f aca="false">DATE(YEAR(A1020),MONTH(A1020),1)</f>
        <v>43922</v>
      </c>
    </row>
    <row r="1021" customFormat="false" ht="15" hidden="false" customHeight="false" outlineLevel="0" collapsed="false">
      <c r="A1021" s="81" t="n">
        <v>43945</v>
      </c>
      <c r="B1021" s="48" t="n">
        <v>8</v>
      </c>
      <c r="C1021" s="48" t="n">
        <v>0</v>
      </c>
      <c r="D1021" s="48" t="n">
        <v>0</v>
      </c>
      <c r="E1021" s="48" t="s">
        <v>112</v>
      </c>
      <c r="F1021" s="48" t="s">
        <v>70</v>
      </c>
      <c r="G1021" s="48" t="s">
        <v>605</v>
      </c>
      <c r="H1021" s="82" t="n">
        <f aca="false">DATE(YEAR(A1021),MONTH(A1021),1)</f>
        <v>43922</v>
      </c>
    </row>
    <row r="1022" customFormat="false" ht="15" hidden="false" customHeight="false" outlineLevel="0" collapsed="false">
      <c r="A1022" s="81" t="n">
        <v>43945</v>
      </c>
      <c r="B1022" s="48" t="n">
        <v>1</v>
      </c>
      <c r="C1022" s="48" t="n">
        <v>0</v>
      </c>
      <c r="D1022" s="48" t="n">
        <v>0</v>
      </c>
      <c r="E1022" s="48" t="s">
        <v>112</v>
      </c>
      <c r="F1022" s="48" t="s">
        <v>70</v>
      </c>
      <c r="G1022" s="48" t="s">
        <v>633</v>
      </c>
      <c r="H1022" s="82" t="n">
        <f aca="false">DATE(YEAR(A1022),MONTH(A1022),1)</f>
        <v>43922</v>
      </c>
    </row>
    <row r="1023" customFormat="false" ht="15" hidden="false" customHeight="false" outlineLevel="0" collapsed="false">
      <c r="A1023" s="81" t="n">
        <v>43945</v>
      </c>
      <c r="B1023" s="48" t="n">
        <v>1</v>
      </c>
      <c r="C1023" s="48" t="n">
        <v>0</v>
      </c>
      <c r="D1023" s="48" t="n">
        <v>0</v>
      </c>
      <c r="E1023" s="48" t="s">
        <v>112</v>
      </c>
      <c r="F1023" s="48" t="s">
        <v>70</v>
      </c>
      <c r="G1023" s="48" t="s">
        <v>630</v>
      </c>
      <c r="H1023" s="82" t="n">
        <f aca="false">DATE(YEAR(A1023),MONTH(A1023),1)</f>
        <v>43922</v>
      </c>
    </row>
    <row r="1024" customFormat="false" ht="15" hidden="false" customHeight="false" outlineLevel="0" collapsed="false">
      <c r="A1024" s="81" t="n">
        <v>43945</v>
      </c>
      <c r="B1024" s="48" t="n">
        <v>1</v>
      </c>
      <c r="C1024" s="48" t="n">
        <v>0</v>
      </c>
      <c r="D1024" s="48" t="n">
        <v>0</v>
      </c>
      <c r="E1024" s="48" t="s">
        <v>112</v>
      </c>
      <c r="F1024" s="48" t="s">
        <v>70</v>
      </c>
      <c r="G1024" s="48" t="s">
        <v>671</v>
      </c>
      <c r="H1024" s="82" t="n">
        <f aca="false">DATE(YEAR(A1024),MONTH(A1024),1)</f>
        <v>43922</v>
      </c>
    </row>
    <row r="1025" customFormat="false" ht="15" hidden="false" customHeight="false" outlineLevel="0" collapsed="false">
      <c r="A1025" s="81" t="n">
        <v>43945</v>
      </c>
      <c r="B1025" s="48" t="n">
        <v>14</v>
      </c>
      <c r="C1025" s="48" t="n">
        <v>0</v>
      </c>
      <c r="D1025" s="48" t="n">
        <v>0</v>
      </c>
      <c r="E1025" s="48" t="s">
        <v>112</v>
      </c>
      <c r="F1025" s="48" t="s">
        <v>70</v>
      </c>
      <c r="G1025" s="48" t="s">
        <v>98</v>
      </c>
      <c r="H1025" s="82" t="n">
        <f aca="false">DATE(YEAR(A1025),MONTH(A1025),1)</f>
        <v>43922</v>
      </c>
    </row>
    <row r="1026" customFormat="false" ht="15" hidden="false" customHeight="false" outlineLevel="0" collapsed="false">
      <c r="A1026" s="81" t="n">
        <v>43945</v>
      </c>
      <c r="B1026" s="48" t="n">
        <v>1</v>
      </c>
      <c r="C1026" s="48" t="n">
        <v>0</v>
      </c>
      <c r="D1026" s="48" t="n">
        <v>0</v>
      </c>
      <c r="E1026" s="48" t="s">
        <v>112</v>
      </c>
      <c r="F1026" s="48" t="s">
        <v>70</v>
      </c>
      <c r="G1026" s="48" t="s">
        <v>592</v>
      </c>
      <c r="H1026" s="82" t="n">
        <f aca="false">DATE(YEAR(A1026),MONTH(A1026),1)</f>
        <v>43922</v>
      </c>
    </row>
    <row r="1027" customFormat="false" ht="15" hidden="false" customHeight="false" outlineLevel="0" collapsed="false">
      <c r="A1027" s="81" t="n">
        <v>43945</v>
      </c>
      <c r="B1027" s="48" t="n">
        <v>3</v>
      </c>
      <c r="C1027" s="48" t="n">
        <v>0</v>
      </c>
      <c r="D1027" s="48" t="n">
        <v>0</v>
      </c>
      <c r="E1027" s="48" t="s">
        <v>112</v>
      </c>
      <c r="F1027" s="48" t="s">
        <v>70</v>
      </c>
      <c r="G1027" s="48" t="s">
        <v>104</v>
      </c>
      <c r="H1027" s="82" t="n">
        <f aca="false">DATE(YEAR(A1027),MONTH(A1027),1)</f>
        <v>43922</v>
      </c>
    </row>
    <row r="1028" customFormat="false" ht="15" hidden="false" customHeight="false" outlineLevel="0" collapsed="false">
      <c r="A1028" s="81" t="n">
        <v>43945</v>
      </c>
      <c r="B1028" s="48" t="n">
        <v>1</v>
      </c>
      <c r="C1028" s="48" t="n">
        <v>0</v>
      </c>
      <c r="D1028" s="48" t="n">
        <v>0</v>
      </c>
      <c r="E1028" s="48" t="s">
        <v>112</v>
      </c>
      <c r="F1028" s="48" t="s">
        <v>70</v>
      </c>
      <c r="G1028" s="48" t="s">
        <v>616</v>
      </c>
      <c r="H1028" s="82" t="n">
        <f aca="false">DATE(YEAR(A1028),MONTH(A1028),1)</f>
        <v>43922</v>
      </c>
    </row>
    <row r="1029" customFormat="false" ht="15" hidden="false" customHeight="false" outlineLevel="0" collapsed="false">
      <c r="A1029" s="81" t="n">
        <v>43945</v>
      </c>
      <c r="B1029" s="48" t="n">
        <v>0</v>
      </c>
      <c r="C1029" s="48" t="n">
        <v>0</v>
      </c>
      <c r="D1029" s="48" t="n">
        <v>18</v>
      </c>
      <c r="E1029" s="48" t="s">
        <v>114</v>
      </c>
      <c r="F1029" s="48" t="s">
        <v>70</v>
      </c>
      <c r="G1029" s="48" t="s">
        <v>99</v>
      </c>
      <c r="H1029" s="82" t="n">
        <f aca="false">DATE(YEAR(A1029),MONTH(A1029),1)</f>
        <v>43922</v>
      </c>
    </row>
    <row r="1030" customFormat="false" ht="15" hidden="false" customHeight="false" outlineLevel="0" collapsed="false">
      <c r="A1030" s="81" t="n">
        <v>43946</v>
      </c>
      <c r="B1030" s="48" t="n">
        <v>65</v>
      </c>
      <c r="C1030" s="48" t="n">
        <v>2</v>
      </c>
      <c r="D1030" s="48" t="n">
        <v>0</v>
      </c>
      <c r="E1030" s="48" t="s">
        <v>114</v>
      </c>
      <c r="F1030" s="48" t="s">
        <v>73</v>
      </c>
      <c r="G1030" s="48" t="s">
        <v>93</v>
      </c>
      <c r="H1030" s="82" t="n">
        <f aca="false">DATE(YEAR(A1030),MONTH(A1030),1)</f>
        <v>43922</v>
      </c>
    </row>
    <row r="1031" customFormat="false" ht="15" hidden="false" customHeight="false" outlineLevel="0" collapsed="false">
      <c r="A1031" s="81" t="n">
        <v>43946</v>
      </c>
      <c r="B1031" s="48" t="n">
        <v>1</v>
      </c>
      <c r="C1031" s="48" t="n">
        <v>0</v>
      </c>
      <c r="D1031" s="48" t="n">
        <v>0</v>
      </c>
      <c r="E1031" s="48" t="s">
        <v>112</v>
      </c>
      <c r="F1031" s="48" t="s">
        <v>75</v>
      </c>
      <c r="G1031" s="48" t="s">
        <v>103</v>
      </c>
      <c r="H1031" s="82" t="n">
        <f aca="false">DATE(YEAR(A1031),MONTH(A1031),1)</f>
        <v>43922</v>
      </c>
    </row>
    <row r="1032" customFormat="false" ht="15" hidden="false" customHeight="false" outlineLevel="0" collapsed="false">
      <c r="A1032" s="81" t="n">
        <v>43946</v>
      </c>
      <c r="B1032" s="48" t="n">
        <v>9</v>
      </c>
      <c r="C1032" s="48" t="n">
        <v>0</v>
      </c>
      <c r="D1032" s="48" t="n">
        <v>0</v>
      </c>
      <c r="E1032" s="48" t="s">
        <v>112</v>
      </c>
      <c r="F1032" s="48" t="s">
        <v>74</v>
      </c>
      <c r="G1032" s="48" t="s">
        <v>95</v>
      </c>
      <c r="H1032" s="82" t="n">
        <f aca="false">DATE(YEAR(A1032),MONTH(A1032),1)</f>
        <v>43922</v>
      </c>
    </row>
    <row r="1033" customFormat="false" ht="15" hidden="false" customHeight="false" outlineLevel="0" collapsed="false">
      <c r="A1033" s="81" t="n">
        <v>43946</v>
      </c>
      <c r="B1033" s="48" t="n">
        <v>41</v>
      </c>
      <c r="C1033" s="48" t="n">
        <v>4</v>
      </c>
      <c r="D1033" s="48" t="n">
        <v>7</v>
      </c>
      <c r="E1033" s="48" t="s">
        <v>112</v>
      </c>
      <c r="F1033" s="48" t="s">
        <v>72</v>
      </c>
      <c r="G1033" s="48" t="s">
        <v>94</v>
      </c>
      <c r="H1033" s="82" t="n">
        <f aca="false">DATE(YEAR(A1033),MONTH(A1033),1)</f>
        <v>43922</v>
      </c>
    </row>
    <row r="1034" customFormat="false" ht="15" hidden="false" customHeight="false" outlineLevel="0" collapsed="false">
      <c r="A1034" s="81" t="n">
        <v>43946</v>
      </c>
      <c r="B1034" s="48" t="n">
        <v>1</v>
      </c>
      <c r="C1034" s="48" t="n">
        <v>0</v>
      </c>
      <c r="D1034" s="48" t="n">
        <v>0</v>
      </c>
      <c r="E1034" s="48" t="s">
        <v>112</v>
      </c>
      <c r="F1034" s="48" t="s">
        <v>72</v>
      </c>
      <c r="G1034" s="48" t="s">
        <v>597</v>
      </c>
      <c r="H1034" s="82" t="n">
        <f aca="false">DATE(YEAR(A1034),MONTH(A1034),1)</f>
        <v>43922</v>
      </c>
    </row>
    <row r="1035" customFormat="false" ht="15" hidden="false" customHeight="false" outlineLevel="0" collapsed="false">
      <c r="A1035" s="81" t="n">
        <v>43946</v>
      </c>
      <c r="B1035" s="48" t="n">
        <v>2</v>
      </c>
      <c r="C1035" s="48" t="n">
        <v>0</v>
      </c>
      <c r="D1035" s="48" t="n">
        <v>0</v>
      </c>
      <c r="E1035" s="48" t="s">
        <v>112</v>
      </c>
      <c r="F1035" s="48" t="s">
        <v>72</v>
      </c>
      <c r="G1035" s="48" t="s">
        <v>594</v>
      </c>
      <c r="H1035" s="82" t="n">
        <f aca="false">DATE(YEAR(A1035),MONTH(A1035),1)</f>
        <v>43922</v>
      </c>
    </row>
    <row r="1036" customFormat="false" ht="15" hidden="false" customHeight="false" outlineLevel="0" collapsed="false">
      <c r="A1036" s="81" t="n">
        <v>43946</v>
      </c>
      <c r="B1036" s="48" t="n">
        <v>3</v>
      </c>
      <c r="C1036" s="48" t="n">
        <v>0</v>
      </c>
      <c r="D1036" s="48" t="n">
        <v>0</v>
      </c>
      <c r="E1036" s="48" t="s">
        <v>112</v>
      </c>
      <c r="F1036" s="48" t="s">
        <v>72</v>
      </c>
      <c r="G1036" s="48" t="s">
        <v>102</v>
      </c>
      <c r="H1036" s="82" t="n">
        <f aca="false">DATE(YEAR(A1036),MONTH(A1036),1)</f>
        <v>43922</v>
      </c>
    </row>
    <row r="1037" customFormat="false" ht="15" hidden="false" customHeight="false" outlineLevel="0" collapsed="false">
      <c r="A1037" s="81" t="n">
        <v>43946</v>
      </c>
      <c r="B1037" s="48" t="n">
        <v>15</v>
      </c>
      <c r="C1037" s="48" t="n">
        <v>0</v>
      </c>
      <c r="D1037" s="48" t="n">
        <v>0</v>
      </c>
      <c r="E1037" s="48" t="s">
        <v>112</v>
      </c>
      <c r="F1037" s="48" t="s">
        <v>72</v>
      </c>
      <c r="G1037" s="48" t="s">
        <v>96</v>
      </c>
      <c r="H1037" s="82" t="n">
        <f aca="false">DATE(YEAR(A1037),MONTH(A1037),1)</f>
        <v>43922</v>
      </c>
    </row>
    <row r="1038" customFormat="false" ht="15" hidden="false" customHeight="false" outlineLevel="0" collapsed="false">
      <c r="A1038" s="81" t="n">
        <v>43946</v>
      </c>
      <c r="B1038" s="48" t="n">
        <v>8</v>
      </c>
      <c r="C1038" s="48" t="n">
        <v>0</v>
      </c>
      <c r="D1038" s="48" t="n">
        <v>0</v>
      </c>
      <c r="E1038" s="48" t="s">
        <v>112</v>
      </c>
      <c r="F1038" s="48" t="s">
        <v>72</v>
      </c>
      <c r="G1038" s="48" t="s">
        <v>101</v>
      </c>
      <c r="H1038" s="82" t="n">
        <f aca="false">DATE(YEAR(A1038),MONTH(A1038),1)</f>
        <v>43922</v>
      </c>
    </row>
    <row r="1039" customFormat="false" ht="15" hidden="false" customHeight="false" outlineLevel="0" collapsed="false">
      <c r="A1039" s="81" t="n">
        <v>43946</v>
      </c>
      <c r="B1039" s="48" t="n">
        <v>2</v>
      </c>
      <c r="C1039" s="48" t="n">
        <v>0</v>
      </c>
      <c r="D1039" s="48" t="n">
        <v>0</v>
      </c>
      <c r="E1039" s="48" t="s">
        <v>112</v>
      </c>
      <c r="F1039" s="48" t="s">
        <v>72</v>
      </c>
      <c r="G1039" s="48" t="s">
        <v>643</v>
      </c>
      <c r="H1039" s="82" t="n">
        <f aca="false">DATE(YEAR(A1039),MONTH(A1039),1)</f>
        <v>43922</v>
      </c>
    </row>
    <row r="1040" customFormat="false" ht="15" hidden="false" customHeight="false" outlineLevel="0" collapsed="false">
      <c r="A1040" s="81" t="n">
        <v>43946</v>
      </c>
      <c r="B1040" s="48" t="n">
        <v>1</v>
      </c>
      <c r="C1040" s="48" t="n">
        <v>0</v>
      </c>
      <c r="D1040" s="48" t="n">
        <v>0</v>
      </c>
      <c r="E1040" s="48" t="s">
        <v>112</v>
      </c>
      <c r="F1040" s="48" t="s">
        <v>72</v>
      </c>
      <c r="G1040" s="48" t="s">
        <v>662</v>
      </c>
      <c r="H1040" s="82" t="n">
        <f aca="false">DATE(YEAR(A1040),MONTH(A1040),1)</f>
        <v>43922</v>
      </c>
    </row>
    <row r="1041" customFormat="false" ht="15" hidden="false" customHeight="false" outlineLevel="0" collapsed="false">
      <c r="A1041" s="81" t="n">
        <v>43946</v>
      </c>
      <c r="B1041" s="48" t="n">
        <v>3</v>
      </c>
      <c r="C1041" s="48" t="n">
        <v>0</v>
      </c>
      <c r="D1041" s="48" t="n">
        <v>0</v>
      </c>
      <c r="E1041" s="48" t="s">
        <v>112</v>
      </c>
      <c r="F1041" s="48" t="s">
        <v>72</v>
      </c>
      <c r="G1041" s="48" t="s">
        <v>612</v>
      </c>
      <c r="H1041" s="82" t="n">
        <f aca="false">DATE(YEAR(A1041),MONTH(A1041),1)</f>
        <v>43922</v>
      </c>
    </row>
    <row r="1042" customFormat="false" ht="15" hidden="false" customHeight="false" outlineLevel="0" collapsed="false">
      <c r="A1042" s="81" t="n">
        <v>43946</v>
      </c>
      <c r="B1042" s="48" t="n">
        <v>6</v>
      </c>
      <c r="C1042" s="48" t="n">
        <v>0</v>
      </c>
      <c r="D1042" s="48" t="n">
        <v>0</v>
      </c>
      <c r="E1042" s="48" t="s">
        <v>112</v>
      </c>
      <c r="F1042" s="48" t="s">
        <v>72</v>
      </c>
      <c r="G1042" s="48" t="s">
        <v>613</v>
      </c>
      <c r="H1042" s="82" t="n">
        <f aca="false">DATE(YEAR(A1042),MONTH(A1042),1)</f>
        <v>43922</v>
      </c>
    </row>
    <row r="1043" customFormat="false" ht="15" hidden="false" customHeight="false" outlineLevel="0" collapsed="false">
      <c r="A1043" s="81" t="n">
        <v>43946</v>
      </c>
      <c r="B1043" s="48" t="n">
        <v>1</v>
      </c>
      <c r="C1043" s="48" t="n">
        <v>0</v>
      </c>
      <c r="D1043" s="48" t="n">
        <v>1</v>
      </c>
      <c r="E1043" s="48" t="s">
        <v>112</v>
      </c>
      <c r="F1043" s="48" t="s">
        <v>72</v>
      </c>
      <c r="G1043" s="48" t="s">
        <v>621</v>
      </c>
      <c r="H1043" s="82" t="n">
        <f aca="false">DATE(YEAR(A1043),MONTH(A1043),1)</f>
        <v>43922</v>
      </c>
    </row>
    <row r="1044" customFormat="false" ht="15" hidden="false" customHeight="false" outlineLevel="0" collapsed="false">
      <c r="A1044" s="81" t="n">
        <v>43946</v>
      </c>
      <c r="B1044" s="48" t="n">
        <v>0</v>
      </c>
      <c r="C1044" s="48" t="n">
        <v>0</v>
      </c>
      <c r="D1044" s="48" t="n">
        <v>1</v>
      </c>
      <c r="E1044" s="48" t="s">
        <v>112</v>
      </c>
      <c r="F1044" s="48" t="s">
        <v>72</v>
      </c>
      <c r="G1044" s="48" t="s">
        <v>603</v>
      </c>
      <c r="H1044" s="82" t="n">
        <f aca="false">DATE(YEAR(A1044),MONTH(A1044),1)</f>
        <v>43922</v>
      </c>
    </row>
    <row r="1045" customFormat="false" ht="15" hidden="false" customHeight="false" outlineLevel="0" collapsed="false">
      <c r="A1045" s="81" t="n">
        <v>43946</v>
      </c>
      <c r="B1045" s="48" t="n">
        <v>0</v>
      </c>
      <c r="C1045" s="48" t="n">
        <v>0</v>
      </c>
      <c r="D1045" s="48" t="n">
        <v>1</v>
      </c>
      <c r="E1045" s="48" t="s">
        <v>112</v>
      </c>
      <c r="F1045" s="48" t="s">
        <v>72</v>
      </c>
      <c r="G1045" s="48" t="s">
        <v>591</v>
      </c>
      <c r="H1045" s="82" t="n">
        <f aca="false">DATE(YEAR(A1045),MONTH(A1045),1)</f>
        <v>43922</v>
      </c>
    </row>
    <row r="1046" customFormat="false" ht="15" hidden="false" customHeight="false" outlineLevel="0" collapsed="false">
      <c r="A1046" s="81" t="n">
        <v>43946</v>
      </c>
      <c r="B1046" s="48" t="n">
        <v>0</v>
      </c>
      <c r="C1046" s="48" t="n">
        <v>0</v>
      </c>
      <c r="D1046" s="48" t="n">
        <v>1</v>
      </c>
      <c r="E1046" s="48" t="s">
        <v>112</v>
      </c>
      <c r="F1046" s="48" t="s">
        <v>72</v>
      </c>
      <c r="G1046" s="48" t="s">
        <v>610</v>
      </c>
      <c r="H1046" s="82" t="n">
        <f aca="false">DATE(YEAR(A1046),MONTH(A1046),1)</f>
        <v>43922</v>
      </c>
    </row>
    <row r="1047" customFormat="false" ht="15" hidden="false" customHeight="false" outlineLevel="0" collapsed="false">
      <c r="A1047" s="81" t="n">
        <v>43946</v>
      </c>
      <c r="B1047" s="48" t="n">
        <v>0</v>
      </c>
      <c r="C1047" s="48" t="n">
        <v>0</v>
      </c>
      <c r="D1047" s="48" t="n">
        <v>1</v>
      </c>
      <c r="E1047" s="48" t="s">
        <v>112</v>
      </c>
      <c r="F1047" s="48" t="s">
        <v>72</v>
      </c>
      <c r="G1047" s="48" t="s">
        <v>614</v>
      </c>
      <c r="H1047" s="82" t="n">
        <f aca="false">DATE(YEAR(A1047),MONTH(A1047),1)</f>
        <v>43922</v>
      </c>
    </row>
    <row r="1048" customFormat="false" ht="15" hidden="false" customHeight="false" outlineLevel="0" collapsed="false">
      <c r="A1048" s="81" t="n">
        <v>43946</v>
      </c>
      <c r="B1048" s="48" t="n">
        <v>0</v>
      </c>
      <c r="C1048" s="48" t="n">
        <v>0</v>
      </c>
      <c r="D1048" s="48" t="n">
        <v>1</v>
      </c>
      <c r="E1048" s="48" t="s">
        <v>112</v>
      </c>
      <c r="F1048" s="48" t="s">
        <v>72</v>
      </c>
      <c r="G1048" s="48" t="s">
        <v>655</v>
      </c>
      <c r="H1048" s="82" t="n">
        <f aca="false">DATE(YEAR(A1048),MONTH(A1048),1)</f>
        <v>43922</v>
      </c>
    </row>
    <row r="1049" customFormat="false" ht="15" hidden="false" customHeight="false" outlineLevel="0" collapsed="false">
      <c r="A1049" s="81" t="n">
        <v>43946</v>
      </c>
      <c r="B1049" s="48" t="n">
        <v>2</v>
      </c>
      <c r="C1049" s="48" t="n">
        <v>0</v>
      </c>
      <c r="D1049" s="48" t="n">
        <v>0</v>
      </c>
      <c r="E1049" s="48" t="s">
        <v>121</v>
      </c>
      <c r="F1049" s="48" t="s">
        <v>72</v>
      </c>
      <c r="G1049" s="48" t="s">
        <v>94</v>
      </c>
      <c r="H1049" s="82" t="n">
        <f aca="false">DATE(YEAR(A1049),MONTH(A1049),1)</f>
        <v>43922</v>
      </c>
    </row>
    <row r="1050" customFormat="false" ht="15" hidden="false" customHeight="false" outlineLevel="0" collapsed="false">
      <c r="A1050" s="81" t="n">
        <v>43946</v>
      </c>
      <c r="B1050" s="48" t="n">
        <v>475</v>
      </c>
      <c r="C1050" s="48" t="n">
        <v>5</v>
      </c>
      <c r="D1050" s="48" t="n">
        <v>0</v>
      </c>
      <c r="E1050" s="48" t="s">
        <v>114</v>
      </c>
      <c r="F1050" s="48" t="s">
        <v>71</v>
      </c>
      <c r="G1050" s="48" t="s">
        <v>92</v>
      </c>
      <c r="H1050" s="82" t="n">
        <f aca="false">DATE(YEAR(A1050),MONTH(A1050),1)</f>
        <v>43922</v>
      </c>
    </row>
    <row r="1051" customFormat="false" ht="15" hidden="false" customHeight="false" outlineLevel="0" collapsed="false">
      <c r="A1051" s="81" t="n">
        <v>43946</v>
      </c>
      <c r="B1051" s="48" t="n">
        <v>217</v>
      </c>
      <c r="C1051" s="48" t="n">
        <v>3</v>
      </c>
      <c r="D1051" s="48" t="n">
        <v>20</v>
      </c>
      <c r="E1051" s="48" t="s">
        <v>112</v>
      </c>
      <c r="F1051" s="48" t="s">
        <v>70</v>
      </c>
      <c r="G1051" s="48" t="s">
        <v>91</v>
      </c>
      <c r="H1051" s="82" t="n">
        <f aca="false">DATE(YEAR(A1051),MONTH(A1051),1)</f>
        <v>43922</v>
      </c>
    </row>
    <row r="1052" customFormat="false" ht="15" hidden="false" customHeight="false" outlineLevel="0" collapsed="false">
      <c r="A1052" s="81" t="n">
        <v>43946</v>
      </c>
      <c r="B1052" s="48" t="n">
        <v>13</v>
      </c>
      <c r="C1052" s="48" t="n">
        <v>0</v>
      </c>
      <c r="D1052" s="48" t="n">
        <v>0</v>
      </c>
      <c r="E1052" s="48" t="s">
        <v>112</v>
      </c>
      <c r="F1052" s="48" t="s">
        <v>70</v>
      </c>
      <c r="G1052" s="48" t="s">
        <v>99</v>
      </c>
      <c r="H1052" s="82" t="n">
        <f aca="false">DATE(YEAR(A1052),MONTH(A1052),1)</f>
        <v>43922</v>
      </c>
    </row>
    <row r="1053" customFormat="false" ht="15" hidden="false" customHeight="false" outlineLevel="0" collapsed="false">
      <c r="A1053" s="81" t="n">
        <v>43946</v>
      </c>
      <c r="B1053" s="48" t="n">
        <v>1</v>
      </c>
      <c r="C1053" s="48" t="n">
        <v>0</v>
      </c>
      <c r="D1053" s="48" t="n">
        <v>0</v>
      </c>
      <c r="E1053" s="48" t="s">
        <v>112</v>
      </c>
      <c r="F1053" s="48" t="s">
        <v>70</v>
      </c>
      <c r="G1053" s="48" t="s">
        <v>633</v>
      </c>
      <c r="H1053" s="82" t="n">
        <f aca="false">DATE(YEAR(A1053),MONTH(A1053),1)</f>
        <v>43922</v>
      </c>
    </row>
    <row r="1054" customFormat="false" ht="15" hidden="false" customHeight="false" outlineLevel="0" collapsed="false">
      <c r="A1054" s="81" t="n">
        <v>43946</v>
      </c>
      <c r="B1054" s="48" t="n">
        <v>2</v>
      </c>
      <c r="C1054" s="48" t="n">
        <v>0</v>
      </c>
      <c r="D1054" s="48" t="n">
        <v>0</v>
      </c>
      <c r="E1054" s="48" t="s">
        <v>112</v>
      </c>
      <c r="F1054" s="48" t="s">
        <v>70</v>
      </c>
      <c r="G1054" s="48" t="s">
        <v>605</v>
      </c>
      <c r="H1054" s="82" t="n">
        <f aca="false">DATE(YEAR(A1054),MONTH(A1054),1)</f>
        <v>43922</v>
      </c>
    </row>
    <row r="1055" customFormat="false" ht="15" hidden="false" customHeight="false" outlineLevel="0" collapsed="false">
      <c r="A1055" s="81" t="n">
        <v>43946</v>
      </c>
      <c r="B1055" s="48" t="n">
        <v>6</v>
      </c>
      <c r="C1055" s="48" t="n">
        <v>0</v>
      </c>
      <c r="D1055" s="48" t="n">
        <v>0</v>
      </c>
      <c r="E1055" s="48" t="s">
        <v>112</v>
      </c>
      <c r="F1055" s="48" t="s">
        <v>70</v>
      </c>
      <c r="G1055" s="48" t="s">
        <v>630</v>
      </c>
      <c r="H1055" s="82" t="n">
        <f aca="false">DATE(YEAR(A1055),MONTH(A1055),1)</f>
        <v>43922</v>
      </c>
    </row>
    <row r="1056" customFormat="false" ht="15" hidden="false" customHeight="false" outlineLevel="0" collapsed="false">
      <c r="A1056" s="81" t="n">
        <v>43946</v>
      </c>
      <c r="B1056" s="48" t="n">
        <v>1</v>
      </c>
      <c r="C1056" s="48" t="n">
        <v>0</v>
      </c>
      <c r="D1056" s="48" t="n">
        <v>0</v>
      </c>
      <c r="E1056" s="48" t="s">
        <v>112</v>
      </c>
      <c r="F1056" s="48" t="s">
        <v>70</v>
      </c>
      <c r="G1056" s="48" t="s">
        <v>642</v>
      </c>
      <c r="H1056" s="82" t="n">
        <f aca="false">DATE(YEAR(A1056),MONTH(A1056),1)</f>
        <v>43922</v>
      </c>
    </row>
    <row r="1057" customFormat="false" ht="15" hidden="false" customHeight="false" outlineLevel="0" collapsed="false">
      <c r="A1057" s="81" t="n">
        <v>43946</v>
      </c>
      <c r="B1057" s="48" t="n">
        <v>1</v>
      </c>
      <c r="C1057" s="48" t="n">
        <v>0</v>
      </c>
      <c r="D1057" s="48" t="n">
        <v>0</v>
      </c>
      <c r="E1057" s="48" t="s">
        <v>112</v>
      </c>
      <c r="F1057" s="48" t="s">
        <v>70</v>
      </c>
      <c r="G1057" s="48" t="s">
        <v>671</v>
      </c>
      <c r="H1057" s="82" t="n">
        <f aca="false">DATE(YEAR(A1057),MONTH(A1057),1)</f>
        <v>43922</v>
      </c>
    </row>
    <row r="1058" customFormat="false" ht="15" hidden="false" customHeight="false" outlineLevel="0" collapsed="false">
      <c r="A1058" s="81" t="n">
        <v>43946</v>
      </c>
      <c r="B1058" s="48" t="n">
        <v>2</v>
      </c>
      <c r="C1058" s="48" t="n">
        <v>0</v>
      </c>
      <c r="D1058" s="48" t="n">
        <v>0</v>
      </c>
      <c r="E1058" s="48" t="s">
        <v>112</v>
      </c>
      <c r="F1058" s="48" t="s">
        <v>70</v>
      </c>
      <c r="G1058" s="48" t="s">
        <v>105</v>
      </c>
      <c r="H1058" s="82" t="n">
        <f aca="false">DATE(YEAR(A1058),MONTH(A1058),1)</f>
        <v>43922</v>
      </c>
    </row>
    <row r="1059" customFormat="false" ht="15" hidden="false" customHeight="false" outlineLevel="0" collapsed="false">
      <c r="A1059" s="81" t="n">
        <v>43946</v>
      </c>
      <c r="B1059" s="48" t="n">
        <v>12</v>
      </c>
      <c r="C1059" s="48" t="n">
        <v>0</v>
      </c>
      <c r="D1059" s="48" t="n">
        <v>0</v>
      </c>
      <c r="E1059" s="48" t="s">
        <v>112</v>
      </c>
      <c r="F1059" s="48" t="s">
        <v>70</v>
      </c>
      <c r="G1059" s="48" t="s">
        <v>98</v>
      </c>
      <c r="H1059" s="82" t="n">
        <f aca="false">DATE(YEAR(A1059),MONTH(A1059),1)</f>
        <v>43922</v>
      </c>
    </row>
    <row r="1060" customFormat="false" ht="15" hidden="false" customHeight="false" outlineLevel="0" collapsed="false">
      <c r="A1060" s="81" t="n">
        <v>43946</v>
      </c>
      <c r="B1060" s="48" t="n">
        <v>17</v>
      </c>
      <c r="C1060" s="48" t="n">
        <v>0</v>
      </c>
      <c r="D1060" s="48" t="n">
        <v>0</v>
      </c>
      <c r="E1060" s="48" t="s">
        <v>112</v>
      </c>
      <c r="F1060" s="48" t="s">
        <v>70</v>
      </c>
      <c r="G1060" s="48" t="s">
        <v>104</v>
      </c>
      <c r="H1060" s="82" t="n">
        <f aca="false">DATE(YEAR(A1060),MONTH(A1060),1)</f>
        <v>43922</v>
      </c>
    </row>
    <row r="1061" customFormat="false" ht="15" hidden="false" customHeight="false" outlineLevel="0" collapsed="false">
      <c r="A1061" s="81" t="n">
        <v>43946</v>
      </c>
      <c r="B1061" s="48" t="n">
        <v>2</v>
      </c>
      <c r="C1061" s="48" t="n">
        <v>0</v>
      </c>
      <c r="D1061" s="48" t="n">
        <v>0</v>
      </c>
      <c r="E1061" s="48" t="s">
        <v>112</v>
      </c>
      <c r="F1061" s="48" t="s">
        <v>70</v>
      </c>
      <c r="G1061" s="48" t="s">
        <v>616</v>
      </c>
      <c r="H1061" s="82" t="n">
        <f aca="false">DATE(YEAR(A1061),MONTH(A1061),1)</f>
        <v>43922</v>
      </c>
    </row>
    <row r="1062" customFormat="false" ht="15" hidden="false" customHeight="false" outlineLevel="0" collapsed="false">
      <c r="A1062" s="81" t="n">
        <v>43946</v>
      </c>
      <c r="B1062" s="48" t="n">
        <v>2</v>
      </c>
      <c r="C1062" s="48" t="n">
        <v>0</v>
      </c>
      <c r="D1062" s="48" t="n">
        <v>0</v>
      </c>
      <c r="E1062" s="48" t="s">
        <v>112</v>
      </c>
      <c r="F1062" s="48" t="s">
        <v>70</v>
      </c>
      <c r="G1062" s="48" t="s">
        <v>639</v>
      </c>
      <c r="H1062" s="82" t="n">
        <f aca="false">DATE(YEAR(A1062),MONTH(A1062),1)</f>
        <v>43922</v>
      </c>
    </row>
    <row r="1063" customFormat="false" ht="15" hidden="false" customHeight="false" outlineLevel="0" collapsed="false">
      <c r="A1063" s="81" t="n">
        <v>43946</v>
      </c>
      <c r="B1063" s="48" t="n">
        <v>11</v>
      </c>
      <c r="C1063" s="48" t="n">
        <v>0</v>
      </c>
      <c r="D1063" s="48" t="n">
        <v>0</v>
      </c>
      <c r="E1063" s="48" t="s">
        <v>112</v>
      </c>
      <c r="F1063" s="48" t="s">
        <v>70</v>
      </c>
      <c r="G1063" s="48" t="s">
        <v>601</v>
      </c>
      <c r="H1063" s="82" t="n">
        <f aca="false">DATE(YEAR(A1063),MONTH(A1063),1)</f>
        <v>43922</v>
      </c>
    </row>
    <row r="1064" customFormat="false" ht="15" hidden="false" customHeight="false" outlineLevel="0" collapsed="false">
      <c r="A1064" s="81" t="n">
        <v>43947</v>
      </c>
      <c r="B1064" s="48" t="n">
        <v>4</v>
      </c>
      <c r="C1064" s="48" t="n">
        <v>0</v>
      </c>
      <c r="D1064" s="48" t="n">
        <v>0</v>
      </c>
      <c r="E1064" s="48" t="s">
        <v>112</v>
      </c>
      <c r="F1064" s="48" t="s">
        <v>76</v>
      </c>
      <c r="G1064" s="48" t="s">
        <v>595</v>
      </c>
      <c r="H1064" s="82" t="n">
        <f aca="false">DATE(YEAR(A1064),MONTH(A1064),1)</f>
        <v>43922</v>
      </c>
    </row>
    <row r="1065" customFormat="false" ht="15" hidden="false" customHeight="false" outlineLevel="0" collapsed="false">
      <c r="A1065" s="81" t="n">
        <v>43947</v>
      </c>
      <c r="B1065" s="48" t="n">
        <v>60</v>
      </c>
      <c r="C1065" s="48" t="n">
        <v>1</v>
      </c>
      <c r="D1065" s="48" t="n">
        <v>0</v>
      </c>
      <c r="E1065" s="48" t="s">
        <v>114</v>
      </c>
      <c r="F1065" s="48" t="s">
        <v>73</v>
      </c>
      <c r="G1065" s="48" t="s">
        <v>93</v>
      </c>
      <c r="H1065" s="82" t="n">
        <f aca="false">DATE(YEAR(A1065),MONTH(A1065),1)</f>
        <v>43922</v>
      </c>
    </row>
    <row r="1066" customFormat="false" ht="15" hidden="false" customHeight="false" outlineLevel="0" collapsed="false">
      <c r="A1066" s="81" t="n">
        <v>43947</v>
      </c>
      <c r="B1066" s="48" t="n">
        <v>10</v>
      </c>
      <c r="C1066" s="48" t="n">
        <v>0</v>
      </c>
      <c r="D1066" s="48" t="n">
        <v>0</v>
      </c>
      <c r="E1066" s="48" t="s">
        <v>112</v>
      </c>
      <c r="F1066" s="48" t="s">
        <v>75</v>
      </c>
      <c r="G1066" s="48" t="s">
        <v>103</v>
      </c>
      <c r="H1066" s="82" t="n">
        <f aca="false">DATE(YEAR(A1066),MONTH(A1066),1)</f>
        <v>43922</v>
      </c>
    </row>
    <row r="1067" customFormat="false" ht="15" hidden="false" customHeight="false" outlineLevel="0" collapsed="false">
      <c r="A1067" s="81" t="n">
        <v>43947</v>
      </c>
      <c r="B1067" s="48" t="n">
        <v>12</v>
      </c>
      <c r="C1067" s="48" t="n">
        <v>0</v>
      </c>
      <c r="D1067" s="48" t="n">
        <v>0</v>
      </c>
      <c r="E1067" s="48" t="s">
        <v>112</v>
      </c>
      <c r="F1067" s="48" t="s">
        <v>74</v>
      </c>
      <c r="G1067" s="48" t="s">
        <v>95</v>
      </c>
      <c r="H1067" s="82" t="n">
        <f aca="false">DATE(YEAR(A1067),MONTH(A1067),1)</f>
        <v>43922</v>
      </c>
    </row>
    <row r="1068" customFormat="false" ht="15" hidden="false" customHeight="false" outlineLevel="0" collapsed="false">
      <c r="A1068" s="81" t="n">
        <v>43947</v>
      </c>
      <c r="B1068" s="48" t="n">
        <v>71</v>
      </c>
      <c r="C1068" s="48" t="n">
        <v>5</v>
      </c>
      <c r="D1068" s="48" t="n">
        <v>0</v>
      </c>
      <c r="E1068" s="48" t="s">
        <v>114</v>
      </c>
      <c r="F1068" s="48" t="s">
        <v>72</v>
      </c>
      <c r="G1068" s="48" t="s">
        <v>94</v>
      </c>
      <c r="H1068" s="82" t="n">
        <f aca="false">DATE(YEAR(A1068),MONTH(A1068),1)</f>
        <v>43922</v>
      </c>
    </row>
    <row r="1069" customFormat="false" ht="15" hidden="false" customHeight="false" outlineLevel="0" collapsed="false">
      <c r="A1069" s="81" t="n">
        <v>43947</v>
      </c>
      <c r="B1069" s="48" t="n">
        <v>120</v>
      </c>
      <c r="C1069" s="48" t="n">
        <v>3</v>
      </c>
      <c r="D1069" s="48" t="n">
        <v>0</v>
      </c>
      <c r="E1069" s="48" t="s">
        <v>114</v>
      </c>
      <c r="F1069" s="48" t="s">
        <v>71</v>
      </c>
      <c r="G1069" s="48" t="s">
        <v>92</v>
      </c>
      <c r="H1069" s="82" t="n">
        <f aca="false">DATE(YEAR(A1069),MONTH(A1069),1)</f>
        <v>43922</v>
      </c>
    </row>
    <row r="1070" customFormat="false" ht="15" hidden="false" customHeight="false" outlineLevel="0" collapsed="false">
      <c r="A1070" s="81" t="n">
        <v>43947</v>
      </c>
      <c r="B1070" s="48" t="n">
        <v>340</v>
      </c>
      <c r="C1070" s="48" t="n">
        <v>3</v>
      </c>
      <c r="D1070" s="48" t="n">
        <v>48</v>
      </c>
      <c r="E1070" s="48" t="s">
        <v>112</v>
      </c>
      <c r="F1070" s="48" t="s">
        <v>70</v>
      </c>
      <c r="G1070" s="48" t="s">
        <v>91</v>
      </c>
      <c r="H1070" s="82" t="n">
        <f aca="false">DATE(YEAR(A1070),MONTH(A1070),1)</f>
        <v>43922</v>
      </c>
    </row>
    <row r="1071" customFormat="false" ht="15" hidden="false" customHeight="false" outlineLevel="0" collapsed="false">
      <c r="A1071" s="81" t="n">
        <v>43947</v>
      </c>
      <c r="B1071" s="48" t="n">
        <v>7</v>
      </c>
      <c r="C1071" s="48" t="n">
        <v>0</v>
      </c>
      <c r="D1071" s="48" t="n">
        <v>0</v>
      </c>
      <c r="E1071" s="48" t="s">
        <v>112</v>
      </c>
      <c r="F1071" s="48" t="s">
        <v>70</v>
      </c>
      <c r="G1071" s="48" t="s">
        <v>99</v>
      </c>
      <c r="H1071" s="82" t="n">
        <f aca="false">DATE(YEAR(A1071),MONTH(A1071),1)</f>
        <v>43922</v>
      </c>
    </row>
    <row r="1072" customFormat="false" ht="15" hidden="false" customHeight="false" outlineLevel="0" collapsed="false">
      <c r="A1072" s="81" t="n">
        <v>43947</v>
      </c>
      <c r="B1072" s="48" t="n">
        <v>1</v>
      </c>
      <c r="C1072" s="48" t="n">
        <v>0</v>
      </c>
      <c r="D1072" s="48" t="n">
        <v>8</v>
      </c>
      <c r="E1072" s="48" t="s">
        <v>112</v>
      </c>
      <c r="F1072" s="48" t="s">
        <v>70</v>
      </c>
      <c r="G1072" s="48" t="s">
        <v>619</v>
      </c>
      <c r="H1072" s="82" t="n">
        <f aca="false">DATE(YEAR(A1072),MONTH(A1072),1)</f>
        <v>43922</v>
      </c>
    </row>
    <row r="1073" customFormat="false" ht="15" hidden="false" customHeight="false" outlineLevel="0" collapsed="false">
      <c r="A1073" s="81" t="n">
        <v>43947</v>
      </c>
      <c r="B1073" s="48" t="n">
        <v>2</v>
      </c>
      <c r="C1073" s="48" t="n">
        <v>0</v>
      </c>
      <c r="D1073" s="48" t="n">
        <v>0</v>
      </c>
      <c r="E1073" s="48" t="s">
        <v>112</v>
      </c>
      <c r="F1073" s="48" t="s">
        <v>70</v>
      </c>
      <c r="G1073" s="48" t="s">
        <v>633</v>
      </c>
      <c r="H1073" s="82" t="n">
        <f aca="false">DATE(YEAR(A1073),MONTH(A1073),1)</f>
        <v>43922</v>
      </c>
    </row>
    <row r="1074" customFormat="false" ht="15" hidden="false" customHeight="false" outlineLevel="0" collapsed="false">
      <c r="A1074" s="81" t="n">
        <v>43947</v>
      </c>
      <c r="B1074" s="48" t="n">
        <v>4</v>
      </c>
      <c r="C1074" s="48" t="n">
        <v>0</v>
      </c>
      <c r="D1074" s="48" t="n">
        <v>0</v>
      </c>
      <c r="E1074" s="48" t="s">
        <v>112</v>
      </c>
      <c r="F1074" s="48" t="s">
        <v>70</v>
      </c>
      <c r="G1074" s="48" t="s">
        <v>641</v>
      </c>
      <c r="H1074" s="82" t="n">
        <f aca="false">DATE(YEAR(A1074),MONTH(A1074),1)</f>
        <v>43922</v>
      </c>
    </row>
    <row r="1075" customFormat="false" ht="15" hidden="false" customHeight="false" outlineLevel="0" collapsed="false">
      <c r="A1075" s="81" t="n">
        <v>43947</v>
      </c>
      <c r="B1075" s="48" t="n">
        <v>2</v>
      </c>
      <c r="C1075" s="48" t="n">
        <v>0</v>
      </c>
      <c r="D1075" s="48" t="n">
        <v>0</v>
      </c>
      <c r="E1075" s="48" t="s">
        <v>112</v>
      </c>
      <c r="F1075" s="48" t="s">
        <v>70</v>
      </c>
      <c r="G1075" s="48" t="s">
        <v>637</v>
      </c>
      <c r="H1075" s="82" t="n">
        <f aca="false">DATE(YEAR(A1075),MONTH(A1075),1)</f>
        <v>43922</v>
      </c>
    </row>
    <row r="1076" customFormat="false" ht="15" hidden="false" customHeight="false" outlineLevel="0" collapsed="false">
      <c r="A1076" s="81" t="n">
        <v>43947</v>
      </c>
      <c r="B1076" s="48" t="n">
        <v>1</v>
      </c>
      <c r="C1076" s="48" t="n">
        <v>0</v>
      </c>
      <c r="D1076" s="48" t="n">
        <v>0</v>
      </c>
      <c r="E1076" s="48" t="s">
        <v>112</v>
      </c>
      <c r="F1076" s="48" t="s">
        <v>70</v>
      </c>
      <c r="G1076" s="48" t="s">
        <v>630</v>
      </c>
      <c r="H1076" s="82" t="n">
        <f aca="false">DATE(YEAR(A1076),MONTH(A1076),1)</f>
        <v>43922</v>
      </c>
    </row>
    <row r="1077" customFormat="false" ht="15" hidden="false" customHeight="false" outlineLevel="0" collapsed="false">
      <c r="A1077" s="81" t="n">
        <v>43947</v>
      </c>
      <c r="B1077" s="48" t="n">
        <v>2</v>
      </c>
      <c r="C1077" s="48" t="n">
        <v>0</v>
      </c>
      <c r="D1077" s="48" t="n">
        <v>6</v>
      </c>
      <c r="E1077" s="48" t="s">
        <v>112</v>
      </c>
      <c r="F1077" s="48" t="s">
        <v>70</v>
      </c>
      <c r="G1077" s="48" t="s">
        <v>671</v>
      </c>
      <c r="H1077" s="82" t="n">
        <f aca="false">DATE(YEAR(A1077),MONTH(A1077),1)</f>
        <v>43922</v>
      </c>
    </row>
    <row r="1078" customFormat="false" ht="15" hidden="false" customHeight="false" outlineLevel="0" collapsed="false">
      <c r="A1078" s="81" t="n">
        <v>43947</v>
      </c>
      <c r="B1078" s="48" t="n">
        <v>17</v>
      </c>
      <c r="C1078" s="48" t="n">
        <v>0</v>
      </c>
      <c r="D1078" s="48" t="n">
        <v>0</v>
      </c>
      <c r="E1078" s="48" t="s">
        <v>112</v>
      </c>
      <c r="F1078" s="48" t="s">
        <v>70</v>
      </c>
      <c r="G1078" s="48" t="s">
        <v>98</v>
      </c>
      <c r="H1078" s="82" t="n">
        <f aca="false">DATE(YEAR(A1078),MONTH(A1078),1)</f>
        <v>43922</v>
      </c>
    </row>
    <row r="1079" customFormat="false" ht="15" hidden="false" customHeight="false" outlineLevel="0" collapsed="false">
      <c r="A1079" s="81" t="n">
        <v>43947</v>
      </c>
      <c r="B1079" s="48" t="n">
        <v>2</v>
      </c>
      <c r="C1079" s="48" t="n">
        <v>0</v>
      </c>
      <c r="D1079" s="48" t="n">
        <v>0</v>
      </c>
      <c r="E1079" s="48" t="s">
        <v>112</v>
      </c>
      <c r="F1079" s="48" t="s">
        <v>70</v>
      </c>
      <c r="G1079" s="48" t="s">
        <v>592</v>
      </c>
      <c r="H1079" s="82" t="n">
        <f aca="false">DATE(YEAR(A1079),MONTH(A1079),1)</f>
        <v>43922</v>
      </c>
    </row>
    <row r="1080" customFormat="false" ht="15" hidden="false" customHeight="false" outlineLevel="0" collapsed="false">
      <c r="A1080" s="81" t="n">
        <v>43947</v>
      </c>
      <c r="B1080" s="48" t="n">
        <v>1</v>
      </c>
      <c r="C1080" s="48" t="n">
        <v>0</v>
      </c>
      <c r="D1080" s="48" t="n">
        <v>0</v>
      </c>
      <c r="E1080" s="48" t="s">
        <v>112</v>
      </c>
      <c r="F1080" s="48" t="s">
        <v>70</v>
      </c>
      <c r="G1080" s="48" t="s">
        <v>104</v>
      </c>
      <c r="H1080" s="82" t="n">
        <f aca="false">DATE(YEAR(A1080),MONTH(A1080),1)</f>
        <v>43922</v>
      </c>
    </row>
    <row r="1081" customFormat="false" ht="15" hidden="false" customHeight="false" outlineLevel="0" collapsed="false">
      <c r="A1081" s="81" t="n">
        <v>43947</v>
      </c>
      <c r="B1081" s="48" t="n">
        <v>1</v>
      </c>
      <c r="C1081" s="48" t="n">
        <v>0</v>
      </c>
      <c r="D1081" s="48" t="n">
        <v>0</v>
      </c>
      <c r="E1081" s="48" t="s">
        <v>112</v>
      </c>
      <c r="F1081" s="48" t="s">
        <v>70</v>
      </c>
      <c r="G1081" s="48" t="s">
        <v>635</v>
      </c>
      <c r="H1081" s="82" t="n">
        <f aca="false">DATE(YEAR(A1081),MONTH(A1081),1)</f>
        <v>43922</v>
      </c>
    </row>
    <row r="1082" customFormat="false" ht="15" hidden="false" customHeight="false" outlineLevel="0" collapsed="false">
      <c r="A1082" s="81" t="n">
        <v>43947</v>
      </c>
      <c r="B1082" s="48" t="n">
        <v>2</v>
      </c>
      <c r="C1082" s="48" t="n">
        <v>0</v>
      </c>
      <c r="D1082" s="48" t="n">
        <v>0</v>
      </c>
      <c r="E1082" s="48" t="s">
        <v>112</v>
      </c>
      <c r="F1082" s="48" t="s">
        <v>70</v>
      </c>
      <c r="G1082" s="48" t="s">
        <v>663</v>
      </c>
      <c r="H1082" s="82" t="n">
        <f aca="false">DATE(YEAR(A1082),MONTH(A1082),1)</f>
        <v>43922</v>
      </c>
    </row>
    <row r="1083" customFormat="false" ht="15" hidden="false" customHeight="false" outlineLevel="0" collapsed="false">
      <c r="A1083" s="81" t="n">
        <v>43947</v>
      </c>
      <c r="B1083" s="48" t="n">
        <v>1</v>
      </c>
      <c r="C1083" s="48" t="n">
        <v>0</v>
      </c>
      <c r="D1083" s="48" t="n">
        <v>0</v>
      </c>
      <c r="E1083" s="48" t="s">
        <v>112</v>
      </c>
      <c r="F1083" s="48" t="s">
        <v>70</v>
      </c>
      <c r="G1083" s="48" t="s">
        <v>639</v>
      </c>
      <c r="H1083" s="82" t="n">
        <f aca="false">DATE(YEAR(A1083),MONTH(A1083),1)</f>
        <v>43922</v>
      </c>
    </row>
    <row r="1084" customFormat="false" ht="15" hidden="false" customHeight="false" outlineLevel="0" collapsed="false">
      <c r="A1084" s="81" t="n">
        <v>43948</v>
      </c>
      <c r="B1084" s="48" t="n">
        <v>72</v>
      </c>
      <c r="C1084" s="48" t="n">
        <v>3</v>
      </c>
      <c r="D1084" s="48" t="n">
        <v>9</v>
      </c>
      <c r="E1084" s="48" t="s">
        <v>114</v>
      </c>
      <c r="F1084" s="48" t="s">
        <v>73</v>
      </c>
      <c r="G1084" s="48" t="s">
        <v>93</v>
      </c>
      <c r="H1084" s="82" t="n">
        <f aca="false">DATE(YEAR(A1084),MONTH(A1084),1)</f>
        <v>43922</v>
      </c>
    </row>
    <row r="1085" customFormat="false" ht="15" hidden="false" customHeight="false" outlineLevel="0" collapsed="false">
      <c r="A1085" s="81" t="n">
        <v>43948</v>
      </c>
      <c r="B1085" s="48" t="n">
        <v>2</v>
      </c>
      <c r="C1085" s="48" t="n">
        <v>0</v>
      </c>
      <c r="D1085" s="48" t="n">
        <v>0</v>
      </c>
      <c r="E1085" s="48" t="s">
        <v>112</v>
      </c>
      <c r="F1085" s="48" t="s">
        <v>75</v>
      </c>
      <c r="G1085" s="48" t="s">
        <v>103</v>
      </c>
      <c r="H1085" s="82" t="n">
        <f aca="false">DATE(YEAR(A1085),MONTH(A1085),1)</f>
        <v>43922</v>
      </c>
    </row>
    <row r="1086" customFormat="false" ht="15" hidden="false" customHeight="false" outlineLevel="0" collapsed="false">
      <c r="A1086" s="81" t="n">
        <v>43948</v>
      </c>
      <c r="B1086" s="48" t="n">
        <v>10</v>
      </c>
      <c r="C1086" s="48" t="n">
        <v>0</v>
      </c>
      <c r="D1086" s="48" t="n">
        <v>0</v>
      </c>
      <c r="E1086" s="48" t="s">
        <v>112</v>
      </c>
      <c r="F1086" s="48" t="s">
        <v>74</v>
      </c>
      <c r="G1086" s="48" t="s">
        <v>95</v>
      </c>
      <c r="H1086" s="82" t="n">
        <f aca="false">DATE(YEAR(A1086),MONTH(A1086),1)</f>
        <v>43922</v>
      </c>
    </row>
    <row r="1087" customFormat="false" ht="15" hidden="false" customHeight="false" outlineLevel="0" collapsed="false">
      <c r="A1087" s="81" t="n">
        <v>43948</v>
      </c>
      <c r="B1087" s="48" t="n">
        <v>3</v>
      </c>
      <c r="C1087" s="48" t="n">
        <v>0</v>
      </c>
      <c r="D1087" s="48" t="n">
        <v>1</v>
      </c>
      <c r="E1087" s="48" t="s">
        <v>112</v>
      </c>
      <c r="F1087" s="48" t="s">
        <v>72</v>
      </c>
      <c r="G1087" s="48" t="s">
        <v>594</v>
      </c>
      <c r="H1087" s="82" t="n">
        <f aca="false">DATE(YEAR(A1087),MONTH(A1087),1)</f>
        <v>43922</v>
      </c>
    </row>
    <row r="1088" customFormat="false" ht="15" hidden="false" customHeight="false" outlineLevel="0" collapsed="false">
      <c r="A1088" s="81" t="n">
        <v>43948</v>
      </c>
      <c r="B1088" s="48" t="n">
        <v>51</v>
      </c>
      <c r="C1088" s="48" t="n">
        <v>4</v>
      </c>
      <c r="D1088" s="48" t="n">
        <v>0</v>
      </c>
      <c r="E1088" s="48" t="s">
        <v>112</v>
      </c>
      <c r="F1088" s="48" t="s">
        <v>72</v>
      </c>
      <c r="G1088" s="48" t="s">
        <v>94</v>
      </c>
      <c r="H1088" s="82" t="n">
        <f aca="false">DATE(YEAR(A1088),MONTH(A1088),1)</f>
        <v>43922</v>
      </c>
    </row>
    <row r="1089" customFormat="false" ht="15" hidden="false" customHeight="false" outlineLevel="0" collapsed="false">
      <c r="A1089" s="81" t="n">
        <v>43948</v>
      </c>
      <c r="B1089" s="48" t="n">
        <v>6</v>
      </c>
      <c r="C1089" s="48" t="n">
        <v>1</v>
      </c>
      <c r="D1089" s="48" t="n">
        <v>0</v>
      </c>
      <c r="E1089" s="48" t="s">
        <v>112</v>
      </c>
      <c r="F1089" s="48" t="s">
        <v>72</v>
      </c>
      <c r="G1089" s="48" t="s">
        <v>101</v>
      </c>
      <c r="H1089" s="82" t="n">
        <f aca="false">DATE(YEAR(A1089),MONTH(A1089),1)</f>
        <v>43922</v>
      </c>
    </row>
    <row r="1090" customFormat="false" ht="15" hidden="false" customHeight="false" outlineLevel="0" collapsed="false">
      <c r="A1090" s="81" t="n">
        <v>43948</v>
      </c>
      <c r="B1090" s="48" t="n">
        <v>2</v>
      </c>
      <c r="C1090" s="48" t="n">
        <v>1</v>
      </c>
      <c r="D1090" s="48" t="n">
        <v>0</v>
      </c>
      <c r="E1090" s="48" t="s">
        <v>112</v>
      </c>
      <c r="F1090" s="48" t="s">
        <v>72</v>
      </c>
      <c r="G1090" s="48" t="s">
        <v>600</v>
      </c>
      <c r="H1090" s="82" t="n">
        <f aca="false">DATE(YEAR(A1090),MONTH(A1090),1)</f>
        <v>43922</v>
      </c>
    </row>
    <row r="1091" customFormat="false" ht="15" hidden="false" customHeight="false" outlineLevel="0" collapsed="false">
      <c r="A1091" s="81" t="n">
        <v>43948</v>
      </c>
      <c r="B1091" s="48" t="n">
        <v>1</v>
      </c>
      <c r="C1091" s="48" t="n">
        <v>0</v>
      </c>
      <c r="D1091" s="48" t="n">
        <v>0</v>
      </c>
      <c r="E1091" s="48" t="s">
        <v>112</v>
      </c>
      <c r="F1091" s="48" t="s">
        <v>72</v>
      </c>
      <c r="G1091" s="48" t="s">
        <v>597</v>
      </c>
      <c r="H1091" s="82" t="n">
        <f aca="false">DATE(YEAR(A1091),MONTH(A1091),1)</f>
        <v>43922</v>
      </c>
    </row>
    <row r="1092" customFormat="false" ht="15" hidden="false" customHeight="false" outlineLevel="0" collapsed="false">
      <c r="A1092" s="81" t="n">
        <v>43948</v>
      </c>
      <c r="B1092" s="48" t="n">
        <v>4</v>
      </c>
      <c r="C1092" s="48" t="n">
        <v>0</v>
      </c>
      <c r="D1092" s="48" t="n">
        <v>0</v>
      </c>
      <c r="E1092" s="48" t="s">
        <v>112</v>
      </c>
      <c r="F1092" s="48" t="s">
        <v>72</v>
      </c>
      <c r="G1092" s="48" t="s">
        <v>102</v>
      </c>
      <c r="H1092" s="82" t="n">
        <f aca="false">DATE(YEAR(A1092),MONTH(A1092),1)</f>
        <v>43922</v>
      </c>
    </row>
    <row r="1093" customFormat="false" ht="15" hidden="false" customHeight="false" outlineLevel="0" collapsed="false">
      <c r="A1093" s="81" t="n">
        <v>43948</v>
      </c>
      <c r="B1093" s="48" t="n">
        <v>3</v>
      </c>
      <c r="C1093" s="48" t="n">
        <v>0</v>
      </c>
      <c r="D1093" s="48" t="n">
        <v>0</v>
      </c>
      <c r="E1093" s="48" t="s">
        <v>112</v>
      </c>
      <c r="F1093" s="48" t="s">
        <v>72</v>
      </c>
      <c r="G1093" s="48" t="s">
        <v>96</v>
      </c>
      <c r="H1093" s="82" t="n">
        <f aca="false">DATE(YEAR(A1093),MONTH(A1093),1)</f>
        <v>43922</v>
      </c>
    </row>
    <row r="1094" customFormat="false" ht="15" hidden="false" customHeight="false" outlineLevel="0" collapsed="false">
      <c r="A1094" s="81" t="n">
        <v>43948</v>
      </c>
      <c r="B1094" s="48" t="n">
        <v>8</v>
      </c>
      <c r="C1094" s="48" t="n">
        <v>0</v>
      </c>
      <c r="D1094" s="48" t="n">
        <v>0</v>
      </c>
      <c r="E1094" s="48" t="s">
        <v>112</v>
      </c>
      <c r="F1094" s="48" t="s">
        <v>72</v>
      </c>
      <c r="G1094" s="48" t="s">
        <v>603</v>
      </c>
      <c r="H1094" s="82" t="n">
        <f aca="false">DATE(YEAR(A1094),MONTH(A1094),1)</f>
        <v>43922</v>
      </c>
    </row>
    <row r="1095" customFormat="false" ht="15" hidden="false" customHeight="false" outlineLevel="0" collapsed="false">
      <c r="A1095" s="81" t="n">
        <v>43948</v>
      </c>
      <c r="B1095" s="48" t="n">
        <v>7</v>
      </c>
      <c r="C1095" s="48" t="n">
        <v>0</v>
      </c>
      <c r="D1095" s="48" t="n">
        <v>0</v>
      </c>
      <c r="E1095" s="48" t="s">
        <v>112</v>
      </c>
      <c r="F1095" s="48" t="s">
        <v>72</v>
      </c>
      <c r="G1095" s="48" t="s">
        <v>591</v>
      </c>
      <c r="H1095" s="82" t="n">
        <f aca="false">DATE(YEAR(A1095),MONTH(A1095),1)</f>
        <v>43922</v>
      </c>
    </row>
    <row r="1096" customFormat="false" ht="15" hidden="false" customHeight="false" outlineLevel="0" collapsed="false">
      <c r="A1096" s="81" t="n">
        <v>43948</v>
      </c>
      <c r="B1096" s="48" t="n">
        <v>5</v>
      </c>
      <c r="C1096" s="48" t="n">
        <v>0</v>
      </c>
      <c r="D1096" s="48" t="n">
        <v>0</v>
      </c>
      <c r="E1096" s="48" t="s">
        <v>112</v>
      </c>
      <c r="F1096" s="48" t="s">
        <v>72</v>
      </c>
      <c r="G1096" s="48" t="s">
        <v>598</v>
      </c>
      <c r="H1096" s="82" t="n">
        <f aca="false">DATE(YEAR(A1096),MONTH(A1096),1)</f>
        <v>43922</v>
      </c>
    </row>
    <row r="1097" customFormat="false" ht="15" hidden="false" customHeight="false" outlineLevel="0" collapsed="false">
      <c r="A1097" s="81" t="n">
        <v>43948</v>
      </c>
      <c r="B1097" s="48" t="n">
        <v>5</v>
      </c>
      <c r="C1097" s="48" t="n">
        <v>0</v>
      </c>
      <c r="D1097" s="48" t="n">
        <v>0</v>
      </c>
      <c r="E1097" s="48" t="s">
        <v>112</v>
      </c>
      <c r="F1097" s="48" t="s">
        <v>72</v>
      </c>
      <c r="G1097" s="48" t="s">
        <v>643</v>
      </c>
      <c r="H1097" s="82" t="n">
        <f aca="false">DATE(YEAR(A1097),MONTH(A1097),1)</f>
        <v>43922</v>
      </c>
    </row>
    <row r="1098" customFormat="false" ht="15" hidden="false" customHeight="false" outlineLevel="0" collapsed="false">
      <c r="A1098" s="81" t="n">
        <v>43948</v>
      </c>
      <c r="B1098" s="48" t="n">
        <v>2</v>
      </c>
      <c r="C1098" s="48" t="n">
        <v>0</v>
      </c>
      <c r="D1098" s="48" t="n">
        <v>0</v>
      </c>
      <c r="E1098" s="48" t="s">
        <v>112</v>
      </c>
      <c r="F1098" s="48" t="s">
        <v>72</v>
      </c>
      <c r="G1098" s="48" t="s">
        <v>662</v>
      </c>
      <c r="H1098" s="82" t="n">
        <f aca="false">DATE(YEAR(A1098),MONTH(A1098),1)</f>
        <v>43922</v>
      </c>
    </row>
    <row r="1099" customFormat="false" ht="15" hidden="false" customHeight="false" outlineLevel="0" collapsed="false">
      <c r="A1099" s="81" t="n">
        <v>43948</v>
      </c>
      <c r="B1099" s="48" t="n">
        <v>9</v>
      </c>
      <c r="C1099" s="48" t="n">
        <v>0</v>
      </c>
      <c r="D1099" s="48" t="n">
        <v>0</v>
      </c>
      <c r="E1099" s="48" t="s">
        <v>112</v>
      </c>
      <c r="F1099" s="48" t="s">
        <v>72</v>
      </c>
      <c r="G1099" s="48" t="s">
        <v>610</v>
      </c>
      <c r="H1099" s="82" t="n">
        <f aca="false">DATE(YEAR(A1099),MONTH(A1099),1)</f>
        <v>43922</v>
      </c>
    </row>
    <row r="1100" customFormat="false" ht="15" hidden="false" customHeight="false" outlineLevel="0" collapsed="false">
      <c r="A1100" s="81" t="n">
        <v>43948</v>
      </c>
      <c r="B1100" s="48" t="n">
        <v>7</v>
      </c>
      <c r="C1100" s="48" t="n">
        <v>0</v>
      </c>
      <c r="D1100" s="48" t="n">
        <v>0</v>
      </c>
      <c r="E1100" s="48" t="s">
        <v>112</v>
      </c>
      <c r="F1100" s="48" t="s">
        <v>72</v>
      </c>
      <c r="G1100" s="48" t="s">
        <v>613</v>
      </c>
      <c r="H1100" s="82" t="n">
        <f aca="false">DATE(YEAR(A1100),MONTH(A1100),1)</f>
        <v>43922</v>
      </c>
    </row>
    <row r="1101" customFormat="false" ht="15" hidden="false" customHeight="false" outlineLevel="0" collapsed="false">
      <c r="A1101" s="81" t="n">
        <v>43948</v>
      </c>
      <c r="B1101" s="48" t="n">
        <v>2</v>
      </c>
      <c r="C1101" s="48" t="n">
        <v>0</v>
      </c>
      <c r="D1101" s="48" t="n">
        <v>0</v>
      </c>
      <c r="E1101" s="48" t="s">
        <v>112</v>
      </c>
      <c r="F1101" s="48" t="s">
        <v>72</v>
      </c>
      <c r="G1101" s="48" t="s">
        <v>615</v>
      </c>
      <c r="H1101" s="82" t="n">
        <f aca="false">DATE(YEAR(A1101),MONTH(A1101),1)</f>
        <v>43922</v>
      </c>
    </row>
    <row r="1102" customFormat="false" ht="15" hidden="false" customHeight="false" outlineLevel="0" collapsed="false">
      <c r="A1102" s="81" t="n">
        <v>43948</v>
      </c>
      <c r="B1102" s="48" t="n">
        <v>5</v>
      </c>
      <c r="C1102" s="48" t="n">
        <v>0</v>
      </c>
      <c r="D1102" s="48" t="n">
        <v>0</v>
      </c>
      <c r="E1102" s="48" t="s">
        <v>112</v>
      </c>
      <c r="F1102" s="48" t="s">
        <v>72</v>
      </c>
      <c r="G1102" s="48" t="s">
        <v>621</v>
      </c>
      <c r="H1102" s="82" t="n">
        <f aca="false">DATE(YEAR(A1102),MONTH(A1102),1)</f>
        <v>43922</v>
      </c>
    </row>
    <row r="1103" customFormat="false" ht="15" hidden="false" customHeight="false" outlineLevel="0" collapsed="false">
      <c r="A1103" s="81" t="n">
        <v>43948</v>
      </c>
      <c r="B1103" s="48" t="n">
        <v>194</v>
      </c>
      <c r="C1103" s="48" t="n">
        <v>10</v>
      </c>
      <c r="D1103" s="48" t="n">
        <v>0</v>
      </c>
      <c r="E1103" s="48" t="s">
        <v>112</v>
      </c>
      <c r="F1103" s="48" t="s">
        <v>71</v>
      </c>
      <c r="G1103" s="48" t="s">
        <v>92</v>
      </c>
      <c r="H1103" s="82" t="n">
        <f aca="false">DATE(YEAR(A1103),MONTH(A1103),1)</f>
        <v>43922</v>
      </c>
    </row>
    <row r="1104" customFormat="false" ht="15" hidden="false" customHeight="false" outlineLevel="0" collapsed="false">
      <c r="A1104" s="81" t="n">
        <v>43948</v>
      </c>
      <c r="B1104" s="48" t="n">
        <v>275</v>
      </c>
      <c r="C1104" s="48" t="n">
        <v>4</v>
      </c>
      <c r="D1104" s="48" t="n">
        <v>17</v>
      </c>
      <c r="E1104" s="48" t="s">
        <v>112</v>
      </c>
      <c r="F1104" s="48" t="s">
        <v>70</v>
      </c>
      <c r="G1104" s="48" t="s">
        <v>91</v>
      </c>
      <c r="H1104" s="82" t="n">
        <f aca="false">DATE(YEAR(A1104),MONTH(A1104),1)</f>
        <v>43922</v>
      </c>
    </row>
    <row r="1105" customFormat="false" ht="15" hidden="false" customHeight="false" outlineLevel="0" collapsed="false">
      <c r="A1105" s="81" t="n">
        <v>43948</v>
      </c>
      <c r="B1105" s="48" t="n">
        <v>12</v>
      </c>
      <c r="C1105" s="48" t="n">
        <v>0</v>
      </c>
      <c r="D1105" s="48" t="n">
        <v>0</v>
      </c>
      <c r="E1105" s="48" t="s">
        <v>112</v>
      </c>
      <c r="F1105" s="48" t="s">
        <v>70</v>
      </c>
      <c r="G1105" s="48" t="s">
        <v>99</v>
      </c>
      <c r="H1105" s="82" t="n">
        <f aca="false">DATE(YEAR(A1105),MONTH(A1105),1)</f>
        <v>43922</v>
      </c>
    </row>
    <row r="1106" customFormat="false" ht="15" hidden="false" customHeight="false" outlineLevel="0" collapsed="false">
      <c r="A1106" s="81" t="n">
        <v>43948</v>
      </c>
      <c r="B1106" s="48" t="n">
        <v>0</v>
      </c>
      <c r="C1106" s="48" t="n">
        <v>0</v>
      </c>
      <c r="D1106" s="48" t="n">
        <v>3</v>
      </c>
      <c r="E1106" s="48" t="s">
        <v>112</v>
      </c>
      <c r="F1106" s="48" t="s">
        <v>70</v>
      </c>
      <c r="G1106" s="48" t="s">
        <v>619</v>
      </c>
      <c r="H1106" s="82" t="n">
        <f aca="false">DATE(YEAR(A1106),MONTH(A1106),1)</f>
        <v>43922</v>
      </c>
    </row>
    <row r="1107" customFormat="false" ht="15" hidden="false" customHeight="false" outlineLevel="0" collapsed="false">
      <c r="A1107" s="81" t="n">
        <v>43948</v>
      </c>
      <c r="B1107" s="48" t="n">
        <v>0</v>
      </c>
      <c r="C1107" s="48" t="n">
        <v>0</v>
      </c>
      <c r="D1107" s="48" t="n">
        <v>1</v>
      </c>
      <c r="E1107" s="48" t="s">
        <v>112</v>
      </c>
      <c r="F1107" s="48" t="s">
        <v>70</v>
      </c>
      <c r="G1107" s="48" t="s">
        <v>633</v>
      </c>
      <c r="H1107" s="82" t="n">
        <f aca="false">DATE(YEAR(A1107),MONTH(A1107),1)</f>
        <v>43922</v>
      </c>
    </row>
    <row r="1108" customFormat="false" ht="15" hidden="false" customHeight="false" outlineLevel="0" collapsed="false">
      <c r="A1108" s="81" t="n">
        <v>43948</v>
      </c>
      <c r="B1108" s="48" t="n">
        <v>0</v>
      </c>
      <c r="C1108" s="48" t="n">
        <v>0</v>
      </c>
      <c r="D1108" s="48" t="n">
        <v>6</v>
      </c>
      <c r="E1108" s="48" t="s">
        <v>112</v>
      </c>
      <c r="F1108" s="48" t="s">
        <v>70</v>
      </c>
      <c r="G1108" s="48" t="s">
        <v>605</v>
      </c>
      <c r="H1108" s="82" t="n">
        <f aca="false">DATE(YEAR(A1108),MONTH(A1108),1)</f>
        <v>43922</v>
      </c>
    </row>
    <row r="1109" customFormat="false" ht="15" hidden="false" customHeight="false" outlineLevel="0" collapsed="false">
      <c r="A1109" s="81" t="n">
        <v>43948</v>
      </c>
      <c r="B1109" s="48" t="n">
        <v>0</v>
      </c>
      <c r="C1109" s="48" t="n">
        <v>0</v>
      </c>
      <c r="D1109" s="48" t="n">
        <v>1</v>
      </c>
      <c r="E1109" s="48" t="s">
        <v>112</v>
      </c>
      <c r="F1109" s="48" t="s">
        <v>70</v>
      </c>
      <c r="G1109" s="48" t="s">
        <v>641</v>
      </c>
      <c r="H1109" s="82" t="n">
        <f aca="false">DATE(YEAR(A1109),MONTH(A1109),1)</f>
        <v>43922</v>
      </c>
    </row>
    <row r="1110" customFormat="false" ht="15" hidden="false" customHeight="false" outlineLevel="0" collapsed="false">
      <c r="A1110" s="81" t="n">
        <v>43948</v>
      </c>
      <c r="B1110" s="48" t="n">
        <v>0</v>
      </c>
      <c r="C1110" s="48" t="n">
        <v>0</v>
      </c>
      <c r="D1110" s="48" t="n">
        <v>1</v>
      </c>
      <c r="E1110" s="48" t="s">
        <v>112</v>
      </c>
      <c r="F1110" s="48" t="s">
        <v>70</v>
      </c>
      <c r="G1110" s="48" t="s">
        <v>644</v>
      </c>
      <c r="H1110" s="82" t="n">
        <f aca="false">DATE(YEAR(A1110),MONTH(A1110),1)</f>
        <v>43922</v>
      </c>
    </row>
    <row r="1111" customFormat="false" ht="15" hidden="false" customHeight="false" outlineLevel="0" collapsed="false">
      <c r="A1111" s="81" t="n">
        <v>43948</v>
      </c>
      <c r="B1111" s="48" t="n">
        <v>1</v>
      </c>
      <c r="C1111" s="48" t="n">
        <v>0</v>
      </c>
      <c r="D1111" s="48" t="n">
        <v>3</v>
      </c>
      <c r="E1111" s="48" t="s">
        <v>112</v>
      </c>
      <c r="F1111" s="48" t="s">
        <v>70</v>
      </c>
      <c r="G1111" s="48" t="s">
        <v>637</v>
      </c>
      <c r="H1111" s="82" t="n">
        <f aca="false">DATE(YEAR(A1111),MONTH(A1111),1)</f>
        <v>43922</v>
      </c>
    </row>
    <row r="1112" customFormat="false" ht="15" hidden="false" customHeight="false" outlineLevel="0" collapsed="false">
      <c r="A1112" s="81" t="n">
        <v>43948</v>
      </c>
      <c r="B1112" s="48" t="n">
        <v>0</v>
      </c>
      <c r="C1112" s="48" t="n">
        <v>0</v>
      </c>
      <c r="D1112" s="48" t="n">
        <v>2</v>
      </c>
      <c r="E1112" s="48" t="s">
        <v>112</v>
      </c>
      <c r="F1112" s="48" t="s">
        <v>70</v>
      </c>
      <c r="G1112" s="48" t="s">
        <v>630</v>
      </c>
      <c r="H1112" s="82" t="n">
        <f aca="false">DATE(YEAR(A1112),MONTH(A1112),1)</f>
        <v>43922</v>
      </c>
    </row>
    <row r="1113" customFormat="false" ht="15" hidden="false" customHeight="false" outlineLevel="0" collapsed="false">
      <c r="A1113" s="81" t="n">
        <v>43948</v>
      </c>
      <c r="B1113" s="48" t="n">
        <v>0</v>
      </c>
      <c r="C1113" s="48" t="n">
        <v>0</v>
      </c>
      <c r="D1113" s="48" t="n">
        <v>2</v>
      </c>
      <c r="E1113" s="48" t="s">
        <v>112</v>
      </c>
      <c r="F1113" s="48" t="s">
        <v>70</v>
      </c>
      <c r="G1113" s="48" t="s">
        <v>642</v>
      </c>
      <c r="H1113" s="82" t="n">
        <f aca="false">DATE(YEAR(A1113),MONTH(A1113),1)</f>
        <v>43922</v>
      </c>
    </row>
    <row r="1114" customFormat="false" ht="15" hidden="false" customHeight="false" outlineLevel="0" collapsed="false">
      <c r="A1114" s="81" t="n">
        <v>43948</v>
      </c>
      <c r="B1114" s="48" t="n">
        <v>8</v>
      </c>
      <c r="C1114" s="48" t="n">
        <v>0</v>
      </c>
      <c r="D1114" s="48" t="n">
        <v>2</v>
      </c>
      <c r="E1114" s="48" t="s">
        <v>112</v>
      </c>
      <c r="F1114" s="48" t="s">
        <v>70</v>
      </c>
      <c r="G1114" s="48" t="s">
        <v>105</v>
      </c>
      <c r="H1114" s="82" t="n">
        <f aca="false">DATE(YEAR(A1114),MONTH(A1114),1)</f>
        <v>43922</v>
      </c>
    </row>
    <row r="1115" customFormat="false" ht="15" hidden="false" customHeight="false" outlineLevel="0" collapsed="false">
      <c r="A1115" s="81" t="n">
        <v>43948</v>
      </c>
      <c r="B1115" s="48" t="n">
        <v>4</v>
      </c>
      <c r="C1115" s="48" t="n">
        <v>0</v>
      </c>
      <c r="D1115" s="48" t="n">
        <v>0</v>
      </c>
      <c r="E1115" s="48" t="s">
        <v>112</v>
      </c>
      <c r="F1115" s="48" t="s">
        <v>70</v>
      </c>
      <c r="G1115" s="48" t="s">
        <v>98</v>
      </c>
      <c r="H1115" s="82" t="n">
        <f aca="false">DATE(YEAR(A1115),MONTH(A1115),1)</f>
        <v>43922</v>
      </c>
    </row>
    <row r="1116" customFormat="false" ht="15" hidden="false" customHeight="false" outlineLevel="0" collapsed="false">
      <c r="A1116" s="81" t="n">
        <v>43948</v>
      </c>
      <c r="B1116" s="48" t="n">
        <v>23</v>
      </c>
      <c r="C1116" s="48" t="n">
        <v>0</v>
      </c>
      <c r="D1116" s="48" t="n">
        <v>2</v>
      </c>
      <c r="E1116" s="48" t="s">
        <v>112</v>
      </c>
      <c r="F1116" s="48" t="s">
        <v>70</v>
      </c>
      <c r="G1116" s="48" t="s">
        <v>592</v>
      </c>
      <c r="H1116" s="82" t="n">
        <f aca="false">DATE(YEAR(A1116),MONTH(A1116),1)</f>
        <v>43922</v>
      </c>
    </row>
    <row r="1117" customFormat="false" ht="15" hidden="false" customHeight="false" outlineLevel="0" collapsed="false">
      <c r="A1117" s="81" t="n">
        <v>43948</v>
      </c>
      <c r="B1117" s="48" t="n">
        <v>12</v>
      </c>
      <c r="C1117" s="48" t="n">
        <v>0</v>
      </c>
      <c r="D1117" s="48" t="n">
        <v>2</v>
      </c>
      <c r="E1117" s="48" t="s">
        <v>112</v>
      </c>
      <c r="F1117" s="48" t="s">
        <v>70</v>
      </c>
      <c r="G1117" s="48" t="s">
        <v>104</v>
      </c>
      <c r="H1117" s="82" t="n">
        <f aca="false">DATE(YEAR(A1117),MONTH(A1117),1)</f>
        <v>43922</v>
      </c>
    </row>
    <row r="1118" customFormat="false" ht="15" hidden="false" customHeight="false" outlineLevel="0" collapsed="false">
      <c r="A1118" s="81" t="n">
        <v>43948</v>
      </c>
      <c r="B1118" s="48" t="n">
        <v>3</v>
      </c>
      <c r="C1118" s="48" t="n">
        <v>0</v>
      </c>
      <c r="D1118" s="48" t="n">
        <v>10</v>
      </c>
      <c r="E1118" s="48" t="s">
        <v>112</v>
      </c>
      <c r="F1118" s="48" t="s">
        <v>70</v>
      </c>
      <c r="G1118" s="48" t="s">
        <v>635</v>
      </c>
      <c r="H1118" s="82" t="n">
        <f aca="false">DATE(YEAR(A1118),MONTH(A1118),1)</f>
        <v>43922</v>
      </c>
    </row>
    <row r="1119" customFormat="false" ht="15" hidden="false" customHeight="false" outlineLevel="0" collapsed="false">
      <c r="A1119" s="81" t="n">
        <v>43948</v>
      </c>
      <c r="B1119" s="48" t="n">
        <v>0</v>
      </c>
      <c r="C1119" s="48" t="n">
        <v>0</v>
      </c>
      <c r="D1119" s="48" t="n">
        <v>1</v>
      </c>
      <c r="E1119" s="48" t="s">
        <v>112</v>
      </c>
      <c r="F1119" s="48" t="s">
        <v>70</v>
      </c>
      <c r="G1119" s="48" t="s">
        <v>670</v>
      </c>
      <c r="H1119" s="82" t="n">
        <f aca="false">DATE(YEAR(A1119),MONTH(A1119),1)</f>
        <v>43922</v>
      </c>
    </row>
    <row r="1120" customFormat="false" ht="15" hidden="false" customHeight="false" outlineLevel="0" collapsed="false">
      <c r="A1120" s="81" t="n">
        <v>43948</v>
      </c>
      <c r="B1120" s="48" t="n">
        <v>2</v>
      </c>
      <c r="C1120" s="48" t="n">
        <v>0</v>
      </c>
      <c r="D1120" s="48" t="n">
        <v>0</v>
      </c>
      <c r="E1120" s="48" t="s">
        <v>112</v>
      </c>
      <c r="F1120" s="48" t="s">
        <v>70</v>
      </c>
      <c r="G1120" s="48" t="s">
        <v>663</v>
      </c>
      <c r="H1120" s="82" t="n">
        <f aca="false">DATE(YEAR(A1120),MONTH(A1120),1)</f>
        <v>43922</v>
      </c>
    </row>
    <row r="1121" customFormat="false" ht="15" hidden="false" customHeight="false" outlineLevel="0" collapsed="false">
      <c r="A1121" s="81" t="n">
        <v>43948</v>
      </c>
      <c r="B1121" s="48" t="n">
        <v>1</v>
      </c>
      <c r="C1121" s="48" t="n">
        <v>0</v>
      </c>
      <c r="D1121" s="48" t="n">
        <v>0</v>
      </c>
      <c r="E1121" s="48" t="s">
        <v>112</v>
      </c>
      <c r="F1121" s="48" t="s">
        <v>70</v>
      </c>
      <c r="G1121" s="48" t="s">
        <v>623</v>
      </c>
      <c r="H1121" s="82" t="n">
        <f aca="false">DATE(YEAR(A1121),MONTH(A1121),1)</f>
        <v>43922</v>
      </c>
    </row>
    <row r="1122" customFormat="false" ht="15" hidden="false" customHeight="false" outlineLevel="0" collapsed="false">
      <c r="A1122" s="81" t="n">
        <v>43949</v>
      </c>
      <c r="B1122" s="48" t="n">
        <v>6</v>
      </c>
      <c r="C1122" s="48" t="n">
        <v>0</v>
      </c>
      <c r="D1122" s="48" t="n">
        <v>0</v>
      </c>
      <c r="E1122" s="48" t="s">
        <v>112</v>
      </c>
      <c r="F1122" s="48" t="s">
        <v>76</v>
      </c>
      <c r="G1122" s="48" t="s">
        <v>595</v>
      </c>
      <c r="H1122" s="82" t="n">
        <f aca="false">DATE(YEAR(A1122),MONTH(A1122),1)</f>
        <v>43922</v>
      </c>
    </row>
    <row r="1123" customFormat="false" ht="15" hidden="false" customHeight="false" outlineLevel="0" collapsed="false">
      <c r="A1123" s="81" t="n">
        <v>43949</v>
      </c>
      <c r="B1123" s="48" t="n">
        <v>10</v>
      </c>
      <c r="C1123" s="48" t="n">
        <v>0</v>
      </c>
      <c r="D1123" s="48" t="n">
        <v>0</v>
      </c>
      <c r="E1123" s="48" t="s">
        <v>112</v>
      </c>
      <c r="F1123" s="48" t="s">
        <v>75</v>
      </c>
      <c r="G1123" s="48" t="s">
        <v>103</v>
      </c>
      <c r="H1123" s="82" t="n">
        <f aca="false">DATE(YEAR(A1123),MONTH(A1123),1)</f>
        <v>43922</v>
      </c>
    </row>
    <row r="1124" customFormat="false" ht="15" hidden="false" customHeight="false" outlineLevel="0" collapsed="false">
      <c r="A1124" s="81" t="n">
        <v>43949</v>
      </c>
      <c r="B1124" s="48" t="n">
        <v>16</v>
      </c>
      <c r="C1124" s="48" t="n">
        <v>0</v>
      </c>
      <c r="D1124" s="48" t="n">
        <v>0</v>
      </c>
      <c r="E1124" s="48" t="s">
        <v>112</v>
      </c>
      <c r="F1124" s="48" t="s">
        <v>74</v>
      </c>
      <c r="G1124" s="48" t="s">
        <v>95</v>
      </c>
      <c r="H1124" s="82" t="n">
        <f aca="false">DATE(YEAR(A1124),MONTH(A1124),1)</f>
        <v>43922</v>
      </c>
    </row>
    <row r="1125" customFormat="false" ht="15" hidden="false" customHeight="false" outlineLevel="0" collapsed="false">
      <c r="A1125" s="81" t="n">
        <v>43949</v>
      </c>
      <c r="B1125" s="48" t="n">
        <v>176</v>
      </c>
      <c r="C1125" s="48" t="n">
        <v>0</v>
      </c>
      <c r="D1125" s="48" t="n">
        <v>0</v>
      </c>
      <c r="E1125" s="48" t="s">
        <v>112</v>
      </c>
      <c r="F1125" s="48" t="s">
        <v>72</v>
      </c>
      <c r="G1125" s="48" t="s">
        <v>94</v>
      </c>
      <c r="H1125" s="82" t="n">
        <f aca="false">DATE(YEAR(A1125),MONTH(A1125),1)</f>
        <v>43922</v>
      </c>
    </row>
    <row r="1126" customFormat="false" ht="15" hidden="false" customHeight="false" outlineLevel="0" collapsed="false">
      <c r="A1126" s="81" t="n">
        <v>43949</v>
      </c>
      <c r="B1126" s="48" t="n">
        <v>187</v>
      </c>
      <c r="C1126" s="48" t="n">
        <v>5</v>
      </c>
      <c r="D1126" s="48" t="n">
        <v>0</v>
      </c>
      <c r="E1126" s="48" t="s">
        <v>112</v>
      </c>
      <c r="F1126" s="48" t="s">
        <v>71</v>
      </c>
      <c r="G1126" s="48" t="s">
        <v>92</v>
      </c>
      <c r="H1126" s="82" t="n">
        <f aca="false">DATE(YEAR(A1126),MONTH(A1126),1)</f>
        <v>43922</v>
      </c>
    </row>
    <row r="1127" customFormat="false" ht="15" hidden="false" customHeight="false" outlineLevel="0" collapsed="false">
      <c r="A1127" s="81" t="n">
        <v>43949</v>
      </c>
      <c r="B1127" s="48" t="n">
        <v>335</v>
      </c>
      <c r="C1127" s="48" t="n">
        <v>0</v>
      </c>
      <c r="D1127" s="48" t="n">
        <v>0</v>
      </c>
      <c r="E1127" s="48" t="s">
        <v>112</v>
      </c>
      <c r="F1127" s="48" t="s">
        <v>70</v>
      </c>
      <c r="G1127" s="48" t="s">
        <v>91</v>
      </c>
      <c r="H1127" s="82" t="n">
        <f aca="false">DATE(YEAR(A1127),MONTH(A1127),1)</f>
        <v>43922</v>
      </c>
    </row>
    <row r="1128" customFormat="false" ht="15" hidden="false" customHeight="false" outlineLevel="0" collapsed="false">
      <c r="A1128" s="81" t="n">
        <v>43950</v>
      </c>
      <c r="B1128" s="48" t="n">
        <v>121</v>
      </c>
      <c r="C1128" s="48" t="n">
        <v>0</v>
      </c>
      <c r="D1128" s="48" t="n">
        <v>0</v>
      </c>
      <c r="E1128" s="48" t="s">
        <v>112</v>
      </c>
      <c r="F1128" s="48" t="s">
        <v>73</v>
      </c>
      <c r="G1128" s="48" t="s">
        <v>93</v>
      </c>
      <c r="H1128" s="82" t="n">
        <f aca="false">DATE(YEAR(A1128),MONTH(A1128),1)</f>
        <v>43922</v>
      </c>
    </row>
    <row r="1129" customFormat="false" ht="15" hidden="false" customHeight="false" outlineLevel="0" collapsed="false">
      <c r="A1129" s="81" t="n">
        <v>43950</v>
      </c>
      <c r="B1129" s="48" t="n">
        <v>3</v>
      </c>
      <c r="C1129" s="48" t="n">
        <v>0</v>
      </c>
      <c r="D1129" s="48" t="n">
        <v>0</v>
      </c>
      <c r="E1129" s="48" t="s">
        <v>112</v>
      </c>
      <c r="F1129" s="48" t="s">
        <v>75</v>
      </c>
      <c r="G1129" s="48" t="s">
        <v>103</v>
      </c>
      <c r="H1129" s="82" t="n">
        <f aca="false">DATE(YEAR(A1129),MONTH(A1129),1)</f>
        <v>43922</v>
      </c>
    </row>
    <row r="1130" customFormat="false" ht="15" hidden="false" customHeight="false" outlineLevel="0" collapsed="false">
      <c r="A1130" s="81" t="n">
        <v>43950</v>
      </c>
      <c r="B1130" s="48" t="n">
        <v>36</v>
      </c>
      <c r="C1130" s="48" t="n">
        <v>0</v>
      </c>
      <c r="D1130" s="48" t="n">
        <v>0</v>
      </c>
      <c r="E1130" s="48" t="s">
        <v>112</v>
      </c>
      <c r="F1130" s="48" t="s">
        <v>74</v>
      </c>
      <c r="G1130" s="48" t="s">
        <v>95</v>
      </c>
      <c r="H1130" s="82" t="n">
        <f aca="false">DATE(YEAR(A1130),MONTH(A1130),1)</f>
        <v>43922</v>
      </c>
    </row>
    <row r="1131" customFormat="false" ht="15" hidden="false" customHeight="false" outlineLevel="0" collapsed="false">
      <c r="A1131" s="81" t="n">
        <v>43950</v>
      </c>
      <c r="B1131" s="48" t="n">
        <v>153</v>
      </c>
      <c r="C1131" s="48" t="n">
        <v>8</v>
      </c>
      <c r="D1131" s="48" t="n">
        <v>0</v>
      </c>
      <c r="E1131" s="48" t="s">
        <v>112</v>
      </c>
      <c r="F1131" s="48" t="s">
        <v>72</v>
      </c>
      <c r="G1131" s="48" t="s">
        <v>94</v>
      </c>
      <c r="H1131" s="82" t="n">
        <f aca="false">DATE(YEAR(A1131),MONTH(A1131),1)</f>
        <v>43922</v>
      </c>
    </row>
    <row r="1132" customFormat="false" ht="15" hidden="false" customHeight="false" outlineLevel="0" collapsed="false">
      <c r="A1132" s="81" t="n">
        <v>43950</v>
      </c>
      <c r="B1132" s="48" t="n">
        <v>234</v>
      </c>
      <c r="C1132" s="48" t="n">
        <v>3</v>
      </c>
      <c r="D1132" s="48" t="n">
        <v>0</v>
      </c>
      <c r="E1132" s="48" t="s">
        <v>112</v>
      </c>
      <c r="F1132" s="48" t="s">
        <v>71</v>
      </c>
      <c r="G1132" s="48" t="s">
        <v>92</v>
      </c>
      <c r="H1132" s="82" t="n">
        <f aca="false">DATE(YEAR(A1132),MONTH(A1132),1)</f>
        <v>43922</v>
      </c>
    </row>
    <row r="1133" customFormat="false" ht="15" hidden="false" customHeight="false" outlineLevel="0" collapsed="false">
      <c r="A1133" s="81" t="n">
        <v>43950</v>
      </c>
      <c r="B1133" s="48" t="n">
        <v>337</v>
      </c>
      <c r="C1133" s="48" t="n">
        <v>8</v>
      </c>
      <c r="D1133" s="48" t="n">
        <v>208</v>
      </c>
      <c r="E1133" s="48" t="s">
        <v>112</v>
      </c>
      <c r="F1133" s="48" t="s">
        <v>70</v>
      </c>
      <c r="G1133" s="48" t="s">
        <v>91</v>
      </c>
      <c r="H1133" s="82" t="n">
        <f aca="false">DATE(YEAR(A1133),MONTH(A1133),1)</f>
        <v>43922</v>
      </c>
    </row>
    <row r="1134" customFormat="false" ht="15" hidden="false" customHeight="false" outlineLevel="0" collapsed="false">
      <c r="A1134" s="81" t="n">
        <v>43950</v>
      </c>
      <c r="B1134" s="48" t="n">
        <v>9</v>
      </c>
      <c r="C1134" s="48" t="n">
        <v>0</v>
      </c>
      <c r="D1134" s="48" t="n">
        <v>0</v>
      </c>
      <c r="E1134" s="48" t="s">
        <v>112</v>
      </c>
      <c r="F1134" s="48" t="s">
        <v>70</v>
      </c>
      <c r="G1134" s="48" t="s">
        <v>99</v>
      </c>
      <c r="H1134" s="82" t="n">
        <f aca="false">DATE(YEAR(A1134),MONTH(A1134),1)</f>
        <v>43922</v>
      </c>
    </row>
    <row r="1135" customFormat="false" ht="15" hidden="false" customHeight="false" outlineLevel="0" collapsed="false">
      <c r="A1135" s="81" t="n">
        <v>43950</v>
      </c>
      <c r="B1135" s="48" t="n">
        <v>7</v>
      </c>
      <c r="C1135" s="48" t="n">
        <v>0</v>
      </c>
      <c r="D1135" s="48" t="n">
        <v>0</v>
      </c>
      <c r="E1135" s="48" t="s">
        <v>112</v>
      </c>
      <c r="F1135" s="48" t="s">
        <v>70</v>
      </c>
      <c r="G1135" s="48" t="s">
        <v>605</v>
      </c>
      <c r="H1135" s="82" t="n">
        <f aca="false">DATE(YEAR(A1135),MONTH(A1135),1)</f>
        <v>43922</v>
      </c>
    </row>
    <row r="1136" customFormat="false" ht="15" hidden="false" customHeight="false" outlineLevel="0" collapsed="false">
      <c r="A1136" s="81" t="n">
        <v>43950</v>
      </c>
      <c r="B1136" s="48" t="n">
        <v>14</v>
      </c>
      <c r="C1136" s="48" t="n">
        <v>0</v>
      </c>
      <c r="D1136" s="48" t="n">
        <v>0</v>
      </c>
      <c r="E1136" s="48" t="s">
        <v>112</v>
      </c>
      <c r="F1136" s="48" t="s">
        <v>70</v>
      </c>
      <c r="G1136" s="48" t="s">
        <v>98</v>
      </c>
      <c r="H1136" s="82" t="n">
        <f aca="false">DATE(YEAR(A1136),MONTH(A1136),1)</f>
        <v>43922</v>
      </c>
    </row>
    <row r="1137" customFormat="false" ht="15" hidden="false" customHeight="false" outlineLevel="0" collapsed="false">
      <c r="A1137" s="81" t="n">
        <v>43950</v>
      </c>
      <c r="B1137" s="48" t="n">
        <v>13</v>
      </c>
      <c r="C1137" s="48" t="n">
        <v>0</v>
      </c>
      <c r="D1137" s="48" t="n">
        <v>0</v>
      </c>
      <c r="E1137" s="48" t="s">
        <v>112</v>
      </c>
      <c r="F1137" s="48" t="s">
        <v>70</v>
      </c>
      <c r="G1137" s="48" t="s">
        <v>592</v>
      </c>
      <c r="H1137" s="82" t="n">
        <f aca="false">DATE(YEAR(A1137),MONTH(A1137),1)</f>
        <v>43922</v>
      </c>
    </row>
    <row r="1138" customFormat="false" ht="15" hidden="false" customHeight="false" outlineLevel="0" collapsed="false">
      <c r="A1138" s="81" t="n">
        <v>43950</v>
      </c>
      <c r="B1138" s="48" t="n">
        <v>13</v>
      </c>
      <c r="C1138" s="48" t="n">
        <v>0</v>
      </c>
      <c r="D1138" s="48" t="n">
        <v>0</v>
      </c>
      <c r="E1138" s="48" t="s">
        <v>112</v>
      </c>
      <c r="F1138" s="48" t="s">
        <v>70</v>
      </c>
      <c r="G1138" s="48" t="s">
        <v>104</v>
      </c>
      <c r="H1138" s="82" t="n">
        <f aca="false">DATE(YEAR(A1138),MONTH(A1138),1)</f>
        <v>43922</v>
      </c>
    </row>
    <row r="1139" customFormat="false" ht="15" hidden="false" customHeight="false" outlineLevel="0" collapsed="false">
      <c r="A1139" s="81" t="n">
        <v>43950</v>
      </c>
      <c r="B1139" s="48" t="n">
        <v>1</v>
      </c>
      <c r="C1139" s="48" t="n">
        <v>0</v>
      </c>
      <c r="D1139" s="48" t="n">
        <v>0</v>
      </c>
      <c r="E1139" s="48" t="s">
        <v>112</v>
      </c>
      <c r="F1139" s="48" t="s">
        <v>70</v>
      </c>
      <c r="G1139" s="48" t="s">
        <v>635</v>
      </c>
      <c r="H1139" s="82" t="n">
        <f aca="false">DATE(YEAR(A1139),MONTH(A1139),1)</f>
        <v>43922</v>
      </c>
    </row>
    <row r="1140" customFormat="false" ht="15" hidden="false" customHeight="false" outlineLevel="0" collapsed="false">
      <c r="A1140" s="81" t="n">
        <v>43950</v>
      </c>
      <c r="B1140" s="48" t="n">
        <v>7</v>
      </c>
      <c r="C1140" s="48" t="n">
        <v>0</v>
      </c>
      <c r="D1140" s="48" t="n">
        <v>0</v>
      </c>
      <c r="E1140" s="48" t="s">
        <v>112</v>
      </c>
      <c r="F1140" s="48" t="s">
        <v>70</v>
      </c>
      <c r="G1140" s="48" t="s">
        <v>601</v>
      </c>
      <c r="H1140" s="82" t="n">
        <f aca="false">DATE(YEAR(A1140),MONTH(A1140),1)</f>
        <v>43922</v>
      </c>
    </row>
    <row r="1141" customFormat="false" ht="15" hidden="false" customHeight="false" outlineLevel="0" collapsed="false">
      <c r="A1141" s="81" t="n">
        <v>43951</v>
      </c>
      <c r="B1141" s="48" t="n">
        <v>1</v>
      </c>
      <c r="C1141" s="48" t="n">
        <v>0</v>
      </c>
      <c r="D1141" s="48" t="n">
        <v>0</v>
      </c>
      <c r="E1141" s="48" t="s">
        <v>112</v>
      </c>
      <c r="F1141" s="48" t="s">
        <v>76</v>
      </c>
      <c r="G1141" s="48" t="s">
        <v>595</v>
      </c>
      <c r="H1141" s="82" t="n">
        <f aca="false">DATE(YEAR(A1141),MONTH(A1141),1)</f>
        <v>43922</v>
      </c>
    </row>
    <row r="1142" customFormat="false" ht="15" hidden="false" customHeight="false" outlineLevel="0" collapsed="false">
      <c r="A1142" s="81" t="n">
        <v>43951</v>
      </c>
      <c r="B1142" s="48" t="n">
        <v>75</v>
      </c>
      <c r="C1142" s="48" t="n">
        <v>0</v>
      </c>
      <c r="D1142" s="48" t="n">
        <v>0</v>
      </c>
      <c r="E1142" s="48" t="s">
        <v>112</v>
      </c>
      <c r="F1142" s="48" t="s">
        <v>73</v>
      </c>
      <c r="G1142" s="48" t="s">
        <v>93</v>
      </c>
      <c r="H1142" s="82" t="n">
        <f aca="false">DATE(YEAR(A1142),MONTH(A1142),1)</f>
        <v>43922</v>
      </c>
    </row>
    <row r="1143" customFormat="false" ht="15" hidden="false" customHeight="false" outlineLevel="0" collapsed="false">
      <c r="A1143" s="81" t="n">
        <v>43951</v>
      </c>
      <c r="B1143" s="48" t="n">
        <v>6</v>
      </c>
      <c r="C1143" s="48" t="n">
        <v>0</v>
      </c>
      <c r="D1143" s="48" t="n">
        <v>0</v>
      </c>
      <c r="E1143" s="48" t="s">
        <v>112</v>
      </c>
      <c r="F1143" s="48" t="s">
        <v>75</v>
      </c>
      <c r="G1143" s="48" t="s">
        <v>103</v>
      </c>
      <c r="H1143" s="82" t="n">
        <f aca="false">DATE(YEAR(A1143),MONTH(A1143),1)</f>
        <v>43922</v>
      </c>
    </row>
    <row r="1144" customFormat="false" ht="15" hidden="false" customHeight="false" outlineLevel="0" collapsed="false">
      <c r="A1144" s="81" t="n">
        <v>43951</v>
      </c>
      <c r="B1144" s="48" t="n">
        <v>16</v>
      </c>
      <c r="C1144" s="48" t="n">
        <v>0</v>
      </c>
      <c r="D1144" s="48" t="n">
        <v>0</v>
      </c>
      <c r="E1144" s="48" t="s">
        <v>112</v>
      </c>
      <c r="F1144" s="48" t="s">
        <v>74</v>
      </c>
      <c r="G1144" s="48" t="s">
        <v>95</v>
      </c>
      <c r="H1144" s="82" t="n">
        <f aca="false">DATE(YEAR(A1144),MONTH(A1144),1)</f>
        <v>43922</v>
      </c>
    </row>
    <row r="1145" customFormat="false" ht="15" hidden="false" customHeight="false" outlineLevel="0" collapsed="false">
      <c r="A1145" s="81" t="n">
        <v>43951</v>
      </c>
      <c r="B1145" s="48" t="n">
        <v>279</v>
      </c>
      <c r="C1145" s="48" t="n">
        <v>3</v>
      </c>
      <c r="D1145" s="48" t="n">
        <v>0</v>
      </c>
      <c r="E1145" s="48" t="s">
        <v>112</v>
      </c>
      <c r="F1145" s="48" t="s">
        <v>71</v>
      </c>
      <c r="G1145" s="48" t="s">
        <v>92</v>
      </c>
      <c r="H1145" s="82" t="n">
        <f aca="false">DATE(YEAR(A1145),MONTH(A1145),1)</f>
        <v>43922</v>
      </c>
    </row>
    <row r="1146" customFormat="false" ht="15" hidden="false" customHeight="false" outlineLevel="0" collapsed="false">
      <c r="A1146" s="81" t="n">
        <v>43951</v>
      </c>
      <c r="B1146" s="48" t="n">
        <v>229</v>
      </c>
      <c r="C1146" s="48" t="n">
        <v>12</v>
      </c>
      <c r="D1146" s="48" t="n">
        <v>0</v>
      </c>
      <c r="E1146" s="48" t="s">
        <v>112</v>
      </c>
      <c r="F1146" s="48" t="s">
        <v>70</v>
      </c>
      <c r="G1146" s="48" t="s">
        <v>91</v>
      </c>
      <c r="H1146" s="82" t="n">
        <f aca="false">DATE(YEAR(A1146),MONTH(A1146),1)</f>
        <v>43922</v>
      </c>
    </row>
    <row r="1147" customFormat="false" ht="15" hidden="false" customHeight="false" outlineLevel="0" collapsed="false">
      <c r="A1147" s="81" t="n">
        <v>43951</v>
      </c>
      <c r="B1147" s="48" t="n">
        <v>5</v>
      </c>
      <c r="C1147" s="48" t="n">
        <v>0</v>
      </c>
      <c r="D1147" s="48" t="n">
        <v>0</v>
      </c>
      <c r="E1147" s="48" t="s">
        <v>112</v>
      </c>
      <c r="F1147" s="48" t="s">
        <v>70</v>
      </c>
      <c r="G1147" s="48" t="s">
        <v>99</v>
      </c>
      <c r="H1147" s="82" t="n">
        <f aca="false">DATE(YEAR(A1147),MONTH(A1147),1)</f>
        <v>43922</v>
      </c>
    </row>
    <row r="1148" customFormat="false" ht="15" hidden="false" customHeight="false" outlineLevel="0" collapsed="false">
      <c r="A1148" s="81" t="n">
        <v>43951</v>
      </c>
      <c r="B1148" s="48" t="n">
        <v>1</v>
      </c>
      <c r="C1148" s="48" t="n">
        <v>0</v>
      </c>
      <c r="D1148" s="48" t="n">
        <v>0</v>
      </c>
      <c r="E1148" s="48" t="s">
        <v>112</v>
      </c>
      <c r="F1148" s="48" t="s">
        <v>70</v>
      </c>
      <c r="G1148" s="48" t="s">
        <v>619</v>
      </c>
      <c r="H1148" s="82" t="n">
        <f aca="false">DATE(YEAR(A1148),MONTH(A1148),1)</f>
        <v>43922</v>
      </c>
    </row>
    <row r="1149" customFormat="false" ht="15" hidden="false" customHeight="false" outlineLevel="0" collapsed="false">
      <c r="A1149" s="81" t="n">
        <v>43951</v>
      </c>
      <c r="B1149" s="48" t="n">
        <v>1</v>
      </c>
      <c r="C1149" s="48" t="n">
        <v>0</v>
      </c>
      <c r="D1149" s="48" t="n">
        <v>0</v>
      </c>
      <c r="E1149" s="48" t="s">
        <v>112</v>
      </c>
      <c r="F1149" s="48" t="s">
        <v>70</v>
      </c>
      <c r="G1149" s="48" t="s">
        <v>637</v>
      </c>
      <c r="H1149" s="82" t="n">
        <f aca="false">DATE(YEAR(A1149),MONTH(A1149),1)</f>
        <v>43922</v>
      </c>
    </row>
    <row r="1150" customFormat="false" ht="15" hidden="false" customHeight="false" outlineLevel="0" collapsed="false">
      <c r="A1150" s="81" t="n">
        <v>43951</v>
      </c>
      <c r="B1150" s="48" t="n">
        <v>1</v>
      </c>
      <c r="C1150" s="48" t="n">
        <v>0</v>
      </c>
      <c r="D1150" s="48" t="n">
        <v>0</v>
      </c>
      <c r="E1150" s="48" t="s">
        <v>112</v>
      </c>
      <c r="F1150" s="48" t="s">
        <v>70</v>
      </c>
      <c r="G1150" s="48" t="s">
        <v>641</v>
      </c>
      <c r="H1150" s="82" t="n">
        <f aca="false">DATE(YEAR(A1150),MONTH(A1150),1)</f>
        <v>43922</v>
      </c>
    </row>
    <row r="1151" customFormat="false" ht="15" hidden="false" customHeight="false" outlineLevel="0" collapsed="false">
      <c r="A1151" s="81" t="n">
        <v>43951</v>
      </c>
      <c r="B1151" s="48" t="n">
        <v>4</v>
      </c>
      <c r="C1151" s="48" t="n">
        <v>0</v>
      </c>
      <c r="D1151" s="48" t="n">
        <v>0</v>
      </c>
      <c r="E1151" s="48" t="s">
        <v>112</v>
      </c>
      <c r="F1151" s="48" t="s">
        <v>70</v>
      </c>
      <c r="G1151" s="48" t="s">
        <v>630</v>
      </c>
      <c r="H1151" s="82" t="n">
        <f aca="false">DATE(YEAR(A1151),MONTH(A1151),1)</f>
        <v>43922</v>
      </c>
    </row>
    <row r="1152" customFormat="false" ht="15" hidden="false" customHeight="false" outlineLevel="0" collapsed="false">
      <c r="A1152" s="81" t="n">
        <v>43951</v>
      </c>
      <c r="B1152" s="48" t="n">
        <v>3</v>
      </c>
      <c r="C1152" s="48" t="n">
        <v>0</v>
      </c>
      <c r="D1152" s="48" t="n">
        <v>0</v>
      </c>
      <c r="E1152" s="48" t="s">
        <v>112</v>
      </c>
      <c r="F1152" s="48" t="s">
        <v>70</v>
      </c>
      <c r="G1152" s="48" t="s">
        <v>98</v>
      </c>
      <c r="H1152" s="82" t="n">
        <f aca="false">DATE(YEAR(A1152),MONTH(A1152),1)</f>
        <v>43922</v>
      </c>
    </row>
    <row r="1153" customFormat="false" ht="15" hidden="false" customHeight="false" outlineLevel="0" collapsed="false">
      <c r="A1153" s="81" t="n">
        <v>43951</v>
      </c>
      <c r="B1153" s="48" t="n">
        <v>6</v>
      </c>
      <c r="C1153" s="48" t="n">
        <v>0</v>
      </c>
      <c r="D1153" s="48" t="n">
        <v>0</v>
      </c>
      <c r="E1153" s="48" t="s">
        <v>112</v>
      </c>
      <c r="F1153" s="48" t="s">
        <v>70</v>
      </c>
      <c r="G1153" s="48" t="s">
        <v>635</v>
      </c>
      <c r="H1153" s="82" t="n">
        <f aca="false">DATE(YEAR(A1153),MONTH(A1153),1)</f>
        <v>43922</v>
      </c>
    </row>
    <row r="1154" customFormat="false" ht="15" hidden="false" customHeight="false" outlineLevel="0" collapsed="false">
      <c r="A1154" s="81" t="n">
        <v>43951</v>
      </c>
      <c r="B1154" s="48" t="n">
        <v>1</v>
      </c>
      <c r="C1154" s="48" t="n">
        <v>0</v>
      </c>
      <c r="D1154" s="48" t="n">
        <v>0</v>
      </c>
      <c r="E1154" s="48" t="s">
        <v>112</v>
      </c>
      <c r="F1154" s="48" t="s">
        <v>70</v>
      </c>
      <c r="G1154" s="48" t="s">
        <v>663</v>
      </c>
      <c r="H1154" s="82" t="n">
        <f aca="false">DATE(YEAR(A1154),MONTH(A1154),1)</f>
        <v>43922</v>
      </c>
    </row>
    <row r="1155" customFormat="false" ht="15" hidden="false" customHeight="false" outlineLevel="0" collapsed="false">
      <c r="A1155" s="81" t="n">
        <v>43951</v>
      </c>
      <c r="B1155" s="48" t="n">
        <v>1</v>
      </c>
      <c r="C1155" s="48" t="n">
        <v>0</v>
      </c>
      <c r="D1155" s="48" t="n">
        <v>0</v>
      </c>
      <c r="E1155" s="48" t="s">
        <v>112</v>
      </c>
      <c r="F1155" s="48" t="s">
        <v>70</v>
      </c>
      <c r="G1155" s="48" t="s">
        <v>639</v>
      </c>
      <c r="H1155" s="82" t="n">
        <f aca="false">DATE(YEAR(A1155),MONTH(A1155),1)</f>
        <v>43922</v>
      </c>
    </row>
    <row r="1156" customFormat="false" ht="15" hidden="false" customHeight="false" outlineLevel="0" collapsed="false">
      <c r="A1156" s="81" t="n">
        <v>43951</v>
      </c>
      <c r="B1156" s="48" t="n">
        <v>34</v>
      </c>
      <c r="C1156" s="48" t="n">
        <v>0</v>
      </c>
      <c r="D1156" s="48" t="n">
        <v>0</v>
      </c>
      <c r="E1156" s="48" t="s">
        <v>112</v>
      </c>
      <c r="F1156" s="48" t="s">
        <v>70</v>
      </c>
      <c r="G1156" s="48" t="s">
        <v>601</v>
      </c>
      <c r="H1156" s="82" t="n">
        <f aca="false">DATE(YEAR(A1156),MONTH(A1156),1)</f>
        <v>43922</v>
      </c>
    </row>
    <row r="1157" customFormat="false" ht="15" hidden="false" customHeight="false" outlineLevel="0" collapsed="false">
      <c r="A1157" s="81" t="n">
        <v>43951</v>
      </c>
      <c r="B1157" s="48" t="n">
        <v>2</v>
      </c>
      <c r="C1157" s="48" t="n">
        <v>0</v>
      </c>
      <c r="D1157" s="48" t="n">
        <v>0</v>
      </c>
      <c r="E1157" s="48" t="s">
        <v>112</v>
      </c>
      <c r="F1157" s="48" t="s">
        <v>70</v>
      </c>
      <c r="G1157" s="48" t="s">
        <v>623</v>
      </c>
      <c r="H1157" s="82" t="n">
        <f aca="false">DATE(YEAR(A1157),MONTH(A1157),1)</f>
        <v>43922</v>
      </c>
    </row>
    <row r="1158" customFormat="false" ht="15" hidden="false" customHeight="false" outlineLevel="0" collapsed="false">
      <c r="A1158" s="81" t="n">
        <v>43952</v>
      </c>
      <c r="B1158" s="48" t="n">
        <v>86</v>
      </c>
      <c r="C1158" s="48" t="n">
        <v>2</v>
      </c>
      <c r="D1158" s="48" t="n">
        <v>0</v>
      </c>
      <c r="E1158" s="48" t="s">
        <v>112</v>
      </c>
      <c r="F1158" s="48" t="s">
        <v>73</v>
      </c>
      <c r="G1158" s="48" t="s">
        <v>93</v>
      </c>
      <c r="H1158" s="82" t="n">
        <f aca="false">DATE(YEAR(A1158),MONTH(A1158),1)</f>
        <v>43952</v>
      </c>
    </row>
    <row r="1159" customFormat="false" ht="15" hidden="false" customHeight="false" outlineLevel="0" collapsed="false">
      <c r="A1159" s="81" t="n">
        <v>43952</v>
      </c>
      <c r="B1159" s="48" t="n">
        <v>1</v>
      </c>
      <c r="C1159" s="48" t="n">
        <v>0</v>
      </c>
      <c r="D1159" s="48" t="n">
        <v>0</v>
      </c>
      <c r="E1159" s="48" t="s">
        <v>112</v>
      </c>
      <c r="F1159" s="48" t="s">
        <v>73</v>
      </c>
      <c r="G1159" s="48" t="s">
        <v>681</v>
      </c>
      <c r="H1159" s="82" t="n">
        <f aca="false">DATE(YEAR(A1159),MONTH(A1159),1)</f>
        <v>43952</v>
      </c>
    </row>
    <row r="1160" customFormat="false" ht="15" hidden="false" customHeight="false" outlineLevel="0" collapsed="false">
      <c r="A1160" s="81" t="n">
        <v>43952</v>
      </c>
      <c r="B1160" s="48" t="n">
        <v>1</v>
      </c>
      <c r="C1160" s="48" t="n">
        <v>0</v>
      </c>
      <c r="D1160" s="48" t="n">
        <v>5</v>
      </c>
      <c r="E1160" s="48" t="s">
        <v>112</v>
      </c>
      <c r="F1160" s="48" t="s">
        <v>75</v>
      </c>
      <c r="G1160" s="48" t="s">
        <v>103</v>
      </c>
      <c r="H1160" s="82" t="n">
        <f aca="false">DATE(YEAR(A1160),MONTH(A1160),1)</f>
        <v>43952</v>
      </c>
    </row>
    <row r="1161" customFormat="false" ht="15" hidden="false" customHeight="false" outlineLevel="0" collapsed="false">
      <c r="A1161" s="81" t="n">
        <v>43952</v>
      </c>
      <c r="B1161" s="48" t="n">
        <v>0</v>
      </c>
      <c r="C1161" s="48" t="n">
        <v>0</v>
      </c>
      <c r="D1161" s="48" t="n">
        <v>1</v>
      </c>
      <c r="E1161" s="48" t="s">
        <v>112</v>
      </c>
      <c r="F1161" s="48" t="s">
        <v>75</v>
      </c>
      <c r="G1161" s="48" t="s">
        <v>103</v>
      </c>
      <c r="H1161" s="82" t="n">
        <f aca="false">DATE(YEAR(A1161),MONTH(A1161),1)</f>
        <v>43952</v>
      </c>
    </row>
    <row r="1162" customFormat="false" ht="15" hidden="false" customHeight="false" outlineLevel="0" collapsed="false">
      <c r="A1162" s="81" t="n">
        <v>43952</v>
      </c>
      <c r="B1162" s="48" t="n">
        <v>30</v>
      </c>
      <c r="C1162" s="48" t="n">
        <v>0</v>
      </c>
      <c r="D1162" s="48" t="n">
        <v>0</v>
      </c>
      <c r="E1162" s="48" t="s">
        <v>112</v>
      </c>
      <c r="F1162" s="48" t="s">
        <v>74</v>
      </c>
      <c r="G1162" s="48" t="s">
        <v>95</v>
      </c>
      <c r="H1162" s="82" t="n">
        <f aca="false">DATE(YEAR(A1162),MONTH(A1162),1)</f>
        <v>43952</v>
      </c>
    </row>
    <row r="1163" customFormat="false" ht="15" hidden="false" customHeight="false" outlineLevel="0" collapsed="false">
      <c r="A1163" s="81" t="n">
        <v>43952</v>
      </c>
      <c r="B1163" s="48" t="n">
        <v>248</v>
      </c>
      <c r="C1163" s="48" t="n">
        <v>15</v>
      </c>
      <c r="D1163" s="48" t="n">
        <v>40</v>
      </c>
      <c r="E1163" s="48" t="s">
        <v>112</v>
      </c>
      <c r="F1163" s="48" t="s">
        <v>72</v>
      </c>
      <c r="G1163" s="48" t="s">
        <v>94</v>
      </c>
      <c r="H1163" s="82" t="n">
        <f aca="false">DATE(YEAR(A1163),MONTH(A1163),1)</f>
        <v>43952</v>
      </c>
    </row>
    <row r="1164" customFormat="false" ht="15" hidden="false" customHeight="false" outlineLevel="0" collapsed="false">
      <c r="A1164" s="81" t="n">
        <v>43952</v>
      </c>
      <c r="B1164" s="48" t="n">
        <v>3</v>
      </c>
      <c r="C1164" s="48" t="n">
        <v>0</v>
      </c>
      <c r="D1164" s="48" t="n">
        <v>0</v>
      </c>
      <c r="E1164" s="48" t="s">
        <v>112</v>
      </c>
      <c r="F1164" s="48" t="s">
        <v>72</v>
      </c>
      <c r="G1164" s="48" t="s">
        <v>597</v>
      </c>
      <c r="H1164" s="82" t="n">
        <f aca="false">DATE(YEAR(A1164),MONTH(A1164),1)</f>
        <v>43952</v>
      </c>
    </row>
    <row r="1165" customFormat="false" ht="15" hidden="false" customHeight="false" outlineLevel="0" collapsed="false">
      <c r="A1165" s="81" t="n">
        <v>43952</v>
      </c>
      <c r="B1165" s="48" t="n">
        <v>5</v>
      </c>
      <c r="C1165" s="48" t="n">
        <v>0</v>
      </c>
      <c r="D1165" s="48" t="n">
        <v>0</v>
      </c>
      <c r="E1165" s="48" t="s">
        <v>112</v>
      </c>
      <c r="F1165" s="48" t="s">
        <v>72</v>
      </c>
      <c r="G1165" s="48" t="s">
        <v>594</v>
      </c>
      <c r="H1165" s="82" t="n">
        <f aca="false">DATE(YEAR(A1165),MONTH(A1165),1)</f>
        <v>43952</v>
      </c>
    </row>
    <row r="1166" customFormat="false" ht="15" hidden="false" customHeight="false" outlineLevel="0" collapsed="false">
      <c r="A1166" s="81" t="n">
        <v>43952</v>
      </c>
      <c r="B1166" s="48" t="n">
        <v>0</v>
      </c>
      <c r="C1166" s="48" t="n">
        <v>0</v>
      </c>
      <c r="D1166" s="48" t="n">
        <v>0</v>
      </c>
      <c r="E1166" s="48" t="s">
        <v>112</v>
      </c>
      <c r="F1166" s="48" t="s">
        <v>72</v>
      </c>
      <c r="G1166" s="48" t="s">
        <v>599</v>
      </c>
      <c r="H1166" s="82" t="n">
        <f aca="false">DATE(YEAR(A1166),MONTH(A1166),1)</f>
        <v>43952</v>
      </c>
    </row>
    <row r="1167" customFormat="false" ht="15" hidden="false" customHeight="false" outlineLevel="0" collapsed="false">
      <c r="A1167" s="81" t="n">
        <v>43952</v>
      </c>
      <c r="B1167" s="48" t="n">
        <v>0</v>
      </c>
      <c r="C1167" s="48" t="n">
        <v>0</v>
      </c>
      <c r="D1167" s="48" t="n">
        <v>0</v>
      </c>
      <c r="E1167" s="48" t="s">
        <v>112</v>
      </c>
      <c r="F1167" s="48" t="s">
        <v>72</v>
      </c>
      <c r="G1167" s="48" t="s">
        <v>656</v>
      </c>
      <c r="H1167" s="82" t="n">
        <f aca="false">DATE(YEAR(A1167),MONTH(A1167),1)</f>
        <v>43952</v>
      </c>
    </row>
    <row r="1168" customFormat="false" ht="15" hidden="false" customHeight="false" outlineLevel="0" collapsed="false">
      <c r="A1168" s="81" t="n">
        <v>43952</v>
      </c>
      <c r="B1168" s="48" t="n">
        <v>1</v>
      </c>
      <c r="C1168" s="48" t="n">
        <v>0</v>
      </c>
      <c r="D1168" s="48" t="n">
        <v>0</v>
      </c>
      <c r="E1168" s="48" t="s">
        <v>112</v>
      </c>
      <c r="F1168" s="48" t="s">
        <v>72</v>
      </c>
      <c r="G1168" s="48" t="s">
        <v>102</v>
      </c>
      <c r="H1168" s="82" t="n">
        <f aca="false">DATE(YEAR(A1168),MONTH(A1168),1)</f>
        <v>43952</v>
      </c>
    </row>
    <row r="1169" customFormat="false" ht="15" hidden="false" customHeight="false" outlineLevel="0" collapsed="false">
      <c r="A1169" s="81" t="n">
        <v>43952</v>
      </c>
      <c r="B1169" s="48" t="n">
        <v>2</v>
      </c>
      <c r="C1169" s="48" t="n">
        <v>0</v>
      </c>
      <c r="D1169" s="48" t="n">
        <v>0</v>
      </c>
      <c r="E1169" s="48" t="s">
        <v>112</v>
      </c>
      <c r="F1169" s="48" t="s">
        <v>72</v>
      </c>
      <c r="G1169" s="48" t="s">
        <v>611</v>
      </c>
      <c r="H1169" s="82" t="n">
        <f aca="false">DATE(YEAR(A1169),MONTH(A1169),1)</f>
        <v>43952</v>
      </c>
    </row>
    <row r="1170" customFormat="false" ht="15" hidden="false" customHeight="false" outlineLevel="0" collapsed="false">
      <c r="A1170" s="81" t="n">
        <v>43952</v>
      </c>
      <c r="B1170" s="48" t="n">
        <v>17</v>
      </c>
      <c r="C1170" s="48" t="n">
        <v>0</v>
      </c>
      <c r="D1170" s="48" t="n">
        <v>0</v>
      </c>
      <c r="E1170" s="48" t="s">
        <v>112</v>
      </c>
      <c r="F1170" s="48" t="s">
        <v>72</v>
      </c>
      <c r="G1170" s="48" t="s">
        <v>96</v>
      </c>
      <c r="H1170" s="82" t="n">
        <f aca="false">DATE(YEAR(A1170),MONTH(A1170),1)</f>
        <v>43952</v>
      </c>
    </row>
    <row r="1171" customFormat="false" ht="15" hidden="false" customHeight="false" outlineLevel="0" collapsed="false">
      <c r="A1171" s="81" t="n">
        <v>43952</v>
      </c>
      <c r="B1171" s="48" t="n">
        <v>1</v>
      </c>
      <c r="C1171" s="48" t="n">
        <v>0</v>
      </c>
      <c r="D1171" s="48" t="n">
        <v>0</v>
      </c>
      <c r="E1171" s="48" t="s">
        <v>112</v>
      </c>
      <c r="F1171" s="48" t="s">
        <v>72</v>
      </c>
      <c r="G1171" s="48" t="s">
        <v>603</v>
      </c>
      <c r="H1171" s="82" t="n">
        <f aca="false">DATE(YEAR(A1171),MONTH(A1171),1)</f>
        <v>43952</v>
      </c>
    </row>
    <row r="1172" customFormat="false" ht="15" hidden="false" customHeight="false" outlineLevel="0" collapsed="false">
      <c r="A1172" s="81" t="n">
        <v>43952</v>
      </c>
      <c r="B1172" s="48" t="n">
        <v>6</v>
      </c>
      <c r="C1172" s="48" t="n">
        <v>0</v>
      </c>
      <c r="D1172" s="48" t="n">
        <v>0</v>
      </c>
      <c r="E1172" s="48" t="s">
        <v>112</v>
      </c>
      <c r="F1172" s="48" t="s">
        <v>72</v>
      </c>
      <c r="G1172" s="48" t="s">
        <v>591</v>
      </c>
      <c r="H1172" s="82" t="n">
        <f aca="false">DATE(YEAR(A1172),MONTH(A1172),1)</f>
        <v>43952</v>
      </c>
    </row>
    <row r="1173" customFormat="false" ht="15" hidden="false" customHeight="false" outlineLevel="0" collapsed="false">
      <c r="A1173" s="81" t="n">
        <v>43952</v>
      </c>
      <c r="B1173" s="48" t="n">
        <v>0</v>
      </c>
      <c r="C1173" s="48" t="n">
        <v>0</v>
      </c>
      <c r="D1173" s="48" t="n">
        <v>0</v>
      </c>
      <c r="E1173" s="48" t="s">
        <v>112</v>
      </c>
      <c r="F1173" s="48" t="s">
        <v>72</v>
      </c>
      <c r="G1173" s="48" t="s">
        <v>598</v>
      </c>
      <c r="H1173" s="82" t="n">
        <f aca="false">DATE(YEAR(A1173),MONTH(A1173),1)</f>
        <v>43952</v>
      </c>
    </row>
    <row r="1174" customFormat="false" ht="15" hidden="false" customHeight="false" outlineLevel="0" collapsed="false">
      <c r="A1174" s="81" t="n">
        <v>43952</v>
      </c>
      <c r="B1174" s="48" t="n">
        <v>3</v>
      </c>
      <c r="C1174" s="48" t="n">
        <v>0</v>
      </c>
      <c r="D1174" s="48" t="n">
        <v>0</v>
      </c>
      <c r="E1174" s="48" t="s">
        <v>112</v>
      </c>
      <c r="F1174" s="48" t="s">
        <v>72</v>
      </c>
      <c r="G1174" s="48" t="s">
        <v>609</v>
      </c>
      <c r="H1174" s="82" t="n">
        <f aca="false">DATE(YEAR(A1174),MONTH(A1174),1)</f>
        <v>43952</v>
      </c>
    </row>
    <row r="1175" customFormat="false" ht="15" hidden="false" customHeight="false" outlineLevel="0" collapsed="false">
      <c r="A1175" s="81" t="n">
        <v>43952</v>
      </c>
      <c r="B1175" s="48" t="n">
        <v>16</v>
      </c>
      <c r="C1175" s="48" t="n">
        <v>0</v>
      </c>
      <c r="D1175" s="48" t="n">
        <v>0</v>
      </c>
      <c r="E1175" s="48" t="s">
        <v>112</v>
      </c>
      <c r="F1175" s="48" t="s">
        <v>72</v>
      </c>
      <c r="G1175" s="48" t="s">
        <v>101</v>
      </c>
      <c r="H1175" s="82" t="n">
        <f aca="false">DATE(YEAR(A1175),MONTH(A1175),1)</f>
        <v>43952</v>
      </c>
    </row>
    <row r="1176" customFormat="false" ht="15" hidden="false" customHeight="false" outlineLevel="0" collapsed="false">
      <c r="A1176" s="81" t="n">
        <v>43952</v>
      </c>
      <c r="B1176" s="48" t="n">
        <v>2</v>
      </c>
      <c r="C1176" s="48" t="n">
        <v>0</v>
      </c>
      <c r="D1176" s="48" t="n">
        <v>0</v>
      </c>
      <c r="E1176" s="48" t="s">
        <v>112</v>
      </c>
      <c r="F1176" s="48" t="s">
        <v>72</v>
      </c>
      <c r="G1176" s="48" t="s">
        <v>643</v>
      </c>
      <c r="H1176" s="82" t="n">
        <f aca="false">DATE(YEAR(A1176),MONTH(A1176),1)</f>
        <v>43952</v>
      </c>
    </row>
    <row r="1177" customFormat="false" ht="15" hidden="false" customHeight="false" outlineLevel="0" collapsed="false">
      <c r="A1177" s="81" t="n">
        <v>43952</v>
      </c>
      <c r="B1177" s="48" t="n">
        <v>0</v>
      </c>
      <c r="C1177" s="48" t="n">
        <v>0</v>
      </c>
      <c r="D1177" s="48" t="n">
        <v>0</v>
      </c>
      <c r="E1177" s="48" t="s">
        <v>112</v>
      </c>
      <c r="F1177" s="48" t="s">
        <v>72</v>
      </c>
      <c r="G1177" s="48" t="s">
        <v>691</v>
      </c>
      <c r="H1177" s="82" t="n">
        <f aca="false">DATE(YEAR(A1177),MONTH(A1177),1)</f>
        <v>43952</v>
      </c>
    </row>
    <row r="1178" customFormat="false" ht="15" hidden="false" customHeight="false" outlineLevel="0" collapsed="false">
      <c r="A1178" s="81" t="n">
        <v>43952</v>
      </c>
      <c r="B1178" s="48" t="n">
        <v>0</v>
      </c>
      <c r="C1178" s="48" t="n">
        <v>0</v>
      </c>
      <c r="D1178" s="48" t="n">
        <v>0</v>
      </c>
      <c r="E1178" s="48" t="s">
        <v>112</v>
      </c>
      <c r="F1178" s="48" t="s">
        <v>72</v>
      </c>
      <c r="G1178" s="48" t="s">
        <v>600</v>
      </c>
      <c r="H1178" s="82" t="n">
        <f aca="false">DATE(YEAR(A1178),MONTH(A1178),1)</f>
        <v>43952</v>
      </c>
    </row>
    <row r="1179" customFormat="false" ht="15" hidden="false" customHeight="false" outlineLevel="0" collapsed="false">
      <c r="A1179" s="81" t="n">
        <v>43952</v>
      </c>
      <c r="B1179" s="48" t="n">
        <v>1</v>
      </c>
      <c r="C1179" s="48" t="n">
        <v>0</v>
      </c>
      <c r="D1179" s="48" t="n">
        <v>0</v>
      </c>
      <c r="E1179" s="48" t="s">
        <v>112</v>
      </c>
      <c r="F1179" s="48" t="s">
        <v>72</v>
      </c>
      <c r="G1179" s="48" t="s">
        <v>610</v>
      </c>
      <c r="H1179" s="82" t="n">
        <f aca="false">DATE(YEAR(A1179),MONTH(A1179),1)</f>
        <v>43952</v>
      </c>
    </row>
    <row r="1180" customFormat="false" ht="15" hidden="false" customHeight="false" outlineLevel="0" collapsed="false">
      <c r="A1180" s="81" t="n">
        <v>43952</v>
      </c>
      <c r="B1180" s="48" t="n">
        <v>2</v>
      </c>
      <c r="C1180" s="48" t="n">
        <v>0</v>
      </c>
      <c r="D1180" s="48" t="n">
        <v>0</v>
      </c>
      <c r="E1180" s="48" t="s">
        <v>112</v>
      </c>
      <c r="F1180" s="48" t="s">
        <v>72</v>
      </c>
      <c r="G1180" s="48" t="s">
        <v>593</v>
      </c>
      <c r="H1180" s="82" t="n">
        <f aca="false">DATE(YEAR(A1180),MONTH(A1180),1)</f>
        <v>43952</v>
      </c>
    </row>
    <row r="1181" customFormat="false" ht="15" hidden="false" customHeight="false" outlineLevel="0" collapsed="false">
      <c r="A1181" s="81" t="n">
        <v>43952</v>
      </c>
      <c r="B1181" s="48" t="n">
        <v>0</v>
      </c>
      <c r="C1181" s="48" t="n">
        <v>0</v>
      </c>
      <c r="D1181" s="48" t="n">
        <v>0</v>
      </c>
      <c r="E1181" s="48" t="s">
        <v>112</v>
      </c>
      <c r="F1181" s="48" t="s">
        <v>72</v>
      </c>
      <c r="G1181" s="48" t="s">
        <v>612</v>
      </c>
      <c r="H1181" s="82" t="n">
        <f aca="false">DATE(YEAR(A1181),MONTH(A1181),1)</f>
        <v>43952</v>
      </c>
    </row>
    <row r="1182" customFormat="false" ht="15" hidden="false" customHeight="false" outlineLevel="0" collapsed="false">
      <c r="A1182" s="81" t="n">
        <v>43952</v>
      </c>
      <c r="B1182" s="48" t="n">
        <v>0</v>
      </c>
      <c r="C1182" s="48" t="n">
        <v>0</v>
      </c>
      <c r="D1182" s="48" t="n">
        <v>0</v>
      </c>
      <c r="E1182" s="48" t="s">
        <v>112</v>
      </c>
      <c r="F1182" s="48" t="s">
        <v>72</v>
      </c>
      <c r="G1182" s="48" t="s">
        <v>685</v>
      </c>
      <c r="H1182" s="82" t="n">
        <f aca="false">DATE(YEAR(A1182),MONTH(A1182),1)</f>
        <v>43952</v>
      </c>
    </row>
    <row r="1183" customFormat="false" ht="15" hidden="false" customHeight="false" outlineLevel="0" collapsed="false">
      <c r="A1183" s="81" t="n">
        <v>43952</v>
      </c>
      <c r="B1183" s="48" t="n">
        <v>0</v>
      </c>
      <c r="C1183" s="48" t="n">
        <v>0</v>
      </c>
      <c r="D1183" s="48" t="n">
        <v>0</v>
      </c>
      <c r="E1183" s="48" t="s">
        <v>112</v>
      </c>
      <c r="F1183" s="48" t="s">
        <v>72</v>
      </c>
      <c r="G1183" s="48" t="s">
        <v>687</v>
      </c>
      <c r="H1183" s="82" t="n">
        <f aca="false">DATE(YEAR(A1183),MONTH(A1183),1)</f>
        <v>43952</v>
      </c>
    </row>
    <row r="1184" customFormat="false" ht="15" hidden="false" customHeight="false" outlineLevel="0" collapsed="false">
      <c r="A1184" s="81" t="n">
        <v>43952</v>
      </c>
      <c r="B1184" s="48" t="n">
        <v>0</v>
      </c>
      <c r="C1184" s="48" t="n">
        <v>0</v>
      </c>
      <c r="D1184" s="48" t="n">
        <v>0</v>
      </c>
      <c r="E1184" s="48" t="s">
        <v>112</v>
      </c>
      <c r="F1184" s="48" t="s">
        <v>72</v>
      </c>
      <c r="G1184" s="48" t="s">
        <v>682</v>
      </c>
      <c r="H1184" s="82" t="n">
        <f aca="false">DATE(YEAR(A1184),MONTH(A1184),1)</f>
        <v>43952</v>
      </c>
    </row>
    <row r="1185" customFormat="false" ht="15" hidden="false" customHeight="false" outlineLevel="0" collapsed="false">
      <c r="A1185" s="81" t="n">
        <v>43952</v>
      </c>
      <c r="B1185" s="48" t="n">
        <v>0</v>
      </c>
      <c r="C1185" s="48" t="n">
        <v>0</v>
      </c>
      <c r="D1185" s="48" t="n">
        <v>0</v>
      </c>
      <c r="E1185" s="48" t="s">
        <v>112</v>
      </c>
      <c r="F1185" s="48" t="s">
        <v>72</v>
      </c>
      <c r="G1185" s="48" t="s">
        <v>692</v>
      </c>
      <c r="H1185" s="82" t="n">
        <f aca="false">DATE(YEAR(A1185),MONTH(A1185),1)</f>
        <v>43952</v>
      </c>
    </row>
    <row r="1186" customFormat="false" ht="15" hidden="false" customHeight="false" outlineLevel="0" collapsed="false">
      <c r="A1186" s="81" t="n">
        <v>43952</v>
      </c>
      <c r="B1186" s="48" t="n">
        <v>1</v>
      </c>
      <c r="C1186" s="48" t="n">
        <v>0</v>
      </c>
      <c r="D1186" s="48" t="n">
        <v>0</v>
      </c>
      <c r="E1186" s="48" t="s">
        <v>112</v>
      </c>
      <c r="F1186" s="48" t="s">
        <v>72</v>
      </c>
      <c r="G1186" s="48" t="s">
        <v>613</v>
      </c>
      <c r="H1186" s="82" t="n">
        <f aca="false">DATE(YEAR(A1186),MONTH(A1186),1)</f>
        <v>43952</v>
      </c>
    </row>
    <row r="1187" customFormat="false" ht="15" hidden="false" customHeight="false" outlineLevel="0" collapsed="false">
      <c r="A1187" s="81" t="n">
        <v>43952</v>
      </c>
      <c r="B1187" s="48" t="n">
        <v>1</v>
      </c>
      <c r="C1187" s="48" t="n">
        <v>0</v>
      </c>
      <c r="D1187" s="48" t="n">
        <v>0</v>
      </c>
      <c r="E1187" s="48" t="s">
        <v>112</v>
      </c>
      <c r="F1187" s="48" t="s">
        <v>72</v>
      </c>
      <c r="G1187" s="48" t="s">
        <v>614</v>
      </c>
      <c r="H1187" s="82" t="n">
        <f aca="false">DATE(YEAR(A1187),MONTH(A1187),1)</f>
        <v>43952</v>
      </c>
    </row>
    <row r="1188" customFormat="false" ht="15" hidden="false" customHeight="false" outlineLevel="0" collapsed="false">
      <c r="A1188" s="81" t="n">
        <v>43952</v>
      </c>
      <c r="B1188" s="48" t="n">
        <v>0</v>
      </c>
      <c r="C1188" s="48" t="n">
        <v>0</v>
      </c>
      <c r="D1188" s="48" t="n">
        <v>0</v>
      </c>
      <c r="E1188" s="48" t="s">
        <v>112</v>
      </c>
      <c r="F1188" s="48" t="s">
        <v>72</v>
      </c>
      <c r="G1188" s="48" t="s">
        <v>655</v>
      </c>
      <c r="H1188" s="82" t="n">
        <f aca="false">DATE(YEAR(A1188),MONTH(A1188),1)</f>
        <v>43952</v>
      </c>
    </row>
    <row r="1189" customFormat="false" ht="15" hidden="false" customHeight="false" outlineLevel="0" collapsed="false">
      <c r="A1189" s="81" t="n">
        <v>43952</v>
      </c>
      <c r="B1189" s="48" t="n">
        <v>4</v>
      </c>
      <c r="C1189" s="48" t="n">
        <v>0</v>
      </c>
      <c r="D1189" s="48" t="n">
        <v>0</v>
      </c>
      <c r="E1189" s="48" t="s">
        <v>112</v>
      </c>
      <c r="F1189" s="48" t="s">
        <v>72</v>
      </c>
      <c r="G1189" s="48" t="s">
        <v>608</v>
      </c>
      <c r="H1189" s="82" t="n">
        <f aca="false">DATE(YEAR(A1189),MONTH(A1189),1)</f>
        <v>43952</v>
      </c>
    </row>
    <row r="1190" customFormat="false" ht="15" hidden="false" customHeight="false" outlineLevel="0" collapsed="false">
      <c r="A1190" s="81" t="n">
        <v>43952</v>
      </c>
      <c r="B1190" s="48" t="n">
        <v>3</v>
      </c>
      <c r="C1190" s="48" t="n">
        <v>0</v>
      </c>
      <c r="D1190" s="48" t="n">
        <v>0</v>
      </c>
      <c r="E1190" s="48" t="s">
        <v>112</v>
      </c>
      <c r="F1190" s="48" t="s">
        <v>72</v>
      </c>
      <c r="G1190" s="48" t="s">
        <v>615</v>
      </c>
      <c r="H1190" s="82" t="n">
        <f aca="false">DATE(YEAR(A1190),MONTH(A1190),1)</f>
        <v>43952</v>
      </c>
    </row>
    <row r="1191" customFormat="false" ht="15" hidden="false" customHeight="false" outlineLevel="0" collapsed="false">
      <c r="A1191" s="81" t="n">
        <v>43952</v>
      </c>
      <c r="B1191" s="48" t="n">
        <v>0</v>
      </c>
      <c r="C1191" s="48" t="n">
        <v>0</v>
      </c>
      <c r="D1191" s="48" t="n">
        <v>0</v>
      </c>
      <c r="E1191" s="48" t="s">
        <v>112</v>
      </c>
      <c r="F1191" s="48" t="s">
        <v>72</v>
      </c>
      <c r="G1191" s="48" t="s">
        <v>666</v>
      </c>
      <c r="H1191" s="82" t="n">
        <f aca="false">DATE(YEAR(A1191),MONTH(A1191),1)</f>
        <v>43952</v>
      </c>
    </row>
    <row r="1192" customFormat="false" ht="15" hidden="false" customHeight="false" outlineLevel="0" collapsed="false">
      <c r="A1192" s="81" t="n">
        <v>43952</v>
      </c>
      <c r="B1192" s="48" t="n">
        <v>14</v>
      </c>
      <c r="C1192" s="48" t="n">
        <v>0</v>
      </c>
      <c r="D1192" s="48" t="n">
        <v>0</v>
      </c>
      <c r="E1192" s="48" t="s">
        <v>112</v>
      </c>
      <c r="F1192" s="48" t="s">
        <v>72</v>
      </c>
      <c r="G1192" s="48" t="s">
        <v>621</v>
      </c>
      <c r="H1192" s="82" t="n">
        <f aca="false">DATE(YEAR(A1192),MONTH(A1192),1)</f>
        <v>43952</v>
      </c>
    </row>
    <row r="1193" customFormat="false" ht="15" hidden="false" customHeight="false" outlineLevel="0" collapsed="false">
      <c r="A1193" s="81" t="n">
        <v>43952</v>
      </c>
      <c r="B1193" s="48" t="n">
        <v>0</v>
      </c>
      <c r="C1193" s="48" t="n">
        <v>0</v>
      </c>
      <c r="D1193" s="48" t="n">
        <v>0</v>
      </c>
      <c r="E1193" s="48" t="s">
        <v>112</v>
      </c>
      <c r="F1193" s="48" t="s">
        <v>72</v>
      </c>
      <c r="G1193" s="48" t="s">
        <v>664</v>
      </c>
      <c r="H1193" s="82" t="n">
        <f aca="false">DATE(YEAR(A1193),MONTH(A1193),1)</f>
        <v>43952</v>
      </c>
    </row>
    <row r="1194" customFormat="false" ht="15" hidden="false" customHeight="false" outlineLevel="0" collapsed="false">
      <c r="A1194" s="81" t="n">
        <v>43952</v>
      </c>
      <c r="B1194" s="48" t="n">
        <v>0</v>
      </c>
      <c r="C1194" s="48" t="n">
        <v>0</v>
      </c>
      <c r="D1194" s="48" t="n">
        <v>0</v>
      </c>
      <c r="E1194" s="48" t="s">
        <v>112</v>
      </c>
      <c r="F1194" s="48" t="s">
        <v>72</v>
      </c>
      <c r="G1194" s="48" t="s">
        <v>667</v>
      </c>
      <c r="H1194" s="82" t="n">
        <f aca="false">DATE(YEAR(A1194),MONTH(A1194),1)</f>
        <v>43952</v>
      </c>
    </row>
    <row r="1195" customFormat="false" ht="15" hidden="false" customHeight="false" outlineLevel="0" collapsed="false">
      <c r="A1195" s="81" t="n">
        <v>43952</v>
      </c>
      <c r="B1195" s="48" t="n">
        <v>0</v>
      </c>
      <c r="C1195" s="48" t="n">
        <v>0</v>
      </c>
      <c r="D1195" s="48" t="n">
        <v>0</v>
      </c>
      <c r="E1195" s="48" t="s">
        <v>112</v>
      </c>
      <c r="F1195" s="48" t="s">
        <v>72</v>
      </c>
      <c r="G1195" s="48" t="s">
        <v>607</v>
      </c>
      <c r="H1195" s="82" t="n">
        <f aca="false">DATE(YEAR(A1195),MONTH(A1195),1)</f>
        <v>43952</v>
      </c>
    </row>
    <row r="1196" customFormat="false" ht="15" hidden="false" customHeight="false" outlineLevel="0" collapsed="false">
      <c r="A1196" s="81" t="n">
        <v>43952</v>
      </c>
      <c r="B1196" s="48" t="n">
        <v>0</v>
      </c>
      <c r="C1196" s="48" t="n">
        <v>0</v>
      </c>
      <c r="D1196" s="48" t="n">
        <v>0</v>
      </c>
      <c r="E1196" s="48" t="s">
        <v>112</v>
      </c>
      <c r="F1196" s="48" t="s">
        <v>72</v>
      </c>
      <c r="G1196" s="48" t="s">
        <v>673</v>
      </c>
      <c r="H1196" s="82" t="n">
        <f aca="false">DATE(YEAR(A1196),MONTH(A1196),1)</f>
        <v>43952</v>
      </c>
    </row>
    <row r="1197" customFormat="false" ht="15" hidden="false" customHeight="false" outlineLevel="0" collapsed="false">
      <c r="A1197" s="81" t="n">
        <v>43952</v>
      </c>
      <c r="B1197" s="48" t="n">
        <v>0</v>
      </c>
      <c r="C1197" s="48" t="n">
        <v>0</v>
      </c>
      <c r="D1197" s="48" t="n">
        <v>0</v>
      </c>
      <c r="E1197" s="48" t="s">
        <v>112</v>
      </c>
      <c r="F1197" s="48" t="s">
        <v>72</v>
      </c>
      <c r="G1197" s="48" t="s">
        <v>676</v>
      </c>
      <c r="H1197" s="82" t="n">
        <f aca="false">DATE(YEAR(A1197),MONTH(A1197),1)</f>
        <v>43952</v>
      </c>
    </row>
    <row r="1198" customFormat="false" ht="15" hidden="false" customHeight="false" outlineLevel="0" collapsed="false">
      <c r="A1198" s="81" t="n">
        <v>43952</v>
      </c>
      <c r="B1198" s="48" t="n">
        <v>446</v>
      </c>
      <c r="C1198" s="48" t="n">
        <v>6</v>
      </c>
      <c r="D1198" s="48" t="n">
        <v>73</v>
      </c>
      <c r="E1198" s="48" t="s">
        <v>112</v>
      </c>
      <c r="F1198" s="48" t="s">
        <v>70</v>
      </c>
      <c r="G1198" s="48" t="s">
        <v>91</v>
      </c>
      <c r="H1198" s="82" t="n">
        <f aca="false">DATE(YEAR(A1198),MONTH(A1198),1)</f>
        <v>43952</v>
      </c>
    </row>
    <row r="1199" customFormat="false" ht="15" hidden="false" customHeight="false" outlineLevel="0" collapsed="false">
      <c r="A1199" s="81" t="n">
        <v>43952</v>
      </c>
      <c r="B1199" s="48" t="n">
        <v>176</v>
      </c>
      <c r="C1199" s="48" t="n">
        <v>0</v>
      </c>
      <c r="D1199" s="48" t="n">
        <v>0</v>
      </c>
      <c r="E1199" s="48" t="s">
        <v>112</v>
      </c>
      <c r="F1199" s="48" t="s">
        <v>70</v>
      </c>
      <c r="G1199" s="48" t="s">
        <v>91</v>
      </c>
      <c r="H1199" s="82" t="n">
        <f aca="false">DATE(YEAR(A1199),MONTH(A1199),1)</f>
        <v>43952</v>
      </c>
    </row>
    <row r="1200" customFormat="false" ht="15" hidden="false" customHeight="false" outlineLevel="0" collapsed="false">
      <c r="A1200" s="81" t="n">
        <v>43953</v>
      </c>
      <c r="B1200" s="48" t="n">
        <v>35</v>
      </c>
      <c r="C1200" s="48" t="n">
        <v>0</v>
      </c>
      <c r="D1200" s="48" t="n">
        <v>0</v>
      </c>
      <c r="E1200" s="48" t="s">
        <v>112</v>
      </c>
      <c r="F1200" s="48" t="s">
        <v>73</v>
      </c>
      <c r="G1200" s="48" t="s">
        <v>93</v>
      </c>
      <c r="H1200" s="82" t="n">
        <f aca="false">DATE(YEAR(A1200),MONTH(A1200),1)</f>
        <v>43952</v>
      </c>
    </row>
    <row r="1201" customFormat="false" ht="15" hidden="false" customHeight="false" outlineLevel="0" collapsed="false">
      <c r="A1201" s="81" t="n">
        <v>43953</v>
      </c>
      <c r="B1201" s="48" t="n">
        <v>1</v>
      </c>
      <c r="C1201" s="48" t="n">
        <v>0</v>
      </c>
      <c r="D1201" s="48" t="n">
        <v>0</v>
      </c>
      <c r="E1201" s="48" t="s">
        <v>112</v>
      </c>
      <c r="F1201" s="48" t="s">
        <v>73</v>
      </c>
      <c r="G1201" s="48" t="s">
        <v>689</v>
      </c>
      <c r="H1201" s="82" t="n">
        <f aca="false">DATE(YEAR(A1201),MONTH(A1201),1)</f>
        <v>43952</v>
      </c>
    </row>
    <row r="1202" customFormat="false" ht="15" hidden="false" customHeight="false" outlineLevel="0" collapsed="false">
      <c r="A1202" s="81" t="n">
        <v>43953</v>
      </c>
      <c r="B1202" s="48" t="n">
        <v>16</v>
      </c>
      <c r="C1202" s="48" t="n">
        <v>0</v>
      </c>
      <c r="D1202" s="48" t="n">
        <v>5</v>
      </c>
      <c r="E1202" s="48" t="s">
        <v>112</v>
      </c>
      <c r="F1202" s="48" t="s">
        <v>75</v>
      </c>
      <c r="G1202" s="48" t="s">
        <v>103</v>
      </c>
      <c r="H1202" s="82" t="n">
        <f aca="false">DATE(YEAR(A1202),MONTH(A1202),1)</f>
        <v>43952</v>
      </c>
    </row>
    <row r="1203" customFormat="false" ht="15" hidden="false" customHeight="false" outlineLevel="0" collapsed="false">
      <c r="A1203" s="81" t="n">
        <v>43953</v>
      </c>
      <c r="B1203" s="48" t="n">
        <v>22</v>
      </c>
      <c r="C1203" s="48" t="n">
        <v>0</v>
      </c>
      <c r="D1203" s="48" t="n">
        <v>0</v>
      </c>
      <c r="E1203" s="48" t="s">
        <v>112</v>
      </c>
      <c r="F1203" s="48" t="s">
        <v>74</v>
      </c>
      <c r="G1203" s="48" t="s">
        <v>95</v>
      </c>
      <c r="H1203" s="82" t="n">
        <f aca="false">DATE(YEAR(A1203),MONTH(A1203),1)</f>
        <v>43952</v>
      </c>
    </row>
    <row r="1204" customFormat="false" ht="15" hidden="false" customHeight="false" outlineLevel="0" collapsed="false">
      <c r="A1204" s="81" t="n">
        <v>43953</v>
      </c>
      <c r="B1204" s="48" t="n">
        <v>57</v>
      </c>
      <c r="C1204" s="48" t="n">
        <v>9</v>
      </c>
      <c r="D1204" s="48" t="n">
        <v>38</v>
      </c>
      <c r="E1204" s="48" t="s">
        <v>112</v>
      </c>
      <c r="F1204" s="48" t="s">
        <v>72</v>
      </c>
      <c r="G1204" s="48" t="s">
        <v>94</v>
      </c>
      <c r="H1204" s="82" t="n">
        <f aca="false">DATE(YEAR(A1204),MONTH(A1204),1)</f>
        <v>43952</v>
      </c>
    </row>
    <row r="1205" customFormat="false" ht="15" hidden="false" customHeight="false" outlineLevel="0" collapsed="false">
      <c r="A1205" s="81" t="n">
        <v>43953</v>
      </c>
      <c r="B1205" s="48" t="n">
        <v>1</v>
      </c>
      <c r="C1205" s="48" t="n">
        <v>0</v>
      </c>
      <c r="D1205" s="48" t="n">
        <v>0</v>
      </c>
      <c r="E1205" s="48" t="s">
        <v>112</v>
      </c>
      <c r="F1205" s="48" t="s">
        <v>72</v>
      </c>
      <c r="G1205" s="48" t="s">
        <v>597</v>
      </c>
      <c r="H1205" s="82" t="n">
        <f aca="false">DATE(YEAR(A1205),MONTH(A1205),1)</f>
        <v>43952</v>
      </c>
    </row>
    <row r="1206" customFormat="false" ht="15" hidden="false" customHeight="false" outlineLevel="0" collapsed="false">
      <c r="A1206" s="81" t="n">
        <v>43953</v>
      </c>
      <c r="B1206" s="48" t="n">
        <v>1</v>
      </c>
      <c r="C1206" s="48" t="n">
        <v>1</v>
      </c>
      <c r="D1206" s="48" t="n">
        <v>0</v>
      </c>
      <c r="E1206" s="48" t="s">
        <v>112</v>
      </c>
      <c r="F1206" s="48" t="s">
        <v>72</v>
      </c>
      <c r="G1206" s="48" t="s">
        <v>594</v>
      </c>
      <c r="H1206" s="82" t="n">
        <f aca="false">DATE(YEAR(A1206),MONTH(A1206),1)</f>
        <v>43952</v>
      </c>
    </row>
    <row r="1207" customFormat="false" ht="15" hidden="false" customHeight="false" outlineLevel="0" collapsed="false">
      <c r="A1207" s="81" t="n">
        <v>43953</v>
      </c>
      <c r="B1207" s="48" t="n">
        <v>0</v>
      </c>
      <c r="C1207" s="48" t="n">
        <v>0</v>
      </c>
      <c r="D1207" s="48" t="n">
        <v>0</v>
      </c>
      <c r="E1207" s="48" t="s">
        <v>112</v>
      </c>
      <c r="F1207" s="48" t="s">
        <v>72</v>
      </c>
      <c r="G1207" s="48" t="s">
        <v>599</v>
      </c>
      <c r="H1207" s="82" t="n">
        <f aca="false">DATE(YEAR(A1207),MONTH(A1207),1)</f>
        <v>43952</v>
      </c>
    </row>
    <row r="1208" customFormat="false" ht="15" hidden="false" customHeight="false" outlineLevel="0" collapsed="false">
      <c r="A1208" s="81" t="n">
        <v>43953</v>
      </c>
      <c r="B1208" s="48" t="n">
        <v>0</v>
      </c>
      <c r="C1208" s="48" t="n">
        <v>0</v>
      </c>
      <c r="D1208" s="48" t="n">
        <v>0</v>
      </c>
      <c r="E1208" s="48" t="s">
        <v>112</v>
      </c>
      <c r="F1208" s="48" t="s">
        <v>72</v>
      </c>
      <c r="G1208" s="48" t="s">
        <v>656</v>
      </c>
      <c r="H1208" s="82" t="n">
        <f aca="false">DATE(YEAR(A1208),MONTH(A1208),1)</f>
        <v>43952</v>
      </c>
    </row>
    <row r="1209" customFormat="false" ht="15" hidden="false" customHeight="false" outlineLevel="0" collapsed="false">
      <c r="A1209" s="81" t="n">
        <v>43953</v>
      </c>
      <c r="B1209" s="48" t="n">
        <v>0</v>
      </c>
      <c r="C1209" s="48" t="n">
        <v>0</v>
      </c>
      <c r="D1209" s="48" t="n">
        <v>0</v>
      </c>
      <c r="E1209" s="48" t="s">
        <v>112</v>
      </c>
      <c r="F1209" s="48" t="s">
        <v>72</v>
      </c>
      <c r="G1209" s="48" t="s">
        <v>102</v>
      </c>
      <c r="H1209" s="82" t="n">
        <f aca="false">DATE(YEAR(A1209),MONTH(A1209),1)</f>
        <v>43952</v>
      </c>
    </row>
    <row r="1210" customFormat="false" ht="15" hidden="false" customHeight="false" outlineLevel="0" collapsed="false">
      <c r="A1210" s="81" t="n">
        <v>43953</v>
      </c>
      <c r="B1210" s="48" t="n">
        <v>6</v>
      </c>
      <c r="C1210" s="48" t="n">
        <v>0</v>
      </c>
      <c r="D1210" s="48" t="n">
        <v>0</v>
      </c>
      <c r="E1210" s="48" t="s">
        <v>112</v>
      </c>
      <c r="F1210" s="48" t="s">
        <v>72</v>
      </c>
      <c r="G1210" s="48" t="s">
        <v>611</v>
      </c>
      <c r="H1210" s="82" t="n">
        <f aca="false">DATE(YEAR(A1210),MONTH(A1210),1)</f>
        <v>43952</v>
      </c>
    </row>
    <row r="1211" customFormat="false" ht="15" hidden="false" customHeight="false" outlineLevel="0" collapsed="false">
      <c r="A1211" s="81" t="n">
        <v>43953</v>
      </c>
      <c r="B1211" s="48" t="n">
        <v>3</v>
      </c>
      <c r="C1211" s="48" t="n">
        <v>1</v>
      </c>
      <c r="D1211" s="48" t="n">
        <v>0</v>
      </c>
      <c r="E1211" s="48" t="s">
        <v>112</v>
      </c>
      <c r="F1211" s="48" t="s">
        <v>72</v>
      </c>
      <c r="G1211" s="48" t="s">
        <v>96</v>
      </c>
      <c r="H1211" s="82" t="n">
        <f aca="false">DATE(YEAR(A1211),MONTH(A1211),1)</f>
        <v>43952</v>
      </c>
    </row>
    <row r="1212" customFormat="false" ht="15" hidden="false" customHeight="false" outlineLevel="0" collapsed="false">
      <c r="A1212" s="81" t="n">
        <v>43953</v>
      </c>
      <c r="B1212" s="48" t="n">
        <v>0</v>
      </c>
      <c r="C1212" s="48" t="n">
        <v>0</v>
      </c>
      <c r="D1212" s="48" t="n">
        <v>0</v>
      </c>
      <c r="E1212" s="48" t="s">
        <v>112</v>
      </c>
      <c r="F1212" s="48" t="s">
        <v>72</v>
      </c>
      <c r="G1212" s="48" t="s">
        <v>603</v>
      </c>
      <c r="H1212" s="82" t="n">
        <f aca="false">DATE(YEAR(A1212),MONTH(A1212),1)</f>
        <v>43952</v>
      </c>
    </row>
    <row r="1213" customFormat="false" ht="15" hidden="false" customHeight="false" outlineLevel="0" collapsed="false">
      <c r="A1213" s="81" t="n">
        <v>43953</v>
      </c>
      <c r="B1213" s="48" t="n">
        <v>8</v>
      </c>
      <c r="C1213" s="48" t="n">
        <v>0</v>
      </c>
      <c r="D1213" s="48" t="n">
        <v>0</v>
      </c>
      <c r="E1213" s="48" t="s">
        <v>112</v>
      </c>
      <c r="F1213" s="48" t="s">
        <v>72</v>
      </c>
      <c r="G1213" s="48" t="s">
        <v>591</v>
      </c>
      <c r="H1213" s="82" t="n">
        <f aca="false">DATE(YEAR(A1213),MONTH(A1213),1)</f>
        <v>43952</v>
      </c>
    </row>
    <row r="1214" customFormat="false" ht="15" hidden="false" customHeight="false" outlineLevel="0" collapsed="false">
      <c r="A1214" s="81" t="n">
        <v>43953</v>
      </c>
      <c r="B1214" s="48" t="n">
        <v>0</v>
      </c>
      <c r="C1214" s="48" t="n">
        <v>0</v>
      </c>
      <c r="D1214" s="48" t="n">
        <v>0</v>
      </c>
      <c r="E1214" s="48" t="s">
        <v>112</v>
      </c>
      <c r="F1214" s="48" t="s">
        <v>72</v>
      </c>
      <c r="G1214" s="48" t="s">
        <v>598</v>
      </c>
      <c r="H1214" s="82" t="n">
        <f aca="false">DATE(YEAR(A1214),MONTH(A1214),1)</f>
        <v>43952</v>
      </c>
    </row>
    <row r="1215" customFormat="false" ht="15" hidden="false" customHeight="false" outlineLevel="0" collapsed="false">
      <c r="A1215" s="81" t="n">
        <v>43953</v>
      </c>
      <c r="B1215" s="48" t="n">
        <v>0</v>
      </c>
      <c r="C1215" s="48" t="n">
        <v>0</v>
      </c>
      <c r="D1215" s="48" t="n">
        <v>0</v>
      </c>
      <c r="E1215" s="48" t="s">
        <v>112</v>
      </c>
      <c r="F1215" s="48" t="s">
        <v>72</v>
      </c>
      <c r="G1215" s="48" t="s">
        <v>609</v>
      </c>
      <c r="H1215" s="82" t="n">
        <f aca="false">DATE(YEAR(A1215),MONTH(A1215),1)</f>
        <v>43952</v>
      </c>
    </row>
    <row r="1216" customFormat="false" ht="15" hidden="false" customHeight="false" outlineLevel="0" collapsed="false">
      <c r="A1216" s="81" t="n">
        <v>43953</v>
      </c>
      <c r="B1216" s="48" t="n">
        <v>14</v>
      </c>
      <c r="C1216" s="48" t="n">
        <v>0</v>
      </c>
      <c r="D1216" s="48" t="n">
        <v>0</v>
      </c>
      <c r="E1216" s="48" t="s">
        <v>112</v>
      </c>
      <c r="F1216" s="48" t="s">
        <v>72</v>
      </c>
      <c r="G1216" s="48" t="s">
        <v>101</v>
      </c>
      <c r="H1216" s="82" t="n">
        <f aca="false">DATE(YEAR(A1216),MONTH(A1216),1)</f>
        <v>43952</v>
      </c>
    </row>
    <row r="1217" customFormat="false" ht="15" hidden="false" customHeight="false" outlineLevel="0" collapsed="false">
      <c r="A1217" s="81" t="n">
        <v>43953</v>
      </c>
      <c r="B1217" s="48" t="n">
        <v>2</v>
      </c>
      <c r="C1217" s="48" t="n">
        <v>0</v>
      </c>
      <c r="D1217" s="48" t="n">
        <v>0</v>
      </c>
      <c r="E1217" s="48" t="s">
        <v>112</v>
      </c>
      <c r="F1217" s="48" t="s">
        <v>72</v>
      </c>
      <c r="G1217" s="48" t="s">
        <v>643</v>
      </c>
      <c r="H1217" s="82" t="n">
        <f aca="false">DATE(YEAR(A1217),MONTH(A1217),1)</f>
        <v>43952</v>
      </c>
    </row>
    <row r="1218" customFormat="false" ht="15" hidden="false" customHeight="false" outlineLevel="0" collapsed="false">
      <c r="A1218" s="81" t="n">
        <v>43953</v>
      </c>
      <c r="B1218" s="48" t="n">
        <v>1</v>
      </c>
      <c r="C1218" s="48" t="n">
        <v>0</v>
      </c>
      <c r="D1218" s="48" t="n">
        <v>0</v>
      </c>
      <c r="E1218" s="48" t="s">
        <v>112</v>
      </c>
      <c r="F1218" s="48" t="s">
        <v>72</v>
      </c>
      <c r="G1218" s="48" t="s">
        <v>662</v>
      </c>
      <c r="H1218" s="82" t="n">
        <f aca="false">DATE(YEAR(A1218),MONTH(A1218),1)</f>
        <v>43952</v>
      </c>
    </row>
    <row r="1219" customFormat="false" ht="15" hidden="false" customHeight="false" outlineLevel="0" collapsed="false">
      <c r="A1219" s="81" t="n">
        <v>43953</v>
      </c>
      <c r="B1219" s="48" t="n">
        <v>1</v>
      </c>
      <c r="C1219" s="48" t="n">
        <v>0</v>
      </c>
      <c r="D1219" s="48" t="n">
        <v>0</v>
      </c>
      <c r="E1219" s="48" t="s">
        <v>112</v>
      </c>
      <c r="F1219" s="48" t="s">
        <v>72</v>
      </c>
      <c r="G1219" s="48" t="s">
        <v>600</v>
      </c>
      <c r="H1219" s="82" t="n">
        <f aca="false">DATE(YEAR(A1219),MONTH(A1219),1)</f>
        <v>43952</v>
      </c>
    </row>
    <row r="1220" customFormat="false" ht="15" hidden="false" customHeight="false" outlineLevel="0" collapsed="false">
      <c r="A1220" s="81" t="n">
        <v>43953</v>
      </c>
      <c r="B1220" s="48" t="n">
        <v>0</v>
      </c>
      <c r="C1220" s="48" t="n">
        <v>0</v>
      </c>
      <c r="D1220" s="48" t="n">
        <v>0</v>
      </c>
      <c r="E1220" s="48" t="s">
        <v>112</v>
      </c>
      <c r="F1220" s="48" t="s">
        <v>72</v>
      </c>
      <c r="G1220" s="48" t="s">
        <v>610</v>
      </c>
      <c r="H1220" s="82" t="n">
        <f aca="false">DATE(YEAR(A1220),MONTH(A1220),1)</f>
        <v>43952</v>
      </c>
    </row>
    <row r="1221" customFormat="false" ht="15" hidden="false" customHeight="false" outlineLevel="0" collapsed="false">
      <c r="A1221" s="81" t="n">
        <v>43953</v>
      </c>
      <c r="B1221" s="48" t="n">
        <v>7</v>
      </c>
      <c r="C1221" s="48" t="n">
        <v>0</v>
      </c>
      <c r="D1221" s="48" t="n">
        <v>0</v>
      </c>
      <c r="E1221" s="48" t="s">
        <v>112</v>
      </c>
      <c r="F1221" s="48" t="s">
        <v>72</v>
      </c>
      <c r="G1221" s="48" t="s">
        <v>593</v>
      </c>
      <c r="H1221" s="82" t="n">
        <f aca="false">DATE(YEAR(A1221),MONTH(A1221),1)</f>
        <v>43952</v>
      </c>
    </row>
    <row r="1222" customFormat="false" ht="15" hidden="false" customHeight="false" outlineLevel="0" collapsed="false">
      <c r="A1222" s="81" t="n">
        <v>43953</v>
      </c>
      <c r="B1222" s="48" t="n">
        <v>0</v>
      </c>
      <c r="C1222" s="48" t="n">
        <v>0</v>
      </c>
      <c r="D1222" s="48" t="n">
        <v>0</v>
      </c>
      <c r="E1222" s="48" t="s">
        <v>112</v>
      </c>
      <c r="F1222" s="48" t="s">
        <v>72</v>
      </c>
      <c r="G1222" s="48" t="s">
        <v>612</v>
      </c>
      <c r="H1222" s="82" t="n">
        <f aca="false">DATE(YEAR(A1222),MONTH(A1222),1)</f>
        <v>43952</v>
      </c>
    </row>
    <row r="1223" customFormat="false" ht="15" hidden="false" customHeight="false" outlineLevel="0" collapsed="false">
      <c r="A1223" s="81" t="n">
        <v>43953</v>
      </c>
      <c r="B1223" s="48" t="n">
        <v>0</v>
      </c>
      <c r="C1223" s="48" t="n">
        <v>0</v>
      </c>
      <c r="D1223" s="48" t="n">
        <v>0</v>
      </c>
      <c r="E1223" s="48" t="s">
        <v>112</v>
      </c>
      <c r="F1223" s="48" t="s">
        <v>72</v>
      </c>
      <c r="G1223" s="48" t="s">
        <v>685</v>
      </c>
      <c r="H1223" s="82" t="n">
        <f aca="false">DATE(YEAR(A1223),MONTH(A1223),1)</f>
        <v>43952</v>
      </c>
    </row>
    <row r="1224" customFormat="false" ht="15" hidden="false" customHeight="false" outlineLevel="0" collapsed="false">
      <c r="A1224" s="81" t="n">
        <v>43953</v>
      </c>
      <c r="B1224" s="48" t="n">
        <v>0</v>
      </c>
      <c r="C1224" s="48" t="n">
        <v>0</v>
      </c>
      <c r="D1224" s="48" t="n">
        <v>0</v>
      </c>
      <c r="E1224" s="48" t="s">
        <v>112</v>
      </c>
      <c r="F1224" s="48" t="s">
        <v>72</v>
      </c>
      <c r="G1224" s="48" t="s">
        <v>687</v>
      </c>
      <c r="H1224" s="82" t="n">
        <f aca="false">DATE(YEAR(A1224),MONTH(A1224),1)</f>
        <v>43952</v>
      </c>
    </row>
    <row r="1225" customFormat="false" ht="15" hidden="false" customHeight="false" outlineLevel="0" collapsed="false">
      <c r="A1225" s="81" t="n">
        <v>43953</v>
      </c>
      <c r="B1225" s="48" t="n">
        <v>0</v>
      </c>
      <c r="C1225" s="48" t="n">
        <v>0</v>
      </c>
      <c r="D1225" s="48" t="n">
        <v>0</v>
      </c>
      <c r="E1225" s="48" t="s">
        <v>112</v>
      </c>
      <c r="F1225" s="48" t="s">
        <v>72</v>
      </c>
      <c r="G1225" s="48" t="s">
        <v>682</v>
      </c>
      <c r="H1225" s="82" t="n">
        <f aca="false">DATE(YEAR(A1225),MONTH(A1225),1)</f>
        <v>43952</v>
      </c>
    </row>
    <row r="1226" customFormat="false" ht="15" hidden="false" customHeight="false" outlineLevel="0" collapsed="false">
      <c r="A1226" s="81" t="n">
        <v>43953</v>
      </c>
      <c r="B1226" s="48" t="n">
        <v>0</v>
      </c>
      <c r="C1226" s="48" t="n">
        <v>0</v>
      </c>
      <c r="D1226" s="48" t="n">
        <v>0</v>
      </c>
      <c r="E1226" s="48" t="s">
        <v>112</v>
      </c>
      <c r="F1226" s="48" t="s">
        <v>72</v>
      </c>
      <c r="G1226" s="48" t="s">
        <v>692</v>
      </c>
      <c r="H1226" s="82" t="n">
        <f aca="false">DATE(YEAR(A1226),MONTH(A1226),1)</f>
        <v>43952</v>
      </c>
    </row>
    <row r="1227" customFormat="false" ht="15" hidden="false" customHeight="false" outlineLevel="0" collapsed="false">
      <c r="A1227" s="81" t="n">
        <v>43953</v>
      </c>
      <c r="B1227" s="48" t="n">
        <v>0</v>
      </c>
      <c r="C1227" s="48" t="n">
        <v>0</v>
      </c>
      <c r="D1227" s="48" t="n">
        <v>0</v>
      </c>
      <c r="E1227" s="48" t="s">
        <v>112</v>
      </c>
      <c r="F1227" s="48" t="s">
        <v>72</v>
      </c>
      <c r="G1227" s="48" t="s">
        <v>613</v>
      </c>
      <c r="H1227" s="82" t="n">
        <f aca="false">DATE(YEAR(A1227),MONTH(A1227),1)</f>
        <v>43952</v>
      </c>
    </row>
    <row r="1228" customFormat="false" ht="15" hidden="false" customHeight="false" outlineLevel="0" collapsed="false">
      <c r="A1228" s="81" t="n">
        <v>43953</v>
      </c>
      <c r="B1228" s="48" t="n">
        <v>0</v>
      </c>
      <c r="C1228" s="48" t="n">
        <v>0</v>
      </c>
      <c r="D1228" s="48" t="n">
        <v>0</v>
      </c>
      <c r="E1228" s="48" t="s">
        <v>112</v>
      </c>
      <c r="F1228" s="48" t="s">
        <v>72</v>
      </c>
      <c r="G1228" s="48" t="s">
        <v>614</v>
      </c>
      <c r="H1228" s="82" t="n">
        <f aca="false">DATE(YEAR(A1228),MONTH(A1228),1)</f>
        <v>43952</v>
      </c>
    </row>
    <row r="1229" customFormat="false" ht="15" hidden="false" customHeight="false" outlineLevel="0" collapsed="false">
      <c r="A1229" s="81" t="n">
        <v>43953</v>
      </c>
      <c r="B1229" s="48" t="n">
        <v>0</v>
      </c>
      <c r="C1229" s="48" t="n">
        <v>0</v>
      </c>
      <c r="D1229" s="48" t="n">
        <v>0</v>
      </c>
      <c r="E1229" s="48" t="s">
        <v>112</v>
      </c>
      <c r="F1229" s="48" t="s">
        <v>72</v>
      </c>
      <c r="G1229" s="48" t="s">
        <v>655</v>
      </c>
      <c r="H1229" s="82" t="n">
        <f aca="false">DATE(YEAR(A1229),MONTH(A1229),1)</f>
        <v>43952</v>
      </c>
    </row>
    <row r="1230" customFormat="false" ht="15" hidden="false" customHeight="false" outlineLevel="0" collapsed="false">
      <c r="A1230" s="81" t="n">
        <v>43953</v>
      </c>
      <c r="B1230" s="48" t="n">
        <v>2</v>
      </c>
      <c r="C1230" s="48" t="n">
        <v>0</v>
      </c>
      <c r="D1230" s="48" t="n">
        <v>0</v>
      </c>
      <c r="E1230" s="48" t="s">
        <v>112</v>
      </c>
      <c r="F1230" s="48" t="s">
        <v>72</v>
      </c>
      <c r="G1230" s="48" t="s">
        <v>608</v>
      </c>
      <c r="H1230" s="82" t="n">
        <f aca="false">DATE(YEAR(A1230),MONTH(A1230),1)</f>
        <v>43952</v>
      </c>
    </row>
    <row r="1231" customFormat="false" ht="15" hidden="false" customHeight="false" outlineLevel="0" collapsed="false">
      <c r="A1231" s="81" t="n">
        <v>43953</v>
      </c>
      <c r="B1231" s="48" t="n">
        <v>1</v>
      </c>
      <c r="C1231" s="48" t="n">
        <v>0</v>
      </c>
      <c r="D1231" s="48" t="n">
        <v>0</v>
      </c>
      <c r="E1231" s="48" t="s">
        <v>112</v>
      </c>
      <c r="F1231" s="48" t="s">
        <v>72</v>
      </c>
      <c r="G1231" s="48" t="s">
        <v>615</v>
      </c>
      <c r="H1231" s="82" t="n">
        <f aca="false">DATE(YEAR(A1231),MONTH(A1231),1)</f>
        <v>43952</v>
      </c>
    </row>
    <row r="1232" customFormat="false" ht="15" hidden="false" customHeight="false" outlineLevel="0" collapsed="false">
      <c r="A1232" s="81" t="n">
        <v>43953</v>
      </c>
      <c r="B1232" s="48" t="n">
        <v>1</v>
      </c>
      <c r="C1232" s="48" t="n">
        <v>0</v>
      </c>
      <c r="D1232" s="48" t="n">
        <v>0</v>
      </c>
      <c r="E1232" s="48" t="s">
        <v>112</v>
      </c>
      <c r="F1232" s="48" t="s">
        <v>72</v>
      </c>
      <c r="G1232" s="48" t="s">
        <v>666</v>
      </c>
      <c r="H1232" s="82" t="n">
        <f aca="false">DATE(YEAR(A1232),MONTH(A1232),1)</f>
        <v>43952</v>
      </c>
    </row>
    <row r="1233" customFormat="false" ht="15" hidden="false" customHeight="false" outlineLevel="0" collapsed="false">
      <c r="A1233" s="81" t="n">
        <v>43953</v>
      </c>
      <c r="B1233" s="48" t="n">
        <v>1</v>
      </c>
      <c r="C1233" s="48" t="n">
        <v>0</v>
      </c>
      <c r="D1233" s="48" t="n">
        <v>0</v>
      </c>
      <c r="E1233" s="48" t="s">
        <v>112</v>
      </c>
      <c r="F1233" s="48" t="s">
        <v>72</v>
      </c>
      <c r="G1233" s="48" t="s">
        <v>621</v>
      </c>
      <c r="H1233" s="82" t="n">
        <f aca="false">DATE(YEAR(A1233),MONTH(A1233),1)</f>
        <v>43952</v>
      </c>
    </row>
    <row r="1234" customFormat="false" ht="15" hidden="false" customHeight="false" outlineLevel="0" collapsed="false">
      <c r="A1234" s="81" t="n">
        <v>43953</v>
      </c>
      <c r="B1234" s="48" t="n">
        <v>0</v>
      </c>
      <c r="C1234" s="48" t="n">
        <v>0</v>
      </c>
      <c r="D1234" s="48" t="n">
        <v>0</v>
      </c>
      <c r="E1234" s="48" t="s">
        <v>112</v>
      </c>
      <c r="F1234" s="48" t="s">
        <v>72</v>
      </c>
      <c r="G1234" s="48" t="s">
        <v>664</v>
      </c>
      <c r="H1234" s="82" t="n">
        <f aca="false">DATE(YEAR(A1234),MONTH(A1234),1)</f>
        <v>43952</v>
      </c>
    </row>
    <row r="1235" customFormat="false" ht="15" hidden="false" customHeight="false" outlineLevel="0" collapsed="false">
      <c r="A1235" s="81" t="n">
        <v>43953</v>
      </c>
      <c r="B1235" s="48" t="n">
        <v>0</v>
      </c>
      <c r="C1235" s="48" t="n">
        <v>0</v>
      </c>
      <c r="D1235" s="48" t="n">
        <v>0</v>
      </c>
      <c r="E1235" s="48" t="s">
        <v>112</v>
      </c>
      <c r="F1235" s="48" t="s">
        <v>72</v>
      </c>
      <c r="G1235" s="48" t="s">
        <v>667</v>
      </c>
      <c r="H1235" s="82" t="n">
        <f aca="false">DATE(YEAR(A1235),MONTH(A1235),1)</f>
        <v>43952</v>
      </c>
    </row>
    <row r="1236" customFormat="false" ht="15" hidden="false" customHeight="false" outlineLevel="0" collapsed="false">
      <c r="A1236" s="81" t="n">
        <v>43953</v>
      </c>
      <c r="B1236" s="48" t="n">
        <v>2</v>
      </c>
      <c r="C1236" s="48" t="n">
        <v>0</v>
      </c>
      <c r="D1236" s="48" t="n">
        <v>0</v>
      </c>
      <c r="E1236" s="48" t="s">
        <v>112</v>
      </c>
      <c r="F1236" s="48" t="s">
        <v>72</v>
      </c>
      <c r="G1236" s="48" t="s">
        <v>607</v>
      </c>
      <c r="H1236" s="82" t="n">
        <f aca="false">DATE(YEAR(A1236),MONTH(A1236),1)</f>
        <v>43952</v>
      </c>
    </row>
    <row r="1237" customFormat="false" ht="15" hidden="false" customHeight="false" outlineLevel="0" collapsed="false">
      <c r="A1237" s="81" t="n">
        <v>43953</v>
      </c>
      <c r="B1237" s="48" t="n">
        <v>0</v>
      </c>
      <c r="C1237" s="48" t="n">
        <v>0</v>
      </c>
      <c r="D1237" s="48" t="n">
        <v>0</v>
      </c>
      <c r="E1237" s="48" t="s">
        <v>112</v>
      </c>
      <c r="F1237" s="48" t="s">
        <v>72</v>
      </c>
      <c r="G1237" s="48" t="s">
        <v>673</v>
      </c>
      <c r="H1237" s="82" t="n">
        <f aca="false">DATE(YEAR(A1237),MONTH(A1237),1)</f>
        <v>43952</v>
      </c>
    </row>
    <row r="1238" customFormat="false" ht="15" hidden="false" customHeight="false" outlineLevel="0" collapsed="false">
      <c r="A1238" s="81" t="n">
        <v>43953</v>
      </c>
      <c r="B1238" s="48" t="n">
        <v>0</v>
      </c>
      <c r="C1238" s="48" t="n">
        <v>0</v>
      </c>
      <c r="D1238" s="48" t="n">
        <v>0</v>
      </c>
      <c r="E1238" s="48" t="s">
        <v>112</v>
      </c>
      <c r="F1238" s="48" t="s">
        <v>72</v>
      </c>
      <c r="G1238" s="48" t="s">
        <v>676</v>
      </c>
      <c r="H1238" s="82" t="n">
        <f aca="false">DATE(YEAR(A1238),MONTH(A1238),1)</f>
        <v>43952</v>
      </c>
    </row>
    <row r="1239" customFormat="false" ht="15" hidden="false" customHeight="false" outlineLevel="0" collapsed="false">
      <c r="A1239" s="81" t="n">
        <v>43953</v>
      </c>
      <c r="B1239" s="48" t="n">
        <v>514</v>
      </c>
      <c r="C1239" s="48" t="n">
        <v>9</v>
      </c>
      <c r="D1239" s="48" t="n">
        <v>0</v>
      </c>
      <c r="E1239" s="48" t="s">
        <v>112</v>
      </c>
      <c r="F1239" s="48" t="s">
        <v>71</v>
      </c>
      <c r="G1239" s="48" t="s">
        <v>92</v>
      </c>
      <c r="H1239" s="82" t="n">
        <f aca="false">DATE(YEAR(A1239),MONTH(A1239),1)</f>
        <v>43952</v>
      </c>
    </row>
    <row r="1240" customFormat="false" ht="15" hidden="false" customHeight="false" outlineLevel="0" collapsed="false">
      <c r="A1240" s="81" t="n">
        <v>43953</v>
      </c>
      <c r="B1240" s="48" t="n">
        <v>427</v>
      </c>
      <c r="C1240" s="48" t="n">
        <v>4</v>
      </c>
      <c r="D1240" s="48" t="n">
        <v>0</v>
      </c>
      <c r="E1240" s="48" t="s">
        <v>112</v>
      </c>
      <c r="F1240" s="48" t="s">
        <v>70</v>
      </c>
      <c r="G1240" s="48" t="s">
        <v>91</v>
      </c>
      <c r="H1240" s="82" t="n">
        <f aca="false">DATE(YEAR(A1240),MONTH(A1240),1)</f>
        <v>43952</v>
      </c>
    </row>
    <row r="1241" customFormat="false" ht="15" hidden="false" customHeight="false" outlineLevel="0" collapsed="false">
      <c r="A1241" s="81" t="n">
        <v>43954</v>
      </c>
      <c r="B1241" s="48" t="n">
        <v>5</v>
      </c>
      <c r="C1241" s="48" t="n">
        <v>0</v>
      </c>
      <c r="D1241" s="48" t="n">
        <v>0</v>
      </c>
      <c r="E1241" s="48" t="s">
        <v>112</v>
      </c>
      <c r="F1241" s="48" t="s">
        <v>76</v>
      </c>
      <c r="G1241" s="48" t="s">
        <v>672</v>
      </c>
      <c r="H1241" s="82" t="n">
        <f aca="false">DATE(YEAR(A1241),MONTH(A1241),1)</f>
        <v>43952</v>
      </c>
    </row>
    <row r="1242" customFormat="false" ht="15" hidden="false" customHeight="false" outlineLevel="0" collapsed="false">
      <c r="A1242" s="81" t="n">
        <v>43954</v>
      </c>
      <c r="B1242" s="48" t="n">
        <v>44</v>
      </c>
      <c r="C1242" s="48" t="n">
        <v>5</v>
      </c>
      <c r="D1242" s="48" t="n">
        <v>0</v>
      </c>
      <c r="E1242" s="48" t="s">
        <v>112</v>
      </c>
      <c r="F1242" s="48" t="s">
        <v>73</v>
      </c>
      <c r="G1242" s="48" t="s">
        <v>93</v>
      </c>
      <c r="H1242" s="82" t="n">
        <f aca="false">DATE(YEAR(A1242),MONTH(A1242),1)</f>
        <v>43952</v>
      </c>
    </row>
    <row r="1243" customFormat="false" ht="15" hidden="false" customHeight="false" outlineLevel="0" collapsed="false">
      <c r="A1243" s="81" t="n">
        <v>43954</v>
      </c>
      <c r="B1243" s="48" t="n">
        <v>2</v>
      </c>
      <c r="C1243" s="48" t="n">
        <v>0</v>
      </c>
      <c r="D1243" s="48" t="n">
        <v>0</v>
      </c>
      <c r="E1243" s="48" t="s">
        <v>112</v>
      </c>
      <c r="F1243" s="48" t="s">
        <v>73</v>
      </c>
      <c r="G1243" s="48" t="s">
        <v>681</v>
      </c>
      <c r="H1243" s="82" t="n">
        <f aca="false">DATE(YEAR(A1243),MONTH(A1243),1)</f>
        <v>43952</v>
      </c>
    </row>
    <row r="1244" customFormat="false" ht="15" hidden="false" customHeight="false" outlineLevel="0" collapsed="false">
      <c r="A1244" s="81" t="n">
        <v>43954</v>
      </c>
      <c r="B1244" s="48" t="n">
        <v>8</v>
      </c>
      <c r="C1244" s="48" t="n">
        <v>0</v>
      </c>
      <c r="D1244" s="48" t="n">
        <v>0</v>
      </c>
      <c r="E1244" s="48" t="s">
        <v>112</v>
      </c>
      <c r="F1244" s="48" t="s">
        <v>75</v>
      </c>
      <c r="G1244" s="48" t="s">
        <v>103</v>
      </c>
      <c r="H1244" s="82" t="n">
        <f aca="false">DATE(YEAR(A1244),MONTH(A1244),1)</f>
        <v>43952</v>
      </c>
    </row>
    <row r="1245" customFormat="false" ht="15" hidden="false" customHeight="false" outlineLevel="0" collapsed="false">
      <c r="A1245" s="81" t="n">
        <v>43954</v>
      </c>
      <c r="B1245" s="48" t="n">
        <v>28</v>
      </c>
      <c r="C1245" s="48" t="n">
        <v>0</v>
      </c>
      <c r="D1245" s="48" t="n">
        <v>0</v>
      </c>
      <c r="E1245" s="48" t="s">
        <v>112</v>
      </c>
      <c r="F1245" s="48" t="s">
        <v>74</v>
      </c>
      <c r="G1245" s="48" t="s">
        <v>95</v>
      </c>
      <c r="H1245" s="82" t="n">
        <f aca="false">DATE(YEAR(A1245),MONTH(A1245),1)</f>
        <v>43952</v>
      </c>
    </row>
    <row r="1246" customFormat="false" ht="15" hidden="false" customHeight="false" outlineLevel="0" collapsed="false">
      <c r="A1246" s="81" t="n">
        <v>43954</v>
      </c>
      <c r="B1246" s="48" t="n">
        <v>222</v>
      </c>
      <c r="C1246" s="48" t="n">
        <v>8</v>
      </c>
      <c r="D1246" s="48" t="n">
        <v>0</v>
      </c>
      <c r="E1246" s="48" t="s">
        <v>112</v>
      </c>
      <c r="F1246" s="48" t="s">
        <v>72</v>
      </c>
      <c r="G1246" s="48" t="s">
        <v>94</v>
      </c>
      <c r="H1246" s="82" t="n">
        <f aca="false">DATE(YEAR(A1246),MONTH(A1246),1)</f>
        <v>43952</v>
      </c>
    </row>
    <row r="1247" customFormat="false" ht="15" hidden="false" customHeight="false" outlineLevel="0" collapsed="false">
      <c r="A1247" s="81" t="n">
        <v>43954</v>
      </c>
      <c r="B1247" s="48" t="n">
        <v>670</v>
      </c>
      <c r="C1247" s="48" t="n">
        <v>9</v>
      </c>
      <c r="D1247" s="48" t="n">
        <v>0</v>
      </c>
      <c r="E1247" s="48" t="s">
        <v>112</v>
      </c>
      <c r="F1247" s="48" t="s">
        <v>71</v>
      </c>
      <c r="G1247" s="48" t="s">
        <v>92</v>
      </c>
      <c r="H1247" s="82" t="n">
        <f aca="false">DATE(YEAR(A1247),MONTH(A1247),1)</f>
        <v>43952</v>
      </c>
    </row>
    <row r="1248" customFormat="false" ht="15" hidden="false" customHeight="false" outlineLevel="0" collapsed="false">
      <c r="A1248" s="81" t="n">
        <v>43954</v>
      </c>
      <c r="B1248" s="48" t="n">
        <v>363</v>
      </c>
      <c r="C1248" s="48" t="n">
        <v>8</v>
      </c>
      <c r="D1248" s="48" t="n">
        <v>0</v>
      </c>
      <c r="E1248" s="48" t="s">
        <v>112</v>
      </c>
      <c r="F1248" s="48" t="s">
        <v>70</v>
      </c>
      <c r="G1248" s="48" t="s">
        <v>91</v>
      </c>
      <c r="H1248" s="82" t="n">
        <f aca="false">DATE(YEAR(A1248),MONTH(A1248),1)</f>
        <v>43952</v>
      </c>
    </row>
    <row r="1249" customFormat="false" ht="15" hidden="false" customHeight="false" outlineLevel="0" collapsed="false">
      <c r="A1249" s="81" t="n">
        <v>43955</v>
      </c>
      <c r="B1249" s="48" t="n">
        <v>103</v>
      </c>
      <c r="C1249" s="48" t="n">
        <v>0</v>
      </c>
      <c r="D1249" s="48" t="n">
        <v>0</v>
      </c>
      <c r="E1249" s="48" t="s">
        <v>112</v>
      </c>
      <c r="F1249" s="48" t="s">
        <v>73</v>
      </c>
      <c r="G1249" s="48" t="s">
        <v>93</v>
      </c>
      <c r="H1249" s="82" t="n">
        <f aca="false">DATE(YEAR(A1249),MONTH(A1249),1)</f>
        <v>43952</v>
      </c>
    </row>
    <row r="1250" customFormat="false" ht="15" hidden="false" customHeight="false" outlineLevel="0" collapsed="false">
      <c r="A1250" s="81" t="n">
        <v>43955</v>
      </c>
      <c r="B1250" s="48" t="n">
        <v>8</v>
      </c>
      <c r="C1250" s="48" t="n">
        <v>0</v>
      </c>
      <c r="D1250" s="48" t="n">
        <v>0</v>
      </c>
      <c r="E1250" s="48" t="s">
        <v>112</v>
      </c>
      <c r="F1250" s="48" t="s">
        <v>75</v>
      </c>
      <c r="G1250" s="48" t="s">
        <v>103</v>
      </c>
      <c r="H1250" s="82" t="n">
        <f aca="false">DATE(YEAR(A1250),MONTH(A1250),1)</f>
        <v>43952</v>
      </c>
    </row>
    <row r="1251" customFormat="false" ht="15" hidden="false" customHeight="false" outlineLevel="0" collapsed="false">
      <c r="A1251" s="81" t="n">
        <v>43955</v>
      </c>
      <c r="B1251" s="48" t="n">
        <v>22</v>
      </c>
      <c r="C1251" s="48" t="n">
        <v>0</v>
      </c>
      <c r="D1251" s="48" t="n">
        <v>0</v>
      </c>
      <c r="E1251" s="48" t="s">
        <v>112</v>
      </c>
      <c r="F1251" s="48" t="s">
        <v>74</v>
      </c>
      <c r="G1251" s="48" t="s">
        <v>95</v>
      </c>
      <c r="H1251" s="82" t="n">
        <f aca="false">DATE(YEAR(A1251),MONTH(A1251),1)</f>
        <v>43952</v>
      </c>
    </row>
    <row r="1252" customFormat="false" ht="15" hidden="false" customHeight="false" outlineLevel="0" collapsed="false">
      <c r="A1252" s="81" t="n">
        <v>43955</v>
      </c>
      <c r="B1252" s="48" t="n">
        <v>72</v>
      </c>
      <c r="C1252" s="48" t="n">
        <v>3</v>
      </c>
      <c r="D1252" s="48" t="n">
        <v>0</v>
      </c>
      <c r="E1252" s="48" t="s">
        <v>112</v>
      </c>
      <c r="F1252" s="48" t="s">
        <v>72</v>
      </c>
      <c r="G1252" s="48" t="s">
        <v>94</v>
      </c>
      <c r="H1252" s="82" t="n">
        <f aca="false">DATE(YEAR(A1252),MONTH(A1252),1)</f>
        <v>43952</v>
      </c>
    </row>
    <row r="1253" customFormat="false" ht="15" hidden="false" customHeight="false" outlineLevel="0" collapsed="false">
      <c r="A1253" s="81" t="n">
        <v>43955</v>
      </c>
      <c r="B1253" s="48" t="n">
        <v>0</v>
      </c>
      <c r="C1253" s="48" t="n">
        <v>0</v>
      </c>
      <c r="D1253" s="48" t="n">
        <v>0</v>
      </c>
      <c r="E1253" s="48" t="s">
        <v>112</v>
      </c>
      <c r="F1253" s="48" t="s">
        <v>72</v>
      </c>
      <c r="G1253" s="48" t="s">
        <v>597</v>
      </c>
      <c r="H1253" s="82" t="n">
        <f aca="false">DATE(YEAR(A1253),MONTH(A1253),1)</f>
        <v>43952</v>
      </c>
    </row>
    <row r="1254" customFormat="false" ht="15" hidden="false" customHeight="false" outlineLevel="0" collapsed="false">
      <c r="A1254" s="81" t="n">
        <v>43955</v>
      </c>
      <c r="B1254" s="48" t="n">
        <v>2</v>
      </c>
      <c r="C1254" s="48" t="n">
        <v>0</v>
      </c>
      <c r="D1254" s="48" t="n">
        <v>0</v>
      </c>
      <c r="E1254" s="48" t="s">
        <v>112</v>
      </c>
      <c r="F1254" s="48" t="s">
        <v>72</v>
      </c>
      <c r="G1254" s="48" t="s">
        <v>594</v>
      </c>
      <c r="H1254" s="82" t="n">
        <f aca="false">DATE(YEAR(A1254),MONTH(A1254),1)</f>
        <v>43952</v>
      </c>
    </row>
    <row r="1255" customFormat="false" ht="15" hidden="false" customHeight="false" outlineLevel="0" collapsed="false">
      <c r="A1255" s="81" t="n">
        <v>43955</v>
      </c>
      <c r="B1255" s="48" t="n">
        <v>12</v>
      </c>
      <c r="C1255" s="48" t="n">
        <v>0</v>
      </c>
      <c r="D1255" s="48" t="n">
        <v>0</v>
      </c>
      <c r="E1255" s="48" t="s">
        <v>112</v>
      </c>
      <c r="F1255" s="48" t="s">
        <v>72</v>
      </c>
      <c r="G1255" s="48" t="s">
        <v>599</v>
      </c>
      <c r="H1255" s="82" t="n">
        <f aca="false">DATE(YEAR(A1255),MONTH(A1255),1)</f>
        <v>43952</v>
      </c>
    </row>
    <row r="1256" customFormat="false" ht="15" hidden="false" customHeight="false" outlineLevel="0" collapsed="false">
      <c r="A1256" s="81" t="n">
        <v>43955</v>
      </c>
      <c r="B1256" s="48" t="n">
        <v>0</v>
      </c>
      <c r="C1256" s="48" t="n">
        <v>0</v>
      </c>
      <c r="D1256" s="48" t="n">
        <v>0</v>
      </c>
      <c r="E1256" s="48" t="s">
        <v>112</v>
      </c>
      <c r="F1256" s="48" t="s">
        <v>72</v>
      </c>
      <c r="G1256" s="48" t="s">
        <v>656</v>
      </c>
      <c r="H1256" s="82" t="n">
        <f aca="false">DATE(YEAR(A1256),MONTH(A1256),1)</f>
        <v>43952</v>
      </c>
    </row>
    <row r="1257" customFormat="false" ht="15" hidden="false" customHeight="false" outlineLevel="0" collapsed="false">
      <c r="A1257" s="81" t="n">
        <v>43955</v>
      </c>
      <c r="B1257" s="48" t="n">
        <v>9</v>
      </c>
      <c r="C1257" s="48" t="n">
        <v>0</v>
      </c>
      <c r="D1257" s="48" t="n">
        <v>0</v>
      </c>
      <c r="E1257" s="48" t="s">
        <v>112</v>
      </c>
      <c r="F1257" s="48" t="s">
        <v>72</v>
      </c>
      <c r="G1257" s="48" t="s">
        <v>102</v>
      </c>
      <c r="H1257" s="82" t="n">
        <f aca="false">DATE(YEAR(A1257),MONTH(A1257),1)</f>
        <v>43952</v>
      </c>
    </row>
    <row r="1258" customFormat="false" ht="15" hidden="false" customHeight="false" outlineLevel="0" collapsed="false">
      <c r="A1258" s="81" t="n">
        <v>43955</v>
      </c>
      <c r="B1258" s="48" t="n">
        <v>2</v>
      </c>
      <c r="C1258" s="48" t="n">
        <v>1</v>
      </c>
      <c r="D1258" s="48" t="n">
        <v>0</v>
      </c>
      <c r="E1258" s="48" t="s">
        <v>112</v>
      </c>
      <c r="F1258" s="48" t="s">
        <v>72</v>
      </c>
      <c r="G1258" s="48" t="s">
        <v>611</v>
      </c>
      <c r="H1258" s="82" t="n">
        <f aca="false">DATE(YEAR(A1258),MONTH(A1258),1)</f>
        <v>43952</v>
      </c>
    </row>
    <row r="1259" customFormat="false" ht="15" hidden="false" customHeight="false" outlineLevel="0" collapsed="false">
      <c r="A1259" s="81" t="n">
        <v>43955</v>
      </c>
      <c r="B1259" s="48" t="n">
        <v>3</v>
      </c>
      <c r="C1259" s="48" t="n">
        <v>0</v>
      </c>
      <c r="D1259" s="48" t="n">
        <v>0</v>
      </c>
      <c r="E1259" s="48" t="s">
        <v>112</v>
      </c>
      <c r="F1259" s="48" t="s">
        <v>72</v>
      </c>
      <c r="G1259" s="48" t="s">
        <v>96</v>
      </c>
      <c r="H1259" s="82" t="n">
        <f aca="false">DATE(YEAR(A1259),MONTH(A1259),1)</f>
        <v>43952</v>
      </c>
    </row>
    <row r="1260" customFormat="false" ht="15" hidden="false" customHeight="false" outlineLevel="0" collapsed="false">
      <c r="A1260" s="81" t="n">
        <v>43955</v>
      </c>
      <c r="B1260" s="48" t="n">
        <v>0</v>
      </c>
      <c r="C1260" s="48" t="n">
        <v>0</v>
      </c>
      <c r="D1260" s="48" t="n">
        <v>0</v>
      </c>
      <c r="E1260" s="48" t="s">
        <v>112</v>
      </c>
      <c r="F1260" s="48" t="s">
        <v>72</v>
      </c>
      <c r="G1260" s="48" t="s">
        <v>603</v>
      </c>
      <c r="H1260" s="82" t="n">
        <f aca="false">DATE(YEAR(A1260),MONTH(A1260),1)</f>
        <v>43952</v>
      </c>
    </row>
    <row r="1261" customFormat="false" ht="15" hidden="false" customHeight="false" outlineLevel="0" collapsed="false">
      <c r="A1261" s="81" t="n">
        <v>43955</v>
      </c>
      <c r="B1261" s="48" t="n">
        <v>2</v>
      </c>
      <c r="C1261" s="48" t="n">
        <v>0</v>
      </c>
      <c r="D1261" s="48" t="n">
        <v>0</v>
      </c>
      <c r="E1261" s="48" t="s">
        <v>112</v>
      </c>
      <c r="F1261" s="48" t="s">
        <v>72</v>
      </c>
      <c r="G1261" s="48" t="s">
        <v>591</v>
      </c>
      <c r="H1261" s="82" t="n">
        <f aca="false">DATE(YEAR(A1261),MONTH(A1261),1)</f>
        <v>43952</v>
      </c>
    </row>
    <row r="1262" customFormat="false" ht="15" hidden="false" customHeight="false" outlineLevel="0" collapsed="false">
      <c r="A1262" s="81" t="n">
        <v>43955</v>
      </c>
      <c r="B1262" s="48" t="n">
        <v>0</v>
      </c>
      <c r="C1262" s="48" t="n">
        <v>0</v>
      </c>
      <c r="D1262" s="48" t="n">
        <v>0</v>
      </c>
      <c r="E1262" s="48" t="s">
        <v>112</v>
      </c>
      <c r="F1262" s="48" t="s">
        <v>72</v>
      </c>
      <c r="G1262" s="48" t="s">
        <v>598</v>
      </c>
      <c r="H1262" s="82" t="n">
        <f aca="false">DATE(YEAR(A1262),MONTH(A1262),1)</f>
        <v>43952</v>
      </c>
    </row>
    <row r="1263" customFormat="false" ht="15" hidden="false" customHeight="false" outlineLevel="0" collapsed="false">
      <c r="A1263" s="81" t="n">
        <v>43955</v>
      </c>
      <c r="B1263" s="48" t="n">
        <v>1</v>
      </c>
      <c r="C1263" s="48" t="n">
        <v>0</v>
      </c>
      <c r="D1263" s="48" t="n">
        <v>0</v>
      </c>
      <c r="E1263" s="48" t="s">
        <v>112</v>
      </c>
      <c r="F1263" s="48" t="s">
        <v>72</v>
      </c>
      <c r="G1263" s="48" t="s">
        <v>609</v>
      </c>
      <c r="H1263" s="82" t="n">
        <f aca="false">DATE(YEAR(A1263),MONTH(A1263),1)</f>
        <v>43952</v>
      </c>
    </row>
    <row r="1264" customFormat="false" ht="15" hidden="false" customHeight="false" outlineLevel="0" collapsed="false">
      <c r="A1264" s="81" t="n">
        <v>43955</v>
      </c>
      <c r="B1264" s="48" t="n">
        <v>26</v>
      </c>
      <c r="C1264" s="48" t="n">
        <v>0</v>
      </c>
      <c r="D1264" s="48" t="n">
        <v>0</v>
      </c>
      <c r="E1264" s="48" t="s">
        <v>112</v>
      </c>
      <c r="F1264" s="48" t="s">
        <v>72</v>
      </c>
      <c r="G1264" s="48" t="s">
        <v>101</v>
      </c>
      <c r="H1264" s="82" t="n">
        <f aca="false">DATE(YEAR(A1264),MONTH(A1264),1)</f>
        <v>43952</v>
      </c>
    </row>
    <row r="1265" customFormat="false" ht="15" hidden="false" customHeight="false" outlineLevel="0" collapsed="false">
      <c r="A1265" s="81" t="n">
        <v>43955</v>
      </c>
      <c r="B1265" s="48" t="n">
        <v>1</v>
      </c>
      <c r="C1265" s="48" t="n">
        <v>0</v>
      </c>
      <c r="D1265" s="48" t="n">
        <v>0</v>
      </c>
      <c r="E1265" s="48" t="s">
        <v>112</v>
      </c>
      <c r="F1265" s="48" t="s">
        <v>72</v>
      </c>
      <c r="G1265" s="48" t="s">
        <v>643</v>
      </c>
      <c r="H1265" s="82" t="n">
        <f aca="false">DATE(YEAR(A1265),MONTH(A1265),1)</f>
        <v>43952</v>
      </c>
    </row>
    <row r="1266" customFormat="false" ht="15" hidden="false" customHeight="false" outlineLevel="0" collapsed="false">
      <c r="A1266" s="81" t="n">
        <v>43955</v>
      </c>
      <c r="B1266" s="48" t="n">
        <v>0</v>
      </c>
      <c r="C1266" s="48" t="n">
        <v>0</v>
      </c>
      <c r="D1266" s="48" t="n">
        <v>0</v>
      </c>
      <c r="E1266" s="48" t="s">
        <v>112</v>
      </c>
      <c r="F1266" s="48" t="s">
        <v>72</v>
      </c>
      <c r="G1266" s="48" t="s">
        <v>662</v>
      </c>
      <c r="H1266" s="82" t="n">
        <f aca="false">DATE(YEAR(A1266),MONTH(A1266),1)</f>
        <v>43952</v>
      </c>
    </row>
    <row r="1267" customFormat="false" ht="15" hidden="false" customHeight="false" outlineLevel="0" collapsed="false">
      <c r="A1267" s="81" t="n">
        <v>43955</v>
      </c>
      <c r="B1267" s="48" t="n">
        <v>3</v>
      </c>
      <c r="C1267" s="48" t="n">
        <v>0</v>
      </c>
      <c r="D1267" s="48" t="n">
        <v>0</v>
      </c>
      <c r="E1267" s="48" t="s">
        <v>112</v>
      </c>
      <c r="F1267" s="48" t="s">
        <v>72</v>
      </c>
      <c r="G1267" s="48" t="s">
        <v>600</v>
      </c>
      <c r="H1267" s="82" t="n">
        <f aca="false">DATE(YEAR(A1267),MONTH(A1267),1)</f>
        <v>43952</v>
      </c>
    </row>
    <row r="1268" customFormat="false" ht="15" hidden="false" customHeight="false" outlineLevel="0" collapsed="false">
      <c r="A1268" s="81" t="n">
        <v>43955</v>
      </c>
      <c r="B1268" s="48" t="n">
        <v>0</v>
      </c>
      <c r="C1268" s="48" t="n">
        <v>0</v>
      </c>
      <c r="D1268" s="48" t="n">
        <v>0</v>
      </c>
      <c r="E1268" s="48" t="s">
        <v>112</v>
      </c>
      <c r="F1268" s="48" t="s">
        <v>72</v>
      </c>
      <c r="G1268" s="48" t="s">
        <v>610</v>
      </c>
      <c r="H1268" s="82" t="n">
        <f aca="false">DATE(YEAR(A1268),MONTH(A1268),1)</f>
        <v>43952</v>
      </c>
    </row>
    <row r="1269" customFormat="false" ht="15" hidden="false" customHeight="false" outlineLevel="0" collapsed="false">
      <c r="A1269" s="81" t="n">
        <v>43955</v>
      </c>
      <c r="B1269" s="48" t="n">
        <v>0</v>
      </c>
      <c r="C1269" s="48" t="n">
        <v>0</v>
      </c>
      <c r="D1269" s="48" t="n">
        <v>0</v>
      </c>
      <c r="E1269" s="48" t="s">
        <v>112</v>
      </c>
      <c r="F1269" s="48" t="s">
        <v>72</v>
      </c>
      <c r="G1269" s="48" t="s">
        <v>593</v>
      </c>
      <c r="H1269" s="82" t="n">
        <f aca="false">DATE(YEAR(A1269),MONTH(A1269),1)</f>
        <v>43952</v>
      </c>
    </row>
    <row r="1270" customFormat="false" ht="15" hidden="false" customHeight="false" outlineLevel="0" collapsed="false">
      <c r="A1270" s="81" t="n">
        <v>43955</v>
      </c>
      <c r="B1270" s="48" t="n">
        <v>0</v>
      </c>
      <c r="C1270" s="48" t="n">
        <v>0</v>
      </c>
      <c r="D1270" s="48" t="n">
        <v>0</v>
      </c>
      <c r="E1270" s="48" t="s">
        <v>112</v>
      </c>
      <c r="F1270" s="48" t="s">
        <v>72</v>
      </c>
      <c r="G1270" s="48" t="s">
        <v>612</v>
      </c>
      <c r="H1270" s="82" t="n">
        <f aca="false">DATE(YEAR(A1270),MONTH(A1270),1)</f>
        <v>43952</v>
      </c>
    </row>
    <row r="1271" customFormat="false" ht="15" hidden="false" customHeight="false" outlineLevel="0" collapsed="false">
      <c r="A1271" s="81" t="n">
        <v>43955</v>
      </c>
      <c r="B1271" s="48" t="n">
        <v>0</v>
      </c>
      <c r="C1271" s="48" t="n">
        <v>0</v>
      </c>
      <c r="D1271" s="48" t="n">
        <v>0</v>
      </c>
      <c r="E1271" s="48" t="s">
        <v>112</v>
      </c>
      <c r="F1271" s="48" t="s">
        <v>72</v>
      </c>
      <c r="G1271" s="48" t="s">
        <v>685</v>
      </c>
      <c r="H1271" s="82" t="n">
        <f aca="false">DATE(YEAR(A1271),MONTH(A1271),1)</f>
        <v>43952</v>
      </c>
    </row>
    <row r="1272" customFormat="false" ht="15" hidden="false" customHeight="false" outlineLevel="0" collapsed="false">
      <c r="A1272" s="81" t="n">
        <v>43955</v>
      </c>
      <c r="B1272" s="48" t="n">
        <v>0</v>
      </c>
      <c r="C1272" s="48" t="n">
        <v>0</v>
      </c>
      <c r="D1272" s="48" t="n">
        <v>0</v>
      </c>
      <c r="E1272" s="48" t="s">
        <v>112</v>
      </c>
      <c r="F1272" s="48" t="s">
        <v>72</v>
      </c>
      <c r="G1272" s="48" t="s">
        <v>687</v>
      </c>
      <c r="H1272" s="82" t="n">
        <f aca="false">DATE(YEAR(A1272),MONTH(A1272),1)</f>
        <v>43952</v>
      </c>
    </row>
    <row r="1273" customFormat="false" ht="15" hidden="false" customHeight="false" outlineLevel="0" collapsed="false">
      <c r="A1273" s="81" t="n">
        <v>43955</v>
      </c>
      <c r="B1273" s="48" t="n">
        <v>0</v>
      </c>
      <c r="C1273" s="48" t="n">
        <v>0</v>
      </c>
      <c r="D1273" s="48" t="n">
        <v>0</v>
      </c>
      <c r="E1273" s="48" t="s">
        <v>112</v>
      </c>
      <c r="F1273" s="48" t="s">
        <v>72</v>
      </c>
      <c r="G1273" s="48" t="s">
        <v>682</v>
      </c>
      <c r="H1273" s="82" t="n">
        <f aca="false">DATE(YEAR(A1273),MONTH(A1273),1)</f>
        <v>43952</v>
      </c>
    </row>
    <row r="1274" customFormat="false" ht="15" hidden="false" customHeight="false" outlineLevel="0" collapsed="false">
      <c r="A1274" s="81" t="n">
        <v>43955</v>
      </c>
      <c r="B1274" s="48" t="n">
        <v>0</v>
      </c>
      <c r="C1274" s="48" t="n">
        <v>0</v>
      </c>
      <c r="D1274" s="48" t="n">
        <v>0</v>
      </c>
      <c r="E1274" s="48" t="s">
        <v>112</v>
      </c>
      <c r="F1274" s="48" t="s">
        <v>72</v>
      </c>
      <c r="G1274" s="48" t="s">
        <v>692</v>
      </c>
      <c r="H1274" s="82" t="n">
        <f aca="false">DATE(YEAR(A1274),MONTH(A1274),1)</f>
        <v>43952</v>
      </c>
    </row>
    <row r="1275" customFormat="false" ht="15" hidden="false" customHeight="false" outlineLevel="0" collapsed="false">
      <c r="A1275" s="81" t="n">
        <v>43955</v>
      </c>
      <c r="B1275" s="48" t="n">
        <v>4</v>
      </c>
      <c r="C1275" s="48" t="n">
        <v>0</v>
      </c>
      <c r="D1275" s="48" t="n">
        <v>0</v>
      </c>
      <c r="E1275" s="48" t="s">
        <v>112</v>
      </c>
      <c r="F1275" s="48" t="s">
        <v>72</v>
      </c>
      <c r="G1275" s="48" t="s">
        <v>613</v>
      </c>
      <c r="H1275" s="82" t="n">
        <f aca="false">DATE(YEAR(A1275),MONTH(A1275),1)</f>
        <v>43952</v>
      </c>
    </row>
    <row r="1276" customFormat="false" ht="15" hidden="false" customHeight="false" outlineLevel="0" collapsed="false">
      <c r="A1276" s="81" t="n">
        <v>43955</v>
      </c>
      <c r="B1276" s="48" t="n">
        <v>4</v>
      </c>
      <c r="C1276" s="48" t="n">
        <v>0</v>
      </c>
      <c r="D1276" s="48" t="n">
        <v>0</v>
      </c>
      <c r="E1276" s="48" t="s">
        <v>112</v>
      </c>
      <c r="F1276" s="48" t="s">
        <v>72</v>
      </c>
      <c r="G1276" s="48" t="s">
        <v>614</v>
      </c>
      <c r="H1276" s="82" t="n">
        <f aca="false">DATE(YEAR(A1276),MONTH(A1276),1)</f>
        <v>43952</v>
      </c>
    </row>
    <row r="1277" customFormat="false" ht="15" hidden="false" customHeight="false" outlineLevel="0" collapsed="false">
      <c r="A1277" s="81" t="n">
        <v>43955</v>
      </c>
      <c r="B1277" s="48" t="n">
        <v>0</v>
      </c>
      <c r="C1277" s="48" t="n">
        <v>0</v>
      </c>
      <c r="D1277" s="48" t="n">
        <v>0</v>
      </c>
      <c r="E1277" s="48" t="s">
        <v>112</v>
      </c>
      <c r="F1277" s="48" t="s">
        <v>72</v>
      </c>
      <c r="G1277" s="48" t="s">
        <v>655</v>
      </c>
      <c r="H1277" s="82" t="n">
        <f aca="false">DATE(YEAR(A1277),MONTH(A1277),1)</f>
        <v>43952</v>
      </c>
    </row>
    <row r="1278" customFormat="false" ht="15" hidden="false" customHeight="false" outlineLevel="0" collapsed="false">
      <c r="A1278" s="81" t="n">
        <v>43955</v>
      </c>
      <c r="B1278" s="48" t="n">
        <v>1</v>
      </c>
      <c r="C1278" s="48" t="n">
        <v>0</v>
      </c>
      <c r="D1278" s="48" t="n">
        <v>0</v>
      </c>
      <c r="E1278" s="48" t="s">
        <v>112</v>
      </c>
      <c r="F1278" s="48" t="s">
        <v>72</v>
      </c>
      <c r="G1278" s="48" t="s">
        <v>608</v>
      </c>
      <c r="H1278" s="82" t="n">
        <f aca="false">DATE(YEAR(A1278),MONTH(A1278),1)</f>
        <v>43952</v>
      </c>
    </row>
    <row r="1279" customFormat="false" ht="15" hidden="false" customHeight="false" outlineLevel="0" collapsed="false">
      <c r="A1279" s="81" t="n">
        <v>43955</v>
      </c>
      <c r="B1279" s="48" t="n">
        <v>1</v>
      </c>
      <c r="C1279" s="48" t="n">
        <v>0</v>
      </c>
      <c r="D1279" s="48" t="n">
        <v>0</v>
      </c>
      <c r="E1279" s="48" t="s">
        <v>112</v>
      </c>
      <c r="F1279" s="48" t="s">
        <v>72</v>
      </c>
      <c r="G1279" s="48" t="s">
        <v>615</v>
      </c>
      <c r="H1279" s="82" t="n">
        <f aca="false">DATE(YEAR(A1279),MONTH(A1279),1)</f>
        <v>43952</v>
      </c>
    </row>
    <row r="1280" customFormat="false" ht="15" hidden="false" customHeight="false" outlineLevel="0" collapsed="false">
      <c r="A1280" s="81" t="n">
        <v>43955</v>
      </c>
      <c r="B1280" s="48" t="n">
        <v>0</v>
      </c>
      <c r="C1280" s="48" t="n">
        <v>0</v>
      </c>
      <c r="D1280" s="48" t="n">
        <v>0</v>
      </c>
      <c r="E1280" s="48" t="s">
        <v>112</v>
      </c>
      <c r="F1280" s="48" t="s">
        <v>72</v>
      </c>
      <c r="G1280" s="48" t="s">
        <v>666</v>
      </c>
      <c r="H1280" s="82" t="n">
        <f aca="false">DATE(YEAR(A1280),MONTH(A1280),1)</f>
        <v>43952</v>
      </c>
    </row>
    <row r="1281" customFormat="false" ht="15" hidden="false" customHeight="false" outlineLevel="0" collapsed="false">
      <c r="A1281" s="81" t="n">
        <v>43955</v>
      </c>
      <c r="B1281" s="48" t="n">
        <v>12</v>
      </c>
      <c r="C1281" s="48" t="n">
        <v>1</v>
      </c>
      <c r="D1281" s="48" t="n">
        <v>0</v>
      </c>
      <c r="E1281" s="48" t="s">
        <v>112</v>
      </c>
      <c r="F1281" s="48" t="s">
        <v>72</v>
      </c>
      <c r="G1281" s="48" t="s">
        <v>621</v>
      </c>
      <c r="H1281" s="82" t="n">
        <f aca="false">DATE(YEAR(A1281),MONTH(A1281),1)</f>
        <v>43952</v>
      </c>
    </row>
    <row r="1282" customFormat="false" ht="15" hidden="false" customHeight="false" outlineLevel="0" collapsed="false">
      <c r="A1282" s="81" t="n">
        <v>43955</v>
      </c>
      <c r="B1282" s="48" t="n">
        <v>0</v>
      </c>
      <c r="C1282" s="48" t="n">
        <v>0</v>
      </c>
      <c r="D1282" s="48" t="n">
        <v>0</v>
      </c>
      <c r="E1282" s="48" t="s">
        <v>112</v>
      </c>
      <c r="F1282" s="48" t="s">
        <v>72</v>
      </c>
      <c r="G1282" s="48" t="s">
        <v>664</v>
      </c>
      <c r="H1282" s="82" t="n">
        <f aca="false">DATE(YEAR(A1282),MONTH(A1282),1)</f>
        <v>43952</v>
      </c>
    </row>
    <row r="1283" customFormat="false" ht="15" hidden="false" customHeight="false" outlineLevel="0" collapsed="false">
      <c r="A1283" s="81" t="n">
        <v>43955</v>
      </c>
      <c r="B1283" s="48" t="n">
        <v>0</v>
      </c>
      <c r="C1283" s="48" t="n">
        <v>0</v>
      </c>
      <c r="D1283" s="48" t="n">
        <v>0</v>
      </c>
      <c r="E1283" s="48" t="s">
        <v>112</v>
      </c>
      <c r="F1283" s="48" t="s">
        <v>72</v>
      </c>
      <c r="G1283" s="48" t="s">
        <v>667</v>
      </c>
      <c r="H1283" s="82" t="n">
        <f aca="false">DATE(YEAR(A1283),MONTH(A1283),1)</f>
        <v>43952</v>
      </c>
    </row>
    <row r="1284" customFormat="false" ht="15" hidden="false" customHeight="false" outlineLevel="0" collapsed="false">
      <c r="A1284" s="81" t="n">
        <v>43955</v>
      </c>
      <c r="B1284" s="48" t="n">
        <v>3</v>
      </c>
      <c r="C1284" s="48" t="n">
        <v>0</v>
      </c>
      <c r="D1284" s="48" t="n">
        <v>0</v>
      </c>
      <c r="E1284" s="48" t="s">
        <v>112</v>
      </c>
      <c r="F1284" s="48" t="s">
        <v>72</v>
      </c>
      <c r="G1284" s="48" t="s">
        <v>607</v>
      </c>
      <c r="H1284" s="82" t="n">
        <f aca="false">DATE(YEAR(A1284),MONTH(A1284),1)</f>
        <v>43952</v>
      </c>
    </row>
    <row r="1285" customFormat="false" ht="15" hidden="false" customHeight="false" outlineLevel="0" collapsed="false">
      <c r="A1285" s="81" t="n">
        <v>43955</v>
      </c>
      <c r="B1285" s="48" t="n">
        <v>1</v>
      </c>
      <c r="C1285" s="48" t="n">
        <v>0</v>
      </c>
      <c r="D1285" s="48" t="n">
        <v>0</v>
      </c>
      <c r="E1285" s="48" t="s">
        <v>112</v>
      </c>
      <c r="F1285" s="48" t="s">
        <v>72</v>
      </c>
      <c r="G1285" s="48" t="s">
        <v>673</v>
      </c>
      <c r="H1285" s="82" t="n">
        <f aca="false">DATE(YEAR(A1285),MONTH(A1285),1)</f>
        <v>43952</v>
      </c>
    </row>
    <row r="1286" customFormat="false" ht="15" hidden="false" customHeight="false" outlineLevel="0" collapsed="false">
      <c r="A1286" s="81" t="n">
        <v>43955</v>
      </c>
      <c r="B1286" s="48" t="n">
        <v>0</v>
      </c>
      <c r="C1286" s="48" t="n">
        <v>0</v>
      </c>
      <c r="D1286" s="48" t="n">
        <v>0</v>
      </c>
      <c r="E1286" s="48" t="s">
        <v>112</v>
      </c>
      <c r="F1286" s="48" t="s">
        <v>72</v>
      </c>
      <c r="G1286" s="48" t="s">
        <v>676</v>
      </c>
      <c r="H1286" s="82" t="n">
        <f aca="false">DATE(YEAR(A1286),MONTH(A1286),1)</f>
        <v>43952</v>
      </c>
    </row>
    <row r="1287" customFormat="false" ht="15" hidden="false" customHeight="false" outlineLevel="0" collapsed="false">
      <c r="A1287" s="81" t="n">
        <v>43955</v>
      </c>
      <c r="B1287" s="48" t="n">
        <v>122</v>
      </c>
      <c r="C1287" s="48" t="n">
        <v>12</v>
      </c>
      <c r="D1287" s="48" t="n">
        <v>0</v>
      </c>
      <c r="E1287" s="48" t="s">
        <v>112</v>
      </c>
      <c r="F1287" s="48" t="s">
        <v>71</v>
      </c>
      <c r="G1287" s="48" t="s">
        <v>92</v>
      </c>
      <c r="H1287" s="82" t="n">
        <f aca="false">DATE(YEAR(A1287),MONTH(A1287),1)</f>
        <v>43952</v>
      </c>
    </row>
    <row r="1288" customFormat="false" ht="15" hidden="false" customHeight="false" outlineLevel="0" collapsed="false">
      <c r="A1288" s="81" t="n">
        <v>43955</v>
      </c>
      <c r="B1288" s="48" t="n">
        <v>638</v>
      </c>
      <c r="C1288" s="48" t="n">
        <v>7</v>
      </c>
      <c r="D1288" s="48" t="n">
        <v>0</v>
      </c>
      <c r="E1288" s="48" t="s">
        <v>112</v>
      </c>
      <c r="F1288" s="48" t="s">
        <v>70</v>
      </c>
      <c r="G1288" s="48" t="s">
        <v>91</v>
      </c>
      <c r="H1288" s="82" t="n">
        <f aca="false">DATE(YEAR(A1288),MONTH(A1288),1)</f>
        <v>43952</v>
      </c>
    </row>
    <row r="1289" customFormat="false" ht="15" hidden="false" customHeight="false" outlineLevel="0" collapsed="false">
      <c r="A1289" s="81" t="n">
        <v>43956</v>
      </c>
      <c r="B1289" s="48" t="n">
        <v>0</v>
      </c>
      <c r="C1289" s="48" t="n">
        <v>0</v>
      </c>
      <c r="D1289" s="48" t="n">
        <v>0</v>
      </c>
      <c r="E1289" s="48" t="s">
        <v>112</v>
      </c>
      <c r="F1289" s="48" t="s">
        <v>76</v>
      </c>
      <c r="G1289" s="48" t="s">
        <v>595</v>
      </c>
      <c r="H1289" s="82" t="n">
        <f aca="false">DATE(YEAR(A1289),MONTH(A1289),1)</f>
        <v>43952</v>
      </c>
    </row>
    <row r="1290" customFormat="false" ht="15" hidden="false" customHeight="false" outlineLevel="0" collapsed="false">
      <c r="A1290" s="81" t="n">
        <v>43956</v>
      </c>
      <c r="B1290" s="48" t="n">
        <v>174</v>
      </c>
      <c r="C1290" s="48" t="n">
        <v>0</v>
      </c>
      <c r="D1290" s="48" t="n">
        <v>0</v>
      </c>
      <c r="E1290" s="48" t="s">
        <v>112</v>
      </c>
      <c r="F1290" s="48" t="s">
        <v>73</v>
      </c>
      <c r="G1290" s="48" t="s">
        <v>93</v>
      </c>
      <c r="H1290" s="82" t="n">
        <f aca="false">DATE(YEAR(A1290),MONTH(A1290),1)</f>
        <v>43952</v>
      </c>
    </row>
    <row r="1291" customFormat="false" ht="15" hidden="false" customHeight="false" outlineLevel="0" collapsed="false">
      <c r="A1291" s="81" t="n">
        <v>43956</v>
      </c>
      <c r="B1291" s="48" t="n">
        <v>14</v>
      </c>
      <c r="C1291" s="48" t="n">
        <v>0</v>
      </c>
      <c r="D1291" s="48" t="n">
        <v>3</v>
      </c>
      <c r="E1291" s="48" t="s">
        <v>112</v>
      </c>
      <c r="F1291" s="48" t="s">
        <v>75</v>
      </c>
      <c r="G1291" s="48" t="s">
        <v>103</v>
      </c>
      <c r="H1291" s="82" t="n">
        <f aca="false">DATE(YEAR(A1291),MONTH(A1291),1)</f>
        <v>43952</v>
      </c>
    </row>
    <row r="1292" customFormat="false" ht="15" hidden="false" customHeight="false" outlineLevel="0" collapsed="false">
      <c r="A1292" s="81" t="n">
        <v>43956</v>
      </c>
      <c r="B1292" s="48" t="n">
        <v>2</v>
      </c>
      <c r="C1292" s="48" t="n">
        <v>0</v>
      </c>
      <c r="D1292" s="48" t="n">
        <v>0</v>
      </c>
      <c r="E1292" s="48" t="s">
        <v>112</v>
      </c>
      <c r="F1292" s="48" t="s">
        <v>75</v>
      </c>
      <c r="G1292" s="48" t="s">
        <v>650</v>
      </c>
      <c r="H1292" s="82" t="n">
        <f aca="false">DATE(YEAR(A1292),MONTH(A1292),1)</f>
        <v>43952</v>
      </c>
    </row>
    <row r="1293" customFormat="false" ht="15" hidden="false" customHeight="false" outlineLevel="0" collapsed="false">
      <c r="A1293" s="81" t="n">
        <v>43956</v>
      </c>
      <c r="B1293" s="48" t="n">
        <v>49</v>
      </c>
      <c r="C1293" s="48" t="n">
        <v>0</v>
      </c>
      <c r="D1293" s="48" t="n">
        <v>0</v>
      </c>
      <c r="E1293" s="48" t="s">
        <v>112</v>
      </c>
      <c r="F1293" s="48" t="s">
        <v>74</v>
      </c>
      <c r="G1293" s="48" t="s">
        <v>95</v>
      </c>
      <c r="H1293" s="82" t="n">
        <f aca="false">DATE(YEAR(A1293),MONTH(A1293),1)</f>
        <v>43952</v>
      </c>
    </row>
    <row r="1294" customFormat="false" ht="15" hidden="false" customHeight="false" outlineLevel="0" collapsed="false">
      <c r="A1294" s="81" t="n">
        <v>43956</v>
      </c>
      <c r="B1294" s="48" t="n">
        <v>211</v>
      </c>
      <c r="C1294" s="48" t="n">
        <v>9</v>
      </c>
      <c r="D1294" s="48" t="n">
        <v>0</v>
      </c>
      <c r="E1294" s="48" t="s">
        <v>112</v>
      </c>
      <c r="F1294" s="48" t="s">
        <v>72</v>
      </c>
      <c r="G1294" s="48" t="s">
        <v>94</v>
      </c>
      <c r="H1294" s="82" t="n">
        <f aca="false">DATE(YEAR(A1294),MONTH(A1294),1)</f>
        <v>43952</v>
      </c>
    </row>
    <row r="1295" customFormat="false" ht="15" hidden="false" customHeight="false" outlineLevel="0" collapsed="false">
      <c r="A1295" s="81" t="n">
        <v>43956</v>
      </c>
      <c r="B1295" s="48" t="n">
        <v>487</v>
      </c>
      <c r="C1295" s="48" t="n">
        <v>8</v>
      </c>
      <c r="D1295" s="48" t="n">
        <v>0</v>
      </c>
      <c r="E1295" s="48" t="s">
        <v>112</v>
      </c>
      <c r="F1295" s="48" t="s">
        <v>71</v>
      </c>
      <c r="G1295" s="48" t="s">
        <v>92</v>
      </c>
      <c r="H1295" s="82" t="n">
        <f aca="false">DATE(YEAR(A1295),MONTH(A1295),1)</f>
        <v>43952</v>
      </c>
    </row>
    <row r="1296" customFormat="false" ht="15" hidden="false" customHeight="false" outlineLevel="0" collapsed="false">
      <c r="A1296" s="81" t="n">
        <v>43956</v>
      </c>
      <c r="B1296" s="48" t="n">
        <v>86</v>
      </c>
      <c r="C1296" s="48" t="n">
        <v>11</v>
      </c>
      <c r="D1296" s="48" t="n">
        <v>42</v>
      </c>
      <c r="E1296" s="48" t="s">
        <v>112</v>
      </c>
      <c r="F1296" s="48" t="s">
        <v>70</v>
      </c>
      <c r="G1296" s="48" t="s">
        <v>91</v>
      </c>
      <c r="H1296" s="82" t="n">
        <f aca="false">DATE(YEAR(A1296),MONTH(A1296),1)</f>
        <v>43952</v>
      </c>
    </row>
    <row r="1297" customFormat="false" ht="15" hidden="false" customHeight="false" outlineLevel="0" collapsed="false">
      <c r="A1297" s="81" t="n">
        <v>43957</v>
      </c>
      <c r="B1297" s="48" t="n">
        <v>5</v>
      </c>
      <c r="C1297" s="48" t="n">
        <v>0</v>
      </c>
      <c r="D1297" s="48" t="n">
        <v>0</v>
      </c>
      <c r="E1297" s="48" t="s">
        <v>112</v>
      </c>
      <c r="F1297" s="48" t="s">
        <v>76</v>
      </c>
      <c r="G1297" s="48" t="s">
        <v>595</v>
      </c>
      <c r="H1297" s="82" t="n">
        <f aca="false">DATE(YEAR(A1297),MONTH(A1297),1)</f>
        <v>43952</v>
      </c>
    </row>
    <row r="1298" customFormat="false" ht="15" hidden="false" customHeight="false" outlineLevel="0" collapsed="false">
      <c r="A1298" s="81" t="n">
        <v>43957</v>
      </c>
      <c r="B1298" s="48" t="n">
        <v>168</v>
      </c>
      <c r="C1298" s="48" t="n">
        <v>0</v>
      </c>
      <c r="D1298" s="48" t="n">
        <v>0</v>
      </c>
      <c r="E1298" s="48" t="s">
        <v>112</v>
      </c>
      <c r="F1298" s="48" t="s">
        <v>73</v>
      </c>
      <c r="G1298" s="48" t="s">
        <v>93</v>
      </c>
      <c r="H1298" s="82" t="n">
        <f aca="false">DATE(YEAR(A1298),MONTH(A1298),1)</f>
        <v>43952</v>
      </c>
    </row>
    <row r="1299" customFormat="false" ht="15" hidden="false" customHeight="false" outlineLevel="0" collapsed="false">
      <c r="A1299" s="81" t="n">
        <v>43957</v>
      </c>
      <c r="B1299" s="48" t="n">
        <v>1</v>
      </c>
      <c r="C1299" s="48" t="n">
        <v>0</v>
      </c>
      <c r="D1299" s="48" t="n">
        <v>0</v>
      </c>
      <c r="E1299" s="48" t="s">
        <v>112</v>
      </c>
      <c r="F1299" s="48" t="s">
        <v>75</v>
      </c>
      <c r="G1299" s="48" t="s">
        <v>624</v>
      </c>
      <c r="H1299" s="82" t="n">
        <f aca="false">DATE(YEAR(A1299),MONTH(A1299),1)</f>
        <v>43952</v>
      </c>
    </row>
    <row r="1300" customFormat="false" ht="15" hidden="false" customHeight="false" outlineLevel="0" collapsed="false">
      <c r="A1300" s="81" t="n">
        <v>43957</v>
      </c>
      <c r="B1300" s="48" t="n">
        <v>1</v>
      </c>
      <c r="C1300" s="48" t="n">
        <v>0</v>
      </c>
      <c r="D1300" s="48" t="n">
        <v>0</v>
      </c>
      <c r="E1300" s="48" t="s">
        <v>112</v>
      </c>
      <c r="F1300" s="48" t="s">
        <v>75</v>
      </c>
      <c r="G1300" s="48" t="s">
        <v>649</v>
      </c>
      <c r="H1300" s="82" t="n">
        <f aca="false">DATE(YEAR(A1300),MONTH(A1300),1)</f>
        <v>43952</v>
      </c>
    </row>
    <row r="1301" customFormat="false" ht="15" hidden="false" customHeight="false" outlineLevel="0" collapsed="false">
      <c r="A1301" s="81" t="n">
        <v>43957</v>
      </c>
      <c r="B1301" s="48" t="n">
        <v>21</v>
      </c>
      <c r="C1301" s="48" t="n">
        <v>0</v>
      </c>
      <c r="D1301" s="48" t="n">
        <v>0</v>
      </c>
      <c r="E1301" s="48" t="s">
        <v>112</v>
      </c>
      <c r="F1301" s="48" t="s">
        <v>74</v>
      </c>
      <c r="G1301" s="48" t="s">
        <v>95</v>
      </c>
      <c r="H1301" s="82" t="n">
        <f aca="false">DATE(YEAR(A1301),MONTH(A1301),1)</f>
        <v>43952</v>
      </c>
    </row>
    <row r="1302" customFormat="false" ht="15" hidden="false" customHeight="false" outlineLevel="0" collapsed="false">
      <c r="A1302" s="81" t="n">
        <v>43957</v>
      </c>
      <c r="B1302" s="48" t="n">
        <v>213</v>
      </c>
      <c r="C1302" s="48" t="n">
        <v>9</v>
      </c>
      <c r="D1302" s="48" t="n">
        <v>64</v>
      </c>
      <c r="E1302" s="48" t="s">
        <v>112</v>
      </c>
      <c r="F1302" s="48" t="s">
        <v>72</v>
      </c>
      <c r="G1302" s="48" t="s">
        <v>94</v>
      </c>
      <c r="H1302" s="82" t="n">
        <f aca="false">DATE(YEAR(A1302),MONTH(A1302),1)</f>
        <v>43952</v>
      </c>
    </row>
    <row r="1303" customFormat="false" ht="15" hidden="false" customHeight="false" outlineLevel="0" collapsed="false">
      <c r="A1303" s="81" t="n">
        <v>43957</v>
      </c>
      <c r="B1303" s="48" t="n">
        <v>944</v>
      </c>
      <c r="C1303" s="48" t="n">
        <v>31</v>
      </c>
      <c r="D1303" s="48" t="n">
        <v>0</v>
      </c>
      <c r="E1303" s="48" t="s">
        <v>112</v>
      </c>
      <c r="F1303" s="48" t="s">
        <v>71</v>
      </c>
      <c r="G1303" s="48" t="s">
        <v>92</v>
      </c>
      <c r="H1303" s="82" t="n">
        <f aca="false">DATE(YEAR(A1303),MONTH(A1303),1)</f>
        <v>43952</v>
      </c>
    </row>
    <row r="1304" customFormat="false" ht="15" hidden="false" customHeight="false" outlineLevel="0" collapsed="false">
      <c r="A1304" s="81" t="n">
        <v>43957</v>
      </c>
      <c r="B1304" s="48" t="n">
        <v>451</v>
      </c>
      <c r="C1304" s="48" t="n">
        <v>9</v>
      </c>
      <c r="D1304" s="48" t="n">
        <v>60</v>
      </c>
      <c r="E1304" s="48" t="s">
        <v>112</v>
      </c>
      <c r="F1304" s="48" t="s">
        <v>70</v>
      </c>
      <c r="G1304" s="48" t="s">
        <v>91</v>
      </c>
      <c r="H1304" s="82" t="n">
        <f aca="false">DATE(YEAR(A1304),MONTH(A1304),1)</f>
        <v>43952</v>
      </c>
    </row>
    <row r="1305" customFormat="false" ht="15" hidden="false" customHeight="false" outlineLevel="0" collapsed="false">
      <c r="A1305" s="81" t="n">
        <v>43958</v>
      </c>
      <c r="B1305" s="48" t="n">
        <v>0</v>
      </c>
      <c r="C1305" s="48" t="n">
        <v>1</v>
      </c>
      <c r="D1305" s="48" t="n">
        <v>0</v>
      </c>
      <c r="E1305" s="48" t="s">
        <v>112</v>
      </c>
      <c r="F1305" s="48" t="s">
        <v>73</v>
      </c>
      <c r="G1305" s="48" t="s">
        <v>93</v>
      </c>
      <c r="H1305" s="82" t="n">
        <f aca="false">DATE(YEAR(A1305),MONTH(A1305),1)</f>
        <v>43952</v>
      </c>
    </row>
    <row r="1306" customFormat="false" ht="15" hidden="false" customHeight="false" outlineLevel="0" collapsed="false">
      <c r="A1306" s="81" t="n">
        <v>43958</v>
      </c>
      <c r="B1306" s="48" t="n">
        <v>6</v>
      </c>
      <c r="C1306" s="48" t="n">
        <v>0</v>
      </c>
      <c r="D1306" s="48" t="n">
        <v>5</v>
      </c>
      <c r="E1306" s="48" t="s">
        <v>112</v>
      </c>
      <c r="F1306" s="48" t="s">
        <v>75</v>
      </c>
      <c r="G1306" s="48" t="s">
        <v>103</v>
      </c>
      <c r="H1306" s="82" t="n">
        <f aca="false">DATE(YEAR(A1306),MONTH(A1306),1)</f>
        <v>43952</v>
      </c>
    </row>
    <row r="1307" customFormat="false" ht="15" hidden="false" customHeight="false" outlineLevel="0" collapsed="false">
      <c r="A1307" s="81" t="n">
        <v>43958</v>
      </c>
      <c r="B1307" s="48" t="n">
        <v>6</v>
      </c>
      <c r="C1307" s="48" t="n">
        <v>0</v>
      </c>
      <c r="D1307" s="48" t="n">
        <v>0</v>
      </c>
      <c r="E1307" s="48" t="s">
        <v>112</v>
      </c>
      <c r="F1307" s="48" t="s">
        <v>75</v>
      </c>
      <c r="G1307" s="48" t="s">
        <v>629</v>
      </c>
      <c r="H1307" s="82" t="n">
        <f aca="false">DATE(YEAR(A1307),MONTH(A1307),1)</f>
        <v>43952</v>
      </c>
    </row>
    <row r="1308" customFormat="false" ht="15" hidden="false" customHeight="false" outlineLevel="0" collapsed="false">
      <c r="A1308" s="81" t="n">
        <v>43958</v>
      </c>
      <c r="B1308" s="48" t="n">
        <v>36</v>
      </c>
      <c r="C1308" s="48" t="n">
        <v>0</v>
      </c>
      <c r="D1308" s="48" t="n">
        <v>0</v>
      </c>
      <c r="E1308" s="48" t="s">
        <v>112</v>
      </c>
      <c r="F1308" s="48" t="s">
        <v>74</v>
      </c>
      <c r="G1308" s="48" t="s">
        <v>95</v>
      </c>
      <c r="H1308" s="82" t="n">
        <f aca="false">DATE(YEAR(A1308),MONTH(A1308),1)</f>
        <v>43952</v>
      </c>
    </row>
    <row r="1309" customFormat="false" ht="15" hidden="false" customHeight="false" outlineLevel="0" collapsed="false">
      <c r="A1309" s="81" t="n">
        <v>43958</v>
      </c>
      <c r="B1309" s="48" t="n">
        <v>129</v>
      </c>
      <c r="C1309" s="48" t="n">
        <v>4</v>
      </c>
      <c r="D1309" s="48" t="n">
        <v>0</v>
      </c>
      <c r="E1309" s="48" t="s">
        <v>112</v>
      </c>
      <c r="F1309" s="48" t="s">
        <v>72</v>
      </c>
      <c r="G1309" s="48" t="s">
        <v>94</v>
      </c>
      <c r="H1309" s="82" t="n">
        <f aca="false">DATE(YEAR(A1309),MONTH(A1309),1)</f>
        <v>43952</v>
      </c>
    </row>
    <row r="1310" customFormat="false" ht="15" hidden="false" customHeight="false" outlineLevel="0" collapsed="false">
      <c r="A1310" s="81" t="n">
        <v>43958</v>
      </c>
      <c r="B1310" s="48" t="n">
        <v>13</v>
      </c>
      <c r="C1310" s="48" t="n">
        <v>0</v>
      </c>
      <c r="D1310" s="48" t="n">
        <v>0</v>
      </c>
      <c r="E1310" s="48" t="s">
        <v>112</v>
      </c>
      <c r="F1310" s="48" t="s">
        <v>72</v>
      </c>
      <c r="G1310" s="48" t="s">
        <v>597</v>
      </c>
      <c r="H1310" s="82" t="n">
        <f aca="false">DATE(YEAR(A1310),MONTH(A1310),1)</f>
        <v>43952</v>
      </c>
    </row>
    <row r="1311" customFormat="false" ht="15" hidden="false" customHeight="false" outlineLevel="0" collapsed="false">
      <c r="A1311" s="81" t="n">
        <v>43958</v>
      </c>
      <c r="B1311" s="48" t="n">
        <v>2</v>
      </c>
      <c r="C1311" s="48" t="n">
        <v>0</v>
      </c>
      <c r="D1311" s="48" t="n">
        <v>0</v>
      </c>
      <c r="E1311" s="48" t="s">
        <v>112</v>
      </c>
      <c r="F1311" s="48" t="s">
        <v>72</v>
      </c>
      <c r="G1311" s="48" t="s">
        <v>594</v>
      </c>
      <c r="H1311" s="82" t="n">
        <f aca="false">DATE(YEAR(A1311),MONTH(A1311),1)</f>
        <v>43952</v>
      </c>
    </row>
    <row r="1312" customFormat="false" ht="15" hidden="false" customHeight="false" outlineLevel="0" collapsed="false">
      <c r="A1312" s="81" t="n">
        <v>43958</v>
      </c>
      <c r="B1312" s="48" t="n">
        <v>1</v>
      </c>
      <c r="C1312" s="48" t="n">
        <v>0</v>
      </c>
      <c r="D1312" s="48" t="n">
        <v>0</v>
      </c>
      <c r="E1312" s="48" t="s">
        <v>112</v>
      </c>
      <c r="F1312" s="48" t="s">
        <v>72</v>
      </c>
      <c r="G1312" s="48" t="s">
        <v>599</v>
      </c>
      <c r="H1312" s="82" t="n">
        <f aca="false">DATE(YEAR(A1312),MONTH(A1312),1)</f>
        <v>43952</v>
      </c>
    </row>
    <row r="1313" customFormat="false" ht="15" hidden="false" customHeight="false" outlineLevel="0" collapsed="false">
      <c r="A1313" s="81" t="n">
        <v>43958</v>
      </c>
      <c r="B1313" s="48" t="n">
        <v>0</v>
      </c>
      <c r="C1313" s="48" t="n">
        <v>0</v>
      </c>
      <c r="D1313" s="48" t="n">
        <v>0</v>
      </c>
      <c r="E1313" s="48" t="s">
        <v>112</v>
      </c>
      <c r="F1313" s="48" t="s">
        <v>72</v>
      </c>
      <c r="G1313" s="48" t="s">
        <v>656</v>
      </c>
      <c r="H1313" s="82" t="n">
        <f aca="false">DATE(YEAR(A1313),MONTH(A1313),1)</f>
        <v>43952</v>
      </c>
    </row>
    <row r="1314" customFormat="false" ht="15" hidden="false" customHeight="false" outlineLevel="0" collapsed="false">
      <c r="A1314" s="81" t="n">
        <v>43958</v>
      </c>
      <c r="B1314" s="48" t="n">
        <v>12</v>
      </c>
      <c r="C1314" s="48" t="n">
        <v>0</v>
      </c>
      <c r="D1314" s="48" t="n">
        <v>0</v>
      </c>
      <c r="E1314" s="48" t="s">
        <v>112</v>
      </c>
      <c r="F1314" s="48" t="s">
        <v>72</v>
      </c>
      <c r="G1314" s="48" t="s">
        <v>102</v>
      </c>
      <c r="H1314" s="82" t="n">
        <f aca="false">DATE(YEAR(A1314),MONTH(A1314),1)</f>
        <v>43952</v>
      </c>
    </row>
    <row r="1315" customFormat="false" ht="15" hidden="false" customHeight="false" outlineLevel="0" collapsed="false">
      <c r="A1315" s="81" t="n">
        <v>43958</v>
      </c>
      <c r="B1315" s="48" t="n">
        <v>1</v>
      </c>
      <c r="C1315" s="48" t="n">
        <v>0</v>
      </c>
      <c r="D1315" s="48" t="n">
        <v>0</v>
      </c>
      <c r="E1315" s="48" t="s">
        <v>112</v>
      </c>
      <c r="F1315" s="48" t="s">
        <v>72</v>
      </c>
      <c r="G1315" s="48" t="s">
        <v>611</v>
      </c>
      <c r="H1315" s="82" t="n">
        <f aca="false">DATE(YEAR(A1315),MONTH(A1315),1)</f>
        <v>43952</v>
      </c>
    </row>
    <row r="1316" customFormat="false" ht="15" hidden="false" customHeight="false" outlineLevel="0" collapsed="false">
      <c r="A1316" s="81" t="n">
        <v>43958</v>
      </c>
      <c r="B1316" s="48" t="n">
        <v>32</v>
      </c>
      <c r="C1316" s="48" t="n">
        <v>0</v>
      </c>
      <c r="D1316" s="48" t="n">
        <v>0</v>
      </c>
      <c r="E1316" s="48" t="s">
        <v>112</v>
      </c>
      <c r="F1316" s="48" t="s">
        <v>72</v>
      </c>
      <c r="G1316" s="48" t="s">
        <v>96</v>
      </c>
      <c r="H1316" s="82" t="n">
        <f aca="false">DATE(YEAR(A1316),MONTH(A1316),1)</f>
        <v>43952</v>
      </c>
    </row>
    <row r="1317" customFormat="false" ht="15" hidden="false" customHeight="false" outlineLevel="0" collapsed="false">
      <c r="A1317" s="81" t="n">
        <v>43958</v>
      </c>
      <c r="B1317" s="48" t="n">
        <v>7</v>
      </c>
      <c r="C1317" s="48" t="n">
        <v>0</v>
      </c>
      <c r="D1317" s="48" t="n">
        <v>0</v>
      </c>
      <c r="E1317" s="48" t="s">
        <v>112</v>
      </c>
      <c r="F1317" s="48" t="s">
        <v>72</v>
      </c>
      <c r="G1317" s="48" t="s">
        <v>603</v>
      </c>
      <c r="H1317" s="82" t="n">
        <f aca="false">DATE(YEAR(A1317),MONTH(A1317),1)</f>
        <v>43952</v>
      </c>
    </row>
    <row r="1318" customFormat="false" ht="15" hidden="false" customHeight="false" outlineLevel="0" collapsed="false">
      <c r="A1318" s="81" t="n">
        <v>43958</v>
      </c>
      <c r="B1318" s="48" t="n">
        <v>4</v>
      </c>
      <c r="C1318" s="48" t="n">
        <v>0</v>
      </c>
      <c r="D1318" s="48" t="n">
        <v>0</v>
      </c>
      <c r="E1318" s="48" t="s">
        <v>112</v>
      </c>
      <c r="F1318" s="48" t="s">
        <v>72</v>
      </c>
      <c r="G1318" s="48" t="s">
        <v>591</v>
      </c>
      <c r="H1318" s="82" t="n">
        <f aca="false">DATE(YEAR(A1318),MONTH(A1318),1)</f>
        <v>43952</v>
      </c>
    </row>
    <row r="1319" customFormat="false" ht="15" hidden="false" customHeight="false" outlineLevel="0" collapsed="false">
      <c r="A1319" s="81" t="n">
        <v>43958</v>
      </c>
      <c r="B1319" s="48" t="n">
        <v>0</v>
      </c>
      <c r="C1319" s="48" t="n">
        <v>0</v>
      </c>
      <c r="D1319" s="48" t="n">
        <v>0</v>
      </c>
      <c r="E1319" s="48" t="s">
        <v>112</v>
      </c>
      <c r="F1319" s="48" t="s">
        <v>72</v>
      </c>
      <c r="G1319" s="48" t="s">
        <v>598</v>
      </c>
      <c r="H1319" s="82" t="n">
        <f aca="false">DATE(YEAR(A1319),MONTH(A1319),1)</f>
        <v>43952</v>
      </c>
    </row>
    <row r="1320" customFormat="false" ht="15" hidden="false" customHeight="false" outlineLevel="0" collapsed="false">
      <c r="A1320" s="81" t="n">
        <v>43958</v>
      </c>
      <c r="B1320" s="48" t="n">
        <v>0</v>
      </c>
      <c r="C1320" s="48" t="n">
        <v>0</v>
      </c>
      <c r="D1320" s="48" t="n">
        <v>0</v>
      </c>
      <c r="E1320" s="48" t="s">
        <v>112</v>
      </c>
      <c r="F1320" s="48" t="s">
        <v>72</v>
      </c>
      <c r="G1320" s="48" t="s">
        <v>609</v>
      </c>
      <c r="H1320" s="82" t="n">
        <f aca="false">DATE(YEAR(A1320),MONTH(A1320),1)</f>
        <v>43952</v>
      </c>
    </row>
    <row r="1321" customFormat="false" ht="15" hidden="false" customHeight="false" outlineLevel="0" collapsed="false">
      <c r="A1321" s="81" t="n">
        <v>43958</v>
      </c>
      <c r="B1321" s="48" t="n">
        <v>20</v>
      </c>
      <c r="C1321" s="48" t="n">
        <v>1</v>
      </c>
      <c r="D1321" s="48" t="n">
        <v>0</v>
      </c>
      <c r="E1321" s="48" t="s">
        <v>112</v>
      </c>
      <c r="F1321" s="48" t="s">
        <v>72</v>
      </c>
      <c r="G1321" s="48" t="s">
        <v>101</v>
      </c>
      <c r="H1321" s="82" t="n">
        <f aca="false">DATE(YEAR(A1321),MONTH(A1321),1)</f>
        <v>43952</v>
      </c>
    </row>
    <row r="1322" customFormat="false" ht="15" hidden="false" customHeight="false" outlineLevel="0" collapsed="false">
      <c r="A1322" s="81" t="n">
        <v>43958</v>
      </c>
      <c r="B1322" s="48" t="n">
        <v>0</v>
      </c>
      <c r="C1322" s="48" t="n">
        <v>0</v>
      </c>
      <c r="D1322" s="48" t="n">
        <v>0</v>
      </c>
      <c r="E1322" s="48" t="s">
        <v>112</v>
      </c>
      <c r="F1322" s="48" t="s">
        <v>72</v>
      </c>
      <c r="G1322" s="48" t="s">
        <v>643</v>
      </c>
      <c r="H1322" s="82" t="n">
        <f aca="false">DATE(YEAR(A1322),MONTH(A1322),1)</f>
        <v>43952</v>
      </c>
    </row>
    <row r="1323" customFormat="false" ht="15" hidden="false" customHeight="false" outlineLevel="0" collapsed="false">
      <c r="A1323" s="81" t="n">
        <v>43958</v>
      </c>
      <c r="B1323" s="48" t="n">
        <v>0</v>
      </c>
      <c r="C1323" s="48" t="n">
        <v>0</v>
      </c>
      <c r="D1323" s="48" t="n">
        <v>0</v>
      </c>
      <c r="E1323" s="48" t="s">
        <v>112</v>
      </c>
      <c r="F1323" s="48" t="s">
        <v>72</v>
      </c>
      <c r="G1323" s="48" t="s">
        <v>662</v>
      </c>
      <c r="H1323" s="82" t="n">
        <f aca="false">DATE(YEAR(A1323),MONTH(A1323),1)</f>
        <v>43952</v>
      </c>
    </row>
    <row r="1324" customFormat="false" ht="15" hidden="false" customHeight="false" outlineLevel="0" collapsed="false">
      <c r="A1324" s="81" t="n">
        <v>43958</v>
      </c>
      <c r="B1324" s="48" t="n">
        <v>8</v>
      </c>
      <c r="C1324" s="48" t="n">
        <v>0</v>
      </c>
      <c r="D1324" s="48" t="n">
        <v>0</v>
      </c>
      <c r="E1324" s="48" t="s">
        <v>112</v>
      </c>
      <c r="F1324" s="48" t="s">
        <v>72</v>
      </c>
      <c r="G1324" s="48" t="s">
        <v>600</v>
      </c>
      <c r="H1324" s="82" t="n">
        <f aca="false">DATE(YEAR(A1324),MONTH(A1324),1)</f>
        <v>43952</v>
      </c>
    </row>
    <row r="1325" customFormat="false" ht="15" hidden="false" customHeight="false" outlineLevel="0" collapsed="false">
      <c r="A1325" s="81" t="n">
        <v>43958</v>
      </c>
      <c r="B1325" s="48" t="n">
        <v>2</v>
      </c>
      <c r="C1325" s="48" t="n">
        <v>1</v>
      </c>
      <c r="D1325" s="48" t="n">
        <v>0</v>
      </c>
      <c r="E1325" s="48" t="s">
        <v>112</v>
      </c>
      <c r="F1325" s="48" t="s">
        <v>72</v>
      </c>
      <c r="G1325" s="48" t="s">
        <v>610</v>
      </c>
      <c r="H1325" s="82" t="n">
        <f aca="false">DATE(YEAR(A1325),MONTH(A1325),1)</f>
        <v>43952</v>
      </c>
    </row>
    <row r="1326" customFormat="false" ht="15" hidden="false" customHeight="false" outlineLevel="0" collapsed="false">
      <c r="A1326" s="81" t="n">
        <v>43958</v>
      </c>
      <c r="B1326" s="48" t="n">
        <v>2</v>
      </c>
      <c r="C1326" s="48" t="n">
        <v>0</v>
      </c>
      <c r="D1326" s="48" t="n">
        <v>0</v>
      </c>
      <c r="E1326" s="48" t="s">
        <v>112</v>
      </c>
      <c r="F1326" s="48" t="s">
        <v>72</v>
      </c>
      <c r="G1326" s="48" t="s">
        <v>593</v>
      </c>
      <c r="H1326" s="82" t="n">
        <f aca="false">DATE(YEAR(A1326),MONTH(A1326),1)</f>
        <v>43952</v>
      </c>
    </row>
    <row r="1327" customFormat="false" ht="15" hidden="false" customHeight="false" outlineLevel="0" collapsed="false">
      <c r="A1327" s="81" t="n">
        <v>43958</v>
      </c>
      <c r="B1327" s="48" t="n">
        <v>0</v>
      </c>
      <c r="C1327" s="48" t="n">
        <v>0</v>
      </c>
      <c r="D1327" s="48" t="n">
        <v>0</v>
      </c>
      <c r="E1327" s="48" t="s">
        <v>112</v>
      </c>
      <c r="F1327" s="48" t="s">
        <v>72</v>
      </c>
      <c r="G1327" s="48" t="s">
        <v>612</v>
      </c>
      <c r="H1327" s="82" t="n">
        <f aca="false">DATE(YEAR(A1327),MONTH(A1327),1)</f>
        <v>43952</v>
      </c>
    </row>
    <row r="1328" customFormat="false" ht="15" hidden="false" customHeight="false" outlineLevel="0" collapsed="false">
      <c r="A1328" s="81" t="n">
        <v>43958</v>
      </c>
      <c r="B1328" s="48" t="n">
        <v>0</v>
      </c>
      <c r="C1328" s="48" t="n">
        <v>0</v>
      </c>
      <c r="D1328" s="48" t="n">
        <v>0</v>
      </c>
      <c r="E1328" s="48" t="s">
        <v>112</v>
      </c>
      <c r="F1328" s="48" t="s">
        <v>72</v>
      </c>
      <c r="G1328" s="48" t="s">
        <v>685</v>
      </c>
      <c r="H1328" s="82" t="n">
        <f aca="false">DATE(YEAR(A1328),MONTH(A1328),1)</f>
        <v>43952</v>
      </c>
    </row>
    <row r="1329" customFormat="false" ht="15" hidden="false" customHeight="false" outlineLevel="0" collapsed="false">
      <c r="A1329" s="81" t="n">
        <v>43958</v>
      </c>
      <c r="B1329" s="48" t="n">
        <v>0</v>
      </c>
      <c r="C1329" s="48" t="n">
        <v>0</v>
      </c>
      <c r="D1329" s="48" t="n">
        <v>0</v>
      </c>
      <c r="E1329" s="48" t="s">
        <v>112</v>
      </c>
      <c r="F1329" s="48" t="s">
        <v>72</v>
      </c>
      <c r="G1329" s="48" t="s">
        <v>687</v>
      </c>
      <c r="H1329" s="82" t="n">
        <f aca="false">DATE(YEAR(A1329),MONTH(A1329),1)</f>
        <v>43952</v>
      </c>
    </row>
    <row r="1330" customFormat="false" ht="15" hidden="false" customHeight="false" outlineLevel="0" collapsed="false">
      <c r="A1330" s="81" t="n">
        <v>43958</v>
      </c>
      <c r="B1330" s="48" t="n">
        <v>0</v>
      </c>
      <c r="C1330" s="48" t="n">
        <v>0</v>
      </c>
      <c r="D1330" s="48" t="n">
        <v>0</v>
      </c>
      <c r="E1330" s="48" t="s">
        <v>112</v>
      </c>
      <c r="F1330" s="48" t="s">
        <v>72</v>
      </c>
      <c r="G1330" s="48" t="s">
        <v>682</v>
      </c>
      <c r="H1330" s="82" t="n">
        <f aca="false">DATE(YEAR(A1330),MONTH(A1330),1)</f>
        <v>43952</v>
      </c>
    </row>
    <row r="1331" customFormat="false" ht="15" hidden="false" customHeight="false" outlineLevel="0" collapsed="false">
      <c r="A1331" s="81" t="n">
        <v>43958</v>
      </c>
      <c r="B1331" s="48" t="n">
        <v>0</v>
      </c>
      <c r="C1331" s="48" t="n">
        <v>0</v>
      </c>
      <c r="D1331" s="48" t="n">
        <v>0</v>
      </c>
      <c r="E1331" s="48" t="s">
        <v>112</v>
      </c>
      <c r="F1331" s="48" t="s">
        <v>72</v>
      </c>
      <c r="G1331" s="48" t="s">
        <v>692</v>
      </c>
      <c r="H1331" s="82" t="n">
        <f aca="false">DATE(YEAR(A1331),MONTH(A1331),1)</f>
        <v>43952</v>
      </c>
    </row>
    <row r="1332" customFormat="false" ht="15" hidden="false" customHeight="false" outlineLevel="0" collapsed="false">
      <c r="A1332" s="81" t="n">
        <v>43958</v>
      </c>
      <c r="B1332" s="48" t="n">
        <v>0</v>
      </c>
      <c r="C1332" s="48" t="n">
        <v>0</v>
      </c>
      <c r="D1332" s="48" t="n">
        <v>0</v>
      </c>
      <c r="E1332" s="48" t="s">
        <v>112</v>
      </c>
      <c r="F1332" s="48" t="s">
        <v>72</v>
      </c>
      <c r="G1332" s="48" t="s">
        <v>613</v>
      </c>
      <c r="H1332" s="82" t="n">
        <f aca="false">DATE(YEAR(A1332),MONTH(A1332),1)</f>
        <v>43952</v>
      </c>
    </row>
    <row r="1333" customFormat="false" ht="15" hidden="false" customHeight="false" outlineLevel="0" collapsed="false">
      <c r="A1333" s="81" t="n">
        <v>43958</v>
      </c>
      <c r="B1333" s="48" t="n">
        <v>2</v>
      </c>
      <c r="C1333" s="48" t="n">
        <v>0</v>
      </c>
      <c r="D1333" s="48" t="n">
        <v>0</v>
      </c>
      <c r="E1333" s="48" t="s">
        <v>112</v>
      </c>
      <c r="F1333" s="48" t="s">
        <v>72</v>
      </c>
      <c r="G1333" s="48" t="s">
        <v>614</v>
      </c>
      <c r="H1333" s="82" t="n">
        <f aca="false">DATE(YEAR(A1333),MONTH(A1333),1)</f>
        <v>43952</v>
      </c>
    </row>
    <row r="1334" customFormat="false" ht="15" hidden="false" customHeight="false" outlineLevel="0" collapsed="false">
      <c r="A1334" s="81" t="n">
        <v>43958</v>
      </c>
      <c r="B1334" s="48" t="n">
        <v>0</v>
      </c>
      <c r="C1334" s="48" t="n">
        <v>0</v>
      </c>
      <c r="D1334" s="48" t="n">
        <v>0</v>
      </c>
      <c r="E1334" s="48" t="s">
        <v>112</v>
      </c>
      <c r="F1334" s="48" t="s">
        <v>72</v>
      </c>
      <c r="G1334" s="48" t="s">
        <v>655</v>
      </c>
      <c r="H1334" s="82" t="n">
        <f aca="false">DATE(YEAR(A1334),MONTH(A1334),1)</f>
        <v>43952</v>
      </c>
    </row>
    <row r="1335" customFormat="false" ht="15" hidden="false" customHeight="false" outlineLevel="0" collapsed="false">
      <c r="A1335" s="81" t="n">
        <v>43958</v>
      </c>
      <c r="B1335" s="48" t="n">
        <v>0</v>
      </c>
      <c r="C1335" s="48" t="n">
        <v>0</v>
      </c>
      <c r="D1335" s="48" t="n">
        <v>0</v>
      </c>
      <c r="E1335" s="48" t="s">
        <v>112</v>
      </c>
      <c r="F1335" s="48" t="s">
        <v>72</v>
      </c>
      <c r="G1335" s="48" t="s">
        <v>608</v>
      </c>
      <c r="H1335" s="82" t="n">
        <f aca="false">DATE(YEAR(A1335),MONTH(A1335),1)</f>
        <v>43952</v>
      </c>
    </row>
    <row r="1336" customFormat="false" ht="15" hidden="false" customHeight="false" outlineLevel="0" collapsed="false">
      <c r="A1336" s="81" t="n">
        <v>43958</v>
      </c>
      <c r="B1336" s="48" t="n">
        <v>2</v>
      </c>
      <c r="C1336" s="48" t="n">
        <v>0</v>
      </c>
      <c r="D1336" s="48" t="n">
        <v>0</v>
      </c>
      <c r="E1336" s="48" t="s">
        <v>112</v>
      </c>
      <c r="F1336" s="48" t="s">
        <v>72</v>
      </c>
      <c r="G1336" s="48" t="s">
        <v>615</v>
      </c>
      <c r="H1336" s="82" t="n">
        <f aca="false">DATE(YEAR(A1336),MONTH(A1336),1)</f>
        <v>43952</v>
      </c>
    </row>
    <row r="1337" customFormat="false" ht="15" hidden="false" customHeight="false" outlineLevel="0" collapsed="false">
      <c r="A1337" s="81" t="n">
        <v>43958</v>
      </c>
      <c r="B1337" s="48" t="n">
        <v>0</v>
      </c>
      <c r="C1337" s="48" t="n">
        <v>0</v>
      </c>
      <c r="D1337" s="48" t="n">
        <v>0</v>
      </c>
      <c r="E1337" s="48" t="s">
        <v>112</v>
      </c>
      <c r="F1337" s="48" t="s">
        <v>72</v>
      </c>
      <c r="G1337" s="48" t="s">
        <v>666</v>
      </c>
      <c r="H1337" s="82" t="n">
        <f aca="false">DATE(YEAR(A1337),MONTH(A1337),1)</f>
        <v>43952</v>
      </c>
    </row>
    <row r="1338" customFormat="false" ht="15" hidden="false" customHeight="false" outlineLevel="0" collapsed="false">
      <c r="A1338" s="81" t="n">
        <v>43958</v>
      </c>
      <c r="B1338" s="48" t="n">
        <v>5</v>
      </c>
      <c r="C1338" s="48" t="n">
        <v>0</v>
      </c>
      <c r="D1338" s="48" t="n">
        <v>0</v>
      </c>
      <c r="E1338" s="48" t="s">
        <v>112</v>
      </c>
      <c r="F1338" s="48" t="s">
        <v>72</v>
      </c>
      <c r="G1338" s="48" t="s">
        <v>621</v>
      </c>
      <c r="H1338" s="82" t="n">
        <f aca="false">DATE(YEAR(A1338),MONTH(A1338),1)</f>
        <v>43952</v>
      </c>
    </row>
    <row r="1339" customFormat="false" ht="15" hidden="false" customHeight="false" outlineLevel="0" collapsed="false">
      <c r="A1339" s="81" t="n">
        <v>43958</v>
      </c>
      <c r="B1339" s="48" t="n">
        <v>0</v>
      </c>
      <c r="C1339" s="48" t="n">
        <v>0</v>
      </c>
      <c r="D1339" s="48" t="n">
        <v>0</v>
      </c>
      <c r="E1339" s="48" t="s">
        <v>112</v>
      </c>
      <c r="F1339" s="48" t="s">
        <v>72</v>
      </c>
      <c r="G1339" s="48" t="s">
        <v>664</v>
      </c>
      <c r="H1339" s="82" t="n">
        <f aca="false">DATE(YEAR(A1339),MONTH(A1339),1)</f>
        <v>43952</v>
      </c>
    </row>
    <row r="1340" customFormat="false" ht="15" hidden="false" customHeight="false" outlineLevel="0" collapsed="false">
      <c r="A1340" s="81" t="n">
        <v>43958</v>
      </c>
      <c r="B1340" s="48" t="n">
        <v>0</v>
      </c>
      <c r="C1340" s="48" t="n">
        <v>0</v>
      </c>
      <c r="D1340" s="48" t="n">
        <v>0</v>
      </c>
      <c r="E1340" s="48" t="s">
        <v>112</v>
      </c>
      <c r="F1340" s="48" t="s">
        <v>72</v>
      </c>
      <c r="G1340" s="48" t="s">
        <v>667</v>
      </c>
      <c r="H1340" s="82" t="n">
        <f aca="false">DATE(YEAR(A1340),MONTH(A1340),1)</f>
        <v>43952</v>
      </c>
    </row>
    <row r="1341" customFormat="false" ht="15" hidden="false" customHeight="false" outlineLevel="0" collapsed="false">
      <c r="A1341" s="81" t="n">
        <v>43958</v>
      </c>
      <c r="B1341" s="48" t="n">
        <v>0</v>
      </c>
      <c r="C1341" s="48" t="n">
        <v>0</v>
      </c>
      <c r="D1341" s="48" t="n">
        <v>0</v>
      </c>
      <c r="E1341" s="48" t="s">
        <v>112</v>
      </c>
      <c r="F1341" s="48" t="s">
        <v>72</v>
      </c>
      <c r="G1341" s="48" t="s">
        <v>607</v>
      </c>
      <c r="H1341" s="82" t="n">
        <f aca="false">DATE(YEAR(A1341),MONTH(A1341),1)</f>
        <v>43952</v>
      </c>
    </row>
    <row r="1342" customFormat="false" ht="15" hidden="false" customHeight="false" outlineLevel="0" collapsed="false">
      <c r="A1342" s="81" t="n">
        <v>43958</v>
      </c>
      <c r="B1342" s="48" t="n">
        <v>2</v>
      </c>
      <c r="C1342" s="48" t="n">
        <v>0</v>
      </c>
      <c r="D1342" s="48" t="n">
        <v>0</v>
      </c>
      <c r="E1342" s="48" t="s">
        <v>112</v>
      </c>
      <c r="F1342" s="48" t="s">
        <v>72</v>
      </c>
      <c r="G1342" s="48" t="s">
        <v>673</v>
      </c>
      <c r="H1342" s="82" t="n">
        <f aca="false">DATE(YEAR(A1342),MONTH(A1342),1)</f>
        <v>43952</v>
      </c>
    </row>
    <row r="1343" customFormat="false" ht="15" hidden="false" customHeight="false" outlineLevel="0" collapsed="false">
      <c r="A1343" s="81" t="n">
        <v>43958</v>
      </c>
      <c r="B1343" s="48" t="n">
        <v>0</v>
      </c>
      <c r="C1343" s="48" t="n">
        <v>0</v>
      </c>
      <c r="D1343" s="48" t="n">
        <v>0</v>
      </c>
      <c r="E1343" s="48" t="s">
        <v>112</v>
      </c>
      <c r="F1343" s="48" t="s">
        <v>72</v>
      </c>
      <c r="G1343" s="48" t="s">
        <v>676</v>
      </c>
      <c r="H1343" s="82" t="n">
        <f aca="false">DATE(YEAR(A1343),MONTH(A1343),1)</f>
        <v>43952</v>
      </c>
    </row>
    <row r="1344" customFormat="false" ht="15" hidden="false" customHeight="false" outlineLevel="0" collapsed="false">
      <c r="A1344" s="81" t="n">
        <v>43958</v>
      </c>
      <c r="B1344" s="48" t="n">
        <v>118</v>
      </c>
      <c r="C1344" s="48" t="n">
        <v>7</v>
      </c>
      <c r="D1344" s="48" t="n">
        <v>0</v>
      </c>
      <c r="E1344" s="48" t="s">
        <v>112</v>
      </c>
      <c r="F1344" s="48" t="s">
        <v>71</v>
      </c>
      <c r="G1344" s="48" t="s">
        <v>92</v>
      </c>
      <c r="H1344" s="82" t="n">
        <f aca="false">DATE(YEAR(A1344),MONTH(A1344),1)</f>
        <v>43952</v>
      </c>
    </row>
    <row r="1345" customFormat="false" ht="15" hidden="false" customHeight="false" outlineLevel="0" collapsed="false">
      <c r="A1345" s="81" t="n">
        <v>43958</v>
      </c>
      <c r="B1345" s="48" t="n">
        <v>453</v>
      </c>
      <c r="C1345" s="48" t="n">
        <v>14</v>
      </c>
      <c r="D1345" s="48" t="n">
        <v>9</v>
      </c>
      <c r="E1345" s="48" t="s">
        <v>112</v>
      </c>
      <c r="F1345" s="48" t="s">
        <v>70</v>
      </c>
      <c r="G1345" s="48" t="s">
        <v>91</v>
      </c>
      <c r="H1345" s="82" t="n">
        <f aca="false">DATE(YEAR(A1345),MONTH(A1345),1)</f>
        <v>43952</v>
      </c>
    </row>
    <row r="1346" customFormat="false" ht="15" hidden="false" customHeight="false" outlineLevel="0" collapsed="false">
      <c r="A1346" s="81" t="n">
        <v>43959</v>
      </c>
      <c r="B1346" s="48" t="n">
        <v>2</v>
      </c>
      <c r="C1346" s="48" t="n">
        <v>0</v>
      </c>
      <c r="D1346" s="48" t="n">
        <v>0</v>
      </c>
      <c r="E1346" s="48" t="s">
        <v>112</v>
      </c>
      <c r="F1346" s="48" t="s">
        <v>76</v>
      </c>
      <c r="G1346" s="48" t="s">
        <v>595</v>
      </c>
      <c r="H1346" s="82" t="n">
        <f aca="false">DATE(YEAR(A1346),MONTH(A1346),1)</f>
        <v>43952</v>
      </c>
    </row>
    <row r="1347" customFormat="false" ht="15" hidden="false" customHeight="false" outlineLevel="0" collapsed="false">
      <c r="A1347" s="81" t="n">
        <v>43959</v>
      </c>
      <c r="B1347" s="48" t="n">
        <v>62</v>
      </c>
      <c r="C1347" s="48" t="n">
        <v>2</v>
      </c>
      <c r="D1347" s="48" t="n">
        <v>13</v>
      </c>
      <c r="E1347" s="48" t="s">
        <v>112</v>
      </c>
      <c r="F1347" s="48" t="s">
        <v>73</v>
      </c>
      <c r="G1347" s="48" t="s">
        <v>93</v>
      </c>
      <c r="H1347" s="82" t="n">
        <f aca="false">DATE(YEAR(A1347),MONTH(A1347),1)</f>
        <v>43952</v>
      </c>
    </row>
    <row r="1348" customFormat="false" ht="15" hidden="false" customHeight="false" outlineLevel="0" collapsed="false">
      <c r="A1348" s="81" t="n">
        <v>43959</v>
      </c>
      <c r="B1348" s="48" t="n">
        <v>37</v>
      </c>
      <c r="C1348" s="48" t="n">
        <v>0</v>
      </c>
      <c r="D1348" s="48" t="n">
        <v>0</v>
      </c>
      <c r="E1348" s="48" t="s">
        <v>112</v>
      </c>
      <c r="F1348" s="48" t="s">
        <v>74</v>
      </c>
      <c r="G1348" s="48" t="s">
        <v>95</v>
      </c>
      <c r="H1348" s="82" t="n">
        <f aca="false">DATE(YEAR(A1348),MONTH(A1348),1)</f>
        <v>43952</v>
      </c>
    </row>
    <row r="1349" customFormat="false" ht="15" hidden="false" customHeight="false" outlineLevel="0" collapsed="false">
      <c r="A1349" s="81" t="n">
        <v>43959</v>
      </c>
      <c r="B1349" s="48" t="n">
        <v>141</v>
      </c>
      <c r="C1349" s="48" t="n">
        <v>5</v>
      </c>
      <c r="D1349" s="48" t="n">
        <v>0</v>
      </c>
      <c r="E1349" s="48" t="s">
        <v>112</v>
      </c>
      <c r="F1349" s="48" t="s">
        <v>72</v>
      </c>
      <c r="G1349" s="48" t="s">
        <v>94</v>
      </c>
      <c r="H1349" s="82" t="n">
        <f aca="false">DATE(YEAR(A1349),MONTH(A1349),1)</f>
        <v>43952</v>
      </c>
    </row>
    <row r="1350" customFormat="false" ht="15" hidden="false" customHeight="false" outlineLevel="0" collapsed="false">
      <c r="A1350" s="81" t="n">
        <v>43959</v>
      </c>
      <c r="B1350" s="48" t="n">
        <v>3</v>
      </c>
      <c r="C1350" s="48" t="n">
        <v>0</v>
      </c>
      <c r="D1350" s="48" t="n">
        <v>0</v>
      </c>
      <c r="E1350" s="48" t="s">
        <v>112</v>
      </c>
      <c r="F1350" s="48" t="s">
        <v>72</v>
      </c>
      <c r="G1350" s="48" t="s">
        <v>597</v>
      </c>
      <c r="H1350" s="82" t="n">
        <f aca="false">DATE(YEAR(A1350),MONTH(A1350),1)</f>
        <v>43952</v>
      </c>
    </row>
    <row r="1351" customFormat="false" ht="15" hidden="false" customHeight="false" outlineLevel="0" collapsed="false">
      <c r="A1351" s="81" t="n">
        <v>43959</v>
      </c>
      <c r="B1351" s="48" t="n">
        <v>19</v>
      </c>
      <c r="C1351" s="48" t="n">
        <v>0</v>
      </c>
      <c r="D1351" s="48" t="n">
        <v>0</v>
      </c>
      <c r="E1351" s="48" t="s">
        <v>112</v>
      </c>
      <c r="F1351" s="48" t="s">
        <v>72</v>
      </c>
      <c r="G1351" s="48" t="s">
        <v>594</v>
      </c>
      <c r="H1351" s="82" t="n">
        <f aca="false">DATE(YEAR(A1351),MONTH(A1351),1)</f>
        <v>43952</v>
      </c>
    </row>
    <row r="1352" customFormat="false" ht="15" hidden="false" customHeight="false" outlineLevel="0" collapsed="false">
      <c r="A1352" s="81" t="n">
        <v>43959</v>
      </c>
      <c r="B1352" s="48" t="n">
        <v>0</v>
      </c>
      <c r="C1352" s="48" t="n">
        <v>0</v>
      </c>
      <c r="D1352" s="48" t="n">
        <v>0</v>
      </c>
      <c r="E1352" s="48" t="s">
        <v>112</v>
      </c>
      <c r="F1352" s="48" t="s">
        <v>72</v>
      </c>
      <c r="G1352" s="48" t="s">
        <v>599</v>
      </c>
      <c r="H1352" s="82" t="n">
        <f aca="false">DATE(YEAR(A1352),MONTH(A1352),1)</f>
        <v>43952</v>
      </c>
    </row>
    <row r="1353" customFormat="false" ht="15" hidden="false" customHeight="false" outlineLevel="0" collapsed="false">
      <c r="A1353" s="81" t="n">
        <v>43959</v>
      </c>
      <c r="B1353" s="48" t="n">
        <v>0</v>
      </c>
      <c r="C1353" s="48" t="n">
        <v>0</v>
      </c>
      <c r="D1353" s="48" t="n">
        <v>0</v>
      </c>
      <c r="E1353" s="48" t="s">
        <v>112</v>
      </c>
      <c r="F1353" s="48" t="s">
        <v>72</v>
      </c>
      <c r="G1353" s="48" t="s">
        <v>656</v>
      </c>
      <c r="H1353" s="82" t="n">
        <f aca="false">DATE(YEAR(A1353),MONTH(A1353),1)</f>
        <v>43952</v>
      </c>
    </row>
    <row r="1354" customFormat="false" ht="15" hidden="false" customHeight="false" outlineLevel="0" collapsed="false">
      <c r="A1354" s="81" t="n">
        <v>43959</v>
      </c>
      <c r="B1354" s="48" t="n">
        <v>0</v>
      </c>
      <c r="C1354" s="48" t="n">
        <v>0</v>
      </c>
      <c r="D1354" s="48" t="n">
        <v>0</v>
      </c>
      <c r="E1354" s="48" t="s">
        <v>112</v>
      </c>
      <c r="F1354" s="48" t="s">
        <v>72</v>
      </c>
      <c r="G1354" s="48" t="s">
        <v>102</v>
      </c>
      <c r="H1354" s="82" t="n">
        <f aca="false">DATE(YEAR(A1354),MONTH(A1354),1)</f>
        <v>43952</v>
      </c>
    </row>
    <row r="1355" customFormat="false" ht="15" hidden="false" customHeight="false" outlineLevel="0" collapsed="false">
      <c r="A1355" s="81" t="n">
        <v>43959</v>
      </c>
      <c r="B1355" s="48" t="n">
        <v>1</v>
      </c>
      <c r="C1355" s="48" t="n">
        <v>1</v>
      </c>
      <c r="D1355" s="48" t="n">
        <v>0</v>
      </c>
      <c r="E1355" s="48" t="s">
        <v>112</v>
      </c>
      <c r="F1355" s="48" t="s">
        <v>72</v>
      </c>
      <c r="G1355" s="48" t="s">
        <v>611</v>
      </c>
      <c r="H1355" s="82" t="n">
        <f aca="false">DATE(YEAR(A1355),MONTH(A1355),1)</f>
        <v>43952</v>
      </c>
    </row>
    <row r="1356" customFormat="false" ht="15" hidden="false" customHeight="false" outlineLevel="0" collapsed="false">
      <c r="A1356" s="81" t="n">
        <v>43959</v>
      </c>
      <c r="B1356" s="48" t="n">
        <v>49</v>
      </c>
      <c r="C1356" s="48" t="n">
        <v>5</v>
      </c>
      <c r="D1356" s="48" t="n">
        <v>0</v>
      </c>
      <c r="E1356" s="48" t="s">
        <v>112</v>
      </c>
      <c r="F1356" s="48" t="s">
        <v>72</v>
      </c>
      <c r="G1356" s="48" t="s">
        <v>96</v>
      </c>
      <c r="H1356" s="82" t="n">
        <f aca="false">DATE(YEAR(A1356),MONTH(A1356),1)</f>
        <v>43952</v>
      </c>
    </row>
    <row r="1357" customFormat="false" ht="15" hidden="false" customHeight="false" outlineLevel="0" collapsed="false">
      <c r="A1357" s="81" t="n">
        <v>43959</v>
      </c>
      <c r="B1357" s="48" t="n">
        <v>1</v>
      </c>
      <c r="C1357" s="48" t="n">
        <v>0</v>
      </c>
      <c r="D1357" s="48" t="n">
        <v>0</v>
      </c>
      <c r="E1357" s="48" t="s">
        <v>112</v>
      </c>
      <c r="F1357" s="48" t="s">
        <v>72</v>
      </c>
      <c r="G1357" s="48" t="s">
        <v>603</v>
      </c>
      <c r="H1357" s="82" t="n">
        <f aca="false">DATE(YEAR(A1357),MONTH(A1357),1)</f>
        <v>43952</v>
      </c>
    </row>
    <row r="1358" customFormat="false" ht="15" hidden="false" customHeight="false" outlineLevel="0" collapsed="false">
      <c r="A1358" s="81" t="n">
        <v>43959</v>
      </c>
      <c r="B1358" s="48" t="n">
        <v>13</v>
      </c>
      <c r="C1358" s="48" t="n">
        <v>1</v>
      </c>
      <c r="D1358" s="48" t="n">
        <v>0</v>
      </c>
      <c r="E1358" s="48" t="s">
        <v>112</v>
      </c>
      <c r="F1358" s="48" t="s">
        <v>72</v>
      </c>
      <c r="G1358" s="48" t="s">
        <v>591</v>
      </c>
      <c r="H1358" s="82" t="n">
        <f aca="false">DATE(YEAR(A1358),MONTH(A1358),1)</f>
        <v>43952</v>
      </c>
    </row>
    <row r="1359" customFormat="false" ht="15" hidden="false" customHeight="false" outlineLevel="0" collapsed="false">
      <c r="A1359" s="81" t="n">
        <v>43959</v>
      </c>
      <c r="B1359" s="48" t="n">
        <v>16</v>
      </c>
      <c r="C1359" s="48" t="n">
        <v>0</v>
      </c>
      <c r="D1359" s="48" t="n">
        <v>0</v>
      </c>
      <c r="E1359" s="48" t="s">
        <v>112</v>
      </c>
      <c r="F1359" s="48" t="s">
        <v>72</v>
      </c>
      <c r="G1359" s="48" t="s">
        <v>598</v>
      </c>
      <c r="H1359" s="82" t="n">
        <f aca="false">DATE(YEAR(A1359),MONTH(A1359),1)</f>
        <v>43952</v>
      </c>
    </row>
    <row r="1360" customFormat="false" ht="15" hidden="false" customHeight="false" outlineLevel="0" collapsed="false">
      <c r="A1360" s="81" t="n">
        <v>43959</v>
      </c>
      <c r="B1360" s="48" t="n">
        <v>4</v>
      </c>
      <c r="C1360" s="48" t="n">
        <v>0</v>
      </c>
      <c r="D1360" s="48" t="n">
        <v>0</v>
      </c>
      <c r="E1360" s="48" t="s">
        <v>112</v>
      </c>
      <c r="F1360" s="48" t="s">
        <v>72</v>
      </c>
      <c r="G1360" s="48" t="s">
        <v>609</v>
      </c>
      <c r="H1360" s="82" t="n">
        <f aca="false">DATE(YEAR(A1360),MONTH(A1360),1)</f>
        <v>43952</v>
      </c>
    </row>
    <row r="1361" customFormat="false" ht="15" hidden="false" customHeight="false" outlineLevel="0" collapsed="false">
      <c r="A1361" s="81" t="n">
        <v>43959</v>
      </c>
      <c r="B1361" s="48" t="n">
        <v>19</v>
      </c>
      <c r="C1361" s="48" t="n">
        <v>0</v>
      </c>
      <c r="D1361" s="48" t="n">
        <v>0</v>
      </c>
      <c r="E1361" s="48" t="s">
        <v>112</v>
      </c>
      <c r="F1361" s="48" t="s">
        <v>72</v>
      </c>
      <c r="G1361" s="48" t="s">
        <v>101</v>
      </c>
      <c r="H1361" s="82" t="n">
        <f aca="false">DATE(YEAR(A1361),MONTH(A1361),1)</f>
        <v>43952</v>
      </c>
    </row>
    <row r="1362" customFormat="false" ht="15" hidden="false" customHeight="false" outlineLevel="0" collapsed="false">
      <c r="A1362" s="81" t="n">
        <v>43959</v>
      </c>
      <c r="B1362" s="48" t="n">
        <v>2</v>
      </c>
      <c r="C1362" s="48" t="n">
        <v>0</v>
      </c>
      <c r="D1362" s="48" t="n">
        <v>0</v>
      </c>
      <c r="E1362" s="48" t="s">
        <v>112</v>
      </c>
      <c r="F1362" s="48" t="s">
        <v>72</v>
      </c>
      <c r="G1362" s="48" t="s">
        <v>643</v>
      </c>
      <c r="H1362" s="82" t="n">
        <f aca="false">DATE(YEAR(A1362),MONTH(A1362),1)</f>
        <v>43952</v>
      </c>
    </row>
    <row r="1363" customFormat="false" ht="15" hidden="false" customHeight="false" outlineLevel="0" collapsed="false">
      <c r="A1363" s="81" t="n">
        <v>43959</v>
      </c>
      <c r="B1363" s="48" t="n">
        <v>0</v>
      </c>
      <c r="C1363" s="48" t="n">
        <v>0</v>
      </c>
      <c r="D1363" s="48" t="n">
        <v>0</v>
      </c>
      <c r="E1363" s="48" t="s">
        <v>112</v>
      </c>
      <c r="F1363" s="48" t="s">
        <v>72</v>
      </c>
      <c r="G1363" s="48" t="s">
        <v>662</v>
      </c>
      <c r="H1363" s="82" t="n">
        <f aca="false">DATE(YEAR(A1363),MONTH(A1363),1)</f>
        <v>43952</v>
      </c>
    </row>
    <row r="1364" customFormat="false" ht="15" hidden="false" customHeight="false" outlineLevel="0" collapsed="false">
      <c r="A1364" s="81" t="n">
        <v>43959</v>
      </c>
      <c r="B1364" s="48" t="n">
        <v>5</v>
      </c>
      <c r="C1364" s="48" t="n">
        <v>0</v>
      </c>
      <c r="D1364" s="48" t="n">
        <v>0</v>
      </c>
      <c r="E1364" s="48" t="s">
        <v>112</v>
      </c>
      <c r="F1364" s="48" t="s">
        <v>72</v>
      </c>
      <c r="G1364" s="48" t="s">
        <v>600</v>
      </c>
      <c r="H1364" s="82" t="n">
        <f aca="false">DATE(YEAR(A1364),MONTH(A1364),1)</f>
        <v>43952</v>
      </c>
    </row>
    <row r="1365" customFormat="false" ht="15" hidden="false" customHeight="false" outlineLevel="0" collapsed="false">
      <c r="A1365" s="81" t="n">
        <v>43959</v>
      </c>
      <c r="B1365" s="48" t="n">
        <v>5</v>
      </c>
      <c r="C1365" s="48" t="n">
        <v>0</v>
      </c>
      <c r="D1365" s="48" t="n">
        <v>0</v>
      </c>
      <c r="E1365" s="48" t="s">
        <v>112</v>
      </c>
      <c r="F1365" s="48" t="s">
        <v>72</v>
      </c>
      <c r="G1365" s="48" t="s">
        <v>610</v>
      </c>
      <c r="H1365" s="82" t="n">
        <f aca="false">DATE(YEAR(A1365),MONTH(A1365),1)</f>
        <v>43952</v>
      </c>
    </row>
    <row r="1366" customFormat="false" ht="15" hidden="false" customHeight="false" outlineLevel="0" collapsed="false">
      <c r="A1366" s="81" t="n">
        <v>43959</v>
      </c>
      <c r="B1366" s="48" t="n">
        <v>3</v>
      </c>
      <c r="C1366" s="48" t="n">
        <v>0</v>
      </c>
      <c r="D1366" s="48" t="n">
        <v>0</v>
      </c>
      <c r="E1366" s="48" t="s">
        <v>112</v>
      </c>
      <c r="F1366" s="48" t="s">
        <v>72</v>
      </c>
      <c r="G1366" s="48" t="s">
        <v>593</v>
      </c>
      <c r="H1366" s="82" t="n">
        <f aca="false">DATE(YEAR(A1366),MONTH(A1366),1)</f>
        <v>43952</v>
      </c>
    </row>
    <row r="1367" customFormat="false" ht="15" hidden="false" customHeight="false" outlineLevel="0" collapsed="false">
      <c r="A1367" s="81" t="n">
        <v>43959</v>
      </c>
      <c r="B1367" s="48" t="n">
        <v>0</v>
      </c>
      <c r="C1367" s="48" t="n">
        <v>0</v>
      </c>
      <c r="D1367" s="48" t="n">
        <v>0</v>
      </c>
      <c r="E1367" s="48" t="s">
        <v>112</v>
      </c>
      <c r="F1367" s="48" t="s">
        <v>72</v>
      </c>
      <c r="G1367" s="48" t="s">
        <v>612</v>
      </c>
      <c r="H1367" s="82" t="n">
        <f aca="false">DATE(YEAR(A1367),MONTH(A1367),1)</f>
        <v>43952</v>
      </c>
    </row>
    <row r="1368" customFormat="false" ht="15" hidden="false" customHeight="false" outlineLevel="0" collapsed="false">
      <c r="A1368" s="81" t="n">
        <v>43959</v>
      </c>
      <c r="B1368" s="48" t="n">
        <v>0</v>
      </c>
      <c r="C1368" s="48" t="n">
        <v>0</v>
      </c>
      <c r="D1368" s="48" t="n">
        <v>0</v>
      </c>
      <c r="E1368" s="48" t="s">
        <v>112</v>
      </c>
      <c r="F1368" s="48" t="s">
        <v>72</v>
      </c>
      <c r="G1368" s="48" t="s">
        <v>685</v>
      </c>
      <c r="H1368" s="82" t="n">
        <f aca="false">DATE(YEAR(A1368),MONTH(A1368),1)</f>
        <v>43952</v>
      </c>
    </row>
    <row r="1369" customFormat="false" ht="15" hidden="false" customHeight="false" outlineLevel="0" collapsed="false">
      <c r="A1369" s="81" t="n">
        <v>43959</v>
      </c>
      <c r="B1369" s="48" t="n">
        <v>0</v>
      </c>
      <c r="C1369" s="48" t="n">
        <v>0</v>
      </c>
      <c r="D1369" s="48" t="n">
        <v>0</v>
      </c>
      <c r="E1369" s="48" t="s">
        <v>112</v>
      </c>
      <c r="F1369" s="48" t="s">
        <v>72</v>
      </c>
      <c r="G1369" s="48" t="s">
        <v>687</v>
      </c>
      <c r="H1369" s="82" t="n">
        <f aca="false">DATE(YEAR(A1369),MONTH(A1369),1)</f>
        <v>43952</v>
      </c>
    </row>
    <row r="1370" customFormat="false" ht="15" hidden="false" customHeight="false" outlineLevel="0" collapsed="false">
      <c r="A1370" s="81" t="n">
        <v>43959</v>
      </c>
      <c r="B1370" s="48" t="n">
        <v>0</v>
      </c>
      <c r="C1370" s="48" t="n">
        <v>0</v>
      </c>
      <c r="D1370" s="48" t="n">
        <v>0</v>
      </c>
      <c r="E1370" s="48" t="s">
        <v>112</v>
      </c>
      <c r="F1370" s="48" t="s">
        <v>72</v>
      </c>
      <c r="G1370" s="48" t="s">
        <v>682</v>
      </c>
      <c r="H1370" s="82" t="n">
        <f aca="false">DATE(YEAR(A1370),MONTH(A1370),1)</f>
        <v>43952</v>
      </c>
    </row>
    <row r="1371" customFormat="false" ht="15" hidden="false" customHeight="false" outlineLevel="0" collapsed="false">
      <c r="A1371" s="81" t="n">
        <v>43959</v>
      </c>
      <c r="B1371" s="48" t="n">
        <v>0</v>
      </c>
      <c r="C1371" s="48" t="n">
        <v>0</v>
      </c>
      <c r="D1371" s="48" t="n">
        <v>0</v>
      </c>
      <c r="E1371" s="48" t="s">
        <v>112</v>
      </c>
      <c r="F1371" s="48" t="s">
        <v>72</v>
      </c>
      <c r="G1371" s="48" t="s">
        <v>692</v>
      </c>
      <c r="H1371" s="82" t="n">
        <f aca="false">DATE(YEAR(A1371),MONTH(A1371),1)</f>
        <v>43952</v>
      </c>
    </row>
    <row r="1372" customFormat="false" ht="15" hidden="false" customHeight="false" outlineLevel="0" collapsed="false">
      <c r="A1372" s="81" t="n">
        <v>43959</v>
      </c>
      <c r="B1372" s="48" t="n">
        <v>3</v>
      </c>
      <c r="C1372" s="48" t="n">
        <v>0</v>
      </c>
      <c r="D1372" s="48" t="n">
        <v>0</v>
      </c>
      <c r="E1372" s="48" t="s">
        <v>112</v>
      </c>
      <c r="F1372" s="48" t="s">
        <v>72</v>
      </c>
      <c r="G1372" s="48" t="s">
        <v>613</v>
      </c>
      <c r="H1372" s="82" t="n">
        <f aca="false">DATE(YEAR(A1372),MONTH(A1372),1)</f>
        <v>43952</v>
      </c>
    </row>
    <row r="1373" customFormat="false" ht="15" hidden="false" customHeight="false" outlineLevel="0" collapsed="false">
      <c r="A1373" s="81" t="n">
        <v>43959</v>
      </c>
      <c r="B1373" s="48" t="n">
        <v>3</v>
      </c>
      <c r="C1373" s="48" t="n">
        <v>0</v>
      </c>
      <c r="D1373" s="48" t="n">
        <v>0</v>
      </c>
      <c r="E1373" s="48" t="s">
        <v>112</v>
      </c>
      <c r="F1373" s="48" t="s">
        <v>72</v>
      </c>
      <c r="G1373" s="48" t="s">
        <v>614</v>
      </c>
      <c r="H1373" s="82" t="n">
        <f aca="false">DATE(YEAR(A1373),MONTH(A1373),1)</f>
        <v>43952</v>
      </c>
    </row>
    <row r="1374" customFormat="false" ht="15" hidden="false" customHeight="false" outlineLevel="0" collapsed="false">
      <c r="A1374" s="81" t="n">
        <v>43959</v>
      </c>
      <c r="B1374" s="48" t="n">
        <v>0</v>
      </c>
      <c r="C1374" s="48" t="n">
        <v>0</v>
      </c>
      <c r="D1374" s="48" t="n">
        <v>0</v>
      </c>
      <c r="E1374" s="48" t="s">
        <v>112</v>
      </c>
      <c r="F1374" s="48" t="s">
        <v>72</v>
      </c>
      <c r="G1374" s="48" t="s">
        <v>655</v>
      </c>
      <c r="H1374" s="82" t="n">
        <f aca="false">DATE(YEAR(A1374),MONTH(A1374),1)</f>
        <v>43952</v>
      </c>
    </row>
    <row r="1375" customFormat="false" ht="15" hidden="false" customHeight="false" outlineLevel="0" collapsed="false">
      <c r="A1375" s="81" t="n">
        <v>43959</v>
      </c>
      <c r="B1375" s="48" t="n">
        <v>0</v>
      </c>
      <c r="C1375" s="48" t="n">
        <v>0</v>
      </c>
      <c r="D1375" s="48" t="n">
        <v>0</v>
      </c>
      <c r="E1375" s="48" t="s">
        <v>112</v>
      </c>
      <c r="F1375" s="48" t="s">
        <v>72</v>
      </c>
      <c r="G1375" s="48" t="s">
        <v>608</v>
      </c>
      <c r="H1375" s="82" t="n">
        <f aca="false">DATE(YEAR(A1375),MONTH(A1375),1)</f>
        <v>43952</v>
      </c>
    </row>
    <row r="1376" customFormat="false" ht="15" hidden="false" customHeight="false" outlineLevel="0" collapsed="false">
      <c r="A1376" s="81" t="n">
        <v>43959</v>
      </c>
      <c r="B1376" s="48" t="n">
        <v>0</v>
      </c>
      <c r="C1376" s="48" t="n">
        <v>0</v>
      </c>
      <c r="D1376" s="48" t="n">
        <v>0</v>
      </c>
      <c r="E1376" s="48" t="s">
        <v>112</v>
      </c>
      <c r="F1376" s="48" t="s">
        <v>72</v>
      </c>
      <c r="G1376" s="48" t="s">
        <v>615</v>
      </c>
      <c r="H1376" s="82" t="n">
        <f aca="false">DATE(YEAR(A1376),MONTH(A1376),1)</f>
        <v>43952</v>
      </c>
    </row>
    <row r="1377" customFormat="false" ht="15" hidden="false" customHeight="false" outlineLevel="0" collapsed="false">
      <c r="A1377" s="81" t="n">
        <v>43959</v>
      </c>
      <c r="B1377" s="48" t="n">
        <v>0</v>
      </c>
      <c r="C1377" s="48" t="n">
        <v>0</v>
      </c>
      <c r="D1377" s="48" t="n">
        <v>0</v>
      </c>
      <c r="E1377" s="48" t="s">
        <v>112</v>
      </c>
      <c r="F1377" s="48" t="s">
        <v>72</v>
      </c>
      <c r="G1377" s="48" t="s">
        <v>666</v>
      </c>
      <c r="H1377" s="82" t="n">
        <f aca="false">DATE(YEAR(A1377),MONTH(A1377),1)</f>
        <v>43952</v>
      </c>
    </row>
    <row r="1378" customFormat="false" ht="15" hidden="false" customHeight="false" outlineLevel="0" collapsed="false">
      <c r="A1378" s="81" t="n">
        <v>43959</v>
      </c>
      <c r="B1378" s="48" t="n">
        <v>3</v>
      </c>
      <c r="C1378" s="48" t="n">
        <v>0</v>
      </c>
      <c r="D1378" s="48" t="n">
        <v>0</v>
      </c>
      <c r="E1378" s="48" t="s">
        <v>112</v>
      </c>
      <c r="F1378" s="48" t="s">
        <v>72</v>
      </c>
      <c r="G1378" s="48" t="s">
        <v>621</v>
      </c>
      <c r="H1378" s="82" t="n">
        <f aca="false">DATE(YEAR(A1378),MONTH(A1378),1)</f>
        <v>43952</v>
      </c>
    </row>
    <row r="1379" customFormat="false" ht="15" hidden="false" customHeight="false" outlineLevel="0" collapsed="false">
      <c r="A1379" s="81" t="n">
        <v>43959</v>
      </c>
      <c r="B1379" s="48" t="n">
        <v>0</v>
      </c>
      <c r="C1379" s="48" t="n">
        <v>0</v>
      </c>
      <c r="D1379" s="48" t="n">
        <v>0</v>
      </c>
      <c r="E1379" s="48" t="s">
        <v>112</v>
      </c>
      <c r="F1379" s="48" t="s">
        <v>72</v>
      </c>
      <c r="G1379" s="48" t="s">
        <v>664</v>
      </c>
      <c r="H1379" s="82" t="n">
        <f aca="false">DATE(YEAR(A1379),MONTH(A1379),1)</f>
        <v>43952</v>
      </c>
    </row>
    <row r="1380" customFormat="false" ht="15" hidden="false" customHeight="false" outlineLevel="0" collapsed="false">
      <c r="A1380" s="81" t="n">
        <v>43959</v>
      </c>
      <c r="B1380" s="48" t="n">
        <v>0</v>
      </c>
      <c r="C1380" s="48" t="n">
        <v>0</v>
      </c>
      <c r="D1380" s="48" t="n">
        <v>0</v>
      </c>
      <c r="E1380" s="48" t="s">
        <v>112</v>
      </c>
      <c r="F1380" s="48" t="s">
        <v>72</v>
      </c>
      <c r="G1380" s="48" t="s">
        <v>667</v>
      </c>
      <c r="H1380" s="82" t="n">
        <f aca="false">DATE(YEAR(A1380),MONTH(A1380),1)</f>
        <v>43952</v>
      </c>
    </row>
    <row r="1381" customFormat="false" ht="15" hidden="false" customHeight="false" outlineLevel="0" collapsed="false">
      <c r="A1381" s="81" t="n">
        <v>43959</v>
      </c>
      <c r="B1381" s="48" t="n">
        <v>2</v>
      </c>
      <c r="C1381" s="48" t="n">
        <v>0</v>
      </c>
      <c r="D1381" s="48" t="n">
        <v>0</v>
      </c>
      <c r="E1381" s="48" t="s">
        <v>112</v>
      </c>
      <c r="F1381" s="48" t="s">
        <v>72</v>
      </c>
      <c r="G1381" s="48" t="s">
        <v>607</v>
      </c>
      <c r="H1381" s="82" t="n">
        <f aca="false">DATE(YEAR(A1381),MONTH(A1381),1)</f>
        <v>43952</v>
      </c>
    </row>
    <row r="1382" customFormat="false" ht="15" hidden="false" customHeight="false" outlineLevel="0" collapsed="false">
      <c r="A1382" s="81" t="n">
        <v>43959</v>
      </c>
      <c r="B1382" s="48" t="n">
        <v>0</v>
      </c>
      <c r="C1382" s="48" t="n">
        <v>0</v>
      </c>
      <c r="D1382" s="48" t="n">
        <v>0</v>
      </c>
      <c r="E1382" s="48" t="s">
        <v>112</v>
      </c>
      <c r="F1382" s="48" t="s">
        <v>72</v>
      </c>
      <c r="G1382" s="48" t="s">
        <v>673</v>
      </c>
      <c r="H1382" s="82" t="n">
        <f aca="false">DATE(YEAR(A1382),MONTH(A1382),1)</f>
        <v>43952</v>
      </c>
    </row>
    <row r="1383" customFormat="false" ht="15" hidden="false" customHeight="false" outlineLevel="0" collapsed="false">
      <c r="A1383" s="81" t="n">
        <v>43959</v>
      </c>
      <c r="B1383" s="48" t="n">
        <v>0</v>
      </c>
      <c r="C1383" s="48" t="n">
        <v>0</v>
      </c>
      <c r="D1383" s="48" t="n">
        <v>0</v>
      </c>
      <c r="E1383" s="48" t="s">
        <v>112</v>
      </c>
      <c r="F1383" s="48" t="s">
        <v>72</v>
      </c>
      <c r="G1383" s="48" t="s">
        <v>676</v>
      </c>
      <c r="H1383" s="82" t="n">
        <f aca="false">DATE(YEAR(A1383),MONTH(A1383),1)</f>
        <v>43952</v>
      </c>
    </row>
    <row r="1384" customFormat="false" ht="15" hidden="false" customHeight="false" outlineLevel="0" collapsed="false">
      <c r="A1384" s="81" t="n">
        <v>43959</v>
      </c>
      <c r="B1384" s="48" t="n">
        <v>838</v>
      </c>
      <c r="C1384" s="48" t="n">
        <v>12</v>
      </c>
      <c r="D1384" s="48" t="n">
        <v>0</v>
      </c>
      <c r="E1384" s="48" t="s">
        <v>112</v>
      </c>
      <c r="F1384" s="48" t="s">
        <v>71</v>
      </c>
      <c r="G1384" s="48" t="s">
        <v>92</v>
      </c>
      <c r="H1384" s="82" t="n">
        <f aca="false">DATE(YEAR(A1384),MONTH(A1384),1)</f>
        <v>43952</v>
      </c>
    </row>
    <row r="1385" customFormat="false" ht="15" hidden="false" customHeight="false" outlineLevel="0" collapsed="false">
      <c r="A1385" s="81" t="n">
        <v>43959</v>
      </c>
      <c r="B1385" s="48" t="n">
        <v>598</v>
      </c>
      <c r="C1385" s="48" t="n">
        <v>5</v>
      </c>
      <c r="D1385" s="48" t="n">
        <v>0</v>
      </c>
      <c r="E1385" s="48" t="s">
        <v>112</v>
      </c>
      <c r="F1385" s="48" t="s">
        <v>70</v>
      </c>
      <c r="G1385" s="48" t="s">
        <v>91</v>
      </c>
      <c r="H1385" s="82" t="n">
        <f aca="false">DATE(YEAR(A1385),MONTH(A1385),1)</f>
        <v>43952</v>
      </c>
    </row>
    <row r="1386" customFormat="false" ht="15" hidden="false" customHeight="false" outlineLevel="0" collapsed="false">
      <c r="A1386" s="81" t="n">
        <v>43960</v>
      </c>
      <c r="B1386" s="48" t="n">
        <v>1</v>
      </c>
      <c r="C1386" s="48" t="n">
        <v>0</v>
      </c>
      <c r="D1386" s="48" t="n">
        <v>0</v>
      </c>
      <c r="E1386" s="48" t="s">
        <v>112</v>
      </c>
      <c r="F1386" s="48" t="s">
        <v>76</v>
      </c>
      <c r="G1386" s="48" t="s">
        <v>595</v>
      </c>
      <c r="H1386" s="82" t="n">
        <f aca="false">DATE(YEAR(A1386),MONTH(A1386),1)</f>
        <v>43952</v>
      </c>
    </row>
    <row r="1387" customFormat="false" ht="15" hidden="false" customHeight="false" outlineLevel="0" collapsed="false">
      <c r="A1387" s="81" t="n">
        <v>43960</v>
      </c>
      <c r="B1387" s="48" t="n">
        <v>151</v>
      </c>
      <c r="C1387" s="48" t="n">
        <v>0</v>
      </c>
      <c r="D1387" s="48" t="n">
        <v>13</v>
      </c>
      <c r="E1387" s="48" t="s">
        <v>112</v>
      </c>
      <c r="F1387" s="48" t="s">
        <v>73</v>
      </c>
      <c r="G1387" s="48" t="s">
        <v>93</v>
      </c>
      <c r="H1387" s="82" t="n">
        <f aca="false">DATE(YEAR(A1387),MONTH(A1387),1)</f>
        <v>43952</v>
      </c>
    </row>
    <row r="1388" customFormat="false" ht="15" hidden="false" customHeight="false" outlineLevel="0" collapsed="false">
      <c r="A1388" s="81" t="n">
        <v>43960</v>
      </c>
      <c r="B1388" s="48" t="n">
        <v>36</v>
      </c>
      <c r="C1388" s="48" t="n">
        <v>1</v>
      </c>
      <c r="D1388" s="48" t="n">
        <v>5</v>
      </c>
      <c r="E1388" s="48" t="s">
        <v>112</v>
      </c>
      <c r="F1388" s="48" t="s">
        <v>75</v>
      </c>
      <c r="G1388" s="48" t="s">
        <v>103</v>
      </c>
      <c r="H1388" s="82" t="n">
        <f aca="false">DATE(YEAR(A1388),MONTH(A1388),1)</f>
        <v>43952</v>
      </c>
    </row>
    <row r="1389" customFormat="false" ht="15" hidden="false" customHeight="false" outlineLevel="0" collapsed="false">
      <c r="A1389" s="81" t="n">
        <v>43960</v>
      </c>
      <c r="B1389" s="48" t="n">
        <v>51</v>
      </c>
      <c r="C1389" s="48" t="n">
        <v>0</v>
      </c>
      <c r="D1389" s="48" t="n">
        <v>0</v>
      </c>
      <c r="E1389" s="48" t="s">
        <v>112</v>
      </c>
      <c r="F1389" s="48" t="s">
        <v>74</v>
      </c>
      <c r="G1389" s="48" t="s">
        <v>95</v>
      </c>
      <c r="H1389" s="82" t="n">
        <f aca="false">DATE(YEAR(A1389),MONTH(A1389),1)</f>
        <v>43952</v>
      </c>
    </row>
    <row r="1390" customFormat="false" ht="15" hidden="false" customHeight="false" outlineLevel="0" collapsed="false">
      <c r="A1390" s="81" t="n">
        <v>43960</v>
      </c>
      <c r="B1390" s="48" t="n">
        <v>83</v>
      </c>
      <c r="C1390" s="48" t="n">
        <v>7</v>
      </c>
      <c r="D1390" s="48" t="n">
        <v>0</v>
      </c>
      <c r="E1390" s="48" t="s">
        <v>112</v>
      </c>
      <c r="F1390" s="48" t="s">
        <v>72</v>
      </c>
      <c r="G1390" s="48" t="s">
        <v>94</v>
      </c>
      <c r="H1390" s="82" t="n">
        <f aca="false">DATE(YEAR(A1390),MONTH(A1390),1)</f>
        <v>43952</v>
      </c>
    </row>
    <row r="1391" customFormat="false" ht="15" hidden="false" customHeight="false" outlineLevel="0" collapsed="false">
      <c r="A1391" s="81" t="n">
        <v>43960</v>
      </c>
      <c r="B1391" s="48" t="n">
        <v>3</v>
      </c>
      <c r="C1391" s="48" t="n">
        <v>1</v>
      </c>
      <c r="D1391" s="48" t="n">
        <v>0</v>
      </c>
      <c r="E1391" s="48" t="s">
        <v>112</v>
      </c>
      <c r="F1391" s="48" t="s">
        <v>72</v>
      </c>
      <c r="G1391" s="48" t="s">
        <v>597</v>
      </c>
      <c r="H1391" s="82" t="n">
        <f aca="false">DATE(YEAR(A1391),MONTH(A1391),1)</f>
        <v>43952</v>
      </c>
    </row>
    <row r="1392" customFormat="false" ht="15" hidden="false" customHeight="false" outlineLevel="0" collapsed="false">
      <c r="A1392" s="81" t="n">
        <v>43960</v>
      </c>
      <c r="B1392" s="48" t="n">
        <v>2</v>
      </c>
      <c r="C1392" s="48" t="n">
        <v>0</v>
      </c>
      <c r="D1392" s="48" t="n">
        <v>0</v>
      </c>
      <c r="E1392" s="48" t="s">
        <v>112</v>
      </c>
      <c r="F1392" s="48" t="s">
        <v>72</v>
      </c>
      <c r="G1392" s="48" t="s">
        <v>594</v>
      </c>
      <c r="H1392" s="82" t="n">
        <f aca="false">DATE(YEAR(A1392),MONTH(A1392),1)</f>
        <v>43952</v>
      </c>
    </row>
    <row r="1393" customFormat="false" ht="15" hidden="false" customHeight="false" outlineLevel="0" collapsed="false">
      <c r="A1393" s="81" t="n">
        <v>43960</v>
      </c>
      <c r="B1393" s="48" t="n">
        <v>10</v>
      </c>
      <c r="C1393" s="48" t="n">
        <v>1</v>
      </c>
      <c r="D1393" s="48" t="n">
        <v>0</v>
      </c>
      <c r="E1393" s="48" t="s">
        <v>112</v>
      </c>
      <c r="F1393" s="48" t="s">
        <v>72</v>
      </c>
      <c r="G1393" s="48" t="s">
        <v>599</v>
      </c>
      <c r="H1393" s="82" t="n">
        <f aca="false">DATE(YEAR(A1393),MONTH(A1393),1)</f>
        <v>43952</v>
      </c>
    </row>
    <row r="1394" customFormat="false" ht="15" hidden="false" customHeight="false" outlineLevel="0" collapsed="false">
      <c r="A1394" s="81" t="n">
        <v>43960</v>
      </c>
      <c r="B1394" s="48" t="n">
        <v>1</v>
      </c>
      <c r="C1394" s="48" t="n">
        <v>0</v>
      </c>
      <c r="D1394" s="48" t="n">
        <v>0</v>
      </c>
      <c r="E1394" s="48" t="s">
        <v>112</v>
      </c>
      <c r="F1394" s="48" t="s">
        <v>72</v>
      </c>
      <c r="G1394" s="48" t="s">
        <v>656</v>
      </c>
      <c r="H1394" s="82" t="n">
        <f aca="false">DATE(YEAR(A1394),MONTH(A1394),1)</f>
        <v>43952</v>
      </c>
    </row>
    <row r="1395" customFormat="false" ht="15" hidden="false" customHeight="false" outlineLevel="0" collapsed="false">
      <c r="A1395" s="81" t="n">
        <v>43960</v>
      </c>
      <c r="B1395" s="48" t="n">
        <v>6</v>
      </c>
      <c r="C1395" s="48" t="n">
        <v>1</v>
      </c>
      <c r="D1395" s="48" t="n">
        <v>0</v>
      </c>
      <c r="E1395" s="48" t="s">
        <v>112</v>
      </c>
      <c r="F1395" s="48" t="s">
        <v>72</v>
      </c>
      <c r="G1395" s="48" t="s">
        <v>102</v>
      </c>
      <c r="H1395" s="82" t="n">
        <f aca="false">DATE(YEAR(A1395),MONTH(A1395),1)</f>
        <v>43952</v>
      </c>
    </row>
    <row r="1396" customFormat="false" ht="15" hidden="false" customHeight="false" outlineLevel="0" collapsed="false">
      <c r="A1396" s="81" t="n">
        <v>43960</v>
      </c>
      <c r="B1396" s="48" t="n">
        <v>7</v>
      </c>
      <c r="C1396" s="48" t="n">
        <v>0</v>
      </c>
      <c r="D1396" s="48" t="n">
        <v>0</v>
      </c>
      <c r="E1396" s="48" t="s">
        <v>112</v>
      </c>
      <c r="F1396" s="48" t="s">
        <v>72</v>
      </c>
      <c r="G1396" s="48" t="s">
        <v>611</v>
      </c>
      <c r="H1396" s="82" t="n">
        <f aca="false">DATE(YEAR(A1396),MONTH(A1396),1)</f>
        <v>43952</v>
      </c>
    </row>
    <row r="1397" customFormat="false" ht="15" hidden="false" customHeight="false" outlineLevel="0" collapsed="false">
      <c r="A1397" s="81" t="n">
        <v>43960</v>
      </c>
      <c r="B1397" s="48" t="n">
        <v>22</v>
      </c>
      <c r="C1397" s="48" t="n">
        <v>1</v>
      </c>
      <c r="D1397" s="48" t="n">
        <v>0</v>
      </c>
      <c r="E1397" s="48" t="s">
        <v>112</v>
      </c>
      <c r="F1397" s="48" t="s">
        <v>72</v>
      </c>
      <c r="G1397" s="48" t="s">
        <v>96</v>
      </c>
      <c r="H1397" s="82" t="n">
        <f aca="false">DATE(YEAR(A1397),MONTH(A1397),1)</f>
        <v>43952</v>
      </c>
    </row>
    <row r="1398" customFormat="false" ht="15" hidden="false" customHeight="false" outlineLevel="0" collapsed="false">
      <c r="A1398" s="81" t="n">
        <v>43960</v>
      </c>
      <c r="B1398" s="48" t="n">
        <v>4</v>
      </c>
      <c r="C1398" s="48" t="n">
        <v>0</v>
      </c>
      <c r="D1398" s="48" t="n">
        <v>0</v>
      </c>
      <c r="E1398" s="48" t="s">
        <v>112</v>
      </c>
      <c r="F1398" s="48" t="s">
        <v>72</v>
      </c>
      <c r="G1398" s="48" t="s">
        <v>603</v>
      </c>
      <c r="H1398" s="82" t="n">
        <f aca="false">DATE(YEAR(A1398),MONTH(A1398),1)</f>
        <v>43952</v>
      </c>
    </row>
    <row r="1399" customFormat="false" ht="15" hidden="false" customHeight="false" outlineLevel="0" collapsed="false">
      <c r="A1399" s="81" t="n">
        <v>43960</v>
      </c>
      <c r="B1399" s="48" t="n">
        <v>0</v>
      </c>
      <c r="C1399" s="48" t="n">
        <v>0</v>
      </c>
      <c r="D1399" s="48" t="n">
        <v>0</v>
      </c>
      <c r="E1399" s="48" t="s">
        <v>112</v>
      </c>
      <c r="F1399" s="48" t="s">
        <v>72</v>
      </c>
      <c r="G1399" s="48" t="s">
        <v>591</v>
      </c>
      <c r="H1399" s="82" t="n">
        <f aca="false">DATE(YEAR(A1399),MONTH(A1399),1)</f>
        <v>43952</v>
      </c>
    </row>
    <row r="1400" customFormat="false" ht="15" hidden="false" customHeight="false" outlineLevel="0" collapsed="false">
      <c r="A1400" s="81" t="n">
        <v>43960</v>
      </c>
      <c r="B1400" s="48" t="n">
        <v>0</v>
      </c>
      <c r="C1400" s="48" t="n">
        <v>0</v>
      </c>
      <c r="D1400" s="48" t="n">
        <v>0</v>
      </c>
      <c r="E1400" s="48" t="s">
        <v>112</v>
      </c>
      <c r="F1400" s="48" t="s">
        <v>72</v>
      </c>
      <c r="G1400" s="48" t="s">
        <v>598</v>
      </c>
      <c r="H1400" s="82" t="n">
        <f aca="false">DATE(YEAR(A1400),MONTH(A1400),1)</f>
        <v>43952</v>
      </c>
    </row>
    <row r="1401" customFormat="false" ht="15" hidden="false" customHeight="false" outlineLevel="0" collapsed="false">
      <c r="A1401" s="81" t="n">
        <v>43960</v>
      </c>
      <c r="B1401" s="48" t="n">
        <v>2</v>
      </c>
      <c r="C1401" s="48" t="n">
        <v>0</v>
      </c>
      <c r="D1401" s="48" t="n">
        <v>0</v>
      </c>
      <c r="E1401" s="48" t="s">
        <v>112</v>
      </c>
      <c r="F1401" s="48" t="s">
        <v>72</v>
      </c>
      <c r="G1401" s="48" t="s">
        <v>609</v>
      </c>
      <c r="H1401" s="82" t="n">
        <f aca="false">DATE(YEAR(A1401),MONTH(A1401),1)</f>
        <v>43952</v>
      </c>
    </row>
    <row r="1402" customFormat="false" ht="15" hidden="false" customHeight="false" outlineLevel="0" collapsed="false">
      <c r="A1402" s="81" t="n">
        <v>43960</v>
      </c>
      <c r="B1402" s="48" t="n">
        <v>14</v>
      </c>
      <c r="C1402" s="48" t="n">
        <v>1</v>
      </c>
      <c r="D1402" s="48" t="n">
        <v>0</v>
      </c>
      <c r="E1402" s="48" t="s">
        <v>112</v>
      </c>
      <c r="F1402" s="48" t="s">
        <v>72</v>
      </c>
      <c r="G1402" s="48" t="s">
        <v>101</v>
      </c>
      <c r="H1402" s="82" t="n">
        <f aca="false">DATE(YEAR(A1402),MONTH(A1402),1)</f>
        <v>43952</v>
      </c>
    </row>
    <row r="1403" customFormat="false" ht="15" hidden="false" customHeight="false" outlineLevel="0" collapsed="false">
      <c r="A1403" s="81" t="n">
        <v>43960</v>
      </c>
      <c r="B1403" s="48" t="n">
        <v>0</v>
      </c>
      <c r="C1403" s="48" t="n">
        <v>0</v>
      </c>
      <c r="D1403" s="48" t="n">
        <v>0</v>
      </c>
      <c r="E1403" s="48" t="s">
        <v>112</v>
      </c>
      <c r="F1403" s="48" t="s">
        <v>72</v>
      </c>
      <c r="G1403" s="48" t="s">
        <v>643</v>
      </c>
      <c r="H1403" s="82" t="n">
        <f aca="false">DATE(YEAR(A1403),MONTH(A1403),1)</f>
        <v>43952</v>
      </c>
    </row>
    <row r="1404" customFormat="false" ht="15" hidden="false" customHeight="false" outlineLevel="0" collapsed="false">
      <c r="A1404" s="81" t="n">
        <v>43960</v>
      </c>
      <c r="B1404" s="48" t="n">
        <v>0</v>
      </c>
      <c r="C1404" s="48" t="n">
        <v>0</v>
      </c>
      <c r="D1404" s="48" t="n">
        <v>0</v>
      </c>
      <c r="E1404" s="48" t="s">
        <v>112</v>
      </c>
      <c r="F1404" s="48" t="s">
        <v>72</v>
      </c>
      <c r="G1404" s="48" t="s">
        <v>662</v>
      </c>
      <c r="H1404" s="82" t="n">
        <f aca="false">DATE(YEAR(A1404),MONTH(A1404),1)</f>
        <v>43952</v>
      </c>
    </row>
    <row r="1405" customFormat="false" ht="15" hidden="false" customHeight="false" outlineLevel="0" collapsed="false">
      <c r="A1405" s="81" t="n">
        <v>43960</v>
      </c>
      <c r="B1405" s="48" t="n">
        <v>4</v>
      </c>
      <c r="C1405" s="48" t="n">
        <v>0</v>
      </c>
      <c r="D1405" s="48" t="n">
        <v>0</v>
      </c>
      <c r="E1405" s="48" t="s">
        <v>112</v>
      </c>
      <c r="F1405" s="48" t="s">
        <v>72</v>
      </c>
      <c r="G1405" s="48" t="s">
        <v>600</v>
      </c>
      <c r="H1405" s="82" t="n">
        <f aca="false">DATE(YEAR(A1405),MONTH(A1405),1)</f>
        <v>43952</v>
      </c>
    </row>
    <row r="1406" customFormat="false" ht="15" hidden="false" customHeight="false" outlineLevel="0" collapsed="false">
      <c r="A1406" s="81" t="n">
        <v>43960</v>
      </c>
      <c r="B1406" s="48" t="n">
        <v>0</v>
      </c>
      <c r="C1406" s="48" t="n">
        <v>0</v>
      </c>
      <c r="D1406" s="48" t="n">
        <v>0</v>
      </c>
      <c r="E1406" s="48" t="s">
        <v>112</v>
      </c>
      <c r="F1406" s="48" t="s">
        <v>72</v>
      </c>
      <c r="G1406" s="48" t="s">
        <v>610</v>
      </c>
      <c r="H1406" s="82" t="n">
        <f aca="false">DATE(YEAR(A1406),MONTH(A1406),1)</f>
        <v>43952</v>
      </c>
    </row>
    <row r="1407" customFormat="false" ht="15" hidden="false" customHeight="false" outlineLevel="0" collapsed="false">
      <c r="A1407" s="81" t="n">
        <v>43960</v>
      </c>
      <c r="B1407" s="48" t="n">
        <v>2</v>
      </c>
      <c r="C1407" s="48" t="n">
        <v>1</v>
      </c>
      <c r="D1407" s="48" t="n">
        <v>0</v>
      </c>
      <c r="E1407" s="48" t="s">
        <v>112</v>
      </c>
      <c r="F1407" s="48" t="s">
        <v>72</v>
      </c>
      <c r="G1407" s="48" t="s">
        <v>593</v>
      </c>
      <c r="H1407" s="82" t="n">
        <f aca="false">DATE(YEAR(A1407),MONTH(A1407),1)</f>
        <v>43952</v>
      </c>
    </row>
    <row r="1408" customFormat="false" ht="15" hidden="false" customHeight="false" outlineLevel="0" collapsed="false">
      <c r="A1408" s="81" t="n">
        <v>43960</v>
      </c>
      <c r="B1408" s="48" t="n">
        <v>0</v>
      </c>
      <c r="C1408" s="48" t="n">
        <v>0</v>
      </c>
      <c r="D1408" s="48" t="n">
        <v>0</v>
      </c>
      <c r="E1408" s="48" t="s">
        <v>112</v>
      </c>
      <c r="F1408" s="48" t="s">
        <v>72</v>
      </c>
      <c r="G1408" s="48" t="s">
        <v>612</v>
      </c>
      <c r="H1408" s="82" t="n">
        <f aca="false">DATE(YEAR(A1408),MONTH(A1408),1)</f>
        <v>43952</v>
      </c>
    </row>
    <row r="1409" customFormat="false" ht="15" hidden="false" customHeight="false" outlineLevel="0" collapsed="false">
      <c r="A1409" s="81" t="n">
        <v>43960</v>
      </c>
      <c r="B1409" s="48" t="n">
        <v>0</v>
      </c>
      <c r="C1409" s="48" t="n">
        <v>0</v>
      </c>
      <c r="D1409" s="48" t="n">
        <v>0</v>
      </c>
      <c r="E1409" s="48" t="s">
        <v>112</v>
      </c>
      <c r="F1409" s="48" t="s">
        <v>72</v>
      </c>
      <c r="G1409" s="48" t="s">
        <v>685</v>
      </c>
      <c r="H1409" s="82" t="n">
        <f aca="false">DATE(YEAR(A1409),MONTH(A1409),1)</f>
        <v>43952</v>
      </c>
    </row>
    <row r="1410" customFormat="false" ht="15" hidden="false" customHeight="false" outlineLevel="0" collapsed="false">
      <c r="A1410" s="81" t="n">
        <v>43960</v>
      </c>
      <c r="B1410" s="48" t="n">
        <v>0</v>
      </c>
      <c r="C1410" s="48" t="n">
        <v>0</v>
      </c>
      <c r="D1410" s="48" t="n">
        <v>0</v>
      </c>
      <c r="E1410" s="48" t="s">
        <v>112</v>
      </c>
      <c r="F1410" s="48" t="s">
        <v>72</v>
      </c>
      <c r="G1410" s="48" t="s">
        <v>687</v>
      </c>
      <c r="H1410" s="82" t="n">
        <f aca="false">DATE(YEAR(A1410),MONTH(A1410),1)</f>
        <v>43952</v>
      </c>
    </row>
    <row r="1411" customFormat="false" ht="15" hidden="false" customHeight="false" outlineLevel="0" collapsed="false">
      <c r="A1411" s="81" t="n">
        <v>43960</v>
      </c>
      <c r="B1411" s="48" t="n">
        <v>0</v>
      </c>
      <c r="C1411" s="48" t="n">
        <v>0</v>
      </c>
      <c r="D1411" s="48" t="n">
        <v>0</v>
      </c>
      <c r="E1411" s="48" t="s">
        <v>112</v>
      </c>
      <c r="F1411" s="48" t="s">
        <v>72</v>
      </c>
      <c r="G1411" s="48" t="s">
        <v>682</v>
      </c>
      <c r="H1411" s="82" t="n">
        <f aca="false">DATE(YEAR(A1411),MONTH(A1411),1)</f>
        <v>43952</v>
      </c>
    </row>
    <row r="1412" customFormat="false" ht="15" hidden="false" customHeight="false" outlineLevel="0" collapsed="false">
      <c r="A1412" s="81" t="n">
        <v>43960</v>
      </c>
      <c r="B1412" s="48" t="n">
        <v>0</v>
      </c>
      <c r="C1412" s="48" t="n">
        <v>0</v>
      </c>
      <c r="D1412" s="48" t="n">
        <v>0</v>
      </c>
      <c r="E1412" s="48" t="s">
        <v>112</v>
      </c>
      <c r="F1412" s="48" t="s">
        <v>72</v>
      </c>
      <c r="G1412" s="48" t="s">
        <v>692</v>
      </c>
      <c r="H1412" s="82" t="n">
        <f aca="false">DATE(YEAR(A1412),MONTH(A1412),1)</f>
        <v>43952</v>
      </c>
    </row>
    <row r="1413" customFormat="false" ht="15" hidden="false" customHeight="false" outlineLevel="0" collapsed="false">
      <c r="A1413" s="81" t="n">
        <v>43960</v>
      </c>
      <c r="B1413" s="48" t="n">
        <v>4</v>
      </c>
      <c r="C1413" s="48" t="n">
        <v>0</v>
      </c>
      <c r="D1413" s="48" t="n">
        <v>0</v>
      </c>
      <c r="E1413" s="48" t="s">
        <v>112</v>
      </c>
      <c r="F1413" s="48" t="s">
        <v>72</v>
      </c>
      <c r="G1413" s="48" t="s">
        <v>613</v>
      </c>
      <c r="H1413" s="82" t="n">
        <f aca="false">DATE(YEAR(A1413),MONTH(A1413),1)</f>
        <v>43952</v>
      </c>
    </row>
    <row r="1414" customFormat="false" ht="15" hidden="false" customHeight="false" outlineLevel="0" collapsed="false">
      <c r="A1414" s="81" t="n">
        <v>43960</v>
      </c>
      <c r="B1414" s="48" t="n">
        <v>3</v>
      </c>
      <c r="C1414" s="48" t="n">
        <v>0</v>
      </c>
      <c r="D1414" s="48" t="n">
        <v>0</v>
      </c>
      <c r="E1414" s="48" t="s">
        <v>112</v>
      </c>
      <c r="F1414" s="48" t="s">
        <v>72</v>
      </c>
      <c r="G1414" s="48" t="s">
        <v>614</v>
      </c>
      <c r="H1414" s="82" t="n">
        <f aca="false">DATE(YEAR(A1414),MONTH(A1414),1)</f>
        <v>43952</v>
      </c>
    </row>
    <row r="1415" customFormat="false" ht="15" hidden="false" customHeight="false" outlineLevel="0" collapsed="false">
      <c r="A1415" s="81" t="n">
        <v>43960</v>
      </c>
      <c r="B1415" s="48" t="n">
        <v>0</v>
      </c>
      <c r="C1415" s="48" t="n">
        <v>0</v>
      </c>
      <c r="D1415" s="48" t="n">
        <v>0</v>
      </c>
      <c r="E1415" s="48" t="s">
        <v>112</v>
      </c>
      <c r="F1415" s="48" t="s">
        <v>72</v>
      </c>
      <c r="G1415" s="48" t="s">
        <v>655</v>
      </c>
      <c r="H1415" s="82" t="n">
        <f aca="false">DATE(YEAR(A1415),MONTH(A1415),1)</f>
        <v>43952</v>
      </c>
    </row>
    <row r="1416" customFormat="false" ht="15" hidden="false" customHeight="false" outlineLevel="0" collapsed="false">
      <c r="A1416" s="81" t="n">
        <v>43960</v>
      </c>
      <c r="B1416" s="48" t="n">
        <v>0</v>
      </c>
      <c r="C1416" s="48" t="n">
        <v>0</v>
      </c>
      <c r="D1416" s="48" t="n">
        <v>0</v>
      </c>
      <c r="E1416" s="48" t="s">
        <v>112</v>
      </c>
      <c r="F1416" s="48" t="s">
        <v>72</v>
      </c>
      <c r="G1416" s="48" t="s">
        <v>608</v>
      </c>
      <c r="H1416" s="82" t="n">
        <f aca="false">DATE(YEAR(A1416),MONTH(A1416),1)</f>
        <v>43952</v>
      </c>
    </row>
    <row r="1417" customFormat="false" ht="15" hidden="false" customHeight="false" outlineLevel="0" collapsed="false">
      <c r="A1417" s="81" t="n">
        <v>43960</v>
      </c>
      <c r="B1417" s="48" t="n">
        <v>0</v>
      </c>
      <c r="C1417" s="48" t="n">
        <v>0</v>
      </c>
      <c r="D1417" s="48" t="n">
        <v>0</v>
      </c>
      <c r="E1417" s="48" t="s">
        <v>112</v>
      </c>
      <c r="F1417" s="48" t="s">
        <v>72</v>
      </c>
      <c r="G1417" s="48" t="s">
        <v>615</v>
      </c>
      <c r="H1417" s="82" t="n">
        <f aca="false">DATE(YEAR(A1417),MONTH(A1417),1)</f>
        <v>43952</v>
      </c>
    </row>
    <row r="1418" customFormat="false" ht="15" hidden="false" customHeight="false" outlineLevel="0" collapsed="false">
      <c r="A1418" s="81" t="n">
        <v>43960</v>
      </c>
      <c r="B1418" s="48" t="n">
        <v>0</v>
      </c>
      <c r="C1418" s="48" t="n">
        <v>0</v>
      </c>
      <c r="D1418" s="48" t="n">
        <v>0</v>
      </c>
      <c r="E1418" s="48" t="s">
        <v>112</v>
      </c>
      <c r="F1418" s="48" t="s">
        <v>72</v>
      </c>
      <c r="G1418" s="48" t="s">
        <v>666</v>
      </c>
      <c r="H1418" s="82" t="n">
        <f aca="false">DATE(YEAR(A1418),MONTH(A1418),1)</f>
        <v>43952</v>
      </c>
    </row>
    <row r="1419" customFormat="false" ht="15" hidden="false" customHeight="false" outlineLevel="0" collapsed="false">
      <c r="A1419" s="81" t="n">
        <v>43960</v>
      </c>
      <c r="B1419" s="48" t="n">
        <v>5</v>
      </c>
      <c r="C1419" s="48" t="n">
        <v>0</v>
      </c>
      <c r="D1419" s="48" t="n">
        <v>0</v>
      </c>
      <c r="E1419" s="48" t="s">
        <v>112</v>
      </c>
      <c r="F1419" s="48" t="s">
        <v>72</v>
      </c>
      <c r="G1419" s="48" t="s">
        <v>621</v>
      </c>
      <c r="H1419" s="82" t="n">
        <f aca="false">DATE(YEAR(A1419),MONTH(A1419),1)</f>
        <v>43952</v>
      </c>
    </row>
    <row r="1420" customFormat="false" ht="15" hidden="false" customHeight="false" outlineLevel="0" collapsed="false">
      <c r="A1420" s="81" t="n">
        <v>43960</v>
      </c>
      <c r="B1420" s="48" t="n">
        <v>0</v>
      </c>
      <c r="C1420" s="48" t="n">
        <v>0</v>
      </c>
      <c r="D1420" s="48" t="n">
        <v>0</v>
      </c>
      <c r="E1420" s="48" t="s">
        <v>112</v>
      </c>
      <c r="F1420" s="48" t="s">
        <v>72</v>
      </c>
      <c r="G1420" s="48" t="s">
        <v>664</v>
      </c>
      <c r="H1420" s="82" t="n">
        <f aca="false">DATE(YEAR(A1420),MONTH(A1420),1)</f>
        <v>43952</v>
      </c>
    </row>
    <row r="1421" customFormat="false" ht="15" hidden="false" customHeight="false" outlineLevel="0" collapsed="false">
      <c r="A1421" s="81" t="n">
        <v>43960</v>
      </c>
      <c r="B1421" s="48" t="n">
        <v>0</v>
      </c>
      <c r="C1421" s="48" t="n">
        <v>0</v>
      </c>
      <c r="D1421" s="48" t="n">
        <v>0</v>
      </c>
      <c r="E1421" s="48" t="s">
        <v>112</v>
      </c>
      <c r="F1421" s="48" t="s">
        <v>72</v>
      </c>
      <c r="G1421" s="48" t="s">
        <v>667</v>
      </c>
      <c r="H1421" s="82" t="n">
        <f aca="false">DATE(YEAR(A1421),MONTH(A1421),1)</f>
        <v>43952</v>
      </c>
    </row>
    <row r="1422" customFormat="false" ht="15" hidden="false" customHeight="false" outlineLevel="0" collapsed="false">
      <c r="A1422" s="81" t="n">
        <v>43960</v>
      </c>
      <c r="B1422" s="48" t="n">
        <v>1</v>
      </c>
      <c r="C1422" s="48" t="n">
        <v>0</v>
      </c>
      <c r="D1422" s="48" t="n">
        <v>0</v>
      </c>
      <c r="E1422" s="48" t="s">
        <v>112</v>
      </c>
      <c r="F1422" s="48" t="s">
        <v>72</v>
      </c>
      <c r="G1422" s="48" t="s">
        <v>607</v>
      </c>
      <c r="H1422" s="82" t="n">
        <f aca="false">DATE(YEAR(A1422),MONTH(A1422),1)</f>
        <v>43952</v>
      </c>
    </row>
    <row r="1423" customFormat="false" ht="15" hidden="false" customHeight="false" outlineLevel="0" collapsed="false">
      <c r="A1423" s="81" t="n">
        <v>43960</v>
      </c>
      <c r="B1423" s="48" t="n">
        <v>2</v>
      </c>
      <c r="C1423" s="48" t="n">
        <v>0</v>
      </c>
      <c r="D1423" s="48" t="n">
        <v>0</v>
      </c>
      <c r="E1423" s="48" t="s">
        <v>112</v>
      </c>
      <c r="F1423" s="48" t="s">
        <v>72</v>
      </c>
      <c r="G1423" s="48" t="s">
        <v>673</v>
      </c>
      <c r="H1423" s="82" t="n">
        <f aca="false">DATE(YEAR(A1423),MONTH(A1423),1)</f>
        <v>43952</v>
      </c>
    </row>
    <row r="1424" customFormat="false" ht="15" hidden="false" customHeight="false" outlineLevel="0" collapsed="false">
      <c r="A1424" s="81" t="n">
        <v>43960</v>
      </c>
      <c r="B1424" s="48" t="n">
        <v>0</v>
      </c>
      <c r="C1424" s="48" t="n">
        <v>0</v>
      </c>
      <c r="D1424" s="48" t="n">
        <v>0</v>
      </c>
      <c r="E1424" s="48" t="s">
        <v>112</v>
      </c>
      <c r="F1424" s="48" t="s">
        <v>72</v>
      </c>
      <c r="G1424" s="48" t="s">
        <v>676</v>
      </c>
      <c r="H1424" s="82" t="n">
        <f aca="false">DATE(YEAR(A1424),MONTH(A1424),1)</f>
        <v>43952</v>
      </c>
    </row>
    <row r="1425" customFormat="false" ht="15" hidden="false" customHeight="false" outlineLevel="0" collapsed="false">
      <c r="A1425" s="81" t="n">
        <v>43960</v>
      </c>
      <c r="B1425" s="48" t="n">
        <v>1060</v>
      </c>
      <c r="C1425" s="48" t="n">
        <v>0</v>
      </c>
      <c r="D1425" s="48" t="n">
        <v>0</v>
      </c>
      <c r="E1425" s="48" t="s">
        <v>112</v>
      </c>
      <c r="F1425" s="48" t="s">
        <v>71</v>
      </c>
      <c r="G1425" s="48" t="s">
        <v>92</v>
      </c>
      <c r="H1425" s="82" t="n">
        <f aca="false">DATE(YEAR(A1425),MONTH(A1425),1)</f>
        <v>43952</v>
      </c>
    </row>
    <row r="1426" customFormat="false" ht="15" hidden="false" customHeight="false" outlineLevel="0" collapsed="false">
      <c r="A1426" s="81" t="n">
        <v>43960</v>
      </c>
      <c r="B1426" s="48" t="n">
        <v>1080</v>
      </c>
      <c r="C1426" s="48" t="n">
        <v>5</v>
      </c>
      <c r="D1426" s="48" t="n">
        <v>0</v>
      </c>
      <c r="E1426" s="48" t="s">
        <v>112</v>
      </c>
      <c r="F1426" s="48" t="s">
        <v>70</v>
      </c>
      <c r="G1426" s="48" t="s">
        <v>91</v>
      </c>
      <c r="H1426" s="82" t="n">
        <f aca="false">DATE(YEAR(A1426),MONTH(A1426),1)</f>
        <v>43952</v>
      </c>
    </row>
    <row r="1427" customFormat="false" ht="15" hidden="false" customHeight="false" outlineLevel="0" collapsed="false">
      <c r="A1427" s="81" t="n">
        <v>43961</v>
      </c>
      <c r="B1427" s="48" t="n">
        <v>7</v>
      </c>
      <c r="C1427" s="48" t="n">
        <v>0</v>
      </c>
      <c r="D1427" s="48" t="n">
        <v>0</v>
      </c>
      <c r="E1427" s="48" t="s">
        <v>112</v>
      </c>
      <c r="F1427" s="48" t="s">
        <v>76</v>
      </c>
      <c r="G1427" s="48" t="s">
        <v>595</v>
      </c>
      <c r="H1427" s="82" t="n">
        <f aca="false">DATE(YEAR(A1427),MONTH(A1427),1)</f>
        <v>43952</v>
      </c>
    </row>
    <row r="1428" customFormat="false" ht="15" hidden="false" customHeight="false" outlineLevel="0" collapsed="false">
      <c r="A1428" s="81" t="n">
        <v>43961</v>
      </c>
      <c r="B1428" s="48" t="n">
        <v>59</v>
      </c>
      <c r="C1428" s="48" t="n">
        <v>0</v>
      </c>
      <c r="D1428" s="48" t="n">
        <v>0</v>
      </c>
      <c r="E1428" s="48" t="s">
        <v>112</v>
      </c>
      <c r="F1428" s="48" t="s">
        <v>73</v>
      </c>
      <c r="G1428" s="48" t="s">
        <v>93</v>
      </c>
      <c r="H1428" s="82" t="n">
        <f aca="false">DATE(YEAR(A1428),MONTH(A1428),1)</f>
        <v>43952</v>
      </c>
    </row>
    <row r="1429" customFormat="false" ht="15" hidden="false" customHeight="false" outlineLevel="0" collapsed="false">
      <c r="A1429" s="81" t="n">
        <v>43961</v>
      </c>
      <c r="B1429" s="48" t="n">
        <v>1</v>
      </c>
      <c r="C1429" s="48" t="n">
        <v>0</v>
      </c>
      <c r="D1429" s="48" t="n">
        <v>0</v>
      </c>
      <c r="E1429" s="48" t="s">
        <v>112</v>
      </c>
      <c r="F1429" s="48" t="s">
        <v>75</v>
      </c>
      <c r="G1429" s="48" t="s">
        <v>650</v>
      </c>
      <c r="H1429" s="82" t="n">
        <f aca="false">DATE(YEAR(A1429),MONTH(A1429),1)</f>
        <v>43952</v>
      </c>
    </row>
    <row r="1430" customFormat="false" ht="15" hidden="false" customHeight="false" outlineLevel="0" collapsed="false">
      <c r="A1430" s="81" t="n">
        <v>43961</v>
      </c>
      <c r="B1430" s="48" t="n">
        <v>2</v>
      </c>
      <c r="C1430" s="48" t="n">
        <v>0</v>
      </c>
      <c r="D1430" s="48" t="n">
        <v>0</v>
      </c>
      <c r="E1430" s="48" t="s">
        <v>112</v>
      </c>
      <c r="F1430" s="48" t="s">
        <v>75</v>
      </c>
      <c r="G1430" s="48" t="s">
        <v>103</v>
      </c>
      <c r="H1430" s="82" t="n">
        <f aca="false">DATE(YEAR(A1430),MONTH(A1430),1)</f>
        <v>43952</v>
      </c>
    </row>
    <row r="1431" customFormat="false" ht="15" hidden="false" customHeight="false" outlineLevel="0" collapsed="false">
      <c r="A1431" s="81" t="n">
        <v>43961</v>
      </c>
      <c r="B1431" s="48" t="n">
        <v>1</v>
      </c>
      <c r="C1431" s="48" t="n">
        <v>0</v>
      </c>
      <c r="D1431" s="48" t="n">
        <v>0</v>
      </c>
      <c r="E1431" s="48" t="s">
        <v>112</v>
      </c>
      <c r="F1431" s="48" t="s">
        <v>75</v>
      </c>
      <c r="G1431" s="48" t="s">
        <v>654</v>
      </c>
      <c r="H1431" s="82" t="n">
        <f aca="false">DATE(YEAR(A1431),MONTH(A1431),1)</f>
        <v>43952</v>
      </c>
    </row>
    <row r="1432" customFormat="false" ht="15" hidden="false" customHeight="false" outlineLevel="0" collapsed="false">
      <c r="A1432" s="81" t="n">
        <v>43961</v>
      </c>
      <c r="B1432" s="48" t="n">
        <v>16</v>
      </c>
      <c r="C1432" s="48" t="n">
        <v>0</v>
      </c>
      <c r="D1432" s="48" t="n">
        <v>0</v>
      </c>
      <c r="E1432" s="48" t="s">
        <v>112</v>
      </c>
      <c r="F1432" s="48" t="s">
        <v>75</v>
      </c>
      <c r="G1432" s="48" t="s">
        <v>629</v>
      </c>
      <c r="H1432" s="82" t="n">
        <f aca="false">DATE(YEAR(A1432),MONTH(A1432),1)</f>
        <v>43952</v>
      </c>
    </row>
    <row r="1433" customFormat="false" ht="15" hidden="false" customHeight="false" outlineLevel="0" collapsed="false">
      <c r="A1433" s="81" t="n">
        <v>43961</v>
      </c>
      <c r="B1433" s="48" t="n">
        <v>32</v>
      </c>
      <c r="C1433" s="48" t="n">
        <v>1</v>
      </c>
      <c r="D1433" s="48" t="n">
        <v>0</v>
      </c>
      <c r="E1433" s="48" t="s">
        <v>112</v>
      </c>
      <c r="F1433" s="48" t="s">
        <v>74</v>
      </c>
      <c r="G1433" s="48" t="s">
        <v>95</v>
      </c>
      <c r="H1433" s="82" t="n">
        <f aca="false">DATE(YEAR(A1433),MONTH(A1433),1)</f>
        <v>43952</v>
      </c>
    </row>
    <row r="1434" customFormat="false" ht="15" hidden="false" customHeight="false" outlineLevel="0" collapsed="false">
      <c r="A1434" s="81" t="n">
        <v>43961</v>
      </c>
      <c r="B1434" s="48" t="n">
        <v>81</v>
      </c>
      <c r="C1434" s="48" t="n">
        <v>8</v>
      </c>
      <c r="D1434" s="48" t="n">
        <v>0</v>
      </c>
      <c r="E1434" s="48" t="s">
        <v>112</v>
      </c>
      <c r="F1434" s="48" t="s">
        <v>72</v>
      </c>
      <c r="G1434" s="48" t="s">
        <v>94</v>
      </c>
      <c r="H1434" s="82" t="n">
        <f aca="false">DATE(YEAR(A1434),MONTH(A1434),1)</f>
        <v>43952</v>
      </c>
    </row>
    <row r="1435" customFormat="false" ht="15" hidden="false" customHeight="false" outlineLevel="0" collapsed="false">
      <c r="A1435" s="81" t="n">
        <v>43961</v>
      </c>
      <c r="B1435" s="48" t="n">
        <v>3</v>
      </c>
      <c r="C1435" s="48" t="n">
        <v>0</v>
      </c>
      <c r="D1435" s="48" t="n">
        <v>0</v>
      </c>
      <c r="E1435" s="48" t="s">
        <v>112</v>
      </c>
      <c r="F1435" s="48" t="s">
        <v>72</v>
      </c>
      <c r="G1435" s="48" t="s">
        <v>597</v>
      </c>
      <c r="H1435" s="82" t="n">
        <f aca="false">DATE(YEAR(A1435),MONTH(A1435),1)</f>
        <v>43952</v>
      </c>
    </row>
    <row r="1436" customFormat="false" ht="15" hidden="false" customHeight="false" outlineLevel="0" collapsed="false">
      <c r="A1436" s="81" t="n">
        <v>43961</v>
      </c>
      <c r="B1436" s="48" t="n">
        <v>2</v>
      </c>
      <c r="C1436" s="48" t="n">
        <v>0</v>
      </c>
      <c r="D1436" s="48" t="n">
        <v>0</v>
      </c>
      <c r="E1436" s="48" t="s">
        <v>112</v>
      </c>
      <c r="F1436" s="48" t="s">
        <v>72</v>
      </c>
      <c r="G1436" s="48" t="s">
        <v>594</v>
      </c>
      <c r="H1436" s="82" t="n">
        <f aca="false">DATE(YEAR(A1436),MONTH(A1436),1)</f>
        <v>43952</v>
      </c>
    </row>
    <row r="1437" customFormat="false" ht="15" hidden="false" customHeight="false" outlineLevel="0" collapsed="false">
      <c r="A1437" s="81" t="n">
        <v>43961</v>
      </c>
      <c r="B1437" s="48" t="n">
        <v>0</v>
      </c>
      <c r="C1437" s="48" t="n">
        <v>0</v>
      </c>
      <c r="D1437" s="48" t="n">
        <v>0</v>
      </c>
      <c r="E1437" s="48" t="s">
        <v>112</v>
      </c>
      <c r="F1437" s="48" t="s">
        <v>72</v>
      </c>
      <c r="G1437" s="48" t="s">
        <v>599</v>
      </c>
      <c r="H1437" s="82" t="n">
        <f aca="false">DATE(YEAR(A1437),MONTH(A1437),1)</f>
        <v>43952</v>
      </c>
    </row>
    <row r="1438" customFormat="false" ht="15" hidden="false" customHeight="false" outlineLevel="0" collapsed="false">
      <c r="A1438" s="81" t="n">
        <v>43961</v>
      </c>
      <c r="B1438" s="48" t="n">
        <v>0</v>
      </c>
      <c r="C1438" s="48" t="n">
        <v>0</v>
      </c>
      <c r="D1438" s="48" t="n">
        <v>0</v>
      </c>
      <c r="E1438" s="48" t="s">
        <v>112</v>
      </c>
      <c r="F1438" s="48" t="s">
        <v>72</v>
      </c>
      <c r="G1438" s="48" t="s">
        <v>656</v>
      </c>
      <c r="H1438" s="82" t="n">
        <f aca="false">DATE(YEAR(A1438),MONTH(A1438),1)</f>
        <v>43952</v>
      </c>
    </row>
    <row r="1439" customFormat="false" ht="15" hidden="false" customHeight="false" outlineLevel="0" collapsed="false">
      <c r="A1439" s="81" t="n">
        <v>43961</v>
      </c>
      <c r="B1439" s="48" t="n">
        <v>7</v>
      </c>
      <c r="C1439" s="48" t="n">
        <v>1</v>
      </c>
      <c r="D1439" s="48" t="n">
        <v>0</v>
      </c>
      <c r="E1439" s="48" t="s">
        <v>112</v>
      </c>
      <c r="F1439" s="48" t="s">
        <v>72</v>
      </c>
      <c r="G1439" s="48" t="s">
        <v>102</v>
      </c>
      <c r="H1439" s="82" t="n">
        <f aca="false">DATE(YEAR(A1439),MONTH(A1439),1)</f>
        <v>43952</v>
      </c>
    </row>
    <row r="1440" customFormat="false" ht="15" hidden="false" customHeight="false" outlineLevel="0" collapsed="false">
      <c r="A1440" s="81" t="n">
        <v>43961</v>
      </c>
      <c r="B1440" s="48" t="n">
        <v>0</v>
      </c>
      <c r="C1440" s="48" t="n">
        <v>0</v>
      </c>
      <c r="D1440" s="48" t="n">
        <v>0</v>
      </c>
      <c r="E1440" s="48" t="s">
        <v>112</v>
      </c>
      <c r="F1440" s="48" t="s">
        <v>72</v>
      </c>
      <c r="G1440" s="48" t="s">
        <v>611</v>
      </c>
      <c r="H1440" s="82" t="n">
        <f aca="false">DATE(YEAR(A1440),MONTH(A1440),1)</f>
        <v>43952</v>
      </c>
    </row>
    <row r="1441" customFormat="false" ht="15" hidden="false" customHeight="false" outlineLevel="0" collapsed="false">
      <c r="A1441" s="81" t="n">
        <v>43961</v>
      </c>
      <c r="B1441" s="48" t="n">
        <v>16</v>
      </c>
      <c r="C1441" s="48" t="n">
        <v>1</v>
      </c>
      <c r="D1441" s="48" t="n">
        <v>0</v>
      </c>
      <c r="E1441" s="48" t="s">
        <v>112</v>
      </c>
      <c r="F1441" s="48" t="s">
        <v>72</v>
      </c>
      <c r="G1441" s="48" t="s">
        <v>96</v>
      </c>
      <c r="H1441" s="82" t="n">
        <f aca="false">DATE(YEAR(A1441),MONTH(A1441),1)</f>
        <v>43952</v>
      </c>
    </row>
    <row r="1442" customFormat="false" ht="15" hidden="false" customHeight="false" outlineLevel="0" collapsed="false">
      <c r="A1442" s="81" t="n">
        <v>43961</v>
      </c>
      <c r="B1442" s="48" t="n">
        <v>5</v>
      </c>
      <c r="C1442" s="48" t="n">
        <v>0</v>
      </c>
      <c r="D1442" s="48" t="n">
        <v>0</v>
      </c>
      <c r="E1442" s="48" t="s">
        <v>112</v>
      </c>
      <c r="F1442" s="48" t="s">
        <v>72</v>
      </c>
      <c r="G1442" s="48" t="s">
        <v>603</v>
      </c>
      <c r="H1442" s="82" t="n">
        <f aca="false">DATE(YEAR(A1442),MONTH(A1442),1)</f>
        <v>43952</v>
      </c>
    </row>
    <row r="1443" customFormat="false" ht="15" hidden="false" customHeight="false" outlineLevel="0" collapsed="false">
      <c r="A1443" s="81" t="n">
        <v>43961</v>
      </c>
      <c r="B1443" s="48" t="n">
        <v>0</v>
      </c>
      <c r="C1443" s="48" t="n">
        <v>0</v>
      </c>
      <c r="D1443" s="48" t="n">
        <v>0</v>
      </c>
      <c r="E1443" s="48" t="s">
        <v>112</v>
      </c>
      <c r="F1443" s="48" t="s">
        <v>72</v>
      </c>
      <c r="G1443" s="48" t="s">
        <v>591</v>
      </c>
      <c r="H1443" s="82" t="n">
        <f aca="false">DATE(YEAR(A1443),MONTH(A1443),1)</f>
        <v>43952</v>
      </c>
    </row>
    <row r="1444" customFormat="false" ht="15" hidden="false" customHeight="false" outlineLevel="0" collapsed="false">
      <c r="A1444" s="81" t="n">
        <v>43961</v>
      </c>
      <c r="B1444" s="48" t="n">
        <v>0</v>
      </c>
      <c r="C1444" s="48" t="n">
        <v>0</v>
      </c>
      <c r="D1444" s="48" t="n">
        <v>0</v>
      </c>
      <c r="E1444" s="48" t="s">
        <v>112</v>
      </c>
      <c r="F1444" s="48" t="s">
        <v>72</v>
      </c>
      <c r="G1444" s="48" t="s">
        <v>598</v>
      </c>
      <c r="H1444" s="82" t="n">
        <f aca="false">DATE(YEAR(A1444),MONTH(A1444),1)</f>
        <v>43952</v>
      </c>
    </row>
    <row r="1445" customFormat="false" ht="15" hidden="false" customHeight="false" outlineLevel="0" collapsed="false">
      <c r="A1445" s="81" t="n">
        <v>43961</v>
      </c>
      <c r="B1445" s="48" t="n">
        <v>5</v>
      </c>
      <c r="C1445" s="48" t="n">
        <v>0</v>
      </c>
      <c r="D1445" s="48" t="n">
        <v>0</v>
      </c>
      <c r="E1445" s="48" t="s">
        <v>112</v>
      </c>
      <c r="F1445" s="48" t="s">
        <v>72</v>
      </c>
      <c r="G1445" s="48" t="s">
        <v>609</v>
      </c>
      <c r="H1445" s="82" t="n">
        <f aca="false">DATE(YEAR(A1445),MONTH(A1445),1)</f>
        <v>43952</v>
      </c>
    </row>
    <row r="1446" customFormat="false" ht="15" hidden="false" customHeight="false" outlineLevel="0" collapsed="false">
      <c r="A1446" s="81" t="n">
        <v>43961</v>
      </c>
      <c r="B1446" s="48" t="n">
        <v>0</v>
      </c>
      <c r="C1446" s="48" t="n">
        <v>0</v>
      </c>
      <c r="D1446" s="48" t="n">
        <v>0</v>
      </c>
      <c r="E1446" s="48" t="s">
        <v>112</v>
      </c>
      <c r="F1446" s="48" t="s">
        <v>72</v>
      </c>
      <c r="G1446" s="48" t="s">
        <v>101</v>
      </c>
      <c r="H1446" s="82" t="n">
        <f aca="false">DATE(YEAR(A1446),MONTH(A1446),1)</f>
        <v>43952</v>
      </c>
    </row>
    <row r="1447" customFormat="false" ht="15" hidden="false" customHeight="false" outlineLevel="0" collapsed="false">
      <c r="A1447" s="81" t="n">
        <v>43961</v>
      </c>
      <c r="B1447" s="48" t="n">
        <v>2</v>
      </c>
      <c r="C1447" s="48" t="n">
        <v>0</v>
      </c>
      <c r="D1447" s="48" t="n">
        <v>0</v>
      </c>
      <c r="E1447" s="48" t="s">
        <v>112</v>
      </c>
      <c r="F1447" s="48" t="s">
        <v>72</v>
      </c>
      <c r="G1447" s="48" t="s">
        <v>643</v>
      </c>
      <c r="H1447" s="82" t="n">
        <f aca="false">DATE(YEAR(A1447),MONTH(A1447),1)</f>
        <v>43952</v>
      </c>
    </row>
    <row r="1448" customFormat="false" ht="15" hidden="false" customHeight="false" outlineLevel="0" collapsed="false">
      <c r="A1448" s="81" t="n">
        <v>43961</v>
      </c>
      <c r="B1448" s="48" t="n">
        <v>0</v>
      </c>
      <c r="C1448" s="48" t="n">
        <v>0</v>
      </c>
      <c r="D1448" s="48" t="n">
        <v>0</v>
      </c>
      <c r="E1448" s="48" t="s">
        <v>112</v>
      </c>
      <c r="F1448" s="48" t="s">
        <v>72</v>
      </c>
      <c r="G1448" s="48" t="s">
        <v>662</v>
      </c>
      <c r="H1448" s="82" t="n">
        <f aca="false">DATE(YEAR(A1448),MONTH(A1448),1)</f>
        <v>43952</v>
      </c>
    </row>
    <row r="1449" customFormat="false" ht="15" hidden="false" customHeight="false" outlineLevel="0" collapsed="false">
      <c r="A1449" s="81" t="n">
        <v>43961</v>
      </c>
      <c r="B1449" s="48" t="n">
        <v>17</v>
      </c>
      <c r="C1449" s="48" t="n">
        <v>0</v>
      </c>
      <c r="D1449" s="48" t="n">
        <v>0</v>
      </c>
      <c r="E1449" s="48" t="s">
        <v>112</v>
      </c>
      <c r="F1449" s="48" t="s">
        <v>72</v>
      </c>
      <c r="G1449" s="48" t="s">
        <v>600</v>
      </c>
      <c r="H1449" s="82" t="n">
        <f aca="false">DATE(YEAR(A1449),MONTH(A1449),1)</f>
        <v>43952</v>
      </c>
    </row>
    <row r="1450" customFormat="false" ht="15" hidden="false" customHeight="false" outlineLevel="0" collapsed="false">
      <c r="A1450" s="81" t="n">
        <v>43961</v>
      </c>
      <c r="B1450" s="48" t="n">
        <v>2</v>
      </c>
      <c r="C1450" s="48" t="n">
        <v>0</v>
      </c>
      <c r="D1450" s="48" t="n">
        <v>0</v>
      </c>
      <c r="E1450" s="48" t="s">
        <v>112</v>
      </c>
      <c r="F1450" s="48" t="s">
        <v>72</v>
      </c>
      <c r="G1450" s="48" t="s">
        <v>610</v>
      </c>
      <c r="H1450" s="82" t="n">
        <f aca="false">DATE(YEAR(A1450),MONTH(A1450),1)</f>
        <v>43952</v>
      </c>
    </row>
    <row r="1451" customFormat="false" ht="15" hidden="false" customHeight="false" outlineLevel="0" collapsed="false">
      <c r="A1451" s="81" t="n">
        <v>43961</v>
      </c>
      <c r="B1451" s="48" t="n">
        <v>0</v>
      </c>
      <c r="C1451" s="48" t="n">
        <v>0</v>
      </c>
      <c r="D1451" s="48" t="n">
        <v>0</v>
      </c>
      <c r="E1451" s="48" t="s">
        <v>112</v>
      </c>
      <c r="F1451" s="48" t="s">
        <v>72</v>
      </c>
      <c r="G1451" s="48" t="s">
        <v>593</v>
      </c>
      <c r="H1451" s="82" t="n">
        <f aca="false">DATE(YEAR(A1451),MONTH(A1451),1)</f>
        <v>43952</v>
      </c>
    </row>
    <row r="1452" customFormat="false" ht="15" hidden="false" customHeight="false" outlineLevel="0" collapsed="false">
      <c r="A1452" s="81" t="n">
        <v>43961</v>
      </c>
      <c r="B1452" s="48" t="n">
        <v>3</v>
      </c>
      <c r="C1452" s="48" t="n">
        <v>0</v>
      </c>
      <c r="D1452" s="48" t="n">
        <v>0</v>
      </c>
      <c r="E1452" s="48" t="s">
        <v>112</v>
      </c>
      <c r="F1452" s="48" t="s">
        <v>72</v>
      </c>
      <c r="G1452" s="48" t="s">
        <v>612</v>
      </c>
      <c r="H1452" s="82" t="n">
        <f aca="false">DATE(YEAR(A1452),MONTH(A1452),1)</f>
        <v>43952</v>
      </c>
    </row>
    <row r="1453" customFormat="false" ht="15" hidden="false" customHeight="false" outlineLevel="0" collapsed="false">
      <c r="A1453" s="81" t="n">
        <v>43961</v>
      </c>
      <c r="B1453" s="48" t="n">
        <v>0</v>
      </c>
      <c r="C1453" s="48" t="n">
        <v>0</v>
      </c>
      <c r="D1453" s="48" t="n">
        <v>0</v>
      </c>
      <c r="E1453" s="48" t="s">
        <v>112</v>
      </c>
      <c r="F1453" s="48" t="s">
        <v>72</v>
      </c>
      <c r="G1453" s="48" t="s">
        <v>685</v>
      </c>
      <c r="H1453" s="82" t="n">
        <f aca="false">DATE(YEAR(A1453),MONTH(A1453),1)</f>
        <v>43952</v>
      </c>
    </row>
    <row r="1454" customFormat="false" ht="15" hidden="false" customHeight="false" outlineLevel="0" collapsed="false">
      <c r="A1454" s="81" t="n">
        <v>43961</v>
      </c>
      <c r="B1454" s="48" t="n">
        <v>0</v>
      </c>
      <c r="C1454" s="48" t="n">
        <v>0</v>
      </c>
      <c r="D1454" s="48" t="n">
        <v>0</v>
      </c>
      <c r="E1454" s="48" t="s">
        <v>112</v>
      </c>
      <c r="F1454" s="48" t="s">
        <v>72</v>
      </c>
      <c r="G1454" s="48" t="s">
        <v>687</v>
      </c>
      <c r="H1454" s="82" t="n">
        <f aca="false">DATE(YEAR(A1454),MONTH(A1454),1)</f>
        <v>43952</v>
      </c>
    </row>
    <row r="1455" customFormat="false" ht="15" hidden="false" customHeight="false" outlineLevel="0" collapsed="false">
      <c r="A1455" s="81" t="n">
        <v>43961</v>
      </c>
      <c r="B1455" s="48" t="n">
        <v>0</v>
      </c>
      <c r="C1455" s="48" t="n">
        <v>0</v>
      </c>
      <c r="D1455" s="48" t="n">
        <v>0</v>
      </c>
      <c r="E1455" s="48" t="s">
        <v>112</v>
      </c>
      <c r="F1455" s="48" t="s">
        <v>72</v>
      </c>
      <c r="G1455" s="48" t="s">
        <v>682</v>
      </c>
      <c r="H1455" s="82" t="n">
        <f aca="false">DATE(YEAR(A1455),MONTH(A1455),1)</f>
        <v>43952</v>
      </c>
    </row>
    <row r="1456" customFormat="false" ht="15" hidden="false" customHeight="false" outlineLevel="0" collapsed="false">
      <c r="A1456" s="81" t="n">
        <v>43961</v>
      </c>
      <c r="B1456" s="48" t="n">
        <v>0</v>
      </c>
      <c r="C1456" s="48" t="n">
        <v>0</v>
      </c>
      <c r="D1456" s="48" t="n">
        <v>0</v>
      </c>
      <c r="E1456" s="48" t="s">
        <v>112</v>
      </c>
      <c r="F1456" s="48" t="s">
        <v>72</v>
      </c>
      <c r="G1456" s="48" t="s">
        <v>692</v>
      </c>
      <c r="H1456" s="82" t="n">
        <f aca="false">DATE(YEAR(A1456),MONTH(A1456),1)</f>
        <v>43952</v>
      </c>
    </row>
    <row r="1457" customFormat="false" ht="15" hidden="false" customHeight="false" outlineLevel="0" collapsed="false">
      <c r="A1457" s="81" t="n">
        <v>43961</v>
      </c>
      <c r="B1457" s="48" t="n">
        <v>5</v>
      </c>
      <c r="C1457" s="48" t="n">
        <v>1</v>
      </c>
      <c r="D1457" s="48" t="n">
        <v>0</v>
      </c>
      <c r="E1457" s="48" t="s">
        <v>112</v>
      </c>
      <c r="F1457" s="48" t="s">
        <v>72</v>
      </c>
      <c r="G1457" s="48" t="s">
        <v>613</v>
      </c>
      <c r="H1457" s="82" t="n">
        <f aca="false">DATE(YEAR(A1457),MONTH(A1457),1)</f>
        <v>43952</v>
      </c>
    </row>
    <row r="1458" customFormat="false" ht="15" hidden="false" customHeight="false" outlineLevel="0" collapsed="false">
      <c r="A1458" s="81" t="n">
        <v>43961</v>
      </c>
      <c r="B1458" s="48" t="n">
        <v>0</v>
      </c>
      <c r="C1458" s="48" t="n">
        <v>0</v>
      </c>
      <c r="D1458" s="48" t="n">
        <v>0</v>
      </c>
      <c r="E1458" s="48" t="s">
        <v>112</v>
      </c>
      <c r="F1458" s="48" t="s">
        <v>72</v>
      </c>
      <c r="G1458" s="48" t="s">
        <v>614</v>
      </c>
      <c r="H1458" s="82" t="n">
        <f aca="false">DATE(YEAR(A1458),MONTH(A1458),1)</f>
        <v>43952</v>
      </c>
    </row>
    <row r="1459" customFormat="false" ht="15" hidden="false" customHeight="false" outlineLevel="0" collapsed="false">
      <c r="A1459" s="81" t="n">
        <v>43961</v>
      </c>
      <c r="B1459" s="48" t="n">
        <v>0</v>
      </c>
      <c r="C1459" s="48" t="n">
        <v>0</v>
      </c>
      <c r="D1459" s="48" t="n">
        <v>0</v>
      </c>
      <c r="E1459" s="48" t="s">
        <v>112</v>
      </c>
      <c r="F1459" s="48" t="s">
        <v>72</v>
      </c>
      <c r="G1459" s="48" t="s">
        <v>655</v>
      </c>
      <c r="H1459" s="82" t="n">
        <f aca="false">DATE(YEAR(A1459),MONTH(A1459),1)</f>
        <v>43952</v>
      </c>
    </row>
    <row r="1460" customFormat="false" ht="15" hidden="false" customHeight="false" outlineLevel="0" collapsed="false">
      <c r="A1460" s="81" t="n">
        <v>43961</v>
      </c>
      <c r="B1460" s="48" t="n">
        <v>7</v>
      </c>
      <c r="C1460" s="48" t="n">
        <v>0</v>
      </c>
      <c r="D1460" s="48" t="n">
        <v>0</v>
      </c>
      <c r="E1460" s="48" t="s">
        <v>112</v>
      </c>
      <c r="F1460" s="48" t="s">
        <v>72</v>
      </c>
      <c r="G1460" s="48" t="s">
        <v>608</v>
      </c>
      <c r="H1460" s="82" t="n">
        <f aca="false">DATE(YEAR(A1460),MONTH(A1460),1)</f>
        <v>43952</v>
      </c>
    </row>
    <row r="1461" customFormat="false" ht="15" hidden="false" customHeight="false" outlineLevel="0" collapsed="false">
      <c r="A1461" s="81" t="n">
        <v>43961</v>
      </c>
      <c r="B1461" s="48" t="n">
        <v>0</v>
      </c>
      <c r="C1461" s="48" t="n">
        <v>0</v>
      </c>
      <c r="D1461" s="48" t="n">
        <v>0</v>
      </c>
      <c r="E1461" s="48" t="s">
        <v>112</v>
      </c>
      <c r="F1461" s="48" t="s">
        <v>72</v>
      </c>
      <c r="G1461" s="48" t="s">
        <v>615</v>
      </c>
      <c r="H1461" s="82" t="n">
        <f aca="false">DATE(YEAR(A1461),MONTH(A1461),1)</f>
        <v>43952</v>
      </c>
    </row>
    <row r="1462" customFormat="false" ht="15" hidden="false" customHeight="false" outlineLevel="0" collapsed="false">
      <c r="A1462" s="81" t="n">
        <v>43961</v>
      </c>
      <c r="B1462" s="48" t="n">
        <v>0</v>
      </c>
      <c r="C1462" s="48" t="n">
        <v>0</v>
      </c>
      <c r="D1462" s="48" t="n">
        <v>0</v>
      </c>
      <c r="E1462" s="48" t="s">
        <v>112</v>
      </c>
      <c r="F1462" s="48" t="s">
        <v>72</v>
      </c>
      <c r="G1462" s="48" t="s">
        <v>666</v>
      </c>
      <c r="H1462" s="82" t="n">
        <f aca="false">DATE(YEAR(A1462),MONTH(A1462),1)</f>
        <v>43952</v>
      </c>
    </row>
    <row r="1463" customFormat="false" ht="15" hidden="false" customHeight="false" outlineLevel="0" collapsed="false">
      <c r="A1463" s="81" t="n">
        <v>43961</v>
      </c>
      <c r="B1463" s="48" t="n">
        <v>2</v>
      </c>
      <c r="C1463" s="48" t="n">
        <v>0</v>
      </c>
      <c r="D1463" s="48" t="n">
        <v>0</v>
      </c>
      <c r="E1463" s="48" t="s">
        <v>112</v>
      </c>
      <c r="F1463" s="48" t="s">
        <v>72</v>
      </c>
      <c r="G1463" s="48" t="s">
        <v>621</v>
      </c>
      <c r="H1463" s="82" t="n">
        <f aca="false">DATE(YEAR(A1463),MONTH(A1463),1)</f>
        <v>43952</v>
      </c>
    </row>
    <row r="1464" customFormat="false" ht="15" hidden="false" customHeight="false" outlineLevel="0" collapsed="false">
      <c r="A1464" s="81" t="n">
        <v>43961</v>
      </c>
      <c r="B1464" s="48" t="n">
        <v>0</v>
      </c>
      <c r="C1464" s="48" t="n">
        <v>0</v>
      </c>
      <c r="D1464" s="48" t="n">
        <v>0</v>
      </c>
      <c r="E1464" s="48" t="s">
        <v>112</v>
      </c>
      <c r="F1464" s="48" t="s">
        <v>72</v>
      </c>
      <c r="G1464" s="48" t="s">
        <v>664</v>
      </c>
      <c r="H1464" s="82" t="n">
        <f aca="false">DATE(YEAR(A1464),MONTH(A1464),1)</f>
        <v>43952</v>
      </c>
    </row>
    <row r="1465" customFormat="false" ht="15" hidden="false" customHeight="false" outlineLevel="0" collapsed="false">
      <c r="A1465" s="81" t="n">
        <v>43961</v>
      </c>
      <c r="B1465" s="48" t="n">
        <v>0</v>
      </c>
      <c r="C1465" s="48" t="n">
        <v>0</v>
      </c>
      <c r="D1465" s="48" t="n">
        <v>0</v>
      </c>
      <c r="E1465" s="48" t="s">
        <v>112</v>
      </c>
      <c r="F1465" s="48" t="s">
        <v>72</v>
      </c>
      <c r="G1465" s="48" t="s">
        <v>667</v>
      </c>
      <c r="H1465" s="82" t="n">
        <f aca="false">DATE(YEAR(A1465),MONTH(A1465),1)</f>
        <v>43952</v>
      </c>
    </row>
    <row r="1466" customFormat="false" ht="15" hidden="false" customHeight="false" outlineLevel="0" collapsed="false">
      <c r="A1466" s="81" t="n">
        <v>43961</v>
      </c>
      <c r="B1466" s="48" t="n">
        <v>4</v>
      </c>
      <c r="C1466" s="48" t="n">
        <v>0</v>
      </c>
      <c r="D1466" s="48" t="n">
        <v>0</v>
      </c>
      <c r="E1466" s="48" t="s">
        <v>112</v>
      </c>
      <c r="F1466" s="48" t="s">
        <v>72</v>
      </c>
      <c r="G1466" s="48" t="s">
        <v>607</v>
      </c>
      <c r="H1466" s="82" t="n">
        <f aca="false">DATE(YEAR(A1466),MONTH(A1466),1)</f>
        <v>43952</v>
      </c>
    </row>
    <row r="1467" customFormat="false" ht="15" hidden="false" customHeight="false" outlineLevel="0" collapsed="false">
      <c r="A1467" s="81" t="n">
        <v>43961</v>
      </c>
      <c r="B1467" s="48" t="n">
        <v>0</v>
      </c>
      <c r="C1467" s="48" t="n">
        <v>0</v>
      </c>
      <c r="D1467" s="48" t="n">
        <v>0</v>
      </c>
      <c r="E1467" s="48" t="s">
        <v>112</v>
      </c>
      <c r="F1467" s="48" t="s">
        <v>72</v>
      </c>
      <c r="G1467" s="48" t="s">
        <v>673</v>
      </c>
      <c r="H1467" s="82" t="n">
        <f aca="false">DATE(YEAR(A1467),MONTH(A1467),1)</f>
        <v>43952</v>
      </c>
    </row>
    <row r="1468" customFormat="false" ht="15" hidden="false" customHeight="false" outlineLevel="0" collapsed="false">
      <c r="A1468" s="81" t="n">
        <v>43961</v>
      </c>
      <c r="B1468" s="48" t="n">
        <v>0</v>
      </c>
      <c r="C1468" s="48" t="n">
        <v>0</v>
      </c>
      <c r="D1468" s="48" t="n">
        <v>0</v>
      </c>
      <c r="E1468" s="48" t="s">
        <v>112</v>
      </c>
      <c r="F1468" s="48" t="s">
        <v>72</v>
      </c>
      <c r="G1468" s="48" t="s">
        <v>676</v>
      </c>
      <c r="H1468" s="82" t="n">
        <f aca="false">DATE(YEAR(A1468),MONTH(A1468),1)</f>
        <v>43952</v>
      </c>
    </row>
    <row r="1469" customFormat="false" ht="15" hidden="false" customHeight="false" outlineLevel="0" collapsed="false">
      <c r="A1469" s="81" t="n">
        <v>43961</v>
      </c>
      <c r="B1469" s="48" t="n">
        <v>475</v>
      </c>
      <c r="C1469" s="48" t="n">
        <v>3</v>
      </c>
      <c r="D1469" s="48" t="n">
        <v>109</v>
      </c>
      <c r="E1469" s="48" t="s">
        <v>112</v>
      </c>
      <c r="F1469" s="48" t="s">
        <v>71</v>
      </c>
      <c r="G1469" s="48" t="s">
        <v>92</v>
      </c>
      <c r="H1469" s="82" t="n">
        <f aca="false">DATE(YEAR(A1469),MONTH(A1469),1)</f>
        <v>43952</v>
      </c>
    </row>
    <row r="1470" customFormat="false" ht="15" hidden="false" customHeight="false" outlineLevel="0" collapsed="false">
      <c r="A1470" s="81" t="n">
        <v>43961</v>
      </c>
      <c r="B1470" s="48" t="n">
        <v>709</v>
      </c>
      <c r="C1470" s="48" t="n">
        <v>8</v>
      </c>
      <c r="D1470" s="48" t="n">
        <v>29</v>
      </c>
      <c r="E1470" s="48" t="s">
        <v>112</v>
      </c>
      <c r="F1470" s="48" t="s">
        <v>70</v>
      </c>
      <c r="G1470" s="48" t="s">
        <v>91</v>
      </c>
      <c r="H1470" s="82" t="n">
        <f aca="false">DATE(YEAR(A1470),MONTH(A1470),1)</f>
        <v>43952</v>
      </c>
    </row>
    <row r="1471" customFormat="false" ht="15" hidden="false" customHeight="false" outlineLevel="0" collapsed="false">
      <c r="A1471" s="81" t="n">
        <v>43962</v>
      </c>
      <c r="B1471" s="48" t="n">
        <v>0</v>
      </c>
      <c r="C1471" s="48" t="n">
        <v>0</v>
      </c>
      <c r="D1471" s="48" t="n">
        <v>0</v>
      </c>
      <c r="E1471" s="48" t="s">
        <v>112</v>
      </c>
      <c r="F1471" s="48" t="s">
        <v>76</v>
      </c>
      <c r="G1471" s="48" t="s">
        <v>595</v>
      </c>
      <c r="H1471" s="82" t="n">
        <f aca="false">DATE(YEAR(A1471),MONTH(A1471),1)</f>
        <v>43952</v>
      </c>
    </row>
    <row r="1472" customFormat="false" ht="15" hidden="false" customHeight="false" outlineLevel="0" collapsed="false">
      <c r="A1472" s="81" t="n">
        <v>43962</v>
      </c>
      <c r="B1472" s="48" t="n">
        <v>44</v>
      </c>
      <c r="C1472" s="48" t="n">
        <v>1</v>
      </c>
      <c r="D1472" s="48" t="n">
        <v>0</v>
      </c>
      <c r="E1472" s="48" t="s">
        <v>112</v>
      </c>
      <c r="F1472" s="48" t="s">
        <v>73</v>
      </c>
      <c r="G1472" s="48" t="s">
        <v>93</v>
      </c>
      <c r="H1472" s="82" t="n">
        <f aca="false">DATE(YEAR(A1472),MONTH(A1472),1)</f>
        <v>43952</v>
      </c>
    </row>
    <row r="1473" customFormat="false" ht="15" hidden="false" customHeight="false" outlineLevel="0" collapsed="false">
      <c r="A1473" s="81" t="n">
        <v>43962</v>
      </c>
      <c r="B1473" s="48" t="n">
        <v>14</v>
      </c>
      <c r="C1473" s="48" t="n">
        <v>0</v>
      </c>
      <c r="D1473" s="48" t="n">
        <v>16</v>
      </c>
      <c r="E1473" s="48" t="s">
        <v>112</v>
      </c>
      <c r="F1473" s="48" t="s">
        <v>75</v>
      </c>
      <c r="G1473" s="48" t="s">
        <v>103</v>
      </c>
      <c r="H1473" s="82" t="n">
        <f aca="false">DATE(YEAR(A1473),MONTH(A1473),1)</f>
        <v>43952</v>
      </c>
    </row>
    <row r="1474" customFormat="false" ht="15" hidden="false" customHeight="false" outlineLevel="0" collapsed="false">
      <c r="A1474" s="81" t="n">
        <v>43962</v>
      </c>
      <c r="B1474" s="48" t="n">
        <v>1</v>
      </c>
      <c r="C1474" s="48" t="n">
        <v>0</v>
      </c>
      <c r="D1474" s="48" t="n">
        <v>0</v>
      </c>
      <c r="E1474" s="48" t="s">
        <v>112</v>
      </c>
      <c r="F1474" s="48" t="s">
        <v>75</v>
      </c>
      <c r="G1474" s="48" t="s">
        <v>654</v>
      </c>
      <c r="H1474" s="82" t="n">
        <f aca="false">DATE(YEAR(A1474),MONTH(A1474),1)</f>
        <v>43952</v>
      </c>
    </row>
    <row r="1475" customFormat="false" ht="15" hidden="false" customHeight="false" outlineLevel="0" collapsed="false">
      <c r="A1475" s="81" t="n">
        <v>43962</v>
      </c>
      <c r="B1475" s="48" t="n">
        <v>38</v>
      </c>
      <c r="C1475" s="48" t="n">
        <v>0</v>
      </c>
      <c r="D1475" s="48" t="n">
        <v>0</v>
      </c>
      <c r="E1475" s="48" t="s">
        <v>112</v>
      </c>
      <c r="F1475" s="48" t="s">
        <v>74</v>
      </c>
      <c r="G1475" s="48" t="s">
        <v>95</v>
      </c>
      <c r="H1475" s="82" t="n">
        <f aca="false">DATE(YEAR(A1475),MONTH(A1475),1)</f>
        <v>43952</v>
      </c>
    </row>
    <row r="1476" customFormat="false" ht="15" hidden="false" customHeight="false" outlineLevel="0" collapsed="false">
      <c r="A1476" s="81" t="n">
        <v>43962</v>
      </c>
      <c r="B1476" s="48" t="n">
        <v>29</v>
      </c>
      <c r="C1476" s="48" t="n">
        <v>6</v>
      </c>
      <c r="D1476" s="48" t="n">
        <v>0</v>
      </c>
      <c r="E1476" s="48" t="s">
        <v>112</v>
      </c>
      <c r="F1476" s="48" t="s">
        <v>72</v>
      </c>
      <c r="G1476" s="48" t="s">
        <v>94</v>
      </c>
      <c r="H1476" s="82" t="n">
        <f aca="false">DATE(YEAR(A1476),MONTH(A1476),1)</f>
        <v>43952</v>
      </c>
    </row>
    <row r="1477" customFormat="false" ht="15" hidden="false" customHeight="false" outlineLevel="0" collapsed="false">
      <c r="A1477" s="81" t="n">
        <v>43962</v>
      </c>
      <c r="B1477" s="48" t="n">
        <v>3</v>
      </c>
      <c r="C1477" s="48" t="n">
        <v>0</v>
      </c>
      <c r="D1477" s="48" t="n">
        <v>0</v>
      </c>
      <c r="E1477" s="48" t="s">
        <v>112</v>
      </c>
      <c r="F1477" s="48" t="s">
        <v>72</v>
      </c>
      <c r="G1477" s="48" t="s">
        <v>597</v>
      </c>
      <c r="H1477" s="82" t="n">
        <f aca="false">DATE(YEAR(A1477),MONTH(A1477),1)</f>
        <v>43952</v>
      </c>
    </row>
    <row r="1478" customFormat="false" ht="15" hidden="false" customHeight="false" outlineLevel="0" collapsed="false">
      <c r="A1478" s="81" t="n">
        <v>43962</v>
      </c>
      <c r="B1478" s="48" t="n">
        <v>0</v>
      </c>
      <c r="C1478" s="48" t="n">
        <v>1</v>
      </c>
      <c r="D1478" s="48" t="n">
        <v>0</v>
      </c>
      <c r="E1478" s="48" t="s">
        <v>112</v>
      </c>
      <c r="F1478" s="48" t="s">
        <v>72</v>
      </c>
      <c r="G1478" s="48" t="s">
        <v>594</v>
      </c>
      <c r="H1478" s="82" t="n">
        <f aca="false">DATE(YEAR(A1478),MONTH(A1478),1)</f>
        <v>43952</v>
      </c>
    </row>
    <row r="1479" customFormat="false" ht="15" hidden="false" customHeight="false" outlineLevel="0" collapsed="false">
      <c r="A1479" s="81" t="n">
        <v>43962</v>
      </c>
      <c r="B1479" s="48" t="n">
        <v>6</v>
      </c>
      <c r="C1479" s="48" t="n">
        <v>0</v>
      </c>
      <c r="D1479" s="48" t="n">
        <v>0</v>
      </c>
      <c r="E1479" s="48" t="s">
        <v>112</v>
      </c>
      <c r="F1479" s="48" t="s">
        <v>72</v>
      </c>
      <c r="G1479" s="48" t="s">
        <v>599</v>
      </c>
      <c r="H1479" s="82" t="n">
        <f aca="false">DATE(YEAR(A1479),MONTH(A1479),1)</f>
        <v>43952</v>
      </c>
    </row>
    <row r="1480" customFormat="false" ht="15" hidden="false" customHeight="false" outlineLevel="0" collapsed="false">
      <c r="A1480" s="81" t="n">
        <v>43962</v>
      </c>
      <c r="B1480" s="48" t="n">
        <v>0</v>
      </c>
      <c r="C1480" s="48" t="n">
        <v>0</v>
      </c>
      <c r="D1480" s="48" t="n">
        <v>0</v>
      </c>
      <c r="E1480" s="48" t="s">
        <v>112</v>
      </c>
      <c r="F1480" s="48" t="s">
        <v>72</v>
      </c>
      <c r="G1480" s="48" t="s">
        <v>656</v>
      </c>
      <c r="H1480" s="82" t="n">
        <f aca="false">DATE(YEAR(A1480),MONTH(A1480),1)</f>
        <v>43952</v>
      </c>
    </row>
    <row r="1481" customFormat="false" ht="15" hidden="false" customHeight="false" outlineLevel="0" collapsed="false">
      <c r="A1481" s="81" t="n">
        <v>43962</v>
      </c>
      <c r="B1481" s="48" t="n">
        <v>44</v>
      </c>
      <c r="C1481" s="48" t="n">
        <v>3</v>
      </c>
      <c r="D1481" s="48" t="n">
        <v>0</v>
      </c>
      <c r="E1481" s="48" t="s">
        <v>112</v>
      </c>
      <c r="F1481" s="48" t="s">
        <v>72</v>
      </c>
      <c r="G1481" s="48" t="s">
        <v>102</v>
      </c>
      <c r="H1481" s="82" t="n">
        <f aca="false">DATE(YEAR(A1481),MONTH(A1481),1)</f>
        <v>43952</v>
      </c>
    </row>
    <row r="1482" customFormat="false" ht="15" hidden="false" customHeight="false" outlineLevel="0" collapsed="false">
      <c r="A1482" s="81" t="n">
        <v>43962</v>
      </c>
      <c r="B1482" s="48" t="n">
        <v>3</v>
      </c>
      <c r="C1482" s="48" t="n">
        <v>0</v>
      </c>
      <c r="D1482" s="48" t="n">
        <v>0</v>
      </c>
      <c r="E1482" s="48" t="s">
        <v>112</v>
      </c>
      <c r="F1482" s="48" t="s">
        <v>72</v>
      </c>
      <c r="G1482" s="48" t="s">
        <v>611</v>
      </c>
      <c r="H1482" s="82" t="n">
        <f aca="false">DATE(YEAR(A1482),MONTH(A1482),1)</f>
        <v>43952</v>
      </c>
    </row>
    <row r="1483" customFormat="false" ht="15" hidden="false" customHeight="false" outlineLevel="0" collapsed="false">
      <c r="A1483" s="81" t="n">
        <v>43962</v>
      </c>
      <c r="B1483" s="48" t="n">
        <v>15</v>
      </c>
      <c r="C1483" s="48" t="n">
        <v>1</v>
      </c>
      <c r="D1483" s="48" t="n">
        <v>0</v>
      </c>
      <c r="E1483" s="48" t="s">
        <v>112</v>
      </c>
      <c r="F1483" s="48" t="s">
        <v>72</v>
      </c>
      <c r="G1483" s="48" t="s">
        <v>96</v>
      </c>
      <c r="H1483" s="82" t="n">
        <f aca="false">DATE(YEAR(A1483),MONTH(A1483),1)</f>
        <v>43952</v>
      </c>
    </row>
    <row r="1484" customFormat="false" ht="15" hidden="false" customHeight="false" outlineLevel="0" collapsed="false">
      <c r="A1484" s="81" t="n">
        <v>43962</v>
      </c>
      <c r="B1484" s="48" t="n">
        <v>3</v>
      </c>
      <c r="C1484" s="48" t="n">
        <v>0</v>
      </c>
      <c r="D1484" s="48" t="n">
        <v>0</v>
      </c>
      <c r="E1484" s="48" t="s">
        <v>112</v>
      </c>
      <c r="F1484" s="48" t="s">
        <v>72</v>
      </c>
      <c r="G1484" s="48" t="s">
        <v>603</v>
      </c>
      <c r="H1484" s="82" t="n">
        <f aca="false">DATE(YEAR(A1484),MONTH(A1484),1)</f>
        <v>43952</v>
      </c>
    </row>
    <row r="1485" customFormat="false" ht="15" hidden="false" customHeight="false" outlineLevel="0" collapsed="false">
      <c r="A1485" s="81" t="n">
        <v>43962</v>
      </c>
      <c r="B1485" s="48" t="n">
        <v>6</v>
      </c>
      <c r="C1485" s="48" t="n">
        <v>0</v>
      </c>
      <c r="D1485" s="48" t="n">
        <v>0</v>
      </c>
      <c r="E1485" s="48" t="s">
        <v>112</v>
      </c>
      <c r="F1485" s="48" t="s">
        <v>72</v>
      </c>
      <c r="G1485" s="48" t="s">
        <v>591</v>
      </c>
      <c r="H1485" s="82" t="n">
        <f aca="false">DATE(YEAR(A1485),MONTH(A1485),1)</f>
        <v>43952</v>
      </c>
    </row>
    <row r="1486" customFormat="false" ht="15" hidden="false" customHeight="false" outlineLevel="0" collapsed="false">
      <c r="A1486" s="81" t="n">
        <v>43962</v>
      </c>
      <c r="B1486" s="48" t="n">
        <v>1</v>
      </c>
      <c r="C1486" s="48" t="n">
        <v>1</v>
      </c>
      <c r="D1486" s="48" t="n">
        <v>0</v>
      </c>
      <c r="E1486" s="48" t="s">
        <v>112</v>
      </c>
      <c r="F1486" s="48" t="s">
        <v>72</v>
      </c>
      <c r="G1486" s="48" t="s">
        <v>598</v>
      </c>
      <c r="H1486" s="82" t="n">
        <f aca="false">DATE(YEAR(A1486),MONTH(A1486),1)</f>
        <v>43952</v>
      </c>
    </row>
    <row r="1487" customFormat="false" ht="15" hidden="false" customHeight="false" outlineLevel="0" collapsed="false">
      <c r="A1487" s="81" t="n">
        <v>43962</v>
      </c>
      <c r="B1487" s="48" t="n">
        <v>5</v>
      </c>
      <c r="C1487" s="48" t="n">
        <v>0</v>
      </c>
      <c r="D1487" s="48" t="n">
        <v>0</v>
      </c>
      <c r="E1487" s="48" t="s">
        <v>112</v>
      </c>
      <c r="F1487" s="48" t="s">
        <v>72</v>
      </c>
      <c r="G1487" s="48" t="s">
        <v>609</v>
      </c>
      <c r="H1487" s="82" t="n">
        <f aca="false">DATE(YEAR(A1487),MONTH(A1487),1)</f>
        <v>43952</v>
      </c>
    </row>
    <row r="1488" customFormat="false" ht="15" hidden="false" customHeight="false" outlineLevel="0" collapsed="false">
      <c r="A1488" s="81" t="n">
        <v>43962</v>
      </c>
      <c r="B1488" s="48" t="n">
        <v>14</v>
      </c>
      <c r="C1488" s="48" t="n">
        <v>0</v>
      </c>
      <c r="D1488" s="48" t="n">
        <v>0</v>
      </c>
      <c r="E1488" s="48" t="s">
        <v>112</v>
      </c>
      <c r="F1488" s="48" t="s">
        <v>72</v>
      </c>
      <c r="G1488" s="48" t="s">
        <v>101</v>
      </c>
      <c r="H1488" s="82" t="n">
        <f aca="false">DATE(YEAR(A1488),MONTH(A1488),1)</f>
        <v>43952</v>
      </c>
    </row>
    <row r="1489" customFormat="false" ht="15" hidden="false" customHeight="false" outlineLevel="0" collapsed="false">
      <c r="A1489" s="81" t="n">
        <v>43962</v>
      </c>
      <c r="B1489" s="48" t="n">
        <v>0</v>
      </c>
      <c r="C1489" s="48" t="n">
        <v>0</v>
      </c>
      <c r="D1489" s="48" t="n">
        <v>0</v>
      </c>
      <c r="E1489" s="48" t="s">
        <v>112</v>
      </c>
      <c r="F1489" s="48" t="s">
        <v>72</v>
      </c>
      <c r="G1489" s="48" t="s">
        <v>643</v>
      </c>
      <c r="H1489" s="82" t="n">
        <f aca="false">DATE(YEAR(A1489),MONTH(A1489),1)</f>
        <v>43952</v>
      </c>
    </row>
    <row r="1490" customFormat="false" ht="15" hidden="false" customHeight="false" outlineLevel="0" collapsed="false">
      <c r="A1490" s="81" t="n">
        <v>43962</v>
      </c>
      <c r="B1490" s="48" t="n">
        <v>0</v>
      </c>
      <c r="C1490" s="48" t="n">
        <v>0</v>
      </c>
      <c r="D1490" s="48" t="n">
        <v>0</v>
      </c>
      <c r="E1490" s="48" t="s">
        <v>112</v>
      </c>
      <c r="F1490" s="48" t="s">
        <v>72</v>
      </c>
      <c r="G1490" s="48" t="s">
        <v>662</v>
      </c>
      <c r="H1490" s="82" t="n">
        <f aca="false">DATE(YEAR(A1490),MONTH(A1490),1)</f>
        <v>43952</v>
      </c>
    </row>
    <row r="1491" customFormat="false" ht="15" hidden="false" customHeight="false" outlineLevel="0" collapsed="false">
      <c r="A1491" s="81" t="n">
        <v>43962</v>
      </c>
      <c r="B1491" s="48" t="n">
        <v>2</v>
      </c>
      <c r="C1491" s="48" t="n">
        <v>0</v>
      </c>
      <c r="D1491" s="48" t="n">
        <v>0</v>
      </c>
      <c r="E1491" s="48" t="s">
        <v>112</v>
      </c>
      <c r="F1491" s="48" t="s">
        <v>72</v>
      </c>
      <c r="G1491" s="48" t="s">
        <v>600</v>
      </c>
      <c r="H1491" s="82" t="n">
        <f aca="false">DATE(YEAR(A1491),MONTH(A1491),1)</f>
        <v>43952</v>
      </c>
    </row>
    <row r="1492" customFormat="false" ht="15" hidden="false" customHeight="false" outlineLevel="0" collapsed="false">
      <c r="A1492" s="81" t="n">
        <v>43962</v>
      </c>
      <c r="B1492" s="48" t="n">
        <v>1</v>
      </c>
      <c r="C1492" s="48" t="n">
        <v>0</v>
      </c>
      <c r="D1492" s="48" t="n">
        <v>0</v>
      </c>
      <c r="E1492" s="48" t="s">
        <v>112</v>
      </c>
      <c r="F1492" s="48" t="s">
        <v>72</v>
      </c>
      <c r="G1492" s="48" t="s">
        <v>610</v>
      </c>
      <c r="H1492" s="82" t="n">
        <f aca="false">DATE(YEAR(A1492),MONTH(A1492),1)</f>
        <v>43952</v>
      </c>
    </row>
    <row r="1493" customFormat="false" ht="15" hidden="false" customHeight="false" outlineLevel="0" collapsed="false">
      <c r="A1493" s="81" t="n">
        <v>43962</v>
      </c>
      <c r="B1493" s="48" t="n">
        <v>1</v>
      </c>
      <c r="C1493" s="48" t="n">
        <v>0</v>
      </c>
      <c r="D1493" s="48" t="n">
        <v>0</v>
      </c>
      <c r="E1493" s="48" t="s">
        <v>112</v>
      </c>
      <c r="F1493" s="48" t="s">
        <v>72</v>
      </c>
      <c r="G1493" s="48" t="s">
        <v>593</v>
      </c>
      <c r="H1493" s="82" t="n">
        <f aca="false">DATE(YEAR(A1493),MONTH(A1493),1)</f>
        <v>43952</v>
      </c>
    </row>
    <row r="1494" customFormat="false" ht="15" hidden="false" customHeight="false" outlineLevel="0" collapsed="false">
      <c r="A1494" s="81" t="n">
        <v>43962</v>
      </c>
      <c r="B1494" s="48" t="n">
        <v>0</v>
      </c>
      <c r="C1494" s="48" t="n">
        <v>0</v>
      </c>
      <c r="D1494" s="48" t="n">
        <v>0</v>
      </c>
      <c r="E1494" s="48" t="s">
        <v>112</v>
      </c>
      <c r="F1494" s="48" t="s">
        <v>72</v>
      </c>
      <c r="G1494" s="48" t="s">
        <v>612</v>
      </c>
      <c r="H1494" s="82" t="n">
        <f aca="false">DATE(YEAR(A1494),MONTH(A1494),1)</f>
        <v>43952</v>
      </c>
    </row>
    <row r="1495" customFormat="false" ht="15" hidden="false" customHeight="false" outlineLevel="0" collapsed="false">
      <c r="A1495" s="81" t="n">
        <v>43962</v>
      </c>
      <c r="B1495" s="48" t="n">
        <v>0</v>
      </c>
      <c r="C1495" s="48" t="n">
        <v>0</v>
      </c>
      <c r="D1495" s="48" t="n">
        <v>0</v>
      </c>
      <c r="E1495" s="48" t="s">
        <v>112</v>
      </c>
      <c r="F1495" s="48" t="s">
        <v>72</v>
      </c>
      <c r="G1495" s="48" t="s">
        <v>685</v>
      </c>
      <c r="H1495" s="82" t="n">
        <f aca="false">DATE(YEAR(A1495),MONTH(A1495),1)</f>
        <v>43952</v>
      </c>
    </row>
    <row r="1496" customFormat="false" ht="15" hidden="false" customHeight="false" outlineLevel="0" collapsed="false">
      <c r="A1496" s="81" t="n">
        <v>43962</v>
      </c>
      <c r="B1496" s="48" t="n">
        <v>0</v>
      </c>
      <c r="C1496" s="48" t="n">
        <v>0</v>
      </c>
      <c r="D1496" s="48" t="n">
        <v>0</v>
      </c>
      <c r="E1496" s="48" t="s">
        <v>112</v>
      </c>
      <c r="F1496" s="48" t="s">
        <v>72</v>
      </c>
      <c r="G1496" s="48" t="s">
        <v>687</v>
      </c>
      <c r="H1496" s="82" t="n">
        <f aca="false">DATE(YEAR(A1496),MONTH(A1496),1)</f>
        <v>43952</v>
      </c>
    </row>
    <row r="1497" customFormat="false" ht="15" hidden="false" customHeight="false" outlineLevel="0" collapsed="false">
      <c r="A1497" s="81" t="n">
        <v>43962</v>
      </c>
      <c r="B1497" s="48" t="n">
        <v>0</v>
      </c>
      <c r="C1497" s="48" t="n">
        <v>0</v>
      </c>
      <c r="D1497" s="48" t="n">
        <v>0</v>
      </c>
      <c r="E1497" s="48" t="s">
        <v>112</v>
      </c>
      <c r="F1497" s="48" t="s">
        <v>72</v>
      </c>
      <c r="G1497" s="48" t="s">
        <v>682</v>
      </c>
      <c r="H1497" s="82" t="n">
        <f aca="false">DATE(YEAR(A1497),MONTH(A1497),1)</f>
        <v>43952</v>
      </c>
    </row>
    <row r="1498" customFormat="false" ht="15" hidden="false" customHeight="false" outlineLevel="0" collapsed="false">
      <c r="A1498" s="81" t="n">
        <v>43962</v>
      </c>
      <c r="B1498" s="48" t="n">
        <v>0</v>
      </c>
      <c r="C1498" s="48" t="n">
        <v>0</v>
      </c>
      <c r="D1498" s="48" t="n">
        <v>0</v>
      </c>
      <c r="E1498" s="48" t="s">
        <v>112</v>
      </c>
      <c r="F1498" s="48" t="s">
        <v>72</v>
      </c>
      <c r="G1498" s="48" t="s">
        <v>692</v>
      </c>
      <c r="H1498" s="82" t="n">
        <f aca="false">DATE(YEAR(A1498),MONTH(A1498),1)</f>
        <v>43952</v>
      </c>
    </row>
    <row r="1499" customFormat="false" ht="15" hidden="false" customHeight="false" outlineLevel="0" collapsed="false">
      <c r="A1499" s="81" t="n">
        <v>43962</v>
      </c>
      <c r="B1499" s="48" t="n">
        <v>1</v>
      </c>
      <c r="C1499" s="48" t="n">
        <v>0</v>
      </c>
      <c r="D1499" s="48" t="n">
        <v>0</v>
      </c>
      <c r="E1499" s="48" t="s">
        <v>112</v>
      </c>
      <c r="F1499" s="48" t="s">
        <v>72</v>
      </c>
      <c r="G1499" s="48" t="s">
        <v>613</v>
      </c>
      <c r="H1499" s="82" t="n">
        <f aca="false">DATE(YEAR(A1499),MONTH(A1499),1)</f>
        <v>43952</v>
      </c>
    </row>
    <row r="1500" customFormat="false" ht="15" hidden="false" customHeight="false" outlineLevel="0" collapsed="false">
      <c r="A1500" s="81" t="n">
        <v>43962</v>
      </c>
      <c r="B1500" s="48" t="n">
        <v>0</v>
      </c>
      <c r="C1500" s="48" t="n">
        <v>0</v>
      </c>
      <c r="D1500" s="48" t="n">
        <v>0</v>
      </c>
      <c r="E1500" s="48" t="s">
        <v>112</v>
      </c>
      <c r="F1500" s="48" t="s">
        <v>72</v>
      </c>
      <c r="G1500" s="48" t="s">
        <v>614</v>
      </c>
      <c r="H1500" s="82" t="n">
        <f aca="false">DATE(YEAR(A1500),MONTH(A1500),1)</f>
        <v>43952</v>
      </c>
    </row>
    <row r="1501" customFormat="false" ht="15" hidden="false" customHeight="false" outlineLevel="0" collapsed="false">
      <c r="A1501" s="81" t="n">
        <v>43962</v>
      </c>
      <c r="B1501" s="48" t="n">
        <v>0</v>
      </c>
      <c r="C1501" s="48" t="n">
        <v>0</v>
      </c>
      <c r="D1501" s="48" t="n">
        <v>0</v>
      </c>
      <c r="E1501" s="48" t="s">
        <v>112</v>
      </c>
      <c r="F1501" s="48" t="s">
        <v>72</v>
      </c>
      <c r="G1501" s="48" t="s">
        <v>655</v>
      </c>
      <c r="H1501" s="82" t="n">
        <f aca="false">DATE(YEAR(A1501),MONTH(A1501),1)</f>
        <v>43952</v>
      </c>
    </row>
    <row r="1502" customFormat="false" ht="15" hidden="false" customHeight="false" outlineLevel="0" collapsed="false">
      <c r="A1502" s="81" t="n">
        <v>43962</v>
      </c>
      <c r="B1502" s="48" t="n">
        <v>1</v>
      </c>
      <c r="C1502" s="48" t="n">
        <v>0</v>
      </c>
      <c r="D1502" s="48" t="n">
        <v>0</v>
      </c>
      <c r="E1502" s="48" t="s">
        <v>112</v>
      </c>
      <c r="F1502" s="48" t="s">
        <v>72</v>
      </c>
      <c r="G1502" s="48" t="s">
        <v>608</v>
      </c>
      <c r="H1502" s="82" t="n">
        <f aca="false">DATE(YEAR(A1502),MONTH(A1502),1)</f>
        <v>43952</v>
      </c>
    </row>
    <row r="1503" customFormat="false" ht="15" hidden="false" customHeight="false" outlineLevel="0" collapsed="false">
      <c r="A1503" s="81" t="n">
        <v>43962</v>
      </c>
      <c r="B1503" s="48" t="n">
        <v>0</v>
      </c>
      <c r="C1503" s="48" t="n">
        <v>0</v>
      </c>
      <c r="D1503" s="48" t="n">
        <v>0</v>
      </c>
      <c r="E1503" s="48" t="s">
        <v>112</v>
      </c>
      <c r="F1503" s="48" t="s">
        <v>72</v>
      </c>
      <c r="G1503" s="48" t="s">
        <v>615</v>
      </c>
      <c r="H1503" s="82" t="n">
        <f aca="false">DATE(YEAR(A1503),MONTH(A1503),1)</f>
        <v>43952</v>
      </c>
    </row>
    <row r="1504" customFormat="false" ht="15" hidden="false" customHeight="false" outlineLevel="0" collapsed="false">
      <c r="A1504" s="81" t="n">
        <v>43962</v>
      </c>
      <c r="B1504" s="48" t="n">
        <v>0</v>
      </c>
      <c r="C1504" s="48" t="n">
        <v>0</v>
      </c>
      <c r="D1504" s="48" t="n">
        <v>0</v>
      </c>
      <c r="E1504" s="48" t="s">
        <v>112</v>
      </c>
      <c r="F1504" s="48" t="s">
        <v>72</v>
      </c>
      <c r="G1504" s="48" t="s">
        <v>666</v>
      </c>
      <c r="H1504" s="82" t="n">
        <f aca="false">DATE(YEAR(A1504),MONTH(A1504),1)</f>
        <v>43952</v>
      </c>
    </row>
    <row r="1505" customFormat="false" ht="15" hidden="false" customHeight="false" outlineLevel="0" collapsed="false">
      <c r="A1505" s="81" t="n">
        <v>43962</v>
      </c>
      <c r="B1505" s="48" t="n">
        <v>2</v>
      </c>
      <c r="C1505" s="48" t="n">
        <v>0</v>
      </c>
      <c r="D1505" s="48" t="n">
        <v>0</v>
      </c>
      <c r="E1505" s="48" t="s">
        <v>112</v>
      </c>
      <c r="F1505" s="48" t="s">
        <v>72</v>
      </c>
      <c r="G1505" s="48" t="s">
        <v>621</v>
      </c>
      <c r="H1505" s="82" t="n">
        <f aca="false">DATE(YEAR(A1505),MONTH(A1505),1)</f>
        <v>43952</v>
      </c>
    </row>
    <row r="1506" customFormat="false" ht="15" hidden="false" customHeight="false" outlineLevel="0" collapsed="false">
      <c r="A1506" s="81" t="n">
        <v>43962</v>
      </c>
      <c r="B1506" s="48" t="n">
        <v>0</v>
      </c>
      <c r="C1506" s="48" t="n">
        <v>0</v>
      </c>
      <c r="D1506" s="48" t="n">
        <v>0</v>
      </c>
      <c r="E1506" s="48" t="s">
        <v>112</v>
      </c>
      <c r="F1506" s="48" t="s">
        <v>72</v>
      </c>
      <c r="G1506" s="48" t="s">
        <v>664</v>
      </c>
      <c r="H1506" s="82" t="n">
        <f aca="false">DATE(YEAR(A1506),MONTH(A1506),1)</f>
        <v>43952</v>
      </c>
    </row>
    <row r="1507" customFormat="false" ht="15" hidden="false" customHeight="false" outlineLevel="0" collapsed="false">
      <c r="A1507" s="81" t="n">
        <v>43962</v>
      </c>
      <c r="B1507" s="48" t="n">
        <v>0</v>
      </c>
      <c r="C1507" s="48" t="n">
        <v>0</v>
      </c>
      <c r="D1507" s="48" t="n">
        <v>0</v>
      </c>
      <c r="E1507" s="48" t="s">
        <v>112</v>
      </c>
      <c r="F1507" s="48" t="s">
        <v>72</v>
      </c>
      <c r="G1507" s="48" t="s">
        <v>667</v>
      </c>
      <c r="H1507" s="82" t="n">
        <f aca="false">DATE(YEAR(A1507),MONTH(A1507),1)</f>
        <v>43952</v>
      </c>
    </row>
    <row r="1508" customFormat="false" ht="15" hidden="false" customHeight="false" outlineLevel="0" collapsed="false">
      <c r="A1508" s="81" t="n">
        <v>43962</v>
      </c>
      <c r="B1508" s="48" t="n">
        <v>5</v>
      </c>
      <c r="C1508" s="48" t="n">
        <v>0</v>
      </c>
      <c r="D1508" s="48" t="n">
        <v>0</v>
      </c>
      <c r="E1508" s="48" t="s">
        <v>112</v>
      </c>
      <c r="F1508" s="48" t="s">
        <v>72</v>
      </c>
      <c r="G1508" s="48" t="s">
        <v>607</v>
      </c>
      <c r="H1508" s="82" t="n">
        <f aca="false">DATE(YEAR(A1508),MONTH(A1508),1)</f>
        <v>43952</v>
      </c>
    </row>
    <row r="1509" customFormat="false" ht="15" hidden="false" customHeight="false" outlineLevel="0" collapsed="false">
      <c r="A1509" s="81" t="n">
        <v>43962</v>
      </c>
      <c r="B1509" s="48" t="n">
        <v>2</v>
      </c>
      <c r="C1509" s="48" t="n">
        <v>0</v>
      </c>
      <c r="D1509" s="48" t="n">
        <v>0</v>
      </c>
      <c r="E1509" s="48" t="s">
        <v>112</v>
      </c>
      <c r="F1509" s="48" t="s">
        <v>72</v>
      </c>
      <c r="G1509" s="48" t="s">
        <v>673</v>
      </c>
      <c r="H1509" s="82" t="n">
        <f aca="false">DATE(YEAR(A1509),MONTH(A1509),1)</f>
        <v>43952</v>
      </c>
    </row>
    <row r="1510" customFormat="false" ht="15" hidden="false" customHeight="false" outlineLevel="0" collapsed="false">
      <c r="A1510" s="81" t="n">
        <v>43962</v>
      </c>
      <c r="B1510" s="48" t="n">
        <v>0</v>
      </c>
      <c r="C1510" s="48" t="n">
        <v>0</v>
      </c>
      <c r="D1510" s="48" t="n">
        <v>0</v>
      </c>
      <c r="E1510" s="48" t="s">
        <v>112</v>
      </c>
      <c r="F1510" s="48" t="s">
        <v>72</v>
      </c>
      <c r="G1510" s="48" t="s">
        <v>676</v>
      </c>
      <c r="H1510" s="82" t="n">
        <f aca="false">DATE(YEAR(A1510),MONTH(A1510),1)</f>
        <v>43952</v>
      </c>
    </row>
    <row r="1511" customFormat="false" ht="15" hidden="false" customHeight="false" outlineLevel="0" collapsed="false">
      <c r="A1511" s="81" t="n">
        <v>43962</v>
      </c>
      <c r="B1511" s="48" t="n">
        <v>301</v>
      </c>
      <c r="C1511" s="48" t="n">
        <v>14</v>
      </c>
      <c r="D1511" s="48" t="n">
        <v>83</v>
      </c>
      <c r="E1511" s="48" t="s">
        <v>112</v>
      </c>
      <c r="F1511" s="48" t="s">
        <v>71</v>
      </c>
      <c r="G1511" s="48" t="s">
        <v>92</v>
      </c>
      <c r="H1511" s="82" t="n">
        <f aca="false">DATE(YEAR(A1511),MONTH(A1511),1)</f>
        <v>43952</v>
      </c>
    </row>
    <row r="1512" customFormat="false" ht="15" hidden="false" customHeight="false" outlineLevel="0" collapsed="false">
      <c r="A1512" s="81" t="n">
        <v>43962</v>
      </c>
      <c r="B1512" s="48" t="n">
        <v>537</v>
      </c>
      <c r="C1512" s="48" t="n">
        <v>11</v>
      </c>
      <c r="D1512" s="48" t="n">
        <v>68</v>
      </c>
      <c r="E1512" s="48" t="s">
        <v>112</v>
      </c>
      <c r="F1512" s="48" t="s">
        <v>70</v>
      </c>
      <c r="G1512" s="48" t="s">
        <v>91</v>
      </c>
      <c r="H1512" s="82" t="n">
        <f aca="false">DATE(YEAR(A1512),MONTH(A1512),1)</f>
        <v>43952</v>
      </c>
    </row>
    <row r="1513" customFormat="false" ht="15" hidden="false" customHeight="false" outlineLevel="0" collapsed="false">
      <c r="A1513" s="81" t="n">
        <v>43963</v>
      </c>
      <c r="B1513" s="48" t="n">
        <v>2</v>
      </c>
      <c r="C1513" s="48" t="n">
        <v>0</v>
      </c>
      <c r="D1513" s="48" t="n">
        <v>4</v>
      </c>
      <c r="E1513" s="48" t="s">
        <v>112</v>
      </c>
      <c r="F1513" s="48" t="s">
        <v>76</v>
      </c>
      <c r="G1513" s="48" t="s">
        <v>595</v>
      </c>
      <c r="H1513" s="82" t="n">
        <f aca="false">DATE(YEAR(A1513),MONTH(A1513),1)</f>
        <v>43952</v>
      </c>
    </row>
    <row r="1514" customFormat="false" ht="15" hidden="false" customHeight="false" outlineLevel="0" collapsed="false">
      <c r="A1514" s="81" t="n">
        <v>43963</v>
      </c>
      <c r="B1514" s="48" t="n">
        <v>97</v>
      </c>
      <c r="C1514" s="48" t="n">
        <v>0</v>
      </c>
      <c r="D1514" s="48" t="n">
        <v>14</v>
      </c>
      <c r="E1514" s="48" t="s">
        <v>112</v>
      </c>
      <c r="F1514" s="48" t="s">
        <v>73</v>
      </c>
      <c r="G1514" s="48" t="s">
        <v>93</v>
      </c>
      <c r="H1514" s="82" t="n">
        <f aca="false">DATE(YEAR(A1514),MONTH(A1514),1)</f>
        <v>43952</v>
      </c>
    </row>
    <row r="1515" customFormat="false" ht="15" hidden="false" customHeight="false" outlineLevel="0" collapsed="false">
      <c r="A1515" s="81" t="n">
        <v>43963</v>
      </c>
      <c r="B1515" s="48" t="n">
        <v>5</v>
      </c>
      <c r="C1515" s="48" t="n">
        <v>0</v>
      </c>
      <c r="D1515" s="48" t="n">
        <v>0</v>
      </c>
      <c r="E1515" s="48" t="s">
        <v>112</v>
      </c>
      <c r="F1515" s="48" t="s">
        <v>75</v>
      </c>
      <c r="G1515" s="48" t="s">
        <v>658</v>
      </c>
      <c r="H1515" s="82" t="n">
        <f aca="false">DATE(YEAR(A1515),MONTH(A1515),1)</f>
        <v>43952</v>
      </c>
    </row>
    <row r="1516" customFormat="false" ht="15" hidden="false" customHeight="false" outlineLevel="0" collapsed="false">
      <c r="A1516" s="81" t="n">
        <v>43963</v>
      </c>
      <c r="B1516" s="48" t="n">
        <v>4</v>
      </c>
      <c r="C1516" s="48" t="n">
        <v>0</v>
      </c>
      <c r="D1516" s="48" t="n">
        <v>0</v>
      </c>
      <c r="E1516" s="48" t="s">
        <v>112</v>
      </c>
      <c r="F1516" s="48" t="s">
        <v>75</v>
      </c>
      <c r="G1516" s="48" t="s">
        <v>658</v>
      </c>
      <c r="H1516" s="82" t="n">
        <f aca="false">DATE(YEAR(A1516),MONTH(A1516),1)</f>
        <v>43952</v>
      </c>
    </row>
    <row r="1517" customFormat="false" ht="15" hidden="false" customHeight="false" outlineLevel="0" collapsed="false">
      <c r="A1517" s="81" t="n">
        <v>43963</v>
      </c>
      <c r="B1517" s="48" t="n">
        <v>13</v>
      </c>
      <c r="C1517" s="48" t="n">
        <v>0</v>
      </c>
      <c r="D1517" s="48" t="n">
        <v>0</v>
      </c>
      <c r="E1517" s="48" t="s">
        <v>112</v>
      </c>
      <c r="F1517" s="48" t="s">
        <v>75</v>
      </c>
      <c r="G1517" s="48" t="s">
        <v>103</v>
      </c>
      <c r="H1517" s="82" t="n">
        <f aca="false">DATE(YEAR(A1517),MONTH(A1517),1)</f>
        <v>43952</v>
      </c>
    </row>
    <row r="1518" customFormat="false" ht="15" hidden="false" customHeight="false" outlineLevel="0" collapsed="false">
      <c r="A1518" s="81" t="n">
        <v>43963</v>
      </c>
      <c r="B1518" s="48" t="n">
        <v>0</v>
      </c>
      <c r="C1518" s="48" t="n">
        <v>8</v>
      </c>
      <c r="D1518" s="48" t="n">
        <v>0</v>
      </c>
      <c r="E1518" s="48" t="s">
        <v>112</v>
      </c>
      <c r="F1518" s="48" t="s">
        <v>75</v>
      </c>
      <c r="G1518" s="48" t="s">
        <v>629</v>
      </c>
      <c r="H1518" s="82" t="n">
        <f aca="false">DATE(YEAR(A1518),MONTH(A1518),1)</f>
        <v>43952</v>
      </c>
    </row>
    <row r="1519" customFormat="false" ht="15" hidden="false" customHeight="false" outlineLevel="0" collapsed="false">
      <c r="A1519" s="81" t="n">
        <v>43963</v>
      </c>
      <c r="B1519" s="48" t="n">
        <v>1</v>
      </c>
      <c r="C1519" s="48" t="n">
        <v>0</v>
      </c>
      <c r="D1519" s="48" t="n">
        <v>0</v>
      </c>
      <c r="E1519" s="48" t="s">
        <v>112</v>
      </c>
      <c r="F1519" s="48" t="s">
        <v>75</v>
      </c>
      <c r="G1519" s="48" t="s">
        <v>654</v>
      </c>
      <c r="H1519" s="82" t="n">
        <f aca="false">DATE(YEAR(A1519),MONTH(A1519),1)</f>
        <v>43952</v>
      </c>
    </row>
    <row r="1520" customFormat="false" ht="15" hidden="false" customHeight="false" outlineLevel="0" collapsed="false">
      <c r="A1520" s="81" t="n">
        <v>43963</v>
      </c>
      <c r="B1520" s="48" t="n">
        <v>37</v>
      </c>
      <c r="C1520" s="48" t="n">
        <v>0</v>
      </c>
      <c r="D1520" s="48" t="n">
        <v>20</v>
      </c>
      <c r="E1520" s="48" t="s">
        <v>112</v>
      </c>
      <c r="F1520" s="48" t="s">
        <v>74</v>
      </c>
      <c r="G1520" s="48" t="s">
        <v>95</v>
      </c>
      <c r="H1520" s="82" t="n">
        <f aca="false">DATE(YEAR(A1520),MONTH(A1520),1)</f>
        <v>43952</v>
      </c>
    </row>
    <row r="1521" customFormat="false" ht="15" hidden="false" customHeight="false" outlineLevel="0" collapsed="false">
      <c r="A1521" s="81" t="n">
        <v>43963</v>
      </c>
      <c r="B1521" s="48" t="n">
        <v>57</v>
      </c>
      <c r="C1521" s="48" t="n">
        <v>5</v>
      </c>
      <c r="D1521" s="48" t="n">
        <v>0</v>
      </c>
      <c r="E1521" s="48" t="s">
        <v>112</v>
      </c>
      <c r="F1521" s="48" t="s">
        <v>72</v>
      </c>
      <c r="G1521" s="48" t="s">
        <v>94</v>
      </c>
      <c r="H1521" s="82" t="n">
        <f aca="false">DATE(YEAR(A1521),MONTH(A1521),1)</f>
        <v>43952</v>
      </c>
    </row>
    <row r="1522" customFormat="false" ht="15" hidden="false" customHeight="false" outlineLevel="0" collapsed="false">
      <c r="A1522" s="81" t="n">
        <v>43963</v>
      </c>
      <c r="B1522" s="48" t="n">
        <v>2</v>
      </c>
      <c r="C1522" s="48" t="n">
        <v>0</v>
      </c>
      <c r="D1522" s="48" t="n">
        <v>0</v>
      </c>
      <c r="E1522" s="48" t="s">
        <v>112</v>
      </c>
      <c r="F1522" s="48" t="s">
        <v>72</v>
      </c>
      <c r="G1522" s="48" t="s">
        <v>597</v>
      </c>
      <c r="H1522" s="82" t="n">
        <f aca="false">DATE(YEAR(A1522),MONTH(A1522),1)</f>
        <v>43952</v>
      </c>
    </row>
    <row r="1523" customFormat="false" ht="15" hidden="false" customHeight="false" outlineLevel="0" collapsed="false">
      <c r="A1523" s="81" t="n">
        <v>43963</v>
      </c>
      <c r="B1523" s="48" t="n">
        <v>3</v>
      </c>
      <c r="C1523" s="48" t="n">
        <v>0</v>
      </c>
      <c r="D1523" s="48" t="n">
        <v>0</v>
      </c>
      <c r="E1523" s="48" t="s">
        <v>112</v>
      </c>
      <c r="F1523" s="48" t="s">
        <v>72</v>
      </c>
      <c r="G1523" s="48" t="s">
        <v>594</v>
      </c>
      <c r="H1523" s="82" t="n">
        <f aca="false">DATE(YEAR(A1523),MONTH(A1523),1)</f>
        <v>43952</v>
      </c>
    </row>
    <row r="1524" customFormat="false" ht="15" hidden="false" customHeight="false" outlineLevel="0" collapsed="false">
      <c r="A1524" s="81" t="n">
        <v>43963</v>
      </c>
      <c r="B1524" s="48" t="n">
        <v>6</v>
      </c>
      <c r="C1524" s="48" t="n">
        <v>0</v>
      </c>
      <c r="D1524" s="48" t="n">
        <v>0</v>
      </c>
      <c r="E1524" s="48" t="s">
        <v>112</v>
      </c>
      <c r="F1524" s="48" t="s">
        <v>72</v>
      </c>
      <c r="G1524" s="48" t="s">
        <v>599</v>
      </c>
      <c r="H1524" s="82" t="n">
        <f aca="false">DATE(YEAR(A1524),MONTH(A1524),1)</f>
        <v>43952</v>
      </c>
    </row>
    <row r="1525" customFormat="false" ht="15" hidden="false" customHeight="false" outlineLevel="0" collapsed="false">
      <c r="A1525" s="81" t="n">
        <v>43963</v>
      </c>
      <c r="B1525" s="48" t="n">
        <v>0</v>
      </c>
      <c r="C1525" s="48" t="n">
        <v>0</v>
      </c>
      <c r="D1525" s="48" t="n">
        <v>0</v>
      </c>
      <c r="E1525" s="48" t="s">
        <v>112</v>
      </c>
      <c r="F1525" s="48" t="s">
        <v>72</v>
      </c>
      <c r="G1525" s="48" t="s">
        <v>656</v>
      </c>
      <c r="H1525" s="82" t="n">
        <f aca="false">DATE(YEAR(A1525),MONTH(A1525),1)</f>
        <v>43952</v>
      </c>
    </row>
    <row r="1526" customFormat="false" ht="15" hidden="false" customHeight="false" outlineLevel="0" collapsed="false">
      <c r="A1526" s="81" t="n">
        <v>43963</v>
      </c>
      <c r="B1526" s="48" t="n">
        <v>4</v>
      </c>
      <c r="C1526" s="48" t="n">
        <v>3</v>
      </c>
      <c r="D1526" s="48" t="n">
        <v>0</v>
      </c>
      <c r="E1526" s="48" t="s">
        <v>112</v>
      </c>
      <c r="F1526" s="48" t="s">
        <v>72</v>
      </c>
      <c r="G1526" s="48" t="s">
        <v>102</v>
      </c>
      <c r="H1526" s="82" t="n">
        <f aca="false">DATE(YEAR(A1526),MONTH(A1526),1)</f>
        <v>43952</v>
      </c>
    </row>
    <row r="1527" customFormat="false" ht="15" hidden="false" customHeight="false" outlineLevel="0" collapsed="false">
      <c r="A1527" s="81" t="n">
        <v>43963</v>
      </c>
      <c r="B1527" s="48" t="n">
        <v>0</v>
      </c>
      <c r="C1527" s="48" t="n">
        <v>1</v>
      </c>
      <c r="D1527" s="48" t="n">
        <v>0</v>
      </c>
      <c r="E1527" s="48" t="s">
        <v>112</v>
      </c>
      <c r="F1527" s="48" t="s">
        <v>72</v>
      </c>
      <c r="G1527" s="48" t="s">
        <v>611</v>
      </c>
      <c r="H1527" s="82" t="n">
        <f aca="false">DATE(YEAR(A1527),MONTH(A1527),1)</f>
        <v>43952</v>
      </c>
    </row>
    <row r="1528" customFormat="false" ht="15" hidden="false" customHeight="false" outlineLevel="0" collapsed="false">
      <c r="A1528" s="81" t="n">
        <v>43963</v>
      </c>
      <c r="B1528" s="48" t="n">
        <v>19</v>
      </c>
      <c r="C1528" s="48" t="n">
        <v>0</v>
      </c>
      <c r="D1528" s="48" t="n">
        <v>0</v>
      </c>
      <c r="E1528" s="48" t="s">
        <v>112</v>
      </c>
      <c r="F1528" s="48" t="s">
        <v>72</v>
      </c>
      <c r="G1528" s="48" t="s">
        <v>96</v>
      </c>
      <c r="H1528" s="82" t="n">
        <f aca="false">DATE(YEAR(A1528),MONTH(A1528),1)</f>
        <v>43952</v>
      </c>
    </row>
    <row r="1529" customFormat="false" ht="15" hidden="false" customHeight="false" outlineLevel="0" collapsed="false">
      <c r="A1529" s="81" t="n">
        <v>43963</v>
      </c>
      <c r="B1529" s="48" t="n">
        <v>8</v>
      </c>
      <c r="C1529" s="48" t="n">
        <v>0</v>
      </c>
      <c r="D1529" s="48" t="n">
        <v>0</v>
      </c>
      <c r="E1529" s="48" t="s">
        <v>112</v>
      </c>
      <c r="F1529" s="48" t="s">
        <v>72</v>
      </c>
      <c r="G1529" s="48" t="s">
        <v>603</v>
      </c>
      <c r="H1529" s="82" t="n">
        <f aca="false">DATE(YEAR(A1529),MONTH(A1529),1)</f>
        <v>43952</v>
      </c>
    </row>
    <row r="1530" customFormat="false" ht="15" hidden="false" customHeight="false" outlineLevel="0" collapsed="false">
      <c r="A1530" s="81" t="n">
        <v>43963</v>
      </c>
      <c r="B1530" s="48" t="n">
        <v>5</v>
      </c>
      <c r="C1530" s="48" t="n">
        <v>0</v>
      </c>
      <c r="D1530" s="48" t="n">
        <v>0</v>
      </c>
      <c r="E1530" s="48" t="s">
        <v>112</v>
      </c>
      <c r="F1530" s="48" t="s">
        <v>72</v>
      </c>
      <c r="G1530" s="48" t="s">
        <v>591</v>
      </c>
      <c r="H1530" s="82" t="n">
        <f aca="false">DATE(YEAR(A1530),MONTH(A1530),1)</f>
        <v>43952</v>
      </c>
    </row>
    <row r="1531" customFormat="false" ht="15" hidden="false" customHeight="false" outlineLevel="0" collapsed="false">
      <c r="A1531" s="81" t="n">
        <v>43963</v>
      </c>
      <c r="B1531" s="48" t="n">
        <v>8</v>
      </c>
      <c r="C1531" s="48" t="n">
        <v>0</v>
      </c>
      <c r="D1531" s="48" t="n">
        <v>0</v>
      </c>
      <c r="E1531" s="48" t="s">
        <v>112</v>
      </c>
      <c r="F1531" s="48" t="s">
        <v>72</v>
      </c>
      <c r="G1531" s="48" t="s">
        <v>598</v>
      </c>
      <c r="H1531" s="82" t="n">
        <f aca="false">DATE(YEAR(A1531),MONTH(A1531),1)</f>
        <v>43952</v>
      </c>
    </row>
    <row r="1532" customFormat="false" ht="15" hidden="false" customHeight="false" outlineLevel="0" collapsed="false">
      <c r="A1532" s="81" t="n">
        <v>43963</v>
      </c>
      <c r="B1532" s="48" t="n">
        <v>1</v>
      </c>
      <c r="C1532" s="48" t="n">
        <v>0</v>
      </c>
      <c r="D1532" s="48" t="n">
        <v>0</v>
      </c>
      <c r="E1532" s="48" t="s">
        <v>112</v>
      </c>
      <c r="F1532" s="48" t="s">
        <v>72</v>
      </c>
      <c r="G1532" s="48" t="s">
        <v>609</v>
      </c>
      <c r="H1532" s="82" t="n">
        <f aca="false">DATE(YEAR(A1532),MONTH(A1532),1)</f>
        <v>43952</v>
      </c>
    </row>
    <row r="1533" customFormat="false" ht="15" hidden="false" customHeight="false" outlineLevel="0" collapsed="false">
      <c r="A1533" s="81" t="n">
        <v>43963</v>
      </c>
      <c r="B1533" s="48" t="n">
        <v>9</v>
      </c>
      <c r="C1533" s="48" t="n">
        <v>1</v>
      </c>
      <c r="D1533" s="48" t="n">
        <v>0</v>
      </c>
      <c r="E1533" s="48" t="s">
        <v>112</v>
      </c>
      <c r="F1533" s="48" t="s">
        <v>72</v>
      </c>
      <c r="G1533" s="48" t="s">
        <v>101</v>
      </c>
      <c r="H1533" s="82" t="n">
        <f aca="false">DATE(YEAR(A1533),MONTH(A1533),1)</f>
        <v>43952</v>
      </c>
    </row>
    <row r="1534" customFormat="false" ht="15" hidden="false" customHeight="false" outlineLevel="0" collapsed="false">
      <c r="A1534" s="81" t="n">
        <v>43963</v>
      </c>
      <c r="B1534" s="48" t="n">
        <v>0</v>
      </c>
      <c r="C1534" s="48" t="n">
        <v>0</v>
      </c>
      <c r="D1534" s="48" t="n">
        <v>0</v>
      </c>
      <c r="E1534" s="48" t="s">
        <v>112</v>
      </c>
      <c r="F1534" s="48" t="s">
        <v>72</v>
      </c>
      <c r="G1534" s="48" t="s">
        <v>643</v>
      </c>
      <c r="H1534" s="82" t="n">
        <f aca="false">DATE(YEAR(A1534),MONTH(A1534),1)</f>
        <v>43952</v>
      </c>
    </row>
    <row r="1535" customFormat="false" ht="15" hidden="false" customHeight="false" outlineLevel="0" collapsed="false">
      <c r="A1535" s="81" t="n">
        <v>43963</v>
      </c>
      <c r="B1535" s="48" t="n">
        <v>0</v>
      </c>
      <c r="C1535" s="48" t="n">
        <v>0</v>
      </c>
      <c r="D1535" s="48" t="n">
        <v>0</v>
      </c>
      <c r="E1535" s="48" t="s">
        <v>112</v>
      </c>
      <c r="F1535" s="48" t="s">
        <v>72</v>
      </c>
      <c r="G1535" s="48" t="s">
        <v>662</v>
      </c>
      <c r="H1535" s="82" t="n">
        <f aca="false">DATE(YEAR(A1535),MONTH(A1535),1)</f>
        <v>43952</v>
      </c>
    </row>
    <row r="1536" customFormat="false" ht="15" hidden="false" customHeight="false" outlineLevel="0" collapsed="false">
      <c r="A1536" s="81" t="n">
        <v>43963</v>
      </c>
      <c r="B1536" s="48" t="n">
        <v>2</v>
      </c>
      <c r="C1536" s="48" t="n">
        <v>0</v>
      </c>
      <c r="D1536" s="48" t="n">
        <v>0</v>
      </c>
      <c r="E1536" s="48" t="s">
        <v>112</v>
      </c>
      <c r="F1536" s="48" t="s">
        <v>72</v>
      </c>
      <c r="G1536" s="48" t="s">
        <v>600</v>
      </c>
      <c r="H1536" s="82" t="n">
        <f aca="false">DATE(YEAR(A1536),MONTH(A1536),1)</f>
        <v>43952</v>
      </c>
    </row>
    <row r="1537" customFormat="false" ht="15" hidden="false" customHeight="false" outlineLevel="0" collapsed="false">
      <c r="A1537" s="81" t="n">
        <v>43963</v>
      </c>
      <c r="B1537" s="48" t="n">
        <v>0</v>
      </c>
      <c r="C1537" s="48" t="n">
        <v>0</v>
      </c>
      <c r="D1537" s="48" t="n">
        <v>0</v>
      </c>
      <c r="E1537" s="48" t="s">
        <v>112</v>
      </c>
      <c r="F1537" s="48" t="s">
        <v>72</v>
      </c>
      <c r="G1537" s="48" t="s">
        <v>610</v>
      </c>
      <c r="H1537" s="82" t="n">
        <f aca="false">DATE(YEAR(A1537),MONTH(A1537),1)</f>
        <v>43952</v>
      </c>
    </row>
    <row r="1538" customFormat="false" ht="15" hidden="false" customHeight="false" outlineLevel="0" collapsed="false">
      <c r="A1538" s="81" t="n">
        <v>43963</v>
      </c>
      <c r="B1538" s="48" t="n">
        <v>0</v>
      </c>
      <c r="C1538" s="48" t="n">
        <v>0</v>
      </c>
      <c r="D1538" s="48" t="n">
        <v>0</v>
      </c>
      <c r="E1538" s="48" t="s">
        <v>112</v>
      </c>
      <c r="F1538" s="48" t="s">
        <v>72</v>
      </c>
      <c r="G1538" s="48" t="s">
        <v>593</v>
      </c>
      <c r="H1538" s="82" t="n">
        <f aca="false">DATE(YEAR(A1538),MONTH(A1538),1)</f>
        <v>43952</v>
      </c>
    </row>
    <row r="1539" customFormat="false" ht="15" hidden="false" customHeight="false" outlineLevel="0" collapsed="false">
      <c r="A1539" s="81" t="n">
        <v>43963</v>
      </c>
      <c r="B1539" s="48" t="n">
        <v>2</v>
      </c>
      <c r="C1539" s="48" t="n">
        <v>0</v>
      </c>
      <c r="D1539" s="48" t="n">
        <v>0</v>
      </c>
      <c r="E1539" s="48" t="s">
        <v>112</v>
      </c>
      <c r="F1539" s="48" t="s">
        <v>72</v>
      </c>
      <c r="G1539" s="48" t="s">
        <v>612</v>
      </c>
      <c r="H1539" s="82" t="n">
        <f aca="false">DATE(YEAR(A1539),MONTH(A1539),1)</f>
        <v>43952</v>
      </c>
    </row>
    <row r="1540" customFormat="false" ht="15" hidden="false" customHeight="false" outlineLevel="0" collapsed="false">
      <c r="A1540" s="81" t="n">
        <v>43963</v>
      </c>
      <c r="B1540" s="48" t="n">
        <v>0</v>
      </c>
      <c r="C1540" s="48" t="n">
        <v>0</v>
      </c>
      <c r="D1540" s="48" t="n">
        <v>0</v>
      </c>
      <c r="E1540" s="48" t="s">
        <v>112</v>
      </c>
      <c r="F1540" s="48" t="s">
        <v>72</v>
      </c>
      <c r="G1540" s="48" t="s">
        <v>685</v>
      </c>
      <c r="H1540" s="82" t="n">
        <f aca="false">DATE(YEAR(A1540),MONTH(A1540),1)</f>
        <v>43952</v>
      </c>
    </row>
    <row r="1541" customFormat="false" ht="15" hidden="false" customHeight="false" outlineLevel="0" collapsed="false">
      <c r="A1541" s="81" t="n">
        <v>43963</v>
      </c>
      <c r="B1541" s="48" t="n">
        <v>0</v>
      </c>
      <c r="C1541" s="48" t="n">
        <v>0</v>
      </c>
      <c r="D1541" s="48" t="n">
        <v>0</v>
      </c>
      <c r="E1541" s="48" t="s">
        <v>112</v>
      </c>
      <c r="F1541" s="48" t="s">
        <v>72</v>
      </c>
      <c r="G1541" s="48" t="s">
        <v>687</v>
      </c>
      <c r="H1541" s="82" t="n">
        <f aca="false">DATE(YEAR(A1541),MONTH(A1541),1)</f>
        <v>43952</v>
      </c>
    </row>
    <row r="1542" customFormat="false" ht="15" hidden="false" customHeight="false" outlineLevel="0" collapsed="false">
      <c r="A1542" s="81" t="n">
        <v>43963</v>
      </c>
      <c r="B1542" s="48" t="n">
        <v>0</v>
      </c>
      <c r="C1542" s="48" t="n">
        <v>0</v>
      </c>
      <c r="D1542" s="48" t="n">
        <v>0</v>
      </c>
      <c r="E1542" s="48" t="s">
        <v>112</v>
      </c>
      <c r="F1542" s="48" t="s">
        <v>72</v>
      </c>
      <c r="G1542" s="48" t="s">
        <v>682</v>
      </c>
      <c r="H1542" s="82" t="n">
        <f aca="false">DATE(YEAR(A1542),MONTH(A1542),1)</f>
        <v>43952</v>
      </c>
    </row>
    <row r="1543" customFormat="false" ht="15" hidden="false" customHeight="false" outlineLevel="0" collapsed="false">
      <c r="A1543" s="81" t="n">
        <v>43963</v>
      </c>
      <c r="B1543" s="48" t="n">
        <v>0</v>
      </c>
      <c r="C1543" s="48" t="n">
        <v>0</v>
      </c>
      <c r="D1543" s="48" t="n">
        <v>0</v>
      </c>
      <c r="E1543" s="48" t="s">
        <v>112</v>
      </c>
      <c r="F1543" s="48" t="s">
        <v>72</v>
      </c>
      <c r="G1543" s="48" t="s">
        <v>692</v>
      </c>
      <c r="H1543" s="82" t="n">
        <f aca="false">DATE(YEAR(A1543),MONTH(A1543),1)</f>
        <v>43952</v>
      </c>
    </row>
    <row r="1544" customFormat="false" ht="15" hidden="false" customHeight="false" outlineLevel="0" collapsed="false">
      <c r="A1544" s="81" t="n">
        <v>43963</v>
      </c>
      <c r="B1544" s="48" t="n">
        <v>9</v>
      </c>
      <c r="C1544" s="48" t="n">
        <v>0</v>
      </c>
      <c r="D1544" s="48" t="n">
        <v>0</v>
      </c>
      <c r="E1544" s="48" t="s">
        <v>112</v>
      </c>
      <c r="F1544" s="48" t="s">
        <v>72</v>
      </c>
      <c r="G1544" s="48" t="s">
        <v>613</v>
      </c>
      <c r="H1544" s="82" t="n">
        <f aca="false">DATE(YEAR(A1544),MONTH(A1544),1)</f>
        <v>43952</v>
      </c>
    </row>
    <row r="1545" customFormat="false" ht="15" hidden="false" customHeight="false" outlineLevel="0" collapsed="false">
      <c r="A1545" s="81" t="n">
        <v>43963</v>
      </c>
      <c r="B1545" s="48" t="n">
        <v>0</v>
      </c>
      <c r="C1545" s="48" t="n">
        <v>0</v>
      </c>
      <c r="D1545" s="48" t="n">
        <v>0</v>
      </c>
      <c r="E1545" s="48" t="s">
        <v>112</v>
      </c>
      <c r="F1545" s="48" t="s">
        <v>72</v>
      </c>
      <c r="G1545" s="48" t="s">
        <v>614</v>
      </c>
      <c r="H1545" s="82" t="n">
        <f aca="false">DATE(YEAR(A1545),MONTH(A1545),1)</f>
        <v>43952</v>
      </c>
    </row>
    <row r="1546" customFormat="false" ht="15" hidden="false" customHeight="false" outlineLevel="0" collapsed="false">
      <c r="A1546" s="81" t="n">
        <v>43963</v>
      </c>
      <c r="B1546" s="48" t="n">
        <v>0</v>
      </c>
      <c r="C1546" s="48" t="n">
        <v>0</v>
      </c>
      <c r="D1546" s="48" t="n">
        <v>0</v>
      </c>
      <c r="E1546" s="48" t="s">
        <v>112</v>
      </c>
      <c r="F1546" s="48" t="s">
        <v>72</v>
      </c>
      <c r="G1546" s="48" t="s">
        <v>655</v>
      </c>
      <c r="H1546" s="82" t="n">
        <f aca="false">DATE(YEAR(A1546),MONTH(A1546),1)</f>
        <v>43952</v>
      </c>
    </row>
    <row r="1547" customFormat="false" ht="15" hidden="false" customHeight="false" outlineLevel="0" collapsed="false">
      <c r="A1547" s="81" t="n">
        <v>43963</v>
      </c>
      <c r="B1547" s="48" t="n">
        <v>2</v>
      </c>
      <c r="C1547" s="48" t="n">
        <v>0</v>
      </c>
      <c r="D1547" s="48" t="n">
        <v>0</v>
      </c>
      <c r="E1547" s="48" t="s">
        <v>112</v>
      </c>
      <c r="F1547" s="48" t="s">
        <v>72</v>
      </c>
      <c r="G1547" s="48" t="s">
        <v>608</v>
      </c>
      <c r="H1547" s="82" t="n">
        <f aca="false">DATE(YEAR(A1547),MONTH(A1547),1)</f>
        <v>43952</v>
      </c>
    </row>
    <row r="1548" customFormat="false" ht="15" hidden="false" customHeight="false" outlineLevel="0" collapsed="false">
      <c r="A1548" s="81" t="n">
        <v>43963</v>
      </c>
      <c r="B1548" s="48" t="n">
        <v>0</v>
      </c>
      <c r="C1548" s="48" t="n">
        <v>0</v>
      </c>
      <c r="D1548" s="48" t="n">
        <v>0</v>
      </c>
      <c r="E1548" s="48" t="s">
        <v>112</v>
      </c>
      <c r="F1548" s="48" t="s">
        <v>72</v>
      </c>
      <c r="G1548" s="48" t="s">
        <v>615</v>
      </c>
      <c r="H1548" s="82" t="n">
        <f aca="false">DATE(YEAR(A1548),MONTH(A1548),1)</f>
        <v>43952</v>
      </c>
    </row>
    <row r="1549" customFormat="false" ht="15" hidden="false" customHeight="false" outlineLevel="0" collapsed="false">
      <c r="A1549" s="81" t="n">
        <v>43963</v>
      </c>
      <c r="B1549" s="48" t="n">
        <v>0</v>
      </c>
      <c r="C1549" s="48" t="n">
        <v>0</v>
      </c>
      <c r="D1549" s="48" t="n">
        <v>0</v>
      </c>
      <c r="E1549" s="48" t="s">
        <v>112</v>
      </c>
      <c r="F1549" s="48" t="s">
        <v>72</v>
      </c>
      <c r="G1549" s="48" t="s">
        <v>666</v>
      </c>
      <c r="H1549" s="82" t="n">
        <f aca="false">DATE(YEAR(A1549),MONTH(A1549),1)</f>
        <v>43952</v>
      </c>
    </row>
    <row r="1550" customFormat="false" ht="15" hidden="false" customHeight="false" outlineLevel="0" collapsed="false">
      <c r="A1550" s="81" t="n">
        <v>43963</v>
      </c>
      <c r="B1550" s="48" t="n">
        <v>4</v>
      </c>
      <c r="C1550" s="48" t="n">
        <v>0</v>
      </c>
      <c r="D1550" s="48" t="n">
        <v>0</v>
      </c>
      <c r="E1550" s="48" t="s">
        <v>112</v>
      </c>
      <c r="F1550" s="48" t="s">
        <v>72</v>
      </c>
      <c r="G1550" s="48" t="s">
        <v>621</v>
      </c>
      <c r="H1550" s="82" t="n">
        <f aca="false">DATE(YEAR(A1550),MONTH(A1550),1)</f>
        <v>43952</v>
      </c>
    </row>
    <row r="1551" customFormat="false" ht="15" hidden="false" customHeight="false" outlineLevel="0" collapsed="false">
      <c r="A1551" s="81" t="n">
        <v>43963</v>
      </c>
      <c r="B1551" s="48" t="n">
        <v>0</v>
      </c>
      <c r="C1551" s="48" t="n">
        <v>0</v>
      </c>
      <c r="D1551" s="48" t="n">
        <v>0</v>
      </c>
      <c r="E1551" s="48" t="s">
        <v>112</v>
      </c>
      <c r="F1551" s="48" t="s">
        <v>72</v>
      </c>
      <c r="G1551" s="48" t="s">
        <v>664</v>
      </c>
      <c r="H1551" s="82" t="n">
        <f aca="false">DATE(YEAR(A1551),MONTH(A1551),1)</f>
        <v>43952</v>
      </c>
    </row>
    <row r="1552" customFormat="false" ht="15" hidden="false" customHeight="false" outlineLevel="0" collapsed="false">
      <c r="A1552" s="81" t="n">
        <v>43963</v>
      </c>
      <c r="B1552" s="48" t="n">
        <v>2</v>
      </c>
      <c r="C1552" s="48" t="n">
        <v>0</v>
      </c>
      <c r="D1552" s="48" t="n">
        <v>0</v>
      </c>
      <c r="E1552" s="48" t="s">
        <v>112</v>
      </c>
      <c r="F1552" s="48" t="s">
        <v>72</v>
      </c>
      <c r="G1552" s="48" t="s">
        <v>667</v>
      </c>
      <c r="H1552" s="82" t="n">
        <f aca="false">DATE(YEAR(A1552),MONTH(A1552),1)</f>
        <v>43952</v>
      </c>
    </row>
    <row r="1553" customFormat="false" ht="15" hidden="false" customHeight="false" outlineLevel="0" collapsed="false">
      <c r="A1553" s="81" t="n">
        <v>43963</v>
      </c>
      <c r="B1553" s="48" t="n">
        <v>3</v>
      </c>
      <c r="C1553" s="48" t="n">
        <v>0</v>
      </c>
      <c r="D1553" s="48" t="n">
        <v>0</v>
      </c>
      <c r="E1553" s="48" t="s">
        <v>112</v>
      </c>
      <c r="F1553" s="48" t="s">
        <v>72</v>
      </c>
      <c r="G1553" s="48" t="s">
        <v>607</v>
      </c>
      <c r="H1553" s="82" t="n">
        <f aca="false">DATE(YEAR(A1553),MONTH(A1553),1)</f>
        <v>43952</v>
      </c>
    </row>
    <row r="1554" customFormat="false" ht="15" hidden="false" customHeight="false" outlineLevel="0" collapsed="false">
      <c r="A1554" s="81" t="n">
        <v>43963</v>
      </c>
      <c r="B1554" s="48" t="n">
        <v>0</v>
      </c>
      <c r="C1554" s="48" t="n">
        <v>0</v>
      </c>
      <c r="D1554" s="48" t="n">
        <v>0</v>
      </c>
      <c r="E1554" s="48" t="s">
        <v>112</v>
      </c>
      <c r="F1554" s="48" t="s">
        <v>72</v>
      </c>
      <c r="G1554" s="48" t="s">
        <v>673</v>
      </c>
      <c r="H1554" s="82" t="n">
        <f aca="false">DATE(YEAR(A1554),MONTH(A1554),1)</f>
        <v>43952</v>
      </c>
    </row>
    <row r="1555" customFormat="false" ht="15" hidden="false" customHeight="false" outlineLevel="0" collapsed="false">
      <c r="A1555" s="81" t="n">
        <v>43963</v>
      </c>
      <c r="B1555" s="48" t="n">
        <v>0</v>
      </c>
      <c r="C1555" s="48" t="n">
        <v>0</v>
      </c>
      <c r="D1555" s="48" t="n">
        <v>0</v>
      </c>
      <c r="E1555" s="48" t="s">
        <v>112</v>
      </c>
      <c r="F1555" s="48" t="s">
        <v>72</v>
      </c>
      <c r="G1555" s="48" t="s">
        <v>676</v>
      </c>
      <c r="H1555" s="82" t="n">
        <f aca="false">DATE(YEAR(A1555),MONTH(A1555),1)</f>
        <v>43952</v>
      </c>
    </row>
    <row r="1556" customFormat="false" ht="15" hidden="false" customHeight="false" outlineLevel="0" collapsed="false">
      <c r="A1556" s="81" t="n">
        <v>43963</v>
      </c>
      <c r="B1556" s="48" t="n">
        <v>1356</v>
      </c>
      <c r="C1556" s="48" t="n">
        <v>3</v>
      </c>
      <c r="D1556" s="48" t="n">
        <v>129</v>
      </c>
      <c r="E1556" s="48" t="s">
        <v>112</v>
      </c>
      <c r="F1556" s="48" t="s">
        <v>71</v>
      </c>
      <c r="G1556" s="48" t="s">
        <v>92</v>
      </c>
      <c r="H1556" s="82" t="n">
        <f aca="false">DATE(YEAR(A1556),MONTH(A1556),1)</f>
        <v>43952</v>
      </c>
    </row>
    <row r="1557" customFormat="false" ht="15" hidden="false" customHeight="false" outlineLevel="0" collapsed="false">
      <c r="A1557" s="81" t="n">
        <v>43963</v>
      </c>
      <c r="B1557" s="48" t="n">
        <v>593</v>
      </c>
      <c r="C1557" s="48" t="n">
        <v>18</v>
      </c>
      <c r="D1557" s="48" t="n">
        <v>80</v>
      </c>
      <c r="E1557" s="48" t="s">
        <v>112</v>
      </c>
      <c r="F1557" s="48" t="s">
        <v>70</v>
      </c>
      <c r="G1557" s="48" t="s">
        <v>91</v>
      </c>
      <c r="H1557" s="82" t="n">
        <f aca="false">DATE(YEAR(A1557),MONTH(A1557),1)</f>
        <v>43952</v>
      </c>
    </row>
    <row r="1558" customFormat="false" ht="15" hidden="false" customHeight="false" outlineLevel="0" collapsed="false">
      <c r="A1558" s="81" t="n">
        <v>43964</v>
      </c>
      <c r="B1558" s="48" t="n">
        <v>3</v>
      </c>
      <c r="C1558" s="48" t="n">
        <v>0</v>
      </c>
      <c r="D1558" s="48" t="n">
        <v>1</v>
      </c>
      <c r="E1558" s="48" t="s">
        <v>112</v>
      </c>
      <c r="F1558" s="48" t="s">
        <v>76</v>
      </c>
      <c r="G1558" s="48" t="s">
        <v>595</v>
      </c>
      <c r="H1558" s="82" t="n">
        <f aca="false">DATE(YEAR(A1558),MONTH(A1558),1)</f>
        <v>43952</v>
      </c>
    </row>
    <row r="1559" customFormat="false" ht="15" hidden="false" customHeight="false" outlineLevel="0" collapsed="false">
      <c r="A1559" s="81" t="n">
        <v>43964</v>
      </c>
      <c r="B1559" s="48" t="n">
        <v>81</v>
      </c>
      <c r="C1559" s="48" t="n">
        <v>0</v>
      </c>
      <c r="D1559" s="48" t="n">
        <v>70</v>
      </c>
      <c r="E1559" s="48" t="s">
        <v>112</v>
      </c>
      <c r="F1559" s="48" t="s">
        <v>73</v>
      </c>
      <c r="G1559" s="48" t="s">
        <v>93</v>
      </c>
      <c r="H1559" s="82" t="n">
        <f aca="false">DATE(YEAR(A1559),MONTH(A1559),1)</f>
        <v>43952</v>
      </c>
    </row>
    <row r="1560" customFormat="false" ht="15" hidden="false" customHeight="false" outlineLevel="0" collapsed="false">
      <c r="A1560" s="81" t="n">
        <v>43964</v>
      </c>
      <c r="B1560" s="48" t="n">
        <v>1</v>
      </c>
      <c r="C1560" s="48" t="n">
        <v>0</v>
      </c>
      <c r="D1560" s="48" t="n">
        <v>0</v>
      </c>
      <c r="E1560" s="48" t="s">
        <v>112</v>
      </c>
      <c r="F1560" s="48" t="s">
        <v>75</v>
      </c>
      <c r="G1560" s="48" t="s">
        <v>658</v>
      </c>
      <c r="H1560" s="82" t="n">
        <f aca="false">DATE(YEAR(A1560),MONTH(A1560),1)</f>
        <v>43952</v>
      </c>
    </row>
    <row r="1561" customFormat="false" ht="15" hidden="false" customHeight="false" outlineLevel="0" collapsed="false">
      <c r="A1561" s="81" t="n">
        <v>43964</v>
      </c>
      <c r="B1561" s="48" t="n">
        <v>4</v>
      </c>
      <c r="C1561" s="48" t="n">
        <v>0</v>
      </c>
      <c r="D1561" s="48" t="n">
        <v>0</v>
      </c>
      <c r="E1561" s="48" t="s">
        <v>112</v>
      </c>
      <c r="F1561" s="48" t="s">
        <v>75</v>
      </c>
      <c r="G1561" s="48" t="s">
        <v>103</v>
      </c>
      <c r="H1561" s="82" t="n">
        <f aca="false">DATE(YEAR(A1561),MONTH(A1561),1)</f>
        <v>43952</v>
      </c>
    </row>
    <row r="1562" customFormat="false" ht="15" hidden="false" customHeight="false" outlineLevel="0" collapsed="false">
      <c r="A1562" s="81" t="n">
        <v>43964</v>
      </c>
      <c r="B1562" s="48" t="n">
        <v>1</v>
      </c>
      <c r="C1562" s="48" t="n">
        <v>0</v>
      </c>
      <c r="D1562" s="48" t="n">
        <v>0</v>
      </c>
      <c r="E1562" s="48" t="s">
        <v>112</v>
      </c>
      <c r="F1562" s="48" t="s">
        <v>75</v>
      </c>
      <c r="G1562" s="48" t="s">
        <v>646</v>
      </c>
      <c r="H1562" s="82" t="n">
        <f aca="false">DATE(YEAR(A1562),MONTH(A1562),1)</f>
        <v>43952</v>
      </c>
    </row>
    <row r="1563" customFormat="false" ht="15" hidden="false" customHeight="false" outlineLevel="0" collapsed="false">
      <c r="A1563" s="81" t="n">
        <v>43964</v>
      </c>
      <c r="B1563" s="48" t="n">
        <v>0</v>
      </c>
      <c r="C1563" s="48" t="n">
        <v>4</v>
      </c>
      <c r="D1563" s="48" t="n">
        <v>0</v>
      </c>
      <c r="E1563" s="48" t="s">
        <v>112</v>
      </c>
      <c r="F1563" s="48" t="s">
        <v>75</v>
      </c>
      <c r="G1563" s="48" t="s">
        <v>629</v>
      </c>
      <c r="H1563" s="82" t="n">
        <f aca="false">DATE(YEAR(A1563),MONTH(A1563),1)</f>
        <v>43952</v>
      </c>
    </row>
    <row r="1564" customFormat="false" ht="15" hidden="false" customHeight="false" outlineLevel="0" collapsed="false">
      <c r="A1564" s="81" t="n">
        <v>43964</v>
      </c>
      <c r="B1564" s="48" t="n">
        <v>43</v>
      </c>
      <c r="C1564" s="48" t="n">
        <v>0</v>
      </c>
      <c r="D1564" s="48" t="n">
        <v>0</v>
      </c>
      <c r="E1564" s="48" t="s">
        <v>112</v>
      </c>
      <c r="F1564" s="48" t="s">
        <v>74</v>
      </c>
      <c r="G1564" s="48" t="s">
        <v>95</v>
      </c>
      <c r="H1564" s="82" t="n">
        <f aca="false">DATE(YEAR(A1564),MONTH(A1564),1)</f>
        <v>43952</v>
      </c>
    </row>
    <row r="1565" customFormat="false" ht="15" hidden="false" customHeight="false" outlineLevel="0" collapsed="false">
      <c r="A1565" s="81" t="n">
        <v>43964</v>
      </c>
      <c r="B1565" s="48" t="n">
        <v>112</v>
      </c>
      <c r="C1565" s="48" t="n">
        <v>4</v>
      </c>
      <c r="D1565" s="48" t="n">
        <v>0</v>
      </c>
      <c r="E1565" s="48" t="s">
        <v>112</v>
      </c>
      <c r="F1565" s="48" t="s">
        <v>72</v>
      </c>
      <c r="G1565" s="48" t="s">
        <v>94</v>
      </c>
      <c r="H1565" s="82" t="n">
        <f aca="false">DATE(YEAR(A1565),MONTH(A1565),1)</f>
        <v>43952</v>
      </c>
    </row>
    <row r="1566" customFormat="false" ht="15" hidden="false" customHeight="false" outlineLevel="0" collapsed="false">
      <c r="A1566" s="81" t="n">
        <v>43964</v>
      </c>
      <c r="B1566" s="48" t="n">
        <v>2</v>
      </c>
      <c r="C1566" s="48" t="n">
        <v>0</v>
      </c>
      <c r="D1566" s="48" t="n">
        <v>0</v>
      </c>
      <c r="E1566" s="48" t="s">
        <v>112</v>
      </c>
      <c r="F1566" s="48" t="s">
        <v>72</v>
      </c>
      <c r="G1566" s="48" t="s">
        <v>597</v>
      </c>
      <c r="H1566" s="82" t="n">
        <f aca="false">DATE(YEAR(A1566),MONTH(A1566),1)</f>
        <v>43952</v>
      </c>
    </row>
    <row r="1567" customFormat="false" ht="15" hidden="false" customHeight="false" outlineLevel="0" collapsed="false">
      <c r="A1567" s="81" t="n">
        <v>43964</v>
      </c>
      <c r="B1567" s="48" t="n">
        <v>19</v>
      </c>
      <c r="C1567" s="48" t="n">
        <v>2</v>
      </c>
      <c r="D1567" s="48" t="n">
        <v>0</v>
      </c>
      <c r="E1567" s="48" t="s">
        <v>112</v>
      </c>
      <c r="F1567" s="48" t="s">
        <v>72</v>
      </c>
      <c r="G1567" s="48" t="s">
        <v>594</v>
      </c>
      <c r="H1567" s="82" t="n">
        <f aca="false">DATE(YEAR(A1567),MONTH(A1567),1)</f>
        <v>43952</v>
      </c>
    </row>
    <row r="1568" customFormat="false" ht="15" hidden="false" customHeight="false" outlineLevel="0" collapsed="false">
      <c r="A1568" s="81" t="n">
        <v>43964</v>
      </c>
      <c r="B1568" s="48" t="n">
        <v>15</v>
      </c>
      <c r="C1568" s="48" t="n">
        <v>1</v>
      </c>
      <c r="D1568" s="48" t="n">
        <v>0</v>
      </c>
      <c r="E1568" s="48" t="s">
        <v>112</v>
      </c>
      <c r="F1568" s="48" t="s">
        <v>72</v>
      </c>
      <c r="G1568" s="48" t="s">
        <v>599</v>
      </c>
      <c r="H1568" s="82" t="n">
        <f aca="false">DATE(YEAR(A1568),MONTH(A1568),1)</f>
        <v>43952</v>
      </c>
    </row>
    <row r="1569" customFormat="false" ht="15" hidden="false" customHeight="false" outlineLevel="0" collapsed="false">
      <c r="A1569" s="81" t="n">
        <v>43964</v>
      </c>
      <c r="B1569" s="48" t="n">
        <v>0</v>
      </c>
      <c r="C1569" s="48" t="n">
        <v>0</v>
      </c>
      <c r="D1569" s="48" t="n">
        <v>0</v>
      </c>
      <c r="E1569" s="48" t="s">
        <v>112</v>
      </c>
      <c r="F1569" s="48" t="s">
        <v>72</v>
      </c>
      <c r="G1569" s="48" t="s">
        <v>656</v>
      </c>
      <c r="H1569" s="82" t="n">
        <f aca="false">DATE(YEAR(A1569),MONTH(A1569),1)</f>
        <v>43952</v>
      </c>
    </row>
    <row r="1570" customFormat="false" ht="15" hidden="false" customHeight="false" outlineLevel="0" collapsed="false">
      <c r="A1570" s="81" t="n">
        <v>43964</v>
      </c>
      <c r="B1570" s="48" t="n">
        <v>3</v>
      </c>
      <c r="C1570" s="48" t="n">
        <v>0</v>
      </c>
      <c r="D1570" s="48" t="n">
        <v>0</v>
      </c>
      <c r="E1570" s="48" t="s">
        <v>112</v>
      </c>
      <c r="F1570" s="48" t="s">
        <v>72</v>
      </c>
      <c r="G1570" s="48" t="s">
        <v>102</v>
      </c>
      <c r="H1570" s="82" t="n">
        <f aca="false">DATE(YEAR(A1570),MONTH(A1570),1)</f>
        <v>43952</v>
      </c>
    </row>
    <row r="1571" customFormat="false" ht="15" hidden="false" customHeight="false" outlineLevel="0" collapsed="false">
      <c r="A1571" s="81" t="n">
        <v>43964</v>
      </c>
      <c r="B1571" s="48" t="n">
        <v>4</v>
      </c>
      <c r="C1571" s="48" t="n">
        <v>0</v>
      </c>
      <c r="D1571" s="48" t="n">
        <v>0</v>
      </c>
      <c r="E1571" s="48" t="s">
        <v>112</v>
      </c>
      <c r="F1571" s="48" t="s">
        <v>72</v>
      </c>
      <c r="G1571" s="48" t="s">
        <v>611</v>
      </c>
      <c r="H1571" s="82" t="n">
        <f aca="false">DATE(YEAR(A1571),MONTH(A1571),1)</f>
        <v>43952</v>
      </c>
    </row>
    <row r="1572" customFormat="false" ht="15" hidden="false" customHeight="false" outlineLevel="0" collapsed="false">
      <c r="A1572" s="81" t="n">
        <v>43964</v>
      </c>
      <c r="B1572" s="48" t="n">
        <v>1</v>
      </c>
      <c r="C1572" s="48" t="n">
        <v>0</v>
      </c>
      <c r="D1572" s="48" t="n">
        <v>0</v>
      </c>
      <c r="E1572" s="48" t="s">
        <v>112</v>
      </c>
      <c r="F1572" s="48" t="s">
        <v>72</v>
      </c>
      <c r="G1572" s="48" t="s">
        <v>96</v>
      </c>
      <c r="H1572" s="82" t="n">
        <f aca="false">DATE(YEAR(A1572),MONTH(A1572),1)</f>
        <v>43952</v>
      </c>
    </row>
    <row r="1573" customFormat="false" ht="15" hidden="false" customHeight="false" outlineLevel="0" collapsed="false">
      <c r="A1573" s="81" t="n">
        <v>43964</v>
      </c>
      <c r="B1573" s="48" t="n">
        <v>3</v>
      </c>
      <c r="C1573" s="48" t="n">
        <v>0</v>
      </c>
      <c r="D1573" s="48" t="n">
        <v>0</v>
      </c>
      <c r="E1573" s="48" t="s">
        <v>112</v>
      </c>
      <c r="F1573" s="48" t="s">
        <v>72</v>
      </c>
      <c r="G1573" s="48" t="s">
        <v>603</v>
      </c>
      <c r="H1573" s="82" t="n">
        <f aca="false">DATE(YEAR(A1573),MONTH(A1573),1)</f>
        <v>43952</v>
      </c>
    </row>
    <row r="1574" customFormat="false" ht="15" hidden="false" customHeight="false" outlineLevel="0" collapsed="false">
      <c r="A1574" s="81" t="n">
        <v>43964</v>
      </c>
      <c r="B1574" s="48" t="n">
        <v>13</v>
      </c>
      <c r="C1574" s="48" t="n">
        <v>0</v>
      </c>
      <c r="D1574" s="48" t="n">
        <v>0</v>
      </c>
      <c r="E1574" s="48" t="s">
        <v>112</v>
      </c>
      <c r="F1574" s="48" t="s">
        <v>72</v>
      </c>
      <c r="G1574" s="48" t="s">
        <v>591</v>
      </c>
      <c r="H1574" s="82" t="n">
        <f aca="false">DATE(YEAR(A1574),MONTH(A1574),1)</f>
        <v>43952</v>
      </c>
    </row>
    <row r="1575" customFormat="false" ht="15" hidden="false" customHeight="false" outlineLevel="0" collapsed="false">
      <c r="A1575" s="81" t="n">
        <v>43964</v>
      </c>
      <c r="B1575" s="48" t="n">
        <v>4</v>
      </c>
      <c r="C1575" s="48" t="n">
        <v>0</v>
      </c>
      <c r="D1575" s="48" t="n">
        <v>0</v>
      </c>
      <c r="E1575" s="48" t="s">
        <v>112</v>
      </c>
      <c r="F1575" s="48" t="s">
        <v>72</v>
      </c>
      <c r="G1575" s="48" t="s">
        <v>598</v>
      </c>
      <c r="H1575" s="82" t="n">
        <f aca="false">DATE(YEAR(A1575),MONTH(A1575),1)</f>
        <v>43952</v>
      </c>
    </row>
    <row r="1576" customFormat="false" ht="15" hidden="false" customHeight="false" outlineLevel="0" collapsed="false">
      <c r="A1576" s="81" t="n">
        <v>43964</v>
      </c>
      <c r="B1576" s="48" t="n">
        <v>0</v>
      </c>
      <c r="C1576" s="48" t="n">
        <v>0</v>
      </c>
      <c r="D1576" s="48" t="n">
        <v>0</v>
      </c>
      <c r="E1576" s="48" t="s">
        <v>112</v>
      </c>
      <c r="F1576" s="48" t="s">
        <v>72</v>
      </c>
      <c r="G1576" s="48" t="s">
        <v>609</v>
      </c>
      <c r="H1576" s="82" t="n">
        <f aca="false">DATE(YEAR(A1576),MONTH(A1576),1)</f>
        <v>43952</v>
      </c>
    </row>
    <row r="1577" customFormat="false" ht="15" hidden="false" customHeight="false" outlineLevel="0" collapsed="false">
      <c r="A1577" s="81" t="n">
        <v>43964</v>
      </c>
      <c r="B1577" s="48" t="n">
        <v>0</v>
      </c>
      <c r="C1577" s="48" t="n">
        <v>0</v>
      </c>
      <c r="D1577" s="48" t="n">
        <v>0</v>
      </c>
      <c r="E1577" s="48" t="s">
        <v>112</v>
      </c>
      <c r="F1577" s="48" t="s">
        <v>72</v>
      </c>
      <c r="G1577" s="48" t="s">
        <v>101</v>
      </c>
      <c r="H1577" s="82" t="n">
        <f aca="false">DATE(YEAR(A1577),MONTH(A1577),1)</f>
        <v>43952</v>
      </c>
    </row>
    <row r="1578" customFormat="false" ht="15" hidden="false" customHeight="false" outlineLevel="0" collapsed="false">
      <c r="A1578" s="81" t="n">
        <v>43964</v>
      </c>
      <c r="B1578" s="48" t="n">
        <v>0</v>
      </c>
      <c r="C1578" s="48" t="n">
        <v>0</v>
      </c>
      <c r="D1578" s="48" t="n">
        <v>0</v>
      </c>
      <c r="E1578" s="48" t="s">
        <v>112</v>
      </c>
      <c r="F1578" s="48" t="s">
        <v>72</v>
      </c>
      <c r="G1578" s="48" t="s">
        <v>643</v>
      </c>
      <c r="H1578" s="82" t="n">
        <f aca="false">DATE(YEAR(A1578),MONTH(A1578),1)</f>
        <v>43952</v>
      </c>
    </row>
    <row r="1579" customFormat="false" ht="15" hidden="false" customHeight="false" outlineLevel="0" collapsed="false">
      <c r="A1579" s="81" t="n">
        <v>43964</v>
      </c>
      <c r="B1579" s="48" t="n">
        <v>0</v>
      </c>
      <c r="C1579" s="48" t="n">
        <v>0</v>
      </c>
      <c r="D1579" s="48" t="n">
        <v>0</v>
      </c>
      <c r="E1579" s="48" t="s">
        <v>112</v>
      </c>
      <c r="F1579" s="48" t="s">
        <v>72</v>
      </c>
      <c r="G1579" s="48" t="s">
        <v>662</v>
      </c>
      <c r="H1579" s="82" t="n">
        <f aca="false">DATE(YEAR(A1579),MONTH(A1579),1)</f>
        <v>43952</v>
      </c>
    </row>
    <row r="1580" customFormat="false" ht="15" hidden="false" customHeight="false" outlineLevel="0" collapsed="false">
      <c r="A1580" s="81" t="n">
        <v>43964</v>
      </c>
      <c r="B1580" s="48" t="n">
        <v>8</v>
      </c>
      <c r="C1580" s="48" t="n">
        <v>0</v>
      </c>
      <c r="D1580" s="48" t="n">
        <v>0</v>
      </c>
      <c r="E1580" s="48" t="s">
        <v>112</v>
      </c>
      <c r="F1580" s="48" t="s">
        <v>72</v>
      </c>
      <c r="G1580" s="48" t="s">
        <v>600</v>
      </c>
      <c r="H1580" s="82" t="n">
        <f aca="false">DATE(YEAR(A1580),MONTH(A1580),1)</f>
        <v>43952</v>
      </c>
    </row>
    <row r="1581" customFormat="false" ht="15" hidden="false" customHeight="false" outlineLevel="0" collapsed="false">
      <c r="A1581" s="81" t="n">
        <v>43964</v>
      </c>
      <c r="B1581" s="48" t="n">
        <v>10</v>
      </c>
      <c r="C1581" s="48" t="n">
        <v>0</v>
      </c>
      <c r="D1581" s="48" t="n">
        <v>0</v>
      </c>
      <c r="E1581" s="48" t="s">
        <v>112</v>
      </c>
      <c r="F1581" s="48" t="s">
        <v>72</v>
      </c>
      <c r="G1581" s="48" t="s">
        <v>610</v>
      </c>
      <c r="H1581" s="82" t="n">
        <f aca="false">DATE(YEAR(A1581),MONTH(A1581),1)</f>
        <v>43952</v>
      </c>
    </row>
    <row r="1582" customFormat="false" ht="15" hidden="false" customHeight="false" outlineLevel="0" collapsed="false">
      <c r="A1582" s="81" t="n">
        <v>43964</v>
      </c>
      <c r="B1582" s="48" t="n">
        <v>18</v>
      </c>
      <c r="C1582" s="48" t="n">
        <v>0</v>
      </c>
      <c r="D1582" s="48" t="n">
        <v>0</v>
      </c>
      <c r="E1582" s="48" t="s">
        <v>112</v>
      </c>
      <c r="F1582" s="48" t="s">
        <v>72</v>
      </c>
      <c r="G1582" s="48" t="s">
        <v>593</v>
      </c>
      <c r="H1582" s="82" t="n">
        <f aca="false">DATE(YEAR(A1582),MONTH(A1582),1)</f>
        <v>43952</v>
      </c>
    </row>
    <row r="1583" customFormat="false" ht="15" hidden="false" customHeight="false" outlineLevel="0" collapsed="false">
      <c r="A1583" s="81" t="n">
        <v>43964</v>
      </c>
      <c r="B1583" s="48" t="n">
        <v>10</v>
      </c>
      <c r="C1583" s="48" t="n">
        <v>0</v>
      </c>
      <c r="D1583" s="48" t="n">
        <v>0</v>
      </c>
      <c r="E1583" s="48" t="s">
        <v>112</v>
      </c>
      <c r="F1583" s="48" t="s">
        <v>72</v>
      </c>
      <c r="G1583" s="48" t="s">
        <v>612</v>
      </c>
      <c r="H1583" s="82" t="n">
        <f aca="false">DATE(YEAR(A1583),MONTH(A1583),1)</f>
        <v>43952</v>
      </c>
    </row>
    <row r="1584" customFormat="false" ht="15" hidden="false" customHeight="false" outlineLevel="0" collapsed="false">
      <c r="A1584" s="81" t="n">
        <v>43964</v>
      </c>
      <c r="B1584" s="48" t="n">
        <v>0</v>
      </c>
      <c r="C1584" s="48" t="n">
        <v>0</v>
      </c>
      <c r="D1584" s="48" t="n">
        <v>0</v>
      </c>
      <c r="E1584" s="48" t="s">
        <v>112</v>
      </c>
      <c r="F1584" s="48" t="s">
        <v>72</v>
      </c>
      <c r="G1584" s="48" t="s">
        <v>685</v>
      </c>
      <c r="H1584" s="82" t="n">
        <f aca="false">DATE(YEAR(A1584),MONTH(A1584),1)</f>
        <v>43952</v>
      </c>
    </row>
    <row r="1585" customFormat="false" ht="15" hidden="false" customHeight="false" outlineLevel="0" collapsed="false">
      <c r="A1585" s="81" t="n">
        <v>43964</v>
      </c>
      <c r="B1585" s="48" t="n">
        <v>0</v>
      </c>
      <c r="C1585" s="48" t="n">
        <v>0</v>
      </c>
      <c r="D1585" s="48" t="n">
        <v>0</v>
      </c>
      <c r="E1585" s="48" t="s">
        <v>112</v>
      </c>
      <c r="F1585" s="48" t="s">
        <v>72</v>
      </c>
      <c r="G1585" s="48" t="s">
        <v>687</v>
      </c>
      <c r="H1585" s="82" t="n">
        <f aca="false">DATE(YEAR(A1585),MONTH(A1585),1)</f>
        <v>43952</v>
      </c>
    </row>
    <row r="1586" customFormat="false" ht="15" hidden="false" customHeight="false" outlineLevel="0" collapsed="false">
      <c r="A1586" s="81" t="n">
        <v>43964</v>
      </c>
      <c r="B1586" s="48" t="n">
        <v>0</v>
      </c>
      <c r="C1586" s="48" t="n">
        <v>0</v>
      </c>
      <c r="D1586" s="48" t="n">
        <v>0</v>
      </c>
      <c r="E1586" s="48" t="s">
        <v>112</v>
      </c>
      <c r="F1586" s="48" t="s">
        <v>72</v>
      </c>
      <c r="G1586" s="48" t="s">
        <v>682</v>
      </c>
      <c r="H1586" s="82" t="n">
        <f aca="false">DATE(YEAR(A1586),MONTH(A1586),1)</f>
        <v>43952</v>
      </c>
    </row>
    <row r="1587" customFormat="false" ht="15" hidden="false" customHeight="false" outlineLevel="0" collapsed="false">
      <c r="A1587" s="81" t="n">
        <v>43964</v>
      </c>
      <c r="B1587" s="48" t="n">
        <v>0</v>
      </c>
      <c r="C1587" s="48" t="n">
        <v>0</v>
      </c>
      <c r="D1587" s="48" t="n">
        <v>0</v>
      </c>
      <c r="E1587" s="48" t="s">
        <v>112</v>
      </c>
      <c r="F1587" s="48" t="s">
        <v>72</v>
      </c>
      <c r="G1587" s="48" t="s">
        <v>692</v>
      </c>
      <c r="H1587" s="82" t="n">
        <f aca="false">DATE(YEAR(A1587),MONTH(A1587),1)</f>
        <v>43952</v>
      </c>
    </row>
    <row r="1588" customFormat="false" ht="15" hidden="false" customHeight="false" outlineLevel="0" collapsed="false">
      <c r="A1588" s="81" t="n">
        <v>43964</v>
      </c>
      <c r="B1588" s="48" t="n">
        <v>0</v>
      </c>
      <c r="C1588" s="48" t="n">
        <v>0</v>
      </c>
      <c r="D1588" s="48" t="n">
        <v>0</v>
      </c>
      <c r="E1588" s="48" t="s">
        <v>112</v>
      </c>
      <c r="F1588" s="48" t="s">
        <v>72</v>
      </c>
      <c r="G1588" s="48" t="s">
        <v>613</v>
      </c>
      <c r="H1588" s="82" t="n">
        <f aca="false">DATE(YEAR(A1588),MONTH(A1588),1)</f>
        <v>43952</v>
      </c>
    </row>
    <row r="1589" customFormat="false" ht="15" hidden="false" customHeight="false" outlineLevel="0" collapsed="false">
      <c r="A1589" s="81" t="n">
        <v>43964</v>
      </c>
      <c r="B1589" s="48" t="n">
        <v>1</v>
      </c>
      <c r="C1589" s="48" t="n">
        <v>0</v>
      </c>
      <c r="D1589" s="48" t="n">
        <v>0</v>
      </c>
      <c r="E1589" s="48" t="s">
        <v>112</v>
      </c>
      <c r="F1589" s="48" t="s">
        <v>72</v>
      </c>
      <c r="G1589" s="48" t="s">
        <v>614</v>
      </c>
      <c r="H1589" s="82" t="n">
        <f aca="false">DATE(YEAR(A1589),MONTH(A1589),1)</f>
        <v>43952</v>
      </c>
    </row>
    <row r="1590" customFormat="false" ht="15" hidden="false" customHeight="false" outlineLevel="0" collapsed="false">
      <c r="A1590" s="81" t="n">
        <v>43964</v>
      </c>
      <c r="B1590" s="48" t="n">
        <v>0</v>
      </c>
      <c r="C1590" s="48" t="n">
        <v>0</v>
      </c>
      <c r="D1590" s="48" t="n">
        <v>0</v>
      </c>
      <c r="E1590" s="48" t="s">
        <v>112</v>
      </c>
      <c r="F1590" s="48" t="s">
        <v>72</v>
      </c>
      <c r="G1590" s="48" t="s">
        <v>655</v>
      </c>
      <c r="H1590" s="82" t="n">
        <f aca="false">DATE(YEAR(A1590),MONTH(A1590),1)</f>
        <v>43952</v>
      </c>
    </row>
    <row r="1591" customFormat="false" ht="15" hidden="false" customHeight="false" outlineLevel="0" collapsed="false">
      <c r="A1591" s="81" t="n">
        <v>43964</v>
      </c>
      <c r="B1591" s="48" t="n">
        <v>0</v>
      </c>
      <c r="C1591" s="48" t="n">
        <v>0</v>
      </c>
      <c r="D1591" s="48" t="n">
        <v>0</v>
      </c>
      <c r="E1591" s="48" t="s">
        <v>112</v>
      </c>
      <c r="F1591" s="48" t="s">
        <v>72</v>
      </c>
      <c r="G1591" s="48" t="s">
        <v>608</v>
      </c>
      <c r="H1591" s="82" t="n">
        <f aca="false">DATE(YEAR(A1591),MONTH(A1591),1)</f>
        <v>43952</v>
      </c>
    </row>
    <row r="1592" customFormat="false" ht="15" hidden="false" customHeight="false" outlineLevel="0" collapsed="false">
      <c r="A1592" s="81" t="n">
        <v>43964</v>
      </c>
      <c r="B1592" s="48" t="n">
        <v>0</v>
      </c>
      <c r="C1592" s="48" t="n">
        <v>0</v>
      </c>
      <c r="D1592" s="48" t="n">
        <v>0</v>
      </c>
      <c r="E1592" s="48" t="s">
        <v>112</v>
      </c>
      <c r="F1592" s="48" t="s">
        <v>72</v>
      </c>
      <c r="G1592" s="48" t="s">
        <v>615</v>
      </c>
      <c r="H1592" s="82" t="n">
        <f aca="false">DATE(YEAR(A1592),MONTH(A1592),1)</f>
        <v>43952</v>
      </c>
    </row>
    <row r="1593" customFormat="false" ht="15" hidden="false" customHeight="false" outlineLevel="0" collapsed="false">
      <c r="A1593" s="81" t="n">
        <v>43964</v>
      </c>
      <c r="B1593" s="48" t="n">
        <v>0</v>
      </c>
      <c r="C1593" s="48" t="n">
        <v>0</v>
      </c>
      <c r="D1593" s="48" t="n">
        <v>0</v>
      </c>
      <c r="E1593" s="48" t="s">
        <v>112</v>
      </c>
      <c r="F1593" s="48" t="s">
        <v>72</v>
      </c>
      <c r="G1593" s="48" t="s">
        <v>666</v>
      </c>
      <c r="H1593" s="82" t="n">
        <f aca="false">DATE(YEAR(A1593),MONTH(A1593),1)</f>
        <v>43952</v>
      </c>
    </row>
    <row r="1594" customFormat="false" ht="15" hidden="false" customHeight="false" outlineLevel="0" collapsed="false">
      <c r="A1594" s="81" t="n">
        <v>43964</v>
      </c>
      <c r="B1594" s="48" t="n">
        <v>2</v>
      </c>
      <c r="C1594" s="48" t="n">
        <v>0</v>
      </c>
      <c r="D1594" s="48" t="n">
        <v>0</v>
      </c>
      <c r="E1594" s="48" t="s">
        <v>112</v>
      </c>
      <c r="F1594" s="48" t="s">
        <v>72</v>
      </c>
      <c r="G1594" s="48" t="s">
        <v>621</v>
      </c>
      <c r="H1594" s="82" t="n">
        <f aca="false">DATE(YEAR(A1594),MONTH(A1594),1)</f>
        <v>43952</v>
      </c>
    </row>
    <row r="1595" customFormat="false" ht="15" hidden="false" customHeight="false" outlineLevel="0" collapsed="false">
      <c r="A1595" s="81" t="n">
        <v>43964</v>
      </c>
      <c r="B1595" s="48" t="n">
        <v>0</v>
      </c>
      <c r="C1595" s="48" t="n">
        <v>0</v>
      </c>
      <c r="D1595" s="48" t="n">
        <v>0</v>
      </c>
      <c r="E1595" s="48" t="s">
        <v>112</v>
      </c>
      <c r="F1595" s="48" t="s">
        <v>72</v>
      </c>
      <c r="G1595" s="48" t="s">
        <v>664</v>
      </c>
      <c r="H1595" s="82" t="n">
        <f aca="false">DATE(YEAR(A1595),MONTH(A1595),1)</f>
        <v>43952</v>
      </c>
    </row>
    <row r="1596" customFormat="false" ht="15" hidden="false" customHeight="false" outlineLevel="0" collapsed="false">
      <c r="A1596" s="81" t="n">
        <v>43964</v>
      </c>
      <c r="B1596" s="48" t="n">
        <v>1</v>
      </c>
      <c r="C1596" s="48" t="n">
        <v>0</v>
      </c>
      <c r="D1596" s="48" t="n">
        <v>0</v>
      </c>
      <c r="E1596" s="48" t="s">
        <v>112</v>
      </c>
      <c r="F1596" s="48" t="s">
        <v>72</v>
      </c>
      <c r="G1596" s="48" t="s">
        <v>667</v>
      </c>
      <c r="H1596" s="82" t="n">
        <f aca="false">DATE(YEAR(A1596),MONTH(A1596),1)</f>
        <v>43952</v>
      </c>
    </row>
    <row r="1597" customFormat="false" ht="15" hidden="false" customHeight="false" outlineLevel="0" collapsed="false">
      <c r="A1597" s="81" t="n">
        <v>43964</v>
      </c>
      <c r="B1597" s="48" t="n">
        <v>5</v>
      </c>
      <c r="C1597" s="48" t="n">
        <v>0</v>
      </c>
      <c r="D1597" s="48" t="n">
        <v>0</v>
      </c>
      <c r="E1597" s="48" t="s">
        <v>112</v>
      </c>
      <c r="F1597" s="48" t="s">
        <v>72</v>
      </c>
      <c r="G1597" s="48" t="s">
        <v>607</v>
      </c>
      <c r="H1597" s="82" t="n">
        <f aca="false">DATE(YEAR(A1597),MONTH(A1597),1)</f>
        <v>43952</v>
      </c>
    </row>
    <row r="1598" customFormat="false" ht="15" hidden="false" customHeight="false" outlineLevel="0" collapsed="false">
      <c r="A1598" s="81" t="n">
        <v>43964</v>
      </c>
      <c r="B1598" s="48" t="n">
        <v>0</v>
      </c>
      <c r="C1598" s="48" t="n">
        <v>0</v>
      </c>
      <c r="D1598" s="48" t="n">
        <v>0</v>
      </c>
      <c r="E1598" s="48" t="s">
        <v>112</v>
      </c>
      <c r="F1598" s="48" t="s">
        <v>72</v>
      </c>
      <c r="G1598" s="48" t="s">
        <v>673</v>
      </c>
      <c r="H1598" s="82" t="n">
        <f aca="false">DATE(YEAR(A1598),MONTH(A1598),1)</f>
        <v>43952</v>
      </c>
    </row>
    <row r="1599" customFormat="false" ht="15" hidden="false" customHeight="false" outlineLevel="0" collapsed="false">
      <c r="A1599" s="81" t="n">
        <v>43964</v>
      </c>
      <c r="B1599" s="48" t="n">
        <v>0</v>
      </c>
      <c r="C1599" s="48" t="n">
        <v>0</v>
      </c>
      <c r="D1599" s="48" t="n">
        <v>0</v>
      </c>
      <c r="E1599" s="48" t="s">
        <v>112</v>
      </c>
      <c r="F1599" s="48" t="s">
        <v>72</v>
      </c>
      <c r="G1599" s="48" t="s">
        <v>676</v>
      </c>
      <c r="H1599" s="82" t="n">
        <f aca="false">DATE(YEAR(A1599),MONTH(A1599),1)</f>
        <v>43952</v>
      </c>
    </row>
    <row r="1600" customFormat="false" ht="15" hidden="false" customHeight="false" outlineLevel="0" collapsed="false">
      <c r="A1600" s="81" t="n">
        <v>43964</v>
      </c>
      <c r="B1600" s="48" t="n">
        <v>336</v>
      </c>
      <c r="C1600" s="48" t="n">
        <v>9</v>
      </c>
      <c r="D1600" s="48" t="n">
        <v>79</v>
      </c>
      <c r="E1600" s="48" t="s">
        <v>112</v>
      </c>
      <c r="F1600" s="48" t="s">
        <v>71</v>
      </c>
      <c r="G1600" s="48" t="s">
        <v>92</v>
      </c>
      <c r="H1600" s="82" t="n">
        <f aca="false">DATE(YEAR(A1600),MONTH(A1600),1)</f>
        <v>43952</v>
      </c>
    </row>
    <row r="1601" customFormat="false" ht="15" hidden="false" customHeight="false" outlineLevel="0" collapsed="false">
      <c r="A1601" s="81" t="n">
        <v>43964</v>
      </c>
      <c r="B1601" s="48" t="n">
        <v>731</v>
      </c>
      <c r="C1601" s="48" t="n">
        <v>16</v>
      </c>
      <c r="D1601" s="48" t="n">
        <v>606</v>
      </c>
      <c r="E1601" s="48" t="s">
        <v>112</v>
      </c>
      <c r="F1601" s="48" t="s">
        <v>70</v>
      </c>
      <c r="G1601" s="48" t="s">
        <v>91</v>
      </c>
      <c r="H1601" s="82" t="n">
        <f aca="false">DATE(YEAR(A1601),MONTH(A1601),1)</f>
        <v>43952</v>
      </c>
    </row>
    <row r="1602" customFormat="false" ht="15" hidden="false" customHeight="false" outlineLevel="0" collapsed="false">
      <c r="A1602" s="81" t="n">
        <v>43965</v>
      </c>
      <c r="B1602" s="48" t="n">
        <v>14</v>
      </c>
      <c r="C1602" s="48" t="n">
        <v>0</v>
      </c>
      <c r="D1602" s="48" t="n">
        <v>7</v>
      </c>
      <c r="E1602" s="48" t="s">
        <v>112</v>
      </c>
      <c r="F1602" s="48" t="s">
        <v>76</v>
      </c>
      <c r="G1602" s="48" t="s">
        <v>595</v>
      </c>
      <c r="H1602" s="82" t="n">
        <f aca="false">DATE(YEAR(A1602),MONTH(A1602),1)</f>
        <v>43952</v>
      </c>
    </row>
    <row r="1603" customFormat="false" ht="15" hidden="false" customHeight="false" outlineLevel="0" collapsed="false">
      <c r="A1603" s="81" t="n">
        <v>43965</v>
      </c>
      <c r="B1603" s="48" t="n">
        <v>71</v>
      </c>
      <c r="C1603" s="48" t="n">
        <v>3</v>
      </c>
      <c r="D1603" s="48" t="n">
        <v>16</v>
      </c>
      <c r="E1603" s="48" t="s">
        <v>112</v>
      </c>
      <c r="F1603" s="48" t="s">
        <v>73</v>
      </c>
      <c r="G1603" s="48" t="s">
        <v>93</v>
      </c>
      <c r="H1603" s="82" t="n">
        <f aca="false">DATE(YEAR(A1603),MONTH(A1603),1)</f>
        <v>43952</v>
      </c>
    </row>
    <row r="1604" customFormat="false" ht="15" hidden="false" customHeight="false" outlineLevel="0" collapsed="false">
      <c r="A1604" s="81" t="n">
        <v>43965</v>
      </c>
      <c r="B1604" s="48" t="n">
        <v>1</v>
      </c>
      <c r="C1604" s="48" t="n">
        <v>0</v>
      </c>
      <c r="D1604" s="48" t="n">
        <v>0</v>
      </c>
      <c r="E1604" s="48" t="s">
        <v>112</v>
      </c>
      <c r="F1604" s="48" t="s">
        <v>75</v>
      </c>
      <c r="G1604" s="48" t="s">
        <v>658</v>
      </c>
      <c r="H1604" s="82" t="n">
        <f aca="false">DATE(YEAR(A1604),MONTH(A1604),1)</f>
        <v>43952</v>
      </c>
    </row>
    <row r="1605" customFormat="false" ht="15" hidden="false" customHeight="false" outlineLevel="0" collapsed="false">
      <c r="A1605" s="81" t="n">
        <v>43965</v>
      </c>
      <c r="B1605" s="48" t="n">
        <v>5</v>
      </c>
      <c r="C1605" s="48" t="n">
        <v>0</v>
      </c>
      <c r="D1605" s="48" t="n">
        <v>0</v>
      </c>
      <c r="E1605" s="48" t="s">
        <v>112</v>
      </c>
      <c r="F1605" s="48" t="s">
        <v>75</v>
      </c>
      <c r="G1605" s="48" t="s">
        <v>654</v>
      </c>
      <c r="H1605" s="82" t="n">
        <f aca="false">DATE(YEAR(A1605),MONTH(A1605),1)</f>
        <v>43952</v>
      </c>
    </row>
    <row r="1606" customFormat="false" ht="15" hidden="false" customHeight="false" outlineLevel="0" collapsed="false">
      <c r="A1606" s="81" t="n">
        <v>43965</v>
      </c>
      <c r="B1606" s="48" t="n">
        <v>3</v>
      </c>
      <c r="C1606" s="48" t="n">
        <v>0</v>
      </c>
      <c r="D1606" s="48" t="n">
        <v>0</v>
      </c>
      <c r="E1606" s="48" t="s">
        <v>112</v>
      </c>
      <c r="F1606" s="48" t="s">
        <v>75</v>
      </c>
      <c r="G1606" s="48" t="s">
        <v>629</v>
      </c>
      <c r="H1606" s="82" t="n">
        <f aca="false">DATE(YEAR(A1606),MONTH(A1606),1)</f>
        <v>43952</v>
      </c>
    </row>
    <row r="1607" customFormat="false" ht="15" hidden="false" customHeight="false" outlineLevel="0" collapsed="false">
      <c r="A1607" s="81" t="n">
        <v>43965</v>
      </c>
      <c r="B1607" s="48" t="n">
        <v>9</v>
      </c>
      <c r="C1607" s="48" t="n">
        <v>0</v>
      </c>
      <c r="D1607" s="48" t="n">
        <v>0</v>
      </c>
      <c r="E1607" s="48" t="s">
        <v>112</v>
      </c>
      <c r="F1607" s="48" t="s">
        <v>75</v>
      </c>
      <c r="G1607" s="48" t="s">
        <v>103</v>
      </c>
      <c r="H1607" s="82" t="n">
        <f aca="false">DATE(YEAR(A1607),MONTH(A1607),1)</f>
        <v>43952</v>
      </c>
    </row>
    <row r="1608" customFormat="false" ht="15" hidden="false" customHeight="false" outlineLevel="0" collapsed="false">
      <c r="A1608" s="81" t="n">
        <v>43965</v>
      </c>
      <c r="B1608" s="48" t="n">
        <v>1</v>
      </c>
      <c r="C1608" s="48" t="n">
        <v>0</v>
      </c>
      <c r="D1608" s="48" t="n">
        <v>0</v>
      </c>
      <c r="E1608" s="48" t="s">
        <v>112</v>
      </c>
      <c r="F1608" s="48" t="s">
        <v>75</v>
      </c>
      <c r="G1608" s="48" t="s">
        <v>646</v>
      </c>
      <c r="H1608" s="82" t="n">
        <f aca="false">DATE(YEAR(A1608),MONTH(A1608),1)</f>
        <v>43952</v>
      </c>
    </row>
    <row r="1609" customFormat="false" ht="15" hidden="false" customHeight="false" outlineLevel="0" collapsed="false">
      <c r="A1609" s="81" t="n">
        <v>43965</v>
      </c>
      <c r="B1609" s="48" t="n">
        <v>63</v>
      </c>
      <c r="C1609" s="48" t="n">
        <v>1</v>
      </c>
      <c r="D1609" s="48" t="n">
        <v>8</v>
      </c>
      <c r="E1609" s="48" t="s">
        <v>112</v>
      </c>
      <c r="F1609" s="48" t="s">
        <v>74</v>
      </c>
      <c r="G1609" s="48" t="s">
        <v>95</v>
      </c>
      <c r="H1609" s="82" t="n">
        <f aca="false">DATE(YEAR(A1609),MONTH(A1609),1)</f>
        <v>43952</v>
      </c>
    </row>
    <row r="1610" customFormat="false" ht="15" hidden="false" customHeight="false" outlineLevel="0" collapsed="false">
      <c r="A1610" s="81" t="n">
        <v>43965</v>
      </c>
      <c r="B1610" s="48" t="n">
        <v>73</v>
      </c>
      <c r="C1610" s="48" t="n">
        <v>4</v>
      </c>
      <c r="D1610" s="48" t="n">
        <v>0</v>
      </c>
      <c r="E1610" s="48" t="s">
        <v>112</v>
      </c>
      <c r="F1610" s="48" t="s">
        <v>72</v>
      </c>
      <c r="G1610" s="48" t="s">
        <v>94</v>
      </c>
      <c r="H1610" s="82" t="n">
        <f aca="false">DATE(YEAR(A1610),MONTH(A1610),1)</f>
        <v>43952</v>
      </c>
    </row>
    <row r="1611" customFormat="false" ht="15" hidden="false" customHeight="false" outlineLevel="0" collapsed="false">
      <c r="A1611" s="81" t="n">
        <v>43965</v>
      </c>
      <c r="B1611" s="48" t="n">
        <v>2</v>
      </c>
      <c r="C1611" s="48" t="n">
        <v>1</v>
      </c>
      <c r="D1611" s="48" t="n">
        <v>0</v>
      </c>
      <c r="E1611" s="48" t="s">
        <v>112</v>
      </c>
      <c r="F1611" s="48" t="s">
        <v>72</v>
      </c>
      <c r="G1611" s="48" t="s">
        <v>597</v>
      </c>
      <c r="H1611" s="82" t="n">
        <f aca="false">DATE(YEAR(A1611),MONTH(A1611),1)</f>
        <v>43952</v>
      </c>
    </row>
    <row r="1612" customFormat="false" ht="15" hidden="false" customHeight="false" outlineLevel="0" collapsed="false">
      <c r="A1612" s="81" t="n">
        <v>43965</v>
      </c>
      <c r="B1612" s="48" t="n">
        <v>1</v>
      </c>
      <c r="C1612" s="48" t="n">
        <v>0</v>
      </c>
      <c r="D1612" s="48" t="n">
        <v>0</v>
      </c>
      <c r="E1612" s="48" t="s">
        <v>112</v>
      </c>
      <c r="F1612" s="48" t="s">
        <v>72</v>
      </c>
      <c r="G1612" s="48" t="s">
        <v>594</v>
      </c>
      <c r="H1612" s="82" t="n">
        <f aca="false">DATE(YEAR(A1612),MONTH(A1612),1)</f>
        <v>43952</v>
      </c>
    </row>
    <row r="1613" customFormat="false" ht="15" hidden="false" customHeight="false" outlineLevel="0" collapsed="false">
      <c r="A1613" s="81" t="n">
        <v>43965</v>
      </c>
      <c r="B1613" s="48" t="n">
        <v>4</v>
      </c>
      <c r="C1613" s="48" t="n">
        <v>0</v>
      </c>
      <c r="D1613" s="48" t="n">
        <v>0</v>
      </c>
      <c r="E1613" s="48" t="s">
        <v>112</v>
      </c>
      <c r="F1613" s="48" t="s">
        <v>72</v>
      </c>
      <c r="G1613" s="48" t="s">
        <v>599</v>
      </c>
      <c r="H1613" s="82" t="n">
        <f aca="false">DATE(YEAR(A1613),MONTH(A1613),1)</f>
        <v>43952</v>
      </c>
    </row>
    <row r="1614" customFormat="false" ht="15" hidden="false" customHeight="false" outlineLevel="0" collapsed="false">
      <c r="A1614" s="81" t="n">
        <v>43965</v>
      </c>
      <c r="B1614" s="48" t="n">
        <v>0</v>
      </c>
      <c r="C1614" s="48" t="n">
        <v>0</v>
      </c>
      <c r="D1614" s="48" t="n">
        <v>0</v>
      </c>
      <c r="E1614" s="48" t="s">
        <v>112</v>
      </c>
      <c r="F1614" s="48" t="s">
        <v>72</v>
      </c>
      <c r="G1614" s="48" t="s">
        <v>656</v>
      </c>
      <c r="H1614" s="82" t="n">
        <f aca="false">DATE(YEAR(A1614),MONTH(A1614),1)</f>
        <v>43952</v>
      </c>
    </row>
    <row r="1615" customFormat="false" ht="15" hidden="false" customHeight="false" outlineLevel="0" collapsed="false">
      <c r="A1615" s="81" t="n">
        <v>43965</v>
      </c>
      <c r="B1615" s="48" t="n">
        <v>18</v>
      </c>
      <c r="C1615" s="48" t="n">
        <v>1</v>
      </c>
      <c r="D1615" s="48" t="n">
        <v>0</v>
      </c>
      <c r="E1615" s="48" t="s">
        <v>112</v>
      </c>
      <c r="F1615" s="48" t="s">
        <v>72</v>
      </c>
      <c r="G1615" s="48" t="s">
        <v>102</v>
      </c>
      <c r="H1615" s="82" t="n">
        <f aca="false">DATE(YEAR(A1615),MONTH(A1615),1)</f>
        <v>43952</v>
      </c>
    </row>
    <row r="1616" customFormat="false" ht="15" hidden="false" customHeight="false" outlineLevel="0" collapsed="false">
      <c r="A1616" s="81" t="n">
        <v>43965</v>
      </c>
      <c r="B1616" s="48" t="n">
        <v>2</v>
      </c>
      <c r="C1616" s="48" t="n">
        <v>1</v>
      </c>
      <c r="D1616" s="48" t="n">
        <v>0</v>
      </c>
      <c r="E1616" s="48" t="s">
        <v>112</v>
      </c>
      <c r="F1616" s="48" t="s">
        <v>72</v>
      </c>
      <c r="G1616" s="48" t="s">
        <v>611</v>
      </c>
      <c r="H1616" s="82" t="n">
        <f aca="false">DATE(YEAR(A1616),MONTH(A1616),1)</f>
        <v>43952</v>
      </c>
    </row>
    <row r="1617" customFormat="false" ht="15" hidden="false" customHeight="false" outlineLevel="0" collapsed="false">
      <c r="A1617" s="81" t="n">
        <v>43965</v>
      </c>
      <c r="B1617" s="48" t="n">
        <v>16</v>
      </c>
      <c r="C1617" s="48" t="n">
        <v>1</v>
      </c>
      <c r="D1617" s="48" t="n">
        <v>0</v>
      </c>
      <c r="E1617" s="48" t="s">
        <v>112</v>
      </c>
      <c r="F1617" s="48" t="s">
        <v>72</v>
      </c>
      <c r="G1617" s="48" t="s">
        <v>96</v>
      </c>
      <c r="H1617" s="82" t="n">
        <f aca="false">DATE(YEAR(A1617),MONTH(A1617),1)</f>
        <v>43952</v>
      </c>
    </row>
    <row r="1618" customFormat="false" ht="15" hidden="false" customHeight="false" outlineLevel="0" collapsed="false">
      <c r="A1618" s="81" t="n">
        <v>43965</v>
      </c>
      <c r="B1618" s="48" t="n">
        <v>3</v>
      </c>
      <c r="C1618" s="48" t="n">
        <v>0</v>
      </c>
      <c r="D1618" s="48" t="n">
        <v>0</v>
      </c>
      <c r="E1618" s="48" t="s">
        <v>112</v>
      </c>
      <c r="F1618" s="48" t="s">
        <v>72</v>
      </c>
      <c r="G1618" s="48" t="s">
        <v>603</v>
      </c>
      <c r="H1618" s="82" t="n">
        <f aca="false">DATE(YEAR(A1618),MONTH(A1618),1)</f>
        <v>43952</v>
      </c>
    </row>
    <row r="1619" customFormat="false" ht="15" hidden="false" customHeight="false" outlineLevel="0" collapsed="false">
      <c r="A1619" s="81" t="n">
        <v>43965</v>
      </c>
      <c r="B1619" s="48" t="n">
        <v>2</v>
      </c>
      <c r="C1619" s="48" t="n">
        <v>0</v>
      </c>
      <c r="D1619" s="48" t="n">
        <v>0</v>
      </c>
      <c r="E1619" s="48" t="s">
        <v>112</v>
      </c>
      <c r="F1619" s="48" t="s">
        <v>72</v>
      </c>
      <c r="G1619" s="48" t="s">
        <v>591</v>
      </c>
      <c r="H1619" s="82" t="n">
        <f aca="false">DATE(YEAR(A1619),MONTH(A1619),1)</f>
        <v>43952</v>
      </c>
    </row>
    <row r="1620" customFormat="false" ht="15" hidden="false" customHeight="false" outlineLevel="0" collapsed="false">
      <c r="A1620" s="81" t="n">
        <v>43965</v>
      </c>
      <c r="B1620" s="48" t="n">
        <v>0</v>
      </c>
      <c r="C1620" s="48" t="n">
        <v>0</v>
      </c>
      <c r="D1620" s="48" t="n">
        <v>0</v>
      </c>
      <c r="E1620" s="48" t="s">
        <v>112</v>
      </c>
      <c r="F1620" s="48" t="s">
        <v>72</v>
      </c>
      <c r="G1620" s="48" t="s">
        <v>598</v>
      </c>
      <c r="H1620" s="82" t="n">
        <f aca="false">DATE(YEAR(A1620),MONTH(A1620),1)</f>
        <v>43952</v>
      </c>
    </row>
    <row r="1621" customFormat="false" ht="15" hidden="false" customHeight="false" outlineLevel="0" collapsed="false">
      <c r="A1621" s="81" t="n">
        <v>43965</v>
      </c>
      <c r="B1621" s="48" t="n">
        <v>4</v>
      </c>
      <c r="C1621" s="48" t="n">
        <v>0</v>
      </c>
      <c r="D1621" s="48" t="n">
        <v>0</v>
      </c>
      <c r="E1621" s="48" t="s">
        <v>112</v>
      </c>
      <c r="F1621" s="48" t="s">
        <v>72</v>
      </c>
      <c r="G1621" s="48" t="s">
        <v>609</v>
      </c>
      <c r="H1621" s="82" t="n">
        <f aca="false">DATE(YEAR(A1621),MONTH(A1621),1)</f>
        <v>43952</v>
      </c>
    </row>
    <row r="1622" customFormat="false" ht="15" hidden="false" customHeight="false" outlineLevel="0" collapsed="false">
      <c r="A1622" s="81" t="n">
        <v>43965</v>
      </c>
      <c r="B1622" s="48" t="n">
        <v>21</v>
      </c>
      <c r="C1622" s="48" t="n">
        <v>1</v>
      </c>
      <c r="D1622" s="48" t="n">
        <v>0</v>
      </c>
      <c r="E1622" s="48" t="s">
        <v>112</v>
      </c>
      <c r="F1622" s="48" t="s">
        <v>72</v>
      </c>
      <c r="G1622" s="48" t="s">
        <v>101</v>
      </c>
      <c r="H1622" s="82" t="n">
        <f aca="false">DATE(YEAR(A1622),MONTH(A1622),1)</f>
        <v>43952</v>
      </c>
    </row>
    <row r="1623" customFormat="false" ht="15" hidden="false" customHeight="false" outlineLevel="0" collapsed="false">
      <c r="A1623" s="81" t="n">
        <v>43965</v>
      </c>
      <c r="B1623" s="48" t="n">
        <v>0</v>
      </c>
      <c r="C1623" s="48" t="n">
        <v>0</v>
      </c>
      <c r="D1623" s="48" t="n">
        <v>0</v>
      </c>
      <c r="E1623" s="48" t="s">
        <v>112</v>
      </c>
      <c r="F1623" s="48" t="s">
        <v>72</v>
      </c>
      <c r="G1623" s="48" t="s">
        <v>643</v>
      </c>
      <c r="H1623" s="82" t="n">
        <f aca="false">DATE(YEAR(A1623),MONTH(A1623),1)</f>
        <v>43952</v>
      </c>
    </row>
    <row r="1624" customFormat="false" ht="15" hidden="false" customHeight="false" outlineLevel="0" collapsed="false">
      <c r="A1624" s="81" t="n">
        <v>43965</v>
      </c>
      <c r="B1624" s="48" t="n">
        <v>0</v>
      </c>
      <c r="C1624" s="48" t="n">
        <v>0</v>
      </c>
      <c r="D1624" s="48" t="n">
        <v>0</v>
      </c>
      <c r="E1624" s="48" t="s">
        <v>112</v>
      </c>
      <c r="F1624" s="48" t="s">
        <v>72</v>
      </c>
      <c r="G1624" s="48" t="s">
        <v>662</v>
      </c>
      <c r="H1624" s="82" t="n">
        <f aca="false">DATE(YEAR(A1624),MONTH(A1624),1)</f>
        <v>43952</v>
      </c>
    </row>
    <row r="1625" customFormat="false" ht="15" hidden="false" customHeight="false" outlineLevel="0" collapsed="false">
      <c r="A1625" s="81" t="n">
        <v>43965</v>
      </c>
      <c r="B1625" s="48" t="n">
        <v>4</v>
      </c>
      <c r="C1625" s="48" t="n">
        <v>0</v>
      </c>
      <c r="D1625" s="48" t="n">
        <v>0</v>
      </c>
      <c r="E1625" s="48" t="s">
        <v>112</v>
      </c>
      <c r="F1625" s="48" t="s">
        <v>72</v>
      </c>
      <c r="G1625" s="48" t="s">
        <v>600</v>
      </c>
      <c r="H1625" s="82" t="n">
        <f aca="false">DATE(YEAR(A1625),MONTH(A1625),1)</f>
        <v>43952</v>
      </c>
    </row>
    <row r="1626" customFormat="false" ht="15" hidden="false" customHeight="false" outlineLevel="0" collapsed="false">
      <c r="A1626" s="81" t="n">
        <v>43965</v>
      </c>
      <c r="B1626" s="48" t="n">
        <v>0</v>
      </c>
      <c r="C1626" s="48" t="n">
        <v>0</v>
      </c>
      <c r="D1626" s="48" t="n">
        <v>0</v>
      </c>
      <c r="E1626" s="48" t="s">
        <v>112</v>
      </c>
      <c r="F1626" s="48" t="s">
        <v>72</v>
      </c>
      <c r="G1626" s="48" t="s">
        <v>610</v>
      </c>
      <c r="H1626" s="82" t="n">
        <f aca="false">DATE(YEAR(A1626),MONTH(A1626),1)</f>
        <v>43952</v>
      </c>
    </row>
    <row r="1627" customFormat="false" ht="15" hidden="false" customHeight="false" outlineLevel="0" collapsed="false">
      <c r="A1627" s="81" t="n">
        <v>43965</v>
      </c>
      <c r="B1627" s="48" t="n">
        <v>3</v>
      </c>
      <c r="C1627" s="48" t="n">
        <v>0</v>
      </c>
      <c r="D1627" s="48" t="n">
        <v>0</v>
      </c>
      <c r="E1627" s="48" t="s">
        <v>112</v>
      </c>
      <c r="F1627" s="48" t="s">
        <v>72</v>
      </c>
      <c r="G1627" s="48" t="s">
        <v>593</v>
      </c>
      <c r="H1627" s="82" t="n">
        <f aca="false">DATE(YEAR(A1627),MONTH(A1627),1)</f>
        <v>43952</v>
      </c>
    </row>
    <row r="1628" customFormat="false" ht="15" hidden="false" customHeight="false" outlineLevel="0" collapsed="false">
      <c r="A1628" s="81" t="n">
        <v>43965</v>
      </c>
      <c r="B1628" s="48" t="n">
        <v>10</v>
      </c>
      <c r="C1628" s="48" t="n">
        <v>0</v>
      </c>
      <c r="D1628" s="48" t="n">
        <v>0</v>
      </c>
      <c r="E1628" s="48" t="s">
        <v>112</v>
      </c>
      <c r="F1628" s="48" t="s">
        <v>72</v>
      </c>
      <c r="G1628" s="48" t="s">
        <v>612</v>
      </c>
      <c r="H1628" s="82" t="n">
        <f aca="false">DATE(YEAR(A1628),MONTH(A1628),1)</f>
        <v>43952</v>
      </c>
    </row>
    <row r="1629" customFormat="false" ht="15" hidden="false" customHeight="false" outlineLevel="0" collapsed="false">
      <c r="A1629" s="81" t="n">
        <v>43965</v>
      </c>
      <c r="B1629" s="48" t="n">
        <v>0</v>
      </c>
      <c r="C1629" s="48" t="n">
        <v>0</v>
      </c>
      <c r="D1629" s="48" t="n">
        <v>0</v>
      </c>
      <c r="E1629" s="48" t="s">
        <v>112</v>
      </c>
      <c r="F1629" s="48" t="s">
        <v>72</v>
      </c>
      <c r="G1629" s="48" t="s">
        <v>685</v>
      </c>
      <c r="H1629" s="82" t="n">
        <f aca="false">DATE(YEAR(A1629),MONTH(A1629),1)</f>
        <v>43952</v>
      </c>
    </row>
    <row r="1630" customFormat="false" ht="15" hidden="false" customHeight="false" outlineLevel="0" collapsed="false">
      <c r="A1630" s="81" t="n">
        <v>43965</v>
      </c>
      <c r="B1630" s="48" t="n">
        <v>0</v>
      </c>
      <c r="C1630" s="48" t="n">
        <v>0</v>
      </c>
      <c r="D1630" s="48" t="n">
        <v>0</v>
      </c>
      <c r="E1630" s="48" t="s">
        <v>112</v>
      </c>
      <c r="F1630" s="48" t="s">
        <v>72</v>
      </c>
      <c r="G1630" s="48" t="s">
        <v>687</v>
      </c>
      <c r="H1630" s="82" t="n">
        <f aca="false">DATE(YEAR(A1630),MONTH(A1630),1)</f>
        <v>43952</v>
      </c>
    </row>
    <row r="1631" customFormat="false" ht="15" hidden="false" customHeight="false" outlineLevel="0" collapsed="false">
      <c r="A1631" s="81" t="n">
        <v>43965</v>
      </c>
      <c r="B1631" s="48" t="n">
        <v>0</v>
      </c>
      <c r="C1631" s="48" t="n">
        <v>0</v>
      </c>
      <c r="D1631" s="48" t="n">
        <v>0</v>
      </c>
      <c r="E1631" s="48" t="s">
        <v>112</v>
      </c>
      <c r="F1631" s="48" t="s">
        <v>72</v>
      </c>
      <c r="G1631" s="48" t="s">
        <v>682</v>
      </c>
      <c r="H1631" s="82" t="n">
        <f aca="false">DATE(YEAR(A1631),MONTH(A1631),1)</f>
        <v>43952</v>
      </c>
    </row>
    <row r="1632" customFormat="false" ht="15" hidden="false" customHeight="false" outlineLevel="0" collapsed="false">
      <c r="A1632" s="81" t="n">
        <v>43965</v>
      </c>
      <c r="B1632" s="48" t="n">
        <v>0</v>
      </c>
      <c r="C1632" s="48" t="n">
        <v>0</v>
      </c>
      <c r="D1632" s="48" t="n">
        <v>0</v>
      </c>
      <c r="E1632" s="48" t="s">
        <v>112</v>
      </c>
      <c r="F1632" s="48" t="s">
        <v>72</v>
      </c>
      <c r="G1632" s="48" t="s">
        <v>692</v>
      </c>
      <c r="H1632" s="82" t="n">
        <f aca="false">DATE(YEAR(A1632),MONTH(A1632),1)</f>
        <v>43952</v>
      </c>
    </row>
    <row r="1633" customFormat="false" ht="15" hidden="false" customHeight="false" outlineLevel="0" collapsed="false">
      <c r="A1633" s="81" t="n">
        <v>43965</v>
      </c>
      <c r="B1633" s="48" t="n">
        <v>1</v>
      </c>
      <c r="C1633" s="48" t="n">
        <v>0</v>
      </c>
      <c r="D1633" s="48" t="n">
        <v>0</v>
      </c>
      <c r="E1633" s="48" t="s">
        <v>112</v>
      </c>
      <c r="F1633" s="48" t="s">
        <v>72</v>
      </c>
      <c r="G1633" s="48" t="s">
        <v>613</v>
      </c>
      <c r="H1633" s="82" t="n">
        <f aca="false">DATE(YEAR(A1633),MONTH(A1633),1)</f>
        <v>43952</v>
      </c>
    </row>
    <row r="1634" customFormat="false" ht="15" hidden="false" customHeight="false" outlineLevel="0" collapsed="false">
      <c r="A1634" s="81" t="n">
        <v>43965</v>
      </c>
      <c r="B1634" s="48" t="n">
        <v>4</v>
      </c>
      <c r="C1634" s="48" t="n">
        <v>0</v>
      </c>
      <c r="D1634" s="48" t="n">
        <v>0</v>
      </c>
      <c r="E1634" s="48" t="s">
        <v>112</v>
      </c>
      <c r="F1634" s="48" t="s">
        <v>72</v>
      </c>
      <c r="G1634" s="48" t="s">
        <v>614</v>
      </c>
      <c r="H1634" s="82" t="n">
        <f aca="false">DATE(YEAR(A1634),MONTH(A1634),1)</f>
        <v>43952</v>
      </c>
    </row>
    <row r="1635" customFormat="false" ht="15" hidden="false" customHeight="false" outlineLevel="0" collapsed="false">
      <c r="A1635" s="81" t="n">
        <v>43965</v>
      </c>
      <c r="B1635" s="48" t="n">
        <v>1</v>
      </c>
      <c r="C1635" s="48" t="n">
        <v>0</v>
      </c>
      <c r="D1635" s="48" t="n">
        <v>0</v>
      </c>
      <c r="E1635" s="48" t="s">
        <v>112</v>
      </c>
      <c r="F1635" s="48" t="s">
        <v>72</v>
      </c>
      <c r="G1635" s="48" t="s">
        <v>655</v>
      </c>
      <c r="H1635" s="82" t="n">
        <f aca="false">DATE(YEAR(A1635),MONTH(A1635),1)</f>
        <v>43952</v>
      </c>
    </row>
    <row r="1636" customFormat="false" ht="15" hidden="false" customHeight="false" outlineLevel="0" collapsed="false">
      <c r="A1636" s="81" t="n">
        <v>43965</v>
      </c>
      <c r="B1636" s="48" t="n">
        <v>0</v>
      </c>
      <c r="C1636" s="48" t="n">
        <v>0</v>
      </c>
      <c r="D1636" s="48" t="n">
        <v>0</v>
      </c>
      <c r="E1636" s="48" t="s">
        <v>112</v>
      </c>
      <c r="F1636" s="48" t="s">
        <v>72</v>
      </c>
      <c r="G1636" s="48" t="s">
        <v>608</v>
      </c>
      <c r="H1636" s="82" t="n">
        <f aca="false">DATE(YEAR(A1636),MONTH(A1636),1)</f>
        <v>43952</v>
      </c>
    </row>
    <row r="1637" customFormat="false" ht="15" hidden="false" customHeight="false" outlineLevel="0" collapsed="false">
      <c r="A1637" s="81" t="n">
        <v>43965</v>
      </c>
      <c r="B1637" s="48" t="n">
        <v>1</v>
      </c>
      <c r="C1637" s="48" t="n">
        <v>0</v>
      </c>
      <c r="D1637" s="48" t="n">
        <v>0</v>
      </c>
      <c r="E1637" s="48" t="s">
        <v>112</v>
      </c>
      <c r="F1637" s="48" t="s">
        <v>72</v>
      </c>
      <c r="G1637" s="48" t="s">
        <v>615</v>
      </c>
      <c r="H1637" s="82" t="n">
        <f aca="false">DATE(YEAR(A1637),MONTH(A1637),1)</f>
        <v>43952</v>
      </c>
    </row>
    <row r="1638" customFormat="false" ht="15" hidden="false" customHeight="false" outlineLevel="0" collapsed="false">
      <c r="A1638" s="81" t="n">
        <v>43965</v>
      </c>
      <c r="B1638" s="48" t="n">
        <v>0</v>
      </c>
      <c r="C1638" s="48" t="n">
        <v>0</v>
      </c>
      <c r="D1638" s="48" t="n">
        <v>0</v>
      </c>
      <c r="E1638" s="48" t="s">
        <v>112</v>
      </c>
      <c r="F1638" s="48" t="s">
        <v>72</v>
      </c>
      <c r="G1638" s="48" t="s">
        <v>666</v>
      </c>
      <c r="H1638" s="82" t="n">
        <f aca="false">DATE(YEAR(A1638),MONTH(A1638),1)</f>
        <v>43952</v>
      </c>
    </row>
    <row r="1639" customFormat="false" ht="15" hidden="false" customHeight="false" outlineLevel="0" collapsed="false">
      <c r="A1639" s="81" t="n">
        <v>43965</v>
      </c>
      <c r="B1639" s="48" t="n">
        <v>1</v>
      </c>
      <c r="C1639" s="48" t="n">
        <v>0</v>
      </c>
      <c r="D1639" s="48" t="n">
        <v>0</v>
      </c>
      <c r="E1639" s="48" t="s">
        <v>112</v>
      </c>
      <c r="F1639" s="48" t="s">
        <v>72</v>
      </c>
      <c r="G1639" s="48" t="s">
        <v>621</v>
      </c>
      <c r="H1639" s="82" t="n">
        <f aca="false">DATE(YEAR(A1639),MONTH(A1639),1)</f>
        <v>43952</v>
      </c>
    </row>
    <row r="1640" customFormat="false" ht="15" hidden="false" customHeight="false" outlineLevel="0" collapsed="false">
      <c r="A1640" s="81" t="n">
        <v>43965</v>
      </c>
      <c r="B1640" s="48" t="n">
        <v>0</v>
      </c>
      <c r="C1640" s="48" t="n">
        <v>0</v>
      </c>
      <c r="D1640" s="48" t="n">
        <v>0</v>
      </c>
      <c r="E1640" s="48" t="s">
        <v>112</v>
      </c>
      <c r="F1640" s="48" t="s">
        <v>72</v>
      </c>
      <c r="G1640" s="48" t="s">
        <v>664</v>
      </c>
      <c r="H1640" s="82" t="n">
        <f aca="false">DATE(YEAR(A1640),MONTH(A1640),1)</f>
        <v>43952</v>
      </c>
    </row>
    <row r="1641" customFormat="false" ht="15" hidden="false" customHeight="false" outlineLevel="0" collapsed="false">
      <c r="A1641" s="81" t="n">
        <v>43965</v>
      </c>
      <c r="B1641" s="48" t="n">
        <v>0</v>
      </c>
      <c r="C1641" s="48" t="n">
        <v>0</v>
      </c>
      <c r="D1641" s="48" t="n">
        <v>0</v>
      </c>
      <c r="E1641" s="48" t="s">
        <v>112</v>
      </c>
      <c r="F1641" s="48" t="s">
        <v>72</v>
      </c>
      <c r="G1641" s="48" t="s">
        <v>667</v>
      </c>
      <c r="H1641" s="82" t="n">
        <f aca="false">DATE(YEAR(A1641),MONTH(A1641),1)</f>
        <v>43952</v>
      </c>
    </row>
    <row r="1642" customFormat="false" ht="15" hidden="false" customHeight="false" outlineLevel="0" collapsed="false">
      <c r="A1642" s="81" t="n">
        <v>43965</v>
      </c>
      <c r="B1642" s="48" t="n">
        <v>0</v>
      </c>
      <c r="C1642" s="48" t="n">
        <v>0</v>
      </c>
      <c r="D1642" s="48" t="n">
        <v>0</v>
      </c>
      <c r="E1642" s="48" t="s">
        <v>112</v>
      </c>
      <c r="F1642" s="48" t="s">
        <v>72</v>
      </c>
      <c r="G1642" s="48" t="s">
        <v>607</v>
      </c>
      <c r="H1642" s="82" t="n">
        <f aca="false">DATE(YEAR(A1642),MONTH(A1642),1)</f>
        <v>43952</v>
      </c>
    </row>
    <row r="1643" customFormat="false" ht="15" hidden="false" customHeight="false" outlineLevel="0" collapsed="false">
      <c r="A1643" s="81" t="n">
        <v>43965</v>
      </c>
      <c r="B1643" s="48" t="n">
        <v>0</v>
      </c>
      <c r="C1643" s="48" t="n">
        <v>0</v>
      </c>
      <c r="D1643" s="48" t="n">
        <v>0</v>
      </c>
      <c r="E1643" s="48" t="s">
        <v>112</v>
      </c>
      <c r="F1643" s="48" t="s">
        <v>72</v>
      </c>
      <c r="G1643" s="48" t="s">
        <v>673</v>
      </c>
      <c r="H1643" s="82" t="n">
        <f aca="false">DATE(YEAR(A1643),MONTH(A1643),1)</f>
        <v>43952</v>
      </c>
    </row>
    <row r="1644" customFormat="false" ht="15" hidden="false" customHeight="false" outlineLevel="0" collapsed="false">
      <c r="A1644" s="81" t="n">
        <v>43965</v>
      </c>
      <c r="B1644" s="48" t="n">
        <v>0</v>
      </c>
      <c r="C1644" s="48" t="n">
        <v>0</v>
      </c>
      <c r="D1644" s="48" t="n">
        <v>0</v>
      </c>
      <c r="E1644" s="48" t="s">
        <v>112</v>
      </c>
      <c r="F1644" s="48" t="s">
        <v>72</v>
      </c>
      <c r="G1644" s="48" t="s">
        <v>676</v>
      </c>
      <c r="H1644" s="82" t="n">
        <f aca="false">DATE(YEAR(A1644),MONTH(A1644),1)</f>
        <v>43952</v>
      </c>
    </row>
    <row r="1645" customFormat="false" ht="15" hidden="false" customHeight="false" outlineLevel="0" collapsed="false">
      <c r="A1645" s="81" t="n">
        <v>43965</v>
      </c>
      <c r="B1645" s="48" t="n">
        <v>353</v>
      </c>
      <c r="C1645" s="48" t="n">
        <v>11</v>
      </c>
      <c r="D1645" s="48" t="n">
        <v>105</v>
      </c>
      <c r="E1645" s="48" t="s">
        <v>112</v>
      </c>
      <c r="F1645" s="48" t="s">
        <v>71</v>
      </c>
      <c r="G1645" s="48" t="s">
        <v>92</v>
      </c>
      <c r="H1645" s="82" t="n">
        <f aca="false">DATE(YEAR(A1645),MONTH(A1645),1)</f>
        <v>43952</v>
      </c>
    </row>
    <row r="1646" customFormat="false" ht="15" hidden="false" customHeight="false" outlineLevel="0" collapsed="false">
      <c r="A1646" s="81" t="n">
        <v>43965</v>
      </c>
      <c r="B1646" s="48" t="n">
        <v>758</v>
      </c>
      <c r="C1646" s="48" t="n">
        <v>9</v>
      </c>
      <c r="D1646" s="48" t="n">
        <v>238</v>
      </c>
      <c r="E1646" s="48" t="s">
        <v>112</v>
      </c>
      <c r="F1646" s="48" t="s">
        <v>70</v>
      </c>
      <c r="G1646" s="48" t="s">
        <v>91</v>
      </c>
      <c r="H1646" s="82" t="n">
        <f aca="false">DATE(YEAR(A1646),MONTH(A1646),1)</f>
        <v>43952</v>
      </c>
    </row>
    <row r="1647" customFormat="false" ht="15" hidden="false" customHeight="false" outlineLevel="0" collapsed="false">
      <c r="A1647" s="81" t="n">
        <v>43966</v>
      </c>
      <c r="B1647" s="48" t="n">
        <v>3</v>
      </c>
      <c r="C1647" s="48" t="n">
        <v>0</v>
      </c>
      <c r="D1647" s="48" t="n">
        <v>0</v>
      </c>
      <c r="E1647" s="48" t="s">
        <v>112</v>
      </c>
      <c r="F1647" s="48" t="s">
        <v>76</v>
      </c>
      <c r="G1647" s="48" t="s">
        <v>595</v>
      </c>
      <c r="H1647" s="82" t="n">
        <f aca="false">DATE(YEAR(A1647),MONTH(A1647),1)</f>
        <v>43952</v>
      </c>
    </row>
    <row r="1648" customFormat="false" ht="15" hidden="false" customHeight="false" outlineLevel="0" collapsed="false">
      <c r="A1648" s="81" t="n">
        <v>43966</v>
      </c>
      <c r="B1648" s="48" t="n">
        <v>147</v>
      </c>
      <c r="C1648" s="48" t="n">
        <v>1</v>
      </c>
      <c r="D1648" s="48" t="n">
        <v>41</v>
      </c>
      <c r="E1648" s="48" t="s">
        <v>112</v>
      </c>
      <c r="F1648" s="48" t="s">
        <v>73</v>
      </c>
      <c r="G1648" s="48" t="s">
        <v>93</v>
      </c>
      <c r="H1648" s="82" t="n">
        <f aca="false">DATE(YEAR(A1648),MONTH(A1648),1)</f>
        <v>43952</v>
      </c>
    </row>
    <row r="1649" customFormat="false" ht="15" hidden="false" customHeight="false" outlineLevel="0" collapsed="false">
      <c r="A1649" s="81" t="n">
        <v>43966</v>
      </c>
      <c r="B1649" s="48" t="n">
        <v>16</v>
      </c>
      <c r="C1649" s="48" t="n">
        <v>0</v>
      </c>
      <c r="D1649" s="48" t="n">
        <v>6</v>
      </c>
      <c r="E1649" s="48" t="s">
        <v>112</v>
      </c>
      <c r="F1649" s="48" t="s">
        <v>75</v>
      </c>
      <c r="G1649" s="48" t="s">
        <v>103</v>
      </c>
      <c r="H1649" s="82" t="n">
        <f aca="false">DATE(YEAR(A1649),MONTH(A1649),1)</f>
        <v>43952</v>
      </c>
    </row>
    <row r="1650" customFormat="false" ht="15" hidden="false" customHeight="false" outlineLevel="0" collapsed="false">
      <c r="A1650" s="81" t="n">
        <v>43966</v>
      </c>
      <c r="B1650" s="48" t="n">
        <v>0</v>
      </c>
      <c r="C1650" s="48" t="n">
        <v>0</v>
      </c>
      <c r="D1650" s="48" t="n">
        <v>1</v>
      </c>
      <c r="E1650" s="48" t="s">
        <v>112</v>
      </c>
      <c r="F1650" s="48" t="s">
        <v>75</v>
      </c>
      <c r="G1650" s="48" t="s">
        <v>629</v>
      </c>
      <c r="H1650" s="82" t="n">
        <f aca="false">DATE(YEAR(A1650),MONTH(A1650),1)</f>
        <v>43952</v>
      </c>
    </row>
    <row r="1651" customFormat="false" ht="15" hidden="false" customHeight="false" outlineLevel="0" collapsed="false">
      <c r="A1651" s="81" t="n">
        <v>43966</v>
      </c>
      <c r="B1651" s="48" t="n">
        <v>1</v>
      </c>
      <c r="C1651" s="48" t="n">
        <v>0</v>
      </c>
      <c r="D1651" s="48" t="n">
        <v>0</v>
      </c>
      <c r="E1651" s="48" t="s">
        <v>112</v>
      </c>
      <c r="F1651" s="48" t="s">
        <v>75</v>
      </c>
      <c r="G1651" s="48" t="s">
        <v>649</v>
      </c>
      <c r="H1651" s="82" t="n">
        <f aca="false">DATE(YEAR(A1651),MONTH(A1651),1)</f>
        <v>43952</v>
      </c>
    </row>
    <row r="1652" customFormat="false" ht="15" hidden="false" customHeight="false" outlineLevel="0" collapsed="false">
      <c r="A1652" s="81" t="n">
        <v>43966</v>
      </c>
      <c r="B1652" s="48" t="n">
        <v>44</v>
      </c>
      <c r="C1652" s="48" t="n">
        <v>0</v>
      </c>
      <c r="D1652" s="48" t="n">
        <v>0</v>
      </c>
      <c r="E1652" s="48" t="s">
        <v>112</v>
      </c>
      <c r="F1652" s="48" t="s">
        <v>74</v>
      </c>
      <c r="G1652" s="48" t="s">
        <v>95</v>
      </c>
      <c r="H1652" s="82" t="n">
        <f aca="false">DATE(YEAR(A1652),MONTH(A1652),1)</f>
        <v>43952</v>
      </c>
    </row>
    <row r="1653" customFormat="false" ht="15" hidden="false" customHeight="false" outlineLevel="0" collapsed="false">
      <c r="A1653" s="81" t="n">
        <v>43966</v>
      </c>
      <c r="B1653" s="48" t="n">
        <v>94</v>
      </c>
      <c r="C1653" s="48" t="n">
        <v>4</v>
      </c>
      <c r="D1653" s="48" t="n">
        <v>0</v>
      </c>
      <c r="E1653" s="48" t="s">
        <v>112</v>
      </c>
      <c r="F1653" s="48" t="s">
        <v>72</v>
      </c>
      <c r="G1653" s="48" t="s">
        <v>94</v>
      </c>
      <c r="H1653" s="82" t="n">
        <f aca="false">DATE(YEAR(A1653),MONTH(A1653),1)</f>
        <v>43952</v>
      </c>
    </row>
    <row r="1654" customFormat="false" ht="15" hidden="false" customHeight="false" outlineLevel="0" collapsed="false">
      <c r="A1654" s="81" t="n">
        <v>43966</v>
      </c>
      <c r="B1654" s="48" t="n">
        <v>2</v>
      </c>
      <c r="C1654" s="48" t="n">
        <v>0</v>
      </c>
      <c r="D1654" s="48" t="n">
        <v>0</v>
      </c>
      <c r="E1654" s="48" t="s">
        <v>112</v>
      </c>
      <c r="F1654" s="48" t="s">
        <v>72</v>
      </c>
      <c r="G1654" s="48" t="s">
        <v>597</v>
      </c>
      <c r="H1654" s="82" t="n">
        <f aca="false">DATE(YEAR(A1654),MONTH(A1654),1)</f>
        <v>43952</v>
      </c>
    </row>
    <row r="1655" customFormat="false" ht="15" hidden="false" customHeight="false" outlineLevel="0" collapsed="false">
      <c r="A1655" s="81" t="n">
        <v>43966</v>
      </c>
      <c r="B1655" s="48" t="n">
        <v>2</v>
      </c>
      <c r="C1655" s="48" t="n">
        <v>0</v>
      </c>
      <c r="D1655" s="48" t="n">
        <v>0</v>
      </c>
      <c r="E1655" s="48" t="s">
        <v>112</v>
      </c>
      <c r="F1655" s="48" t="s">
        <v>72</v>
      </c>
      <c r="G1655" s="48" t="s">
        <v>594</v>
      </c>
      <c r="H1655" s="82" t="n">
        <f aca="false">DATE(YEAR(A1655),MONTH(A1655),1)</f>
        <v>43952</v>
      </c>
    </row>
    <row r="1656" customFormat="false" ht="15" hidden="false" customHeight="false" outlineLevel="0" collapsed="false">
      <c r="A1656" s="81" t="n">
        <v>43966</v>
      </c>
      <c r="B1656" s="48" t="n">
        <v>11</v>
      </c>
      <c r="C1656" s="48" t="n">
        <v>0</v>
      </c>
      <c r="D1656" s="48" t="n">
        <v>0</v>
      </c>
      <c r="E1656" s="48" t="s">
        <v>112</v>
      </c>
      <c r="F1656" s="48" t="s">
        <v>72</v>
      </c>
      <c r="G1656" s="48" t="s">
        <v>599</v>
      </c>
      <c r="H1656" s="82" t="n">
        <f aca="false">DATE(YEAR(A1656),MONTH(A1656),1)</f>
        <v>43952</v>
      </c>
    </row>
    <row r="1657" customFormat="false" ht="15" hidden="false" customHeight="false" outlineLevel="0" collapsed="false">
      <c r="A1657" s="81" t="n">
        <v>43966</v>
      </c>
      <c r="B1657" s="48" t="n">
        <v>1</v>
      </c>
      <c r="C1657" s="48" t="n">
        <v>0</v>
      </c>
      <c r="D1657" s="48" t="n">
        <v>0</v>
      </c>
      <c r="E1657" s="48" t="s">
        <v>112</v>
      </c>
      <c r="F1657" s="48" t="s">
        <v>72</v>
      </c>
      <c r="G1657" s="48" t="s">
        <v>656</v>
      </c>
      <c r="H1657" s="82" t="n">
        <f aca="false">DATE(YEAR(A1657),MONTH(A1657),1)</f>
        <v>43952</v>
      </c>
    </row>
    <row r="1658" customFormat="false" ht="15" hidden="false" customHeight="false" outlineLevel="0" collapsed="false">
      <c r="A1658" s="81" t="n">
        <v>43966</v>
      </c>
      <c r="B1658" s="48" t="n">
        <v>15</v>
      </c>
      <c r="C1658" s="48" t="n">
        <v>2</v>
      </c>
      <c r="D1658" s="48" t="n">
        <v>0</v>
      </c>
      <c r="E1658" s="48" t="s">
        <v>112</v>
      </c>
      <c r="F1658" s="48" t="s">
        <v>72</v>
      </c>
      <c r="G1658" s="48" t="s">
        <v>102</v>
      </c>
      <c r="H1658" s="82" t="n">
        <f aca="false">DATE(YEAR(A1658),MONTH(A1658),1)</f>
        <v>43952</v>
      </c>
    </row>
    <row r="1659" customFormat="false" ht="15" hidden="false" customHeight="false" outlineLevel="0" collapsed="false">
      <c r="A1659" s="81" t="n">
        <v>43966</v>
      </c>
      <c r="B1659" s="48" t="n">
        <v>9</v>
      </c>
      <c r="C1659" s="48" t="n">
        <v>1</v>
      </c>
      <c r="D1659" s="48" t="n">
        <v>0</v>
      </c>
      <c r="E1659" s="48" t="s">
        <v>112</v>
      </c>
      <c r="F1659" s="48" t="s">
        <v>72</v>
      </c>
      <c r="G1659" s="48" t="s">
        <v>611</v>
      </c>
      <c r="H1659" s="82" t="n">
        <f aca="false">DATE(YEAR(A1659),MONTH(A1659),1)</f>
        <v>43952</v>
      </c>
    </row>
    <row r="1660" customFormat="false" ht="15" hidden="false" customHeight="false" outlineLevel="0" collapsed="false">
      <c r="A1660" s="81" t="n">
        <v>43966</v>
      </c>
      <c r="B1660" s="48" t="n">
        <v>31</v>
      </c>
      <c r="C1660" s="48" t="n">
        <v>0</v>
      </c>
      <c r="D1660" s="48" t="n">
        <v>0</v>
      </c>
      <c r="E1660" s="48" t="s">
        <v>112</v>
      </c>
      <c r="F1660" s="48" t="s">
        <v>72</v>
      </c>
      <c r="G1660" s="48" t="s">
        <v>96</v>
      </c>
      <c r="H1660" s="82" t="n">
        <f aca="false">DATE(YEAR(A1660),MONTH(A1660),1)</f>
        <v>43952</v>
      </c>
    </row>
    <row r="1661" customFormat="false" ht="15" hidden="false" customHeight="false" outlineLevel="0" collapsed="false">
      <c r="A1661" s="81" t="n">
        <v>43966</v>
      </c>
      <c r="B1661" s="48" t="n">
        <v>2</v>
      </c>
      <c r="C1661" s="48" t="n">
        <v>0</v>
      </c>
      <c r="D1661" s="48" t="n">
        <v>0</v>
      </c>
      <c r="E1661" s="48" t="s">
        <v>112</v>
      </c>
      <c r="F1661" s="48" t="s">
        <v>72</v>
      </c>
      <c r="G1661" s="48" t="s">
        <v>603</v>
      </c>
      <c r="H1661" s="82" t="n">
        <f aca="false">DATE(YEAR(A1661),MONTH(A1661),1)</f>
        <v>43952</v>
      </c>
    </row>
    <row r="1662" customFormat="false" ht="15" hidden="false" customHeight="false" outlineLevel="0" collapsed="false">
      <c r="A1662" s="81" t="n">
        <v>43966</v>
      </c>
      <c r="B1662" s="48" t="n">
        <v>1</v>
      </c>
      <c r="C1662" s="48" t="n">
        <v>0</v>
      </c>
      <c r="D1662" s="48" t="n">
        <v>0</v>
      </c>
      <c r="E1662" s="48" t="s">
        <v>112</v>
      </c>
      <c r="F1662" s="48" t="s">
        <v>72</v>
      </c>
      <c r="G1662" s="48" t="s">
        <v>591</v>
      </c>
      <c r="H1662" s="82" t="n">
        <f aca="false">DATE(YEAR(A1662),MONTH(A1662),1)</f>
        <v>43952</v>
      </c>
    </row>
    <row r="1663" customFormat="false" ht="15" hidden="false" customHeight="false" outlineLevel="0" collapsed="false">
      <c r="A1663" s="81" t="n">
        <v>43966</v>
      </c>
      <c r="B1663" s="48" t="n">
        <v>0</v>
      </c>
      <c r="C1663" s="48" t="n">
        <v>0</v>
      </c>
      <c r="D1663" s="48" t="n">
        <v>0</v>
      </c>
      <c r="E1663" s="48" t="s">
        <v>112</v>
      </c>
      <c r="F1663" s="48" t="s">
        <v>72</v>
      </c>
      <c r="G1663" s="48" t="s">
        <v>598</v>
      </c>
      <c r="H1663" s="82" t="n">
        <f aca="false">DATE(YEAR(A1663),MONTH(A1663),1)</f>
        <v>43952</v>
      </c>
    </row>
    <row r="1664" customFormat="false" ht="15" hidden="false" customHeight="false" outlineLevel="0" collapsed="false">
      <c r="A1664" s="81" t="n">
        <v>43966</v>
      </c>
      <c r="B1664" s="48" t="n">
        <v>0</v>
      </c>
      <c r="C1664" s="48" t="n">
        <v>0</v>
      </c>
      <c r="D1664" s="48" t="n">
        <v>0</v>
      </c>
      <c r="E1664" s="48" t="s">
        <v>112</v>
      </c>
      <c r="F1664" s="48" t="s">
        <v>72</v>
      </c>
      <c r="G1664" s="48" t="s">
        <v>609</v>
      </c>
      <c r="H1664" s="82" t="n">
        <f aca="false">DATE(YEAR(A1664),MONTH(A1664),1)</f>
        <v>43952</v>
      </c>
    </row>
    <row r="1665" customFormat="false" ht="15" hidden="false" customHeight="false" outlineLevel="0" collapsed="false">
      <c r="A1665" s="81" t="n">
        <v>43966</v>
      </c>
      <c r="B1665" s="48" t="n">
        <v>1</v>
      </c>
      <c r="C1665" s="48" t="n">
        <v>0</v>
      </c>
      <c r="D1665" s="48" t="n">
        <v>0</v>
      </c>
      <c r="E1665" s="48" t="s">
        <v>112</v>
      </c>
      <c r="F1665" s="48" t="s">
        <v>72</v>
      </c>
      <c r="G1665" s="48" t="s">
        <v>101</v>
      </c>
      <c r="H1665" s="82" t="n">
        <f aca="false">DATE(YEAR(A1665),MONTH(A1665),1)</f>
        <v>43952</v>
      </c>
    </row>
    <row r="1666" customFormat="false" ht="15" hidden="false" customHeight="false" outlineLevel="0" collapsed="false">
      <c r="A1666" s="81" t="n">
        <v>43966</v>
      </c>
      <c r="B1666" s="48" t="n">
        <v>5</v>
      </c>
      <c r="C1666" s="48" t="n">
        <v>0</v>
      </c>
      <c r="D1666" s="48" t="n">
        <v>0</v>
      </c>
      <c r="E1666" s="48" t="s">
        <v>112</v>
      </c>
      <c r="F1666" s="48" t="s">
        <v>72</v>
      </c>
      <c r="G1666" s="48" t="s">
        <v>643</v>
      </c>
      <c r="H1666" s="82" t="n">
        <f aca="false">DATE(YEAR(A1666),MONTH(A1666),1)</f>
        <v>43952</v>
      </c>
    </row>
    <row r="1667" customFormat="false" ht="15" hidden="false" customHeight="false" outlineLevel="0" collapsed="false">
      <c r="A1667" s="81" t="n">
        <v>43966</v>
      </c>
      <c r="B1667" s="48" t="n">
        <v>1</v>
      </c>
      <c r="C1667" s="48" t="n">
        <v>0</v>
      </c>
      <c r="D1667" s="48" t="n">
        <v>0</v>
      </c>
      <c r="E1667" s="48" t="s">
        <v>112</v>
      </c>
      <c r="F1667" s="48" t="s">
        <v>72</v>
      </c>
      <c r="G1667" s="48" t="s">
        <v>662</v>
      </c>
      <c r="H1667" s="82" t="n">
        <f aca="false">DATE(YEAR(A1667),MONTH(A1667),1)</f>
        <v>43952</v>
      </c>
    </row>
    <row r="1668" customFormat="false" ht="15" hidden="false" customHeight="false" outlineLevel="0" collapsed="false">
      <c r="A1668" s="81" t="n">
        <v>43966</v>
      </c>
      <c r="B1668" s="48" t="n">
        <v>6</v>
      </c>
      <c r="C1668" s="48" t="n">
        <v>0</v>
      </c>
      <c r="D1668" s="48" t="n">
        <v>0</v>
      </c>
      <c r="E1668" s="48" t="s">
        <v>112</v>
      </c>
      <c r="F1668" s="48" t="s">
        <v>72</v>
      </c>
      <c r="G1668" s="48" t="s">
        <v>600</v>
      </c>
      <c r="H1668" s="82" t="n">
        <f aca="false">DATE(YEAR(A1668),MONTH(A1668),1)</f>
        <v>43952</v>
      </c>
    </row>
    <row r="1669" customFormat="false" ht="15" hidden="false" customHeight="false" outlineLevel="0" collapsed="false">
      <c r="A1669" s="81" t="n">
        <v>43966</v>
      </c>
      <c r="B1669" s="48" t="n">
        <v>2</v>
      </c>
      <c r="C1669" s="48" t="n">
        <v>0</v>
      </c>
      <c r="D1669" s="48" t="n">
        <v>0</v>
      </c>
      <c r="E1669" s="48" t="s">
        <v>112</v>
      </c>
      <c r="F1669" s="48" t="s">
        <v>72</v>
      </c>
      <c r="G1669" s="48" t="s">
        <v>610</v>
      </c>
      <c r="H1669" s="82" t="n">
        <f aca="false">DATE(YEAR(A1669),MONTH(A1669),1)</f>
        <v>43952</v>
      </c>
    </row>
    <row r="1670" customFormat="false" ht="15" hidden="false" customHeight="false" outlineLevel="0" collapsed="false">
      <c r="A1670" s="81" t="n">
        <v>43966</v>
      </c>
      <c r="B1670" s="48" t="n">
        <v>10</v>
      </c>
      <c r="C1670" s="48" t="n">
        <v>0</v>
      </c>
      <c r="D1670" s="48" t="n">
        <v>0</v>
      </c>
      <c r="E1670" s="48" t="s">
        <v>112</v>
      </c>
      <c r="F1670" s="48" t="s">
        <v>72</v>
      </c>
      <c r="G1670" s="48" t="s">
        <v>593</v>
      </c>
      <c r="H1670" s="82" t="n">
        <f aca="false">DATE(YEAR(A1670),MONTH(A1670),1)</f>
        <v>43952</v>
      </c>
    </row>
    <row r="1671" customFormat="false" ht="15" hidden="false" customHeight="false" outlineLevel="0" collapsed="false">
      <c r="A1671" s="81" t="n">
        <v>43966</v>
      </c>
      <c r="B1671" s="48" t="n">
        <v>3</v>
      </c>
      <c r="C1671" s="48" t="n">
        <v>0</v>
      </c>
      <c r="D1671" s="48" t="n">
        <v>0</v>
      </c>
      <c r="E1671" s="48" t="s">
        <v>112</v>
      </c>
      <c r="F1671" s="48" t="s">
        <v>72</v>
      </c>
      <c r="G1671" s="48" t="s">
        <v>612</v>
      </c>
      <c r="H1671" s="82" t="n">
        <f aca="false">DATE(YEAR(A1671),MONTH(A1671),1)</f>
        <v>43952</v>
      </c>
    </row>
    <row r="1672" customFormat="false" ht="15" hidden="false" customHeight="false" outlineLevel="0" collapsed="false">
      <c r="A1672" s="81" t="n">
        <v>43966</v>
      </c>
      <c r="B1672" s="48" t="n">
        <v>0</v>
      </c>
      <c r="C1672" s="48" t="n">
        <v>0</v>
      </c>
      <c r="D1672" s="48" t="n">
        <v>0</v>
      </c>
      <c r="E1672" s="48" t="s">
        <v>112</v>
      </c>
      <c r="F1672" s="48" t="s">
        <v>72</v>
      </c>
      <c r="G1672" s="48" t="s">
        <v>685</v>
      </c>
      <c r="H1672" s="82" t="n">
        <f aca="false">DATE(YEAR(A1672),MONTH(A1672),1)</f>
        <v>43952</v>
      </c>
    </row>
    <row r="1673" customFormat="false" ht="15" hidden="false" customHeight="false" outlineLevel="0" collapsed="false">
      <c r="A1673" s="81" t="n">
        <v>43966</v>
      </c>
      <c r="B1673" s="48" t="n">
        <v>0</v>
      </c>
      <c r="C1673" s="48" t="n">
        <v>0</v>
      </c>
      <c r="D1673" s="48" t="n">
        <v>0</v>
      </c>
      <c r="E1673" s="48" t="s">
        <v>112</v>
      </c>
      <c r="F1673" s="48" t="s">
        <v>72</v>
      </c>
      <c r="G1673" s="48" t="s">
        <v>687</v>
      </c>
      <c r="H1673" s="82" t="n">
        <f aca="false">DATE(YEAR(A1673),MONTH(A1673),1)</f>
        <v>43952</v>
      </c>
    </row>
    <row r="1674" customFormat="false" ht="15" hidden="false" customHeight="false" outlineLevel="0" collapsed="false">
      <c r="A1674" s="81" t="n">
        <v>43966</v>
      </c>
      <c r="B1674" s="48" t="n">
        <v>0</v>
      </c>
      <c r="C1674" s="48" t="n">
        <v>0</v>
      </c>
      <c r="D1674" s="48" t="n">
        <v>0</v>
      </c>
      <c r="E1674" s="48" t="s">
        <v>112</v>
      </c>
      <c r="F1674" s="48" t="s">
        <v>72</v>
      </c>
      <c r="G1674" s="48" t="s">
        <v>682</v>
      </c>
      <c r="H1674" s="82" t="n">
        <f aca="false">DATE(YEAR(A1674),MONTH(A1674),1)</f>
        <v>43952</v>
      </c>
    </row>
    <row r="1675" customFormat="false" ht="15" hidden="false" customHeight="false" outlineLevel="0" collapsed="false">
      <c r="A1675" s="81" t="n">
        <v>43966</v>
      </c>
      <c r="B1675" s="48" t="n">
        <v>0</v>
      </c>
      <c r="C1675" s="48" t="n">
        <v>0</v>
      </c>
      <c r="D1675" s="48" t="n">
        <v>0</v>
      </c>
      <c r="E1675" s="48" t="s">
        <v>112</v>
      </c>
      <c r="F1675" s="48" t="s">
        <v>72</v>
      </c>
      <c r="G1675" s="48" t="s">
        <v>692</v>
      </c>
      <c r="H1675" s="82" t="n">
        <f aca="false">DATE(YEAR(A1675),MONTH(A1675),1)</f>
        <v>43952</v>
      </c>
    </row>
    <row r="1676" customFormat="false" ht="15" hidden="false" customHeight="false" outlineLevel="0" collapsed="false">
      <c r="A1676" s="81" t="n">
        <v>43966</v>
      </c>
      <c r="B1676" s="48" t="n">
        <v>0</v>
      </c>
      <c r="C1676" s="48" t="n">
        <v>0</v>
      </c>
      <c r="D1676" s="48" t="n">
        <v>0</v>
      </c>
      <c r="E1676" s="48" t="s">
        <v>112</v>
      </c>
      <c r="F1676" s="48" t="s">
        <v>72</v>
      </c>
      <c r="G1676" s="48" t="s">
        <v>613</v>
      </c>
      <c r="H1676" s="82" t="n">
        <f aca="false">DATE(YEAR(A1676),MONTH(A1676),1)</f>
        <v>43952</v>
      </c>
    </row>
    <row r="1677" customFormat="false" ht="15" hidden="false" customHeight="false" outlineLevel="0" collapsed="false">
      <c r="A1677" s="81" t="n">
        <v>43966</v>
      </c>
      <c r="B1677" s="48" t="n">
        <v>0</v>
      </c>
      <c r="C1677" s="48" t="n">
        <v>0</v>
      </c>
      <c r="D1677" s="48" t="n">
        <v>0</v>
      </c>
      <c r="E1677" s="48" t="s">
        <v>112</v>
      </c>
      <c r="F1677" s="48" t="s">
        <v>72</v>
      </c>
      <c r="G1677" s="48" t="s">
        <v>614</v>
      </c>
      <c r="H1677" s="82" t="n">
        <f aca="false">DATE(YEAR(A1677),MONTH(A1677),1)</f>
        <v>43952</v>
      </c>
    </row>
    <row r="1678" customFormat="false" ht="15" hidden="false" customHeight="false" outlineLevel="0" collapsed="false">
      <c r="A1678" s="81" t="n">
        <v>43966</v>
      </c>
      <c r="B1678" s="48" t="n">
        <v>0</v>
      </c>
      <c r="C1678" s="48" t="n">
        <v>0</v>
      </c>
      <c r="D1678" s="48" t="n">
        <v>0</v>
      </c>
      <c r="E1678" s="48" t="s">
        <v>112</v>
      </c>
      <c r="F1678" s="48" t="s">
        <v>72</v>
      </c>
      <c r="G1678" s="48" t="s">
        <v>655</v>
      </c>
      <c r="H1678" s="82" t="n">
        <f aca="false">DATE(YEAR(A1678),MONTH(A1678),1)</f>
        <v>43952</v>
      </c>
    </row>
    <row r="1679" customFormat="false" ht="15" hidden="false" customHeight="false" outlineLevel="0" collapsed="false">
      <c r="A1679" s="81" t="n">
        <v>43966</v>
      </c>
      <c r="B1679" s="48" t="n">
        <v>1</v>
      </c>
      <c r="C1679" s="48" t="n">
        <v>0</v>
      </c>
      <c r="D1679" s="48" t="n">
        <v>0</v>
      </c>
      <c r="E1679" s="48" t="s">
        <v>112</v>
      </c>
      <c r="F1679" s="48" t="s">
        <v>72</v>
      </c>
      <c r="G1679" s="48" t="s">
        <v>608</v>
      </c>
      <c r="H1679" s="82" t="n">
        <f aca="false">DATE(YEAR(A1679),MONTH(A1679),1)</f>
        <v>43952</v>
      </c>
    </row>
    <row r="1680" customFormat="false" ht="15" hidden="false" customHeight="false" outlineLevel="0" collapsed="false">
      <c r="A1680" s="81" t="n">
        <v>43966</v>
      </c>
      <c r="B1680" s="48" t="n">
        <v>0</v>
      </c>
      <c r="C1680" s="48" t="n">
        <v>0</v>
      </c>
      <c r="D1680" s="48" t="n">
        <v>0</v>
      </c>
      <c r="E1680" s="48" t="s">
        <v>112</v>
      </c>
      <c r="F1680" s="48" t="s">
        <v>72</v>
      </c>
      <c r="G1680" s="48" t="s">
        <v>615</v>
      </c>
      <c r="H1680" s="82" t="n">
        <f aca="false">DATE(YEAR(A1680),MONTH(A1680),1)</f>
        <v>43952</v>
      </c>
    </row>
    <row r="1681" customFormat="false" ht="15" hidden="false" customHeight="false" outlineLevel="0" collapsed="false">
      <c r="A1681" s="81" t="n">
        <v>43966</v>
      </c>
      <c r="B1681" s="48" t="n">
        <v>0</v>
      </c>
      <c r="C1681" s="48" t="n">
        <v>0</v>
      </c>
      <c r="D1681" s="48" t="n">
        <v>0</v>
      </c>
      <c r="E1681" s="48" t="s">
        <v>112</v>
      </c>
      <c r="F1681" s="48" t="s">
        <v>72</v>
      </c>
      <c r="G1681" s="48" t="s">
        <v>666</v>
      </c>
      <c r="H1681" s="82" t="n">
        <f aca="false">DATE(YEAR(A1681),MONTH(A1681),1)</f>
        <v>43952</v>
      </c>
    </row>
    <row r="1682" customFormat="false" ht="15" hidden="false" customHeight="false" outlineLevel="0" collapsed="false">
      <c r="A1682" s="81" t="n">
        <v>43966</v>
      </c>
      <c r="B1682" s="48" t="n">
        <v>1</v>
      </c>
      <c r="C1682" s="48" t="n">
        <v>0</v>
      </c>
      <c r="D1682" s="48" t="n">
        <v>0</v>
      </c>
      <c r="E1682" s="48" t="s">
        <v>112</v>
      </c>
      <c r="F1682" s="48" t="s">
        <v>72</v>
      </c>
      <c r="G1682" s="48" t="s">
        <v>621</v>
      </c>
      <c r="H1682" s="82" t="n">
        <f aca="false">DATE(YEAR(A1682),MONTH(A1682),1)</f>
        <v>43952</v>
      </c>
    </row>
    <row r="1683" customFormat="false" ht="15" hidden="false" customHeight="false" outlineLevel="0" collapsed="false">
      <c r="A1683" s="81" t="n">
        <v>43966</v>
      </c>
      <c r="B1683" s="48" t="n">
        <v>0</v>
      </c>
      <c r="C1683" s="48" t="n">
        <v>0</v>
      </c>
      <c r="D1683" s="48" t="n">
        <v>0</v>
      </c>
      <c r="E1683" s="48" t="s">
        <v>112</v>
      </c>
      <c r="F1683" s="48" t="s">
        <v>72</v>
      </c>
      <c r="G1683" s="48" t="s">
        <v>664</v>
      </c>
      <c r="H1683" s="82" t="n">
        <f aca="false">DATE(YEAR(A1683),MONTH(A1683),1)</f>
        <v>43952</v>
      </c>
    </row>
    <row r="1684" customFormat="false" ht="15" hidden="false" customHeight="false" outlineLevel="0" collapsed="false">
      <c r="A1684" s="81" t="n">
        <v>43966</v>
      </c>
      <c r="B1684" s="48" t="n">
        <v>0</v>
      </c>
      <c r="C1684" s="48" t="n">
        <v>0</v>
      </c>
      <c r="D1684" s="48" t="n">
        <v>0</v>
      </c>
      <c r="E1684" s="48" t="s">
        <v>112</v>
      </c>
      <c r="F1684" s="48" t="s">
        <v>72</v>
      </c>
      <c r="G1684" s="48" t="s">
        <v>667</v>
      </c>
      <c r="H1684" s="82" t="n">
        <f aca="false">DATE(YEAR(A1684),MONTH(A1684),1)</f>
        <v>43952</v>
      </c>
    </row>
    <row r="1685" customFormat="false" ht="15" hidden="false" customHeight="false" outlineLevel="0" collapsed="false">
      <c r="A1685" s="81" t="n">
        <v>43966</v>
      </c>
      <c r="B1685" s="48" t="n">
        <v>2</v>
      </c>
      <c r="C1685" s="48" t="n">
        <v>0</v>
      </c>
      <c r="D1685" s="48" t="n">
        <v>0</v>
      </c>
      <c r="E1685" s="48" t="s">
        <v>112</v>
      </c>
      <c r="F1685" s="48" t="s">
        <v>72</v>
      </c>
      <c r="G1685" s="48" t="s">
        <v>607</v>
      </c>
      <c r="H1685" s="82" t="n">
        <f aca="false">DATE(YEAR(A1685),MONTH(A1685),1)</f>
        <v>43952</v>
      </c>
    </row>
    <row r="1686" customFormat="false" ht="15" hidden="false" customHeight="false" outlineLevel="0" collapsed="false">
      <c r="A1686" s="81" t="n">
        <v>43966</v>
      </c>
      <c r="B1686" s="48" t="n">
        <v>0</v>
      </c>
      <c r="C1686" s="48" t="n">
        <v>0</v>
      </c>
      <c r="D1686" s="48" t="n">
        <v>0</v>
      </c>
      <c r="E1686" s="48" t="s">
        <v>112</v>
      </c>
      <c r="F1686" s="48" t="s">
        <v>72</v>
      </c>
      <c r="G1686" s="48" t="s">
        <v>673</v>
      </c>
      <c r="H1686" s="82" t="n">
        <f aca="false">DATE(YEAR(A1686),MONTH(A1686),1)</f>
        <v>43952</v>
      </c>
    </row>
    <row r="1687" customFormat="false" ht="15" hidden="false" customHeight="false" outlineLevel="0" collapsed="false">
      <c r="A1687" s="81" t="n">
        <v>43966</v>
      </c>
      <c r="B1687" s="48" t="n">
        <v>0</v>
      </c>
      <c r="C1687" s="48" t="n">
        <v>0</v>
      </c>
      <c r="D1687" s="48" t="n">
        <v>0</v>
      </c>
      <c r="E1687" s="48" t="s">
        <v>112</v>
      </c>
      <c r="F1687" s="48" t="s">
        <v>72</v>
      </c>
      <c r="G1687" s="48" t="s">
        <v>676</v>
      </c>
      <c r="H1687" s="82" t="n">
        <f aca="false">DATE(YEAR(A1687),MONTH(A1687),1)</f>
        <v>43952</v>
      </c>
    </row>
    <row r="1688" customFormat="false" ht="15" hidden="false" customHeight="false" outlineLevel="0" collapsed="false">
      <c r="A1688" s="81" t="n">
        <v>43966</v>
      </c>
      <c r="B1688" s="48" t="n">
        <v>287</v>
      </c>
      <c r="C1688" s="48" t="n">
        <v>11</v>
      </c>
      <c r="D1688" s="48" t="n">
        <v>84</v>
      </c>
      <c r="E1688" s="48" t="s">
        <v>112</v>
      </c>
      <c r="F1688" s="48" t="s">
        <v>71</v>
      </c>
      <c r="G1688" s="48" t="s">
        <v>92</v>
      </c>
      <c r="H1688" s="82" t="n">
        <f aca="false">DATE(YEAR(A1688),MONTH(A1688),1)</f>
        <v>43952</v>
      </c>
    </row>
    <row r="1689" customFormat="false" ht="15" hidden="false" customHeight="false" outlineLevel="0" collapsed="false">
      <c r="A1689" s="81" t="n">
        <v>43966</v>
      </c>
      <c r="B1689" s="48" t="n">
        <v>817</v>
      </c>
      <c r="C1689" s="48" t="n">
        <v>12</v>
      </c>
      <c r="D1689" s="48" t="n">
        <v>533</v>
      </c>
      <c r="E1689" s="48" t="s">
        <v>112</v>
      </c>
      <c r="F1689" s="48" t="s">
        <v>70</v>
      </c>
      <c r="G1689" s="48" t="s">
        <v>91</v>
      </c>
      <c r="H1689" s="82" t="n">
        <f aca="false">DATE(YEAR(A1689),MONTH(A1689),1)</f>
        <v>43952</v>
      </c>
    </row>
    <row r="1690" customFormat="false" ht="15" hidden="false" customHeight="false" outlineLevel="0" collapsed="false">
      <c r="A1690" s="81" t="n">
        <v>43967</v>
      </c>
      <c r="B1690" s="48" t="n">
        <v>4</v>
      </c>
      <c r="C1690" s="48" t="n">
        <v>0</v>
      </c>
      <c r="D1690" s="48" t="n">
        <v>1</v>
      </c>
      <c r="E1690" s="48" t="s">
        <v>112</v>
      </c>
      <c r="F1690" s="48" t="s">
        <v>76</v>
      </c>
      <c r="G1690" s="48" t="s">
        <v>595</v>
      </c>
      <c r="H1690" s="82" t="n">
        <f aca="false">DATE(YEAR(A1690),MONTH(A1690),1)</f>
        <v>43952</v>
      </c>
    </row>
    <row r="1691" customFormat="false" ht="15" hidden="false" customHeight="false" outlineLevel="0" collapsed="false">
      <c r="A1691" s="81" t="n">
        <v>43967</v>
      </c>
      <c r="B1691" s="48" t="n">
        <v>87</v>
      </c>
      <c r="C1691" s="48" t="n">
        <v>5</v>
      </c>
      <c r="D1691" s="48" t="n">
        <v>34</v>
      </c>
      <c r="E1691" s="48" t="s">
        <v>112</v>
      </c>
      <c r="F1691" s="48" t="s">
        <v>73</v>
      </c>
      <c r="G1691" s="48" t="s">
        <v>93</v>
      </c>
      <c r="H1691" s="82" t="n">
        <f aca="false">DATE(YEAR(A1691),MONTH(A1691),1)</f>
        <v>43952</v>
      </c>
    </row>
    <row r="1692" customFormat="false" ht="15" hidden="false" customHeight="false" outlineLevel="0" collapsed="false">
      <c r="A1692" s="81" t="n">
        <v>43967</v>
      </c>
      <c r="B1692" s="48" t="n">
        <v>6</v>
      </c>
      <c r="C1692" s="48" t="n">
        <v>0</v>
      </c>
      <c r="D1692" s="48" t="n">
        <v>0</v>
      </c>
      <c r="E1692" s="48" t="s">
        <v>112</v>
      </c>
      <c r="F1692" s="48" t="s">
        <v>75</v>
      </c>
      <c r="G1692" s="48" t="s">
        <v>103</v>
      </c>
      <c r="H1692" s="82" t="n">
        <f aca="false">DATE(YEAR(A1692),MONTH(A1692),1)</f>
        <v>43952</v>
      </c>
    </row>
    <row r="1693" customFormat="false" ht="15" hidden="false" customHeight="false" outlineLevel="0" collapsed="false">
      <c r="A1693" s="81" t="n">
        <v>43967</v>
      </c>
      <c r="B1693" s="48" t="n">
        <v>0</v>
      </c>
      <c r="C1693" s="48" t="n">
        <v>0</v>
      </c>
      <c r="D1693" s="48" t="n">
        <v>1</v>
      </c>
      <c r="E1693" s="48" t="s">
        <v>112</v>
      </c>
      <c r="F1693" s="48" t="s">
        <v>75</v>
      </c>
      <c r="G1693" s="48" t="s">
        <v>629</v>
      </c>
      <c r="H1693" s="82" t="n">
        <f aca="false">DATE(YEAR(A1693),MONTH(A1693),1)</f>
        <v>43952</v>
      </c>
    </row>
    <row r="1694" customFormat="false" ht="15" hidden="false" customHeight="false" outlineLevel="0" collapsed="false">
      <c r="A1694" s="81" t="n">
        <v>43967</v>
      </c>
      <c r="B1694" s="48" t="n">
        <v>1</v>
      </c>
      <c r="C1694" s="48" t="n">
        <v>0</v>
      </c>
      <c r="D1694" s="48" t="n">
        <v>0</v>
      </c>
      <c r="E1694" s="48" t="s">
        <v>112</v>
      </c>
      <c r="F1694" s="48" t="s">
        <v>75</v>
      </c>
      <c r="G1694" s="48" t="s">
        <v>624</v>
      </c>
      <c r="H1694" s="82" t="n">
        <f aca="false">DATE(YEAR(A1694),MONTH(A1694),1)</f>
        <v>43952</v>
      </c>
    </row>
    <row r="1695" customFormat="false" ht="15" hidden="false" customHeight="false" outlineLevel="0" collapsed="false">
      <c r="A1695" s="81" t="n">
        <v>43967</v>
      </c>
      <c r="B1695" s="48" t="n">
        <v>55</v>
      </c>
      <c r="C1695" s="48" t="n">
        <v>0</v>
      </c>
      <c r="D1695" s="48" t="n">
        <v>13</v>
      </c>
      <c r="E1695" s="48" t="s">
        <v>112</v>
      </c>
      <c r="F1695" s="48" t="s">
        <v>74</v>
      </c>
      <c r="G1695" s="48" t="s">
        <v>95</v>
      </c>
      <c r="H1695" s="82" t="n">
        <f aca="false">DATE(YEAR(A1695),MONTH(A1695),1)</f>
        <v>43952</v>
      </c>
    </row>
    <row r="1696" customFormat="false" ht="15" hidden="false" customHeight="false" outlineLevel="0" collapsed="false">
      <c r="A1696" s="81" t="n">
        <v>43967</v>
      </c>
      <c r="B1696" s="48" t="n">
        <v>77</v>
      </c>
      <c r="C1696" s="48" t="n">
        <v>7</v>
      </c>
      <c r="D1696" s="48" t="n">
        <v>0</v>
      </c>
      <c r="E1696" s="48" t="s">
        <v>112</v>
      </c>
      <c r="F1696" s="48" t="s">
        <v>72</v>
      </c>
      <c r="G1696" s="48" t="s">
        <v>94</v>
      </c>
      <c r="H1696" s="82" t="n">
        <f aca="false">DATE(YEAR(A1696),MONTH(A1696),1)</f>
        <v>43952</v>
      </c>
    </row>
    <row r="1697" customFormat="false" ht="15" hidden="false" customHeight="false" outlineLevel="0" collapsed="false">
      <c r="A1697" s="81" t="n">
        <v>43967</v>
      </c>
      <c r="B1697" s="48" t="n">
        <v>3</v>
      </c>
      <c r="C1697" s="48" t="n">
        <v>0</v>
      </c>
      <c r="D1697" s="48" t="n">
        <v>0</v>
      </c>
      <c r="E1697" s="48" t="s">
        <v>112</v>
      </c>
      <c r="F1697" s="48" t="s">
        <v>72</v>
      </c>
      <c r="G1697" s="48" t="s">
        <v>597</v>
      </c>
      <c r="H1697" s="82" t="n">
        <f aca="false">DATE(YEAR(A1697),MONTH(A1697),1)</f>
        <v>43952</v>
      </c>
    </row>
    <row r="1698" customFormat="false" ht="15" hidden="false" customHeight="false" outlineLevel="0" collapsed="false">
      <c r="A1698" s="81" t="n">
        <v>43967</v>
      </c>
      <c r="B1698" s="48" t="n">
        <v>6</v>
      </c>
      <c r="C1698" s="48" t="n">
        <v>0</v>
      </c>
      <c r="D1698" s="48" t="n">
        <v>0</v>
      </c>
      <c r="E1698" s="48" t="s">
        <v>112</v>
      </c>
      <c r="F1698" s="48" t="s">
        <v>72</v>
      </c>
      <c r="G1698" s="48" t="s">
        <v>594</v>
      </c>
      <c r="H1698" s="82" t="n">
        <f aca="false">DATE(YEAR(A1698),MONTH(A1698),1)</f>
        <v>43952</v>
      </c>
    </row>
    <row r="1699" customFormat="false" ht="15" hidden="false" customHeight="false" outlineLevel="0" collapsed="false">
      <c r="A1699" s="81" t="n">
        <v>43967</v>
      </c>
      <c r="B1699" s="48" t="n">
        <v>12</v>
      </c>
      <c r="C1699" s="48" t="n">
        <v>0</v>
      </c>
      <c r="D1699" s="48" t="n">
        <v>0</v>
      </c>
      <c r="E1699" s="48" t="s">
        <v>112</v>
      </c>
      <c r="F1699" s="48" t="s">
        <v>72</v>
      </c>
      <c r="G1699" s="48" t="s">
        <v>599</v>
      </c>
      <c r="H1699" s="82" t="n">
        <f aca="false">DATE(YEAR(A1699),MONTH(A1699),1)</f>
        <v>43952</v>
      </c>
    </row>
    <row r="1700" customFormat="false" ht="15" hidden="false" customHeight="false" outlineLevel="0" collapsed="false">
      <c r="A1700" s="81" t="n">
        <v>43967</v>
      </c>
      <c r="B1700" s="48" t="n">
        <v>0</v>
      </c>
      <c r="C1700" s="48" t="n">
        <v>0</v>
      </c>
      <c r="D1700" s="48" t="n">
        <v>0</v>
      </c>
      <c r="E1700" s="48" t="s">
        <v>112</v>
      </c>
      <c r="F1700" s="48" t="s">
        <v>72</v>
      </c>
      <c r="G1700" s="48" t="s">
        <v>656</v>
      </c>
      <c r="H1700" s="82" t="n">
        <f aca="false">DATE(YEAR(A1700),MONTH(A1700),1)</f>
        <v>43952</v>
      </c>
    </row>
    <row r="1701" customFormat="false" ht="15" hidden="false" customHeight="false" outlineLevel="0" collapsed="false">
      <c r="A1701" s="81" t="n">
        <v>43967</v>
      </c>
      <c r="B1701" s="48" t="n">
        <v>7</v>
      </c>
      <c r="C1701" s="48" t="n">
        <v>1</v>
      </c>
      <c r="D1701" s="48" t="n">
        <v>0</v>
      </c>
      <c r="E1701" s="48" t="s">
        <v>112</v>
      </c>
      <c r="F1701" s="48" t="s">
        <v>72</v>
      </c>
      <c r="G1701" s="48" t="s">
        <v>102</v>
      </c>
      <c r="H1701" s="82" t="n">
        <f aca="false">DATE(YEAR(A1701),MONTH(A1701),1)</f>
        <v>43952</v>
      </c>
    </row>
    <row r="1702" customFormat="false" ht="15" hidden="false" customHeight="false" outlineLevel="0" collapsed="false">
      <c r="A1702" s="81" t="n">
        <v>43967</v>
      </c>
      <c r="B1702" s="48" t="n">
        <v>1</v>
      </c>
      <c r="C1702" s="48" t="n">
        <v>0</v>
      </c>
      <c r="D1702" s="48" t="n">
        <v>0</v>
      </c>
      <c r="E1702" s="48" t="s">
        <v>112</v>
      </c>
      <c r="F1702" s="48" t="s">
        <v>72</v>
      </c>
      <c r="G1702" s="48" t="s">
        <v>611</v>
      </c>
      <c r="H1702" s="82" t="n">
        <f aca="false">DATE(YEAR(A1702),MONTH(A1702),1)</f>
        <v>43952</v>
      </c>
    </row>
    <row r="1703" customFormat="false" ht="15" hidden="false" customHeight="false" outlineLevel="0" collapsed="false">
      <c r="A1703" s="81" t="n">
        <v>43967</v>
      </c>
      <c r="B1703" s="48" t="n">
        <v>25</v>
      </c>
      <c r="C1703" s="48" t="n">
        <v>3</v>
      </c>
      <c r="D1703" s="48" t="n">
        <v>0</v>
      </c>
      <c r="E1703" s="48" t="s">
        <v>112</v>
      </c>
      <c r="F1703" s="48" t="s">
        <v>72</v>
      </c>
      <c r="G1703" s="48" t="s">
        <v>96</v>
      </c>
      <c r="H1703" s="82" t="n">
        <f aca="false">DATE(YEAR(A1703),MONTH(A1703),1)</f>
        <v>43952</v>
      </c>
    </row>
    <row r="1704" customFormat="false" ht="15" hidden="false" customHeight="false" outlineLevel="0" collapsed="false">
      <c r="A1704" s="81" t="n">
        <v>43967</v>
      </c>
      <c r="B1704" s="48" t="n">
        <v>0</v>
      </c>
      <c r="C1704" s="48" t="n">
        <v>0</v>
      </c>
      <c r="D1704" s="48" t="n">
        <v>0</v>
      </c>
      <c r="E1704" s="48" t="s">
        <v>112</v>
      </c>
      <c r="F1704" s="48" t="s">
        <v>72</v>
      </c>
      <c r="G1704" s="48" t="s">
        <v>603</v>
      </c>
      <c r="H1704" s="82" t="n">
        <f aca="false">DATE(YEAR(A1704),MONTH(A1704),1)</f>
        <v>43952</v>
      </c>
    </row>
    <row r="1705" customFormat="false" ht="15" hidden="false" customHeight="false" outlineLevel="0" collapsed="false">
      <c r="A1705" s="81" t="n">
        <v>43967</v>
      </c>
      <c r="B1705" s="48" t="n">
        <v>3</v>
      </c>
      <c r="C1705" s="48" t="n">
        <v>1</v>
      </c>
      <c r="D1705" s="48" t="n">
        <v>0</v>
      </c>
      <c r="E1705" s="48" t="s">
        <v>112</v>
      </c>
      <c r="F1705" s="48" t="s">
        <v>72</v>
      </c>
      <c r="G1705" s="48" t="s">
        <v>591</v>
      </c>
      <c r="H1705" s="82" t="n">
        <f aca="false">DATE(YEAR(A1705),MONTH(A1705),1)</f>
        <v>43952</v>
      </c>
    </row>
    <row r="1706" customFormat="false" ht="15" hidden="false" customHeight="false" outlineLevel="0" collapsed="false">
      <c r="A1706" s="81" t="n">
        <v>43967</v>
      </c>
      <c r="B1706" s="48" t="n">
        <v>0</v>
      </c>
      <c r="C1706" s="48" t="n">
        <v>0</v>
      </c>
      <c r="D1706" s="48" t="n">
        <v>0</v>
      </c>
      <c r="E1706" s="48" t="s">
        <v>112</v>
      </c>
      <c r="F1706" s="48" t="s">
        <v>72</v>
      </c>
      <c r="G1706" s="48" t="s">
        <v>598</v>
      </c>
      <c r="H1706" s="82" t="n">
        <f aca="false">DATE(YEAR(A1706),MONTH(A1706),1)</f>
        <v>43952</v>
      </c>
    </row>
    <row r="1707" customFormat="false" ht="15" hidden="false" customHeight="false" outlineLevel="0" collapsed="false">
      <c r="A1707" s="81" t="n">
        <v>43967</v>
      </c>
      <c r="B1707" s="48" t="n">
        <v>0</v>
      </c>
      <c r="C1707" s="48" t="n">
        <v>0</v>
      </c>
      <c r="D1707" s="48" t="n">
        <v>0</v>
      </c>
      <c r="E1707" s="48" t="s">
        <v>112</v>
      </c>
      <c r="F1707" s="48" t="s">
        <v>72</v>
      </c>
      <c r="G1707" s="48" t="s">
        <v>609</v>
      </c>
      <c r="H1707" s="82" t="n">
        <f aca="false">DATE(YEAR(A1707),MONTH(A1707),1)</f>
        <v>43952</v>
      </c>
    </row>
    <row r="1708" customFormat="false" ht="15" hidden="false" customHeight="false" outlineLevel="0" collapsed="false">
      <c r="A1708" s="81" t="n">
        <v>43967</v>
      </c>
      <c r="B1708" s="48" t="n">
        <v>5</v>
      </c>
      <c r="C1708" s="48" t="n">
        <v>0</v>
      </c>
      <c r="D1708" s="48" t="n">
        <v>0</v>
      </c>
      <c r="E1708" s="48" t="s">
        <v>112</v>
      </c>
      <c r="F1708" s="48" t="s">
        <v>72</v>
      </c>
      <c r="G1708" s="48" t="s">
        <v>101</v>
      </c>
      <c r="H1708" s="82" t="n">
        <f aca="false">DATE(YEAR(A1708),MONTH(A1708),1)</f>
        <v>43952</v>
      </c>
    </row>
    <row r="1709" customFormat="false" ht="15" hidden="false" customHeight="false" outlineLevel="0" collapsed="false">
      <c r="A1709" s="81" t="n">
        <v>43967</v>
      </c>
      <c r="B1709" s="48" t="n">
        <v>1</v>
      </c>
      <c r="C1709" s="48" t="n">
        <v>0</v>
      </c>
      <c r="D1709" s="48" t="n">
        <v>0</v>
      </c>
      <c r="E1709" s="48" t="s">
        <v>112</v>
      </c>
      <c r="F1709" s="48" t="s">
        <v>72</v>
      </c>
      <c r="G1709" s="48" t="s">
        <v>643</v>
      </c>
      <c r="H1709" s="82" t="n">
        <f aca="false">DATE(YEAR(A1709),MONTH(A1709),1)</f>
        <v>43952</v>
      </c>
    </row>
    <row r="1710" customFormat="false" ht="15" hidden="false" customHeight="false" outlineLevel="0" collapsed="false">
      <c r="A1710" s="81" t="n">
        <v>43967</v>
      </c>
      <c r="B1710" s="48" t="n">
        <v>0</v>
      </c>
      <c r="C1710" s="48" t="n">
        <v>0</v>
      </c>
      <c r="D1710" s="48" t="n">
        <v>0</v>
      </c>
      <c r="E1710" s="48" t="s">
        <v>112</v>
      </c>
      <c r="F1710" s="48" t="s">
        <v>72</v>
      </c>
      <c r="G1710" s="48" t="s">
        <v>662</v>
      </c>
      <c r="H1710" s="82" t="n">
        <f aca="false">DATE(YEAR(A1710),MONTH(A1710),1)</f>
        <v>43952</v>
      </c>
    </row>
    <row r="1711" customFormat="false" ht="15" hidden="false" customHeight="false" outlineLevel="0" collapsed="false">
      <c r="A1711" s="81" t="n">
        <v>43967</v>
      </c>
      <c r="B1711" s="48" t="n">
        <v>3</v>
      </c>
      <c r="C1711" s="48" t="n">
        <v>1</v>
      </c>
      <c r="D1711" s="48" t="n">
        <v>0</v>
      </c>
      <c r="E1711" s="48" t="s">
        <v>112</v>
      </c>
      <c r="F1711" s="48" t="s">
        <v>72</v>
      </c>
      <c r="G1711" s="48" t="s">
        <v>600</v>
      </c>
      <c r="H1711" s="82" t="n">
        <f aca="false">DATE(YEAR(A1711),MONTH(A1711),1)</f>
        <v>43952</v>
      </c>
    </row>
    <row r="1712" customFormat="false" ht="15" hidden="false" customHeight="false" outlineLevel="0" collapsed="false">
      <c r="A1712" s="81" t="n">
        <v>43967</v>
      </c>
      <c r="B1712" s="48" t="n">
        <v>0</v>
      </c>
      <c r="C1712" s="48" t="n">
        <v>0</v>
      </c>
      <c r="D1712" s="48" t="n">
        <v>0</v>
      </c>
      <c r="E1712" s="48" t="s">
        <v>112</v>
      </c>
      <c r="F1712" s="48" t="s">
        <v>72</v>
      </c>
      <c r="G1712" s="48" t="s">
        <v>610</v>
      </c>
      <c r="H1712" s="82" t="n">
        <f aca="false">DATE(YEAR(A1712),MONTH(A1712),1)</f>
        <v>43952</v>
      </c>
    </row>
    <row r="1713" customFormat="false" ht="15" hidden="false" customHeight="false" outlineLevel="0" collapsed="false">
      <c r="A1713" s="81" t="n">
        <v>43967</v>
      </c>
      <c r="B1713" s="48" t="n">
        <v>5</v>
      </c>
      <c r="C1713" s="48" t="n">
        <v>0</v>
      </c>
      <c r="D1713" s="48" t="n">
        <v>0</v>
      </c>
      <c r="E1713" s="48" t="s">
        <v>112</v>
      </c>
      <c r="F1713" s="48" t="s">
        <v>72</v>
      </c>
      <c r="G1713" s="48" t="s">
        <v>593</v>
      </c>
      <c r="H1713" s="82" t="n">
        <f aca="false">DATE(YEAR(A1713),MONTH(A1713),1)</f>
        <v>43952</v>
      </c>
    </row>
    <row r="1714" customFormat="false" ht="15" hidden="false" customHeight="false" outlineLevel="0" collapsed="false">
      <c r="A1714" s="81" t="n">
        <v>43967</v>
      </c>
      <c r="B1714" s="48" t="n">
        <v>5</v>
      </c>
      <c r="C1714" s="48" t="n">
        <v>0</v>
      </c>
      <c r="D1714" s="48" t="n">
        <v>0</v>
      </c>
      <c r="E1714" s="48" t="s">
        <v>112</v>
      </c>
      <c r="F1714" s="48" t="s">
        <v>72</v>
      </c>
      <c r="G1714" s="48" t="s">
        <v>612</v>
      </c>
      <c r="H1714" s="82" t="n">
        <f aca="false">DATE(YEAR(A1714),MONTH(A1714),1)</f>
        <v>43952</v>
      </c>
    </row>
    <row r="1715" customFormat="false" ht="15" hidden="false" customHeight="false" outlineLevel="0" collapsed="false">
      <c r="A1715" s="81" t="n">
        <v>43967</v>
      </c>
      <c r="B1715" s="48" t="n">
        <v>0</v>
      </c>
      <c r="C1715" s="48" t="n">
        <v>0</v>
      </c>
      <c r="D1715" s="48" t="n">
        <v>0</v>
      </c>
      <c r="E1715" s="48" t="s">
        <v>112</v>
      </c>
      <c r="F1715" s="48" t="s">
        <v>72</v>
      </c>
      <c r="G1715" s="48" t="s">
        <v>685</v>
      </c>
      <c r="H1715" s="82" t="n">
        <f aca="false">DATE(YEAR(A1715),MONTH(A1715),1)</f>
        <v>43952</v>
      </c>
    </row>
    <row r="1716" customFormat="false" ht="15" hidden="false" customHeight="false" outlineLevel="0" collapsed="false">
      <c r="A1716" s="81" t="n">
        <v>43967</v>
      </c>
      <c r="B1716" s="48" t="n">
        <v>0</v>
      </c>
      <c r="C1716" s="48" t="n">
        <v>0</v>
      </c>
      <c r="D1716" s="48" t="n">
        <v>0</v>
      </c>
      <c r="E1716" s="48" t="s">
        <v>112</v>
      </c>
      <c r="F1716" s="48" t="s">
        <v>72</v>
      </c>
      <c r="G1716" s="48" t="s">
        <v>687</v>
      </c>
      <c r="H1716" s="82" t="n">
        <f aca="false">DATE(YEAR(A1716),MONTH(A1716),1)</f>
        <v>43952</v>
      </c>
    </row>
    <row r="1717" customFormat="false" ht="15" hidden="false" customHeight="false" outlineLevel="0" collapsed="false">
      <c r="A1717" s="81" t="n">
        <v>43967</v>
      </c>
      <c r="B1717" s="48" t="n">
        <v>0</v>
      </c>
      <c r="C1717" s="48" t="n">
        <v>0</v>
      </c>
      <c r="D1717" s="48" t="n">
        <v>0</v>
      </c>
      <c r="E1717" s="48" t="s">
        <v>112</v>
      </c>
      <c r="F1717" s="48" t="s">
        <v>72</v>
      </c>
      <c r="G1717" s="48" t="s">
        <v>682</v>
      </c>
      <c r="H1717" s="82" t="n">
        <f aca="false">DATE(YEAR(A1717),MONTH(A1717),1)</f>
        <v>43952</v>
      </c>
    </row>
    <row r="1718" customFormat="false" ht="15" hidden="false" customHeight="false" outlineLevel="0" collapsed="false">
      <c r="A1718" s="81" t="n">
        <v>43967</v>
      </c>
      <c r="B1718" s="48" t="n">
        <v>0</v>
      </c>
      <c r="C1718" s="48" t="n">
        <v>0</v>
      </c>
      <c r="D1718" s="48" t="n">
        <v>0</v>
      </c>
      <c r="E1718" s="48" t="s">
        <v>112</v>
      </c>
      <c r="F1718" s="48" t="s">
        <v>72</v>
      </c>
      <c r="G1718" s="48" t="s">
        <v>692</v>
      </c>
      <c r="H1718" s="82" t="n">
        <f aca="false">DATE(YEAR(A1718),MONTH(A1718),1)</f>
        <v>43952</v>
      </c>
    </row>
    <row r="1719" customFormat="false" ht="15" hidden="false" customHeight="false" outlineLevel="0" collapsed="false">
      <c r="A1719" s="81" t="n">
        <v>43967</v>
      </c>
      <c r="B1719" s="48" t="n">
        <v>3</v>
      </c>
      <c r="C1719" s="48" t="n">
        <v>0</v>
      </c>
      <c r="D1719" s="48" t="n">
        <v>0</v>
      </c>
      <c r="E1719" s="48" t="s">
        <v>112</v>
      </c>
      <c r="F1719" s="48" t="s">
        <v>72</v>
      </c>
      <c r="G1719" s="48" t="s">
        <v>613</v>
      </c>
      <c r="H1719" s="82" t="n">
        <f aca="false">DATE(YEAR(A1719),MONTH(A1719),1)</f>
        <v>43952</v>
      </c>
    </row>
    <row r="1720" customFormat="false" ht="15" hidden="false" customHeight="false" outlineLevel="0" collapsed="false">
      <c r="A1720" s="81" t="n">
        <v>43967</v>
      </c>
      <c r="B1720" s="48" t="n">
        <v>3</v>
      </c>
      <c r="C1720" s="48" t="n">
        <v>1</v>
      </c>
      <c r="D1720" s="48" t="n">
        <v>0</v>
      </c>
      <c r="E1720" s="48" t="s">
        <v>112</v>
      </c>
      <c r="F1720" s="48" t="s">
        <v>72</v>
      </c>
      <c r="G1720" s="48" t="s">
        <v>614</v>
      </c>
      <c r="H1720" s="82" t="n">
        <f aca="false">DATE(YEAR(A1720),MONTH(A1720),1)</f>
        <v>43952</v>
      </c>
    </row>
    <row r="1721" customFormat="false" ht="15" hidden="false" customHeight="false" outlineLevel="0" collapsed="false">
      <c r="A1721" s="81" t="n">
        <v>43967</v>
      </c>
      <c r="B1721" s="48" t="n">
        <v>0</v>
      </c>
      <c r="C1721" s="48" t="n">
        <v>0</v>
      </c>
      <c r="D1721" s="48" t="n">
        <v>0</v>
      </c>
      <c r="E1721" s="48" t="s">
        <v>112</v>
      </c>
      <c r="F1721" s="48" t="s">
        <v>72</v>
      </c>
      <c r="G1721" s="48" t="s">
        <v>655</v>
      </c>
      <c r="H1721" s="82" t="n">
        <f aca="false">DATE(YEAR(A1721),MONTH(A1721),1)</f>
        <v>43952</v>
      </c>
    </row>
    <row r="1722" customFormat="false" ht="15" hidden="false" customHeight="false" outlineLevel="0" collapsed="false">
      <c r="A1722" s="81" t="n">
        <v>43967</v>
      </c>
      <c r="B1722" s="48" t="n">
        <v>0</v>
      </c>
      <c r="C1722" s="48" t="n">
        <v>0</v>
      </c>
      <c r="D1722" s="48" t="n">
        <v>0</v>
      </c>
      <c r="E1722" s="48" t="s">
        <v>112</v>
      </c>
      <c r="F1722" s="48" t="s">
        <v>72</v>
      </c>
      <c r="G1722" s="48" t="s">
        <v>608</v>
      </c>
      <c r="H1722" s="82" t="n">
        <f aca="false">DATE(YEAR(A1722),MONTH(A1722),1)</f>
        <v>43952</v>
      </c>
    </row>
    <row r="1723" customFormat="false" ht="15" hidden="false" customHeight="false" outlineLevel="0" collapsed="false">
      <c r="A1723" s="81" t="n">
        <v>43967</v>
      </c>
      <c r="B1723" s="48" t="n">
        <v>2</v>
      </c>
      <c r="C1723" s="48" t="n">
        <v>0</v>
      </c>
      <c r="D1723" s="48" t="n">
        <v>0</v>
      </c>
      <c r="E1723" s="48" t="s">
        <v>112</v>
      </c>
      <c r="F1723" s="48" t="s">
        <v>72</v>
      </c>
      <c r="G1723" s="48" t="s">
        <v>615</v>
      </c>
      <c r="H1723" s="82" t="n">
        <f aca="false">DATE(YEAR(A1723),MONTH(A1723),1)</f>
        <v>43952</v>
      </c>
    </row>
    <row r="1724" customFormat="false" ht="15" hidden="false" customHeight="false" outlineLevel="0" collapsed="false">
      <c r="A1724" s="81" t="n">
        <v>43967</v>
      </c>
      <c r="B1724" s="48" t="n">
        <v>0</v>
      </c>
      <c r="C1724" s="48" t="n">
        <v>0</v>
      </c>
      <c r="D1724" s="48" t="n">
        <v>0</v>
      </c>
      <c r="E1724" s="48" t="s">
        <v>112</v>
      </c>
      <c r="F1724" s="48" t="s">
        <v>72</v>
      </c>
      <c r="G1724" s="48" t="s">
        <v>666</v>
      </c>
      <c r="H1724" s="82" t="n">
        <f aca="false">DATE(YEAR(A1724),MONTH(A1724),1)</f>
        <v>43952</v>
      </c>
    </row>
    <row r="1725" customFormat="false" ht="15" hidden="false" customHeight="false" outlineLevel="0" collapsed="false">
      <c r="A1725" s="81" t="n">
        <v>43967</v>
      </c>
      <c r="B1725" s="48" t="n">
        <v>0</v>
      </c>
      <c r="C1725" s="48" t="n">
        <v>0</v>
      </c>
      <c r="D1725" s="48" t="n">
        <v>0</v>
      </c>
      <c r="E1725" s="48" t="s">
        <v>112</v>
      </c>
      <c r="F1725" s="48" t="s">
        <v>72</v>
      </c>
      <c r="G1725" s="48" t="s">
        <v>621</v>
      </c>
      <c r="H1725" s="82" t="n">
        <f aca="false">DATE(YEAR(A1725),MONTH(A1725),1)</f>
        <v>43952</v>
      </c>
    </row>
    <row r="1726" customFormat="false" ht="15" hidden="false" customHeight="false" outlineLevel="0" collapsed="false">
      <c r="A1726" s="81" t="n">
        <v>43967</v>
      </c>
      <c r="B1726" s="48" t="n">
        <v>0</v>
      </c>
      <c r="C1726" s="48" t="n">
        <v>0</v>
      </c>
      <c r="D1726" s="48" t="n">
        <v>0</v>
      </c>
      <c r="E1726" s="48" t="s">
        <v>112</v>
      </c>
      <c r="F1726" s="48" t="s">
        <v>72</v>
      </c>
      <c r="G1726" s="48" t="s">
        <v>664</v>
      </c>
      <c r="H1726" s="82" t="n">
        <f aca="false">DATE(YEAR(A1726),MONTH(A1726),1)</f>
        <v>43952</v>
      </c>
    </row>
    <row r="1727" customFormat="false" ht="15" hidden="false" customHeight="false" outlineLevel="0" collapsed="false">
      <c r="A1727" s="81" t="n">
        <v>43967</v>
      </c>
      <c r="B1727" s="48" t="n">
        <v>0</v>
      </c>
      <c r="C1727" s="48" t="n">
        <v>0</v>
      </c>
      <c r="D1727" s="48" t="n">
        <v>0</v>
      </c>
      <c r="E1727" s="48" t="s">
        <v>112</v>
      </c>
      <c r="F1727" s="48" t="s">
        <v>72</v>
      </c>
      <c r="G1727" s="48" t="s">
        <v>667</v>
      </c>
      <c r="H1727" s="82" t="n">
        <f aca="false">DATE(YEAR(A1727),MONTH(A1727),1)</f>
        <v>43952</v>
      </c>
    </row>
    <row r="1728" customFormat="false" ht="15" hidden="false" customHeight="false" outlineLevel="0" collapsed="false">
      <c r="A1728" s="81" t="n">
        <v>43967</v>
      </c>
      <c r="B1728" s="48" t="n">
        <v>1</v>
      </c>
      <c r="C1728" s="48" t="n">
        <v>0</v>
      </c>
      <c r="D1728" s="48" t="n">
        <v>0</v>
      </c>
      <c r="E1728" s="48" t="s">
        <v>112</v>
      </c>
      <c r="F1728" s="48" t="s">
        <v>72</v>
      </c>
      <c r="G1728" s="48" t="s">
        <v>607</v>
      </c>
      <c r="H1728" s="82" t="n">
        <f aca="false">DATE(YEAR(A1728),MONTH(A1728),1)</f>
        <v>43952</v>
      </c>
    </row>
    <row r="1729" customFormat="false" ht="15" hidden="false" customHeight="false" outlineLevel="0" collapsed="false">
      <c r="A1729" s="81" t="n">
        <v>43967</v>
      </c>
      <c r="B1729" s="48" t="n">
        <v>0</v>
      </c>
      <c r="C1729" s="48" t="n">
        <v>0</v>
      </c>
      <c r="D1729" s="48" t="n">
        <v>0</v>
      </c>
      <c r="E1729" s="48" t="s">
        <v>112</v>
      </c>
      <c r="F1729" s="48" t="s">
        <v>72</v>
      </c>
      <c r="G1729" s="48" t="s">
        <v>673</v>
      </c>
      <c r="H1729" s="82" t="n">
        <f aca="false">DATE(YEAR(A1729),MONTH(A1729),1)</f>
        <v>43952</v>
      </c>
    </row>
    <row r="1730" customFormat="false" ht="15" hidden="false" customHeight="false" outlineLevel="0" collapsed="false">
      <c r="A1730" s="81" t="n">
        <v>43967</v>
      </c>
      <c r="B1730" s="48" t="n">
        <v>0</v>
      </c>
      <c r="C1730" s="48" t="n">
        <v>0</v>
      </c>
      <c r="D1730" s="48" t="n">
        <v>0</v>
      </c>
      <c r="E1730" s="48" t="s">
        <v>112</v>
      </c>
      <c r="F1730" s="48" t="s">
        <v>72</v>
      </c>
      <c r="G1730" s="48" t="s">
        <v>676</v>
      </c>
      <c r="H1730" s="82" t="n">
        <f aca="false">DATE(YEAR(A1730),MONTH(A1730),1)</f>
        <v>43952</v>
      </c>
    </row>
    <row r="1731" customFormat="false" ht="15" hidden="false" customHeight="false" outlineLevel="0" collapsed="false">
      <c r="A1731" s="81" t="n">
        <v>43967</v>
      </c>
      <c r="B1731" s="48" t="n">
        <v>383</v>
      </c>
      <c r="C1731" s="48" t="n">
        <v>7</v>
      </c>
      <c r="D1731" s="48" t="n">
        <v>37</v>
      </c>
      <c r="E1731" s="48" t="s">
        <v>112</v>
      </c>
      <c r="F1731" s="48" t="s">
        <v>71</v>
      </c>
      <c r="G1731" s="48" t="s">
        <v>92</v>
      </c>
      <c r="H1731" s="82" t="n">
        <f aca="false">DATE(YEAR(A1731),MONTH(A1731),1)</f>
        <v>43952</v>
      </c>
    </row>
    <row r="1732" customFormat="false" ht="15" hidden="false" customHeight="false" outlineLevel="0" collapsed="false">
      <c r="A1732" s="81" t="n">
        <v>43967</v>
      </c>
      <c r="B1732" s="48" t="n">
        <v>674</v>
      </c>
      <c r="C1732" s="48" t="n">
        <v>13</v>
      </c>
      <c r="D1732" s="48" t="n">
        <v>198</v>
      </c>
      <c r="E1732" s="48" t="s">
        <v>112</v>
      </c>
      <c r="F1732" s="48" t="s">
        <v>70</v>
      </c>
      <c r="G1732" s="48" t="s">
        <v>91</v>
      </c>
      <c r="H1732" s="82" t="n">
        <f aca="false">DATE(YEAR(A1732),MONTH(A1732),1)</f>
        <v>43952</v>
      </c>
    </row>
    <row r="1733" customFormat="false" ht="15" hidden="false" customHeight="false" outlineLevel="0" collapsed="false">
      <c r="A1733" s="81" t="n">
        <v>43968</v>
      </c>
      <c r="B1733" s="48" t="n">
        <v>50</v>
      </c>
      <c r="C1733" s="48" t="n">
        <v>0</v>
      </c>
      <c r="D1733" s="48" t="n">
        <v>0</v>
      </c>
      <c r="E1733" s="48" t="s">
        <v>112</v>
      </c>
      <c r="F1733" s="48" t="s">
        <v>74</v>
      </c>
      <c r="G1733" s="48" t="s">
        <v>95</v>
      </c>
      <c r="H1733" s="82" t="n">
        <f aca="false">DATE(YEAR(A1733),MONTH(A1733),1)</f>
        <v>43952</v>
      </c>
    </row>
    <row r="1734" customFormat="false" ht="15" hidden="false" customHeight="false" outlineLevel="0" collapsed="false">
      <c r="A1734" s="81" t="n">
        <v>43968</v>
      </c>
      <c r="B1734" s="48" t="n">
        <v>67</v>
      </c>
      <c r="C1734" s="48" t="n">
        <v>8</v>
      </c>
      <c r="D1734" s="48" t="n">
        <v>0</v>
      </c>
      <c r="E1734" s="48" t="s">
        <v>112</v>
      </c>
      <c r="F1734" s="48" t="s">
        <v>72</v>
      </c>
      <c r="G1734" s="48" t="s">
        <v>94</v>
      </c>
      <c r="H1734" s="82" t="n">
        <f aca="false">DATE(YEAR(A1734),MONTH(A1734),1)</f>
        <v>43952</v>
      </c>
    </row>
    <row r="1735" customFormat="false" ht="15" hidden="false" customHeight="false" outlineLevel="0" collapsed="false">
      <c r="A1735" s="81" t="n">
        <v>43968</v>
      </c>
      <c r="B1735" s="48" t="n">
        <v>10</v>
      </c>
      <c r="C1735" s="48" t="n">
        <v>0</v>
      </c>
      <c r="D1735" s="48" t="n">
        <v>0</v>
      </c>
      <c r="E1735" s="48" t="s">
        <v>112</v>
      </c>
      <c r="F1735" s="48" t="s">
        <v>72</v>
      </c>
      <c r="G1735" s="48" t="s">
        <v>597</v>
      </c>
      <c r="H1735" s="82" t="n">
        <f aca="false">DATE(YEAR(A1735),MONTH(A1735),1)</f>
        <v>43952</v>
      </c>
    </row>
    <row r="1736" customFormat="false" ht="15" hidden="false" customHeight="false" outlineLevel="0" collapsed="false">
      <c r="A1736" s="81" t="n">
        <v>43968</v>
      </c>
      <c r="B1736" s="48" t="n">
        <v>8</v>
      </c>
      <c r="C1736" s="48" t="n">
        <v>0</v>
      </c>
      <c r="D1736" s="48" t="n">
        <v>0</v>
      </c>
      <c r="E1736" s="48" t="s">
        <v>112</v>
      </c>
      <c r="F1736" s="48" t="s">
        <v>72</v>
      </c>
      <c r="G1736" s="48" t="s">
        <v>594</v>
      </c>
      <c r="H1736" s="82" t="n">
        <f aca="false">DATE(YEAR(A1736),MONTH(A1736),1)</f>
        <v>43952</v>
      </c>
    </row>
    <row r="1737" customFormat="false" ht="15" hidden="false" customHeight="false" outlineLevel="0" collapsed="false">
      <c r="A1737" s="81" t="n">
        <v>43968</v>
      </c>
      <c r="B1737" s="48" t="n">
        <v>4</v>
      </c>
      <c r="C1737" s="48" t="n">
        <v>0</v>
      </c>
      <c r="D1737" s="48" t="n">
        <v>0</v>
      </c>
      <c r="E1737" s="48" t="s">
        <v>112</v>
      </c>
      <c r="F1737" s="48" t="s">
        <v>72</v>
      </c>
      <c r="G1737" s="48" t="s">
        <v>599</v>
      </c>
      <c r="H1737" s="82" t="n">
        <f aca="false">DATE(YEAR(A1737),MONTH(A1737),1)</f>
        <v>43952</v>
      </c>
    </row>
    <row r="1738" customFormat="false" ht="15" hidden="false" customHeight="false" outlineLevel="0" collapsed="false">
      <c r="A1738" s="81" t="n">
        <v>43968</v>
      </c>
      <c r="B1738" s="48" t="n">
        <v>1</v>
      </c>
      <c r="C1738" s="48" t="n">
        <v>0</v>
      </c>
      <c r="D1738" s="48" t="n">
        <v>0</v>
      </c>
      <c r="E1738" s="48" t="s">
        <v>112</v>
      </c>
      <c r="F1738" s="48" t="s">
        <v>72</v>
      </c>
      <c r="G1738" s="48" t="s">
        <v>656</v>
      </c>
      <c r="H1738" s="82" t="n">
        <f aca="false">DATE(YEAR(A1738),MONTH(A1738),1)</f>
        <v>43952</v>
      </c>
    </row>
    <row r="1739" customFormat="false" ht="15" hidden="false" customHeight="false" outlineLevel="0" collapsed="false">
      <c r="A1739" s="81" t="n">
        <v>43968</v>
      </c>
      <c r="B1739" s="48" t="n">
        <v>23</v>
      </c>
      <c r="C1739" s="48" t="n">
        <v>0</v>
      </c>
      <c r="D1739" s="48" t="n">
        <v>0</v>
      </c>
      <c r="E1739" s="48" t="s">
        <v>112</v>
      </c>
      <c r="F1739" s="48" t="s">
        <v>72</v>
      </c>
      <c r="G1739" s="48" t="s">
        <v>102</v>
      </c>
      <c r="H1739" s="82" t="n">
        <f aca="false">DATE(YEAR(A1739),MONTH(A1739),1)</f>
        <v>43952</v>
      </c>
    </row>
    <row r="1740" customFormat="false" ht="15" hidden="false" customHeight="false" outlineLevel="0" collapsed="false">
      <c r="A1740" s="81" t="n">
        <v>43968</v>
      </c>
      <c r="B1740" s="48" t="n">
        <v>3</v>
      </c>
      <c r="C1740" s="48" t="n">
        <v>1</v>
      </c>
      <c r="D1740" s="48" t="n">
        <v>0</v>
      </c>
      <c r="E1740" s="48" t="s">
        <v>112</v>
      </c>
      <c r="F1740" s="48" t="s">
        <v>72</v>
      </c>
      <c r="G1740" s="48" t="s">
        <v>611</v>
      </c>
      <c r="H1740" s="82" t="n">
        <f aca="false">DATE(YEAR(A1740),MONTH(A1740),1)</f>
        <v>43952</v>
      </c>
    </row>
    <row r="1741" customFormat="false" ht="15" hidden="false" customHeight="false" outlineLevel="0" collapsed="false">
      <c r="A1741" s="81" t="n">
        <v>43968</v>
      </c>
      <c r="B1741" s="48" t="n">
        <v>37</v>
      </c>
      <c r="C1741" s="48" t="n">
        <v>2</v>
      </c>
      <c r="D1741" s="48" t="n">
        <v>0</v>
      </c>
      <c r="E1741" s="48" t="s">
        <v>112</v>
      </c>
      <c r="F1741" s="48" t="s">
        <v>72</v>
      </c>
      <c r="G1741" s="48" t="s">
        <v>96</v>
      </c>
      <c r="H1741" s="82" t="n">
        <f aca="false">DATE(YEAR(A1741),MONTH(A1741),1)</f>
        <v>43952</v>
      </c>
    </row>
    <row r="1742" customFormat="false" ht="15" hidden="false" customHeight="false" outlineLevel="0" collapsed="false">
      <c r="A1742" s="81" t="n">
        <v>43968</v>
      </c>
      <c r="B1742" s="48" t="n">
        <v>0</v>
      </c>
      <c r="C1742" s="48" t="n">
        <v>0</v>
      </c>
      <c r="D1742" s="48" t="n">
        <v>0</v>
      </c>
      <c r="E1742" s="48" t="s">
        <v>112</v>
      </c>
      <c r="F1742" s="48" t="s">
        <v>72</v>
      </c>
      <c r="G1742" s="48" t="s">
        <v>603</v>
      </c>
      <c r="H1742" s="82" t="n">
        <f aca="false">DATE(YEAR(A1742),MONTH(A1742),1)</f>
        <v>43952</v>
      </c>
    </row>
    <row r="1743" customFormat="false" ht="15" hidden="false" customHeight="false" outlineLevel="0" collapsed="false">
      <c r="A1743" s="81" t="n">
        <v>43968</v>
      </c>
      <c r="B1743" s="48" t="n">
        <v>1</v>
      </c>
      <c r="C1743" s="48" t="n">
        <v>0</v>
      </c>
      <c r="D1743" s="48" t="n">
        <v>0</v>
      </c>
      <c r="E1743" s="48" t="s">
        <v>112</v>
      </c>
      <c r="F1743" s="48" t="s">
        <v>72</v>
      </c>
      <c r="G1743" s="48" t="s">
        <v>591</v>
      </c>
      <c r="H1743" s="82" t="n">
        <f aca="false">DATE(YEAR(A1743),MONTH(A1743),1)</f>
        <v>43952</v>
      </c>
    </row>
    <row r="1744" customFormat="false" ht="15" hidden="false" customHeight="false" outlineLevel="0" collapsed="false">
      <c r="A1744" s="81" t="n">
        <v>43968</v>
      </c>
      <c r="B1744" s="48" t="n">
        <v>19</v>
      </c>
      <c r="C1744" s="48" t="n">
        <v>0</v>
      </c>
      <c r="D1744" s="48" t="n">
        <v>0</v>
      </c>
      <c r="E1744" s="48" t="s">
        <v>112</v>
      </c>
      <c r="F1744" s="48" t="s">
        <v>72</v>
      </c>
      <c r="G1744" s="48" t="s">
        <v>598</v>
      </c>
      <c r="H1744" s="82" t="n">
        <f aca="false">DATE(YEAR(A1744),MONTH(A1744),1)</f>
        <v>43952</v>
      </c>
    </row>
    <row r="1745" customFormat="false" ht="15" hidden="false" customHeight="false" outlineLevel="0" collapsed="false">
      <c r="A1745" s="81" t="n">
        <v>43968</v>
      </c>
      <c r="B1745" s="48" t="n">
        <v>0</v>
      </c>
      <c r="C1745" s="48" t="n">
        <v>0</v>
      </c>
      <c r="D1745" s="48" t="n">
        <v>0</v>
      </c>
      <c r="E1745" s="48" t="s">
        <v>112</v>
      </c>
      <c r="F1745" s="48" t="s">
        <v>72</v>
      </c>
      <c r="G1745" s="48" t="s">
        <v>609</v>
      </c>
      <c r="H1745" s="82" t="n">
        <f aca="false">DATE(YEAR(A1745),MONTH(A1745),1)</f>
        <v>43952</v>
      </c>
    </row>
    <row r="1746" customFormat="false" ht="15" hidden="false" customHeight="false" outlineLevel="0" collapsed="false">
      <c r="A1746" s="81" t="n">
        <v>43968</v>
      </c>
      <c r="B1746" s="48" t="n">
        <v>9</v>
      </c>
      <c r="C1746" s="48" t="n">
        <v>0</v>
      </c>
      <c r="D1746" s="48" t="n">
        <v>0</v>
      </c>
      <c r="E1746" s="48" t="s">
        <v>112</v>
      </c>
      <c r="F1746" s="48" t="s">
        <v>72</v>
      </c>
      <c r="G1746" s="48" t="s">
        <v>101</v>
      </c>
      <c r="H1746" s="82" t="n">
        <f aca="false">DATE(YEAR(A1746),MONTH(A1746),1)</f>
        <v>43952</v>
      </c>
    </row>
    <row r="1747" customFormat="false" ht="15" hidden="false" customHeight="false" outlineLevel="0" collapsed="false">
      <c r="A1747" s="81" t="n">
        <v>43968</v>
      </c>
      <c r="B1747" s="48" t="n">
        <v>0</v>
      </c>
      <c r="C1747" s="48" t="n">
        <v>0</v>
      </c>
      <c r="D1747" s="48" t="n">
        <v>0</v>
      </c>
      <c r="E1747" s="48" t="s">
        <v>112</v>
      </c>
      <c r="F1747" s="48" t="s">
        <v>72</v>
      </c>
      <c r="G1747" s="48" t="s">
        <v>643</v>
      </c>
      <c r="H1747" s="82" t="n">
        <f aca="false">DATE(YEAR(A1747),MONTH(A1747),1)</f>
        <v>43952</v>
      </c>
    </row>
    <row r="1748" customFormat="false" ht="15" hidden="false" customHeight="false" outlineLevel="0" collapsed="false">
      <c r="A1748" s="81" t="n">
        <v>43968</v>
      </c>
      <c r="B1748" s="48" t="n">
        <v>0</v>
      </c>
      <c r="C1748" s="48" t="n">
        <v>0</v>
      </c>
      <c r="D1748" s="48" t="n">
        <v>0</v>
      </c>
      <c r="E1748" s="48" t="s">
        <v>112</v>
      </c>
      <c r="F1748" s="48" t="s">
        <v>72</v>
      </c>
      <c r="G1748" s="48" t="s">
        <v>662</v>
      </c>
      <c r="H1748" s="82" t="n">
        <f aca="false">DATE(YEAR(A1748),MONTH(A1748),1)</f>
        <v>43952</v>
      </c>
    </row>
    <row r="1749" customFormat="false" ht="15" hidden="false" customHeight="false" outlineLevel="0" collapsed="false">
      <c r="A1749" s="81" t="n">
        <v>43968</v>
      </c>
      <c r="B1749" s="48" t="n">
        <v>12</v>
      </c>
      <c r="C1749" s="48" t="n">
        <v>0</v>
      </c>
      <c r="D1749" s="48" t="n">
        <v>0</v>
      </c>
      <c r="E1749" s="48" t="s">
        <v>112</v>
      </c>
      <c r="F1749" s="48" t="s">
        <v>72</v>
      </c>
      <c r="G1749" s="48" t="s">
        <v>600</v>
      </c>
      <c r="H1749" s="82" t="n">
        <f aca="false">DATE(YEAR(A1749),MONTH(A1749),1)</f>
        <v>43952</v>
      </c>
    </row>
    <row r="1750" customFormat="false" ht="15" hidden="false" customHeight="false" outlineLevel="0" collapsed="false">
      <c r="A1750" s="81" t="n">
        <v>43968</v>
      </c>
      <c r="B1750" s="48" t="n">
        <v>0</v>
      </c>
      <c r="C1750" s="48" t="n">
        <v>0</v>
      </c>
      <c r="D1750" s="48" t="n">
        <v>0</v>
      </c>
      <c r="E1750" s="48" t="s">
        <v>112</v>
      </c>
      <c r="F1750" s="48" t="s">
        <v>72</v>
      </c>
      <c r="G1750" s="48" t="s">
        <v>610</v>
      </c>
      <c r="H1750" s="82" t="n">
        <f aca="false">DATE(YEAR(A1750),MONTH(A1750),1)</f>
        <v>43952</v>
      </c>
    </row>
    <row r="1751" customFormat="false" ht="15" hidden="false" customHeight="false" outlineLevel="0" collapsed="false">
      <c r="A1751" s="81" t="n">
        <v>43968</v>
      </c>
      <c r="B1751" s="48" t="n">
        <v>1</v>
      </c>
      <c r="C1751" s="48" t="n">
        <v>0</v>
      </c>
      <c r="D1751" s="48" t="n">
        <v>0</v>
      </c>
      <c r="E1751" s="48" t="s">
        <v>112</v>
      </c>
      <c r="F1751" s="48" t="s">
        <v>72</v>
      </c>
      <c r="G1751" s="48" t="s">
        <v>593</v>
      </c>
      <c r="H1751" s="82" t="n">
        <f aca="false">DATE(YEAR(A1751),MONTH(A1751),1)</f>
        <v>43952</v>
      </c>
    </row>
    <row r="1752" customFormat="false" ht="15" hidden="false" customHeight="false" outlineLevel="0" collapsed="false">
      <c r="A1752" s="81" t="n">
        <v>43968</v>
      </c>
      <c r="B1752" s="48" t="n">
        <v>1</v>
      </c>
      <c r="C1752" s="48" t="n">
        <v>0</v>
      </c>
      <c r="D1752" s="48" t="n">
        <v>0</v>
      </c>
      <c r="E1752" s="48" t="s">
        <v>112</v>
      </c>
      <c r="F1752" s="48" t="s">
        <v>72</v>
      </c>
      <c r="G1752" s="48" t="s">
        <v>612</v>
      </c>
      <c r="H1752" s="82" t="n">
        <f aca="false">DATE(YEAR(A1752),MONTH(A1752),1)</f>
        <v>43952</v>
      </c>
    </row>
    <row r="1753" customFormat="false" ht="15" hidden="false" customHeight="false" outlineLevel="0" collapsed="false">
      <c r="A1753" s="81" t="n">
        <v>43968</v>
      </c>
      <c r="B1753" s="48" t="n">
        <v>0</v>
      </c>
      <c r="C1753" s="48" t="n">
        <v>0</v>
      </c>
      <c r="D1753" s="48" t="n">
        <v>0</v>
      </c>
      <c r="E1753" s="48" t="s">
        <v>112</v>
      </c>
      <c r="F1753" s="48" t="s">
        <v>72</v>
      </c>
      <c r="G1753" s="48" t="s">
        <v>685</v>
      </c>
      <c r="H1753" s="82" t="n">
        <f aca="false">DATE(YEAR(A1753),MONTH(A1753),1)</f>
        <v>43952</v>
      </c>
    </row>
    <row r="1754" customFormat="false" ht="15" hidden="false" customHeight="false" outlineLevel="0" collapsed="false">
      <c r="A1754" s="81" t="n">
        <v>43968</v>
      </c>
      <c r="B1754" s="48" t="n">
        <v>0</v>
      </c>
      <c r="C1754" s="48" t="n">
        <v>0</v>
      </c>
      <c r="D1754" s="48" t="n">
        <v>0</v>
      </c>
      <c r="E1754" s="48" t="s">
        <v>112</v>
      </c>
      <c r="F1754" s="48" t="s">
        <v>72</v>
      </c>
      <c r="G1754" s="48" t="s">
        <v>687</v>
      </c>
      <c r="H1754" s="82" t="n">
        <f aca="false">DATE(YEAR(A1754),MONTH(A1754),1)</f>
        <v>43952</v>
      </c>
    </row>
    <row r="1755" customFormat="false" ht="15" hidden="false" customHeight="false" outlineLevel="0" collapsed="false">
      <c r="A1755" s="81" t="n">
        <v>43968</v>
      </c>
      <c r="B1755" s="48" t="n">
        <v>0</v>
      </c>
      <c r="C1755" s="48" t="n">
        <v>0</v>
      </c>
      <c r="D1755" s="48" t="n">
        <v>0</v>
      </c>
      <c r="E1755" s="48" t="s">
        <v>112</v>
      </c>
      <c r="F1755" s="48" t="s">
        <v>72</v>
      </c>
      <c r="G1755" s="48" t="s">
        <v>682</v>
      </c>
      <c r="H1755" s="82" t="n">
        <f aca="false">DATE(YEAR(A1755),MONTH(A1755),1)</f>
        <v>43952</v>
      </c>
    </row>
    <row r="1756" customFormat="false" ht="15" hidden="false" customHeight="false" outlineLevel="0" collapsed="false">
      <c r="A1756" s="81" t="n">
        <v>43968</v>
      </c>
      <c r="B1756" s="48" t="n">
        <v>0</v>
      </c>
      <c r="C1756" s="48" t="n">
        <v>0</v>
      </c>
      <c r="D1756" s="48" t="n">
        <v>0</v>
      </c>
      <c r="E1756" s="48" t="s">
        <v>112</v>
      </c>
      <c r="F1756" s="48" t="s">
        <v>72</v>
      </c>
      <c r="G1756" s="48" t="s">
        <v>692</v>
      </c>
      <c r="H1756" s="82" t="n">
        <f aca="false">DATE(YEAR(A1756),MONTH(A1756),1)</f>
        <v>43952</v>
      </c>
    </row>
    <row r="1757" customFormat="false" ht="15" hidden="false" customHeight="false" outlineLevel="0" collapsed="false">
      <c r="A1757" s="81" t="n">
        <v>43968</v>
      </c>
      <c r="B1757" s="48" t="n">
        <v>0</v>
      </c>
      <c r="C1757" s="48" t="n">
        <v>0</v>
      </c>
      <c r="D1757" s="48" t="n">
        <v>0</v>
      </c>
      <c r="E1757" s="48" t="s">
        <v>112</v>
      </c>
      <c r="F1757" s="48" t="s">
        <v>72</v>
      </c>
      <c r="G1757" s="48" t="s">
        <v>613</v>
      </c>
      <c r="H1757" s="82" t="n">
        <f aca="false">DATE(YEAR(A1757),MONTH(A1757),1)</f>
        <v>43952</v>
      </c>
    </row>
    <row r="1758" customFormat="false" ht="15" hidden="false" customHeight="false" outlineLevel="0" collapsed="false">
      <c r="A1758" s="81" t="n">
        <v>43968</v>
      </c>
      <c r="B1758" s="48" t="n">
        <v>2</v>
      </c>
      <c r="C1758" s="48" t="n">
        <v>1</v>
      </c>
      <c r="D1758" s="48" t="n">
        <v>0</v>
      </c>
      <c r="E1758" s="48" t="s">
        <v>112</v>
      </c>
      <c r="F1758" s="48" t="s">
        <v>72</v>
      </c>
      <c r="G1758" s="48" t="s">
        <v>614</v>
      </c>
      <c r="H1758" s="82" t="n">
        <f aca="false">DATE(YEAR(A1758),MONTH(A1758),1)</f>
        <v>43952</v>
      </c>
    </row>
    <row r="1759" customFormat="false" ht="15" hidden="false" customHeight="false" outlineLevel="0" collapsed="false">
      <c r="A1759" s="81" t="n">
        <v>43968</v>
      </c>
      <c r="B1759" s="48" t="n">
        <v>1</v>
      </c>
      <c r="C1759" s="48" t="n">
        <v>0</v>
      </c>
      <c r="D1759" s="48" t="n">
        <v>0</v>
      </c>
      <c r="E1759" s="48" t="s">
        <v>112</v>
      </c>
      <c r="F1759" s="48" t="s">
        <v>72</v>
      </c>
      <c r="G1759" s="48" t="s">
        <v>655</v>
      </c>
      <c r="H1759" s="82" t="n">
        <f aca="false">DATE(YEAR(A1759),MONTH(A1759),1)</f>
        <v>43952</v>
      </c>
    </row>
    <row r="1760" customFormat="false" ht="15" hidden="false" customHeight="false" outlineLevel="0" collapsed="false">
      <c r="A1760" s="81" t="n">
        <v>43968</v>
      </c>
      <c r="B1760" s="48" t="n">
        <v>3</v>
      </c>
      <c r="C1760" s="48" t="n">
        <v>1</v>
      </c>
      <c r="D1760" s="48" t="n">
        <v>0</v>
      </c>
      <c r="E1760" s="48" t="s">
        <v>112</v>
      </c>
      <c r="F1760" s="48" t="s">
        <v>72</v>
      </c>
      <c r="G1760" s="48" t="s">
        <v>608</v>
      </c>
      <c r="H1760" s="82" t="n">
        <f aca="false">DATE(YEAR(A1760),MONTH(A1760),1)</f>
        <v>43952</v>
      </c>
    </row>
    <row r="1761" customFormat="false" ht="15" hidden="false" customHeight="false" outlineLevel="0" collapsed="false">
      <c r="A1761" s="81" t="n">
        <v>43968</v>
      </c>
      <c r="B1761" s="48" t="n">
        <v>0</v>
      </c>
      <c r="C1761" s="48" t="n">
        <v>0</v>
      </c>
      <c r="D1761" s="48" t="n">
        <v>0</v>
      </c>
      <c r="E1761" s="48" t="s">
        <v>112</v>
      </c>
      <c r="F1761" s="48" t="s">
        <v>72</v>
      </c>
      <c r="G1761" s="48" t="s">
        <v>615</v>
      </c>
      <c r="H1761" s="82" t="n">
        <f aca="false">DATE(YEAR(A1761),MONTH(A1761),1)</f>
        <v>43952</v>
      </c>
    </row>
    <row r="1762" customFormat="false" ht="15" hidden="false" customHeight="false" outlineLevel="0" collapsed="false">
      <c r="A1762" s="81" t="n">
        <v>43968</v>
      </c>
      <c r="B1762" s="48" t="n">
        <v>0</v>
      </c>
      <c r="C1762" s="48" t="n">
        <v>0</v>
      </c>
      <c r="D1762" s="48" t="n">
        <v>0</v>
      </c>
      <c r="E1762" s="48" t="s">
        <v>112</v>
      </c>
      <c r="F1762" s="48" t="s">
        <v>72</v>
      </c>
      <c r="G1762" s="48" t="s">
        <v>666</v>
      </c>
      <c r="H1762" s="82" t="n">
        <f aca="false">DATE(YEAR(A1762),MONTH(A1762),1)</f>
        <v>43952</v>
      </c>
    </row>
    <row r="1763" customFormat="false" ht="15" hidden="false" customHeight="false" outlineLevel="0" collapsed="false">
      <c r="A1763" s="81" t="n">
        <v>43968</v>
      </c>
      <c r="B1763" s="48" t="n">
        <v>0</v>
      </c>
      <c r="C1763" s="48" t="n">
        <v>0</v>
      </c>
      <c r="D1763" s="48" t="n">
        <v>0</v>
      </c>
      <c r="E1763" s="48" t="s">
        <v>112</v>
      </c>
      <c r="F1763" s="48" t="s">
        <v>72</v>
      </c>
      <c r="G1763" s="48" t="s">
        <v>621</v>
      </c>
      <c r="H1763" s="82" t="n">
        <f aca="false">DATE(YEAR(A1763),MONTH(A1763),1)</f>
        <v>43952</v>
      </c>
    </row>
    <row r="1764" customFormat="false" ht="15" hidden="false" customHeight="false" outlineLevel="0" collapsed="false">
      <c r="A1764" s="81" t="n">
        <v>43968</v>
      </c>
      <c r="B1764" s="48" t="n">
        <v>0</v>
      </c>
      <c r="C1764" s="48" t="n">
        <v>0</v>
      </c>
      <c r="D1764" s="48" t="n">
        <v>0</v>
      </c>
      <c r="E1764" s="48" t="s">
        <v>112</v>
      </c>
      <c r="F1764" s="48" t="s">
        <v>72</v>
      </c>
      <c r="G1764" s="48" t="s">
        <v>664</v>
      </c>
      <c r="H1764" s="82" t="n">
        <f aca="false">DATE(YEAR(A1764),MONTH(A1764),1)</f>
        <v>43952</v>
      </c>
    </row>
    <row r="1765" customFormat="false" ht="15" hidden="false" customHeight="false" outlineLevel="0" collapsed="false">
      <c r="A1765" s="81" t="n">
        <v>43968</v>
      </c>
      <c r="B1765" s="48" t="n">
        <v>0</v>
      </c>
      <c r="C1765" s="48" t="n">
        <v>0</v>
      </c>
      <c r="D1765" s="48" t="n">
        <v>0</v>
      </c>
      <c r="E1765" s="48" t="s">
        <v>112</v>
      </c>
      <c r="F1765" s="48" t="s">
        <v>72</v>
      </c>
      <c r="G1765" s="48" t="s">
        <v>667</v>
      </c>
      <c r="H1765" s="82" t="n">
        <f aca="false">DATE(YEAR(A1765),MONTH(A1765),1)</f>
        <v>43952</v>
      </c>
    </row>
    <row r="1766" customFormat="false" ht="15" hidden="false" customHeight="false" outlineLevel="0" collapsed="false">
      <c r="A1766" s="81" t="n">
        <v>43968</v>
      </c>
      <c r="B1766" s="48" t="n">
        <v>2</v>
      </c>
      <c r="C1766" s="48" t="n">
        <v>0</v>
      </c>
      <c r="D1766" s="48" t="n">
        <v>0</v>
      </c>
      <c r="E1766" s="48" t="s">
        <v>112</v>
      </c>
      <c r="F1766" s="48" t="s">
        <v>72</v>
      </c>
      <c r="G1766" s="48" t="s">
        <v>607</v>
      </c>
      <c r="H1766" s="82" t="n">
        <f aca="false">DATE(YEAR(A1766),MONTH(A1766),1)</f>
        <v>43952</v>
      </c>
    </row>
    <row r="1767" customFormat="false" ht="15" hidden="false" customHeight="false" outlineLevel="0" collapsed="false">
      <c r="A1767" s="81" t="n">
        <v>43968</v>
      </c>
      <c r="B1767" s="48" t="n">
        <v>0</v>
      </c>
      <c r="C1767" s="48" t="n">
        <v>0</v>
      </c>
      <c r="D1767" s="48" t="n">
        <v>0</v>
      </c>
      <c r="E1767" s="48" t="s">
        <v>112</v>
      </c>
      <c r="F1767" s="48" t="s">
        <v>72</v>
      </c>
      <c r="G1767" s="48" t="s">
        <v>673</v>
      </c>
      <c r="H1767" s="82" t="n">
        <f aca="false">DATE(YEAR(A1767),MONTH(A1767),1)</f>
        <v>43952</v>
      </c>
    </row>
    <row r="1768" customFormat="false" ht="15" hidden="false" customHeight="false" outlineLevel="0" collapsed="false">
      <c r="A1768" s="81" t="n">
        <v>43968</v>
      </c>
      <c r="B1768" s="48" t="n">
        <v>1</v>
      </c>
      <c r="C1768" s="48" t="n">
        <v>0</v>
      </c>
      <c r="D1768" s="48" t="n">
        <v>0</v>
      </c>
      <c r="E1768" s="48" t="s">
        <v>112</v>
      </c>
      <c r="F1768" s="48" t="s">
        <v>72</v>
      </c>
      <c r="G1768" s="48" t="s">
        <v>676</v>
      </c>
      <c r="H1768" s="82" t="n">
        <f aca="false">DATE(YEAR(A1768),MONTH(A1768),1)</f>
        <v>43952</v>
      </c>
    </row>
    <row r="1769" customFormat="false" ht="15" hidden="false" customHeight="false" outlineLevel="0" collapsed="false">
      <c r="A1769" s="81" t="n">
        <v>43968</v>
      </c>
      <c r="B1769" s="48" t="n">
        <v>1</v>
      </c>
      <c r="C1769" s="48" t="n">
        <v>0</v>
      </c>
      <c r="D1769" s="48" t="n">
        <v>0</v>
      </c>
      <c r="E1769" s="48" t="s">
        <v>112</v>
      </c>
      <c r="F1769" s="48" t="s">
        <v>75</v>
      </c>
      <c r="G1769" s="48" t="s">
        <v>650</v>
      </c>
      <c r="H1769" s="82" t="n">
        <f aca="false">DATE(YEAR(A1769),MONTH(A1769),1)</f>
        <v>43952</v>
      </c>
    </row>
    <row r="1770" customFormat="false" ht="15" hidden="false" customHeight="false" outlineLevel="0" collapsed="false">
      <c r="A1770" s="81" t="n">
        <v>43968</v>
      </c>
      <c r="B1770" s="48" t="n">
        <v>1</v>
      </c>
      <c r="C1770" s="48" t="n">
        <v>0</v>
      </c>
      <c r="D1770" s="48" t="n">
        <v>0</v>
      </c>
      <c r="E1770" s="48" t="s">
        <v>112</v>
      </c>
      <c r="F1770" s="48" t="s">
        <v>75</v>
      </c>
      <c r="G1770" s="48" t="s">
        <v>617</v>
      </c>
      <c r="H1770" s="82" t="n">
        <f aca="false">DATE(YEAR(A1770),MONTH(A1770),1)</f>
        <v>43952</v>
      </c>
    </row>
    <row r="1771" customFormat="false" ht="15" hidden="false" customHeight="false" outlineLevel="0" collapsed="false">
      <c r="A1771" s="81" t="n">
        <v>43968</v>
      </c>
      <c r="B1771" s="48" t="n">
        <v>0</v>
      </c>
      <c r="C1771" s="48" t="n">
        <v>0</v>
      </c>
      <c r="D1771" s="48" t="n">
        <v>2</v>
      </c>
      <c r="E1771" s="48" t="s">
        <v>112</v>
      </c>
      <c r="F1771" s="48" t="s">
        <v>75</v>
      </c>
      <c r="G1771" s="48" t="s">
        <v>103</v>
      </c>
      <c r="H1771" s="82" t="n">
        <f aca="false">DATE(YEAR(A1771),MONTH(A1771),1)</f>
        <v>43952</v>
      </c>
    </row>
    <row r="1772" customFormat="false" ht="15" hidden="false" customHeight="false" outlineLevel="0" collapsed="false">
      <c r="A1772" s="81" t="n">
        <v>43968</v>
      </c>
      <c r="B1772" s="48" t="n">
        <v>0</v>
      </c>
      <c r="C1772" s="48" t="n">
        <v>0</v>
      </c>
      <c r="D1772" s="48" t="n">
        <v>7</v>
      </c>
      <c r="E1772" s="48" t="s">
        <v>112</v>
      </c>
      <c r="F1772" s="48" t="s">
        <v>75</v>
      </c>
      <c r="G1772" s="48" t="s">
        <v>629</v>
      </c>
      <c r="H1772" s="82" t="n">
        <f aca="false">DATE(YEAR(A1772),MONTH(A1772),1)</f>
        <v>43952</v>
      </c>
    </row>
    <row r="1773" customFormat="false" ht="15" hidden="false" customHeight="false" outlineLevel="0" collapsed="false">
      <c r="A1773" s="81" t="n">
        <v>43968</v>
      </c>
      <c r="B1773" s="48" t="n">
        <v>2</v>
      </c>
      <c r="C1773" s="48" t="n">
        <v>0</v>
      </c>
      <c r="D1773" s="48" t="n">
        <v>0</v>
      </c>
      <c r="E1773" s="48" t="s">
        <v>112</v>
      </c>
      <c r="F1773" s="48" t="s">
        <v>75</v>
      </c>
      <c r="G1773" s="48" t="s">
        <v>649</v>
      </c>
      <c r="H1773" s="82" t="n">
        <f aca="false">DATE(YEAR(A1773),MONTH(A1773),1)</f>
        <v>43952</v>
      </c>
    </row>
    <row r="1774" customFormat="false" ht="15" hidden="false" customHeight="false" outlineLevel="0" collapsed="false">
      <c r="A1774" s="81" t="n">
        <v>43968</v>
      </c>
      <c r="B1774" s="48" t="n">
        <v>787</v>
      </c>
      <c r="C1774" s="48" t="n">
        <v>9</v>
      </c>
      <c r="D1774" s="48" t="n">
        <v>405</v>
      </c>
      <c r="E1774" s="48" t="s">
        <v>112</v>
      </c>
      <c r="F1774" s="48" t="s">
        <v>70</v>
      </c>
      <c r="G1774" s="48" t="s">
        <v>91</v>
      </c>
      <c r="H1774" s="82" t="n">
        <f aca="false">DATE(YEAR(A1774),MONTH(A1774),1)</f>
        <v>43952</v>
      </c>
    </row>
    <row r="1775" customFormat="false" ht="15" hidden="false" customHeight="false" outlineLevel="0" collapsed="false">
      <c r="A1775" s="81" t="n">
        <v>43968</v>
      </c>
      <c r="B1775" s="48" t="n">
        <v>0</v>
      </c>
      <c r="C1775" s="48" t="n">
        <v>0</v>
      </c>
      <c r="D1775" s="48" t="n">
        <v>0</v>
      </c>
      <c r="E1775" s="48" t="s">
        <v>112</v>
      </c>
      <c r="F1775" s="48" t="s">
        <v>76</v>
      </c>
      <c r="G1775" s="48" t="s">
        <v>595</v>
      </c>
      <c r="H1775" s="82" t="n">
        <f aca="false">DATE(YEAR(A1775),MONTH(A1775),1)</f>
        <v>43952</v>
      </c>
    </row>
    <row r="1776" customFormat="false" ht="15" hidden="false" customHeight="false" outlineLevel="0" collapsed="false">
      <c r="A1776" s="81" t="n">
        <v>43968</v>
      </c>
      <c r="B1776" s="48" t="n">
        <v>148</v>
      </c>
      <c r="C1776" s="48" t="n">
        <v>0</v>
      </c>
      <c r="D1776" s="48" t="n">
        <v>37</v>
      </c>
      <c r="E1776" s="48" t="s">
        <v>112</v>
      </c>
      <c r="F1776" s="48" t="s">
        <v>73</v>
      </c>
      <c r="G1776" s="48" t="s">
        <v>93</v>
      </c>
      <c r="H1776" s="82" t="n">
        <f aca="false">DATE(YEAR(A1776),MONTH(A1776),1)</f>
        <v>43952</v>
      </c>
    </row>
    <row r="1777" customFormat="false" ht="15" hidden="false" customHeight="false" outlineLevel="0" collapsed="false">
      <c r="A1777" s="81" t="n">
        <v>43968</v>
      </c>
      <c r="B1777" s="48" t="n">
        <v>762</v>
      </c>
      <c r="C1777" s="48" t="n">
        <v>8</v>
      </c>
      <c r="D1777" s="48" t="n">
        <v>35</v>
      </c>
      <c r="E1777" s="48" t="s">
        <v>112</v>
      </c>
      <c r="F1777" s="48" t="s">
        <v>71</v>
      </c>
      <c r="G1777" s="48" t="s">
        <v>92</v>
      </c>
      <c r="H1777" s="82" t="n">
        <f aca="false">DATE(YEAR(A1777),MONTH(A1777),1)</f>
        <v>43952</v>
      </c>
    </row>
    <row r="1778" customFormat="false" ht="15" hidden="false" customHeight="false" outlineLevel="0" collapsed="false">
      <c r="A1778" s="81" t="n">
        <v>43969</v>
      </c>
      <c r="B1778" s="48" t="n">
        <v>37</v>
      </c>
      <c r="C1778" s="48" t="n">
        <v>2</v>
      </c>
      <c r="D1778" s="48" t="n">
        <v>0</v>
      </c>
      <c r="E1778" s="48" t="s">
        <v>112</v>
      </c>
      <c r="F1778" s="48" t="s">
        <v>74</v>
      </c>
      <c r="G1778" s="48" t="s">
        <v>95</v>
      </c>
      <c r="H1778" s="82" t="n">
        <f aca="false">DATE(YEAR(A1778),MONTH(A1778),1)</f>
        <v>43952</v>
      </c>
    </row>
    <row r="1779" customFormat="false" ht="15" hidden="false" customHeight="false" outlineLevel="0" collapsed="false">
      <c r="A1779" s="81" t="n">
        <v>43969</v>
      </c>
      <c r="B1779" s="48" t="n">
        <v>1</v>
      </c>
      <c r="C1779" s="48" t="n">
        <v>0</v>
      </c>
      <c r="D1779" s="48" t="n">
        <v>0</v>
      </c>
      <c r="E1779" s="48" t="s">
        <v>112</v>
      </c>
      <c r="F1779" s="48" t="s">
        <v>75</v>
      </c>
      <c r="G1779" s="48" t="s">
        <v>660</v>
      </c>
      <c r="H1779" s="82" t="n">
        <f aca="false">DATE(YEAR(A1779),MONTH(A1779),1)</f>
        <v>43952</v>
      </c>
    </row>
    <row r="1780" customFormat="false" ht="15" hidden="false" customHeight="false" outlineLevel="0" collapsed="false">
      <c r="A1780" s="81" t="n">
        <v>43969</v>
      </c>
      <c r="B1780" s="48" t="n">
        <v>1</v>
      </c>
      <c r="C1780" s="48" t="n">
        <v>0</v>
      </c>
      <c r="D1780" s="48" t="n">
        <v>0</v>
      </c>
      <c r="E1780" s="48" t="s">
        <v>112</v>
      </c>
      <c r="F1780" s="48" t="s">
        <v>75</v>
      </c>
      <c r="G1780" s="48" t="s">
        <v>624</v>
      </c>
      <c r="H1780" s="82" t="n">
        <f aca="false">DATE(YEAR(A1780),MONTH(A1780),1)</f>
        <v>43952</v>
      </c>
    </row>
    <row r="1781" customFormat="false" ht="15" hidden="false" customHeight="false" outlineLevel="0" collapsed="false">
      <c r="A1781" s="81" t="n">
        <v>43969</v>
      </c>
      <c r="B1781" s="48" t="n">
        <v>0</v>
      </c>
      <c r="C1781" s="48" t="n">
        <v>0</v>
      </c>
      <c r="D1781" s="48" t="n">
        <v>2</v>
      </c>
      <c r="E1781" s="48" t="s">
        <v>112</v>
      </c>
      <c r="F1781" s="48" t="s">
        <v>75</v>
      </c>
      <c r="G1781" s="48" t="s">
        <v>646</v>
      </c>
      <c r="H1781" s="82" t="n">
        <f aca="false">DATE(YEAR(A1781),MONTH(A1781),1)</f>
        <v>43952</v>
      </c>
    </row>
    <row r="1782" customFormat="false" ht="15" hidden="false" customHeight="false" outlineLevel="0" collapsed="false">
      <c r="A1782" s="81" t="n">
        <v>43969</v>
      </c>
      <c r="B1782" s="48" t="n">
        <v>7</v>
      </c>
      <c r="C1782" s="48" t="n">
        <v>0</v>
      </c>
      <c r="D1782" s="48" t="n">
        <v>0</v>
      </c>
      <c r="E1782" s="48" t="s">
        <v>112</v>
      </c>
      <c r="F1782" s="48" t="s">
        <v>75</v>
      </c>
      <c r="G1782" s="48" t="s">
        <v>103</v>
      </c>
      <c r="H1782" s="82" t="n">
        <f aca="false">DATE(YEAR(A1782),MONTH(A1782),1)</f>
        <v>43952</v>
      </c>
    </row>
    <row r="1783" customFormat="false" ht="15" hidden="false" customHeight="false" outlineLevel="0" collapsed="false">
      <c r="A1783" s="81" t="n">
        <v>43969</v>
      </c>
      <c r="B1783" s="48" t="n">
        <v>1</v>
      </c>
      <c r="C1783" s="48" t="n">
        <v>0</v>
      </c>
      <c r="D1783" s="48" t="n">
        <v>0</v>
      </c>
      <c r="E1783" s="48" t="s">
        <v>112</v>
      </c>
      <c r="F1783" s="48" t="s">
        <v>75</v>
      </c>
      <c r="G1783" s="48" t="s">
        <v>617</v>
      </c>
      <c r="H1783" s="82" t="n">
        <f aca="false">DATE(YEAR(A1783),MONTH(A1783),1)</f>
        <v>43952</v>
      </c>
    </row>
    <row r="1784" customFormat="false" ht="15" hidden="false" customHeight="false" outlineLevel="0" collapsed="false">
      <c r="A1784" s="81" t="n">
        <v>43969</v>
      </c>
      <c r="B1784" s="48" t="n">
        <v>14</v>
      </c>
      <c r="C1784" s="48" t="n">
        <v>12</v>
      </c>
      <c r="D1784" s="48" t="n">
        <v>3</v>
      </c>
      <c r="E1784" s="48" t="s">
        <v>112</v>
      </c>
      <c r="F1784" s="48" t="s">
        <v>72</v>
      </c>
      <c r="G1784" s="48" t="s">
        <v>94</v>
      </c>
      <c r="H1784" s="82" t="n">
        <f aca="false">DATE(YEAR(A1784),MONTH(A1784),1)</f>
        <v>43952</v>
      </c>
    </row>
    <row r="1785" customFormat="false" ht="15" hidden="false" customHeight="false" outlineLevel="0" collapsed="false">
      <c r="A1785" s="81" t="n">
        <v>43969</v>
      </c>
      <c r="B1785" s="48" t="n">
        <v>8</v>
      </c>
      <c r="C1785" s="48" t="n">
        <v>0</v>
      </c>
      <c r="D1785" s="48" t="n">
        <v>1</v>
      </c>
      <c r="E1785" s="48" t="s">
        <v>112</v>
      </c>
      <c r="F1785" s="48" t="s">
        <v>72</v>
      </c>
      <c r="G1785" s="48" t="s">
        <v>597</v>
      </c>
      <c r="H1785" s="82" t="n">
        <f aca="false">DATE(YEAR(A1785),MONTH(A1785),1)</f>
        <v>43952</v>
      </c>
    </row>
    <row r="1786" customFormat="false" ht="15" hidden="false" customHeight="false" outlineLevel="0" collapsed="false">
      <c r="A1786" s="81" t="n">
        <v>43969</v>
      </c>
      <c r="B1786" s="48" t="n">
        <v>3</v>
      </c>
      <c r="C1786" s="48" t="n">
        <v>0</v>
      </c>
      <c r="D1786" s="48" t="n">
        <v>0</v>
      </c>
      <c r="E1786" s="48" t="s">
        <v>112</v>
      </c>
      <c r="F1786" s="48" t="s">
        <v>72</v>
      </c>
      <c r="G1786" s="48" t="s">
        <v>594</v>
      </c>
      <c r="H1786" s="82" t="n">
        <f aca="false">DATE(YEAR(A1786),MONTH(A1786),1)</f>
        <v>43952</v>
      </c>
    </row>
    <row r="1787" customFormat="false" ht="15" hidden="false" customHeight="false" outlineLevel="0" collapsed="false">
      <c r="A1787" s="81" t="n">
        <v>43969</v>
      </c>
      <c r="B1787" s="48" t="n">
        <v>0</v>
      </c>
      <c r="C1787" s="48" t="n">
        <v>0</v>
      </c>
      <c r="D1787" s="48" t="n">
        <v>0</v>
      </c>
      <c r="E1787" s="48" t="s">
        <v>112</v>
      </c>
      <c r="F1787" s="48" t="s">
        <v>72</v>
      </c>
      <c r="G1787" s="48" t="s">
        <v>599</v>
      </c>
      <c r="H1787" s="82" t="n">
        <f aca="false">DATE(YEAR(A1787),MONTH(A1787),1)</f>
        <v>43952</v>
      </c>
    </row>
    <row r="1788" customFormat="false" ht="15" hidden="false" customHeight="false" outlineLevel="0" collapsed="false">
      <c r="A1788" s="81" t="n">
        <v>43969</v>
      </c>
      <c r="B1788" s="48" t="n">
        <v>0</v>
      </c>
      <c r="C1788" s="48" t="n">
        <v>0</v>
      </c>
      <c r="D1788" s="48" t="n">
        <v>2</v>
      </c>
      <c r="E1788" s="48" t="s">
        <v>112</v>
      </c>
      <c r="F1788" s="48" t="s">
        <v>72</v>
      </c>
      <c r="G1788" s="48" t="s">
        <v>656</v>
      </c>
      <c r="H1788" s="82" t="n">
        <f aca="false">DATE(YEAR(A1788),MONTH(A1788),1)</f>
        <v>43952</v>
      </c>
    </row>
    <row r="1789" customFormat="false" ht="15" hidden="false" customHeight="false" outlineLevel="0" collapsed="false">
      <c r="A1789" s="81" t="n">
        <v>43969</v>
      </c>
      <c r="B1789" s="48" t="n">
        <v>0</v>
      </c>
      <c r="C1789" s="48" t="n">
        <v>0</v>
      </c>
      <c r="D1789" s="48" t="n">
        <v>17</v>
      </c>
      <c r="E1789" s="48" t="s">
        <v>112</v>
      </c>
      <c r="F1789" s="48" t="s">
        <v>72</v>
      </c>
      <c r="G1789" s="48" t="s">
        <v>102</v>
      </c>
      <c r="H1789" s="82" t="n">
        <f aca="false">DATE(YEAR(A1789),MONTH(A1789),1)</f>
        <v>43952</v>
      </c>
    </row>
    <row r="1790" customFormat="false" ht="15" hidden="false" customHeight="false" outlineLevel="0" collapsed="false">
      <c r="A1790" s="81" t="n">
        <v>43969</v>
      </c>
      <c r="B1790" s="48" t="n">
        <v>9</v>
      </c>
      <c r="C1790" s="48" t="n">
        <v>1</v>
      </c>
      <c r="D1790" s="48" t="n">
        <v>3</v>
      </c>
      <c r="E1790" s="48" t="s">
        <v>112</v>
      </c>
      <c r="F1790" s="48" t="s">
        <v>72</v>
      </c>
      <c r="G1790" s="48" t="s">
        <v>611</v>
      </c>
      <c r="H1790" s="82" t="n">
        <f aca="false">DATE(YEAR(A1790),MONTH(A1790),1)</f>
        <v>43952</v>
      </c>
    </row>
    <row r="1791" customFormat="false" ht="15" hidden="false" customHeight="false" outlineLevel="0" collapsed="false">
      <c r="A1791" s="81" t="n">
        <v>43969</v>
      </c>
      <c r="B1791" s="48" t="n">
        <v>31</v>
      </c>
      <c r="C1791" s="48" t="n">
        <v>1</v>
      </c>
      <c r="D1791" s="48" t="n">
        <v>9</v>
      </c>
      <c r="E1791" s="48" t="s">
        <v>112</v>
      </c>
      <c r="F1791" s="48" t="s">
        <v>72</v>
      </c>
      <c r="G1791" s="48" t="s">
        <v>96</v>
      </c>
      <c r="H1791" s="82" t="n">
        <f aca="false">DATE(YEAR(A1791),MONTH(A1791),1)</f>
        <v>43952</v>
      </c>
    </row>
    <row r="1792" customFormat="false" ht="15" hidden="false" customHeight="false" outlineLevel="0" collapsed="false">
      <c r="A1792" s="81" t="n">
        <v>43969</v>
      </c>
      <c r="B1792" s="48" t="n">
        <v>5</v>
      </c>
      <c r="C1792" s="48" t="n">
        <v>1</v>
      </c>
      <c r="D1792" s="48" t="n">
        <v>1</v>
      </c>
      <c r="E1792" s="48" t="s">
        <v>112</v>
      </c>
      <c r="F1792" s="48" t="s">
        <v>72</v>
      </c>
      <c r="G1792" s="48" t="s">
        <v>603</v>
      </c>
      <c r="H1792" s="82" t="n">
        <f aca="false">DATE(YEAR(A1792),MONTH(A1792),1)</f>
        <v>43952</v>
      </c>
    </row>
    <row r="1793" customFormat="false" ht="15" hidden="false" customHeight="false" outlineLevel="0" collapsed="false">
      <c r="A1793" s="81" t="n">
        <v>43969</v>
      </c>
      <c r="B1793" s="48" t="n">
        <v>25</v>
      </c>
      <c r="C1793" s="48" t="n">
        <v>0</v>
      </c>
      <c r="D1793" s="48" t="n">
        <v>43</v>
      </c>
      <c r="E1793" s="48" t="s">
        <v>112</v>
      </c>
      <c r="F1793" s="48" t="s">
        <v>72</v>
      </c>
      <c r="G1793" s="48" t="s">
        <v>591</v>
      </c>
      <c r="H1793" s="82" t="n">
        <f aca="false">DATE(YEAR(A1793),MONTH(A1793),1)</f>
        <v>43952</v>
      </c>
    </row>
    <row r="1794" customFormat="false" ht="15" hidden="false" customHeight="false" outlineLevel="0" collapsed="false">
      <c r="A1794" s="81" t="n">
        <v>43969</v>
      </c>
      <c r="B1794" s="48" t="n">
        <v>1</v>
      </c>
      <c r="C1794" s="48" t="n">
        <v>0</v>
      </c>
      <c r="D1794" s="48" t="n">
        <v>0</v>
      </c>
      <c r="E1794" s="48" t="s">
        <v>112</v>
      </c>
      <c r="F1794" s="48" t="s">
        <v>72</v>
      </c>
      <c r="G1794" s="48" t="s">
        <v>598</v>
      </c>
      <c r="H1794" s="82" t="n">
        <f aca="false">DATE(YEAR(A1794),MONTH(A1794),1)</f>
        <v>43952</v>
      </c>
    </row>
    <row r="1795" customFormat="false" ht="15" hidden="false" customHeight="false" outlineLevel="0" collapsed="false">
      <c r="A1795" s="81" t="n">
        <v>43969</v>
      </c>
      <c r="B1795" s="48" t="n">
        <v>0</v>
      </c>
      <c r="C1795" s="48" t="n">
        <v>0</v>
      </c>
      <c r="D1795" s="48" t="n">
        <v>0</v>
      </c>
      <c r="E1795" s="48" t="s">
        <v>112</v>
      </c>
      <c r="F1795" s="48" t="s">
        <v>72</v>
      </c>
      <c r="G1795" s="48" t="s">
        <v>609</v>
      </c>
      <c r="H1795" s="82" t="n">
        <f aca="false">DATE(YEAR(A1795),MONTH(A1795),1)</f>
        <v>43952</v>
      </c>
    </row>
    <row r="1796" customFormat="false" ht="15" hidden="false" customHeight="false" outlineLevel="0" collapsed="false">
      <c r="A1796" s="81" t="n">
        <v>43969</v>
      </c>
      <c r="B1796" s="48" t="n">
        <v>13</v>
      </c>
      <c r="C1796" s="48" t="n">
        <v>0</v>
      </c>
      <c r="D1796" s="48" t="n">
        <v>12</v>
      </c>
      <c r="E1796" s="48" t="s">
        <v>112</v>
      </c>
      <c r="F1796" s="48" t="s">
        <v>72</v>
      </c>
      <c r="G1796" s="48" t="s">
        <v>101</v>
      </c>
      <c r="H1796" s="82" t="n">
        <f aca="false">DATE(YEAR(A1796),MONTH(A1796),1)</f>
        <v>43952</v>
      </c>
    </row>
    <row r="1797" customFormat="false" ht="15" hidden="false" customHeight="false" outlineLevel="0" collapsed="false">
      <c r="A1797" s="81" t="n">
        <v>43969</v>
      </c>
      <c r="B1797" s="48" t="n">
        <v>0</v>
      </c>
      <c r="C1797" s="48" t="n">
        <v>0</v>
      </c>
      <c r="D1797" s="48" t="n">
        <v>2</v>
      </c>
      <c r="E1797" s="48" t="s">
        <v>112</v>
      </c>
      <c r="F1797" s="48" t="s">
        <v>72</v>
      </c>
      <c r="G1797" s="48" t="s">
        <v>643</v>
      </c>
      <c r="H1797" s="82" t="n">
        <f aca="false">DATE(YEAR(A1797),MONTH(A1797),1)</f>
        <v>43952</v>
      </c>
    </row>
    <row r="1798" customFormat="false" ht="15" hidden="false" customHeight="false" outlineLevel="0" collapsed="false">
      <c r="A1798" s="81" t="n">
        <v>43969</v>
      </c>
      <c r="B1798" s="48" t="n">
        <v>0</v>
      </c>
      <c r="C1798" s="48" t="n">
        <v>0</v>
      </c>
      <c r="D1798" s="48" t="n">
        <v>0</v>
      </c>
      <c r="E1798" s="48" t="s">
        <v>112</v>
      </c>
      <c r="F1798" s="48" t="s">
        <v>72</v>
      </c>
      <c r="G1798" s="48" t="s">
        <v>662</v>
      </c>
      <c r="H1798" s="82" t="n">
        <f aca="false">DATE(YEAR(A1798),MONTH(A1798),1)</f>
        <v>43952</v>
      </c>
    </row>
    <row r="1799" customFormat="false" ht="15" hidden="false" customHeight="false" outlineLevel="0" collapsed="false">
      <c r="A1799" s="81" t="n">
        <v>43969</v>
      </c>
      <c r="B1799" s="48" t="n">
        <v>3</v>
      </c>
      <c r="C1799" s="48" t="n">
        <v>0</v>
      </c>
      <c r="D1799" s="48" t="n">
        <v>0</v>
      </c>
      <c r="E1799" s="48" t="s">
        <v>112</v>
      </c>
      <c r="F1799" s="48" t="s">
        <v>72</v>
      </c>
      <c r="G1799" s="48" t="s">
        <v>600</v>
      </c>
      <c r="H1799" s="82" t="n">
        <f aca="false">DATE(YEAR(A1799),MONTH(A1799),1)</f>
        <v>43952</v>
      </c>
    </row>
    <row r="1800" customFormat="false" ht="15" hidden="false" customHeight="false" outlineLevel="0" collapsed="false">
      <c r="A1800" s="81" t="n">
        <v>43969</v>
      </c>
      <c r="B1800" s="48" t="n">
        <v>0</v>
      </c>
      <c r="C1800" s="48" t="n">
        <v>0</v>
      </c>
      <c r="D1800" s="48" t="n">
        <v>9</v>
      </c>
      <c r="E1800" s="48" t="s">
        <v>112</v>
      </c>
      <c r="F1800" s="48" t="s">
        <v>72</v>
      </c>
      <c r="G1800" s="48" t="s">
        <v>610</v>
      </c>
      <c r="H1800" s="82" t="n">
        <f aca="false">DATE(YEAR(A1800),MONTH(A1800),1)</f>
        <v>43952</v>
      </c>
    </row>
    <row r="1801" customFormat="false" ht="15" hidden="false" customHeight="false" outlineLevel="0" collapsed="false">
      <c r="A1801" s="81" t="n">
        <v>43969</v>
      </c>
      <c r="B1801" s="48" t="n">
        <v>5</v>
      </c>
      <c r="C1801" s="48" t="n">
        <v>0</v>
      </c>
      <c r="D1801" s="48" t="n">
        <v>5</v>
      </c>
      <c r="E1801" s="48" t="s">
        <v>112</v>
      </c>
      <c r="F1801" s="48" t="s">
        <v>72</v>
      </c>
      <c r="G1801" s="48" t="s">
        <v>593</v>
      </c>
      <c r="H1801" s="82" t="n">
        <f aca="false">DATE(YEAR(A1801),MONTH(A1801),1)</f>
        <v>43952</v>
      </c>
    </row>
    <row r="1802" customFormat="false" ht="15" hidden="false" customHeight="false" outlineLevel="0" collapsed="false">
      <c r="A1802" s="81" t="n">
        <v>43969</v>
      </c>
      <c r="B1802" s="48" t="n">
        <v>3</v>
      </c>
      <c r="C1802" s="48" t="n">
        <v>0</v>
      </c>
      <c r="D1802" s="48" t="n">
        <v>6</v>
      </c>
      <c r="E1802" s="48" t="s">
        <v>112</v>
      </c>
      <c r="F1802" s="48" t="s">
        <v>72</v>
      </c>
      <c r="G1802" s="48" t="s">
        <v>612</v>
      </c>
      <c r="H1802" s="82" t="n">
        <f aca="false">DATE(YEAR(A1802),MONTH(A1802),1)</f>
        <v>43952</v>
      </c>
    </row>
    <row r="1803" customFormat="false" ht="15" hidden="false" customHeight="false" outlineLevel="0" collapsed="false">
      <c r="A1803" s="81" t="n">
        <v>43969</v>
      </c>
      <c r="B1803" s="48" t="n">
        <v>0</v>
      </c>
      <c r="C1803" s="48" t="n">
        <v>0</v>
      </c>
      <c r="D1803" s="48" t="n">
        <v>0</v>
      </c>
      <c r="E1803" s="48" t="s">
        <v>112</v>
      </c>
      <c r="F1803" s="48" t="s">
        <v>72</v>
      </c>
      <c r="G1803" s="48" t="s">
        <v>685</v>
      </c>
      <c r="H1803" s="82" t="n">
        <f aca="false">DATE(YEAR(A1803),MONTH(A1803),1)</f>
        <v>43952</v>
      </c>
    </row>
    <row r="1804" customFormat="false" ht="15" hidden="false" customHeight="false" outlineLevel="0" collapsed="false">
      <c r="A1804" s="81" t="n">
        <v>43969</v>
      </c>
      <c r="B1804" s="48" t="n">
        <v>0</v>
      </c>
      <c r="C1804" s="48" t="n">
        <v>0</v>
      </c>
      <c r="D1804" s="48" t="n">
        <v>0</v>
      </c>
      <c r="E1804" s="48" t="s">
        <v>112</v>
      </c>
      <c r="F1804" s="48" t="s">
        <v>72</v>
      </c>
      <c r="G1804" s="48" t="s">
        <v>687</v>
      </c>
      <c r="H1804" s="82" t="n">
        <f aca="false">DATE(YEAR(A1804),MONTH(A1804),1)</f>
        <v>43952</v>
      </c>
    </row>
    <row r="1805" customFormat="false" ht="15" hidden="false" customHeight="false" outlineLevel="0" collapsed="false">
      <c r="A1805" s="81" t="n">
        <v>43969</v>
      </c>
      <c r="B1805" s="48" t="n">
        <v>0</v>
      </c>
      <c r="C1805" s="48" t="n">
        <v>0</v>
      </c>
      <c r="D1805" s="48" t="n">
        <v>0</v>
      </c>
      <c r="E1805" s="48" t="s">
        <v>112</v>
      </c>
      <c r="F1805" s="48" t="s">
        <v>72</v>
      </c>
      <c r="G1805" s="48" t="s">
        <v>682</v>
      </c>
      <c r="H1805" s="82" t="n">
        <f aca="false">DATE(YEAR(A1805),MONTH(A1805),1)</f>
        <v>43952</v>
      </c>
    </row>
    <row r="1806" customFormat="false" ht="15" hidden="false" customHeight="false" outlineLevel="0" collapsed="false">
      <c r="A1806" s="81" t="n">
        <v>43969</v>
      </c>
      <c r="B1806" s="48" t="n">
        <v>0</v>
      </c>
      <c r="C1806" s="48" t="n">
        <v>0</v>
      </c>
      <c r="D1806" s="48" t="n">
        <v>0</v>
      </c>
      <c r="E1806" s="48" t="s">
        <v>112</v>
      </c>
      <c r="F1806" s="48" t="s">
        <v>72</v>
      </c>
      <c r="G1806" s="48" t="s">
        <v>692</v>
      </c>
      <c r="H1806" s="82" t="n">
        <f aca="false">DATE(YEAR(A1806),MONTH(A1806),1)</f>
        <v>43952</v>
      </c>
    </row>
    <row r="1807" customFormat="false" ht="15" hidden="false" customHeight="false" outlineLevel="0" collapsed="false">
      <c r="A1807" s="81" t="n">
        <v>43969</v>
      </c>
      <c r="B1807" s="48" t="n">
        <v>2</v>
      </c>
      <c r="C1807" s="48" t="n">
        <v>0</v>
      </c>
      <c r="D1807" s="48" t="n">
        <v>12</v>
      </c>
      <c r="E1807" s="48" t="s">
        <v>112</v>
      </c>
      <c r="F1807" s="48" t="s">
        <v>72</v>
      </c>
      <c r="G1807" s="48" t="s">
        <v>613</v>
      </c>
      <c r="H1807" s="82" t="n">
        <f aca="false">DATE(YEAR(A1807),MONTH(A1807),1)</f>
        <v>43952</v>
      </c>
    </row>
    <row r="1808" customFormat="false" ht="15" hidden="false" customHeight="false" outlineLevel="0" collapsed="false">
      <c r="A1808" s="81" t="n">
        <v>43969</v>
      </c>
      <c r="B1808" s="48" t="n">
        <v>2</v>
      </c>
      <c r="C1808" s="48" t="n">
        <v>0</v>
      </c>
      <c r="D1808" s="48" t="n">
        <v>3</v>
      </c>
      <c r="E1808" s="48" t="s">
        <v>112</v>
      </c>
      <c r="F1808" s="48" t="s">
        <v>72</v>
      </c>
      <c r="G1808" s="48" t="s">
        <v>614</v>
      </c>
      <c r="H1808" s="82" t="n">
        <f aca="false">DATE(YEAR(A1808),MONTH(A1808),1)</f>
        <v>43952</v>
      </c>
    </row>
    <row r="1809" customFormat="false" ht="15" hidden="false" customHeight="false" outlineLevel="0" collapsed="false">
      <c r="A1809" s="81" t="n">
        <v>43969</v>
      </c>
      <c r="B1809" s="48" t="n">
        <v>0</v>
      </c>
      <c r="C1809" s="48" t="n">
        <v>0</v>
      </c>
      <c r="D1809" s="48" t="n">
        <v>2</v>
      </c>
      <c r="E1809" s="48" t="s">
        <v>112</v>
      </c>
      <c r="F1809" s="48" t="s">
        <v>72</v>
      </c>
      <c r="G1809" s="48" t="s">
        <v>655</v>
      </c>
      <c r="H1809" s="82" t="n">
        <f aca="false">DATE(YEAR(A1809),MONTH(A1809),1)</f>
        <v>43952</v>
      </c>
    </row>
    <row r="1810" customFormat="false" ht="15" hidden="false" customHeight="false" outlineLevel="0" collapsed="false">
      <c r="A1810" s="81" t="n">
        <v>43969</v>
      </c>
      <c r="B1810" s="48" t="n">
        <v>0</v>
      </c>
      <c r="C1810" s="48" t="n">
        <v>0</v>
      </c>
      <c r="D1810" s="48" t="n">
        <v>1</v>
      </c>
      <c r="E1810" s="48" t="s">
        <v>112</v>
      </c>
      <c r="F1810" s="48" t="s">
        <v>72</v>
      </c>
      <c r="G1810" s="48" t="s">
        <v>608</v>
      </c>
      <c r="H1810" s="82" t="n">
        <f aca="false">DATE(YEAR(A1810),MONTH(A1810),1)</f>
        <v>43952</v>
      </c>
    </row>
    <row r="1811" customFormat="false" ht="15" hidden="false" customHeight="false" outlineLevel="0" collapsed="false">
      <c r="A1811" s="81" t="n">
        <v>43969</v>
      </c>
      <c r="B1811" s="48" t="n">
        <v>0</v>
      </c>
      <c r="C1811" s="48" t="n">
        <v>0</v>
      </c>
      <c r="D1811" s="48" t="n">
        <v>0</v>
      </c>
      <c r="E1811" s="48" t="s">
        <v>112</v>
      </c>
      <c r="F1811" s="48" t="s">
        <v>72</v>
      </c>
      <c r="G1811" s="48" t="s">
        <v>615</v>
      </c>
      <c r="H1811" s="82" t="n">
        <f aca="false">DATE(YEAR(A1811),MONTH(A1811),1)</f>
        <v>43952</v>
      </c>
    </row>
    <row r="1812" customFormat="false" ht="15" hidden="false" customHeight="false" outlineLevel="0" collapsed="false">
      <c r="A1812" s="81" t="n">
        <v>43969</v>
      </c>
      <c r="B1812" s="48" t="n">
        <v>0</v>
      </c>
      <c r="C1812" s="48" t="n">
        <v>0</v>
      </c>
      <c r="D1812" s="48" t="n">
        <v>1</v>
      </c>
      <c r="E1812" s="48" t="s">
        <v>112</v>
      </c>
      <c r="F1812" s="48" t="s">
        <v>72</v>
      </c>
      <c r="G1812" s="48" t="s">
        <v>666</v>
      </c>
      <c r="H1812" s="82" t="n">
        <f aca="false">DATE(YEAR(A1812),MONTH(A1812),1)</f>
        <v>43952</v>
      </c>
    </row>
    <row r="1813" customFormat="false" ht="15" hidden="false" customHeight="false" outlineLevel="0" collapsed="false">
      <c r="A1813" s="81" t="n">
        <v>43969</v>
      </c>
      <c r="B1813" s="48" t="n">
        <v>0</v>
      </c>
      <c r="C1813" s="48" t="n">
        <v>0</v>
      </c>
      <c r="D1813" s="48" t="n">
        <v>1</v>
      </c>
      <c r="E1813" s="48" t="s">
        <v>112</v>
      </c>
      <c r="F1813" s="48" t="s">
        <v>72</v>
      </c>
      <c r="G1813" s="48" t="s">
        <v>621</v>
      </c>
      <c r="H1813" s="82" t="n">
        <f aca="false">DATE(YEAR(A1813),MONTH(A1813),1)</f>
        <v>43952</v>
      </c>
    </row>
    <row r="1814" customFormat="false" ht="15" hidden="false" customHeight="false" outlineLevel="0" collapsed="false">
      <c r="A1814" s="81" t="n">
        <v>43969</v>
      </c>
      <c r="B1814" s="48" t="n">
        <v>0</v>
      </c>
      <c r="C1814" s="48" t="n">
        <v>0</v>
      </c>
      <c r="D1814" s="48" t="n">
        <v>0</v>
      </c>
      <c r="E1814" s="48" t="s">
        <v>112</v>
      </c>
      <c r="F1814" s="48" t="s">
        <v>72</v>
      </c>
      <c r="G1814" s="48" t="s">
        <v>664</v>
      </c>
      <c r="H1814" s="82" t="n">
        <f aca="false">DATE(YEAR(A1814),MONTH(A1814),1)</f>
        <v>43952</v>
      </c>
    </row>
    <row r="1815" customFormat="false" ht="15" hidden="false" customHeight="false" outlineLevel="0" collapsed="false">
      <c r="A1815" s="81" t="n">
        <v>43969</v>
      </c>
      <c r="B1815" s="48" t="n">
        <v>0</v>
      </c>
      <c r="C1815" s="48" t="n">
        <v>0</v>
      </c>
      <c r="D1815" s="48" t="n">
        <v>0</v>
      </c>
      <c r="E1815" s="48" t="s">
        <v>112</v>
      </c>
      <c r="F1815" s="48" t="s">
        <v>72</v>
      </c>
      <c r="G1815" s="48" t="s">
        <v>667</v>
      </c>
      <c r="H1815" s="82" t="n">
        <f aca="false">DATE(YEAR(A1815),MONTH(A1815),1)</f>
        <v>43952</v>
      </c>
    </row>
    <row r="1816" customFormat="false" ht="15" hidden="false" customHeight="false" outlineLevel="0" collapsed="false">
      <c r="A1816" s="81" t="n">
        <v>43969</v>
      </c>
      <c r="B1816" s="48" t="n">
        <v>4</v>
      </c>
      <c r="C1816" s="48" t="n">
        <v>1</v>
      </c>
      <c r="D1816" s="48" t="n">
        <v>9</v>
      </c>
      <c r="E1816" s="48" t="s">
        <v>112</v>
      </c>
      <c r="F1816" s="48" t="s">
        <v>72</v>
      </c>
      <c r="G1816" s="48" t="s">
        <v>607</v>
      </c>
      <c r="H1816" s="82" t="n">
        <f aca="false">DATE(YEAR(A1816),MONTH(A1816),1)</f>
        <v>43952</v>
      </c>
    </row>
    <row r="1817" customFormat="false" ht="15" hidden="false" customHeight="false" outlineLevel="0" collapsed="false">
      <c r="A1817" s="81" t="n">
        <v>43969</v>
      </c>
      <c r="B1817" s="48" t="n">
        <v>0</v>
      </c>
      <c r="C1817" s="48" t="n">
        <v>0</v>
      </c>
      <c r="D1817" s="48" t="n">
        <v>0</v>
      </c>
      <c r="E1817" s="48" t="s">
        <v>112</v>
      </c>
      <c r="F1817" s="48" t="s">
        <v>72</v>
      </c>
      <c r="G1817" s="48" t="s">
        <v>673</v>
      </c>
      <c r="H1817" s="82" t="n">
        <f aca="false">DATE(YEAR(A1817),MONTH(A1817),1)</f>
        <v>43952</v>
      </c>
    </row>
    <row r="1818" customFormat="false" ht="15" hidden="false" customHeight="false" outlineLevel="0" collapsed="false">
      <c r="A1818" s="81" t="n">
        <v>43969</v>
      </c>
      <c r="B1818" s="48" t="n">
        <v>0</v>
      </c>
      <c r="C1818" s="48" t="n">
        <v>0</v>
      </c>
      <c r="D1818" s="48" t="n">
        <v>0</v>
      </c>
      <c r="E1818" s="48" t="s">
        <v>112</v>
      </c>
      <c r="F1818" s="48" t="s">
        <v>72</v>
      </c>
      <c r="G1818" s="48" t="s">
        <v>676</v>
      </c>
      <c r="H1818" s="82" t="n">
        <f aca="false">DATE(YEAR(A1818),MONTH(A1818),1)</f>
        <v>43952</v>
      </c>
    </row>
    <row r="1819" customFormat="false" ht="15" hidden="false" customHeight="false" outlineLevel="0" collapsed="false">
      <c r="A1819" s="81" t="n">
        <v>43969</v>
      </c>
      <c r="B1819" s="48" t="n">
        <v>733</v>
      </c>
      <c r="C1819" s="48" t="n">
        <v>8</v>
      </c>
      <c r="D1819" s="48" t="n">
        <v>511</v>
      </c>
      <c r="E1819" s="48" t="s">
        <v>112</v>
      </c>
      <c r="F1819" s="48" t="s">
        <v>70</v>
      </c>
      <c r="G1819" s="48" t="s">
        <v>91</v>
      </c>
      <c r="H1819" s="82" t="n">
        <f aca="false">DATE(YEAR(A1819),MONTH(A1819),1)</f>
        <v>43952</v>
      </c>
    </row>
    <row r="1820" customFormat="false" ht="15" hidden="false" customHeight="false" outlineLevel="0" collapsed="false">
      <c r="A1820" s="81" t="n">
        <v>43969</v>
      </c>
      <c r="B1820" s="48" t="n">
        <v>30</v>
      </c>
      <c r="C1820" s="48" t="n">
        <v>2</v>
      </c>
      <c r="D1820" s="48" t="n">
        <v>3</v>
      </c>
      <c r="E1820" s="48" t="s">
        <v>112</v>
      </c>
      <c r="F1820" s="48" t="s">
        <v>70</v>
      </c>
      <c r="G1820" s="48" t="s">
        <v>99</v>
      </c>
      <c r="H1820" s="82" t="n">
        <f aca="false">DATE(YEAR(A1820),MONTH(A1820),1)</f>
        <v>43952</v>
      </c>
    </row>
    <row r="1821" customFormat="false" ht="15" hidden="false" customHeight="false" outlineLevel="0" collapsed="false">
      <c r="A1821" s="81" t="n">
        <v>43969</v>
      </c>
      <c r="B1821" s="48" t="n">
        <v>0</v>
      </c>
      <c r="C1821" s="48" t="n">
        <v>0</v>
      </c>
      <c r="D1821" s="48" t="n">
        <v>0</v>
      </c>
      <c r="E1821" s="48" t="s">
        <v>112</v>
      </c>
      <c r="F1821" s="48" t="s">
        <v>70</v>
      </c>
      <c r="G1821" s="48" t="s">
        <v>619</v>
      </c>
      <c r="H1821" s="82" t="n">
        <f aca="false">DATE(YEAR(A1821),MONTH(A1821),1)</f>
        <v>43952</v>
      </c>
    </row>
    <row r="1822" customFormat="false" ht="15" hidden="false" customHeight="false" outlineLevel="0" collapsed="false">
      <c r="A1822" s="81" t="n">
        <v>43969</v>
      </c>
      <c r="B1822" s="48" t="n">
        <v>1</v>
      </c>
      <c r="C1822" s="48" t="n">
        <v>0</v>
      </c>
      <c r="D1822" s="48" t="n">
        <v>0</v>
      </c>
      <c r="E1822" s="48" t="s">
        <v>112</v>
      </c>
      <c r="F1822" s="48" t="s">
        <v>70</v>
      </c>
      <c r="G1822" s="48" t="s">
        <v>633</v>
      </c>
      <c r="H1822" s="82" t="n">
        <f aca="false">DATE(YEAR(A1822),MONTH(A1822),1)</f>
        <v>43952</v>
      </c>
    </row>
    <row r="1823" customFormat="false" ht="15" hidden="false" customHeight="false" outlineLevel="0" collapsed="false">
      <c r="A1823" s="81" t="n">
        <v>43969</v>
      </c>
      <c r="B1823" s="48" t="n">
        <v>1</v>
      </c>
      <c r="C1823" s="48" t="n">
        <v>0</v>
      </c>
      <c r="D1823" s="48" t="n">
        <v>0</v>
      </c>
      <c r="E1823" s="48" t="s">
        <v>112</v>
      </c>
      <c r="F1823" s="48" t="s">
        <v>70</v>
      </c>
      <c r="G1823" s="48" t="s">
        <v>605</v>
      </c>
      <c r="H1823" s="82" t="n">
        <f aca="false">DATE(YEAR(A1823),MONTH(A1823),1)</f>
        <v>43952</v>
      </c>
    </row>
    <row r="1824" customFormat="false" ht="15" hidden="false" customHeight="false" outlineLevel="0" collapsed="false">
      <c r="A1824" s="81" t="n">
        <v>43969</v>
      </c>
      <c r="B1824" s="48" t="n">
        <v>2</v>
      </c>
      <c r="C1824" s="48" t="n">
        <v>0</v>
      </c>
      <c r="D1824" s="48" t="n">
        <v>0</v>
      </c>
      <c r="E1824" s="48" t="s">
        <v>112</v>
      </c>
      <c r="F1824" s="48" t="s">
        <v>70</v>
      </c>
      <c r="G1824" s="48" t="s">
        <v>641</v>
      </c>
      <c r="H1824" s="82" t="n">
        <f aca="false">DATE(YEAR(A1824),MONTH(A1824),1)</f>
        <v>43952</v>
      </c>
    </row>
    <row r="1825" customFormat="false" ht="15" hidden="false" customHeight="false" outlineLevel="0" collapsed="false">
      <c r="A1825" s="81" t="n">
        <v>43969</v>
      </c>
      <c r="B1825" s="48" t="n">
        <v>0</v>
      </c>
      <c r="C1825" s="48" t="n">
        <v>0</v>
      </c>
      <c r="D1825" s="48" t="n">
        <v>0</v>
      </c>
      <c r="E1825" s="48" t="s">
        <v>112</v>
      </c>
      <c r="F1825" s="48" t="s">
        <v>70</v>
      </c>
      <c r="G1825" s="48" t="s">
        <v>644</v>
      </c>
      <c r="H1825" s="82" t="n">
        <f aca="false">DATE(YEAR(A1825),MONTH(A1825),1)</f>
        <v>43952</v>
      </c>
    </row>
    <row r="1826" customFormat="false" ht="15" hidden="false" customHeight="false" outlineLevel="0" collapsed="false">
      <c r="A1826" s="81" t="n">
        <v>43969</v>
      </c>
      <c r="B1826" s="48" t="n">
        <v>5</v>
      </c>
      <c r="C1826" s="48" t="n">
        <v>0</v>
      </c>
      <c r="D1826" s="48" t="n">
        <v>3</v>
      </c>
      <c r="E1826" s="48" t="s">
        <v>112</v>
      </c>
      <c r="F1826" s="48" t="s">
        <v>70</v>
      </c>
      <c r="G1826" s="48" t="s">
        <v>637</v>
      </c>
      <c r="H1826" s="82" t="n">
        <f aca="false">DATE(YEAR(A1826),MONTH(A1826),1)</f>
        <v>43952</v>
      </c>
    </row>
    <row r="1827" customFormat="false" ht="15" hidden="false" customHeight="false" outlineLevel="0" collapsed="false">
      <c r="A1827" s="81" t="n">
        <v>43969</v>
      </c>
      <c r="B1827" s="48" t="n">
        <v>0</v>
      </c>
      <c r="C1827" s="48" t="n">
        <v>0</v>
      </c>
      <c r="D1827" s="48" t="n">
        <v>7</v>
      </c>
      <c r="E1827" s="48" t="s">
        <v>112</v>
      </c>
      <c r="F1827" s="48" t="s">
        <v>70</v>
      </c>
      <c r="G1827" s="48" t="s">
        <v>630</v>
      </c>
      <c r="H1827" s="82" t="n">
        <f aca="false">DATE(YEAR(A1827),MONTH(A1827),1)</f>
        <v>43952</v>
      </c>
    </row>
    <row r="1828" customFormat="false" ht="15" hidden="false" customHeight="false" outlineLevel="0" collapsed="false">
      <c r="A1828" s="81" t="n">
        <v>43969</v>
      </c>
      <c r="B1828" s="48" t="n">
        <v>0</v>
      </c>
      <c r="C1828" s="48" t="n">
        <v>0</v>
      </c>
      <c r="D1828" s="48" t="n">
        <v>2</v>
      </c>
      <c r="E1828" s="48" t="s">
        <v>112</v>
      </c>
      <c r="F1828" s="48" t="s">
        <v>70</v>
      </c>
      <c r="G1828" s="48" t="s">
        <v>642</v>
      </c>
      <c r="H1828" s="82" t="n">
        <f aca="false">DATE(YEAR(A1828),MONTH(A1828),1)</f>
        <v>43952</v>
      </c>
    </row>
    <row r="1829" customFormat="false" ht="15" hidden="false" customHeight="false" outlineLevel="0" collapsed="false">
      <c r="A1829" s="81" t="n">
        <v>43969</v>
      </c>
      <c r="B1829" s="48" t="n">
        <v>0</v>
      </c>
      <c r="C1829" s="48" t="n">
        <v>0</v>
      </c>
      <c r="D1829" s="48" t="n">
        <v>0</v>
      </c>
      <c r="E1829" s="48" t="s">
        <v>112</v>
      </c>
      <c r="F1829" s="48" t="s">
        <v>70</v>
      </c>
      <c r="G1829" s="48" t="s">
        <v>671</v>
      </c>
      <c r="H1829" s="82" t="n">
        <f aca="false">DATE(YEAR(A1829),MONTH(A1829),1)</f>
        <v>43952</v>
      </c>
    </row>
    <row r="1830" customFormat="false" ht="15" hidden="false" customHeight="false" outlineLevel="0" collapsed="false">
      <c r="A1830" s="81" t="n">
        <v>43969</v>
      </c>
      <c r="B1830" s="48" t="n">
        <v>31</v>
      </c>
      <c r="C1830" s="48" t="n">
        <v>0</v>
      </c>
      <c r="D1830" s="48" t="n">
        <v>3</v>
      </c>
      <c r="E1830" s="48" t="s">
        <v>112</v>
      </c>
      <c r="F1830" s="48" t="s">
        <v>70</v>
      </c>
      <c r="G1830" s="48" t="s">
        <v>105</v>
      </c>
      <c r="H1830" s="82" t="n">
        <f aca="false">DATE(YEAR(A1830),MONTH(A1830),1)</f>
        <v>43952</v>
      </c>
    </row>
    <row r="1831" customFormat="false" ht="15" hidden="false" customHeight="false" outlineLevel="0" collapsed="false">
      <c r="A1831" s="81" t="n">
        <v>43969</v>
      </c>
      <c r="B1831" s="48" t="n">
        <v>17</v>
      </c>
      <c r="C1831" s="48" t="n">
        <v>1</v>
      </c>
      <c r="D1831" s="48" t="n">
        <v>28</v>
      </c>
      <c r="E1831" s="48" t="s">
        <v>112</v>
      </c>
      <c r="F1831" s="48" t="s">
        <v>70</v>
      </c>
      <c r="G1831" s="48" t="s">
        <v>98</v>
      </c>
      <c r="H1831" s="82" t="n">
        <f aca="false">DATE(YEAR(A1831),MONTH(A1831),1)</f>
        <v>43952</v>
      </c>
    </row>
    <row r="1832" customFormat="false" ht="15" hidden="false" customHeight="false" outlineLevel="0" collapsed="false">
      <c r="A1832" s="81" t="n">
        <v>43969</v>
      </c>
      <c r="B1832" s="48" t="n">
        <v>1</v>
      </c>
      <c r="C1832" s="48" t="n">
        <v>0</v>
      </c>
      <c r="D1832" s="48" t="n">
        <v>19</v>
      </c>
      <c r="E1832" s="48" t="s">
        <v>112</v>
      </c>
      <c r="F1832" s="48" t="s">
        <v>70</v>
      </c>
      <c r="G1832" s="48" t="s">
        <v>592</v>
      </c>
      <c r="H1832" s="82" t="n">
        <f aca="false">DATE(YEAR(A1832),MONTH(A1832),1)</f>
        <v>43952</v>
      </c>
    </row>
    <row r="1833" customFormat="false" ht="15" hidden="false" customHeight="false" outlineLevel="0" collapsed="false">
      <c r="A1833" s="81" t="n">
        <v>43969</v>
      </c>
      <c r="B1833" s="48" t="n">
        <v>21</v>
      </c>
      <c r="C1833" s="48" t="n">
        <v>0</v>
      </c>
      <c r="D1833" s="48" t="n">
        <v>34</v>
      </c>
      <c r="E1833" s="48" t="s">
        <v>112</v>
      </c>
      <c r="F1833" s="48" t="s">
        <v>70</v>
      </c>
      <c r="G1833" s="48" t="s">
        <v>104</v>
      </c>
      <c r="H1833" s="82" t="n">
        <f aca="false">DATE(YEAR(A1833),MONTH(A1833),1)</f>
        <v>43952</v>
      </c>
    </row>
    <row r="1834" customFormat="false" ht="15" hidden="false" customHeight="false" outlineLevel="0" collapsed="false">
      <c r="A1834" s="81" t="n">
        <v>43969</v>
      </c>
      <c r="B1834" s="48" t="n">
        <v>0</v>
      </c>
      <c r="C1834" s="48" t="n">
        <v>0</v>
      </c>
      <c r="D1834" s="48" t="n">
        <v>0</v>
      </c>
      <c r="E1834" s="48" t="s">
        <v>112</v>
      </c>
      <c r="F1834" s="48" t="s">
        <v>70</v>
      </c>
      <c r="G1834" s="48" t="s">
        <v>635</v>
      </c>
      <c r="H1834" s="82" t="n">
        <f aca="false">DATE(YEAR(A1834),MONTH(A1834),1)</f>
        <v>43952</v>
      </c>
    </row>
    <row r="1835" customFormat="false" ht="15" hidden="false" customHeight="false" outlineLevel="0" collapsed="false">
      <c r="A1835" s="81" t="n">
        <v>43969</v>
      </c>
      <c r="B1835" s="48" t="n">
        <v>7</v>
      </c>
      <c r="C1835" s="48" t="n">
        <v>0</v>
      </c>
      <c r="D1835" s="48" t="n">
        <v>1</v>
      </c>
      <c r="E1835" s="48" t="s">
        <v>112</v>
      </c>
      <c r="F1835" s="48" t="s">
        <v>70</v>
      </c>
      <c r="G1835" s="48" t="s">
        <v>616</v>
      </c>
      <c r="H1835" s="82" t="n">
        <f aca="false">DATE(YEAR(A1835),MONTH(A1835),1)</f>
        <v>43952</v>
      </c>
    </row>
    <row r="1836" customFormat="false" ht="15" hidden="false" customHeight="false" outlineLevel="0" collapsed="false">
      <c r="A1836" s="81" t="n">
        <v>43969</v>
      </c>
      <c r="B1836" s="48" t="n">
        <v>2</v>
      </c>
      <c r="C1836" s="48" t="n">
        <v>1</v>
      </c>
      <c r="D1836" s="48" t="n">
        <v>6</v>
      </c>
      <c r="E1836" s="48" t="s">
        <v>112</v>
      </c>
      <c r="F1836" s="48" t="s">
        <v>70</v>
      </c>
      <c r="G1836" s="48" t="s">
        <v>663</v>
      </c>
      <c r="H1836" s="82" t="n">
        <f aca="false">DATE(YEAR(A1836),MONTH(A1836),1)</f>
        <v>43952</v>
      </c>
    </row>
    <row r="1837" customFormat="false" ht="15" hidden="false" customHeight="false" outlineLevel="0" collapsed="false">
      <c r="A1837" s="81" t="n">
        <v>43969</v>
      </c>
      <c r="B1837" s="48" t="n">
        <v>5</v>
      </c>
      <c r="C1837" s="48" t="n">
        <v>0</v>
      </c>
      <c r="D1837" s="48" t="n">
        <v>1</v>
      </c>
      <c r="E1837" s="48" t="s">
        <v>112</v>
      </c>
      <c r="F1837" s="48" t="s">
        <v>70</v>
      </c>
      <c r="G1837" s="48" t="s">
        <v>640</v>
      </c>
      <c r="H1837" s="82" t="n">
        <f aca="false">DATE(YEAR(A1837),MONTH(A1837),1)</f>
        <v>43952</v>
      </c>
    </row>
    <row r="1838" customFormat="false" ht="15" hidden="false" customHeight="false" outlineLevel="0" collapsed="false">
      <c r="A1838" s="81" t="n">
        <v>43969</v>
      </c>
      <c r="B1838" s="48" t="n">
        <v>0</v>
      </c>
      <c r="C1838" s="48" t="n">
        <v>1</v>
      </c>
      <c r="D1838" s="48" t="n">
        <v>1</v>
      </c>
      <c r="E1838" s="48" t="s">
        <v>112</v>
      </c>
      <c r="F1838" s="48" t="s">
        <v>70</v>
      </c>
      <c r="G1838" s="48" t="s">
        <v>639</v>
      </c>
      <c r="H1838" s="82" t="n">
        <f aca="false">DATE(YEAR(A1838),MONTH(A1838),1)</f>
        <v>43952</v>
      </c>
    </row>
    <row r="1839" customFormat="false" ht="15" hidden="false" customHeight="false" outlineLevel="0" collapsed="false">
      <c r="A1839" s="81" t="n">
        <v>43969</v>
      </c>
      <c r="B1839" s="48" t="n">
        <v>0</v>
      </c>
      <c r="C1839" s="48" t="n">
        <v>0</v>
      </c>
      <c r="D1839" s="48" t="n">
        <v>0</v>
      </c>
      <c r="E1839" s="48" t="s">
        <v>112</v>
      </c>
      <c r="F1839" s="48" t="s">
        <v>70</v>
      </c>
      <c r="G1839" s="48" t="s">
        <v>670</v>
      </c>
      <c r="H1839" s="82" t="n">
        <f aca="false">DATE(YEAR(A1839),MONTH(A1839),1)</f>
        <v>43952</v>
      </c>
    </row>
    <row r="1840" customFormat="false" ht="15" hidden="false" customHeight="false" outlineLevel="0" collapsed="false">
      <c r="A1840" s="81" t="n">
        <v>43969</v>
      </c>
      <c r="B1840" s="48" t="n">
        <v>0</v>
      </c>
      <c r="C1840" s="48" t="n">
        <v>0</v>
      </c>
      <c r="D1840" s="48" t="n">
        <v>0</v>
      </c>
      <c r="E1840" s="48" t="s">
        <v>112</v>
      </c>
      <c r="F1840" s="48" t="s">
        <v>70</v>
      </c>
      <c r="G1840" s="48" t="s">
        <v>679</v>
      </c>
      <c r="H1840" s="82" t="n">
        <f aca="false">DATE(YEAR(A1840),MONTH(A1840),1)</f>
        <v>43952</v>
      </c>
    </row>
    <row r="1841" customFormat="false" ht="15" hidden="false" customHeight="false" outlineLevel="0" collapsed="false">
      <c r="A1841" s="81" t="n">
        <v>43969</v>
      </c>
      <c r="B1841" s="48" t="n">
        <v>7</v>
      </c>
      <c r="C1841" s="48" t="n">
        <v>0</v>
      </c>
      <c r="D1841" s="48" t="n">
        <v>40</v>
      </c>
      <c r="E1841" s="48" t="s">
        <v>112</v>
      </c>
      <c r="F1841" s="48" t="s">
        <v>70</v>
      </c>
      <c r="G1841" s="48" t="s">
        <v>601</v>
      </c>
      <c r="H1841" s="82" t="n">
        <f aca="false">DATE(YEAR(A1841),MONTH(A1841),1)</f>
        <v>43952</v>
      </c>
    </row>
    <row r="1842" customFormat="false" ht="15" hidden="false" customHeight="false" outlineLevel="0" collapsed="false">
      <c r="A1842" s="81" t="n">
        <v>43969</v>
      </c>
      <c r="B1842" s="48" t="n">
        <v>1</v>
      </c>
      <c r="C1842" s="48" t="n">
        <v>0</v>
      </c>
      <c r="D1842" s="48" t="n">
        <v>2</v>
      </c>
      <c r="E1842" s="48" t="s">
        <v>112</v>
      </c>
      <c r="F1842" s="48" t="s">
        <v>70</v>
      </c>
      <c r="G1842" s="48" t="s">
        <v>623</v>
      </c>
      <c r="H1842" s="82" t="n">
        <f aca="false">DATE(YEAR(A1842),MONTH(A1842),1)</f>
        <v>43952</v>
      </c>
    </row>
    <row r="1843" customFormat="false" ht="15" hidden="false" customHeight="false" outlineLevel="0" collapsed="false">
      <c r="A1843" s="81" t="n">
        <v>43969</v>
      </c>
      <c r="B1843" s="48" t="n">
        <v>0</v>
      </c>
      <c r="C1843" s="48" t="n">
        <v>0</v>
      </c>
      <c r="D1843" s="48" t="n">
        <v>23</v>
      </c>
      <c r="E1843" s="48" t="s">
        <v>112</v>
      </c>
      <c r="F1843" s="48" t="s">
        <v>70</v>
      </c>
      <c r="G1843" s="48" t="s">
        <v>636</v>
      </c>
      <c r="H1843" s="82" t="n">
        <f aca="false">DATE(YEAR(A1843),MONTH(A1843),1)</f>
        <v>43952</v>
      </c>
    </row>
    <row r="1844" customFormat="false" ht="15" hidden="false" customHeight="false" outlineLevel="0" collapsed="false">
      <c r="A1844" s="81" t="n">
        <v>43969</v>
      </c>
      <c r="B1844" s="48" t="n">
        <v>3</v>
      </c>
      <c r="C1844" s="48" t="n">
        <v>0</v>
      </c>
      <c r="D1844" s="48" t="n">
        <v>0</v>
      </c>
      <c r="E1844" s="48" t="s">
        <v>112</v>
      </c>
      <c r="F1844" s="48" t="s">
        <v>76</v>
      </c>
      <c r="G1844" s="48" t="s">
        <v>595</v>
      </c>
      <c r="H1844" s="82" t="n">
        <f aca="false">DATE(YEAR(A1844),MONTH(A1844),1)</f>
        <v>43952</v>
      </c>
    </row>
    <row r="1845" customFormat="false" ht="15" hidden="false" customHeight="false" outlineLevel="0" collapsed="false">
      <c r="A1845" s="81" t="n">
        <v>43969</v>
      </c>
      <c r="B1845" s="48" t="n">
        <v>128</v>
      </c>
      <c r="C1845" s="48" t="n">
        <v>2</v>
      </c>
      <c r="D1845" s="48" t="n">
        <v>70</v>
      </c>
      <c r="E1845" s="48" t="s">
        <v>112</v>
      </c>
      <c r="F1845" s="48" t="s">
        <v>73</v>
      </c>
      <c r="G1845" s="48" t="s">
        <v>93</v>
      </c>
      <c r="H1845" s="82" t="n">
        <f aca="false">DATE(YEAR(A1845),MONTH(A1845),1)</f>
        <v>43952</v>
      </c>
    </row>
    <row r="1846" customFormat="false" ht="15" hidden="false" customHeight="false" outlineLevel="0" collapsed="false">
      <c r="A1846" s="81" t="n">
        <v>43969</v>
      </c>
      <c r="B1846" s="48" t="n">
        <v>630</v>
      </c>
      <c r="C1846" s="48" t="n">
        <v>13</v>
      </c>
      <c r="D1846" s="48" t="n">
        <v>56</v>
      </c>
      <c r="E1846" s="48" t="s">
        <v>112</v>
      </c>
      <c r="F1846" s="48" t="s">
        <v>71</v>
      </c>
      <c r="G1846" s="48" t="s">
        <v>92</v>
      </c>
      <c r="H1846" s="82" t="n">
        <f aca="false">DATE(YEAR(A1846),MONTH(A1846),1)</f>
        <v>43952</v>
      </c>
    </row>
    <row r="1847" customFormat="false" ht="15" hidden="false" customHeight="false" outlineLevel="0" collapsed="false">
      <c r="A1847" s="81" t="n">
        <v>43970</v>
      </c>
      <c r="B1847" s="48" t="n">
        <v>104</v>
      </c>
      <c r="C1847" s="48" t="n">
        <v>0</v>
      </c>
      <c r="D1847" s="48" t="n">
        <v>38</v>
      </c>
      <c r="E1847" s="48" t="s">
        <v>112</v>
      </c>
      <c r="F1847" s="48" t="s">
        <v>74</v>
      </c>
      <c r="G1847" s="48" t="s">
        <v>95</v>
      </c>
      <c r="H1847" s="82" t="n">
        <f aca="false">DATE(YEAR(A1847),MONTH(A1847),1)</f>
        <v>43952</v>
      </c>
    </row>
    <row r="1848" customFormat="false" ht="15" hidden="false" customHeight="false" outlineLevel="0" collapsed="false">
      <c r="A1848" s="81" t="n">
        <v>43970</v>
      </c>
      <c r="B1848" s="48" t="n">
        <v>0</v>
      </c>
      <c r="C1848" s="48" t="n">
        <v>0</v>
      </c>
      <c r="D1848" s="48" t="n">
        <v>12</v>
      </c>
      <c r="E1848" s="48" t="s">
        <v>112</v>
      </c>
      <c r="F1848" s="48" t="s">
        <v>75</v>
      </c>
      <c r="G1848" s="48" t="s">
        <v>629</v>
      </c>
      <c r="H1848" s="82" t="n">
        <f aca="false">DATE(YEAR(A1848),MONTH(A1848),1)</f>
        <v>43952</v>
      </c>
    </row>
    <row r="1849" customFormat="false" ht="15" hidden="false" customHeight="false" outlineLevel="0" collapsed="false">
      <c r="A1849" s="81" t="n">
        <v>43970</v>
      </c>
      <c r="B1849" s="48" t="n">
        <v>1</v>
      </c>
      <c r="C1849" s="48" t="n">
        <v>0</v>
      </c>
      <c r="D1849" s="48" t="n">
        <v>0</v>
      </c>
      <c r="E1849" s="48" t="s">
        <v>112</v>
      </c>
      <c r="F1849" s="48" t="s">
        <v>75</v>
      </c>
      <c r="G1849" s="48" t="s">
        <v>658</v>
      </c>
      <c r="H1849" s="82" t="n">
        <f aca="false">DATE(YEAR(A1849),MONTH(A1849),1)</f>
        <v>43952</v>
      </c>
    </row>
    <row r="1850" customFormat="false" ht="15" hidden="false" customHeight="false" outlineLevel="0" collapsed="false">
      <c r="A1850" s="81" t="n">
        <v>43970</v>
      </c>
      <c r="B1850" s="48" t="n">
        <v>0</v>
      </c>
      <c r="C1850" s="48" t="n">
        <v>0</v>
      </c>
      <c r="D1850" s="48" t="n">
        <v>4</v>
      </c>
      <c r="E1850" s="48" t="s">
        <v>112</v>
      </c>
      <c r="F1850" s="48" t="s">
        <v>75</v>
      </c>
      <c r="G1850" s="48" t="s">
        <v>103</v>
      </c>
      <c r="H1850" s="82" t="n">
        <f aca="false">DATE(YEAR(A1850),MONTH(A1850),1)</f>
        <v>43952</v>
      </c>
    </row>
    <row r="1851" customFormat="false" ht="15" hidden="false" customHeight="false" outlineLevel="0" collapsed="false">
      <c r="A1851" s="81" t="n">
        <v>43970</v>
      </c>
      <c r="B1851" s="48" t="n">
        <v>98</v>
      </c>
      <c r="C1851" s="48" t="n">
        <v>7</v>
      </c>
      <c r="D1851" s="48" t="n">
        <v>0</v>
      </c>
      <c r="E1851" s="48" t="s">
        <v>112</v>
      </c>
      <c r="F1851" s="48" t="s">
        <v>72</v>
      </c>
      <c r="G1851" s="48" t="s">
        <v>94</v>
      </c>
      <c r="H1851" s="82" t="n">
        <f aca="false">DATE(YEAR(A1851),MONTH(A1851),1)</f>
        <v>43952</v>
      </c>
    </row>
    <row r="1852" customFormat="false" ht="15" hidden="false" customHeight="false" outlineLevel="0" collapsed="false">
      <c r="A1852" s="81" t="n">
        <v>43970</v>
      </c>
      <c r="B1852" s="48" t="n">
        <v>12</v>
      </c>
      <c r="C1852" s="48" t="n">
        <v>0</v>
      </c>
      <c r="D1852" s="48" t="n">
        <v>0</v>
      </c>
      <c r="E1852" s="48" t="s">
        <v>112</v>
      </c>
      <c r="F1852" s="48" t="s">
        <v>72</v>
      </c>
      <c r="G1852" s="48" t="s">
        <v>597</v>
      </c>
      <c r="H1852" s="82" t="n">
        <f aca="false">DATE(YEAR(A1852),MONTH(A1852),1)</f>
        <v>43952</v>
      </c>
    </row>
    <row r="1853" customFormat="false" ht="15" hidden="false" customHeight="false" outlineLevel="0" collapsed="false">
      <c r="A1853" s="81" t="n">
        <v>43970</v>
      </c>
      <c r="B1853" s="48" t="n">
        <v>26</v>
      </c>
      <c r="C1853" s="48" t="n">
        <v>1</v>
      </c>
      <c r="D1853" s="48" t="n">
        <v>2</v>
      </c>
      <c r="E1853" s="48" t="s">
        <v>112</v>
      </c>
      <c r="F1853" s="48" t="s">
        <v>72</v>
      </c>
      <c r="G1853" s="48" t="s">
        <v>594</v>
      </c>
      <c r="H1853" s="82" t="n">
        <f aca="false">DATE(YEAR(A1853),MONTH(A1853),1)</f>
        <v>43952</v>
      </c>
    </row>
    <row r="1854" customFormat="false" ht="15" hidden="false" customHeight="false" outlineLevel="0" collapsed="false">
      <c r="A1854" s="81" t="n">
        <v>43970</v>
      </c>
      <c r="B1854" s="48" t="n">
        <v>4</v>
      </c>
      <c r="C1854" s="48" t="n">
        <v>0</v>
      </c>
      <c r="D1854" s="48" t="n">
        <v>5</v>
      </c>
      <c r="E1854" s="48" t="s">
        <v>112</v>
      </c>
      <c r="F1854" s="48" t="s">
        <v>72</v>
      </c>
      <c r="G1854" s="48" t="s">
        <v>599</v>
      </c>
      <c r="H1854" s="82" t="n">
        <f aca="false">DATE(YEAR(A1854),MONTH(A1854),1)</f>
        <v>43952</v>
      </c>
    </row>
    <row r="1855" customFormat="false" ht="15" hidden="false" customHeight="false" outlineLevel="0" collapsed="false">
      <c r="A1855" s="81" t="n">
        <v>43970</v>
      </c>
      <c r="B1855" s="48" t="n">
        <v>0</v>
      </c>
      <c r="C1855" s="48" t="n">
        <v>0</v>
      </c>
      <c r="D1855" s="48" t="n">
        <v>0</v>
      </c>
      <c r="E1855" s="48" t="s">
        <v>112</v>
      </c>
      <c r="F1855" s="48" t="s">
        <v>72</v>
      </c>
      <c r="G1855" s="48" t="s">
        <v>656</v>
      </c>
      <c r="H1855" s="82" t="n">
        <f aca="false">DATE(YEAR(A1855),MONTH(A1855),1)</f>
        <v>43952</v>
      </c>
    </row>
    <row r="1856" customFormat="false" ht="15" hidden="false" customHeight="false" outlineLevel="0" collapsed="false">
      <c r="A1856" s="81" t="n">
        <v>43970</v>
      </c>
      <c r="B1856" s="48" t="n">
        <v>23</v>
      </c>
      <c r="C1856" s="48" t="n">
        <v>0</v>
      </c>
      <c r="D1856" s="48" t="n">
        <v>7</v>
      </c>
      <c r="E1856" s="48" t="s">
        <v>112</v>
      </c>
      <c r="F1856" s="48" t="s">
        <v>72</v>
      </c>
      <c r="G1856" s="48" t="s">
        <v>102</v>
      </c>
      <c r="H1856" s="82" t="n">
        <f aca="false">DATE(YEAR(A1856),MONTH(A1856),1)</f>
        <v>43952</v>
      </c>
    </row>
    <row r="1857" customFormat="false" ht="15" hidden="false" customHeight="false" outlineLevel="0" collapsed="false">
      <c r="A1857" s="81" t="n">
        <v>43970</v>
      </c>
      <c r="B1857" s="48" t="n">
        <v>8</v>
      </c>
      <c r="C1857" s="48" t="n">
        <v>0</v>
      </c>
      <c r="D1857" s="48" t="n">
        <v>7</v>
      </c>
      <c r="E1857" s="48" t="s">
        <v>112</v>
      </c>
      <c r="F1857" s="48" t="s">
        <v>72</v>
      </c>
      <c r="G1857" s="48" t="s">
        <v>611</v>
      </c>
      <c r="H1857" s="82" t="n">
        <f aca="false">DATE(YEAR(A1857),MONTH(A1857),1)</f>
        <v>43952</v>
      </c>
    </row>
    <row r="1858" customFormat="false" ht="15" hidden="false" customHeight="false" outlineLevel="0" collapsed="false">
      <c r="A1858" s="81" t="n">
        <v>43970</v>
      </c>
      <c r="B1858" s="48" t="n">
        <v>34</v>
      </c>
      <c r="C1858" s="48" t="n">
        <v>0</v>
      </c>
      <c r="D1858" s="48" t="n">
        <v>36</v>
      </c>
      <c r="E1858" s="48" t="s">
        <v>112</v>
      </c>
      <c r="F1858" s="48" t="s">
        <v>72</v>
      </c>
      <c r="G1858" s="48" t="s">
        <v>96</v>
      </c>
      <c r="H1858" s="82" t="n">
        <f aca="false">DATE(YEAR(A1858),MONTH(A1858),1)</f>
        <v>43952</v>
      </c>
    </row>
    <row r="1859" customFormat="false" ht="15" hidden="false" customHeight="false" outlineLevel="0" collapsed="false">
      <c r="A1859" s="81" t="n">
        <v>43970</v>
      </c>
      <c r="B1859" s="48" t="n">
        <v>0</v>
      </c>
      <c r="C1859" s="48" t="n">
        <v>0</v>
      </c>
      <c r="D1859" s="48" t="n">
        <v>0</v>
      </c>
      <c r="E1859" s="48" t="s">
        <v>112</v>
      </c>
      <c r="F1859" s="48" t="s">
        <v>72</v>
      </c>
      <c r="G1859" s="48" t="s">
        <v>603</v>
      </c>
      <c r="H1859" s="82" t="n">
        <f aca="false">DATE(YEAR(A1859),MONTH(A1859),1)</f>
        <v>43952</v>
      </c>
    </row>
    <row r="1860" customFormat="false" ht="15" hidden="false" customHeight="false" outlineLevel="0" collapsed="false">
      <c r="A1860" s="81" t="n">
        <v>43970</v>
      </c>
      <c r="B1860" s="48" t="n">
        <v>18</v>
      </c>
      <c r="C1860" s="48" t="n">
        <v>0</v>
      </c>
      <c r="D1860" s="48" t="n">
        <v>0</v>
      </c>
      <c r="E1860" s="48" t="s">
        <v>112</v>
      </c>
      <c r="F1860" s="48" t="s">
        <v>72</v>
      </c>
      <c r="G1860" s="48" t="s">
        <v>591</v>
      </c>
      <c r="H1860" s="82" t="n">
        <f aca="false">DATE(YEAR(A1860),MONTH(A1860),1)</f>
        <v>43952</v>
      </c>
    </row>
    <row r="1861" customFormat="false" ht="15" hidden="false" customHeight="false" outlineLevel="0" collapsed="false">
      <c r="A1861" s="81" t="n">
        <v>43970</v>
      </c>
      <c r="B1861" s="48" t="n">
        <v>5</v>
      </c>
      <c r="C1861" s="48" t="n">
        <v>0</v>
      </c>
      <c r="D1861" s="48" t="n">
        <v>13</v>
      </c>
      <c r="E1861" s="48" t="s">
        <v>112</v>
      </c>
      <c r="F1861" s="48" t="s">
        <v>72</v>
      </c>
      <c r="G1861" s="48" t="s">
        <v>598</v>
      </c>
      <c r="H1861" s="82" t="n">
        <f aca="false">DATE(YEAR(A1861),MONTH(A1861),1)</f>
        <v>43952</v>
      </c>
    </row>
    <row r="1862" customFormat="false" ht="15" hidden="false" customHeight="false" outlineLevel="0" collapsed="false">
      <c r="A1862" s="81" t="n">
        <v>43970</v>
      </c>
      <c r="B1862" s="48" t="n">
        <v>2</v>
      </c>
      <c r="C1862" s="48" t="n">
        <v>0</v>
      </c>
      <c r="D1862" s="48" t="n">
        <v>0</v>
      </c>
      <c r="E1862" s="48" t="s">
        <v>112</v>
      </c>
      <c r="F1862" s="48" t="s">
        <v>72</v>
      </c>
      <c r="G1862" s="48" t="s">
        <v>609</v>
      </c>
      <c r="H1862" s="82" t="n">
        <f aca="false">DATE(YEAR(A1862),MONTH(A1862),1)</f>
        <v>43952</v>
      </c>
    </row>
    <row r="1863" customFormat="false" ht="15" hidden="false" customHeight="false" outlineLevel="0" collapsed="false">
      <c r="A1863" s="81" t="n">
        <v>43970</v>
      </c>
      <c r="B1863" s="48" t="n">
        <v>9</v>
      </c>
      <c r="C1863" s="48" t="n">
        <v>0</v>
      </c>
      <c r="D1863" s="48" t="n">
        <v>0</v>
      </c>
      <c r="E1863" s="48" t="s">
        <v>112</v>
      </c>
      <c r="F1863" s="48" t="s">
        <v>72</v>
      </c>
      <c r="G1863" s="48" t="s">
        <v>101</v>
      </c>
      <c r="H1863" s="82" t="n">
        <f aca="false">DATE(YEAR(A1863),MONTH(A1863),1)</f>
        <v>43952</v>
      </c>
    </row>
    <row r="1864" customFormat="false" ht="15" hidden="false" customHeight="false" outlineLevel="0" collapsed="false">
      <c r="A1864" s="81" t="n">
        <v>43970</v>
      </c>
      <c r="B1864" s="48" t="n">
        <v>2</v>
      </c>
      <c r="C1864" s="48" t="n">
        <v>0</v>
      </c>
      <c r="D1864" s="48" t="n">
        <v>5</v>
      </c>
      <c r="E1864" s="48" t="s">
        <v>112</v>
      </c>
      <c r="F1864" s="48" t="s">
        <v>72</v>
      </c>
      <c r="G1864" s="48" t="s">
        <v>643</v>
      </c>
      <c r="H1864" s="82" t="n">
        <f aca="false">DATE(YEAR(A1864),MONTH(A1864),1)</f>
        <v>43952</v>
      </c>
    </row>
    <row r="1865" customFormat="false" ht="15" hidden="false" customHeight="false" outlineLevel="0" collapsed="false">
      <c r="A1865" s="81" t="n">
        <v>43970</v>
      </c>
      <c r="B1865" s="48" t="n">
        <v>1</v>
      </c>
      <c r="C1865" s="48" t="n">
        <v>0</v>
      </c>
      <c r="D1865" s="48" t="n">
        <v>0</v>
      </c>
      <c r="E1865" s="48" t="s">
        <v>112</v>
      </c>
      <c r="F1865" s="48" t="s">
        <v>72</v>
      </c>
      <c r="G1865" s="48" t="s">
        <v>662</v>
      </c>
      <c r="H1865" s="82" t="n">
        <f aca="false">DATE(YEAR(A1865),MONTH(A1865),1)</f>
        <v>43952</v>
      </c>
    </row>
    <row r="1866" customFormat="false" ht="15" hidden="false" customHeight="false" outlineLevel="0" collapsed="false">
      <c r="A1866" s="81" t="n">
        <v>43970</v>
      </c>
      <c r="B1866" s="48" t="n">
        <v>6</v>
      </c>
      <c r="C1866" s="48" t="n">
        <v>1</v>
      </c>
      <c r="D1866" s="48" t="n">
        <v>14</v>
      </c>
      <c r="E1866" s="48" t="s">
        <v>112</v>
      </c>
      <c r="F1866" s="48" t="s">
        <v>72</v>
      </c>
      <c r="G1866" s="48" t="s">
        <v>600</v>
      </c>
      <c r="H1866" s="82" t="n">
        <f aca="false">DATE(YEAR(A1866),MONTH(A1866),1)</f>
        <v>43952</v>
      </c>
    </row>
    <row r="1867" customFormat="false" ht="15" hidden="false" customHeight="false" outlineLevel="0" collapsed="false">
      <c r="A1867" s="81" t="n">
        <v>43970</v>
      </c>
      <c r="B1867" s="48" t="n">
        <v>3</v>
      </c>
      <c r="C1867" s="48" t="n">
        <v>0</v>
      </c>
      <c r="D1867" s="48" t="n">
        <v>0</v>
      </c>
      <c r="E1867" s="48" t="s">
        <v>112</v>
      </c>
      <c r="F1867" s="48" t="s">
        <v>72</v>
      </c>
      <c r="G1867" s="48" t="s">
        <v>610</v>
      </c>
      <c r="H1867" s="82" t="n">
        <f aca="false">DATE(YEAR(A1867),MONTH(A1867),1)</f>
        <v>43952</v>
      </c>
    </row>
    <row r="1868" customFormat="false" ht="15" hidden="false" customHeight="false" outlineLevel="0" collapsed="false">
      <c r="A1868" s="81" t="n">
        <v>43970</v>
      </c>
      <c r="B1868" s="48" t="n">
        <v>4</v>
      </c>
      <c r="C1868" s="48" t="n">
        <v>2</v>
      </c>
      <c r="D1868" s="48" t="n">
        <v>2</v>
      </c>
      <c r="E1868" s="48" t="s">
        <v>112</v>
      </c>
      <c r="F1868" s="48" t="s">
        <v>72</v>
      </c>
      <c r="G1868" s="48" t="s">
        <v>593</v>
      </c>
      <c r="H1868" s="82" t="n">
        <f aca="false">DATE(YEAR(A1868),MONTH(A1868),1)</f>
        <v>43952</v>
      </c>
    </row>
    <row r="1869" customFormat="false" ht="15" hidden="false" customHeight="false" outlineLevel="0" collapsed="false">
      <c r="A1869" s="81" t="n">
        <v>43970</v>
      </c>
      <c r="B1869" s="48" t="n">
        <v>1</v>
      </c>
      <c r="C1869" s="48" t="n">
        <v>0</v>
      </c>
      <c r="D1869" s="48" t="n">
        <v>0</v>
      </c>
      <c r="E1869" s="48" t="s">
        <v>112</v>
      </c>
      <c r="F1869" s="48" t="s">
        <v>72</v>
      </c>
      <c r="G1869" s="48" t="s">
        <v>612</v>
      </c>
      <c r="H1869" s="82" t="n">
        <f aca="false">DATE(YEAR(A1869),MONTH(A1869),1)</f>
        <v>43952</v>
      </c>
    </row>
    <row r="1870" customFormat="false" ht="15" hidden="false" customHeight="false" outlineLevel="0" collapsed="false">
      <c r="A1870" s="81" t="n">
        <v>43970</v>
      </c>
      <c r="B1870" s="48" t="n">
        <v>0</v>
      </c>
      <c r="C1870" s="48" t="n">
        <v>0</v>
      </c>
      <c r="D1870" s="48" t="n">
        <v>0</v>
      </c>
      <c r="E1870" s="48" t="s">
        <v>112</v>
      </c>
      <c r="F1870" s="48" t="s">
        <v>72</v>
      </c>
      <c r="G1870" s="48" t="s">
        <v>685</v>
      </c>
      <c r="H1870" s="82" t="n">
        <f aca="false">DATE(YEAR(A1870),MONTH(A1870),1)</f>
        <v>43952</v>
      </c>
    </row>
    <row r="1871" customFormat="false" ht="15" hidden="false" customHeight="false" outlineLevel="0" collapsed="false">
      <c r="A1871" s="81" t="n">
        <v>43970</v>
      </c>
      <c r="B1871" s="48" t="n">
        <v>0</v>
      </c>
      <c r="C1871" s="48" t="n">
        <v>0</v>
      </c>
      <c r="D1871" s="48" t="n">
        <v>0</v>
      </c>
      <c r="E1871" s="48" t="s">
        <v>112</v>
      </c>
      <c r="F1871" s="48" t="s">
        <v>72</v>
      </c>
      <c r="G1871" s="48" t="s">
        <v>687</v>
      </c>
      <c r="H1871" s="82" t="n">
        <f aca="false">DATE(YEAR(A1871),MONTH(A1871),1)</f>
        <v>43952</v>
      </c>
    </row>
    <row r="1872" customFormat="false" ht="15" hidden="false" customHeight="false" outlineLevel="0" collapsed="false">
      <c r="A1872" s="81" t="n">
        <v>43970</v>
      </c>
      <c r="B1872" s="48" t="n">
        <v>0</v>
      </c>
      <c r="C1872" s="48" t="n">
        <v>0</v>
      </c>
      <c r="D1872" s="48" t="n">
        <v>0</v>
      </c>
      <c r="E1872" s="48" t="s">
        <v>112</v>
      </c>
      <c r="F1872" s="48" t="s">
        <v>72</v>
      </c>
      <c r="G1872" s="48" t="s">
        <v>682</v>
      </c>
      <c r="H1872" s="82" t="n">
        <f aca="false">DATE(YEAR(A1872),MONTH(A1872),1)</f>
        <v>43952</v>
      </c>
    </row>
    <row r="1873" customFormat="false" ht="15" hidden="false" customHeight="false" outlineLevel="0" collapsed="false">
      <c r="A1873" s="81" t="n">
        <v>43970</v>
      </c>
      <c r="B1873" s="48" t="n">
        <v>0</v>
      </c>
      <c r="C1873" s="48" t="n">
        <v>0</v>
      </c>
      <c r="D1873" s="48" t="n">
        <v>0</v>
      </c>
      <c r="E1873" s="48" t="s">
        <v>112</v>
      </c>
      <c r="F1873" s="48" t="s">
        <v>72</v>
      </c>
      <c r="G1873" s="48" t="s">
        <v>692</v>
      </c>
      <c r="H1873" s="82" t="n">
        <f aca="false">DATE(YEAR(A1873),MONTH(A1873),1)</f>
        <v>43952</v>
      </c>
    </row>
    <row r="1874" customFormat="false" ht="15" hidden="false" customHeight="false" outlineLevel="0" collapsed="false">
      <c r="A1874" s="81" t="n">
        <v>43970</v>
      </c>
      <c r="B1874" s="48" t="n">
        <v>0</v>
      </c>
      <c r="C1874" s="48" t="n">
        <v>0</v>
      </c>
      <c r="D1874" s="48" t="n">
        <v>0</v>
      </c>
      <c r="E1874" s="48" t="s">
        <v>112</v>
      </c>
      <c r="F1874" s="48" t="s">
        <v>72</v>
      </c>
      <c r="G1874" s="48" t="s">
        <v>613</v>
      </c>
      <c r="H1874" s="82" t="n">
        <f aca="false">DATE(YEAR(A1874),MONTH(A1874),1)</f>
        <v>43952</v>
      </c>
    </row>
    <row r="1875" customFormat="false" ht="15" hidden="false" customHeight="false" outlineLevel="0" collapsed="false">
      <c r="A1875" s="81" t="n">
        <v>43970</v>
      </c>
      <c r="B1875" s="48" t="n">
        <v>2</v>
      </c>
      <c r="C1875" s="48" t="n">
        <v>0</v>
      </c>
      <c r="D1875" s="48" t="n">
        <v>0</v>
      </c>
      <c r="E1875" s="48" t="s">
        <v>112</v>
      </c>
      <c r="F1875" s="48" t="s">
        <v>72</v>
      </c>
      <c r="G1875" s="48" t="s">
        <v>614</v>
      </c>
      <c r="H1875" s="82" t="n">
        <f aca="false">DATE(YEAR(A1875),MONTH(A1875),1)</f>
        <v>43952</v>
      </c>
    </row>
    <row r="1876" customFormat="false" ht="15" hidden="false" customHeight="false" outlineLevel="0" collapsed="false">
      <c r="A1876" s="81" t="n">
        <v>43970</v>
      </c>
      <c r="B1876" s="48" t="n">
        <v>0</v>
      </c>
      <c r="C1876" s="48" t="n">
        <v>0</v>
      </c>
      <c r="D1876" s="48" t="n">
        <v>0</v>
      </c>
      <c r="E1876" s="48" t="s">
        <v>112</v>
      </c>
      <c r="F1876" s="48" t="s">
        <v>72</v>
      </c>
      <c r="G1876" s="48" t="s">
        <v>655</v>
      </c>
      <c r="H1876" s="82" t="n">
        <f aca="false">DATE(YEAR(A1876),MONTH(A1876),1)</f>
        <v>43952</v>
      </c>
    </row>
    <row r="1877" customFormat="false" ht="15" hidden="false" customHeight="false" outlineLevel="0" collapsed="false">
      <c r="A1877" s="81" t="n">
        <v>43970</v>
      </c>
      <c r="B1877" s="48" t="n">
        <v>3</v>
      </c>
      <c r="C1877" s="48" t="n">
        <v>0</v>
      </c>
      <c r="D1877" s="48" t="n">
        <v>0</v>
      </c>
      <c r="E1877" s="48" t="s">
        <v>112</v>
      </c>
      <c r="F1877" s="48" t="s">
        <v>72</v>
      </c>
      <c r="G1877" s="48" t="s">
        <v>608</v>
      </c>
      <c r="H1877" s="82" t="n">
        <f aca="false">DATE(YEAR(A1877),MONTH(A1877),1)</f>
        <v>43952</v>
      </c>
    </row>
    <row r="1878" customFormat="false" ht="15" hidden="false" customHeight="false" outlineLevel="0" collapsed="false">
      <c r="A1878" s="81" t="n">
        <v>43970</v>
      </c>
      <c r="B1878" s="48" t="n">
        <v>3</v>
      </c>
      <c r="C1878" s="48" t="n">
        <v>0</v>
      </c>
      <c r="D1878" s="48" t="n">
        <v>0</v>
      </c>
      <c r="E1878" s="48" t="s">
        <v>112</v>
      </c>
      <c r="F1878" s="48" t="s">
        <v>72</v>
      </c>
      <c r="G1878" s="48" t="s">
        <v>615</v>
      </c>
      <c r="H1878" s="82" t="n">
        <f aca="false">DATE(YEAR(A1878),MONTH(A1878),1)</f>
        <v>43952</v>
      </c>
    </row>
    <row r="1879" customFormat="false" ht="15" hidden="false" customHeight="false" outlineLevel="0" collapsed="false">
      <c r="A1879" s="81" t="n">
        <v>43970</v>
      </c>
      <c r="B1879" s="48" t="n">
        <v>0</v>
      </c>
      <c r="C1879" s="48" t="n">
        <v>0</v>
      </c>
      <c r="D1879" s="48" t="n">
        <v>0</v>
      </c>
      <c r="E1879" s="48" t="s">
        <v>112</v>
      </c>
      <c r="F1879" s="48" t="s">
        <v>72</v>
      </c>
      <c r="G1879" s="48" t="s">
        <v>666</v>
      </c>
      <c r="H1879" s="82" t="n">
        <f aca="false">DATE(YEAR(A1879),MONTH(A1879),1)</f>
        <v>43952</v>
      </c>
    </row>
    <row r="1880" customFormat="false" ht="15" hidden="false" customHeight="false" outlineLevel="0" collapsed="false">
      <c r="A1880" s="81" t="n">
        <v>43970</v>
      </c>
      <c r="B1880" s="48" t="n">
        <v>0</v>
      </c>
      <c r="C1880" s="48" t="n">
        <v>0</v>
      </c>
      <c r="D1880" s="48" t="n">
        <v>0</v>
      </c>
      <c r="E1880" s="48" t="s">
        <v>112</v>
      </c>
      <c r="F1880" s="48" t="s">
        <v>72</v>
      </c>
      <c r="G1880" s="48" t="s">
        <v>621</v>
      </c>
      <c r="H1880" s="82" t="n">
        <f aca="false">DATE(YEAR(A1880),MONTH(A1880),1)</f>
        <v>43952</v>
      </c>
    </row>
    <row r="1881" customFormat="false" ht="15" hidden="false" customHeight="false" outlineLevel="0" collapsed="false">
      <c r="A1881" s="81" t="n">
        <v>43970</v>
      </c>
      <c r="B1881" s="48" t="n">
        <v>0</v>
      </c>
      <c r="C1881" s="48" t="n">
        <v>0</v>
      </c>
      <c r="D1881" s="48" t="n">
        <v>0</v>
      </c>
      <c r="E1881" s="48" t="s">
        <v>112</v>
      </c>
      <c r="F1881" s="48" t="s">
        <v>72</v>
      </c>
      <c r="G1881" s="48" t="s">
        <v>664</v>
      </c>
      <c r="H1881" s="82" t="n">
        <f aca="false">DATE(YEAR(A1881),MONTH(A1881),1)</f>
        <v>43952</v>
      </c>
    </row>
    <row r="1882" customFormat="false" ht="15" hidden="false" customHeight="false" outlineLevel="0" collapsed="false">
      <c r="A1882" s="81" t="n">
        <v>43970</v>
      </c>
      <c r="B1882" s="48" t="n">
        <v>0</v>
      </c>
      <c r="C1882" s="48" t="n">
        <v>0</v>
      </c>
      <c r="D1882" s="48" t="n">
        <v>0</v>
      </c>
      <c r="E1882" s="48" t="s">
        <v>112</v>
      </c>
      <c r="F1882" s="48" t="s">
        <v>72</v>
      </c>
      <c r="G1882" s="48" t="s">
        <v>667</v>
      </c>
      <c r="H1882" s="82" t="n">
        <f aca="false">DATE(YEAR(A1882),MONTH(A1882),1)</f>
        <v>43952</v>
      </c>
    </row>
    <row r="1883" customFormat="false" ht="15" hidden="false" customHeight="false" outlineLevel="0" collapsed="false">
      <c r="A1883" s="81" t="n">
        <v>43970</v>
      </c>
      <c r="B1883" s="48" t="n">
        <v>7</v>
      </c>
      <c r="C1883" s="48" t="n">
        <v>0</v>
      </c>
      <c r="D1883" s="48" t="n">
        <v>16</v>
      </c>
      <c r="E1883" s="48" t="s">
        <v>112</v>
      </c>
      <c r="F1883" s="48" t="s">
        <v>72</v>
      </c>
      <c r="G1883" s="48" t="s">
        <v>607</v>
      </c>
      <c r="H1883" s="82" t="n">
        <f aca="false">DATE(YEAR(A1883),MONTH(A1883),1)</f>
        <v>43952</v>
      </c>
    </row>
    <row r="1884" customFormat="false" ht="15" hidden="false" customHeight="false" outlineLevel="0" collapsed="false">
      <c r="A1884" s="81" t="n">
        <v>43970</v>
      </c>
      <c r="B1884" s="48" t="n">
        <v>0</v>
      </c>
      <c r="C1884" s="48" t="n">
        <v>0</v>
      </c>
      <c r="D1884" s="48" t="n">
        <v>0</v>
      </c>
      <c r="E1884" s="48" t="s">
        <v>112</v>
      </c>
      <c r="F1884" s="48" t="s">
        <v>72</v>
      </c>
      <c r="G1884" s="48" t="s">
        <v>673</v>
      </c>
      <c r="H1884" s="82" t="n">
        <f aca="false">DATE(YEAR(A1884),MONTH(A1884),1)</f>
        <v>43952</v>
      </c>
    </row>
    <row r="1885" customFormat="false" ht="15" hidden="false" customHeight="false" outlineLevel="0" collapsed="false">
      <c r="A1885" s="81" t="n">
        <v>43970</v>
      </c>
      <c r="B1885" s="48" t="n">
        <v>0</v>
      </c>
      <c r="C1885" s="48" t="n">
        <v>0</v>
      </c>
      <c r="D1885" s="48" t="n">
        <v>0</v>
      </c>
      <c r="E1885" s="48" t="s">
        <v>112</v>
      </c>
      <c r="F1885" s="48" t="s">
        <v>72</v>
      </c>
      <c r="G1885" s="48" t="s">
        <v>676</v>
      </c>
      <c r="H1885" s="82" t="n">
        <f aca="false">DATE(YEAR(A1885),MONTH(A1885),1)</f>
        <v>43952</v>
      </c>
    </row>
    <row r="1886" customFormat="false" ht="15" hidden="false" customHeight="false" outlineLevel="0" collapsed="false">
      <c r="A1886" s="81" t="n">
        <v>43970</v>
      </c>
      <c r="B1886" s="48" t="n">
        <v>608</v>
      </c>
      <c r="C1886" s="48" t="n">
        <v>14</v>
      </c>
      <c r="D1886" s="48" t="n">
        <v>200</v>
      </c>
      <c r="E1886" s="48" t="s">
        <v>112</v>
      </c>
      <c r="F1886" s="48" t="s">
        <v>70</v>
      </c>
      <c r="G1886" s="48" t="s">
        <v>91</v>
      </c>
      <c r="H1886" s="82" t="n">
        <f aca="false">DATE(YEAR(A1886),MONTH(A1886),1)</f>
        <v>43952</v>
      </c>
    </row>
    <row r="1887" customFormat="false" ht="15" hidden="false" customHeight="false" outlineLevel="0" collapsed="false">
      <c r="A1887" s="81" t="n">
        <v>43970</v>
      </c>
      <c r="B1887" s="48" t="n">
        <v>20</v>
      </c>
      <c r="C1887" s="48" t="n">
        <v>0</v>
      </c>
      <c r="D1887" s="48" t="n">
        <v>3</v>
      </c>
      <c r="E1887" s="48" t="s">
        <v>112</v>
      </c>
      <c r="F1887" s="48" t="s">
        <v>70</v>
      </c>
      <c r="G1887" s="48" t="s">
        <v>99</v>
      </c>
      <c r="H1887" s="82" t="n">
        <f aca="false">DATE(YEAR(A1887),MONTH(A1887),1)</f>
        <v>43952</v>
      </c>
    </row>
    <row r="1888" customFormat="false" ht="15" hidden="false" customHeight="false" outlineLevel="0" collapsed="false">
      <c r="A1888" s="81" t="n">
        <v>43970</v>
      </c>
      <c r="B1888" s="48" t="n">
        <v>10</v>
      </c>
      <c r="C1888" s="48" t="n">
        <v>0</v>
      </c>
      <c r="D1888" s="48" t="n">
        <v>0</v>
      </c>
      <c r="E1888" s="48" t="s">
        <v>112</v>
      </c>
      <c r="F1888" s="48" t="s">
        <v>70</v>
      </c>
      <c r="G1888" s="48" t="s">
        <v>619</v>
      </c>
      <c r="H1888" s="82" t="n">
        <f aca="false">DATE(YEAR(A1888),MONTH(A1888),1)</f>
        <v>43952</v>
      </c>
    </row>
    <row r="1889" customFormat="false" ht="15" hidden="false" customHeight="false" outlineLevel="0" collapsed="false">
      <c r="A1889" s="81" t="n">
        <v>43970</v>
      </c>
      <c r="B1889" s="48" t="n">
        <v>1</v>
      </c>
      <c r="C1889" s="48" t="n">
        <v>0</v>
      </c>
      <c r="D1889" s="48" t="n">
        <v>0</v>
      </c>
      <c r="E1889" s="48" t="s">
        <v>112</v>
      </c>
      <c r="F1889" s="48" t="s">
        <v>70</v>
      </c>
      <c r="G1889" s="48" t="s">
        <v>633</v>
      </c>
      <c r="H1889" s="82" t="n">
        <f aca="false">DATE(YEAR(A1889),MONTH(A1889),1)</f>
        <v>43952</v>
      </c>
    </row>
    <row r="1890" customFormat="false" ht="15" hidden="false" customHeight="false" outlineLevel="0" collapsed="false">
      <c r="A1890" s="81" t="n">
        <v>43970</v>
      </c>
      <c r="B1890" s="48" t="n">
        <v>0</v>
      </c>
      <c r="C1890" s="48" t="n">
        <v>0</v>
      </c>
      <c r="D1890" s="48" t="n">
        <v>0</v>
      </c>
      <c r="E1890" s="48" t="s">
        <v>112</v>
      </c>
      <c r="F1890" s="48" t="s">
        <v>70</v>
      </c>
      <c r="G1890" s="48" t="s">
        <v>605</v>
      </c>
      <c r="H1890" s="82" t="n">
        <f aca="false">DATE(YEAR(A1890),MONTH(A1890),1)</f>
        <v>43952</v>
      </c>
    </row>
    <row r="1891" customFormat="false" ht="15" hidden="false" customHeight="false" outlineLevel="0" collapsed="false">
      <c r="A1891" s="81" t="n">
        <v>43970</v>
      </c>
      <c r="B1891" s="48" t="n">
        <v>0</v>
      </c>
      <c r="C1891" s="48" t="n">
        <v>0</v>
      </c>
      <c r="D1891" s="48" t="n">
        <v>0</v>
      </c>
      <c r="E1891" s="48" t="s">
        <v>112</v>
      </c>
      <c r="F1891" s="48" t="s">
        <v>70</v>
      </c>
      <c r="G1891" s="48" t="s">
        <v>641</v>
      </c>
      <c r="H1891" s="82" t="n">
        <f aca="false">DATE(YEAR(A1891),MONTH(A1891),1)</f>
        <v>43952</v>
      </c>
    </row>
    <row r="1892" customFormat="false" ht="15" hidden="false" customHeight="false" outlineLevel="0" collapsed="false">
      <c r="A1892" s="81" t="n">
        <v>43970</v>
      </c>
      <c r="B1892" s="48" t="n">
        <v>0</v>
      </c>
      <c r="C1892" s="48" t="n">
        <v>0</v>
      </c>
      <c r="D1892" s="48" t="n">
        <v>0</v>
      </c>
      <c r="E1892" s="48" t="s">
        <v>112</v>
      </c>
      <c r="F1892" s="48" t="s">
        <v>70</v>
      </c>
      <c r="G1892" s="48" t="s">
        <v>644</v>
      </c>
      <c r="H1892" s="82" t="n">
        <f aca="false">DATE(YEAR(A1892),MONTH(A1892),1)</f>
        <v>43952</v>
      </c>
    </row>
    <row r="1893" customFormat="false" ht="15" hidden="false" customHeight="false" outlineLevel="0" collapsed="false">
      <c r="A1893" s="81" t="n">
        <v>43970</v>
      </c>
      <c r="B1893" s="48" t="n">
        <v>0</v>
      </c>
      <c r="C1893" s="48" t="n">
        <v>1</v>
      </c>
      <c r="D1893" s="48" t="n">
        <v>0</v>
      </c>
      <c r="E1893" s="48" t="s">
        <v>112</v>
      </c>
      <c r="F1893" s="48" t="s">
        <v>70</v>
      </c>
      <c r="G1893" s="48" t="s">
        <v>637</v>
      </c>
      <c r="H1893" s="82" t="n">
        <f aca="false">DATE(YEAR(A1893),MONTH(A1893),1)</f>
        <v>43952</v>
      </c>
    </row>
    <row r="1894" customFormat="false" ht="15" hidden="false" customHeight="false" outlineLevel="0" collapsed="false">
      <c r="A1894" s="81" t="n">
        <v>43970</v>
      </c>
      <c r="B1894" s="48" t="n">
        <v>3</v>
      </c>
      <c r="C1894" s="48" t="n">
        <v>0</v>
      </c>
      <c r="D1894" s="48" t="n">
        <v>0</v>
      </c>
      <c r="E1894" s="48" t="s">
        <v>112</v>
      </c>
      <c r="F1894" s="48" t="s">
        <v>70</v>
      </c>
      <c r="G1894" s="48" t="s">
        <v>630</v>
      </c>
      <c r="H1894" s="82" t="n">
        <f aca="false">DATE(YEAR(A1894),MONTH(A1894),1)</f>
        <v>43952</v>
      </c>
    </row>
    <row r="1895" customFormat="false" ht="15" hidden="false" customHeight="false" outlineLevel="0" collapsed="false">
      <c r="A1895" s="81" t="n">
        <v>43970</v>
      </c>
      <c r="B1895" s="48" t="n">
        <v>0</v>
      </c>
      <c r="C1895" s="48" t="n">
        <v>0</v>
      </c>
      <c r="D1895" s="48" t="n">
        <v>0</v>
      </c>
      <c r="E1895" s="48" t="s">
        <v>112</v>
      </c>
      <c r="F1895" s="48" t="s">
        <v>70</v>
      </c>
      <c r="G1895" s="48" t="s">
        <v>642</v>
      </c>
      <c r="H1895" s="82" t="n">
        <f aca="false">DATE(YEAR(A1895),MONTH(A1895),1)</f>
        <v>43952</v>
      </c>
    </row>
    <row r="1896" customFormat="false" ht="15" hidden="false" customHeight="false" outlineLevel="0" collapsed="false">
      <c r="A1896" s="81" t="n">
        <v>43970</v>
      </c>
      <c r="B1896" s="48" t="n">
        <v>1</v>
      </c>
      <c r="C1896" s="48" t="n">
        <v>0</v>
      </c>
      <c r="D1896" s="48" t="n">
        <v>0</v>
      </c>
      <c r="E1896" s="48" t="s">
        <v>112</v>
      </c>
      <c r="F1896" s="48" t="s">
        <v>70</v>
      </c>
      <c r="G1896" s="48" t="s">
        <v>671</v>
      </c>
      <c r="H1896" s="82" t="n">
        <f aca="false">DATE(YEAR(A1896),MONTH(A1896),1)</f>
        <v>43952</v>
      </c>
    </row>
    <row r="1897" customFormat="false" ht="15" hidden="false" customHeight="false" outlineLevel="0" collapsed="false">
      <c r="A1897" s="81" t="n">
        <v>43970</v>
      </c>
      <c r="B1897" s="48" t="n">
        <v>2</v>
      </c>
      <c r="C1897" s="48" t="n">
        <v>0</v>
      </c>
      <c r="D1897" s="48" t="n">
        <v>4</v>
      </c>
      <c r="E1897" s="48" t="s">
        <v>112</v>
      </c>
      <c r="F1897" s="48" t="s">
        <v>70</v>
      </c>
      <c r="G1897" s="48" t="s">
        <v>105</v>
      </c>
      <c r="H1897" s="82" t="n">
        <f aca="false">DATE(YEAR(A1897),MONTH(A1897),1)</f>
        <v>43952</v>
      </c>
    </row>
    <row r="1898" customFormat="false" ht="15" hidden="false" customHeight="false" outlineLevel="0" collapsed="false">
      <c r="A1898" s="81" t="n">
        <v>43970</v>
      </c>
      <c r="B1898" s="48" t="n">
        <v>6</v>
      </c>
      <c r="C1898" s="48" t="n">
        <v>0</v>
      </c>
      <c r="D1898" s="48" t="n">
        <v>0</v>
      </c>
      <c r="E1898" s="48" t="s">
        <v>112</v>
      </c>
      <c r="F1898" s="48" t="s">
        <v>70</v>
      </c>
      <c r="G1898" s="48" t="s">
        <v>98</v>
      </c>
      <c r="H1898" s="82" t="n">
        <f aca="false">DATE(YEAR(A1898),MONTH(A1898),1)</f>
        <v>43952</v>
      </c>
    </row>
    <row r="1899" customFormat="false" ht="15" hidden="false" customHeight="false" outlineLevel="0" collapsed="false">
      <c r="A1899" s="81" t="n">
        <v>43970</v>
      </c>
      <c r="B1899" s="48" t="n">
        <v>5</v>
      </c>
      <c r="C1899" s="48" t="n">
        <v>0</v>
      </c>
      <c r="D1899" s="48" t="n">
        <v>3</v>
      </c>
      <c r="E1899" s="48" t="s">
        <v>112</v>
      </c>
      <c r="F1899" s="48" t="s">
        <v>70</v>
      </c>
      <c r="G1899" s="48" t="s">
        <v>592</v>
      </c>
      <c r="H1899" s="82" t="n">
        <f aca="false">DATE(YEAR(A1899),MONTH(A1899),1)</f>
        <v>43952</v>
      </c>
    </row>
    <row r="1900" customFormat="false" ht="15" hidden="false" customHeight="false" outlineLevel="0" collapsed="false">
      <c r="A1900" s="81" t="n">
        <v>43970</v>
      </c>
      <c r="B1900" s="48" t="n">
        <v>16</v>
      </c>
      <c r="C1900" s="48" t="n">
        <v>0</v>
      </c>
      <c r="D1900" s="48" t="n">
        <v>5</v>
      </c>
      <c r="E1900" s="48" t="s">
        <v>112</v>
      </c>
      <c r="F1900" s="48" t="s">
        <v>70</v>
      </c>
      <c r="G1900" s="48" t="s">
        <v>104</v>
      </c>
      <c r="H1900" s="82" t="n">
        <f aca="false">DATE(YEAR(A1900),MONTH(A1900),1)</f>
        <v>43952</v>
      </c>
    </row>
    <row r="1901" customFormat="false" ht="15" hidden="false" customHeight="false" outlineLevel="0" collapsed="false">
      <c r="A1901" s="81" t="n">
        <v>43970</v>
      </c>
      <c r="B1901" s="48" t="n">
        <v>2</v>
      </c>
      <c r="C1901" s="48" t="n">
        <v>0</v>
      </c>
      <c r="D1901" s="48" t="n">
        <v>0</v>
      </c>
      <c r="E1901" s="48" t="s">
        <v>112</v>
      </c>
      <c r="F1901" s="48" t="s">
        <v>70</v>
      </c>
      <c r="G1901" s="48" t="s">
        <v>635</v>
      </c>
      <c r="H1901" s="82" t="n">
        <f aca="false">DATE(YEAR(A1901),MONTH(A1901),1)</f>
        <v>43952</v>
      </c>
    </row>
    <row r="1902" customFormat="false" ht="15" hidden="false" customHeight="false" outlineLevel="0" collapsed="false">
      <c r="A1902" s="81" t="n">
        <v>43970</v>
      </c>
      <c r="B1902" s="48" t="n">
        <v>12</v>
      </c>
      <c r="C1902" s="48" t="n">
        <v>0</v>
      </c>
      <c r="D1902" s="48" t="n">
        <v>2</v>
      </c>
      <c r="E1902" s="48" t="s">
        <v>112</v>
      </c>
      <c r="F1902" s="48" t="s">
        <v>70</v>
      </c>
      <c r="G1902" s="48" t="s">
        <v>616</v>
      </c>
      <c r="H1902" s="82" t="n">
        <f aca="false">DATE(YEAR(A1902),MONTH(A1902),1)</f>
        <v>43952</v>
      </c>
    </row>
    <row r="1903" customFormat="false" ht="15" hidden="false" customHeight="false" outlineLevel="0" collapsed="false">
      <c r="A1903" s="81" t="n">
        <v>43970</v>
      </c>
      <c r="B1903" s="48" t="n">
        <v>0</v>
      </c>
      <c r="C1903" s="48" t="n">
        <v>0</v>
      </c>
      <c r="D1903" s="48" t="n">
        <v>6</v>
      </c>
      <c r="E1903" s="48" t="s">
        <v>112</v>
      </c>
      <c r="F1903" s="48" t="s">
        <v>70</v>
      </c>
      <c r="G1903" s="48" t="s">
        <v>663</v>
      </c>
      <c r="H1903" s="82" t="n">
        <f aca="false">DATE(YEAR(A1903),MONTH(A1903),1)</f>
        <v>43952</v>
      </c>
    </row>
    <row r="1904" customFormat="false" ht="15" hidden="false" customHeight="false" outlineLevel="0" collapsed="false">
      <c r="A1904" s="81" t="n">
        <v>43970</v>
      </c>
      <c r="B1904" s="48" t="n">
        <v>2</v>
      </c>
      <c r="C1904" s="48" t="n">
        <v>0</v>
      </c>
      <c r="D1904" s="48" t="n">
        <v>0</v>
      </c>
      <c r="E1904" s="48" t="s">
        <v>112</v>
      </c>
      <c r="F1904" s="48" t="s">
        <v>70</v>
      </c>
      <c r="G1904" s="48" t="s">
        <v>640</v>
      </c>
      <c r="H1904" s="82" t="n">
        <f aca="false">DATE(YEAR(A1904),MONTH(A1904),1)</f>
        <v>43952</v>
      </c>
    </row>
    <row r="1905" customFormat="false" ht="15" hidden="false" customHeight="false" outlineLevel="0" collapsed="false">
      <c r="A1905" s="81" t="n">
        <v>43970</v>
      </c>
      <c r="B1905" s="48" t="n">
        <v>3</v>
      </c>
      <c r="C1905" s="48" t="n">
        <v>0</v>
      </c>
      <c r="D1905" s="48" t="n">
        <v>0</v>
      </c>
      <c r="E1905" s="48" t="s">
        <v>112</v>
      </c>
      <c r="F1905" s="48" t="s">
        <v>70</v>
      </c>
      <c r="G1905" s="48" t="s">
        <v>639</v>
      </c>
      <c r="H1905" s="82" t="n">
        <f aca="false">DATE(YEAR(A1905),MONTH(A1905),1)</f>
        <v>43952</v>
      </c>
    </row>
    <row r="1906" customFormat="false" ht="15" hidden="false" customHeight="false" outlineLevel="0" collapsed="false">
      <c r="A1906" s="81" t="n">
        <v>43970</v>
      </c>
      <c r="B1906" s="48" t="n">
        <v>0</v>
      </c>
      <c r="C1906" s="48" t="n">
        <v>0</v>
      </c>
      <c r="D1906" s="48" t="n">
        <v>0</v>
      </c>
      <c r="E1906" s="48" t="s">
        <v>112</v>
      </c>
      <c r="F1906" s="48" t="s">
        <v>70</v>
      </c>
      <c r="G1906" s="48" t="s">
        <v>670</v>
      </c>
      <c r="H1906" s="82" t="n">
        <f aca="false">DATE(YEAR(A1906),MONTH(A1906),1)</f>
        <v>43952</v>
      </c>
    </row>
    <row r="1907" customFormat="false" ht="15" hidden="false" customHeight="false" outlineLevel="0" collapsed="false">
      <c r="A1907" s="81" t="n">
        <v>43970</v>
      </c>
      <c r="B1907" s="48" t="n">
        <v>0</v>
      </c>
      <c r="C1907" s="48" t="n">
        <v>0</v>
      </c>
      <c r="D1907" s="48" t="n">
        <v>0</v>
      </c>
      <c r="E1907" s="48" t="s">
        <v>112</v>
      </c>
      <c r="F1907" s="48" t="s">
        <v>70</v>
      </c>
      <c r="G1907" s="48" t="s">
        <v>679</v>
      </c>
      <c r="H1907" s="82" t="n">
        <f aca="false">DATE(YEAR(A1907),MONTH(A1907),1)</f>
        <v>43952</v>
      </c>
    </row>
    <row r="1908" customFormat="false" ht="15" hidden="false" customHeight="false" outlineLevel="0" collapsed="false">
      <c r="A1908" s="81" t="n">
        <v>43970</v>
      </c>
      <c r="B1908" s="48" t="n">
        <v>6</v>
      </c>
      <c r="C1908" s="48" t="n">
        <v>2</v>
      </c>
      <c r="D1908" s="48" t="n">
        <v>26</v>
      </c>
      <c r="E1908" s="48" t="s">
        <v>112</v>
      </c>
      <c r="F1908" s="48" t="s">
        <v>70</v>
      </c>
      <c r="G1908" s="48" t="s">
        <v>601</v>
      </c>
      <c r="H1908" s="82" t="n">
        <f aca="false">DATE(YEAR(A1908),MONTH(A1908),1)</f>
        <v>43952</v>
      </c>
    </row>
    <row r="1909" customFormat="false" ht="15" hidden="false" customHeight="false" outlineLevel="0" collapsed="false">
      <c r="A1909" s="81" t="n">
        <v>43970</v>
      </c>
      <c r="B1909" s="48" t="n">
        <v>4</v>
      </c>
      <c r="C1909" s="48" t="n">
        <v>0</v>
      </c>
      <c r="D1909" s="48" t="n">
        <v>0</v>
      </c>
      <c r="E1909" s="48" t="s">
        <v>112</v>
      </c>
      <c r="F1909" s="48" t="s">
        <v>70</v>
      </c>
      <c r="G1909" s="48" t="s">
        <v>623</v>
      </c>
      <c r="H1909" s="82" t="n">
        <f aca="false">DATE(YEAR(A1909),MONTH(A1909),1)</f>
        <v>43952</v>
      </c>
    </row>
    <row r="1910" customFormat="false" ht="15" hidden="false" customHeight="false" outlineLevel="0" collapsed="false">
      <c r="A1910" s="81" t="n">
        <v>43970</v>
      </c>
      <c r="B1910" s="48" t="n">
        <v>5</v>
      </c>
      <c r="C1910" s="48" t="n">
        <v>2</v>
      </c>
      <c r="D1910" s="48" t="n">
        <v>1</v>
      </c>
      <c r="E1910" s="48" t="s">
        <v>112</v>
      </c>
      <c r="F1910" s="48" t="s">
        <v>70</v>
      </c>
      <c r="G1910" s="48" t="s">
        <v>636</v>
      </c>
      <c r="H1910" s="82" t="n">
        <f aca="false">DATE(YEAR(A1910),MONTH(A1910),1)</f>
        <v>43952</v>
      </c>
    </row>
    <row r="1911" customFormat="false" ht="15" hidden="false" customHeight="false" outlineLevel="0" collapsed="false">
      <c r="A1911" s="81" t="n">
        <v>43970</v>
      </c>
      <c r="B1911" s="48" t="n">
        <v>18</v>
      </c>
      <c r="C1911" s="48" t="n">
        <v>0</v>
      </c>
      <c r="D1911" s="48" t="n">
        <v>0</v>
      </c>
      <c r="E1911" s="48" t="s">
        <v>112</v>
      </c>
      <c r="F1911" s="48" t="s">
        <v>76</v>
      </c>
      <c r="G1911" s="48" t="s">
        <v>595</v>
      </c>
      <c r="H1911" s="82" t="n">
        <f aca="false">DATE(YEAR(A1911),MONTH(A1911),1)</f>
        <v>43952</v>
      </c>
    </row>
    <row r="1912" customFormat="false" ht="15" hidden="false" customHeight="false" outlineLevel="0" collapsed="false">
      <c r="A1912" s="81" t="n">
        <v>43970</v>
      </c>
      <c r="B1912" s="48" t="n">
        <v>65</v>
      </c>
      <c r="C1912" s="48" t="n">
        <v>0</v>
      </c>
      <c r="D1912" s="48" t="n">
        <v>84</v>
      </c>
      <c r="E1912" s="48" t="s">
        <v>112</v>
      </c>
      <c r="F1912" s="48" t="s">
        <v>73</v>
      </c>
      <c r="G1912" s="48" t="s">
        <v>93</v>
      </c>
      <c r="H1912" s="82" t="n">
        <f aca="false">DATE(YEAR(A1912),MONTH(A1912),1)</f>
        <v>43952</v>
      </c>
    </row>
    <row r="1913" customFormat="false" ht="15" hidden="false" customHeight="false" outlineLevel="0" collapsed="false">
      <c r="A1913" s="81" t="n">
        <v>43970</v>
      </c>
      <c r="B1913" s="48" t="n">
        <v>709</v>
      </c>
      <c r="C1913" s="48" t="n">
        <v>16</v>
      </c>
      <c r="D1913" s="48" t="n">
        <v>102</v>
      </c>
      <c r="E1913" s="48" t="s">
        <v>112</v>
      </c>
      <c r="F1913" s="48" t="s">
        <v>71</v>
      </c>
      <c r="G1913" s="48" t="s">
        <v>92</v>
      </c>
      <c r="H1913" s="82" t="n">
        <f aca="false">DATE(YEAR(A1913),MONTH(A1913),1)</f>
        <v>43952</v>
      </c>
    </row>
    <row r="1914" customFormat="false" ht="15" hidden="false" customHeight="false" outlineLevel="0" collapsed="false">
      <c r="A1914" s="81" t="n">
        <v>43971</v>
      </c>
      <c r="B1914" s="48" t="n">
        <v>97</v>
      </c>
      <c r="C1914" s="48" t="n">
        <v>1</v>
      </c>
      <c r="D1914" s="48" t="n">
        <v>0</v>
      </c>
      <c r="E1914" s="48" t="s">
        <v>112</v>
      </c>
      <c r="F1914" s="48" t="s">
        <v>74</v>
      </c>
      <c r="G1914" s="48" t="s">
        <v>95</v>
      </c>
      <c r="H1914" s="82" t="n">
        <f aca="false">DATE(YEAR(A1914),MONTH(A1914),1)</f>
        <v>43952</v>
      </c>
    </row>
    <row r="1915" customFormat="false" ht="15" hidden="false" customHeight="false" outlineLevel="0" collapsed="false">
      <c r="A1915" s="81" t="n">
        <v>43971</v>
      </c>
      <c r="B1915" s="48" t="n">
        <v>4</v>
      </c>
      <c r="C1915" s="48" t="n">
        <v>0</v>
      </c>
      <c r="D1915" s="48" t="n">
        <v>0</v>
      </c>
      <c r="E1915" s="48" t="s">
        <v>112</v>
      </c>
      <c r="F1915" s="48" t="s">
        <v>75</v>
      </c>
      <c r="G1915" s="48" t="s">
        <v>649</v>
      </c>
      <c r="H1915" s="82" t="n">
        <f aca="false">DATE(YEAR(A1915),MONTH(A1915),1)</f>
        <v>43952</v>
      </c>
    </row>
    <row r="1916" customFormat="false" ht="15" hidden="false" customHeight="false" outlineLevel="0" collapsed="false">
      <c r="A1916" s="81" t="n">
        <v>43971</v>
      </c>
      <c r="B1916" s="48" t="n">
        <v>0</v>
      </c>
      <c r="C1916" s="48" t="n">
        <v>0</v>
      </c>
      <c r="D1916" s="48" t="n">
        <v>0</v>
      </c>
      <c r="E1916" s="48" t="s">
        <v>112</v>
      </c>
      <c r="F1916" s="48" t="s">
        <v>75</v>
      </c>
      <c r="G1916" s="48" t="s">
        <v>624</v>
      </c>
      <c r="H1916" s="82" t="n">
        <f aca="false">DATE(YEAR(A1916),MONTH(A1916),1)</f>
        <v>43952</v>
      </c>
    </row>
    <row r="1917" customFormat="false" ht="15" hidden="false" customHeight="false" outlineLevel="0" collapsed="false">
      <c r="A1917" s="81" t="n">
        <v>43971</v>
      </c>
      <c r="B1917" s="48" t="n">
        <v>3</v>
      </c>
      <c r="C1917" s="48" t="n">
        <v>0</v>
      </c>
      <c r="D1917" s="48" t="n">
        <v>0</v>
      </c>
      <c r="E1917" s="48" t="s">
        <v>112</v>
      </c>
      <c r="F1917" s="48" t="s">
        <v>75</v>
      </c>
      <c r="G1917" s="48" t="s">
        <v>629</v>
      </c>
      <c r="H1917" s="82" t="n">
        <f aca="false">DATE(YEAR(A1917),MONTH(A1917),1)</f>
        <v>43952</v>
      </c>
    </row>
    <row r="1918" customFormat="false" ht="15" hidden="false" customHeight="false" outlineLevel="0" collapsed="false">
      <c r="A1918" s="81" t="n">
        <v>43971</v>
      </c>
      <c r="B1918" s="48" t="n">
        <v>1</v>
      </c>
      <c r="C1918" s="48" t="n">
        <v>0</v>
      </c>
      <c r="D1918" s="48" t="n">
        <v>0</v>
      </c>
      <c r="E1918" s="48" t="s">
        <v>112</v>
      </c>
      <c r="F1918" s="48" t="s">
        <v>75</v>
      </c>
      <c r="G1918" s="48" t="s">
        <v>103</v>
      </c>
      <c r="H1918" s="82" t="n">
        <f aca="false">DATE(YEAR(A1918),MONTH(A1918),1)</f>
        <v>43952</v>
      </c>
    </row>
    <row r="1919" customFormat="false" ht="15" hidden="false" customHeight="false" outlineLevel="0" collapsed="false">
      <c r="A1919" s="81" t="n">
        <v>43971</v>
      </c>
      <c r="B1919" s="48" t="n">
        <v>0</v>
      </c>
      <c r="C1919" s="48" t="n">
        <v>0</v>
      </c>
      <c r="D1919" s="48" t="n">
        <v>3</v>
      </c>
      <c r="E1919" s="48" t="s">
        <v>112</v>
      </c>
      <c r="F1919" s="48" t="s">
        <v>75</v>
      </c>
      <c r="G1919" s="48" t="s">
        <v>654</v>
      </c>
      <c r="H1919" s="82" t="n">
        <f aca="false">DATE(YEAR(A1919),MONTH(A1919),1)</f>
        <v>43952</v>
      </c>
    </row>
    <row r="1920" customFormat="false" ht="15" hidden="false" customHeight="false" outlineLevel="0" collapsed="false">
      <c r="A1920" s="81" t="n">
        <v>43971</v>
      </c>
      <c r="B1920" s="48" t="n">
        <v>7</v>
      </c>
      <c r="C1920" s="48" t="n">
        <v>0</v>
      </c>
      <c r="D1920" s="48" t="n">
        <v>0</v>
      </c>
      <c r="E1920" s="48" t="s">
        <v>112</v>
      </c>
      <c r="F1920" s="48" t="s">
        <v>75</v>
      </c>
      <c r="G1920" s="48" t="s">
        <v>650</v>
      </c>
      <c r="H1920" s="82" t="n">
        <f aca="false">DATE(YEAR(A1920),MONTH(A1920),1)</f>
        <v>43952</v>
      </c>
    </row>
    <row r="1921" customFormat="false" ht="15" hidden="false" customHeight="false" outlineLevel="0" collapsed="false">
      <c r="A1921" s="81" t="n">
        <v>43971</v>
      </c>
      <c r="B1921" s="48" t="n">
        <v>94</v>
      </c>
      <c r="C1921" s="48" t="n">
        <v>3</v>
      </c>
      <c r="D1921" s="48" t="n">
        <v>0</v>
      </c>
      <c r="E1921" s="48" t="s">
        <v>112</v>
      </c>
      <c r="F1921" s="48" t="s">
        <v>72</v>
      </c>
      <c r="G1921" s="48" t="s">
        <v>94</v>
      </c>
      <c r="H1921" s="82" t="n">
        <f aca="false">DATE(YEAR(A1921),MONTH(A1921),1)</f>
        <v>43952</v>
      </c>
    </row>
    <row r="1922" customFormat="false" ht="15" hidden="false" customHeight="false" outlineLevel="0" collapsed="false">
      <c r="A1922" s="81" t="n">
        <v>43971</v>
      </c>
      <c r="B1922" s="48" t="n">
        <v>1</v>
      </c>
      <c r="C1922" s="48" t="n">
        <v>0</v>
      </c>
      <c r="D1922" s="48" t="n">
        <v>0</v>
      </c>
      <c r="E1922" s="48" t="s">
        <v>112</v>
      </c>
      <c r="F1922" s="48" t="s">
        <v>72</v>
      </c>
      <c r="G1922" s="48" t="s">
        <v>597</v>
      </c>
      <c r="H1922" s="82" t="n">
        <f aca="false">DATE(YEAR(A1922),MONTH(A1922),1)</f>
        <v>43952</v>
      </c>
    </row>
    <row r="1923" customFormat="false" ht="15" hidden="false" customHeight="false" outlineLevel="0" collapsed="false">
      <c r="A1923" s="81" t="n">
        <v>43971</v>
      </c>
      <c r="B1923" s="48" t="n">
        <v>14</v>
      </c>
      <c r="C1923" s="48" t="n">
        <v>1</v>
      </c>
      <c r="D1923" s="48" t="n">
        <v>0</v>
      </c>
      <c r="E1923" s="48" t="s">
        <v>112</v>
      </c>
      <c r="F1923" s="48" t="s">
        <v>72</v>
      </c>
      <c r="G1923" s="48" t="s">
        <v>594</v>
      </c>
      <c r="H1923" s="82" t="n">
        <f aca="false">DATE(YEAR(A1923),MONTH(A1923),1)</f>
        <v>43952</v>
      </c>
    </row>
    <row r="1924" customFormat="false" ht="15" hidden="false" customHeight="false" outlineLevel="0" collapsed="false">
      <c r="A1924" s="81" t="n">
        <v>43971</v>
      </c>
      <c r="B1924" s="48" t="n">
        <v>6</v>
      </c>
      <c r="C1924" s="48" t="n">
        <v>0</v>
      </c>
      <c r="D1924" s="48" t="n">
        <v>12</v>
      </c>
      <c r="E1924" s="48" t="s">
        <v>112</v>
      </c>
      <c r="F1924" s="48" t="s">
        <v>72</v>
      </c>
      <c r="G1924" s="48" t="s">
        <v>599</v>
      </c>
      <c r="H1924" s="82" t="n">
        <f aca="false">DATE(YEAR(A1924),MONTH(A1924),1)</f>
        <v>43952</v>
      </c>
    </row>
    <row r="1925" customFormat="false" ht="15" hidden="false" customHeight="false" outlineLevel="0" collapsed="false">
      <c r="A1925" s="81" t="n">
        <v>43971</v>
      </c>
      <c r="B1925" s="48" t="n">
        <v>2</v>
      </c>
      <c r="C1925" s="48" t="n">
        <v>0</v>
      </c>
      <c r="D1925" s="48" t="n">
        <v>0</v>
      </c>
      <c r="E1925" s="48" t="s">
        <v>112</v>
      </c>
      <c r="F1925" s="48" t="s">
        <v>72</v>
      </c>
      <c r="G1925" s="48" t="s">
        <v>656</v>
      </c>
      <c r="H1925" s="82" t="n">
        <f aca="false">DATE(YEAR(A1925),MONTH(A1925),1)</f>
        <v>43952</v>
      </c>
    </row>
    <row r="1926" customFormat="false" ht="15" hidden="false" customHeight="false" outlineLevel="0" collapsed="false">
      <c r="A1926" s="81" t="n">
        <v>43971</v>
      </c>
      <c r="B1926" s="48" t="n">
        <v>3</v>
      </c>
      <c r="C1926" s="48" t="n">
        <v>0</v>
      </c>
      <c r="D1926" s="48" t="n">
        <v>9</v>
      </c>
      <c r="E1926" s="48" t="s">
        <v>112</v>
      </c>
      <c r="F1926" s="48" t="s">
        <v>72</v>
      </c>
      <c r="G1926" s="48" t="s">
        <v>102</v>
      </c>
      <c r="H1926" s="82" t="n">
        <f aca="false">DATE(YEAR(A1926),MONTH(A1926),1)</f>
        <v>43952</v>
      </c>
    </row>
    <row r="1927" customFormat="false" ht="15" hidden="false" customHeight="false" outlineLevel="0" collapsed="false">
      <c r="A1927" s="81" t="n">
        <v>43971</v>
      </c>
      <c r="B1927" s="48" t="n">
        <v>1</v>
      </c>
      <c r="C1927" s="48" t="n">
        <v>0</v>
      </c>
      <c r="D1927" s="48" t="n">
        <v>0</v>
      </c>
      <c r="E1927" s="48" t="s">
        <v>112</v>
      </c>
      <c r="F1927" s="48" t="s">
        <v>72</v>
      </c>
      <c r="G1927" s="48" t="s">
        <v>611</v>
      </c>
      <c r="H1927" s="82" t="n">
        <f aca="false">DATE(YEAR(A1927),MONTH(A1927),1)</f>
        <v>43952</v>
      </c>
    </row>
    <row r="1928" customFormat="false" ht="15" hidden="false" customHeight="false" outlineLevel="0" collapsed="false">
      <c r="A1928" s="81" t="n">
        <v>43971</v>
      </c>
      <c r="B1928" s="48" t="n">
        <v>24</v>
      </c>
      <c r="C1928" s="48" t="n">
        <v>1</v>
      </c>
      <c r="D1928" s="48" t="n">
        <v>7</v>
      </c>
      <c r="E1928" s="48" t="s">
        <v>112</v>
      </c>
      <c r="F1928" s="48" t="s">
        <v>72</v>
      </c>
      <c r="G1928" s="48" t="s">
        <v>96</v>
      </c>
      <c r="H1928" s="82" t="n">
        <f aca="false">DATE(YEAR(A1928),MONTH(A1928),1)</f>
        <v>43952</v>
      </c>
    </row>
    <row r="1929" customFormat="false" ht="15" hidden="false" customHeight="false" outlineLevel="0" collapsed="false">
      <c r="A1929" s="81" t="n">
        <v>43971</v>
      </c>
      <c r="B1929" s="48" t="n">
        <v>1</v>
      </c>
      <c r="C1929" s="48" t="n">
        <v>0</v>
      </c>
      <c r="D1929" s="48" t="n">
        <v>10</v>
      </c>
      <c r="E1929" s="48" t="s">
        <v>112</v>
      </c>
      <c r="F1929" s="48" t="s">
        <v>72</v>
      </c>
      <c r="G1929" s="48" t="s">
        <v>603</v>
      </c>
      <c r="H1929" s="82" t="n">
        <f aca="false">DATE(YEAR(A1929),MONTH(A1929),1)</f>
        <v>43952</v>
      </c>
    </row>
    <row r="1930" customFormat="false" ht="15" hidden="false" customHeight="false" outlineLevel="0" collapsed="false">
      <c r="A1930" s="81" t="n">
        <v>43971</v>
      </c>
      <c r="B1930" s="48" t="n">
        <v>0</v>
      </c>
      <c r="C1930" s="48" t="n">
        <v>1</v>
      </c>
      <c r="D1930" s="48" t="n">
        <v>0</v>
      </c>
      <c r="E1930" s="48" t="s">
        <v>112</v>
      </c>
      <c r="F1930" s="48" t="s">
        <v>72</v>
      </c>
      <c r="G1930" s="48" t="s">
        <v>591</v>
      </c>
      <c r="H1930" s="82" t="n">
        <f aca="false">DATE(YEAR(A1930),MONTH(A1930),1)</f>
        <v>43952</v>
      </c>
    </row>
    <row r="1931" customFormat="false" ht="15" hidden="false" customHeight="false" outlineLevel="0" collapsed="false">
      <c r="A1931" s="81" t="n">
        <v>43971</v>
      </c>
      <c r="B1931" s="48" t="n">
        <v>1</v>
      </c>
      <c r="C1931" s="48" t="n">
        <v>0</v>
      </c>
      <c r="D1931" s="48" t="n">
        <v>1</v>
      </c>
      <c r="E1931" s="48" t="s">
        <v>112</v>
      </c>
      <c r="F1931" s="48" t="s">
        <v>72</v>
      </c>
      <c r="G1931" s="48" t="s">
        <v>598</v>
      </c>
      <c r="H1931" s="82" t="n">
        <f aca="false">DATE(YEAR(A1931),MONTH(A1931),1)</f>
        <v>43952</v>
      </c>
    </row>
    <row r="1932" customFormat="false" ht="15" hidden="false" customHeight="false" outlineLevel="0" collapsed="false">
      <c r="A1932" s="81" t="n">
        <v>43971</v>
      </c>
      <c r="B1932" s="48" t="n">
        <v>8</v>
      </c>
      <c r="C1932" s="48" t="n">
        <v>0</v>
      </c>
      <c r="D1932" s="48" t="n">
        <v>1</v>
      </c>
      <c r="E1932" s="48" t="s">
        <v>112</v>
      </c>
      <c r="F1932" s="48" t="s">
        <v>72</v>
      </c>
      <c r="G1932" s="48" t="s">
        <v>609</v>
      </c>
      <c r="H1932" s="82" t="n">
        <f aca="false">DATE(YEAR(A1932),MONTH(A1932),1)</f>
        <v>43952</v>
      </c>
    </row>
    <row r="1933" customFormat="false" ht="15" hidden="false" customHeight="false" outlineLevel="0" collapsed="false">
      <c r="A1933" s="81" t="n">
        <v>43971</v>
      </c>
      <c r="B1933" s="48" t="n">
        <v>7</v>
      </c>
      <c r="C1933" s="48" t="n">
        <v>0</v>
      </c>
      <c r="D1933" s="48" t="n">
        <v>0</v>
      </c>
      <c r="E1933" s="48" t="s">
        <v>112</v>
      </c>
      <c r="F1933" s="48" t="s">
        <v>72</v>
      </c>
      <c r="G1933" s="48" t="s">
        <v>101</v>
      </c>
      <c r="H1933" s="82" t="n">
        <f aca="false">DATE(YEAR(A1933),MONTH(A1933),1)</f>
        <v>43952</v>
      </c>
    </row>
    <row r="1934" customFormat="false" ht="15" hidden="false" customHeight="false" outlineLevel="0" collapsed="false">
      <c r="A1934" s="81" t="n">
        <v>43971</v>
      </c>
      <c r="B1934" s="48" t="n">
        <v>0</v>
      </c>
      <c r="C1934" s="48" t="n">
        <v>0</v>
      </c>
      <c r="D1934" s="48" t="n">
        <v>1</v>
      </c>
      <c r="E1934" s="48" t="s">
        <v>112</v>
      </c>
      <c r="F1934" s="48" t="s">
        <v>72</v>
      </c>
      <c r="G1934" s="48" t="s">
        <v>643</v>
      </c>
      <c r="H1934" s="82" t="n">
        <f aca="false">DATE(YEAR(A1934),MONTH(A1934),1)</f>
        <v>43952</v>
      </c>
    </row>
    <row r="1935" customFormat="false" ht="15" hidden="false" customHeight="false" outlineLevel="0" collapsed="false">
      <c r="A1935" s="81" t="n">
        <v>43971</v>
      </c>
      <c r="B1935" s="48" t="n">
        <v>0</v>
      </c>
      <c r="C1935" s="48" t="n">
        <v>0</v>
      </c>
      <c r="D1935" s="48" t="n">
        <v>0</v>
      </c>
      <c r="E1935" s="48" t="s">
        <v>112</v>
      </c>
      <c r="F1935" s="48" t="s">
        <v>72</v>
      </c>
      <c r="G1935" s="48" t="s">
        <v>662</v>
      </c>
      <c r="H1935" s="82" t="n">
        <f aca="false">DATE(YEAR(A1935),MONTH(A1935),1)</f>
        <v>43952</v>
      </c>
    </row>
    <row r="1936" customFormat="false" ht="15" hidden="false" customHeight="false" outlineLevel="0" collapsed="false">
      <c r="A1936" s="81" t="n">
        <v>43971</v>
      </c>
      <c r="B1936" s="48" t="n">
        <v>6</v>
      </c>
      <c r="C1936" s="48" t="n">
        <v>0</v>
      </c>
      <c r="D1936" s="48" t="n">
        <v>5</v>
      </c>
      <c r="E1936" s="48" t="s">
        <v>112</v>
      </c>
      <c r="F1936" s="48" t="s">
        <v>72</v>
      </c>
      <c r="G1936" s="48" t="s">
        <v>600</v>
      </c>
      <c r="H1936" s="82" t="n">
        <f aca="false">DATE(YEAR(A1936),MONTH(A1936),1)</f>
        <v>43952</v>
      </c>
    </row>
    <row r="1937" customFormat="false" ht="15" hidden="false" customHeight="false" outlineLevel="0" collapsed="false">
      <c r="A1937" s="81" t="n">
        <v>43971</v>
      </c>
      <c r="B1937" s="48" t="n">
        <v>0</v>
      </c>
      <c r="C1937" s="48" t="n">
        <v>0</v>
      </c>
      <c r="D1937" s="48" t="n">
        <v>0</v>
      </c>
      <c r="E1937" s="48" t="s">
        <v>112</v>
      </c>
      <c r="F1937" s="48" t="s">
        <v>72</v>
      </c>
      <c r="G1937" s="48" t="s">
        <v>610</v>
      </c>
      <c r="H1937" s="82" t="n">
        <f aca="false">DATE(YEAR(A1937),MONTH(A1937),1)</f>
        <v>43952</v>
      </c>
    </row>
    <row r="1938" customFormat="false" ht="15" hidden="false" customHeight="false" outlineLevel="0" collapsed="false">
      <c r="A1938" s="81" t="n">
        <v>43971</v>
      </c>
      <c r="B1938" s="48" t="n">
        <v>7</v>
      </c>
      <c r="C1938" s="48" t="n">
        <v>0</v>
      </c>
      <c r="D1938" s="48" t="n">
        <v>2</v>
      </c>
      <c r="E1938" s="48" t="s">
        <v>112</v>
      </c>
      <c r="F1938" s="48" t="s">
        <v>72</v>
      </c>
      <c r="G1938" s="48" t="s">
        <v>593</v>
      </c>
      <c r="H1938" s="82" t="n">
        <f aca="false">DATE(YEAR(A1938),MONTH(A1938),1)</f>
        <v>43952</v>
      </c>
    </row>
    <row r="1939" customFormat="false" ht="15" hidden="false" customHeight="false" outlineLevel="0" collapsed="false">
      <c r="A1939" s="81" t="n">
        <v>43971</v>
      </c>
      <c r="B1939" s="48" t="n">
        <v>5</v>
      </c>
      <c r="C1939" s="48" t="n">
        <v>0</v>
      </c>
      <c r="D1939" s="48" t="n">
        <v>0</v>
      </c>
      <c r="E1939" s="48" t="s">
        <v>112</v>
      </c>
      <c r="F1939" s="48" t="s">
        <v>72</v>
      </c>
      <c r="G1939" s="48" t="s">
        <v>612</v>
      </c>
      <c r="H1939" s="82" t="n">
        <f aca="false">DATE(YEAR(A1939),MONTH(A1939),1)</f>
        <v>43952</v>
      </c>
    </row>
    <row r="1940" customFormat="false" ht="15" hidden="false" customHeight="false" outlineLevel="0" collapsed="false">
      <c r="A1940" s="81" t="n">
        <v>43971</v>
      </c>
      <c r="B1940" s="48" t="n">
        <v>0</v>
      </c>
      <c r="C1940" s="48" t="n">
        <v>0</v>
      </c>
      <c r="D1940" s="48" t="n">
        <v>0</v>
      </c>
      <c r="E1940" s="48" t="s">
        <v>112</v>
      </c>
      <c r="F1940" s="48" t="s">
        <v>72</v>
      </c>
      <c r="G1940" s="48" t="s">
        <v>685</v>
      </c>
      <c r="H1940" s="82" t="n">
        <f aca="false">DATE(YEAR(A1940),MONTH(A1940),1)</f>
        <v>43952</v>
      </c>
    </row>
    <row r="1941" customFormat="false" ht="15" hidden="false" customHeight="false" outlineLevel="0" collapsed="false">
      <c r="A1941" s="81" t="n">
        <v>43971</v>
      </c>
      <c r="B1941" s="48" t="n">
        <v>0</v>
      </c>
      <c r="C1941" s="48" t="n">
        <v>0</v>
      </c>
      <c r="D1941" s="48" t="n">
        <v>0</v>
      </c>
      <c r="E1941" s="48" t="s">
        <v>112</v>
      </c>
      <c r="F1941" s="48" t="s">
        <v>72</v>
      </c>
      <c r="G1941" s="48" t="s">
        <v>687</v>
      </c>
      <c r="H1941" s="82" t="n">
        <f aca="false">DATE(YEAR(A1941),MONTH(A1941),1)</f>
        <v>43952</v>
      </c>
    </row>
    <row r="1942" customFormat="false" ht="15" hidden="false" customHeight="false" outlineLevel="0" collapsed="false">
      <c r="A1942" s="81" t="n">
        <v>43971</v>
      </c>
      <c r="B1942" s="48" t="n">
        <v>0</v>
      </c>
      <c r="C1942" s="48" t="n">
        <v>0</v>
      </c>
      <c r="D1942" s="48" t="n">
        <v>0</v>
      </c>
      <c r="E1942" s="48" t="s">
        <v>112</v>
      </c>
      <c r="F1942" s="48" t="s">
        <v>72</v>
      </c>
      <c r="G1942" s="48" t="s">
        <v>682</v>
      </c>
      <c r="H1942" s="82" t="n">
        <f aca="false">DATE(YEAR(A1942),MONTH(A1942),1)</f>
        <v>43952</v>
      </c>
    </row>
    <row r="1943" customFormat="false" ht="15" hidden="false" customHeight="false" outlineLevel="0" collapsed="false">
      <c r="A1943" s="81" t="n">
        <v>43971</v>
      </c>
      <c r="B1943" s="48" t="n">
        <v>0</v>
      </c>
      <c r="C1943" s="48" t="n">
        <v>0</v>
      </c>
      <c r="D1943" s="48" t="n">
        <v>0</v>
      </c>
      <c r="E1943" s="48" t="s">
        <v>112</v>
      </c>
      <c r="F1943" s="48" t="s">
        <v>72</v>
      </c>
      <c r="G1943" s="48" t="s">
        <v>692</v>
      </c>
      <c r="H1943" s="82" t="n">
        <f aca="false">DATE(YEAR(A1943),MONTH(A1943),1)</f>
        <v>43952</v>
      </c>
    </row>
    <row r="1944" customFormat="false" ht="15" hidden="false" customHeight="false" outlineLevel="0" collapsed="false">
      <c r="A1944" s="81" t="n">
        <v>43971</v>
      </c>
      <c r="B1944" s="48" t="n">
        <v>1</v>
      </c>
      <c r="C1944" s="48" t="n">
        <v>0</v>
      </c>
      <c r="D1944" s="48" t="n">
        <v>8</v>
      </c>
      <c r="E1944" s="48" t="s">
        <v>112</v>
      </c>
      <c r="F1944" s="48" t="s">
        <v>72</v>
      </c>
      <c r="G1944" s="48" t="s">
        <v>613</v>
      </c>
      <c r="H1944" s="82" t="n">
        <f aca="false">DATE(YEAR(A1944),MONTH(A1944),1)</f>
        <v>43952</v>
      </c>
    </row>
    <row r="1945" customFormat="false" ht="15" hidden="false" customHeight="false" outlineLevel="0" collapsed="false">
      <c r="A1945" s="81" t="n">
        <v>43971</v>
      </c>
      <c r="B1945" s="48" t="n">
        <v>2</v>
      </c>
      <c r="C1945" s="48" t="n">
        <v>0</v>
      </c>
      <c r="D1945" s="48" t="n">
        <v>1</v>
      </c>
      <c r="E1945" s="48" t="s">
        <v>112</v>
      </c>
      <c r="F1945" s="48" t="s">
        <v>72</v>
      </c>
      <c r="G1945" s="48" t="s">
        <v>614</v>
      </c>
      <c r="H1945" s="82" t="n">
        <f aca="false">DATE(YEAR(A1945),MONTH(A1945),1)</f>
        <v>43952</v>
      </c>
    </row>
    <row r="1946" customFormat="false" ht="15" hidden="false" customHeight="false" outlineLevel="0" collapsed="false">
      <c r="A1946" s="81" t="n">
        <v>43971</v>
      </c>
      <c r="B1946" s="48" t="n">
        <v>0</v>
      </c>
      <c r="C1946" s="48" t="n">
        <v>0</v>
      </c>
      <c r="D1946" s="48" t="n">
        <v>0</v>
      </c>
      <c r="E1946" s="48" t="s">
        <v>112</v>
      </c>
      <c r="F1946" s="48" t="s">
        <v>72</v>
      </c>
      <c r="G1946" s="48" t="s">
        <v>655</v>
      </c>
      <c r="H1946" s="82" t="n">
        <f aca="false">DATE(YEAR(A1946),MONTH(A1946),1)</f>
        <v>43952</v>
      </c>
    </row>
    <row r="1947" customFormat="false" ht="15" hidden="false" customHeight="false" outlineLevel="0" collapsed="false">
      <c r="A1947" s="81" t="n">
        <v>43971</v>
      </c>
      <c r="B1947" s="48" t="n">
        <v>0</v>
      </c>
      <c r="C1947" s="48" t="n">
        <v>0</v>
      </c>
      <c r="D1947" s="48" t="n">
        <v>0</v>
      </c>
      <c r="E1947" s="48" t="s">
        <v>112</v>
      </c>
      <c r="F1947" s="48" t="s">
        <v>72</v>
      </c>
      <c r="G1947" s="48" t="s">
        <v>608</v>
      </c>
      <c r="H1947" s="82" t="n">
        <f aca="false">DATE(YEAR(A1947),MONTH(A1947),1)</f>
        <v>43952</v>
      </c>
    </row>
    <row r="1948" customFormat="false" ht="15" hidden="false" customHeight="false" outlineLevel="0" collapsed="false">
      <c r="A1948" s="81" t="n">
        <v>43971</v>
      </c>
      <c r="B1948" s="48" t="n">
        <v>0</v>
      </c>
      <c r="C1948" s="48" t="n">
        <v>0</v>
      </c>
      <c r="D1948" s="48" t="n">
        <v>0</v>
      </c>
      <c r="E1948" s="48" t="s">
        <v>112</v>
      </c>
      <c r="F1948" s="48" t="s">
        <v>72</v>
      </c>
      <c r="G1948" s="48" t="s">
        <v>615</v>
      </c>
      <c r="H1948" s="82" t="n">
        <f aca="false">DATE(YEAR(A1948),MONTH(A1948),1)</f>
        <v>43952</v>
      </c>
    </row>
    <row r="1949" customFormat="false" ht="15" hidden="false" customHeight="false" outlineLevel="0" collapsed="false">
      <c r="A1949" s="81" t="n">
        <v>43971</v>
      </c>
      <c r="B1949" s="48" t="n">
        <v>0</v>
      </c>
      <c r="C1949" s="48" t="n">
        <v>0</v>
      </c>
      <c r="D1949" s="48" t="n">
        <v>0</v>
      </c>
      <c r="E1949" s="48" t="s">
        <v>112</v>
      </c>
      <c r="F1949" s="48" t="s">
        <v>72</v>
      </c>
      <c r="G1949" s="48" t="s">
        <v>666</v>
      </c>
      <c r="H1949" s="82" t="n">
        <f aca="false">DATE(YEAR(A1949),MONTH(A1949),1)</f>
        <v>43952</v>
      </c>
    </row>
    <row r="1950" customFormat="false" ht="15" hidden="false" customHeight="false" outlineLevel="0" collapsed="false">
      <c r="A1950" s="81" t="n">
        <v>43971</v>
      </c>
      <c r="B1950" s="48" t="n">
        <v>0</v>
      </c>
      <c r="C1950" s="48" t="n">
        <v>0</v>
      </c>
      <c r="D1950" s="48" t="n">
        <v>0</v>
      </c>
      <c r="E1950" s="48" t="s">
        <v>112</v>
      </c>
      <c r="F1950" s="48" t="s">
        <v>72</v>
      </c>
      <c r="G1950" s="48" t="s">
        <v>621</v>
      </c>
      <c r="H1950" s="82" t="n">
        <f aca="false">DATE(YEAR(A1950),MONTH(A1950),1)</f>
        <v>43952</v>
      </c>
    </row>
    <row r="1951" customFormat="false" ht="15" hidden="false" customHeight="false" outlineLevel="0" collapsed="false">
      <c r="A1951" s="81" t="n">
        <v>43971</v>
      </c>
      <c r="B1951" s="48" t="n">
        <v>0</v>
      </c>
      <c r="C1951" s="48" t="n">
        <v>0</v>
      </c>
      <c r="D1951" s="48" t="n">
        <v>0</v>
      </c>
      <c r="E1951" s="48" t="s">
        <v>112</v>
      </c>
      <c r="F1951" s="48" t="s">
        <v>72</v>
      </c>
      <c r="G1951" s="48" t="s">
        <v>664</v>
      </c>
      <c r="H1951" s="82" t="n">
        <f aca="false">DATE(YEAR(A1951),MONTH(A1951),1)</f>
        <v>43952</v>
      </c>
    </row>
    <row r="1952" customFormat="false" ht="15" hidden="false" customHeight="false" outlineLevel="0" collapsed="false">
      <c r="A1952" s="81" t="n">
        <v>43971</v>
      </c>
      <c r="B1952" s="48" t="n">
        <v>0</v>
      </c>
      <c r="C1952" s="48" t="n">
        <v>0</v>
      </c>
      <c r="D1952" s="48" t="n">
        <v>0</v>
      </c>
      <c r="E1952" s="48" t="s">
        <v>112</v>
      </c>
      <c r="F1952" s="48" t="s">
        <v>72</v>
      </c>
      <c r="G1952" s="48" t="s">
        <v>667</v>
      </c>
      <c r="H1952" s="82" t="n">
        <f aca="false">DATE(YEAR(A1952),MONTH(A1952),1)</f>
        <v>43952</v>
      </c>
    </row>
    <row r="1953" customFormat="false" ht="15" hidden="false" customHeight="false" outlineLevel="0" collapsed="false">
      <c r="A1953" s="81" t="n">
        <v>43971</v>
      </c>
      <c r="B1953" s="48" t="n">
        <v>8</v>
      </c>
      <c r="C1953" s="48" t="n">
        <v>0</v>
      </c>
      <c r="D1953" s="48" t="n">
        <v>0</v>
      </c>
      <c r="E1953" s="48" t="s">
        <v>112</v>
      </c>
      <c r="F1953" s="48" t="s">
        <v>72</v>
      </c>
      <c r="G1953" s="48" t="s">
        <v>607</v>
      </c>
      <c r="H1953" s="82" t="n">
        <f aca="false">DATE(YEAR(A1953),MONTH(A1953),1)</f>
        <v>43952</v>
      </c>
    </row>
    <row r="1954" customFormat="false" ht="15" hidden="false" customHeight="false" outlineLevel="0" collapsed="false">
      <c r="A1954" s="81" t="n">
        <v>43971</v>
      </c>
      <c r="B1954" s="48" t="n">
        <v>0</v>
      </c>
      <c r="C1954" s="48" t="n">
        <v>0</v>
      </c>
      <c r="D1954" s="48" t="n">
        <v>6</v>
      </c>
      <c r="E1954" s="48" t="s">
        <v>112</v>
      </c>
      <c r="F1954" s="48" t="s">
        <v>72</v>
      </c>
      <c r="G1954" s="48" t="s">
        <v>673</v>
      </c>
      <c r="H1954" s="82" t="n">
        <f aca="false">DATE(YEAR(A1954),MONTH(A1954),1)</f>
        <v>43952</v>
      </c>
    </row>
    <row r="1955" customFormat="false" ht="15" hidden="false" customHeight="false" outlineLevel="0" collapsed="false">
      <c r="A1955" s="81" t="n">
        <v>43971</v>
      </c>
      <c r="B1955" s="48" t="n">
        <v>0</v>
      </c>
      <c r="C1955" s="48" t="n">
        <v>0</v>
      </c>
      <c r="D1955" s="48" t="n">
        <v>0</v>
      </c>
      <c r="E1955" s="48" t="s">
        <v>112</v>
      </c>
      <c r="F1955" s="48" t="s">
        <v>72</v>
      </c>
      <c r="G1955" s="48" t="s">
        <v>676</v>
      </c>
      <c r="H1955" s="82" t="n">
        <f aca="false">DATE(YEAR(A1955),MONTH(A1955),1)</f>
        <v>43952</v>
      </c>
    </row>
    <row r="1956" customFormat="false" ht="15" hidden="false" customHeight="false" outlineLevel="0" collapsed="false">
      <c r="A1956" s="81" t="n">
        <v>43971</v>
      </c>
      <c r="B1956" s="48" t="n">
        <v>872</v>
      </c>
      <c r="C1956" s="48" t="n">
        <v>12</v>
      </c>
      <c r="D1956" s="48" t="n">
        <v>741</v>
      </c>
      <c r="E1956" s="48" t="s">
        <v>112</v>
      </c>
      <c r="F1956" s="48" t="s">
        <v>70</v>
      </c>
      <c r="G1956" s="48" t="s">
        <v>91</v>
      </c>
      <c r="H1956" s="82" t="n">
        <f aca="false">DATE(YEAR(A1956),MONTH(A1956),1)</f>
        <v>43952</v>
      </c>
    </row>
    <row r="1957" customFormat="false" ht="15" hidden="false" customHeight="false" outlineLevel="0" collapsed="false">
      <c r="A1957" s="81" t="n">
        <v>43971</v>
      </c>
      <c r="B1957" s="48" t="n">
        <v>27</v>
      </c>
      <c r="C1957" s="48" t="n">
        <v>2</v>
      </c>
      <c r="D1957" s="48" t="n">
        <v>1</v>
      </c>
      <c r="E1957" s="48" t="s">
        <v>112</v>
      </c>
      <c r="F1957" s="48" t="s">
        <v>70</v>
      </c>
      <c r="G1957" s="48" t="s">
        <v>99</v>
      </c>
      <c r="H1957" s="82" t="n">
        <f aca="false">DATE(YEAR(A1957),MONTH(A1957),1)</f>
        <v>43952</v>
      </c>
    </row>
    <row r="1958" customFormat="false" ht="15" hidden="false" customHeight="false" outlineLevel="0" collapsed="false">
      <c r="A1958" s="81" t="n">
        <v>43971</v>
      </c>
      <c r="B1958" s="48" t="n">
        <v>0</v>
      </c>
      <c r="C1958" s="48" t="n">
        <v>0</v>
      </c>
      <c r="D1958" s="48" t="n">
        <v>9</v>
      </c>
      <c r="E1958" s="48" t="s">
        <v>112</v>
      </c>
      <c r="F1958" s="48" t="s">
        <v>70</v>
      </c>
      <c r="G1958" s="48" t="s">
        <v>619</v>
      </c>
      <c r="H1958" s="82" t="n">
        <f aca="false">DATE(YEAR(A1958),MONTH(A1958),1)</f>
        <v>43952</v>
      </c>
    </row>
    <row r="1959" customFormat="false" ht="15" hidden="false" customHeight="false" outlineLevel="0" collapsed="false">
      <c r="A1959" s="81" t="n">
        <v>43971</v>
      </c>
      <c r="B1959" s="48" t="n">
        <v>8</v>
      </c>
      <c r="C1959" s="48" t="n">
        <v>1</v>
      </c>
      <c r="D1959" s="48" t="n">
        <v>2</v>
      </c>
      <c r="E1959" s="48" t="s">
        <v>112</v>
      </c>
      <c r="F1959" s="48" t="s">
        <v>70</v>
      </c>
      <c r="G1959" s="48" t="s">
        <v>633</v>
      </c>
      <c r="H1959" s="82" t="n">
        <f aca="false">DATE(YEAR(A1959),MONTH(A1959),1)</f>
        <v>43952</v>
      </c>
    </row>
    <row r="1960" customFormat="false" ht="15" hidden="false" customHeight="false" outlineLevel="0" collapsed="false">
      <c r="A1960" s="81" t="n">
        <v>43971</v>
      </c>
      <c r="B1960" s="48" t="n">
        <v>6</v>
      </c>
      <c r="C1960" s="48" t="n">
        <v>1</v>
      </c>
      <c r="D1960" s="48" t="n">
        <v>21</v>
      </c>
      <c r="E1960" s="48" t="s">
        <v>112</v>
      </c>
      <c r="F1960" s="48" t="s">
        <v>70</v>
      </c>
      <c r="G1960" s="48" t="s">
        <v>605</v>
      </c>
      <c r="H1960" s="82" t="n">
        <f aca="false">DATE(YEAR(A1960),MONTH(A1960),1)</f>
        <v>43952</v>
      </c>
    </row>
    <row r="1961" customFormat="false" ht="15" hidden="false" customHeight="false" outlineLevel="0" collapsed="false">
      <c r="A1961" s="81" t="n">
        <v>43971</v>
      </c>
      <c r="B1961" s="48" t="n">
        <v>0</v>
      </c>
      <c r="C1961" s="48" t="n">
        <v>0</v>
      </c>
      <c r="D1961" s="48" t="n">
        <v>10</v>
      </c>
      <c r="E1961" s="48" t="s">
        <v>112</v>
      </c>
      <c r="F1961" s="48" t="s">
        <v>70</v>
      </c>
      <c r="G1961" s="48" t="s">
        <v>641</v>
      </c>
      <c r="H1961" s="82" t="n">
        <f aca="false">DATE(YEAR(A1961),MONTH(A1961),1)</f>
        <v>43952</v>
      </c>
    </row>
    <row r="1962" customFormat="false" ht="15" hidden="false" customHeight="false" outlineLevel="0" collapsed="false">
      <c r="A1962" s="81" t="n">
        <v>43971</v>
      </c>
      <c r="B1962" s="48" t="n">
        <v>2</v>
      </c>
      <c r="C1962" s="48" t="n">
        <v>0</v>
      </c>
      <c r="D1962" s="48" t="n">
        <v>8</v>
      </c>
      <c r="E1962" s="48" t="s">
        <v>112</v>
      </c>
      <c r="F1962" s="48" t="s">
        <v>70</v>
      </c>
      <c r="G1962" s="48" t="s">
        <v>644</v>
      </c>
      <c r="H1962" s="82" t="n">
        <f aca="false">DATE(YEAR(A1962),MONTH(A1962),1)</f>
        <v>43952</v>
      </c>
    </row>
    <row r="1963" customFormat="false" ht="15" hidden="false" customHeight="false" outlineLevel="0" collapsed="false">
      <c r="A1963" s="81" t="n">
        <v>43971</v>
      </c>
      <c r="B1963" s="48" t="n">
        <v>7</v>
      </c>
      <c r="C1963" s="48" t="n">
        <v>0</v>
      </c>
      <c r="D1963" s="48" t="n">
        <v>0</v>
      </c>
      <c r="E1963" s="48" t="s">
        <v>112</v>
      </c>
      <c r="F1963" s="48" t="s">
        <v>70</v>
      </c>
      <c r="G1963" s="48" t="s">
        <v>637</v>
      </c>
      <c r="H1963" s="82" t="n">
        <f aca="false">DATE(YEAR(A1963),MONTH(A1963),1)</f>
        <v>43952</v>
      </c>
    </row>
    <row r="1964" customFormat="false" ht="15" hidden="false" customHeight="false" outlineLevel="0" collapsed="false">
      <c r="A1964" s="81" t="n">
        <v>43971</v>
      </c>
      <c r="B1964" s="48" t="n">
        <v>4</v>
      </c>
      <c r="C1964" s="48" t="n">
        <v>0</v>
      </c>
      <c r="D1964" s="48" t="n">
        <v>9</v>
      </c>
      <c r="E1964" s="48" t="s">
        <v>112</v>
      </c>
      <c r="F1964" s="48" t="s">
        <v>70</v>
      </c>
      <c r="G1964" s="48" t="s">
        <v>630</v>
      </c>
      <c r="H1964" s="82" t="n">
        <f aca="false">DATE(YEAR(A1964),MONTH(A1964),1)</f>
        <v>43952</v>
      </c>
    </row>
    <row r="1965" customFormat="false" ht="15" hidden="false" customHeight="false" outlineLevel="0" collapsed="false">
      <c r="A1965" s="81" t="n">
        <v>43971</v>
      </c>
      <c r="B1965" s="48" t="n">
        <v>0</v>
      </c>
      <c r="C1965" s="48" t="n">
        <v>0</v>
      </c>
      <c r="D1965" s="48" t="n">
        <v>0</v>
      </c>
      <c r="E1965" s="48" t="s">
        <v>112</v>
      </c>
      <c r="F1965" s="48" t="s">
        <v>70</v>
      </c>
      <c r="G1965" s="48" t="s">
        <v>642</v>
      </c>
      <c r="H1965" s="82" t="n">
        <f aca="false">DATE(YEAR(A1965),MONTH(A1965),1)</f>
        <v>43952</v>
      </c>
    </row>
    <row r="1966" customFormat="false" ht="15" hidden="false" customHeight="false" outlineLevel="0" collapsed="false">
      <c r="A1966" s="81" t="n">
        <v>43971</v>
      </c>
      <c r="B1966" s="48" t="n">
        <v>0</v>
      </c>
      <c r="C1966" s="48" t="n">
        <v>0</v>
      </c>
      <c r="D1966" s="48" t="n">
        <v>5</v>
      </c>
      <c r="E1966" s="48" t="s">
        <v>112</v>
      </c>
      <c r="F1966" s="48" t="s">
        <v>70</v>
      </c>
      <c r="G1966" s="48" t="s">
        <v>671</v>
      </c>
      <c r="H1966" s="82" t="n">
        <f aca="false">DATE(YEAR(A1966),MONTH(A1966),1)</f>
        <v>43952</v>
      </c>
    </row>
    <row r="1967" customFormat="false" ht="15" hidden="false" customHeight="false" outlineLevel="0" collapsed="false">
      <c r="A1967" s="81" t="n">
        <v>43971</v>
      </c>
      <c r="B1967" s="48" t="n">
        <v>15</v>
      </c>
      <c r="C1967" s="48" t="n">
        <v>0</v>
      </c>
      <c r="D1967" s="48" t="n">
        <v>1</v>
      </c>
      <c r="E1967" s="48" t="s">
        <v>112</v>
      </c>
      <c r="F1967" s="48" t="s">
        <v>70</v>
      </c>
      <c r="G1967" s="48" t="s">
        <v>105</v>
      </c>
      <c r="H1967" s="82" t="n">
        <f aca="false">DATE(YEAR(A1967),MONTH(A1967),1)</f>
        <v>43952</v>
      </c>
    </row>
    <row r="1968" customFormat="false" ht="15" hidden="false" customHeight="false" outlineLevel="0" collapsed="false">
      <c r="A1968" s="81" t="n">
        <v>43971</v>
      </c>
      <c r="B1968" s="48" t="n">
        <v>15</v>
      </c>
      <c r="C1968" s="48" t="n">
        <v>0</v>
      </c>
      <c r="D1968" s="48" t="n">
        <v>0</v>
      </c>
      <c r="E1968" s="48" t="s">
        <v>112</v>
      </c>
      <c r="F1968" s="48" t="s">
        <v>70</v>
      </c>
      <c r="G1968" s="48" t="s">
        <v>98</v>
      </c>
      <c r="H1968" s="82" t="n">
        <f aca="false">DATE(YEAR(A1968),MONTH(A1968),1)</f>
        <v>43952</v>
      </c>
    </row>
    <row r="1969" customFormat="false" ht="15" hidden="false" customHeight="false" outlineLevel="0" collapsed="false">
      <c r="A1969" s="81" t="n">
        <v>43971</v>
      </c>
      <c r="B1969" s="48" t="n">
        <v>0</v>
      </c>
      <c r="C1969" s="48" t="n">
        <v>0</v>
      </c>
      <c r="D1969" s="48" t="n">
        <v>3</v>
      </c>
      <c r="E1969" s="48" t="s">
        <v>112</v>
      </c>
      <c r="F1969" s="48" t="s">
        <v>70</v>
      </c>
      <c r="G1969" s="48" t="s">
        <v>592</v>
      </c>
      <c r="H1969" s="82" t="n">
        <f aca="false">DATE(YEAR(A1969),MONTH(A1969),1)</f>
        <v>43952</v>
      </c>
    </row>
    <row r="1970" customFormat="false" ht="15" hidden="false" customHeight="false" outlineLevel="0" collapsed="false">
      <c r="A1970" s="81" t="n">
        <v>43971</v>
      </c>
      <c r="B1970" s="48" t="n">
        <v>26</v>
      </c>
      <c r="C1970" s="48" t="n">
        <v>0</v>
      </c>
      <c r="D1970" s="48" t="n">
        <v>59</v>
      </c>
      <c r="E1970" s="48" t="s">
        <v>112</v>
      </c>
      <c r="F1970" s="48" t="s">
        <v>70</v>
      </c>
      <c r="G1970" s="48" t="s">
        <v>104</v>
      </c>
      <c r="H1970" s="82" t="n">
        <f aca="false">DATE(YEAR(A1970),MONTH(A1970),1)</f>
        <v>43952</v>
      </c>
    </row>
    <row r="1971" customFormat="false" ht="15" hidden="false" customHeight="false" outlineLevel="0" collapsed="false">
      <c r="A1971" s="81" t="n">
        <v>43971</v>
      </c>
      <c r="B1971" s="48" t="n">
        <v>3</v>
      </c>
      <c r="C1971" s="48" t="n">
        <v>0</v>
      </c>
      <c r="D1971" s="48" t="n">
        <v>1</v>
      </c>
      <c r="E1971" s="48" t="s">
        <v>112</v>
      </c>
      <c r="F1971" s="48" t="s">
        <v>70</v>
      </c>
      <c r="G1971" s="48" t="s">
        <v>635</v>
      </c>
      <c r="H1971" s="82" t="n">
        <f aca="false">DATE(YEAR(A1971),MONTH(A1971),1)</f>
        <v>43952</v>
      </c>
    </row>
    <row r="1972" customFormat="false" ht="15" hidden="false" customHeight="false" outlineLevel="0" collapsed="false">
      <c r="A1972" s="81" t="n">
        <v>43971</v>
      </c>
      <c r="B1972" s="48" t="n">
        <v>7</v>
      </c>
      <c r="C1972" s="48" t="n">
        <v>0</v>
      </c>
      <c r="D1972" s="48" t="n">
        <v>8</v>
      </c>
      <c r="E1972" s="48" t="s">
        <v>112</v>
      </c>
      <c r="F1972" s="48" t="s">
        <v>70</v>
      </c>
      <c r="G1972" s="48" t="s">
        <v>616</v>
      </c>
      <c r="H1972" s="82" t="n">
        <f aca="false">DATE(YEAR(A1972),MONTH(A1972),1)</f>
        <v>43952</v>
      </c>
    </row>
    <row r="1973" customFormat="false" ht="15" hidden="false" customHeight="false" outlineLevel="0" collapsed="false">
      <c r="A1973" s="81" t="n">
        <v>43971</v>
      </c>
      <c r="B1973" s="48" t="n">
        <v>0</v>
      </c>
      <c r="C1973" s="48" t="n">
        <v>0</v>
      </c>
      <c r="D1973" s="48" t="n">
        <v>0</v>
      </c>
      <c r="E1973" s="48" t="s">
        <v>112</v>
      </c>
      <c r="F1973" s="48" t="s">
        <v>70</v>
      </c>
      <c r="G1973" s="48" t="s">
        <v>663</v>
      </c>
      <c r="H1973" s="82" t="n">
        <f aca="false">DATE(YEAR(A1973),MONTH(A1973),1)</f>
        <v>43952</v>
      </c>
    </row>
    <row r="1974" customFormat="false" ht="15" hidden="false" customHeight="false" outlineLevel="0" collapsed="false">
      <c r="A1974" s="81" t="n">
        <v>43971</v>
      </c>
      <c r="B1974" s="48" t="n">
        <v>1</v>
      </c>
      <c r="C1974" s="48" t="n">
        <v>0</v>
      </c>
      <c r="D1974" s="48" t="n">
        <v>0</v>
      </c>
      <c r="E1974" s="48" t="s">
        <v>112</v>
      </c>
      <c r="F1974" s="48" t="s">
        <v>70</v>
      </c>
      <c r="G1974" s="48" t="s">
        <v>640</v>
      </c>
      <c r="H1974" s="82" t="n">
        <f aca="false">DATE(YEAR(A1974),MONTH(A1974),1)</f>
        <v>43952</v>
      </c>
    </row>
    <row r="1975" customFormat="false" ht="15" hidden="false" customHeight="false" outlineLevel="0" collapsed="false">
      <c r="A1975" s="81" t="n">
        <v>43971</v>
      </c>
      <c r="B1975" s="48" t="n">
        <v>2</v>
      </c>
      <c r="C1975" s="48" t="n">
        <v>0</v>
      </c>
      <c r="D1975" s="48" t="n">
        <v>0</v>
      </c>
      <c r="E1975" s="48" t="s">
        <v>112</v>
      </c>
      <c r="F1975" s="48" t="s">
        <v>70</v>
      </c>
      <c r="G1975" s="48" t="s">
        <v>639</v>
      </c>
      <c r="H1975" s="82" t="n">
        <f aca="false">DATE(YEAR(A1975),MONTH(A1975),1)</f>
        <v>43952</v>
      </c>
    </row>
    <row r="1976" customFormat="false" ht="15" hidden="false" customHeight="false" outlineLevel="0" collapsed="false">
      <c r="A1976" s="81" t="n">
        <v>43971</v>
      </c>
      <c r="B1976" s="48" t="n">
        <v>0</v>
      </c>
      <c r="C1976" s="48" t="n">
        <v>1</v>
      </c>
      <c r="D1976" s="48" t="n">
        <v>0</v>
      </c>
      <c r="E1976" s="48" t="s">
        <v>112</v>
      </c>
      <c r="F1976" s="48" t="s">
        <v>70</v>
      </c>
      <c r="G1976" s="48" t="s">
        <v>670</v>
      </c>
      <c r="H1976" s="82" t="n">
        <f aca="false">DATE(YEAR(A1976),MONTH(A1976),1)</f>
        <v>43952</v>
      </c>
    </row>
    <row r="1977" customFormat="false" ht="15" hidden="false" customHeight="false" outlineLevel="0" collapsed="false">
      <c r="A1977" s="81" t="n">
        <v>43971</v>
      </c>
      <c r="B1977" s="48" t="n">
        <v>0</v>
      </c>
      <c r="C1977" s="48" t="n">
        <v>0</v>
      </c>
      <c r="D1977" s="48" t="n">
        <v>0</v>
      </c>
      <c r="E1977" s="48" t="s">
        <v>112</v>
      </c>
      <c r="F1977" s="48" t="s">
        <v>70</v>
      </c>
      <c r="G1977" s="48" t="s">
        <v>679</v>
      </c>
      <c r="H1977" s="82" t="n">
        <f aca="false">DATE(YEAR(A1977),MONTH(A1977),1)</f>
        <v>43952</v>
      </c>
    </row>
    <row r="1978" customFormat="false" ht="15" hidden="false" customHeight="false" outlineLevel="0" collapsed="false">
      <c r="A1978" s="81" t="n">
        <v>43971</v>
      </c>
      <c r="B1978" s="48" t="n">
        <v>18</v>
      </c>
      <c r="C1978" s="48" t="n">
        <v>0</v>
      </c>
      <c r="D1978" s="48" t="n">
        <v>8</v>
      </c>
      <c r="E1978" s="48" t="s">
        <v>112</v>
      </c>
      <c r="F1978" s="48" t="s">
        <v>70</v>
      </c>
      <c r="G1978" s="48" t="s">
        <v>601</v>
      </c>
      <c r="H1978" s="82" t="n">
        <f aca="false">DATE(YEAR(A1978),MONTH(A1978),1)</f>
        <v>43952</v>
      </c>
    </row>
    <row r="1979" customFormat="false" ht="15" hidden="false" customHeight="false" outlineLevel="0" collapsed="false">
      <c r="A1979" s="81" t="n">
        <v>43971</v>
      </c>
      <c r="B1979" s="48" t="n">
        <v>2</v>
      </c>
      <c r="C1979" s="48" t="n">
        <v>0</v>
      </c>
      <c r="D1979" s="48" t="n">
        <v>20</v>
      </c>
      <c r="E1979" s="48" t="s">
        <v>112</v>
      </c>
      <c r="F1979" s="48" t="s">
        <v>70</v>
      </c>
      <c r="G1979" s="48" t="s">
        <v>623</v>
      </c>
      <c r="H1979" s="82" t="n">
        <f aca="false">DATE(YEAR(A1979),MONTH(A1979),1)</f>
        <v>43952</v>
      </c>
    </row>
    <row r="1980" customFormat="false" ht="15" hidden="false" customHeight="false" outlineLevel="0" collapsed="false">
      <c r="A1980" s="81" t="n">
        <v>43971</v>
      </c>
      <c r="B1980" s="48" t="n">
        <v>2</v>
      </c>
      <c r="C1980" s="48" t="n">
        <v>0</v>
      </c>
      <c r="D1980" s="48" t="n">
        <v>0</v>
      </c>
      <c r="E1980" s="48" t="s">
        <v>112</v>
      </c>
      <c r="F1980" s="48" t="s">
        <v>70</v>
      </c>
      <c r="G1980" s="48" t="s">
        <v>636</v>
      </c>
      <c r="H1980" s="82" t="n">
        <f aca="false">DATE(YEAR(A1980),MONTH(A1980),1)</f>
        <v>43952</v>
      </c>
    </row>
    <row r="1981" customFormat="false" ht="15" hidden="false" customHeight="false" outlineLevel="0" collapsed="false">
      <c r="A1981" s="81" t="n">
        <v>43971</v>
      </c>
      <c r="B1981" s="48" t="n">
        <v>15</v>
      </c>
      <c r="C1981" s="48" t="n">
        <v>0</v>
      </c>
      <c r="D1981" s="48" t="n">
        <v>2</v>
      </c>
      <c r="E1981" s="48" t="s">
        <v>112</v>
      </c>
      <c r="F1981" s="48" t="s">
        <v>76</v>
      </c>
      <c r="G1981" s="48" t="s">
        <v>595</v>
      </c>
      <c r="H1981" s="82" t="n">
        <f aca="false">DATE(YEAR(A1981),MONTH(A1981),1)</f>
        <v>43952</v>
      </c>
    </row>
    <row r="1982" customFormat="false" ht="15" hidden="false" customHeight="false" outlineLevel="0" collapsed="false">
      <c r="A1982" s="81" t="n">
        <v>43971</v>
      </c>
      <c r="B1982" s="48" t="n">
        <v>83</v>
      </c>
      <c r="C1982" s="48" t="n">
        <v>0</v>
      </c>
      <c r="D1982" s="48" t="n">
        <v>28</v>
      </c>
      <c r="E1982" s="48" t="s">
        <v>112</v>
      </c>
      <c r="F1982" s="48" t="s">
        <v>73</v>
      </c>
      <c r="G1982" s="48" t="s">
        <v>93</v>
      </c>
      <c r="H1982" s="82" t="n">
        <f aca="false">DATE(YEAR(A1982),MONTH(A1982),1)</f>
        <v>43952</v>
      </c>
    </row>
    <row r="1983" customFormat="false" ht="15" hidden="false" customHeight="false" outlineLevel="0" collapsed="false">
      <c r="A1983" s="81" t="n">
        <v>43971</v>
      </c>
      <c r="B1983" s="48" t="n">
        <v>697</v>
      </c>
      <c r="C1983" s="48" t="n">
        <v>8</v>
      </c>
      <c r="D1983" s="48" t="n">
        <v>36</v>
      </c>
      <c r="E1983" s="48" t="s">
        <v>112</v>
      </c>
      <c r="F1983" s="48" t="s">
        <v>71</v>
      </c>
      <c r="G1983" s="48" t="s">
        <v>92</v>
      </c>
      <c r="H1983" s="82" t="n">
        <f aca="false">DATE(YEAR(A1983),MONTH(A1983),1)</f>
        <v>43952</v>
      </c>
    </row>
    <row r="1984" customFormat="false" ht="15" hidden="false" customHeight="false" outlineLevel="0" collapsed="false">
      <c r="A1984" s="81" t="n">
        <v>43972</v>
      </c>
      <c r="B1984" s="48" t="n">
        <v>91</v>
      </c>
      <c r="C1984" s="48" t="n">
        <v>2</v>
      </c>
      <c r="D1984" s="48" t="n">
        <v>0</v>
      </c>
      <c r="E1984" s="48" t="s">
        <v>112</v>
      </c>
      <c r="F1984" s="48" t="s">
        <v>74</v>
      </c>
      <c r="G1984" s="48" t="s">
        <v>95</v>
      </c>
      <c r="H1984" s="82" t="n">
        <f aca="false">DATE(YEAR(A1984),MONTH(A1984),1)</f>
        <v>43952</v>
      </c>
    </row>
    <row r="1985" customFormat="false" ht="15" hidden="false" customHeight="false" outlineLevel="0" collapsed="false">
      <c r="A1985" s="81" t="n">
        <v>43972</v>
      </c>
      <c r="B1985" s="48" t="n">
        <v>18</v>
      </c>
      <c r="C1985" s="48" t="n">
        <v>0</v>
      </c>
      <c r="D1985" s="48" t="n">
        <v>0</v>
      </c>
      <c r="E1985" s="48" t="s">
        <v>112</v>
      </c>
      <c r="F1985" s="48" t="s">
        <v>75</v>
      </c>
      <c r="G1985" s="48" t="s">
        <v>103</v>
      </c>
      <c r="H1985" s="82" t="n">
        <f aca="false">DATE(YEAR(A1985),MONTH(A1985),1)</f>
        <v>43952</v>
      </c>
    </row>
    <row r="1986" customFormat="false" ht="15" hidden="false" customHeight="false" outlineLevel="0" collapsed="false">
      <c r="A1986" s="81" t="n">
        <v>43972</v>
      </c>
      <c r="B1986" s="48" t="n">
        <v>0</v>
      </c>
      <c r="C1986" s="48" t="n">
        <v>0</v>
      </c>
      <c r="D1986" s="48" t="n">
        <v>3</v>
      </c>
      <c r="E1986" s="48" t="s">
        <v>112</v>
      </c>
      <c r="F1986" s="48" t="s">
        <v>75</v>
      </c>
      <c r="G1986" s="48" t="s">
        <v>654</v>
      </c>
      <c r="H1986" s="82" t="n">
        <f aca="false">DATE(YEAR(A1986),MONTH(A1986),1)</f>
        <v>43952</v>
      </c>
    </row>
    <row r="1987" customFormat="false" ht="15" hidden="false" customHeight="false" outlineLevel="0" collapsed="false">
      <c r="A1987" s="81" t="n">
        <v>43972</v>
      </c>
      <c r="B1987" s="48" t="n">
        <v>0</v>
      </c>
      <c r="C1987" s="48" t="n">
        <v>0</v>
      </c>
      <c r="D1987" s="48" t="n">
        <v>4</v>
      </c>
      <c r="E1987" s="48" t="s">
        <v>112</v>
      </c>
      <c r="F1987" s="48" t="s">
        <v>75</v>
      </c>
      <c r="G1987" s="48" t="s">
        <v>629</v>
      </c>
      <c r="H1987" s="82" t="n">
        <f aca="false">DATE(YEAR(A1987),MONTH(A1987),1)</f>
        <v>43952</v>
      </c>
    </row>
    <row r="1988" customFormat="false" ht="15" hidden="false" customHeight="false" outlineLevel="0" collapsed="false">
      <c r="A1988" s="81" t="n">
        <v>43972</v>
      </c>
      <c r="B1988" s="48" t="n">
        <v>92</v>
      </c>
      <c r="C1988" s="48" t="n">
        <v>7</v>
      </c>
      <c r="D1988" s="48" t="n">
        <v>0</v>
      </c>
      <c r="E1988" s="48" t="s">
        <v>112</v>
      </c>
      <c r="F1988" s="48" t="s">
        <v>72</v>
      </c>
      <c r="G1988" s="48" t="s">
        <v>94</v>
      </c>
      <c r="H1988" s="82" t="n">
        <f aca="false">DATE(YEAR(A1988),MONTH(A1988),1)</f>
        <v>43952</v>
      </c>
    </row>
    <row r="1989" customFormat="false" ht="15" hidden="false" customHeight="false" outlineLevel="0" collapsed="false">
      <c r="A1989" s="81" t="n">
        <v>43972</v>
      </c>
      <c r="B1989" s="48" t="n">
        <v>21</v>
      </c>
      <c r="C1989" s="48" t="n">
        <v>1</v>
      </c>
      <c r="D1989" s="48" t="n">
        <v>0</v>
      </c>
      <c r="E1989" s="48" t="s">
        <v>112</v>
      </c>
      <c r="F1989" s="48" t="s">
        <v>72</v>
      </c>
      <c r="G1989" s="48" t="s">
        <v>597</v>
      </c>
      <c r="H1989" s="82" t="n">
        <f aca="false">DATE(YEAR(A1989),MONTH(A1989),1)</f>
        <v>43952</v>
      </c>
    </row>
    <row r="1990" customFormat="false" ht="15" hidden="false" customHeight="false" outlineLevel="0" collapsed="false">
      <c r="A1990" s="81" t="n">
        <v>43972</v>
      </c>
      <c r="B1990" s="48" t="n">
        <v>5</v>
      </c>
      <c r="C1990" s="48" t="n">
        <v>0</v>
      </c>
      <c r="D1990" s="48" t="n">
        <v>6</v>
      </c>
      <c r="E1990" s="48" t="s">
        <v>112</v>
      </c>
      <c r="F1990" s="48" t="s">
        <v>72</v>
      </c>
      <c r="G1990" s="48" t="s">
        <v>594</v>
      </c>
      <c r="H1990" s="82" t="n">
        <f aca="false">DATE(YEAR(A1990),MONTH(A1990),1)</f>
        <v>43952</v>
      </c>
    </row>
    <row r="1991" customFormat="false" ht="15" hidden="false" customHeight="false" outlineLevel="0" collapsed="false">
      <c r="A1991" s="81" t="n">
        <v>43972</v>
      </c>
      <c r="B1991" s="48" t="n">
        <v>28</v>
      </c>
      <c r="C1991" s="48" t="n">
        <v>0</v>
      </c>
      <c r="D1991" s="48" t="n">
        <v>0</v>
      </c>
      <c r="E1991" s="48" t="s">
        <v>112</v>
      </c>
      <c r="F1991" s="48" t="s">
        <v>72</v>
      </c>
      <c r="G1991" s="48" t="s">
        <v>599</v>
      </c>
      <c r="H1991" s="82" t="n">
        <f aca="false">DATE(YEAR(A1991),MONTH(A1991),1)</f>
        <v>43952</v>
      </c>
    </row>
    <row r="1992" customFormat="false" ht="15" hidden="false" customHeight="false" outlineLevel="0" collapsed="false">
      <c r="A1992" s="81" t="n">
        <v>43972</v>
      </c>
      <c r="B1992" s="48" t="n">
        <v>0</v>
      </c>
      <c r="C1992" s="48" t="n">
        <v>0</v>
      </c>
      <c r="D1992" s="48" t="n">
        <v>0</v>
      </c>
      <c r="E1992" s="48" t="s">
        <v>112</v>
      </c>
      <c r="F1992" s="48" t="s">
        <v>72</v>
      </c>
      <c r="G1992" s="48" t="s">
        <v>656</v>
      </c>
      <c r="H1992" s="82" t="n">
        <f aca="false">DATE(YEAR(A1992),MONTH(A1992),1)</f>
        <v>43952</v>
      </c>
    </row>
    <row r="1993" customFormat="false" ht="15" hidden="false" customHeight="false" outlineLevel="0" collapsed="false">
      <c r="A1993" s="81" t="n">
        <v>43972</v>
      </c>
      <c r="B1993" s="48" t="n">
        <v>11</v>
      </c>
      <c r="C1993" s="48" t="n">
        <v>0</v>
      </c>
      <c r="D1993" s="48" t="n">
        <v>2</v>
      </c>
      <c r="E1993" s="48" t="s">
        <v>112</v>
      </c>
      <c r="F1993" s="48" t="s">
        <v>72</v>
      </c>
      <c r="G1993" s="48" t="s">
        <v>102</v>
      </c>
      <c r="H1993" s="82" t="n">
        <f aca="false">DATE(YEAR(A1993),MONTH(A1993),1)</f>
        <v>43952</v>
      </c>
    </row>
    <row r="1994" customFormat="false" ht="15" hidden="false" customHeight="false" outlineLevel="0" collapsed="false">
      <c r="A1994" s="81" t="n">
        <v>43972</v>
      </c>
      <c r="B1994" s="48" t="n">
        <v>12</v>
      </c>
      <c r="C1994" s="48" t="n">
        <v>0</v>
      </c>
      <c r="D1994" s="48" t="n">
        <v>0</v>
      </c>
      <c r="E1994" s="48" t="s">
        <v>112</v>
      </c>
      <c r="F1994" s="48" t="s">
        <v>72</v>
      </c>
      <c r="G1994" s="48" t="s">
        <v>611</v>
      </c>
      <c r="H1994" s="82" t="n">
        <f aca="false">DATE(YEAR(A1994),MONTH(A1994),1)</f>
        <v>43952</v>
      </c>
    </row>
    <row r="1995" customFormat="false" ht="15" hidden="false" customHeight="false" outlineLevel="0" collapsed="false">
      <c r="A1995" s="81" t="n">
        <v>43972</v>
      </c>
      <c r="B1995" s="48" t="n">
        <v>31</v>
      </c>
      <c r="C1995" s="48" t="n">
        <v>0</v>
      </c>
      <c r="D1995" s="48" t="n">
        <v>23</v>
      </c>
      <c r="E1995" s="48" t="s">
        <v>112</v>
      </c>
      <c r="F1995" s="48" t="s">
        <v>72</v>
      </c>
      <c r="G1995" s="48" t="s">
        <v>96</v>
      </c>
      <c r="H1995" s="82" t="n">
        <f aca="false">DATE(YEAR(A1995),MONTH(A1995),1)</f>
        <v>43952</v>
      </c>
    </row>
    <row r="1996" customFormat="false" ht="15" hidden="false" customHeight="false" outlineLevel="0" collapsed="false">
      <c r="A1996" s="81" t="n">
        <v>43972</v>
      </c>
      <c r="B1996" s="48" t="n">
        <v>5</v>
      </c>
      <c r="C1996" s="48" t="n">
        <v>0</v>
      </c>
      <c r="D1996" s="48" t="n">
        <v>0</v>
      </c>
      <c r="E1996" s="48" t="s">
        <v>112</v>
      </c>
      <c r="F1996" s="48" t="s">
        <v>72</v>
      </c>
      <c r="G1996" s="48" t="s">
        <v>603</v>
      </c>
      <c r="H1996" s="82" t="n">
        <f aca="false">DATE(YEAR(A1996),MONTH(A1996),1)</f>
        <v>43952</v>
      </c>
    </row>
    <row r="1997" customFormat="false" ht="15" hidden="false" customHeight="false" outlineLevel="0" collapsed="false">
      <c r="A1997" s="81" t="n">
        <v>43972</v>
      </c>
      <c r="B1997" s="48" t="n">
        <v>18</v>
      </c>
      <c r="C1997" s="48" t="n">
        <v>0</v>
      </c>
      <c r="D1997" s="48" t="n">
        <v>0</v>
      </c>
      <c r="E1997" s="48" t="s">
        <v>112</v>
      </c>
      <c r="F1997" s="48" t="s">
        <v>72</v>
      </c>
      <c r="G1997" s="48" t="s">
        <v>591</v>
      </c>
      <c r="H1997" s="82" t="n">
        <f aca="false">DATE(YEAR(A1997),MONTH(A1997),1)</f>
        <v>43952</v>
      </c>
    </row>
    <row r="1998" customFormat="false" ht="15" hidden="false" customHeight="false" outlineLevel="0" collapsed="false">
      <c r="A1998" s="81" t="n">
        <v>43972</v>
      </c>
      <c r="B1998" s="48" t="n">
        <v>2</v>
      </c>
      <c r="C1998" s="48" t="n">
        <v>0</v>
      </c>
      <c r="D1998" s="48" t="n">
        <v>0</v>
      </c>
      <c r="E1998" s="48" t="s">
        <v>112</v>
      </c>
      <c r="F1998" s="48" t="s">
        <v>72</v>
      </c>
      <c r="G1998" s="48" t="s">
        <v>598</v>
      </c>
      <c r="H1998" s="82" t="n">
        <f aca="false">DATE(YEAR(A1998),MONTH(A1998),1)</f>
        <v>43952</v>
      </c>
    </row>
    <row r="1999" customFormat="false" ht="15" hidden="false" customHeight="false" outlineLevel="0" collapsed="false">
      <c r="A1999" s="81" t="n">
        <v>43972</v>
      </c>
      <c r="B1999" s="48" t="n">
        <v>6</v>
      </c>
      <c r="C1999" s="48" t="n">
        <v>0</v>
      </c>
      <c r="D1999" s="48" t="n">
        <v>2</v>
      </c>
      <c r="E1999" s="48" t="s">
        <v>112</v>
      </c>
      <c r="F1999" s="48" t="s">
        <v>72</v>
      </c>
      <c r="G1999" s="48" t="s">
        <v>609</v>
      </c>
      <c r="H1999" s="82" t="n">
        <f aca="false">DATE(YEAR(A1999),MONTH(A1999),1)</f>
        <v>43952</v>
      </c>
    </row>
    <row r="2000" customFormat="false" ht="15" hidden="false" customHeight="false" outlineLevel="0" collapsed="false">
      <c r="A2000" s="81" t="n">
        <v>43972</v>
      </c>
      <c r="B2000" s="48" t="n">
        <v>8</v>
      </c>
      <c r="C2000" s="48" t="n">
        <v>0</v>
      </c>
      <c r="D2000" s="48" t="n">
        <v>0</v>
      </c>
      <c r="E2000" s="48" t="s">
        <v>112</v>
      </c>
      <c r="F2000" s="48" t="s">
        <v>72</v>
      </c>
      <c r="G2000" s="48" t="s">
        <v>101</v>
      </c>
      <c r="H2000" s="82" t="n">
        <f aca="false">DATE(YEAR(A2000),MONTH(A2000),1)</f>
        <v>43952</v>
      </c>
    </row>
    <row r="2001" customFormat="false" ht="15" hidden="false" customHeight="false" outlineLevel="0" collapsed="false">
      <c r="A2001" s="81" t="n">
        <v>43972</v>
      </c>
      <c r="B2001" s="48" t="n">
        <v>0</v>
      </c>
      <c r="C2001" s="48" t="n">
        <v>0</v>
      </c>
      <c r="D2001" s="48" t="n">
        <v>1</v>
      </c>
      <c r="E2001" s="48" t="s">
        <v>112</v>
      </c>
      <c r="F2001" s="48" t="s">
        <v>72</v>
      </c>
      <c r="G2001" s="48" t="s">
        <v>643</v>
      </c>
      <c r="H2001" s="82" t="n">
        <f aca="false">DATE(YEAR(A2001),MONTH(A2001),1)</f>
        <v>43952</v>
      </c>
    </row>
    <row r="2002" customFormat="false" ht="15" hidden="false" customHeight="false" outlineLevel="0" collapsed="false">
      <c r="A2002" s="81" t="n">
        <v>43972</v>
      </c>
      <c r="B2002" s="48" t="n">
        <v>1</v>
      </c>
      <c r="C2002" s="48" t="n">
        <v>0</v>
      </c>
      <c r="D2002" s="48" t="n">
        <v>0</v>
      </c>
      <c r="E2002" s="48" t="s">
        <v>112</v>
      </c>
      <c r="F2002" s="48" t="s">
        <v>72</v>
      </c>
      <c r="G2002" s="48" t="s">
        <v>662</v>
      </c>
      <c r="H2002" s="82" t="n">
        <f aca="false">DATE(YEAR(A2002),MONTH(A2002),1)</f>
        <v>43952</v>
      </c>
    </row>
    <row r="2003" customFormat="false" ht="15" hidden="false" customHeight="false" outlineLevel="0" collapsed="false">
      <c r="A2003" s="81" t="n">
        <v>43972</v>
      </c>
      <c r="B2003" s="48" t="n">
        <v>5</v>
      </c>
      <c r="C2003" s="48" t="n">
        <v>2</v>
      </c>
      <c r="D2003" s="48" t="n">
        <v>0</v>
      </c>
      <c r="E2003" s="48" t="s">
        <v>112</v>
      </c>
      <c r="F2003" s="48" t="s">
        <v>72</v>
      </c>
      <c r="G2003" s="48" t="s">
        <v>600</v>
      </c>
      <c r="H2003" s="82" t="n">
        <f aca="false">DATE(YEAR(A2003),MONTH(A2003),1)</f>
        <v>43952</v>
      </c>
    </row>
    <row r="2004" customFormat="false" ht="15" hidden="false" customHeight="false" outlineLevel="0" collapsed="false">
      <c r="A2004" s="81" t="n">
        <v>43972</v>
      </c>
      <c r="B2004" s="48" t="n">
        <v>4</v>
      </c>
      <c r="C2004" s="48" t="n">
        <v>9</v>
      </c>
      <c r="D2004" s="48" t="n">
        <v>0</v>
      </c>
      <c r="E2004" s="48" t="s">
        <v>112</v>
      </c>
      <c r="F2004" s="48" t="s">
        <v>72</v>
      </c>
      <c r="G2004" s="48" t="s">
        <v>610</v>
      </c>
      <c r="H2004" s="82" t="n">
        <f aca="false">DATE(YEAR(A2004),MONTH(A2004),1)</f>
        <v>43952</v>
      </c>
    </row>
    <row r="2005" customFormat="false" ht="15" hidden="false" customHeight="false" outlineLevel="0" collapsed="false">
      <c r="A2005" s="81" t="n">
        <v>43972</v>
      </c>
      <c r="B2005" s="48" t="n">
        <v>16</v>
      </c>
      <c r="C2005" s="48" t="n">
        <v>1</v>
      </c>
      <c r="D2005" s="48" t="n">
        <v>2</v>
      </c>
      <c r="E2005" s="48" t="s">
        <v>112</v>
      </c>
      <c r="F2005" s="48" t="s">
        <v>72</v>
      </c>
      <c r="G2005" s="48" t="s">
        <v>593</v>
      </c>
      <c r="H2005" s="82" t="n">
        <f aca="false">DATE(YEAR(A2005),MONTH(A2005),1)</f>
        <v>43952</v>
      </c>
    </row>
    <row r="2006" customFormat="false" ht="15" hidden="false" customHeight="false" outlineLevel="0" collapsed="false">
      <c r="A2006" s="81" t="n">
        <v>43972</v>
      </c>
      <c r="B2006" s="48" t="n">
        <v>1</v>
      </c>
      <c r="C2006" s="48" t="n">
        <v>0</v>
      </c>
      <c r="D2006" s="48" t="n">
        <v>0</v>
      </c>
      <c r="E2006" s="48" t="s">
        <v>112</v>
      </c>
      <c r="F2006" s="48" t="s">
        <v>72</v>
      </c>
      <c r="G2006" s="48" t="s">
        <v>612</v>
      </c>
      <c r="H2006" s="82" t="n">
        <f aca="false">DATE(YEAR(A2006),MONTH(A2006),1)</f>
        <v>43952</v>
      </c>
    </row>
    <row r="2007" customFormat="false" ht="15" hidden="false" customHeight="false" outlineLevel="0" collapsed="false">
      <c r="A2007" s="81" t="n">
        <v>43972</v>
      </c>
      <c r="B2007" s="48" t="n">
        <v>0</v>
      </c>
      <c r="C2007" s="48" t="n">
        <v>0</v>
      </c>
      <c r="D2007" s="48" t="n">
        <v>0</v>
      </c>
      <c r="E2007" s="48" t="s">
        <v>112</v>
      </c>
      <c r="F2007" s="48" t="s">
        <v>72</v>
      </c>
      <c r="G2007" s="48" t="s">
        <v>685</v>
      </c>
      <c r="H2007" s="82" t="n">
        <f aca="false">DATE(YEAR(A2007),MONTH(A2007),1)</f>
        <v>43952</v>
      </c>
    </row>
    <row r="2008" customFormat="false" ht="15" hidden="false" customHeight="false" outlineLevel="0" collapsed="false">
      <c r="A2008" s="81" t="n">
        <v>43972</v>
      </c>
      <c r="B2008" s="48" t="n">
        <v>0</v>
      </c>
      <c r="C2008" s="48" t="n">
        <v>0</v>
      </c>
      <c r="D2008" s="48" t="n">
        <v>0</v>
      </c>
      <c r="E2008" s="48" t="s">
        <v>112</v>
      </c>
      <c r="F2008" s="48" t="s">
        <v>72</v>
      </c>
      <c r="G2008" s="48" t="s">
        <v>687</v>
      </c>
      <c r="H2008" s="82" t="n">
        <f aca="false">DATE(YEAR(A2008),MONTH(A2008),1)</f>
        <v>43952</v>
      </c>
    </row>
    <row r="2009" customFormat="false" ht="15" hidden="false" customHeight="false" outlineLevel="0" collapsed="false">
      <c r="A2009" s="81" t="n">
        <v>43972</v>
      </c>
      <c r="B2009" s="48" t="n">
        <v>0</v>
      </c>
      <c r="C2009" s="48" t="n">
        <v>0</v>
      </c>
      <c r="D2009" s="48" t="n">
        <v>0</v>
      </c>
      <c r="E2009" s="48" t="s">
        <v>112</v>
      </c>
      <c r="F2009" s="48" t="s">
        <v>72</v>
      </c>
      <c r="G2009" s="48" t="s">
        <v>682</v>
      </c>
      <c r="H2009" s="82" t="n">
        <f aca="false">DATE(YEAR(A2009),MONTH(A2009),1)</f>
        <v>43952</v>
      </c>
    </row>
    <row r="2010" customFormat="false" ht="15" hidden="false" customHeight="false" outlineLevel="0" collapsed="false">
      <c r="A2010" s="81" t="n">
        <v>43972</v>
      </c>
      <c r="B2010" s="48" t="n">
        <v>0</v>
      </c>
      <c r="C2010" s="48" t="n">
        <v>0</v>
      </c>
      <c r="D2010" s="48" t="n">
        <v>0</v>
      </c>
      <c r="E2010" s="48" t="s">
        <v>112</v>
      </c>
      <c r="F2010" s="48" t="s">
        <v>72</v>
      </c>
      <c r="G2010" s="48" t="s">
        <v>692</v>
      </c>
      <c r="H2010" s="82" t="n">
        <f aca="false">DATE(YEAR(A2010),MONTH(A2010),1)</f>
        <v>43952</v>
      </c>
    </row>
    <row r="2011" customFormat="false" ht="15" hidden="false" customHeight="false" outlineLevel="0" collapsed="false">
      <c r="A2011" s="81" t="n">
        <v>43972</v>
      </c>
      <c r="B2011" s="48" t="n">
        <v>0</v>
      </c>
      <c r="C2011" s="48" t="n">
        <v>0</v>
      </c>
      <c r="D2011" s="48" t="n">
        <v>0</v>
      </c>
      <c r="E2011" s="48" t="s">
        <v>112</v>
      </c>
      <c r="F2011" s="48" t="s">
        <v>72</v>
      </c>
      <c r="G2011" s="48" t="s">
        <v>613</v>
      </c>
      <c r="H2011" s="82" t="n">
        <f aca="false">DATE(YEAR(A2011),MONTH(A2011),1)</f>
        <v>43952</v>
      </c>
    </row>
    <row r="2012" customFormat="false" ht="15" hidden="false" customHeight="false" outlineLevel="0" collapsed="false">
      <c r="A2012" s="81" t="n">
        <v>43972</v>
      </c>
      <c r="B2012" s="48" t="n">
        <v>7</v>
      </c>
      <c r="C2012" s="48" t="n">
        <v>1</v>
      </c>
      <c r="D2012" s="48" t="n">
        <v>0</v>
      </c>
      <c r="E2012" s="48" t="s">
        <v>112</v>
      </c>
      <c r="F2012" s="48" t="s">
        <v>72</v>
      </c>
      <c r="G2012" s="48" t="s">
        <v>614</v>
      </c>
      <c r="H2012" s="82" t="n">
        <f aca="false">DATE(YEAR(A2012),MONTH(A2012),1)</f>
        <v>43952</v>
      </c>
    </row>
    <row r="2013" customFormat="false" ht="15" hidden="false" customHeight="false" outlineLevel="0" collapsed="false">
      <c r="A2013" s="81" t="n">
        <v>43972</v>
      </c>
      <c r="B2013" s="48" t="n">
        <v>0</v>
      </c>
      <c r="C2013" s="48" t="n">
        <v>0</v>
      </c>
      <c r="D2013" s="48" t="n">
        <v>0</v>
      </c>
      <c r="E2013" s="48" t="s">
        <v>112</v>
      </c>
      <c r="F2013" s="48" t="s">
        <v>72</v>
      </c>
      <c r="G2013" s="48" t="s">
        <v>655</v>
      </c>
      <c r="H2013" s="82" t="n">
        <f aca="false">DATE(YEAR(A2013),MONTH(A2013),1)</f>
        <v>43952</v>
      </c>
    </row>
    <row r="2014" customFormat="false" ht="15" hidden="false" customHeight="false" outlineLevel="0" collapsed="false">
      <c r="A2014" s="81" t="n">
        <v>43972</v>
      </c>
      <c r="B2014" s="48" t="n">
        <v>4</v>
      </c>
      <c r="C2014" s="48" t="n">
        <v>2</v>
      </c>
      <c r="D2014" s="48" t="n">
        <v>0</v>
      </c>
      <c r="E2014" s="48" t="s">
        <v>112</v>
      </c>
      <c r="F2014" s="48" t="s">
        <v>72</v>
      </c>
      <c r="G2014" s="48" t="s">
        <v>608</v>
      </c>
      <c r="H2014" s="82" t="n">
        <f aca="false">DATE(YEAR(A2014),MONTH(A2014),1)</f>
        <v>43952</v>
      </c>
    </row>
    <row r="2015" customFormat="false" ht="15" hidden="false" customHeight="false" outlineLevel="0" collapsed="false">
      <c r="A2015" s="81" t="n">
        <v>43972</v>
      </c>
      <c r="B2015" s="48" t="n">
        <v>0</v>
      </c>
      <c r="C2015" s="48" t="n">
        <v>0</v>
      </c>
      <c r="D2015" s="48" t="n">
        <v>0</v>
      </c>
      <c r="E2015" s="48" t="s">
        <v>112</v>
      </c>
      <c r="F2015" s="48" t="s">
        <v>72</v>
      </c>
      <c r="G2015" s="48" t="s">
        <v>615</v>
      </c>
      <c r="H2015" s="82" t="n">
        <f aca="false">DATE(YEAR(A2015),MONTH(A2015),1)</f>
        <v>43952</v>
      </c>
    </row>
    <row r="2016" customFormat="false" ht="15" hidden="false" customHeight="false" outlineLevel="0" collapsed="false">
      <c r="A2016" s="81" t="n">
        <v>43972</v>
      </c>
      <c r="B2016" s="48" t="n">
        <v>0</v>
      </c>
      <c r="C2016" s="48" t="n">
        <v>0</v>
      </c>
      <c r="D2016" s="48" t="n">
        <v>0</v>
      </c>
      <c r="E2016" s="48" t="s">
        <v>112</v>
      </c>
      <c r="F2016" s="48" t="s">
        <v>72</v>
      </c>
      <c r="G2016" s="48" t="s">
        <v>666</v>
      </c>
      <c r="H2016" s="82" t="n">
        <f aca="false">DATE(YEAR(A2016),MONTH(A2016),1)</f>
        <v>43952</v>
      </c>
    </row>
    <row r="2017" customFormat="false" ht="15" hidden="false" customHeight="false" outlineLevel="0" collapsed="false">
      <c r="A2017" s="81" t="n">
        <v>43972</v>
      </c>
      <c r="B2017" s="48" t="n">
        <v>0</v>
      </c>
      <c r="C2017" s="48" t="n">
        <v>0</v>
      </c>
      <c r="D2017" s="48" t="n">
        <v>0</v>
      </c>
      <c r="E2017" s="48" t="s">
        <v>112</v>
      </c>
      <c r="F2017" s="48" t="s">
        <v>72</v>
      </c>
      <c r="G2017" s="48" t="s">
        <v>621</v>
      </c>
      <c r="H2017" s="82" t="n">
        <f aca="false">DATE(YEAR(A2017),MONTH(A2017),1)</f>
        <v>43952</v>
      </c>
    </row>
    <row r="2018" customFormat="false" ht="15" hidden="false" customHeight="false" outlineLevel="0" collapsed="false">
      <c r="A2018" s="81" t="n">
        <v>43972</v>
      </c>
      <c r="B2018" s="48" t="n">
        <v>0</v>
      </c>
      <c r="C2018" s="48" t="n">
        <v>0</v>
      </c>
      <c r="D2018" s="48" t="n">
        <v>0</v>
      </c>
      <c r="E2018" s="48" t="s">
        <v>112</v>
      </c>
      <c r="F2018" s="48" t="s">
        <v>72</v>
      </c>
      <c r="G2018" s="48" t="s">
        <v>664</v>
      </c>
      <c r="H2018" s="82" t="n">
        <f aca="false">DATE(YEAR(A2018),MONTH(A2018),1)</f>
        <v>43952</v>
      </c>
    </row>
    <row r="2019" customFormat="false" ht="15" hidden="false" customHeight="false" outlineLevel="0" collapsed="false">
      <c r="A2019" s="81" t="n">
        <v>43972</v>
      </c>
      <c r="B2019" s="48" t="n">
        <v>0</v>
      </c>
      <c r="C2019" s="48" t="n">
        <v>0</v>
      </c>
      <c r="D2019" s="48" t="n">
        <v>0</v>
      </c>
      <c r="E2019" s="48" t="s">
        <v>112</v>
      </c>
      <c r="F2019" s="48" t="s">
        <v>72</v>
      </c>
      <c r="G2019" s="48" t="s">
        <v>667</v>
      </c>
      <c r="H2019" s="82" t="n">
        <f aca="false">DATE(YEAR(A2019),MONTH(A2019),1)</f>
        <v>43952</v>
      </c>
    </row>
    <row r="2020" customFormat="false" ht="15" hidden="false" customHeight="false" outlineLevel="0" collapsed="false">
      <c r="A2020" s="81" t="n">
        <v>43972</v>
      </c>
      <c r="B2020" s="48" t="n">
        <v>4</v>
      </c>
      <c r="C2020" s="48" t="n">
        <v>0</v>
      </c>
      <c r="D2020" s="48" t="n">
        <v>3</v>
      </c>
      <c r="E2020" s="48" t="s">
        <v>112</v>
      </c>
      <c r="F2020" s="48" t="s">
        <v>72</v>
      </c>
      <c r="G2020" s="48" t="s">
        <v>607</v>
      </c>
      <c r="H2020" s="82" t="n">
        <f aca="false">DATE(YEAR(A2020),MONTH(A2020),1)</f>
        <v>43952</v>
      </c>
    </row>
    <row r="2021" customFormat="false" ht="15" hidden="false" customHeight="false" outlineLevel="0" collapsed="false">
      <c r="A2021" s="81" t="n">
        <v>43972</v>
      </c>
      <c r="B2021" s="48" t="n">
        <v>0</v>
      </c>
      <c r="C2021" s="48" t="n">
        <v>0</v>
      </c>
      <c r="D2021" s="48" t="n">
        <v>0</v>
      </c>
      <c r="E2021" s="48" t="s">
        <v>112</v>
      </c>
      <c r="F2021" s="48" t="s">
        <v>72</v>
      </c>
      <c r="G2021" s="48" t="s">
        <v>673</v>
      </c>
      <c r="H2021" s="82" t="n">
        <f aca="false">DATE(YEAR(A2021),MONTH(A2021),1)</f>
        <v>43952</v>
      </c>
    </row>
    <row r="2022" customFormat="false" ht="15" hidden="false" customHeight="false" outlineLevel="0" collapsed="false">
      <c r="A2022" s="81" t="n">
        <v>43972</v>
      </c>
      <c r="B2022" s="48" t="n">
        <v>0</v>
      </c>
      <c r="C2022" s="48" t="n">
        <v>0</v>
      </c>
      <c r="D2022" s="48" t="n">
        <v>0</v>
      </c>
      <c r="E2022" s="48" t="s">
        <v>112</v>
      </c>
      <c r="F2022" s="48" t="s">
        <v>72</v>
      </c>
      <c r="G2022" s="48" t="s">
        <v>676</v>
      </c>
      <c r="H2022" s="82" t="n">
        <f aca="false">DATE(YEAR(A2022),MONTH(A2022),1)</f>
        <v>43952</v>
      </c>
    </row>
    <row r="2023" customFormat="false" ht="15" hidden="false" customHeight="false" outlineLevel="0" collapsed="false">
      <c r="A2023" s="81" t="n">
        <v>43972</v>
      </c>
      <c r="B2023" s="48" t="n">
        <v>856</v>
      </c>
      <c r="C2023" s="48" t="n">
        <v>0</v>
      </c>
      <c r="D2023" s="48" t="n">
        <v>435</v>
      </c>
      <c r="E2023" s="48" t="s">
        <v>112</v>
      </c>
      <c r="F2023" s="48" t="s">
        <v>70</v>
      </c>
      <c r="G2023" s="48" t="s">
        <v>91</v>
      </c>
      <c r="H2023" s="82" t="n">
        <f aca="false">DATE(YEAR(A2023),MONTH(A2023),1)</f>
        <v>43952</v>
      </c>
    </row>
    <row r="2024" customFormat="false" ht="15" hidden="false" customHeight="false" outlineLevel="0" collapsed="false">
      <c r="A2024" s="81" t="n">
        <v>43972</v>
      </c>
      <c r="B2024" s="48" t="n">
        <v>17</v>
      </c>
      <c r="C2024" s="48" t="n">
        <v>0</v>
      </c>
      <c r="D2024" s="48" t="n">
        <v>0</v>
      </c>
      <c r="E2024" s="48" t="s">
        <v>112</v>
      </c>
      <c r="F2024" s="48" t="s">
        <v>70</v>
      </c>
      <c r="G2024" s="48" t="s">
        <v>99</v>
      </c>
      <c r="H2024" s="82" t="n">
        <f aca="false">DATE(YEAR(A2024),MONTH(A2024),1)</f>
        <v>43952</v>
      </c>
    </row>
    <row r="2025" customFormat="false" ht="15" hidden="false" customHeight="false" outlineLevel="0" collapsed="false">
      <c r="A2025" s="81" t="n">
        <v>43972</v>
      </c>
      <c r="B2025" s="48" t="n">
        <v>1</v>
      </c>
      <c r="C2025" s="48" t="n">
        <v>0</v>
      </c>
      <c r="D2025" s="48" t="n">
        <v>0</v>
      </c>
      <c r="E2025" s="48" t="s">
        <v>112</v>
      </c>
      <c r="F2025" s="48" t="s">
        <v>70</v>
      </c>
      <c r="G2025" s="48" t="s">
        <v>619</v>
      </c>
      <c r="H2025" s="82" t="n">
        <f aca="false">DATE(YEAR(A2025),MONTH(A2025),1)</f>
        <v>43952</v>
      </c>
    </row>
    <row r="2026" customFormat="false" ht="15" hidden="false" customHeight="false" outlineLevel="0" collapsed="false">
      <c r="A2026" s="81" t="n">
        <v>43972</v>
      </c>
      <c r="B2026" s="48" t="n">
        <v>0</v>
      </c>
      <c r="C2026" s="48" t="n">
        <v>0</v>
      </c>
      <c r="D2026" s="48" t="n">
        <v>1</v>
      </c>
      <c r="E2026" s="48" t="s">
        <v>112</v>
      </c>
      <c r="F2026" s="48" t="s">
        <v>70</v>
      </c>
      <c r="G2026" s="48" t="s">
        <v>633</v>
      </c>
      <c r="H2026" s="82" t="n">
        <f aca="false">DATE(YEAR(A2026),MONTH(A2026),1)</f>
        <v>43952</v>
      </c>
    </row>
    <row r="2027" customFormat="false" ht="15" hidden="false" customHeight="false" outlineLevel="0" collapsed="false">
      <c r="A2027" s="81" t="n">
        <v>43972</v>
      </c>
      <c r="B2027" s="48" t="n">
        <v>3</v>
      </c>
      <c r="C2027" s="48" t="n">
        <v>0</v>
      </c>
      <c r="D2027" s="48" t="n">
        <v>0</v>
      </c>
      <c r="E2027" s="48" t="s">
        <v>112</v>
      </c>
      <c r="F2027" s="48" t="s">
        <v>70</v>
      </c>
      <c r="G2027" s="48" t="s">
        <v>605</v>
      </c>
      <c r="H2027" s="82" t="n">
        <f aca="false">DATE(YEAR(A2027),MONTH(A2027),1)</f>
        <v>43952</v>
      </c>
    </row>
    <row r="2028" customFormat="false" ht="15" hidden="false" customHeight="false" outlineLevel="0" collapsed="false">
      <c r="A2028" s="81" t="n">
        <v>43972</v>
      </c>
      <c r="B2028" s="48" t="n">
        <v>1</v>
      </c>
      <c r="C2028" s="48" t="n">
        <v>0</v>
      </c>
      <c r="D2028" s="48" t="n">
        <v>0</v>
      </c>
      <c r="E2028" s="48" t="s">
        <v>112</v>
      </c>
      <c r="F2028" s="48" t="s">
        <v>70</v>
      </c>
      <c r="G2028" s="48" t="s">
        <v>641</v>
      </c>
      <c r="H2028" s="82" t="n">
        <f aca="false">DATE(YEAR(A2028),MONTH(A2028),1)</f>
        <v>43952</v>
      </c>
    </row>
    <row r="2029" customFormat="false" ht="15" hidden="false" customHeight="false" outlineLevel="0" collapsed="false">
      <c r="A2029" s="81" t="n">
        <v>43972</v>
      </c>
      <c r="B2029" s="48" t="n">
        <v>1</v>
      </c>
      <c r="C2029" s="48" t="n">
        <v>0</v>
      </c>
      <c r="D2029" s="48" t="n">
        <v>0</v>
      </c>
      <c r="E2029" s="48" t="s">
        <v>112</v>
      </c>
      <c r="F2029" s="48" t="s">
        <v>70</v>
      </c>
      <c r="G2029" s="48" t="s">
        <v>644</v>
      </c>
      <c r="H2029" s="82" t="n">
        <f aca="false">DATE(YEAR(A2029),MONTH(A2029),1)</f>
        <v>43952</v>
      </c>
    </row>
    <row r="2030" customFormat="false" ht="15" hidden="false" customHeight="false" outlineLevel="0" collapsed="false">
      <c r="A2030" s="81" t="n">
        <v>43972</v>
      </c>
      <c r="B2030" s="48" t="n">
        <v>0</v>
      </c>
      <c r="C2030" s="48" t="n">
        <v>0</v>
      </c>
      <c r="D2030" s="48" t="n">
        <v>3</v>
      </c>
      <c r="E2030" s="48" t="s">
        <v>112</v>
      </c>
      <c r="F2030" s="48" t="s">
        <v>70</v>
      </c>
      <c r="G2030" s="48" t="s">
        <v>637</v>
      </c>
      <c r="H2030" s="82" t="n">
        <f aca="false">DATE(YEAR(A2030),MONTH(A2030),1)</f>
        <v>43952</v>
      </c>
    </row>
    <row r="2031" customFormat="false" ht="15" hidden="false" customHeight="false" outlineLevel="0" collapsed="false">
      <c r="A2031" s="81" t="n">
        <v>43972</v>
      </c>
      <c r="B2031" s="48" t="n">
        <v>3</v>
      </c>
      <c r="C2031" s="48" t="n">
        <v>0</v>
      </c>
      <c r="D2031" s="48" t="n">
        <v>2</v>
      </c>
      <c r="E2031" s="48" t="s">
        <v>112</v>
      </c>
      <c r="F2031" s="48" t="s">
        <v>70</v>
      </c>
      <c r="G2031" s="48" t="s">
        <v>630</v>
      </c>
      <c r="H2031" s="82" t="n">
        <f aca="false">DATE(YEAR(A2031),MONTH(A2031),1)</f>
        <v>43952</v>
      </c>
    </row>
    <row r="2032" customFormat="false" ht="15" hidden="false" customHeight="false" outlineLevel="0" collapsed="false">
      <c r="A2032" s="81" t="n">
        <v>43972</v>
      </c>
      <c r="B2032" s="48" t="n">
        <v>0</v>
      </c>
      <c r="C2032" s="48" t="n">
        <v>0</v>
      </c>
      <c r="D2032" s="48" t="n">
        <v>11</v>
      </c>
      <c r="E2032" s="48" t="s">
        <v>112</v>
      </c>
      <c r="F2032" s="48" t="s">
        <v>70</v>
      </c>
      <c r="G2032" s="48" t="s">
        <v>642</v>
      </c>
      <c r="H2032" s="82" t="n">
        <f aca="false">DATE(YEAR(A2032),MONTH(A2032),1)</f>
        <v>43952</v>
      </c>
    </row>
    <row r="2033" customFormat="false" ht="15" hidden="false" customHeight="false" outlineLevel="0" collapsed="false">
      <c r="A2033" s="81" t="n">
        <v>43972</v>
      </c>
      <c r="B2033" s="48" t="n">
        <v>0</v>
      </c>
      <c r="C2033" s="48" t="n">
        <v>0</v>
      </c>
      <c r="D2033" s="48" t="n">
        <v>7</v>
      </c>
      <c r="E2033" s="48" t="s">
        <v>112</v>
      </c>
      <c r="F2033" s="48" t="s">
        <v>70</v>
      </c>
      <c r="G2033" s="48" t="s">
        <v>671</v>
      </c>
      <c r="H2033" s="82" t="n">
        <f aca="false">DATE(YEAR(A2033),MONTH(A2033),1)</f>
        <v>43952</v>
      </c>
    </row>
    <row r="2034" customFormat="false" ht="15" hidden="false" customHeight="false" outlineLevel="0" collapsed="false">
      <c r="A2034" s="81" t="n">
        <v>43972</v>
      </c>
      <c r="B2034" s="48" t="n">
        <v>7</v>
      </c>
      <c r="C2034" s="48" t="n">
        <v>0</v>
      </c>
      <c r="D2034" s="48" t="n">
        <v>2</v>
      </c>
      <c r="E2034" s="48" t="s">
        <v>112</v>
      </c>
      <c r="F2034" s="48" t="s">
        <v>70</v>
      </c>
      <c r="G2034" s="48" t="s">
        <v>105</v>
      </c>
      <c r="H2034" s="82" t="n">
        <f aca="false">DATE(YEAR(A2034),MONTH(A2034),1)</f>
        <v>43952</v>
      </c>
    </row>
    <row r="2035" customFormat="false" ht="15" hidden="false" customHeight="false" outlineLevel="0" collapsed="false">
      <c r="A2035" s="81" t="n">
        <v>43972</v>
      </c>
      <c r="B2035" s="48" t="n">
        <v>9</v>
      </c>
      <c r="C2035" s="48" t="n">
        <v>1</v>
      </c>
      <c r="D2035" s="48" t="n">
        <v>36</v>
      </c>
      <c r="E2035" s="48" t="s">
        <v>112</v>
      </c>
      <c r="F2035" s="48" t="s">
        <v>70</v>
      </c>
      <c r="G2035" s="48" t="s">
        <v>98</v>
      </c>
      <c r="H2035" s="82" t="n">
        <f aca="false">DATE(YEAR(A2035),MONTH(A2035),1)</f>
        <v>43952</v>
      </c>
    </row>
    <row r="2036" customFormat="false" ht="15" hidden="false" customHeight="false" outlineLevel="0" collapsed="false">
      <c r="A2036" s="81" t="n">
        <v>43972</v>
      </c>
      <c r="B2036" s="48" t="n">
        <v>0</v>
      </c>
      <c r="C2036" s="48" t="n">
        <v>1</v>
      </c>
      <c r="D2036" s="48" t="n">
        <v>146</v>
      </c>
      <c r="E2036" s="48" t="s">
        <v>112</v>
      </c>
      <c r="F2036" s="48" t="s">
        <v>70</v>
      </c>
      <c r="G2036" s="48" t="s">
        <v>592</v>
      </c>
      <c r="H2036" s="82" t="n">
        <f aca="false">DATE(YEAR(A2036),MONTH(A2036),1)</f>
        <v>43952</v>
      </c>
    </row>
    <row r="2037" customFormat="false" ht="15" hidden="false" customHeight="false" outlineLevel="0" collapsed="false">
      <c r="A2037" s="81" t="n">
        <v>43972</v>
      </c>
      <c r="B2037" s="48" t="n">
        <v>14</v>
      </c>
      <c r="C2037" s="48" t="n">
        <v>2</v>
      </c>
      <c r="D2037" s="48" t="n">
        <v>1</v>
      </c>
      <c r="E2037" s="48" t="s">
        <v>112</v>
      </c>
      <c r="F2037" s="48" t="s">
        <v>70</v>
      </c>
      <c r="G2037" s="48" t="s">
        <v>104</v>
      </c>
      <c r="H2037" s="82" t="n">
        <f aca="false">DATE(YEAR(A2037),MONTH(A2037),1)</f>
        <v>43952</v>
      </c>
    </row>
    <row r="2038" customFormat="false" ht="15" hidden="false" customHeight="false" outlineLevel="0" collapsed="false">
      <c r="A2038" s="81" t="n">
        <v>43972</v>
      </c>
      <c r="B2038" s="48" t="n">
        <v>1</v>
      </c>
      <c r="C2038" s="48" t="n">
        <v>0</v>
      </c>
      <c r="D2038" s="48" t="n">
        <v>0</v>
      </c>
      <c r="E2038" s="48" t="s">
        <v>112</v>
      </c>
      <c r="F2038" s="48" t="s">
        <v>70</v>
      </c>
      <c r="G2038" s="48" t="s">
        <v>635</v>
      </c>
      <c r="H2038" s="82" t="n">
        <f aca="false">DATE(YEAR(A2038),MONTH(A2038),1)</f>
        <v>43952</v>
      </c>
    </row>
    <row r="2039" customFormat="false" ht="15" hidden="false" customHeight="false" outlineLevel="0" collapsed="false">
      <c r="A2039" s="81" t="n">
        <v>43972</v>
      </c>
      <c r="B2039" s="48" t="n">
        <v>9</v>
      </c>
      <c r="C2039" s="48" t="n">
        <v>0</v>
      </c>
      <c r="D2039" s="48" t="n">
        <v>0</v>
      </c>
      <c r="E2039" s="48" t="s">
        <v>112</v>
      </c>
      <c r="F2039" s="48" t="s">
        <v>70</v>
      </c>
      <c r="G2039" s="48" t="s">
        <v>616</v>
      </c>
      <c r="H2039" s="82" t="n">
        <f aca="false">DATE(YEAR(A2039),MONTH(A2039),1)</f>
        <v>43952</v>
      </c>
    </row>
    <row r="2040" customFormat="false" ht="15" hidden="false" customHeight="false" outlineLevel="0" collapsed="false">
      <c r="A2040" s="81" t="n">
        <v>43972</v>
      </c>
      <c r="B2040" s="48" t="n">
        <v>0</v>
      </c>
      <c r="C2040" s="48" t="n">
        <v>0</v>
      </c>
      <c r="D2040" s="48" t="n">
        <v>9</v>
      </c>
      <c r="E2040" s="48" t="s">
        <v>112</v>
      </c>
      <c r="F2040" s="48" t="s">
        <v>70</v>
      </c>
      <c r="G2040" s="48" t="s">
        <v>663</v>
      </c>
      <c r="H2040" s="82" t="n">
        <f aca="false">DATE(YEAR(A2040),MONTH(A2040),1)</f>
        <v>43952</v>
      </c>
    </row>
    <row r="2041" customFormat="false" ht="15" hidden="false" customHeight="false" outlineLevel="0" collapsed="false">
      <c r="A2041" s="81" t="n">
        <v>43972</v>
      </c>
      <c r="B2041" s="48" t="n">
        <v>0</v>
      </c>
      <c r="C2041" s="48" t="n">
        <v>0</v>
      </c>
      <c r="D2041" s="48" t="n">
        <v>4</v>
      </c>
      <c r="E2041" s="48" t="s">
        <v>112</v>
      </c>
      <c r="F2041" s="48" t="s">
        <v>70</v>
      </c>
      <c r="G2041" s="48" t="s">
        <v>640</v>
      </c>
      <c r="H2041" s="82" t="n">
        <f aca="false">DATE(YEAR(A2041),MONTH(A2041),1)</f>
        <v>43952</v>
      </c>
    </row>
    <row r="2042" customFormat="false" ht="15" hidden="false" customHeight="false" outlineLevel="0" collapsed="false">
      <c r="A2042" s="81" t="n">
        <v>43972</v>
      </c>
      <c r="B2042" s="48" t="n">
        <v>2</v>
      </c>
      <c r="C2042" s="48" t="n">
        <v>0</v>
      </c>
      <c r="D2042" s="48" t="n">
        <v>0</v>
      </c>
      <c r="E2042" s="48" t="s">
        <v>112</v>
      </c>
      <c r="F2042" s="48" t="s">
        <v>70</v>
      </c>
      <c r="G2042" s="48" t="s">
        <v>639</v>
      </c>
      <c r="H2042" s="82" t="n">
        <f aca="false">DATE(YEAR(A2042),MONTH(A2042),1)</f>
        <v>43952</v>
      </c>
    </row>
    <row r="2043" customFormat="false" ht="15" hidden="false" customHeight="false" outlineLevel="0" collapsed="false">
      <c r="A2043" s="81" t="n">
        <v>43972</v>
      </c>
      <c r="B2043" s="48" t="n">
        <v>0</v>
      </c>
      <c r="C2043" s="48" t="n">
        <v>0</v>
      </c>
      <c r="D2043" s="48" t="n">
        <v>0</v>
      </c>
      <c r="E2043" s="48" t="s">
        <v>112</v>
      </c>
      <c r="F2043" s="48" t="s">
        <v>70</v>
      </c>
      <c r="G2043" s="48" t="s">
        <v>670</v>
      </c>
      <c r="H2043" s="82" t="n">
        <f aca="false">DATE(YEAR(A2043),MONTH(A2043),1)</f>
        <v>43952</v>
      </c>
    </row>
    <row r="2044" customFormat="false" ht="15" hidden="false" customHeight="false" outlineLevel="0" collapsed="false">
      <c r="A2044" s="81" t="n">
        <v>43972</v>
      </c>
      <c r="B2044" s="48" t="n">
        <v>0</v>
      </c>
      <c r="C2044" s="48" t="n">
        <v>0</v>
      </c>
      <c r="D2044" s="48" t="n">
        <v>0</v>
      </c>
      <c r="E2044" s="48" t="s">
        <v>112</v>
      </c>
      <c r="F2044" s="48" t="s">
        <v>70</v>
      </c>
      <c r="G2044" s="48" t="s">
        <v>679</v>
      </c>
      <c r="H2044" s="82" t="n">
        <f aca="false">DATE(YEAR(A2044),MONTH(A2044),1)</f>
        <v>43952</v>
      </c>
    </row>
    <row r="2045" customFormat="false" ht="15" hidden="false" customHeight="false" outlineLevel="0" collapsed="false">
      <c r="A2045" s="81" t="n">
        <v>43972</v>
      </c>
      <c r="B2045" s="48" t="n">
        <v>22</v>
      </c>
      <c r="C2045" s="48" t="n">
        <v>0</v>
      </c>
      <c r="D2045" s="48" t="n">
        <v>21</v>
      </c>
      <c r="E2045" s="48" t="s">
        <v>112</v>
      </c>
      <c r="F2045" s="48" t="s">
        <v>70</v>
      </c>
      <c r="G2045" s="48" t="s">
        <v>601</v>
      </c>
      <c r="H2045" s="82" t="n">
        <f aca="false">DATE(YEAR(A2045),MONTH(A2045),1)</f>
        <v>43952</v>
      </c>
    </row>
    <row r="2046" customFormat="false" ht="15" hidden="false" customHeight="false" outlineLevel="0" collapsed="false">
      <c r="A2046" s="81" t="n">
        <v>43972</v>
      </c>
      <c r="B2046" s="48" t="n">
        <v>2</v>
      </c>
      <c r="C2046" s="48" t="n">
        <v>0</v>
      </c>
      <c r="D2046" s="48" t="n">
        <v>0</v>
      </c>
      <c r="E2046" s="48" t="s">
        <v>112</v>
      </c>
      <c r="F2046" s="48" t="s">
        <v>70</v>
      </c>
      <c r="G2046" s="48" t="s">
        <v>623</v>
      </c>
      <c r="H2046" s="82" t="n">
        <f aca="false">DATE(YEAR(A2046),MONTH(A2046),1)</f>
        <v>43952</v>
      </c>
    </row>
    <row r="2047" customFormat="false" ht="15" hidden="false" customHeight="false" outlineLevel="0" collapsed="false">
      <c r="A2047" s="81" t="n">
        <v>43972</v>
      </c>
      <c r="B2047" s="48" t="n">
        <v>12</v>
      </c>
      <c r="C2047" s="48" t="n">
        <v>0</v>
      </c>
      <c r="D2047" s="48" t="n">
        <v>2</v>
      </c>
      <c r="E2047" s="48" t="s">
        <v>112</v>
      </c>
      <c r="F2047" s="48" t="s">
        <v>70</v>
      </c>
      <c r="G2047" s="48" t="s">
        <v>636</v>
      </c>
      <c r="H2047" s="82" t="n">
        <f aca="false">DATE(YEAR(A2047),MONTH(A2047),1)</f>
        <v>43952</v>
      </c>
    </row>
    <row r="2048" customFormat="false" ht="15" hidden="false" customHeight="false" outlineLevel="0" collapsed="false">
      <c r="A2048" s="81" t="n">
        <v>43972</v>
      </c>
      <c r="B2048" s="48" t="n">
        <v>10</v>
      </c>
      <c r="C2048" s="48" t="n">
        <v>0</v>
      </c>
      <c r="D2048" s="48" t="n">
        <v>0</v>
      </c>
      <c r="E2048" s="48" t="s">
        <v>112</v>
      </c>
      <c r="F2048" s="48" t="s">
        <v>76</v>
      </c>
      <c r="G2048" s="48" t="s">
        <v>595</v>
      </c>
      <c r="H2048" s="82" t="n">
        <f aca="false">DATE(YEAR(A2048),MONTH(A2048),1)</f>
        <v>43952</v>
      </c>
    </row>
    <row r="2049" customFormat="false" ht="15" hidden="false" customHeight="false" outlineLevel="0" collapsed="false">
      <c r="A2049" s="81" t="n">
        <v>43972</v>
      </c>
      <c r="B2049" s="48" t="n">
        <v>106</v>
      </c>
      <c r="C2049" s="48" t="n">
        <v>1</v>
      </c>
      <c r="D2049" s="48" t="n">
        <v>88</v>
      </c>
      <c r="E2049" s="48" t="s">
        <v>112</v>
      </c>
      <c r="F2049" s="48" t="s">
        <v>73</v>
      </c>
      <c r="G2049" s="48" t="s">
        <v>93</v>
      </c>
      <c r="H2049" s="82" t="n">
        <f aca="false">DATE(YEAR(A2049),MONTH(A2049),1)</f>
        <v>43952</v>
      </c>
    </row>
    <row r="2050" customFormat="false" ht="15" hidden="false" customHeight="false" outlineLevel="0" collapsed="false">
      <c r="A2050" s="81" t="n">
        <v>43972</v>
      </c>
      <c r="B2050" s="48" t="n">
        <v>1073</v>
      </c>
      <c r="C2050" s="48" t="n">
        <v>13</v>
      </c>
      <c r="D2050" s="48" t="n">
        <v>200</v>
      </c>
      <c r="E2050" s="48" t="s">
        <v>112</v>
      </c>
      <c r="F2050" s="48" t="s">
        <v>71</v>
      </c>
      <c r="G2050" s="48" t="s">
        <v>92</v>
      </c>
      <c r="H2050" s="82" t="n">
        <f aca="false">DATE(YEAR(A2050),MONTH(A2050),1)</f>
        <v>43952</v>
      </c>
    </row>
    <row r="2051" customFormat="false" ht="15" hidden="false" customHeight="false" outlineLevel="0" collapsed="false">
      <c r="A2051" s="81" t="n">
        <v>43973</v>
      </c>
      <c r="B2051" s="48" t="n">
        <v>131</v>
      </c>
      <c r="C2051" s="48" t="n">
        <v>0</v>
      </c>
      <c r="D2051" s="48" t="n">
        <v>0</v>
      </c>
      <c r="E2051" s="48" t="s">
        <v>112</v>
      </c>
      <c r="F2051" s="48" t="s">
        <v>74</v>
      </c>
      <c r="G2051" s="48" t="s">
        <v>95</v>
      </c>
      <c r="H2051" s="82" t="n">
        <f aca="false">DATE(YEAR(A2051),MONTH(A2051),1)</f>
        <v>43952</v>
      </c>
    </row>
    <row r="2052" customFormat="false" ht="15" hidden="false" customHeight="false" outlineLevel="0" collapsed="false">
      <c r="A2052" s="81" t="n">
        <v>43973</v>
      </c>
      <c r="B2052" s="48" t="n">
        <v>1</v>
      </c>
      <c r="C2052" s="48" t="n">
        <v>0</v>
      </c>
      <c r="D2052" s="48" t="n">
        <v>0</v>
      </c>
      <c r="E2052" s="48" t="s">
        <v>112</v>
      </c>
      <c r="F2052" s="48" t="s">
        <v>75</v>
      </c>
      <c r="G2052" s="48" t="s">
        <v>649</v>
      </c>
      <c r="H2052" s="82" t="n">
        <f aca="false">DATE(YEAR(A2052),MONTH(A2052),1)</f>
        <v>43952</v>
      </c>
    </row>
    <row r="2053" customFormat="false" ht="15" hidden="false" customHeight="false" outlineLevel="0" collapsed="false">
      <c r="A2053" s="81" t="n">
        <v>43973</v>
      </c>
      <c r="B2053" s="48" t="n">
        <v>0</v>
      </c>
      <c r="C2053" s="48" t="n">
        <v>0</v>
      </c>
      <c r="D2053" s="48" t="n">
        <v>4</v>
      </c>
      <c r="E2053" s="48" t="s">
        <v>112</v>
      </c>
      <c r="F2053" s="48" t="s">
        <v>75</v>
      </c>
      <c r="G2053" s="48" t="s">
        <v>629</v>
      </c>
      <c r="H2053" s="82" t="n">
        <f aca="false">DATE(YEAR(A2053),MONTH(A2053),1)</f>
        <v>43952</v>
      </c>
    </row>
    <row r="2054" customFormat="false" ht="15" hidden="false" customHeight="false" outlineLevel="0" collapsed="false">
      <c r="A2054" s="81" t="n">
        <v>43973</v>
      </c>
      <c r="B2054" s="48" t="n">
        <v>5</v>
      </c>
      <c r="C2054" s="48" t="n">
        <v>0</v>
      </c>
      <c r="D2054" s="48" t="n">
        <v>0</v>
      </c>
      <c r="E2054" s="48" t="s">
        <v>112</v>
      </c>
      <c r="F2054" s="48" t="s">
        <v>75</v>
      </c>
      <c r="G2054" s="48" t="s">
        <v>103</v>
      </c>
      <c r="H2054" s="82" t="n">
        <f aca="false">DATE(YEAR(A2054),MONTH(A2054),1)</f>
        <v>43952</v>
      </c>
    </row>
    <row r="2055" customFormat="false" ht="15" hidden="false" customHeight="false" outlineLevel="0" collapsed="false">
      <c r="A2055" s="81" t="n">
        <v>43973</v>
      </c>
      <c r="B2055" s="48" t="n">
        <v>0</v>
      </c>
      <c r="C2055" s="48" t="n">
        <v>0</v>
      </c>
      <c r="D2055" s="48" t="n">
        <v>2</v>
      </c>
      <c r="E2055" s="48" t="s">
        <v>112</v>
      </c>
      <c r="F2055" s="48" t="s">
        <v>75</v>
      </c>
      <c r="G2055" s="48" t="s">
        <v>658</v>
      </c>
      <c r="H2055" s="82" t="n">
        <f aca="false">DATE(YEAR(A2055),MONTH(A2055),1)</f>
        <v>43952</v>
      </c>
    </row>
    <row r="2056" customFormat="false" ht="15" hidden="false" customHeight="false" outlineLevel="0" collapsed="false">
      <c r="A2056" s="81" t="n">
        <v>43973</v>
      </c>
      <c r="B2056" s="48" t="n">
        <v>111</v>
      </c>
      <c r="C2056" s="48" t="n">
        <v>9</v>
      </c>
      <c r="D2056" s="48" t="n">
        <v>11</v>
      </c>
      <c r="E2056" s="48" t="s">
        <v>112</v>
      </c>
      <c r="F2056" s="48" t="s">
        <v>72</v>
      </c>
      <c r="G2056" s="48" t="s">
        <v>94</v>
      </c>
      <c r="H2056" s="82" t="n">
        <f aca="false">DATE(YEAR(A2056),MONTH(A2056),1)</f>
        <v>43952</v>
      </c>
    </row>
    <row r="2057" customFormat="false" ht="15" hidden="false" customHeight="false" outlineLevel="0" collapsed="false">
      <c r="A2057" s="81" t="n">
        <v>43973</v>
      </c>
      <c r="B2057" s="48" t="n">
        <v>10</v>
      </c>
      <c r="C2057" s="48" t="n">
        <v>0</v>
      </c>
      <c r="D2057" s="48" t="n">
        <v>1</v>
      </c>
      <c r="E2057" s="48" t="s">
        <v>112</v>
      </c>
      <c r="F2057" s="48" t="s">
        <v>72</v>
      </c>
      <c r="G2057" s="48" t="s">
        <v>597</v>
      </c>
      <c r="H2057" s="82" t="n">
        <f aca="false">DATE(YEAR(A2057),MONTH(A2057),1)</f>
        <v>43952</v>
      </c>
    </row>
    <row r="2058" customFormat="false" ht="15" hidden="false" customHeight="false" outlineLevel="0" collapsed="false">
      <c r="A2058" s="81" t="n">
        <v>43973</v>
      </c>
      <c r="B2058" s="48" t="n">
        <v>13</v>
      </c>
      <c r="C2058" s="48" t="n">
        <v>1</v>
      </c>
      <c r="D2058" s="48" t="n">
        <v>4</v>
      </c>
      <c r="E2058" s="48" t="s">
        <v>112</v>
      </c>
      <c r="F2058" s="48" t="s">
        <v>72</v>
      </c>
      <c r="G2058" s="48" t="s">
        <v>594</v>
      </c>
      <c r="H2058" s="82" t="n">
        <f aca="false">DATE(YEAR(A2058),MONTH(A2058),1)</f>
        <v>43952</v>
      </c>
    </row>
    <row r="2059" customFormat="false" ht="15" hidden="false" customHeight="false" outlineLevel="0" collapsed="false">
      <c r="A2059" s="81" t="n">
        <v>43973</v>
      </c>
      <c r="B2059" s="48" t="n">
        <v>1</v>
      </c>
      <c r="C2059" s="48" t="n">
        <v>0</v>
      </c>
      <c r="D2059" s="48" t="n">
        <v>3</v>
      </c>
      <c r="E2059" s="48" t="s">
        <v>112</v>
      </c>
      <c r="F2059" s="48" t="s">
        <v>72</v>
      </c>
      <c r="G2059" s="48" t="s">
        <v>599</v>
      </c>
      <c r="H2059" s="82" t="n">
        <f aca="false">DATE(YEAR(A2059),MONTH(A2059),1)</f>
        <v>43952</v>
      </c>
    </row>
    <row r="2060" customFormat="false" ht="15" hidden="false" customHeight="false" outlineLevel="0" collapsed="false">
      <c r="A2060" s="81" t="n">
        <v>43973</v>
      </c>
      <c r="B2060" s="48" t="n">
        <v>1</v>
      </c>
      <c r="C2060" s="48" t="n">
        <v>0</v>
      </c>
      <c r="D2060" s="48" t="n">
        <v>0</v>
      </c>
      <c r="E2060" s="48" t="s">
        <v>112</v>
      </c>
      <c r="F2060" s="48" t="s">
        <v>72</v>
      </c>
      <c r="G2060" s="48" t="s">
        <v>656</v>
      </c>
      <c r="H2060" s="82" t="n">
        <f aca="false">DATE(YEAR(A2060),MONTH(A2060),1)</f>
        <v>43952</v>
      </c>
    </row>
    <row r="2061" customFormat="false" ht="15" hidden="false" customHeight="false" outlineLevel="0" collapsed="false">
      <c r="A2061" s="81" t="n">
        <v>43973</v>
      </c>
      <c r="B2061" s="48" t="n">
        <v>9</v>
      </c>
      <c r="C2061" s="48" t="n">
        <v>1</v>
      </c>
      <c r="D2061" s="48" t="n">
        <v>1</v>
      </c>
      <c r="E2061" s="48" t="s">
        <v>112</v>
      </c>
      <c r="F2061" s="48" t="s">
        <v>72</v>
      </c>
      <c r="G2061" s="48" t="s">
        <v>102</v>
      </c>
      <c r="H2061" s="82" t="n">
        <f aca="false">DATE(YEAR(A2061),MONTH(A2061),1)</f>
        <v>43952</v>
      </c>
    </row>
    <row r="2062" customFormat="false" ht="15" hidden="false" customHeight="false" outlineLevel="0" collapsed="false">
      <c r="A2062" s="81" t="n">
        <v>43973</v>
      </c>
      <c r="B2062" s="48" t="n">
        <v>2</v>
      </c>
      <c r="C2062" s="48" t="n">
        <v>0</v>
      </c>
      <c r="D2062" s="48" t="n">
        <v>2</v>
      </c>
      <c r="E2062" s="48" t="s">
        <v>112</v>
      </c>
      <c r="F2062" s="48" t="s">
        <v>72</v>
      </c>
      <c r="G2062" s="48" t="s">
        <v>611</v>
      </c>
      <c r="H2062" s="82" t="n">
        <f aca="false">DATE(YEAR(A2062),MONTH(A2062),1)</f>
        <v>43952</v>
      </c>
    </row>
    <row r="2063" customFormat="false" ht="15" hidden="false" customHeight="false" outlineLevel="0" collapsed="false">
      <c r="A2063" s="81" t="n">
        <v>43973</v>
      </c>
      <c r="B2063" s="48" t="n">
        <v>30</v>
      </c>
      <c r="C2063" s="48" t="n">
        <v>0</v>
      </c>
      <c r="D2063" s="48" t="n">
        <v>34</v>
      </c>
      <c r="E2063" s="48" t="s">
        <v>112</v>
      </c>
      <c r="F2063" s="48" t="s">
        <v>72</v>
      </c>
      <c r="G2063" s="48" t="s">
        <v>96</v>
      </c>
      <c r="H2063" s="82" t="n">
        <f aca="false">DATE(YEAR(A2063),MONTH(A2063),1)</f>
        <v>43952</v>
      </c>
    </row>
    <row r="2064" customFormat="false" ht="15" hidden="false" customHeight="false" outlineLevel="0" collapsed="false">
      <c r="A2064" s="81" t="n">
        <v>43973</v>
      </c>
      <c r="B2064" s="48" t="n">
        <v>1</v>
      </c>
      <c r="C2064" s="48" t="n">
        <v>0</v>
      </c>
      <c r="D2064" s="48" t="n">
        <v>5</v>
      </c>
      <c r="E2064" s="48" t="s">
        <v>112</v>
      </c>
      <c r="F2064" s="48" t="s">
        <v>72</v>
      </c>
      <c r="G2064" s="48" t="s">
        <v>603</v>
      </c>
      <c r="H2064" s="82" t="n">
        <f aca="false">DATE(YEAR(A2064),MONTH(A2064),1)</f>
        <v>43952</v>
      </c>
    </row>
    <row r="2065" customFormat="false" ht="15" hidden="false" customHeight="false" outlineLevel="0" collapsed="false">
      <c r="A2065" s="81" t="n">
        <v>43973</v>
      </c>
      <c r="B2065" s="48" t="n">
        <v>4</v>
      </c>
      <c r="C2065" s="48" t="n">
        <v>0</v>
      </c>
      <c r="D2065" s="48" t="n">
        <v>7</v>
      </c>
      <c r="E2065" s="48" t="s">
        <v>112</v>
      </c>
      <c r="F2065" s="48" t="s">
        <v>72</v>
      </c>
      <c r="G2065" s="48" t="s">
        <v>591</v>
      </c>
      <c r="H2065" s="82" t="n">
        <f aca="false">DATE(YEAR(A2065),MONTH(A2065),1)</f>
        <v>43952</v>
      </c>
    </row>
    <row r="2066" customFormat="false" ht="15" hidden="false" customHeight="false" outlineLevel="0" collapsed="false">
      <c r="A2066" s="81" t="n">
        <v>43973</v>
      </c>
      <c r="B2066" s="48" t="n">
        <v>3</v>
      </c>
      <c r="C2066" s="48" t="n">
        <v>0</v>
      </c>
      <c r="D2066" s="48" t="n">
        <v>2</v>
      </c>
      <c r="E2066" s="48" t="s">
        <v>112</v>
      </c>
      <c r="F2066" s="48" t="s">
        <v>72</v>
      </c>
      <c r="G2066" s="48" t="s">
        <v>598</v>
      </c>
      <c r="H2066" s="82" t="n">
        <f aca="false">DATE(YEAR(A2066),MONTH(A2066),1)</f>
        <v>43952</v>
      </c>
    </row>
    <row r="2067" customFormat="false" ht="15" hidden="false" customHeight="false" outlineLevel="0" collapsed="false">
      <c r="A2067" s="81" t="n">
        <v>43973</v>
      </c>
      <c r="B2067" s="48" t="n">
        <v>0</v>
      </c>
      <c r="C2067" s="48" t="n">
        <v>0</v>
      </c>
      <c r="D2067" s="48" t="n">
        <v>0</v>
      </c>
      <c r="E2067" s="48" t="s">
        <v>112</v>
      </c>
      <c r="F2067" s="48" t="s">
        <v>72</v>
      </c>
      <c r="G2067" s="48" t="s">
        <v>609</v>
      </c>
      <c r="H2067" s="82" t="n">
        <f aca="false">DATE(YEAR(A2067),MONTH(A2067),1)</f>
        <v>43952</v>
      </c>
    </row>
    <row r="2068" customFormat="false" ht="15" hidden="false" customHeight="false" outlineLevel="0" collapsed="false">
      <c r="A2068" s="81" t="n">
        <v>43973</v>
      </c>
      <c r="B2068" s="48" t="n">
        <v>0</v>
      </c>
      <c r="C2068" s="48" t="n">
        <v>0</v>
      </c>
      <c r="D2068" s="48" t="n">
        <v>0</v>
      </c>
      <c r="E2068" s="48" t="s">
        <v>112</v>
      </c>
      <c r="F2068" s="48" t="s">
        <v>72</v>
      </c>
      <c r="G2068" s="48" t="s">
        <v>101</v>
      </c>
      <c r="H2068" s="82" t="n">
        <f aca="false">DATE(YEAR(A2068),MONTH(A2068),1)</f>
        <v>43952</v>
      </c>
    </row>
    <row r="2069" customFormat="false" ht="15" hidden="false" customHeight="false" outlineLevel="0" collapsed="false">
      <c r="A2069" s="81" t="n">
        <v>43973</v>
      </c>
      <c r="B2069" s="48" t="n">
        <v>0</v>
      </c>
      <c r="C2069" s="48" t="n">
        <v>0</v>
      </c>
      <c r="D2069" s="48" t="n">
        <v>1</v>
      </c>
      <c r="E2069" s="48" t="s">
        <v>112</v>
      </c>
      <c r="F2069" s="48" t="s">
        <v>72</v>
      </c>
      <c r="G2069" s="48" t="s">
        <v>643</v>
      </c>
      <c r="H2069" s="82" t="n">
        <f aca="false">DATE(YEAR(A2069),MONTH(A2069),1)</f>
        <v>43952</v>
      </c>
    </row>
    <row r="2070" customFormat="false" ht="15" hidden="false" customHeight="false" outlineLevel="0" collapsed="false">
      <c r="A2070" s="81" t="n">
        <v>43973</v>
      </c>
      <c r="B2070" s="48" t="n">
        <v>0</v>
      </c>
      <c r="C2070" s="48" t="n">
        <v>0</v>
      </c>
      <c r="D2070" s="48" t="n">
        <v>1</v>
      </c>
      <c r="E2070" s="48" t="s">
        <v>112</v>
      </c>
      <c r="F2070" s="48" t="s">
        <v>72</v>
      </c>
      <c r="G2070" s="48" t="s">
        <v>662</v>
      </c>
      <c r="H2070" s="82" t="n">
        <f aca="false">DATE(YEAR(A2070),MONTH(A2070),1)</f>
        <v>43952</v>
      </c>
    </row>
    <row r="2071" customFormat="false" ht="15" hidden="false" customHeight="false" outlineLevel="0" collapsed="false">
      <c r="A2071" s="81" t="n">
        <v>43973</v>
      </c>
      <c r="B2071" s="48" t="n">
        <v>4</v>
      </c>
      <c r="C2071" s="48" t="n">
        <v>1</v>
      </c>
      <c r="D2071" s="48" t="n">
        <v>2</v>
      </c>
      <c r="E2071" s="48" t="s">
        <v>112</v>
      </c>
      <c r="F2071" s="48" t="s">
        <v>72</v>
      </c>
      <c r="G2071" s="48" t="s">
        <v>600</v>
      </c>
      <c r="H2071" s="82" t="n">
        <f aca="false">DATE(YEAR(A2071),MONTH(A2071),1)</f>
        <v>43952</v>
      </c>
    </row>
    <row r="2072" customFormat="false" ht="15" hidden="false" customHeight="false" outlineLevel="0" collapsed="false">
      <c r="A2072" s="81" t="n">
        <v>43973</v>
      </c>
      <c r="B2072" s="48" t="n">
        <v>0</v>
      </c>
      <c r="C2072" s="48" t="n">
        <v>1</v>
      </c>
      <c r="D2072" s="48" t="n">
        <v>0</v>
      </c>
      <c r="E2072" s="48" t="s">
        <v>112</v>
      </c>
      <c r="F2072" s="48" t="s">
        <v>72</v>
      </c>
      <c r="G2072" s="48" t="s">
        <v>610</v>
      </c>
      <c r="H2072" s="82" t="n">
        <f aca="false">DATE(YEAR(A2072),MONTH(A2072),1)</f>
        <v>43952</v>
      </c>
    </row>
    <row r="2073" customFormat="false" ht="15" hidden="false" customHeight="false" outlineLevel="0" collapsed="false">
      <c r="A2073" s="81" t="n">
        <v>43973</v>
      </c>
      <c r="B2073" s="48" t="n">
        <v>11</v>
      </c>
      <c r="C2073" s="48" t="n">
        <v>1</v>
      </c>
      <c r="D2073" s="48" t="n">
        <v>0</v>
      </c>
      <c r="E2073" s="48" t="s">
        <v>112</v>
      </c>
      <c r="F2073" s="48" t="s">
        <v>72</v>
      </c>
      <c r="G2073" s="48" t="s">
        <v>593</v>
      </c>
      <c r="H2073" s="82" t="n">
        <f aca="false">DATE(YEAR(A2073),MONTH(A2073),1)</f>
        <v>43952</v>
      </c>
    </row>
    <row r="2074" customFormat="false" ht="15" hidden="false" customHeight="false" outlineLevel="0" collapsed="false">
      <c r="A2074" s="81" t="n">
        <v>43973</v>
      </c>
      <c r="B2074" s="48" t="n">
        <v>5</v>
      </c>
      <c r="C2074" s="48" t="n">
        <v>0</v>
      </c>
      <c r="D2074" s="48" t="n">
        <v>10</v>
      </c>
      <c r="E2074" s="48" t="s">
        <v>112</v>
      </c>
      <c r="F2074" s="48" t="s">
        <v>72</v>
      </c>
      <c r="G2074" s="48" t="s">
        <v>612</v>
      </c>
      <c r="H2074" s="82" t="n">
        <f aca="false">DATE(YEAR(A2074),MONTH(A2074),1)</f>
        <v>43952</v>
      </c>
    </row>
    <row r="2075" customFormat="false" ht="15" hidden="false" customHeight="false" outlineLevel="0" collapsed="false">
      <c r="A2075" s="81" t="n">
        <v>43973</v>
      </c>
      <c r="B2075" s="48" t="n">
        <v>0</v>
      </c>
      <c r="C2075" s="48" t="n">
        <v>0</v>
      </c>
      <c r="D2075" s="48" t="n">
        <v>0</v>
      </c>
      <c r="E2075" s="48" t="s">
        <v>112</v>
      </c>
      <c r="F2075" s="48" t="s">
        <v>72</v>
      </c>
      <c r="G2075" s="48" t="s">
        <v>685</v>
      </c>
      <c r="H2075" s="82" t="n">
        <f aca="false">DATE(YEAR(A2075),MONTH(A2075),1)</f>
        <v>43952</v>
      </c>
    </row>
    <row r="2076" customFormat="false" ht="15" hidden="false" customHeight="false" outlineLevel="0" collapsed="false">
      <c r="A2076" s="81" t="n">
        <v>43973</v>
      </c>
      <c r="B2076" s="48" t="n">
        <v>0</v>
      </c>
      <c r="C2076" s="48" t="n">
        <v>0</v>
      </c>
      <c r="D2076" s="48" t="n">
        <v>0</v>
      </c>
      <c r="E2076" s="48" t="s">
        <v>112</v>
      </c>
      <c r="F2076" s="48" t="s">
        <v>72</v>
      </c>
      <c r="G2076" s="48" t="s">
        <v>687</v>
      </c>
      <c r="H2076" s="82" t="n">
        <f aca="false">DATE(YEAR(A2076),MONTH(A2076),1)</f>
        <v>43952</v>
      </c>
    </row>
    <row r="2077" customFormat="false" ht="15" hidden="false" customHeight="false" outlineLevel="0" collapsed="false">
      <c r="A2077" s="81" t="n">
        <v>43973</v>
      </c>
      <c r="B2077" s="48" t="n">
        <v>0</v>
      </c>
      <c r="C2077" s="48" t="n">
        <v>0</v>
      </c>
      <c r="D2077" s="48" t="n">
        <v>0</v>
      </c>
      <c r="E2077" s="48" t="s">
        <v>112</v>
      </c>
      <c r="F2077" s="48" t="s">
        <v>72</v>
      </c>
      <c r="G2077" s="48" t="s">
        <v>682</v>
      </c>
      <c r="H2077" s="82" t="n">
        <f aca="false">DATE(YEAR(A2077),MONTH(A2077),1)</f>
        <v>43952</v>
      </c>
    </row>
    <row r="2078" customFormat="false" ht="15" hidden="false" customHeight="false" outlineLevel="0" collapsed="false">
      <c r="A2078" s="81" t="n">
        <v>43973</v>
      </c>
      <c r="B2078" s="48" t="n">
        <v>0</v>
      </c>
      <c r="C2078" s="48" t="n">
        <v>0</v>
      </c>
      <c r="D2078" s="48" t="n">
        <v>0</v>
      </c>
      <c r="E2078" s="48" t="s">
        <v>112</v>
      </c>
      <c r="F2078" s="48" t="s">
        <v>72</v>
      </c>
      <c r="G2078" s="48" t="s">
        <v>692</v>
      </c>
      <c r="H2078" s="82" t="n">
        <f aca="false">DATE(YEAR(A2078),MONTH(A2078),1)</f>
        <v>43952</v>
      </c>
    </row>
    <row r="2079" customFormat="false" ht="15" hidden="false" customHeight="false" outlineLevel="0" collapsed="false">
      <c r="A2079" s="81" t="n">
        <v>43973</v>
      </c>
      <c r="B2079" s="48" t="n">
        <v>11</v>
      </c>
      <c r="C2079" s="48" t="n">
        <v>0</v>
      </c>
      <c r="D2079" s="48" t="n">
        <v>4</v>
      </c>
      <c r="E2079" s="48" t="s">
        <v>112</v>
      </c>
      <c r="F2079" s="48" t="s">
        <v>72</v>
      </c>
      <c r="G2079" s="48" t="s">
        <v>613</v>
      </c>
      <c r="H2079" s="82" t="n">
        <f aca="false">DATE(YEAR(A2079),MONTH(A2079),1)</f>
        <v>43952</v>
      </c>
    </row>
    <row r="2080" customFormat="false" ht="15" hidden="false" customHeight="false" outlineLevel="0" collapsed="false">
      <c r="A2080" s="81" t="n">
        <v>43973</v>
      </c>
      <c r="B2080" s="48" t="n">
        <v>1</v>
      </c>
      <c r="C2080" s="48" t="n">
        <v>1</v>
      </c>
      <c r="D2080" s="48" t="n">
        <v>5</v>
      </c>
      <c r="E2080" s="48" t="s">
        <v>112</v>
      </c>
      <c r="F2080" s="48" t="s">
        <v>72</v>
      </c>
      <c r="G2080" s="48" t="s">
        <v>614</v>
      </c>
      <c r="H2080" s="82" t="n">
        <f aca="false">DATE(YEAR(A2080),MONTH(A2080),1)</f>
        <v>43952</v>
      </c>
    </row>
    <row r="2081" customFormat="false" ht="15" hidden="false" customHeight="false" outlineLevel="0" collapsed="false">
      <c r="A2081" s="81" t="n">
        <v>43973</v>
      </c>
      <c r="B2081" s="48" t="n">
        <v>0</v>
      </c>
      <c r="C2081" s="48" t="n">
        <v>0</v>
      </c>
      <c r="D2081" s="48" t="n">
        <v>0</v>
      </c>
      <c r="E2081" s="48" t="s">
        <v>112</v>
      </c>
      <c r="F2081" s="48" t="s">
        <v>72</v>
      </c>
      <c r="G2081" s="48" t="s">
        <v>655</v>
      </c>
      <c r="H2081" s="82" t="n">
        <f aca="false">DATE(YEAR(A2081),MONTH(A2081),1)</f>
        <v>43952</v>
      </c>
    </row>
    <row r="2082" customFormat="false" ht="15" hidden="false" customHeight="false" outlineLevel="0" collapsed="false">
      <c r="A2082" s="81" t="n">
        <v>43973</v>
      </c>
      <c r="B2082" s="48" t="n">
        <v>0</v>
      </c>
      <c r="C2082" s="48" t="n">
        <v>0</v>
      </c>
      <c r="D2082" s="48" t="n">
        <v>0</v>
      </c>
      <c r="E2082" s="48" t="s">
        <v>112</v>
      </c>
      <c r="F2082" s="48" t="s">
        <v>72</v>
      </c>
      <c r="G2082" s="48" t="s">
        <v>608</v>
      </c>
      <c r="H2082" s="82" t="n">
        <f aca="false">DATE(YEAR(A2082),MONTH(A2082),1)</f>
        <v>43952</v>
      </c>
    </row>
    <row r="2083" customFormat="false" ht="15" hidden="false" customHeight="false" outlineLevel="0" collapsed="false">
      <c r="A2083" s="81" t="n">
        <v>43973</v>
      </c>
      <c r="B2083" s="48" t="n">
        <v>0</v>
      </c>
      <c r="C2083" s="48" t="n">
        <v>0</v>
      </c>
      <c r="D2083" s="48" t="n">
        <v>0</v>
      </c>
      <c r="E2083" s="48" t="s">
        <v>112</v>
      </c>
      <c r="F2083" s="48" t="s">
        <v>72</v>
      </c>
      <c r="G2083" s="48" t="s">
        <v>615</v>
      </c>
      <c r="H2083" s="82" t="n">
        <f aca="false">DATE(YEAR(A2083),MONTH(A2083),1)</f>
        <v>43952</v>
      </c>
    </row>
    <row r="2084" customFormat="false" ht="15" hidden="false" customHeight="false" outlineLevel="0" collapsed="false">
      <c r="A2084" s="81" t="n">
        <v>43973</v>
      </c>
      <c r="B2084" s="48" t="n">
        <v>0</v>
      </c>
      <c r="C2084" s="48" t="n">
        <v>0</v>
      </c>
      <c r="D2084" s="48" t="n">
        <v>0</v>
      </c>
      <c r="E2084" s="48" t="s">
        <v>112</v>
      </c>
      <c r="F2084" s="48" t="s">
        <v>72</v>
      </c>
      <c r="G2084" s="48" t="s">
        <v>666</v>
      </c>
      <c r="H2084" s="82" t="n">
        <f aca="false">DATE(YEAR(A2084),MONTH(A2084),1)</f>
        <v>43952</v>
      </c>
    </row>
    <row r="2085" customFormat="false" ht="15" hidden="false" customHeight="false" outlineLevel="0" collapsed="false">
      <c r="A2085" s="81" t="n">
        <v>43973</v>
      </c>
      <c r="B2085" s="48" t="n">
        <v>0</v>
      </c>
      <c r="C2085" s="48" t="n">
        <v>0</v>
      </c>
      <c r="D2085" s="48" t="n">
        <v>0</v>
      </c>
      <c r="E2085" s="48" t="s">
        <v>112</v>
      </c>
      <c r="F2085" s="48" t="s">
        <v>72</v>
      </c>
      <c r="G2085" s="48" t="s">
        <v>621</v>
      </c>
      <c r="H2085" s="82" t="n">
        <f aca="false">DATE(YEAR(A2085),MONTH(A2085),1)</f>
        <v>43952</v>
      </c>
    </row>
    <row r="2086" customFormat="false" ht="15" hidden="false" customHeight="false" outlineLevel="0" collapsed="false">
      <c r="A2086" s="81" t="n">
        <v>43973</v>
      </c>
      <c r="B2086" s="48" t="n">
        <v>1</v>
      </c>
      <c r="C2086" s="48" t="n">
        <v>1</v>
      </c>
      <c r="D2086" s="48" t="n">
        <v>0</v>
      </c>
      <c r="E2086" s="48" t="s">
        <v>112</v>
      </c>
      <c r="F2086" s="48" t="s">
        <v>72</v>
      </c>
      <c r="G2086" s="48" t="s">
        <v>664</v>
      </c>
      <c r="H2086" s="82" t="n">
        <f aca="false">DATE(YEAR(A2086),MONTH(A2086),1)</f>
        <v>43952</v>
      </c>
    </row>
    <row r="2087" customFormat="false" ht="15" hidden="false" customHeight="false" outlineLevel="0" collapsed="false">
      <c r="A2087" s="81" t="n">
        <v>43973</v>
      </c>
      <c r="B2087" s="48" t="n">
        <v>0</v>
      </c>
      <c r="C2087" s="48" t="n">
        <v>0</v>
      </c>
      <c r="D2087" s="48" t="n">
        <v>0</v>
      </c>
      <c r="E2087" s="48" t="s">
        <v>112</v>
      </c>
      <c r="F2087" s="48" t="s">
        <v>72</v>
      </c>
      <c r="G2087" s="48" t="s">
        <v>667</v>
      </c>
      <c r="H2087" s="82" t="n">
        <f aca="false">DATE(YEAR(A2087),MONTH(A2087),1)</f>
        <v>43952</v>
      </c>
    </row>
    <row r="2088" customFormat="false" ht="15" hidden="false" customHeight="false" outlineLevel="0" collapsed="false">
      <c r="A2088" s="81" t="n">
        <v>43973</v>
      </c>
      <c r="B2088" s="48" t="n">
        <v>2</v>
      </c>
      <c r="C2088" s="48" t="n">
        <v>0</v>
      </c>
      <c r="D2088" s="48" t="n">
        <v>1</v>
      </c>
      <c r="E2088" s="48" t="s">
        <v>112</v>
      </c>
      <c r="F2088" s="48" t="s">
        <v>72</v>
      </c>
      <c r="G2088" s="48" t="s">
        <v>607</v>
      </c>
      <c r="H2088" s="82" t="n">
        <f aca="false">DATE(YEAR(A2088),MONTH(A2088),1)</f>
        <v>43952</v>
      </c>
    </row>
    <row r="2089" customFormat="false" ht="15" hidden="false" customHeight="false" outlineLevel="0" collapsed="false">
      <c r="A2089" s="81" t="n">
        <v>43973</v>
      </c>
      <c r="B2089" s="48" t="n">
        <v>0</v>
      </c>
      <c r="C2089" s="48" t="n">
        <v>0</v>
      </c>
      <c r="D2089" s="48" t="n">
        <v>1</v>
      </c>
      <c r="E2089" s="48" t="s">
        <v>112</v>
      </c>
      <c r="F2089" s="48" t="s">
        <v>72</v>
      </c>
      <c r="G2089" s="48" t="s">
        <v>673</v>
      </c>
      <c r="H2089" s="82" t="n">
        <f aca="false">DATE(YEAR(A2089),MONTH(A2089),1)</f>
        <v>43952</v>
      </c>
    </row>
    <row r="2090" customFormat="false" ht="15" hidden="false" customHeight="false" outlineLevel="0" collapsed="false">
      <c r="A2090" s="81" t="n">
        <v>43973</v>
      </c>
      <c r="B2090" s="48" t="n">
        <v>0</v>
      </c>
      <c r="C2090" s="48" t="n">
        <v>0</v>
      </c>
      <c r="D2090" s="48" t="n">
        <v>0</v>
      </c>
      <c r="E2090" s="48" t="s">
        <v>112</v>
      </c>
      <c r="F2090" s="48" t="s">
        <v>72</v>
      </c>
      <c r="G2090" s="48" t="s">
        <v>676</v>
      </c>
      <c r="H2090" s="82" t="n">
        <f aca="false">DATE(YEAR(A2090),MONTH(A2090),1)</f>
        <v>43952</v>
      </c>
    </row>
    <row r="2091" customFormat="false" ht="15" hidden="false" customHeight="false" outlineLevel="0" collapsed="false">
      <c r="A2091" s="81" t="n">
        <v>43973</v>
      </c>
      <c r="B2091" s="48" t="n">
        <v>827</v>
      </c>
      <c r="C2091" s="48" t="n">
        <v>4</v>
      </c>
      <c r="D2091" s="48" t="n">
        <v>425</v>
      </c>
      <c r="E2091" s="48" t="s">
        <v>112</v>
      </c>
      <c r="F2091" s="48" t="s">
        <v>70</v>
      </c>
      <c r="G2091" s="48" t="s">
        <v>91</v>
      </c>
      <c r="H2091" s="82" t="n">
        <f aca="false">DATE(YEAR(A2091),MONTH(A2091),1)</f>
        <v>43952</v>
      </c>
    </row>
    <row r="2092" customFormat="false" ht="15" hidden="false" customHeight="false" outlineLevel="0" collapsed="false">
      <c r="A2092" s="81" t="n">
        <v>43973</v>
      </c>
      <c r="B2092" s="48" t="n">
        <v>7</v>
      </c>
      <c r="C2092" s="48" t="n">
        <v>0</v>
      </c>
      <c r="D2092" s="48" t="n">
        <v>66</v>
      </c>
      <c r="E2092" s="48" t="s">
        <v>112</v>
      </c>
      <c r="F2092" s="48" t="s">
        <v>70</v>
      </c>
      <c r="G2092" s="48" t="s">
        <v>99</v>
      </c>
      <c r="H2092" s="82" t="n">
        <f aca="false">DATE(YEAR(A2092),MONTH(A2092),1)</f>
        <v>43952</v>
      </c>
    </row>
    <row r="2093" customFormat="false" ht="15" hidden="false" customHeight="false" outlineLevel="0" collapsed="false">
      <c r="A2093" s="81" t="n">
        <v>43973</v>
      </c>
      <c r="B2093" s="48" t="n">
        <v>6</v>
      </c>
      <c r="C2093" s="48" t="n">
        <v>0</v>
      </c>
      <c r="D2093" s="48" t="n">
        <v>0</v>
      </c>
      <c r="E2093" s="48" t="s">
        <v>112</v>
      </c>
      <c r="F2093" s="48" t="s">
        <v>70</v>
      </c>
      <c r="G2093" s="48" t="s">
        <v>619</v>
      </c>
      <c r="H2093" s="82" t="n">
        <f aca="false">DATE(YEAR(A2093),MONTH(A2093),1)</f>
        <v>43952</v>
      </c>
    </row>
    <row r="2094" customFormat="false" ht="15" hidden="false" customHeight="false" outlineLevel="0" collapsed="false">
      <c r="A2094" s="81" t="n">
        <v>43973</v>
      </c>
      <c r="B2094" s="48" t="n">
        <v>1</v>
      </c>
      <c r="C2094" s="48" t="n">
        <v>0</v>
      </c>
      <c r="D2094" s="48" t="n">
        <v>0</v>
      </c>
      <c r="E2094" s="48" t="s">
        <v>112</v>
      </c>
      <c r="F2094" s="48" t="s">
        <v>70</v>
      </c>
      <c r="G2094" s="48" t="s">
        <v>633</v>
      </c>
      <c r="H2094" s="82" t="n">
        <f aca="false">DATE(YEAR(A2094),MONTH(A2094),1)</f>
        <v>43952</v>
      </c>
    </row>
    <row r="2095" customFormat="false" ht="15" hidden="false" customHeight="false" outlineLevel="0" collapsed="false">
      <c r="A2095" s="81" t="n">
        <v>43973</v>
      </c>
      <c r="B2095" s="48" t="n">
        <v>3</v>
      </c>
      <c r="C2095" s="48" t="n">
        <v>0</v>
      </c>
      <c r="D2095" s="48" t="n">
        <v>12</v>
      </c>
      <c r="E2095" s="48" t="s">
        <v>112</v>
      </c>
      <c r="F2095" s="48" t="s">
        <v>70</v>
      </c>
      <c r="G2095" s="48" t="s">
        <v>605</v>
      </c>
      <c r="H2095" s="82" t="n">
        <f aca="false">DATE(YEAR(A2095),MONTH(A2095),1)</f>
        <v>43952</v>
      </c>
    </row>
    <row r="2096" customFormat="false" ht="15" hidden="false" customHeight="false" outlineLevel="0" collapsed="false">
      <c r="A2096" s="81" t="n">
        <v>43973</v>
      </c>
      <c r="B2096" s="48" t="n">
        <v>0</v>
      </c>
      <c r="C2096" s="48" t="n">
        <v>0</v>
      </c>
      <c r="D2096" s="48" t="n">
        <v>4</v>
      </c>
      <c r="E2096" s="48" t="s">
        <v>112</v>
      </c>
      <c r="F2096" s="48" t="s">
        <v>70</v>
      </c>
      <c r="G2096" s="48" t="s">
        <v>641</v>
      </c>
      <c r="H2096" s="82" t="n">
        <f aca="false">DATE(YEAR(A2096),MONTH(A2096),1)</f>
        <v>43952</v>
      </c>
    </row>
    <row r="2097" customFormat="false" ht="15" hidden="false" customHeight="false" outlineLevel="0" collapsed="false">
      <c r="A2097" s="81" t="n">
        <v>43973</v>
      </c>
      <c r="B2097" s="48" t="n">
        <v>1</v>
      </c>
      <c r="C2097" s="48" t="n">
        <v>0</v>
      </c>
      <c r="D2097" s="48" t="n">
        <v>3</v>
      </c>
      <c r="E2097" s="48" t="s">
        <v>112</v>
      </c>
      <c r="F2097" s="48" t="s">
        <v>70</v>
      </c>
      <c r="G2097" s="48" t="s">
        <v>644</v>
      </c>
      <c r="H2097" s="82" t="n">
        <f aca="false">DATE(YEAR(A2097),MONTH(A2097),1)</f>
        <v>43952</v>
      </c>
    </row>
    <row r="2098" customFormat="false" ht="15" hidden="false" customHeight="false" outlineLevel="0" collapsed="false">
      <c r="A2098" s="81" t="n">
        <v>43973</v>
      </c>
      <c r="B2098" s="48" t="n">
        <v>13</v>
      </c>
      <c r="C2098" s="48" t="n">
        <v>0</v>
      </c>
      <c r="D2098" s="48" t="n">
        <v>0</v>
      </c>
      <c r="E2098" s="48" t="s">
        <v>112</v>
      </c>
      <c r="F2098" s="48" t="s">
        <v>70</v>
      </c>
      <c r="G2098" s="48" t="s">
        <v>637</v>
      </c>
      <c r="H2098" s="82" t="n">
        <f aca="false">DATE(YEAR(A2098),MONTH(A2098),1)</f>
        <v>43952</v>
      </c>
    </row>
    <row r="2099" customFormat="false" ht="15" hidden="false" customHeight="false" outlineLevel="0" collapsed="false">
      <c r="A2099" s="81" t="n">
        <v>43973</v>
      </c>
      <c r="B2099" s="48" t="n">
        <v>2</v>
      </c>
      <c r="C2099" s="48" t="n">
        <v>0</v>
      </c>
      <c r="D2099" s="48" t="n">
        <v>1</v>
      </c>
      <c r="E2099" s="48" t="s">
        <v>112</v>
      </c>
      <c r="F2099" s="48" t="s">
        <v>70</v>
      </c>
      <c r="G2099" s="48" t="s">
        <v>630</v>
      </c>
      <c r="H2099" s="82" t="n">
        <f aca="false">DATE(YEAR(A2099),MONTH(A2099),1)</f>
        <v>43952</v>
      </c>
    </row>
    <row r="2100" customFormat="false" ht="15" hidden="false" customHeight="false" outlineLevel="0" collapsed="false">
      <c r="A2100" s="81" t="n">
        <v>43973</v>
      </c>
      <c r="B2100" s="48" t="n">
        <v>0</v>
      </c>
      <c r="C2100" s="48" t="n">
        <v>0</v>
      </c>
      <c r="D2100" s="48" t="n">
        <v>0</v>
      </c>
      <c r="E2100" s="48" t="s">
        <v>112</v>
      </c>
      <c r="F2100" s="48" t="s">
        <v>70</v>
      </c>
      <c r="G2100" s="48" t="s">
        <v>642</v>
      </c>
      <c r="H2100" s="82" t="n">
        <f aca="false">DATE(YEAR(A2100),MONTH(A2100),1)</f>
        <v>43952</v>
      </c>
    </row>
    <row r="2101" customFormat="false" ht="15" hidden="false" customHeight="false" outlineLevel="0" collapsed="false">
      <c r="A2101" s="81" t="n">
        <v>43973</v>
      </c>
      <c r="B2101" s="48" t="n">
        <v>0</v>
      </c>
      <c r="C2101" s="48" t="n">
        <v>0</v>
      </c>
      <c r="D2101" s="48" t="n">
        <v>0</v>
      </c>
      <c r="E2101" s="48" t="s">
        <v>112</v>
      </c>
      <c r="F2101" s="48" t="s">
        <v>70</v>
      </c>
      <c r="G2101" s="48" t="s">
        <v>671</v>
      </c>
      <c r="H2101" s="82" t="n">
        <f aca="false">DATE(YEAR(A2101),MONTH(A2101),1)</f>
        <v>43952</v>
      </c>
    </row>
    <row r="2102" customFormat="false" ht="15" hidden="false" customHeight="false" outlineLevel="0" collapsed="false">
      <c r="A2102" s="81" t="n">
        <v>43973</v>
      </c>
      <c r="B2102" s="48" t="n">
        <v>45</v>
      </c>
      <c r="C2102" s="48" t="n">
        <v>0</v>
      </c>
      <c r="D2102" s="48" t="n">
        <v>14</v>
      </c>
      <c r="E2102" s="48" t="s">
        <v>112</v>
      </c>
      <c r="F2102" s="48" t="s">
        <v>70</v>
      </c>
      <c r="G2102" s="48" t="s">
        <v>105</v>
      </c>
      <c r="H2102" s="82" t="n">
        <f aca="false">DATE(YEAR(A2102),MONTH(A2102),1)</f>
        <v>43952</v>
      </c>
    </row>
    <row r="2103" customFormat="false" ht="15" hidden="false" customHeight="false" outlineLevel="0" collapsed="false">
      <c r="A2103" s="81" t="n">
        <v>43973</v>
      </c>
      <c r="B2103" s="48" t="n">
        <v>14</v>
      </c>
      <c r="C2103" s="48" t="n">
        <v>0</v>
      </c>
      <c r="D2103" s="48" t="n">
        <v>6</v>
      </c>
      <c r="E2103" s="48" t="s">
        <v>112</v>
      </c>
      <c r="F2103" s="48" t="s">
        <v>70</v>
      </c>
      <c r="G2103" s="48" t="s">
        <v>98</v>
      </c>
      <c r="H2103" s="82" t="n">
        <f aca="false">DATE(YEAR(A2103),MONTH(A2103),1)</f>
        <v>43952</v>
      </c>
    </row>
    <row r="2104" customFormat="false" ht="15" hidden="false" customHeight="false" outlineLevel="0" collapsed="false">
      <c r="A2104" s="81" t="n">
        <v>43973</v>
      </c>
      <c r="B2104" s="48" t="n">
        <v>3</v>
      </c>
      <c r="C2104" s="48" t="n">
        <v>0</v>
      </c>
      <c r="D2104" s="48" t="n">
        <v>91</v>
      </c>
      <c r="E2104" s="48" t="s">
        <v>112</v>
      </c>
      <c r="F2104" s="48" t="s">
        <v>70</v>
      </c>
      <c r="G2104" s="48" t="s">
        <v>592</v>
      </c>
      <c r="H2104" s="82" t="n">
        <f aca="false">DATE(YEAR(A2104),MONTH(A2104),1)</f>
        <v>43952</v>
      </c>
    </row>
    <row r="2105" customFormat="false" ht="15" hidden="false" customHeight="false" outlineLevel="0" collapsed="false">
      <c r="A2105" s="81" t="n">
        <v>43973</v>
      </c>
      <c r="B2105" s="48" t="n">
        <v>3</v>
      </c>
      <c r="C2105" s="48" t="n">
        <v>0</v>
      </c>
      <c r="D2105" s="48" t="n">
        <v>51</v>
      </c>
      <c r="E2105" s="48" t="s">
        <v>112</v>
      </c>
      <c r="F2105" s="48" t="s">
        <v>70</v>
      </c>
      <c r="G2105" s="48" t="s">
        <v>104</v>
      </c>
      <c r="H2105" s="82" t="n">
        <f aca="false">DATE(YEAR(A2105),MONTH(A2105),1)</f>
        <v>43952</v>
      </c>
    </row>
    <row r="2106" customFormat="false" ht="15" hidden="false" customHeight="false" outlineLevel="0" collapsed="false">
      <c r="A2106" s="81" t="n">
        <v>43973</v>
      </c>
      <c r="B2106" s="48" t="n">
        <v>1</v>
      </c>
      <c r="C2106" s="48" t="n">
        <v>0</v>
      </c>
      <c r="D2106" s="48" t="n">
        <v>1</v>
      </c>
      <c r="E2106" s="48" t="s">
        <v>112</v>
      </c>
      <c r="F2106" s="48" t="s">
        <v>70</v>
      </c>
      <c r="G2106" s="48" t="s">
        <v>635</v>
      </c>
      <c r="H2106" s="82" t="n">
        <f aca="false">DATE(YEAR(A2106),MONTH(A2106),1)</f>
        <v>43952</v>
      </c>
    </row>
    <row r="2107" customFormat="false" ht="15" hidden="false" customHeight="false" outlineLevel="0" collapsed="false">
      <c r="A2107" s="81" t="n">
        <v>43973</v>
      </c>
      <c r="B2107" s="48" t="n">
        <v>5</v>
      </c>
      <c r="C2107" s="48" t="n">
        <v>0</v>
      </c>
      <c r="D2107" s="48" t="n">
        <v>7</v>
      </c>
      <c r="E2107" s="48" t="s">
        <v>112</v>
      </c>
      <c r="F2107" s="48" t="s">
        <v>70</v>
      </c>
      <c r="G2107" s="48" t="s">
        <v>616</v>
      </c>
      <c r="H2107" s="82" t="n">
        <f aca="false">DATE(YEAR(A2107),MONTH(A2107),1)</f>
        <v>43952</v>
      </c>
    </row>
    <row r="2108" customFormat="false" ht="15" hidden="false" customHeight="false" outlineLevel="0" collapsed="false">
      <c r="A2108" s="81" t="n">
        <v>43973</v>
      </c>
      <c r="B2108" s="48" t="n">
        <v>1</v>
      </c>
      <c r="C2108" s="48" t="n">
        <v>0</v>
      </c>
      <c r="D2108" s="48" t="n">
        <v>3</v>
      </c>
      <c r="E2108" s="48" t="s">
        <v>112</v>
      </c>
      <c r="F2108" s="48" t="s">
        <v>70</v>
      </c>
      <c r="G2108" s="48" t="s">
        <v>663</v>
      </c>
      <c r="H2108" s="82" t="n">
        <f aca="false">DATE(YEAR(A2108),MONTH(A2108),1)</f>
        <v>43952</v>
      </c>
    </row>
    <row r="2109" customFormat="false" ht="15" hidden="false" customHeight="false" outlineLevel="0" collapsed="false">
      <c r="A2109" s="81" t="n">
        <v>43973</v>
      </c>
      <c r="B2109" s="48" t="n">
        <v>2</v>
      </c>
      <c r="C2109" s="48" t="n">
        <v>0</v>
      </c>
      <c r="D2109" s="48" t="n">
        <v>0</v>
      </c>
      <c r="E2109" s="48" t="s">
        <v>112</v>
      </c>
      <c r="F2109" s="48" t="s">
        <v>70</v>
      </c>
      <c r="G2109" s="48" t="s">
        <v>640</v>
      </c>
      <c r="H2109" s="82" t="n">
        <f aca="false">DATE(YEAR(A2109),MONTH(A2109),1)</f>
        <v>43952</v>
      </c>
    </row>
    <row r="2110" customFormat="false" ht="15" hidden="false" customHeight="false" outlineLevel="0" collapsed="false">
      <c r="A2110" s="81" t="n">
        <v>43973</v>
      </c>
      <c r="B2110" s="48" t="n">
        <v>0</v>
      </c>
      <c r="C2110" s="48" t="n">
        <v>0</v>
      </c>
      <c r="D2110" s="48" t="n">
        <v>0</v>
      </c>
      <c r="E2110" s="48" t="s">
        <v>112</v>
      </c>
      <c r="F2110" s="48" t="s">
        <v>70</v>
      </c>
      <c r="G2110" s="48" t="s">
        <v>639</v>
      </c>
      <c r="H2110" s="82" t="n">
        <f aca="false">DATE(YEAR(A2110),MONTH(A2110),1)</f>
        <v>43952</v>
      </c>
    </row>
    <row r="2111" customFormat="false" ht="15" hidden="false" customHeight="false" outlineLevel="0" collapsed="false">
      <c r="A2111" s="81" t="n">
        <v>43973</v>
      </c>
      <c r="B2111" s="48" t="n">
        <v>1</v>
      </c>
      <c r="C2111" s="48" t="n">
        <v>0</v>
      </c>
      <c r="D2111" s="48" t="n">
        <v>0</v>
      </c>
      <c r="E2111" s="48" t="s">
        <v>112</v>
      </c>
      <c r="F2111" s="48" t="s">
        <v>70</v>
      </c>
      <c r="G2111" s="48" t="s">
        <v>670</v>
      </c>
      <c r="H2111" s="82" t="n">
        <f aca="false">DATE(YEAR(A2111),MONTH(A2111),1)</f>
        <v>43952</v>
      </c>
    </row>
    <row r="2112" customFormat="false" ht="15" hidden="false" customHeight="false" outlineLevel="0" collapsed="false">
      <c r="A2112" s="81" t="n">
        <v>43973</v>
      </c>
      <c r="B2112" s="48" t="n">
        <v>0</v>
      </c>
      <c r="C2112" s="48" t="n">
        <v>0</v>
      </c>
      <c r="D2112" s="48" t="n">
        <v>0</v>
      </c>
      <c r="E2112" s="48" t="s">
        <v>112</v>
      </c>
      <c r="F2112" s="48" t="s">
        <v>70</v>
      </c>
      <c r="G2112" s="48" t="s">
        <v>679</v>
      </c>
      <c r="H2112" s="82" t="n">
        <f aca="false">DATE(YEAR(A2112),MONTH(A2112),1)</f>
        <v>43952</v>
      </c>
    </row>
    <row r="2113" customFormat="false" ht="15" hidden="false" customHeight="false" outlineLevel="0" collapsed="false">
      <c r="A2113" s="81" t="n">
        <v>43973</v>
      </c>
      <c r="B2113" s="48" t="n">
        <v>10</v>
      </c>
      <c r="C2113" s="48" t="n">
        <v>0</v>
      </c>
      <c r="D2113" s="48" t="n">
        <v>0</v>
      </c>
      <c r="E2113" s="48" t="s">
        <v>112</v>
      </c>
      <c r="F2113" s="48" t="s">
        <v>70</v>
      </c>
      <c r="G2113" s="48" t="s">
        <v>601</v>
      </c>
      <c r="H2113" s="82" t="n">
        <f aca="false">DATE(YEAR(A2113),MONTH(A2113),1)</f>
        <v>43952</v>
      </c>
    </row>
    <row r="2114" customFormat="false" ht="15" hidden="false" customHeight="false" outlineLevel="0" collapsed="false">
      <c r="A2114" s="81" t="n">
        <v>43973</v>
      </c>
      <c r="B2114" s="48" t="n">
        <v>0</v>
      </c>
      <c r="C2114" s="48" t="n">
        <v>0</v>
      </c>
      <c r="D2114" s="48" t="n">
        <v>8</v>
      </c>
      <c r="E2114" s="48" t="s">
        <v>112</v>
      </c>
      <c r="F2114" s="48" t="s">
        <v>70</v>
      </c>
      <c r="G2114" s="48" t="s">
        <v>623</v>
      </c>
      <c r="H2114" s="82" t="n">
        <f aca="false">DATE(YEAR(A2114),MONTH(A2114),1)</f>
        <v>43952</v>
      </c>
    </row>
    <row r="2115" customFormat="false" ht="15" hidden="false" customHeight="false" outlineLevel="0" collapsed="false">
      <c r="A2115" s="81" t="n">
        <v>43973</v>
      </c>
      <c r="B2115" s="48" t="n">
        <v>14</v>
      </c>
      <c r="C2115" s="48" t="n">
        <v>0</v>
      </c>
      <c r="D2115" s="48" t="n">
        <v>-2</v>
      </c>
      <c r="E2115" s="48" t="s">
        <v>112</v>
      </c>
      <c r="F2115" s="48" t="s">
        <v>70</v>
      </c>
      <c r="G2115" s="48" t="s">
        <v>636</v>
      </c>
      <c r="H2115" s="82" t="n">
        <f aca="false">DATE(YEAR(A2115),MONTH(A2115),1)</f>
        <v>43952</v>
      </c>
    </row>
    <row r="2116" customFormat="false" ht="15" hidden="false" customHeight="false" outlineLevel="0" collapsed="false">
      <c r="A2116" s="81" t="n">
        <v>43973</v>
      </c>
      <c r="B2116" s="48" t="n">
        <v>13</v>
      </c>
      <c r="C2116" s="48" t="n">
        <v>0</v>
      </c>
      <c r="D2116" s="48" t="n">
        <v>15</v>
      </c>
      <c r="E2116" s="48" t="s">
        <v>112</v>
      </c>
      <c r="F2116" s="48" t="s">
        <v>76</v>
      </c>
      <c r="G2116" s="48" t="s">
        <v>595</v>
      </c>
      <c r="H2116" s="82" t="n">
        <f aca="false">DATE(YEAR(A2116),MONTH(A2116),1)</f>
        <v>43952</v>
      </c>
    </row>
    <row r="2117" customFormat="false" ht="15" hidden="false" customHeight="false" outlineLevel="0" collapsed="false">
      <c r="A2117" s="81" t="n">
        <v>43973</v>
      </c>
      <c r="B2117" s="48" t="n">
        <v>124</v>
      </c>
      <c r="C2117" s="48" t="n">
        <v>0</v>
      </c>
      <c r="D2117" s="48" t="n">
        <v>38</v>
      </c>
      <c r="E2117" s="48" t="s">
        <v>112</v>
      </c>
      <c r="F2117" s="48" t="s">
        <v>73</v>
      </c>
      <c r="G2117" s="48" t="s">
        <v>93</v>
      </c>
      <c r="H2117" s="82" t="n">
        <f aca="false">DATE(YEAR(A2117),MONTH(A2117),1)</f>
        <v>43952</v>
      </c>
    </row>
    <row r="2118" customFormat="false" ht="15" hidden="false" customHeight="false" outlineLevel="0" collapsed="false">
      <c r="A2118" s="81" t="n">
        <v>43973</v>
      </c>
      <c r="B2118" s="48" t="n">
        <v>275</v>
      </c>
      <c r="C2118" s="48" t="n">
        <v>14</v>
      </c>
      <c r="D2118" s="48" t="n">
        <v>594</v>
      </c>
      <c r="E2118" s="48" t="s">
        <v>112</v>
      </c>
      <c r="F2118" s="48" t="s">
        <v>71</v>
      </c>
      <c r="G2118" s="48" t="s">
        <v>92</v>
      </c>
      <c r="H2118" s="82" t="n">
        <f aca="false">DATE(YEAR(A2118),MONTH(A2118),1)</f>
        <v>43952</v>
      </c>
    </row>
    <row r="2119" customFormat="false" ht="15" hidden="false" customHeight="false" outlineLevel="0" collapsed="false">
      <c r="A2119" s="81" t="n">
        <v>43974</v>
      </c>
      <c r="B2119" s="48" t="n">
        <v>135</v>
      </c>
      <c r="C2119" s="48" t="n">
        <v>2</v>
      </c>
      <c r="D2119" s="48" t="n">
        <v>0</v>
      </c>
      <c r="E2119" s="48" t="s">
        <v>112</v>
      </c>
      <c r="F2119" s="48" t="s">
        <v>74</v>
      </c>
      <c r="G2119" s="48" t="s">
        <v>95</v>
      </c>
      <c r="H2119" s="82" t="n">
        <f aca="false">DATE(YEAR(A2119),MONTH(A2119),1)</f>
        <v>43952</v>
      </c>
    </row>
    <row r="2120" customFormat="false" ht="15" hidden="false" customHeight="false" outlineLevel="0" collapsed="false">
      <c r="A2120" s="81" t="n">
        <v>43974</v>
      </c>
      <c r="B2120" s="48" t="n">
        <v>1</v>
      </c>
      <c r="C2120" s="48" t="n">
        <v>0</v>
      </c>
      <c r="D2120" s="48" t="n">
        <v>0</v>
      </c>
      <c r="E2120" s="48" t="s">
        <v>112</v>
      </c>
      <c r="F2120" s="48" t="s">
        <v>75</v>
      </c>
      <c r="G2120" s="48" t="s">
        <v>650</v>
      </c>
      <c r="H2120" s="82" t="n">
        <f aca="false">DATE(YEAR(A2120),MONTH(A2120),1)</f>
        <v>43952</v>
      </c>
    </row>
    <row r="2121" customFormat="false" ht="15" hidden="false" customHeight="false" outlineLevel="0" collapsed="false">
      <c r="A2121" s="81" t="n">
        <v>43974</v>
      </c>
      <c r="B2121" s="48" t="n">
        <v>2</v>
      </c>
      <c r="C2121" s="48" t="n">
        <v>0</v>
      </c>
      <c r="D2121" s="48" t="n">
        <v>0</v>
      </c>
      <c r="E2121" s="48" t="s">
        <v>112</v>
      </c>
      <c r="F2121" s="48" t="s">
        <v>75</v>
      </c>
      <c r="G2121" s="48" t="s">
        <v>103</v>
      </c>
      <c r="H2121" s="82" t="n">
        <f aca="false">DATE(YEAR(A2121),MONTH(A2121),1)</f>
        <v>43952</v>
      </c>
    </row>
    <row r="2122" customFormat="false" ht="15" hidden="false" customHeight="false" outlineLevel="0" collapsed="false">
      <c r="A2122" s="81" t="n">
        <v>43974</v>
      </c>
      <c r="B2122" s="48" t="n">
        <v>2</v>
      </c>
      <c r="C2122" s="48" t="n">
        <v>0</v>
      </c>
      <c r="D2122" s="48" t="n">
        <v>0</v>
      </c>
      <c r="E2122" s="48" t="s">
        <v>112</v>
      </c>
      <c r="F2122" s="48" t="s">
        <v>75</v>
      </c>
      <c r="G2122" s="48" t="s">
        <v>649</v>
      </c>
      <c r="H2122" s="82" t="n">
        <f aca="false">DATE(YEAR(A2122),MONTH(A2122),1)</f>
        <v>43952</v>
      </c>
    </row>
    <row r="2123" customFormat="false" ht="15" hidden="false" customHeight="false" outlineLevel="0" collapsed="false">
      <c r="A2123" s="81" t="n">
        <v>43974</v>
      </c>
      <c r="B2123" s="48" t="n">
        <v>1</v>
      </c>
      <c r="C2123" s="48" t="n">
        <v>0</v>
      </c>
      <c r="D2123" s="48" t="n">
        <v>0</v>
      </c>
      <c r="E2123" s="48" t="s">
        <v>112</v>
      </c>
      <c r="F2123" s="48" t="s">
        <v>75</v>
      </c>
      <c r="G2123" s="48" t="s">
        <v>658</v>
      </c>
      <c r="H2123" s="82" t="n">
        <f aca="false">DATE(YEAR(A2123),MONTH(A2123),1)</f>
        <v>43952</v>
      </c>
    </row>
    <row r="2124" customFormat="false" ht="15" hidden="false" customHeight="false" outlineLevel="0" collapsed="false">
      <c r="A2124" s="81" t="n">
        <v>43974</v>
      </c>
      <c r="B2124" s="48" t="n">
        <v>3</v>
      </c>
      <c r="C2124" s="48" t="n">
        <v>0</v>
      </c>
      <c r="D2124" s="48" t="n">
        <v>0</v>
      </c>
      <c r="E2124" s="48" t="s">
        <v>112</v>
      </c>
      <c r="F2124" s="48" t="s">
        <v>75</v>
      </c>
      <c r="G2124" s="48" t="s">
        <v>629</v>
      </c>
      <c r="H2124" s="82" t="n">
        <f aca="false">DATE(YEAR(A2124),MONTH(A2124),1)</f>
        <v>43952</v>
      </c>
    </row>
    <row r="2125" customFormat="false" ht="15" hidden="false" customHeight="false" outlineLevel="0" collapsed="false">
      <c r="A2125" s="81" t="n">
        <v>43974</v>
      </c>
      <c r="B2125" s="48" t="n">
        <v>93</v>
      </c>
      <c r="C2125" s="48" t="n">
        <v>2</v>
      </c>
      <c r="D2125" s="48" t="n">
        <v>22</v>
      </c>
      <c r="E2125" s="48" t="s">
        <v>112</v>
      </c>
      <c r="F2125" s="48" t="s">
        <v>72</v>
      </c>
      <c r="G2125" s="48" t="s">
        <v>94</v>
      </c>
      <c r="H2125" s="82" t="n">
        <f aca="false">DATE(YEAR(A2125),MONTH(A2125),1)</f>
        <v>43952</v>
      </c>
    </row>
    <row r="2126" customFormat="false" ht="15" hidden="false" customHeight="false" outlineLevel="0" collapsed="false">
      <c r="A2126" s="81" t="n">
        <v>43974</v>
      </c>
      <c r="B2126" s="48" t="n">
        <v>8</v>
      </c>
      <c r="C2126" s="48" t="n">
        <v>0</v>
      </c>
      <c r="D2126" s="48" t="n">
        <v>6</v>
      </c>
      <c r="E2126" s="48" t="s">
        <v>112</v>
      </c>
      <c r="F2126" s="48" t="s">
        <v>72</v>
      </c>
      <c r="G2126" s="48" t="s">
        <v>597</v>
      </c>
      <c r="H2126" s="82" t="n">
        <f aca="false">DATE(YEAR(A2126),MONTH(A2126),1)</f>
        <v>43952</v>
      </c>
    </row>
    <row r="2127" customFormat="false" ht="15" hidden="false" customHeight="false" outlineLevel="0" collapsed="false">
      <c r="A2127" s="81" t="n">
        <v>43974</v>
      </c>
      <c r="B2127" s="48" t="n">
        <v>7</v>
      </c>
      <c r="C2127" s="48" t="n">
        <v>0</v>
      </c>
      <c r="D2127" s="48" t="n">
        <v>4</v>
      </c>
      <c r="E2127" s="48" t="s">
        <v>112</v>
      </c>
      <c r="F2127" s="48" t="s">
        <v>72</v>
      </c>
      <c r="G2127" s="48" t="s">
        <v>594</v>
      </c>
      <c r="H2127" s="82" t="n">
        <f aca="false">DATE(YEAR(A2127),MONTH(A2127),1)</f>
        <v>43952</v>
      </c>
    </row>
    <row r="2128" customFormat="false" ht="15" hidden="false" customHeight="false" outlineLevel="0" collapsed="false">
      <c r="A2128" s="81" t="n">
        <v>43974</v>
      </c>
      <c r="B2128" s="48" t="n">
        <v>3</v>
      </c>
      <c r="C2128" s="48" t="n">
        <v>0</v>
      </c>
      <c r="D2128" s="48" t="n">
        <v>2</v>
      </c>
      <c r="E2128" s="48" t="s">
        <v>112</v>
      </c>
      <c r="F2128" s="48" t="s">
        <v>72</v>
      </c>
      <c r="G2128" s="48" t="s">
        <v>599</v>
      </c>
      <c r="H2128" s="82" t="n">
        <f aca="false">DATE(YEAR(A2128),MONTH(A2128),1)</f>
        <v>43952</v>
      </c>
    </row>
    <row r="2129" customFormat="false" ht="15" hidden="false" customHeight="false" outlineLevel="0" collapsed="false">
      <c r="A2129" s="81" t="n">
        <v>43974</v>
      </c>
      <c r="B2129" s="48" t="n">
        <v>4</v>
      </c>
      <c r="C2129" s="48" t="n">
        <v>0</v>
      </c>
      <c r="D2129" s="48" t="n">
        <v>2</v>
      </c>
      <c r="E2129" s="48" t="s">
        <v>112</v>
      </c>
      <c r="F2129" s="48" t="s">
        <v>72</v>
      </c>
      <c r="G2129" s="48" t="s">
        <v>656</v>
      </c>
      <c r="H2129" s="82" t="n">
        <f aca="false">DATE(YEAR(A2129),MONTH(A2129),1)</f>
        <v>43952</v>
      </c>
    </row>
    <row r="2130" customFormat="false" ht="15" hidden="false" customHeight="false" outlineLevel="0" collapsed="false">
      <c r="A2130" s="81" t="n">
        <v>43974</v>
      </c>
      <c r="B2130" s="48" t="n">
        <v>0</v>
      </c>
      <c r="C2130" s="48" t="n">
        <v>0</v>
      </c>
      <c r="D2130" s="48" t="n">
        <v>0</v>
      </c>
      <c r="E2130" s="48" t="s">
        <v>112</v>
      </c>
      <c r="F2130" s="48" t="s">
        <v>72</v>
      </c>
      <c r="G2130" s="48" t="s">
        <v>102</v>
      </c>
      <c r="H2130" s="82" t="n">
        <f aca="false">DATE(YEAR(A2130),MONTH(A2130),1)</f>
        <v>43952</v>
      </c>
    </row>
    <row r="2131" customFormat="false" ht="15" hidden="false" customHeight="false" outlineLevel="0" collapsed="false">
      <c r="A2131" s="81" t="n">
        <v>43974</v>
      </c>
      <c r="B2131" s="48" t="n">
        <v>0</v>
      </c>
      <c r="C2131" s="48" t="n">
        <v>1</v>
      </c>
      <c r="D2131" s="48" t="n">
        <v>2</v>
      </c>
      <c r="E2131" s="48" t="s">
        <v>112</v>
      </c>
      <c r="F2131" s="48" t="s">
        <v>72</v>
      </c>
      <c r="G2131" s="48" t="s">
        <v>611</v>
      </c>
      <c r="H2131" s="82" t="n">
        <f aca="false">DATE(YEAR(A2131),MONTH(A2131),1)</f>
        <v>43952</v>
      </c>
    </row>
    <row r="2132" customFormat="false" ht="15" hidden="false" customHeight="false" outlineLevel="0" collapsed="false">
      <c r="A2132" s="81" t="n">
        <v>43974</v>
      </c>
      <c r="B2132" s="48" t="n">
        <v>24</v>
      </c>
      <c r="C2132" s="48" t="n">
        <v>1</v>
      </c>
      <c r="D2132" s="48" t="n">
        <v>16</v>
      </c>
      <c r="E2132" s="48" t="s">
        <v>112</v>
      </c>
      <c r="F2132" s="48" t="s">
        <v>72</v>
      </c>
      <c r="G2132" s="48" t="s">
        <v>96</v>
      </c>
      <c r="H2132" s="82" t="n">
        <f aca="false">DATE(YEAR(A2132),MONTH(A2132),1)</f>
        <v>43952</v>
      </c>
    </row>
    <row r="2133" customFormat="false" ht="15" hidden="false" customHeight="false" outlineLevel="0" collapsed="false">
      <c r="A2133" s="81" t="n">
        <v>43974</v>
      </c>
      <c r="B2133" s="48" t="n">
        <v>0</v>
      </c>
      <c r="C2133" s="48" t="n">
        <v>1</v>
      </c>
      <c r="D2133" s="48" t="n">
        <v>6</v>
      </c>
      <c r="E2133" s="48" t="s">
        <v>112</v>
      </c>
      <c r="F2133" s="48" t="s">
        <v>72</v>
      </c>
      <c r="G2133" s="48" t="s">
        <v>603</v>
      </c>
      <c r="H2133" s="82" t="n">
        <f aca="false">DATE(YEAR(A2133),MONTH(A2133),1)</f>
        <v>43952</v>
      </c>
    </row>
    <row r="2134" customFormat="false" ht="15" hidden="false" customHeight="false" outlineLevel="0" collapsed="false">
      <c r="A2134" s="81" t="n">
        <v>43974</v>
      </c>
      <c r="B2134" s="48" t="n">
        <v>5</v>
      </c>
      <c r="C2134" s="48" t="n">
        <v>0</v>
      </c>
      <c r="D2134" s="48" t="n">
        <v>5</v>
      </c>
      <c r="E2134" s="48" t="s">
        <v>112</v>
      </c>
      <c r="F2134" s="48" t="s">
        <v>72</v>
      </c>
      <c r="G2134" s="48" t="s">
        <v>591</v>
      </c>
      <c r="H2134" s="82" t="n">
        <f aca="false">DATE(YEAR(A2134),MONTH(A2134),1)</f>
        <v>43952</v>
      </c>
    </row>
    <row r="2135" customFormat="false" ht="15" hidden="false" customHeight="false" outlineLevel="0" collapsed="false">
      <c r="A2135" s="81" t="n">
        <v>43974</v>
      </c>
      <c r="B2135" s="48" t="n">
        <v>3</v>
      </c>
      <c r="C2135" s="48" t="n">
        <v>0</v>
      </c>
      <c r="D2135" s="48" t="n">
        <v>3</v>
      </c>
      <c r="E2135" s="48" t="s">
        <v>112</v>
      </c>
      <c r="F2135" s="48" t="s">
        <v>72</v>
      </c>
      <c r="G2135" s="48" t="s">
        <v>598</v>
      </c>
      <c r="H2135" s="82" t="n">
        <f aca="false">DATE(YEAR(A2135),MONTH(A2135),1)</f>
        <v>43952</v>
      </c>
    </row>
    <row r="2136" customFormat="false" ht="15" hidden="false" customHeight="false" outlineLevel="0" collapsed="false">
      <c r="A2136" s="81" t="n">
        <v>43974</v>
      </c>
      <c r="B2136" s="48" t="n">
        <v>4</v>
      </c>
      <c r="C2136" s="48" t="n">
        <v>0</v>
      </c>
      <c r="D2136" s="48" t="n">
        <v>0</v>
      </c>
      <c r="E2136" s="48" t="s">
        <v>112</v>
      </c>
      <c r="F2136" s="48" t="s">
        <v>72</v>
      </c>
      <c r="G2136" s="48" t="s">
        <v>609</v>
      </c>
      <c r="H2136" s="82" t="n">
        <f aca="false">DATE(YEAR(A2136),MONTH(A2136),1)</f>
        <v>43952</v>
      </c>
    </row>
    <row r="2137" customFormat="false" ht="15" hidden="false" customHeight="false" outlineLevel="0" collapsed="false">
      <c r="A2137" s="81" t="n">
        <v>43974</v>
      </c>
      <c r="B2137" s="48" t="n">
        <v>4</v>
      </c>
      <c r="C2137" s="48" t="n">
        <v>0</v>
      </c>
      <c r="D2137" s="48" t="n">
        <v>0</v>
      </c>
      <c r="E2137" s="48" t="s">
        <v>112</v>
      </c>
      <c r="F2137" s="48" t="s">
        <v>72</v>
      </c>
      <c r="G2137" s="48" t="s">
        <v>101</v>
      </c>
      <c r="H2137" s="82" t="n">
        <f aca="false">DATE(YEAR(A2137),MONTH(A2137),1)</f>
        <v>43952</v>
      </c>
    </row>
    <row r="2138" customFormat="false" ht="15" hidden="false" customHeight="false" outlineLevel="0" collapsed="false">
      <c r="A2138" s="81" t="n">
        <v>43974</v>
      </c>
      <c r="B2138" s="48" t="n">
        <v>0</v>
      </c>
      <c r="C2138" s="48" t="n">
        <v>0</v>
      </c>
      <c r="D2138" s="48" t="n">
        <v>0</v>
      </c>
      <c r="E2138" s="48" t="s">
        <v>112</v>
      </c>
      <c r="F2138" s="48" t="s">
        <v>72</v>
      </c>
      <c r="G2138" s="48" t="s">
        <v>643</v>
      </c>
      <c r="H2138" s="82" t="n">
        <f aca="false">DATE(YEAR(A2138),MONTH(A2138),1)</f>
        <v>43952</v>
      </c>
    </row>
    <row r="2139" customFormat="false" ht="15" hidden="false" customHeight="false" outlineLevel="0" collapsed="false">
      <c r="A2139" s="81" t="n">
        <v>43974</v>
      </c>
      <c r="B2139" s="48" t="n">
        <v>0</v>
      </c>
      <c r="C2139" s="48" t="n">
        <v>0</v>
      </c>
      <c r="D2139" s="48" t="n">
        <v>0</v>
      </c>
      <c r="E2139" s="48" t="s">
        <v>112</v>
      </c>
      <c r="F2139" s="48" t="s">
        <v>72</v>
      </c>
      <c r="G2139" s="48" t="s">
        <v>662</v>
      </c>
      <c r="H2139" s="82" t="n">
        <f aca="false">DATE(YEAR(A2139),MONTH(A2139),1)</f>
        <v>43952</v>
      </c>
    </row>
    <row r="2140" customFormat="false" ht="15" hidden="false" customHeight="false" outlineLevel="0" collapsed="false">
      <c r="A2140" s="81" t="n">
        <v>43974</v>
      </c>
      <c r="B2140" s="48" t="n">
        <v>11</v>
      </c>
      <c r="C2140" s="48" t="n">
        <v>0</v>
      </c>
      <c r="D2140" s="48" t="n">
        <v>5</v>
      </c>
      <c r="E2140" s="48" t="s">
        <v>112</v>
      </c>
      <c r="F2140" s="48" t="s">
        <v>72</v>
      </c>
      <c r="G2140" s="48" t="s">
        <v>600</v>
      </c>
      <c r="H2140" s="82" t="n">
        <f aca="false">DATE(YEAR(A2140),MONTH(A2140),1)</f>
        <v>43952</v>
      </c>
    </row>
    <row r="2141" customFormat="false" ht="15" hidden="false" customHeight="false" outlineLevel="0" collapsed="false">
      <c r="A2141" s="81" t="n">
        <v>43974</v>
      </c>
      <c r="B2141" s="48" t="n">
        <v>0</v>
      </c>
      <c r="C2141" s="48" t="n">
        <v>0</v>
      </c>
      <c r="D2141" s="48" t="n">
        <v>0</v>
      </c>
      <c r="E2141" s="48" t="s">
        <v>112</v>
      </c>
      <c r="F2141" s="48" t="s">
        <v>72</v>
      </c>
      <c r="G2141" s="48" t="s">
        <v>610</v>
      </c>
      <c r="H2141" s="82" t="n">
        <f aca="false">DATE(YEAR(A2141),MONTH(A2141),1)</f>
        <v>43952</v>
      </c>
    </row>
    <row r="2142" customFormat="false" ht="15" hidden="false" customHeight="false" outlineLevel="0" collapsed="false">
      <c r="A2142" s="81" t="n">
        <v>43974</v>
      </c>
      <c r="B2142" s="48" t="n">
        <v>18</v>
      </c>
      <c r="C2142" s="48" t="n">
        <v>1</v>
      </c>
      <c r="D2142" s="48" t="n">
        <v>2</v>
      </c>
      <c r="E2142" s="48" t="s">
        <v>112</v>
      </c>
      <c r="F2142" s="48" t="s">
        <v>72</v>
      </c>
      <c r="G2142" s="48" t="s">
        <v>593</v>
      </c>
      <c r="H2142" s="82" t="n">
        <f aca="false">DATE(YEAR(A2142),MONTH(A2142),1)</f>
        <v>43952</v>
      </c>
    </row>
    <row r="2143" customFormat="false" ht="15" hidden="false" customHeight="false" outlineLevel="0" collapsed="false">
      <c r="A2143" s="81" t="n">
        <v>43974</v>
      </c>
      <c r="B2143" s="48" t="n">
        <v>3</v>
      </c>
      <c r="C2143" s="48" t="n">
        <v>1</v>
      </c>
      <c r="D2143" s="48" t="n">
        <v>5</v>
      </c>
      <c r="E2143" s="48" t="s">
        <v>112</v>
      </c>
      <c r="F2143" s="48" t="s">
        <v>72</v>
      </c>
      <c r="G2143" s="48" t="s">
        <v>612</v>
      </c>
      <c r="H2143" s="82" t="n">
        <f aca="false">DATE(YEAR(A2143),MONTH(A2143),1)</f>
        <v>43952</v>
      </c>
    </row>
    <row r="2144" customFormat="false" ht="15" hidden="false" customHeight="false" outlineLevel="0" collapsed="false">
      <c r="A2144" s="81" t="n">
        <v>43974</v>
      </c>
      <c r="B2144" s="48" t="n">
        <v>0</v>
      </c>
      <c r="C2144" s="48" t="n">
        <v>0</v>
      </c>
      <c r="D2144" s="48" t="n">
        <v>0</v>
      </c>
      <c r="E2144" s="48" t="s">
        <v>112</v>
      </c>
      <c r="F2144" s="48" t="s">
        <v>72</v>
      </c>
      <c r="G2144" s="48" t="s">
        <v>685</v>
      </c>
      <c r="H2144" s="82" t="n">
        <f aca="false">DATE(YEAR(A2144),MONTH(A2144),1)</f>
        <v>43952</v>
      </c>
    </row>
    <row r="2145" customFormat="false" ht="15" hidden="false" customHeight="false" outlineLevel="0" collapsed="false">
      <c r="A2145" s="81" t="n">
        <v>43974</v>
      </c>
      <c r="B2145" s="48" t="n">
        <v>0</v>
      </c>
      <c r="C2145" s="48" t="n">
        <v>0</v>
      </c>
      <c r="D2145" s="48" t="n">
        <v>0</v>
      </c>
      <c r="E2145" s="48" t="s">
        <v>112</v>
      </c>
      <c r="F2145" s="48" t="s">
        <v>72</v>
      </c>
      <c r="G2145" s="48" t="s">
        <v>687</v>
      </c>
      <c r="H2145" s="82" t="n">
        <f aca="false">DATE(YEAR(A2145),MONTH(A2145),1)</f>
        <v>43952</v>
      </c>
    </row>
    <row r="2146" customFormat="false" ht="15" hidden="false" customHeight="false" outlineLevel="0" collapsed="false">
      <c r="A2146" s="81" t="n">
        <v>43974</v>
      </c>
      <c r="B2146" s="48" t="n">
        <v>0</v>
      </c>
      <c r="C2146" s="48" t="n">
        <v>0</v>
      </c>
      <c r="D2146" s="48" t="n">
        <v>0</v>
      </c>
      <c r="E2146" s="48" t="s">
        <v>112</v>
      </c>
      <c r="F2146" s="48" t="s">
        <v>72</v>
      </c>
      <c r="G2146" s="48" t="s">
        <v>682</v>
      </c>
      <c r="H2146" s="82" t="n">
        <f aca="false">DATE(YEAR(A2146),MONTH(A2146),1)</f>
        <v>43952</v>
      </c>
    </row>
    <row r="2147" customFormat="false" ht="15" hidden="false" customHeight="false" outlineLevel="0" collapsed="false">
      <c r="A2147" s="81" t="n">
        <v>43974</v>
      </c>
      <c r="B2147" s="48" t="n">
        <v>0</v>
      </c>
      <c r="C2147" s="48" t="n">
        <v>0</v>
      </c>
      <c r="D2147" s="48" t="n">
        <v>0</v>
      </c>
      <c r="E2147" s="48" t="s">
        <v>112</v>
      </c>
      <c r="F2147" s="48" t="s">
        <v>72</v>
      </c>
      <c r="G2147" s="48" t="s">
        <v>692</v>
      </c>
      <c r="H2147" s="82" t="n">
        <f aca="false">DATE(YEAR(A2147),MONTH(A2147),1)</f>
        <v>43952</v>
      </c>
    </row>
    <row r="2148" customFormat="false" ht="15" hidden="false" customHeight="false" outlineLevel="0" collapsed="false">
      <c r="A2148" s="81" t="n">
        <v>43974</v>
      </c>
      <c r="B2148" s="48" t="n">
        <v>1</v>
      </c>
      <c r="C2148" s="48" t="n">
        <v>0</v>
      </c>
      <c r="D2148" s="48" t="n">
        <v>0</v>
      </c>
      <c r="E2148" s="48" t="s">
        <v>112</v>
      </c>
      <c r="F2148" s="48" t="s">
        <v>72</v>
      </c>
      <c r="G2148" s="48" t="s">
        <v>613</v>
      </c>
      <c r="H2148" s="82" t="n">
        <f aca="false">DATE(YEAR(A2148),MONTH(A2148),1)</f>
        <v>43952</v>
      </c>
    </row>
    <row r="2149" customFormat="false" ht="15" hidden="false" customHeight="false" outlineLevel="0" collapsed="false">
      <c r="A2149" s="81" t="n">
        <v>43974</v>
      </c>
      <c r="B2149" s="48" t="n">
        <v>2</v>
      </c>
      <c r="C2149" s="48" t="n">
        <v>1</v>
      </c>
      <c r="D2149" s="48" t="n">
        <v>1</v>
      </c>
      <c r="E2149" s="48" t="s">
        <v>112</v>
      </c>
      <c r="F2149" s="48" t="s">
        <v>72</v>
      </c>
      <c r="G2149" s="48" t="s">
        <v>614</v>
      </c>
      <c r="H2149" s="82" t="n">
        <f aca="false">DATE(YEAR(A2149),MONTH(A2149),1)</f>
        <v>43952</v>
      </c>
    </row>
    <row r="2150" customFormat="false" ht="15" hidden="false" customHeight="false" outlineLevel="0" collapsed="false">
      <c r="A2150" s="81" t="n">
        <v>43974</v>
      </c>
      <c r="B2150" s="48" t="n">
        <v>1</v>
      </c>
      <c r="C2150" s="48" t="n">
        <v>0</v>
      </c>
      <c r="D2150" s="48" t="n">
        <v>0</v>
      </c>
      <c r="E2150" s="48" t="s">
        <v>112</v>
      </c>
      <c r="F2150" s="48" t="s">
        <v>72</v>
      </c>
      <c r="G2150" s="48" t="s">
        <v>655</v>
      </c>
      <c r="H2150" s="82" t="n">
        <f aca="false">DATE(YEAR(A2150),MONTH(A2150),1)</f>
        <v>43952</v>
      </c>
    </row>
    <row r="2151" customFormat="false" ht="15" hidden="false" customHeight="false" outlineLevel="0" collapsed="false">
      <c r="A2151" s="81" t="n">
        <v>43974</v>
      </c>
      <c r="B2151" s="48" t="n">
        <v>2</v>
      </c>
      <c r="C2151" s="48" t="n">
        <v>0</v>
      </c>
      <c r="D2151" s="48" t="n">
        <v>0</v>
      </c>
      <c r="E2151" s="48" t="s">
        <v>112</v>
      </c>
      <c r="F2151" s="48" t="s">
        <v>72</v>
      </c>
      <c r="G2151" s="48" t="s">
        <v>608</v>
      </c>
      <c r="H2151" s="82" t="n">
        <f aca="false">DATE(YEAR(A2151),MONTH(A2151),1)</f>
        <v>43952</v>
      </c>
    </row>
    <row r="2152" customFormat="false" ht="15" hidden="false" customHeight="false" outlineLevel="0" collapsed="false">
      <c r="A2152" s="81" t="n">
        <v>43974</v>
      </c>
      <c r="B2152" s="48" t="n">
        <v>0</v>
      </c>
      <c r="C2152" s="48" t="n">
        <v>0</v>
      </c>
      <c r="D2152" s="48" t="n">
        <v>0</v>
      </c>
      <c r="E2152" s="48" t="s">
        <v>112</v>
      </c>
      <c r="F2152" s="48" t="s">
        <v>72</v>
      </c>
      <c r="G2152" s="48" t="s">
        <v>615</v>
      </c>
      <c r="H2152" s="82" t="n">
        <f aca="false">DATE(YEAR(A2152),MONTH(A2152),1)</f>
        <v>43952</v>
      </c>
    </row>
    <row r="2153" customFormat="false" ht="15" hidden="false" customHeight="false" outlineLevel="0" collapsed="false">
      <c r="A2153" s="81" t="n">
        <v>43974</v>
      </c>
      <c r="B2153" s="48" t="n">
        <v>0</v>
      </c>
      <c r="C2153" s="48" t="n">
        <v>0</v>
      </c>
      <c r="D2153" s="48" t="n">
        <v>0</v>
      </c>
      <c r="E2153" s="48" t="s">
        <v>112</v>
      </c>
      <c r="F2153" s="48" t="s">
        <v>72</v>
      </c>
      <c r="G2153" s="48" t="s">
        <v>666</v>
      </c>
      <c r="H2153" s="82" t="n">
        <f aca="false">DATE(YEAR(A2153),MONTH(A2153),1)</f>
        <v>43952</v>
      </c>
    </row>
    <row r="2154" customFormat="false" ht="15" hidden="false" customHeight="false" outlineLevel="0" collapsed="false">
      <c r="A2154" s="81" t="n">
        <v>43974</v>
      </c>
      <c r="B2154" s="48" t="n">
        <v>0</v>
      </c>
      <c r="C2154" s="48" t="n">
        <v>0</v>
      </c>
      <c r="D2154" s="48" t="n">
        <v>1</v>
      </c>
      <c r="E2154" s="48" t="s">
        <v>112</v>
      </c>
      <c r="F2154" s="48" t="s">
        <v>72</v>
      </c>
      <c r="G2154" s="48" t="s">
        <v>621</v>
      </c>
      <c r="H2154" s="82" t="n">
        <f aca="false">DATE(YEAR(A2154),MONTH(A2154),1)</f>
        <v>43952</v>
      </c>
    </row>
    <row r="2155" customFormat="false" ht="15" hidden="false" customHeight="false" outlineLevel="0" collapsed="false">
      <c r="A2155" s="81" t="n">
        <v>43974</v>
      </c>
      <c r="B2155" s="48" t="n">
        <v>0</v>
      </c>
      <c r="C2155" s="48" t="n">
        <v>0</v>
      </c>
      <c r="D2155" s="48" t="n">
        <v>0</v>
      </c>
      <c r="E2155" s="48" t="s">
        <v>112</v>
      </c>
      <c r="F2155" s="48" t="s">
        <v>72</v>
      </c>
      <c r="G2155" s="48" t="s">
        <v>664</v>
      </c>
      <c r="H2155" s="82" t="n">
        <f aca="false">DATE(YEAR(A2155),MONTH(A2155),1)</f>
        <v>43952</v>
      </c>
    </row>
    <row r="2156" customFormat="false" ht="15" hidden="false" customHeight="false" outlineLevel="0" collapsed="false">
      <c r="A2156" s="81" t="n">
        <v>43974</v>
      </c>
      <c r="B2156" s="48" t="n">
        <v>0</v>
      </c>
      <c r="C2156" s="48" t="n">
        <v>0</v>
      </c>
      <c r="D2156" s="48" t="n">
        <v>2</v>
      </c>
      <c r="E2156" s="48" t="s">
        <v>112</v>
      </c>
      <c r="F2156" s="48" t="s">
        <v>72</v>
      </c>
      <c r="G2156" s="48" t="s">
        <v>667</v>
      </c>
      <c r="H2156" s="82" t="n">
        <f aca="false">DATE(YEAR(A2156),MONTH(A2156),1)</f>
        <v>43952</v>
      </c>
    </row>
    <row r="2157" customFormat="false" ht="15" hidden="false" customHeight="false" outlineLevel="0" collapsed="false">
      <c r="A2157" s="81" t="n">
        <v>43974</v>
      </c>
      <c r="B2157" s="48" t="n">
        <v>0</v>
      </c>
      <c r="C2157" s="48" t="n">
        <v>0</v>
      </c>
      <c r="D2157" s="48" t="n">
        <v>7</v>
      </c>
      <c r="E2157" s="48" t="s">
        <v>112</v>
      </c>
      <c r="F2157" s="48" t="s">
        <v>72</v>
      </c>
      <c r="G2157" s="48" t="s">
        <v>607</v>
      </c>
      <c r="H2157" s="82" t="n">
        <f aca="false">DATE(YEAR(A2157),MONTH(A2157),1)</f>
        <v>43952</v>
      </c>
    </row>
    <row r="2158" customFormat="false" ht="15" hidden="false" customHeight="false" outlineLevel="0" collapsed="false">
      <c r="A2158" s="81" t="n">
        <v>43974</v>
      </c>
      <c r="B2158" s="48" t="n">
        <v>0</v>
      </c>
      <c r="C2158" s="48" t="n">
        <v>0</v>
      </c>
      <c r="D2158" s="48" t="n">
        <v>0</v>
      </c>
      <c r="E2158" s="48" t="s">
        <v>112</v>
      </c>
      <c r="F2158" s="48" t="s">
        <v>72</v>
      </c>
      <c r="G2158" s="48" t="s">
        <v>673</v>
      </c>
      <c r="H2158" s="82" t="n">
        <f aca="false">DATE(YEAR(A2158),MONTH(A2158),1)</f>
        <v>43952</v>
      </c>
    </row>
    <row r="2159" customFormat="false" ht="15" hidden="false" customHeight="false" outlineLevel="0" collapsed="false">
      <c r="A2159" s="81" t="n">
        <v>43974</v>
      </c>
      <c r="B2159" s="48" t="n">
        <v>0</v>
      </c>
      <c r="C2159" s="48" t="n">
        <v>0</v>
      </c>
      <c r="D2159" s="48" t="n">
        <v>1</v>
      </c>
      <c r="E2159" s="48" t="s">
        <v>112</v>
      </c>
      <c r="F2159" s="48" t="s">
        <v>72</v>
      </c>
      <c r="G2159" s="48" t="s">
        <v>676</v>
      </c>
      <c r="H2159" s="82" t="n">
        <f aca="false">DATE(YEAR(A2159),MONTH(A2159),1)</f>
        <v>43952</v>
      </c>
    </row>
    <row r="2160" customFormat="false" ht="15" hidden="false" customHeight="false" outlineLevel="0" collapsed="false">
      <c r="A2160" s="81" t="n">
        <v>43974</v>
      </c>
      <c r="B2160" s="48" t="n">
        <v>669</v>
      </c>
      <c r="C2160" s="48" t="n">
        <v>12</v>
      </c>
      <c r="D2160" s="48" t="n">
        <v>145</v>
      </c>
      <c r="E2160" s="48" t="s">
        <v>112</v>
      </c>
      <c r="F2160" s="48" t="s">
        <v>70</v>
      </c>
      <c r="G2160" s="48" t="s">
        <v>91</v>
      </c>
      <c r="H2160" s="82" t="n">
        <f aca="false">DATE(YEAR(A2160),MONTH(A2160),1)</f>
        <v>43952</v>
      </c>
    </row>
    <row r="2161" customFormat="false" ht="15" hidden="false" customHeight="false" outlineLevel="0" collapsed="false">
      <c r="A2161" s="81" t="n">
        <v>43974</v>
      </c>
      <c r="B2161" s="48" t="n">
        <v>15</v>
      </c>
      <c r="C2161" s="48" t="n">
        <v>1</v>
      </c>
      <c r="D2161" s="48" t="n">
        <v>2</v>
      </c>
      <c r="E2161" s="48" t="s">
        <v>112</v>
      </c>
      <c r="F2161" s="48" t="s">
        <v>70</v>
      </c>
      <c r="G2161" s="48" t="s">
        <v>99</v>
      </c>
      <c r="H2161" s="82" t="n">
        <f aca="false">DATE(YEAR(A2161),MONTH(A2161),1)</f>
        <v>43952</v>
      </c>
    </row>
    <row r="2162" customFormat="false" ht="15" hidden="false" customHeight="false" outlineLevel="0" collapsed="false">
      <c r="A2162" s="81" t="n">
        <v>43974</v>
      </c>
      <c r="B2162" s="48" t="n">
        <v>1</v>
      </c>
      <c r="C2162" s="48" t="n">
        <v>0</v>
      </c>
      <c r="D2162" s="48" t="n">
        <v>0</v>
      </c>
      <c r="E2162" s="48" t="s">
        <v>112</v>
      </c>
      <c r="F2162" s="48" t="s">
        <v>70</v>
      </c>
      <c r="G2162" s="48" t="s">
        <v>619</v>
      </c>
      <c r="H2162" s="82" t="n">
        <f aca="false">DATE(YEAR(A2162),MONTH(A2162),1)</f>
        <v>43952</v>
      </c>
    </row>
    <row r="2163" customFormat="false" ht="15" hidden="false" customHeight="false" outlineLevel="0" collapsed="false">
      <c r="A2163" s="81" t="n">
        <v>43974</v>
      </c>
      <c r="B2163" s="48" t="n">
        <v>1</v>
      </c>
      <c r="C2163" s="48" t="n">
        <v>0</v>
      </c>
      <c r="D2163" s="48" t="n">
        <v>0</v>
      </c>
      <c r="E2163" s="48" t="s">
        <v>112</v>
      </c>
      <c r="F2163" s="48" t="s">
        <v>70</v>
      </c>
      <c r="G2163" s="48" t="s">
        <v>633</v>
      </c>
      <c r="H2163" s="82" t="n">
        <f aca="false">DATE(YEAR(A2163),MONTH(A2163),1)</f>
        <v>43952</v>
      </c>
    </row>
    <row r="2164" customFormat="false" ht="15" hidden="false" customHeight="false" outlineLevel="0" collapsed="false">
      <c r="A2164" s="81" t="n">
        <v>43974</v>
      </c>
      <c r="B2164" s="48" t="n">
        <v>0</v>
      </c>
      <c r="C2164" s="48" t="n">
        <v>0</v>
      </c>
      <c r="D2164" s="48" t="n">
        <v>6</v>
      </c>
      <c r="E2164" s="48" t="s">
        <v>112</v>
      </c>
      <c r="F2164" s="48" t="s">
        <v>70</v>
      </c>
      <c r="G2164" s="48" t="s">
        <v>605</v>
      </c>
      <c r="H2164" s="82" t="n">
        <f aca="false">DATE(YEAR(A2164),MONTH(A2164),1)</f>
        <v>43952</v>
      </c>
    </row>
    <row r="2165" customFormat="false" ht="15" hidden="false" customHeight="false" outlineLevel="0" collapsed="false">
      <c r="A2165" s="81" t="n">
        <v>43974</v>
      </c>
      <c r="B2165" s="48" t="n">
        <v>0</v>
      </c>
      <c r="C2165" s="48" t="n">
        <v>0</v>
      </c>
      <c r="D2165" s="48" t="n">
        <v>4</v>
      </c>
      <c r="E2165" s="48" t="s">
        <v>112</v>
      </c>
      <c r="F2165" s="48" t="s">
        <v>70</v>
      </c>
      <c r="G2165" s="48" t="s">
        <v>641</v>
      </c>
      <c r="H2165" s="82" t="n">
        <f aca="false">DATE(YEAR(A2165),MONTH(A2165),1)</f>
        <v>43952</v>
      </c>
    </row>
    <row r="2166" customFormat="false" ht="15" hidden="false" customHeight="false" outlineLevel="0" collapsed="false">
      <c r="A2166" s="81" t="n">
        <v>43974</v>
      </c>
      <c r="B2166" s="48" t="n">
        <v>0</v>
      </c>
      <c r="C2166" s="48" t="n">
        <v>0</v>
      </c>
      <c r="D2166" s="48" t="n">
        <v>0</v>
      </c>
      <c r="E2166" s="48" t="s">
        <v>112</v>
      </c>
      <c r="F2166" s="48" t="s">
        <v>70</v>
      </c>
      <c r="G2166" s="48" t="s">
        <v>644</v>
      </c>
      <c r="H2166" s="82" t="n">
        <f aca="false">DATE(YEAR(A2166),MONTH(A2166),1)</f>
        <v>43952</v>
      </c>
    </row>
    <row r="2167" customFormat="false" ht="15" hidden="false" customHeight="false" outlineLevel="0" collapsed="false">
      <c r="A2167" s="81" t="n">
        <v>43974</v>
      </c>
      <c r="B2167" s="48" t="n">
        <v>1</v>
      </c>
      <c r="C2167" s="48" t="n">
        <v>0</v>
      </c>
      <c r="D2167" s="48" t="n">
        <v>0</v>
      </c>
      <c r="E2167" s="48" t="s">
        <v>112</v>
      </c>
      <c r="F2167" s="48" t="s">
        <v>70</v>
      </c>
      <c r="G2167" s="48" t="s">
        <v>637</v>
      </c>
      <c r="H2167" s="82" t="n">
        <f aca="false">DATE(YEAR(A2167),MONTH(A2167),1)</f>
        <v>43952</v>
      </c>
    </row>
    <row r="2168" customFormat="false" ht="15" hidden="false" customHeight="false" outlineLevel="0" collapsed="false">
      <c r="A2168" s="81" t="n">
        <v>43974</v>
      </c>
      <c r="B2168" s="48" t="n">
        <v>0</v>
      </c>
      <c r="C2168" s="48" t="n">
        <v>0</v>
      </c>
      <c r="D2168" s="48" t="n">
        <v>5</v>
      </c>
      <c r="E2168" s="48" t="s">
        <v>112</v>
      </c>
      <c r="F2168" s="48" t="s">
        <v>70</v>
      </c>
      <c r="G2168" s="48" t="s">
        <v>630</v>
      </c>
      <c r="H2168" s="82" t="n">
        <f aca="false">DATE(YEAR(A2168),MONTH(A2168),1)</f>
        <v>43952</v>
      </c>
    </row>
    <row r="2169" customFormat="false" ht="15" hidden="false" customHeight="false" outlineLevel="0" collapsed="false">
      <c r="A2169" s="81" t="n">
        <v>43974</v>
      </c>
      <c r="B2169" s="48" t="n">
        <v>0</v>
      </c>
      <c r="C2169" s="48" t="n">
        <v>0</v>
      </c>
      <c r="D2169" s="48" t="n">
        <v>0</v>
      </c>
      <c r="E2169" s="48" t="s">
        <v>112</v>
      </c>
      <c r="F2169" s="48" t="s">
        <v>70</v>
      </c>
      <c r="G2169" s="48" t="s">
        <v>642</v>
      </c>
      <c r="H2169" s="82" t="n">
        <f aca="false">DATE(YEAR(A2169),MONTH(A2169),1)</f>
        <v>43952</v>
      </c>
    </row>
    <row r="2170" customFormat="false" ht="15" hidden="false" customHeight="false" outlineLevel="0" collapsed="false">
      <c r="A2170" s="81" t="n">
        <v>43974</v>
      </c>
      <c r="B2170" s="48" t="n">
        <v>0</v>
      </c>
      <c r="C2170" s="48" t="n">
        <v>0</v>
      </c>
      <c r="D2170" s="48" t="n">
        <v>1</v>
      </c>
      <c r="E2170" s="48" t="s">
        <v>112</v>
      </c>
      <c r="F2170" s="48" t="s">
        <v>70</v>
      </c>
      <c r="G2170" s="48" t="s">
        <v>671</v>
      </c>
      <c r="H2170" s="82" t="n">
        <f aca="false">DATE(YEAR(A2170),MONTH(A2170),1)</f>
        <v>43952</v>
      </c>
    </row>
    <row r="2171" customFormat="false" ht="15" hidden="false" customHeight="false" outlineLevel="0" collapsed="false">
      <c r="A2171" s="81" t="n">
        <v>43974</v>
      </c>
      <c r="B2171" s="48" t="n">
        <v>5</v>
      </c>
      <c r="C2171" s="48" t="n">
        <v>0</v>
      </c>
      <c r="D2171" s="48" t="n">
        <v>0</v>
      </c>
      <c r="E2171" s="48" t="s">
        <v>112</v>
      </c>
      <c r="F2171" s="48" t="s">
        <v>70</v>
      </c>
      <c r="G2171" s="48" t="s">
        <v>105</v>
      </c>
      <c r="H2171" s="82" t="n">
        <f aca="false">DATE(YEAR(A2171),MONTH(A2171),1)</f>
        <v>43952</v>
      </c>
    </row>
    <row r="2172" customFormat="false" ht="15" hidden="false" customHeight="false" outlineLevel="0" collapsed="false">
      <c r="A2172" s="81" t="n">
        <v>43974</v>
      </c>
      <c r="B2172" s="48" t="n">
        <v>17</v>
      </c>
      <c r="C2172" s="48" t="n">
        <v>0</v>
      </c>
      <c r="D2172" s="48" t="n">
        <v>7</v>
      </c>
      <c r="E2172" s="48" t="s">
        <v>112</v>
      </c>
      <c r="F2172" s="48" t="s">
        <v>70</v>
      </c>
      <c r="G2172" s="48" t="s">
        <v>98</v>
      </c>
      <c r="H2172" s="82" t="n">
        <f aca="false">DATE(YEAR(A2172),MONTH(A2172),1)</f>
        <v>43952</v>
      </c>
    </row>
    <row r="2173" customFormat="false" ht="15" hidden="false" customHeight="false" outlineLevel="0" collapsed="false">
      <c r="A2173" s="81" t="n">
        <v>43974</v>
      </c>
      <c r="B2173" s="48" t="n">
        <v>15</v>
      </c>
      <c r="C2173" s="48" t="n">
        <v>0</v>
      </c>
      <c r="D2173" s="48" t="n">
        <v>0</v>
      </c>
      <c r="E2173" s="48" t="s">
        <v>112</v>
      </c>
      <c r="F2173" s="48" t="s">
        <v>70</v>
      </c>
      <c r="G2173" s="48" t="s">
        <v>592</v>
      </c>
      <c r="H2173" s="82" t="n">
        <f aca="false">DATE(YEAR(A2173),MONTH(A2173),1)</f>
        <v>43952</v>
      </c>
    </row>
    <row r="2174" customFormat="false" ht="15" hidden="false" customHeight="false" outlineLevel="0" collapsed="false">
      <c r="A2174" s="81" t="n">
        <v>43974</v>
      </c>
      <c r="B2174" s="48" t="n">
        <v>20</v>
      </c>
      <c r="C2174" s="48" t="n">
        <v>1</v>
      </c>
      <c r="D2174" s="48" t="n">
        <v>3</v>
      </c>
      <c r="E2174" s="48" t="s">
        <v>112</v>
      </c>
      <c r="F2174" s="48" t="s">
        <v>70</v>
      </c>
      <c r="G2174" s="48" t="s">
        <v>104</v>
      </c>
      <c r="H2174" s="82" t="n">
        <f aca="false">DATE(YEAR(A2174),MONTH(A2174),1)</f>
        <v>43952</v>
      </c>
    </row>
    <row r="2175" customFormat="false" ht="15" hidden="false" customHeight="false" outlineLevel="0" collapsed="false">
      <c r="A2175" s="81" t="n">
        <v>43974</v>
      </c>
      <c r="B2175" s="48" t="n">
        <v>0</v>
      </c>
      <c r="C2175" s="48" t="n">
        <v>0</v>
      </c>
      <c r="D2175" s="48" t="n">
        <v>1</v>
      </c>
      <c r="E2175" s="48" t="s">
        <v>112</v>
      </c>
      <c r="F2175" s="48" t="s">
        <v>70</v>
      </c>
      <c r="G2175" s="48" t="s">
        <v>635</v>
      </c>
      <c r="H2175" s="82" t="n">
        <f aca="false">DATE(YEAR(A2175),MONTH(A2175),1)</f>
        <v>43952</v>
      </c>
    </row>
    <row r="2176" customFormat="false" ht="15" hidden="false" customHeight="false" outlineLevel="0" collapsed="false">
      <c r="A2176" s="81" t="n">
        <v>43974</v>
      </c>
      <c r="B2176" s="48" t="n">
        <v>3</v>
      </c>
      <c r="C2176" s="48" t="n">
        <v>0</v>
      </c>
      <c r="D2176" s="48" t="n">
        <v>5</v>
      </c>
      <c r="E2176" s="48" t="s">
        <v>112</v>
      </c>
      <c r="F2176" s="48" t="s">
        <v>70</v>
      </c>
      <c r="G2176" s="48" t="s">
        <v>616</v>
      </c>
      <c r="H2176" s="82" t="n">
        <f aca="false">DATE(YEAR(A2176),MONTH(A2176),1)</f>
        <v>43952</v>
      </c>
    </row>
    <row r="2177" customFormat="false" ht="15" hidden="false" customHeight="false" outlineLevel="0" collapsed="false">
      <c r="A2177" s="81" t="n">
        <v>43974</v>
      </c>
      <c r="B2177" s="48" t="n">
        <v>0</v>
      </c>
      <c r="C2177" s="48" t="n">
        <v>0</v>
      </c>
      <c r="D2177" s="48" t="n">
        <v>8</v>
      </c>
      <c r="E2177" s="48" t="s">
        <v>112</v>
      </c>
      <c r="F2177" s="48" t="s">
        <v>70</v>
      </c>
      <c r="G2177" s="48" t="s">
        <v>663</v>
      </c>
      <c r="H2177" s="82" t="n">
        <f aca="false">DATE(YEAR(A2177),MONTH(A2177),1)</f>
        <v>43952</v>
      </c>
    </row>
    <row r="2178" customFormat="false" ht="15" hidden="false" customHeight="false" outlineLevel="0" collapsed="false">
      <c r="A2178" s="81" t="n">
        <v>43974</v>
      </c>
      <c r="B2178" s="48" t="n">
        <v>0</v>
      </c>
      <c r="C2178" s="48" t="n">
        <v>0</v>
      </c>
      <c r="D2178" s="48" t="n">
        <v>2</v>
      </c>
      <c r="E2178" s="48" t="s">
        <v>112</v>
      </c>
      <c r="F2178" s="48" t="s">
        <v>70</v>
      </c>
      <c r="G2178" s="48" t="s">
        <v>640</v>
      </c>
      <c r="H2178" s="82" t="n">
        <f aca="false">DATE(YEAR(A2178),MONTH(A2178),1)</f>
        <v>43952</v>
      </c>
    </row>
    <row r="2179" customFormat="false" ht="15" hidden="false" customHeight="false" outlineLevel="0" collapsed="false">
      <c r="A2179" s="81" t="n">
        <v>43974</v>
      </c>
      <c r="B2179" s="48" t="n">
        <v>2</v>
      </c>
      <c r="C2179" s="48" t="n">
        <v>0</v>
      </c>
      <c r="D2179" s="48" t="n">
        <v>1</v>
      </c>
      <c r="E2179" s="48" t="s">
        <v>112</v>
      </c>
      <c r="F2179" s="48" t="s">
        <v>70</v>
      </c>
      <c r="G2179" s="48" t="s">
        <v>639</v>
      </c>
      <c r="H2179" s="82" t="n">
        <f aca="false">DATE(YEAR(A2179),MONTH(A2179),1)</f>
        <v>43952</v>
      </c>
    </row>
    <row r="2180" customFormat="false" ht="15" hidden="false" customHeight="false" outlineLevel="0" collapsed="false">
      <c r="A2180" s="81" t="n">
        <v>43974</v>
      </c>
      <c r="B2180" s="48" t="n">
        <v>0</v>
      </c>
      <c r="C2180" s="48" t="n">
        <v>0</v>
      </c>
      <c r="D2180" s="48" t="n">
        <v>0</v>
      </c>
      <c r="E2180" s="48" t="s">
        <v>112</v>
      </c>
      <c r="F2180" s="48" t="s">
        <v>70</v>
      </c>
      <c r="G2180" s="48" t="s">
        <v>670</v>
      </c>
      <c r="H2180" s="82" t="n">
        <f aca="false">DATE(YEAR(A2180),MONTH(A2180),1)</f>
        <v>43952</v>
      </c>
    </row>
    <row r="2181" customFormat="false" ht="15" hidden="false" customHeight="false" outlineLevel="0" collapsed="false">
      <c r="A2181" s="81" t="n">
        <v>43974</v>
      </c>
      <c r="B2181" s="48" t="n">
        <v>1</v>
      </c>
      <c r="C2181" s="48" t="n">
        <v>0</v>
      </c>
      <c r="D2181" s="48" t="n">
        <v>0</v>
      </c>
      <c r="E2181" s="48" t="s">
        <v>112</v>
      </c>
      <c r="F2181" s="48" t="s">
        <v>70</v>
      </c>
      <c r="G2181" s="48" t="s">
        <v>679</v>
      </c>
      <c r="H2181" s="82" t="n">
        <f aca="false">DATE(YEAR(A2181),MONTH(A2181),1)</f>
        <v>43952</v>
      </c>
    </row>
    <row r="2182" customFormat="false" ht="15" hidden="false" customHeight="false" outlineLevel="0" collapsed="false">
      <c r="A2182" s="81" t="n">
        <v>43974</v>
      </c>
      <c r="B2182" s="48" t="n">
        <v>8</v>
      </c>
      <c r="C2182" s="48" t="n">
        <v>0</v>
      </c>
      <c r="D2182" s="48" t="n">
        <v>0</v>
      </c>
      <c r="E2182" s="48" t="s">
        <v>112</v>
      </c>
      <c r="F2182" s="48" t="s">
        <v>70</v>
      </c>
      <c r="G2182" s="48" t="s">
        <v>601</v>
      </c>
      <c r="H2182" s="82" t="n">
        <f aca="false">DATE(YEAR(A2182),MONTH(A2182),1)</f>
        <v>43952</v>
      </c>
    </row>
    <row r="2183" customFormat="false" ht="15" hidden="false" customHeight="false" outlineLevel="0" collapsed="false">
      <c r="A2183" s="81" t="n">
        <v>43974</v>
      </c>
      <c r="B2183" s="48" t="n">
        <v>2</v>
      </c>
      <c r="C2183" s="48" t="n">
        <v>0</v>
      </c>
      <c r="D2183" s="48" t="n">
        <v>12</v>
      </c>
      <c r="E2183" s="48" t="s">
        <v>112</v>
      </c>
      <c r="F2183" s="48" t="s">
        <v>70</v>
      </c>
      <c r="G2183" s="48" t="s">
        <v>623</v>
      </c>
      <c r="H2183" s="82" t="n">
        <f aca="false">DATE(YEAR(A2183),MONTH(A2183),1)</f>
        <v>43952</v>
      </c>
    </row>
    <row r="2184" customFormat="false" ht="15" hidden="false" customHeight="false" outlineLevel="0" collapsed="false">
      <c r="A2184" s="81" t="n">
        <v>43974</v>
      </c>
      <c r="B2184" s="48" t="n">
        <v>2</v>
      </c>
      <c r="C2184" s="48" t="n">
        <v>0</v>
      </c>
      <c r="D2184" s="48" t="n">
        <v>0</v>
      </c>
      <c r="E2184" s="48" t="s">
        <v>112</v>
      </c>
      <c r="F2184" s="48" t="s">
        <v>70</v>
      </c>
      <c r="G2184" s="48" t="s">
        <v>636</v>
      </c>
      <c r="H2184" s="82" t="n">
        <f aca="false">DATE(YEAR(A2184),MONTH(A2184),1)</f>
        <v>43952</v>
      </c>
    </row>
    <row r="2185" customFormat="false" ht="15" hidden="false" customHeight="false" outlineLevel="0" collapsed="false">
      <c r="A2185" s="81" t="n">
        <v>43974</v>
      </c>
      <c r="B2185" s="48" t="n">
        <v>26</v>
      </c>
      <c r="C2185" s="48" t="n">
        <v>0</v>
      </c>
      <c r="D2185" s="48" t="n">
        <v>3</v>
      </c>
      <c r="E2185" s="48" t="s">
        <v>112</v>
      </c>
      <c r="F2185" s="48" t="s">
        <v>76</v>
      </c>
      <c r="G2185" s="48" t="s">
        <v>595</v>
      </c>
      <c r="H2185" s="82" t="n">
        <f aca="false">DATE(YEAR(A2185),MONTH(A2185),1)</f>
        <v>43952</v>
      </c>
    </row>
    <row r="2186" customFormat="false" ht="15" hidden="false" customHeight="false" outlineLevel="0" collapsed="false">
      <c r="A2186" s="81" t="n">
        <v>43974</v>
      </c>
      <c r="B2186" s="48" t="n">
        <v>108</v>
      </c>
      <c r="C2186" s="48" t="n">
        <v>0</v>
      </c>
      <c r="D2186" s="48" t="n">
        <v>98</v>
      </c>
      <c r="E2186" s="48" t="s">
        <v>112</v>
      </c>
      <c r="F2186" s="48" t="s">
        <v>73</v>
      </c>
      <c r="G2186" s="48" t="s">
        <v>93</v>
      </c>
      <c r="H2186" s="82" t="n">
        <f aca="false">DATE(YEAR(A2186),MONTH(A2186),1)</f>
        <v>43952</v>
      </c>
    </row>
    <row r="2187" customFormat="false" ht="15" hidden="false" customHeight="false" outlineLevel="0" collapsed="false">
      <c r="A2187" s="81" t="n">
        <v>43974</v>
      </c>
      <c r="B2187" s="48" t="n">
        <v>827</v>
      </c>
      <c r="C2187" s="48" t="n">
        <v>8</v>
      </c>
      <c r="D2187" s="48" t="n">
        <v>144</v>
      </c>
      <c r="E2187" s="48" t="s">
        <v>112</v>
      </c>
      <c r="F2187" s="48" t="s">
        <v>71</v>
      </c>
      <c r="G2187" s="48" t="s">
        <v>92</v>
      </c>
      <c r="H2187" s="82" t="n">
        <f aca="false">DATE(YEAR(A2187),MONTH(A2187),1)</f>
        <v>43952</v>
      </c>
    </row>
    <row r="2188" customFormat="false" ht="15" hidden="false" customHeight="false" outlineLevel="0" collapsed="false">
      <c r="A2188" s="81" t="n">
        <v>43975</v>
      </c>
      <c r="B2188" s="48" t="n">
        <v>49</v>
      </c>
      <c r="C2188" s="48" t="n">
        <v>2</v>
      </c>
      <c r="D2188" s="48" t="n">
        <v>0</v>
      </c>
      <c r="E2188" s="48" t="s">
        <v>112</v>
      </c>
      <c r="F2188" s="48" t="s">
        <v>74</v>
      </c>
      <c r="G2188" s="48" t="s">
        <v>95</v>
      </c>
      <c r="H2188" s="82" t="n">
        <f aca="false">DATE(YEAR(A2188),MONTH(A2188),1)</f>
        <v>43952</v>
      </c>
    </row>
    <row r="2189" customFormat="false" ht="15" hidden="false" customHeight="false" outlineLevel="0" collapsed="false">
      <c r="A2189" s="81" t="n">
        <v>43975</v>
      </c>
      <c r="B2189" s="48" t="n">
        <v>0</v>
      </c>
      <c r="C2189" s="48" t="n">
        <v>3</v>
      </c>
      <c r="D2189" s="48" t="n">
        <v>1</v>
      </c>
      <c r="E2189" s="48" t="s">
        <v>112</v>
      </c>
      <c r="F2189" s="48" t="s">
        <v>75</v>
      </c>
      <c r="G2189" s="48" t="s">
        <v>103</v>
      </c>
      <c r="H2189" s="82" t="n">
        <f aca="false">DATE(YEAR(A2189),MONTH(A2189),1)</f>
        <v>43952</v>
      </c>
    </row>
    <row r="2190" customFormat="false" ht="15" hidden="false" customHeight="false" outlineLevel="0" collapsed="false">
      <c r="A2190" s="81" t="n">
        <v>43975</v>
      </c>
      <c r="B2190" s="48" t="n">
        <v>1</v>
      </c>
      <c r="C2190" s="48" t="n">
        <v>0</v>
      </c>
      <c r="D2190" s="48" t="n">
        <v>0</v>
      </c>
      <c r="E2190" s="48" t="s">
        <v>112</v>
      </c>
      <c r="F2190" s="48" t="s">
        <v>75</v>
      </c>
      <c r="G2190" s="48" t="s">
        <v>658</v>
      </c>
      <c r="H2190" s="82" t="n">
        <f aca="false">DATE(YEAR(A2190),MONTH(A2190),1)</f>
        <v>43952</v>
      </c>
    </row>
    <row r="2191" customFormat="false" ht="15" hidden="false" customHeight="false" outlineLevel="0" collapsed="false">
      <c r="A2191" s="81" t="n">
        <v>43975</v>
      </c>
      <c r="B2191" s="48" t="n">
        <v>0</v>
      </c>
      <c r="C2191" s="48" t="n">
        <v>0</v>
      </c>
      <c r="D2191" s="48" t="n">
        <v>7</v>
      </c>
      <c r="E2191" s="48" t="s">
        <v>112</v>
      </c>
      <c r="F2191" s="48" t="s">
        <v>75</v>
      </c>
      <c r="G2191" s="48" t="s">
        <v>629</v>
      </c>
      <c r="H2191" s="82" t="n">
        <f aca="false">DATE(YEAR(A2191),MONTH(A2191),1)</f>
        <v>43952</v>
      </c>
    </row>
    <row r="2192" customFormat="false" ht="15" hidden="false" customHeight="false" outlineLevel="0" collapsed="false">
      <c r="A2192" s="81" t="n">
        <v>43975</v>
      </c>
      <c r="B2192" s="48" t="n">
        <v>42</v>
      </c>
      <c r="C2192" s="48" t="n">
        <v>2</v>
      </c>
      <c r="D2192" s="48" t="n">
        <v>10</v>
      </c>
      <c r="E2192" s="48" t="s">
        <v>112</v>
      </c>
      <c r="F2192" s="48" t="s">
        <v>72</v>
      </c>
      <c r="G2192" s="48" t="s">
        <v>94</v>
      </c>
      <c r="H2192" s="82" t="n">
        <f aca="false">DATE(YEAR(A2192),MONTH(A2192),1)</f>
        <v>43952</v>
      </c>
    </row>
    <row r="2193" customFormat="false" ht="15" hidden="false" customHeight="false" outlineLevel="0" collapsed="false">
      <c r="A2193" s="81" t="n">
        <v>43975</v>
      </c>
      <c r="B2193" s="48" t="n">
        <v>2</v>
      </c>
      <c r="C2193" s="48" t="n">
        <v>0</v>
      </c>
      <c r="D2193" s="48" t="n">
        <v>1</v>
      </c>
      <c r="E2193" s="48" t="s">
        <v>112</v>
      </c>
      <c r="F2193" s="48" t="s">
        <v>72</v>
      </c>
      <c r="G2193" s="48" t="s">
        <v>597</v>
      </c>
      <c r="H2193" s="82" t="n">
        <f aca="false">DATE(YEAR(A2193),MONTH(A2193),1)</f>
        <v>43952</v>
      </c>
    </row>
    <row r="2194" customFormat="false" ht="15" hidden="false" customHeight="false" outlineLevel="0" collapsed="false">
      <c r="A2194" s="81" t="n">
        <v>43975</v>
      </c>
      <c r="B2194" s="48" t="n">
        <v>8</v>
      </c>
      <c r="C2194" s="48" t="n">
        <v>2</v>
      </c>
      <c r="D2194" s="48" t="n">
        <v>4</v>
      </c>
      <c r="E2194" s="48" t="s">
        <v>112</v>
      </c>
      <c r="F2194" s="48" t="s">
        <v>72</v>
      </c>
      <c r="G2194" s="48" t="s">
        <v>594</v>
      </c>
      <c r="H2194" s="82" t="n">
        <f aca="false">DATE(YEAR(A2194),MONTH(A2194),1)</f>
        <v>43952</v>
      </c>
    </row>
    <row r="2195" customFormat="false" ht="15" hidden="false" customHeight="false" outlineLevel="0" collapsed="false">
      <c r="A2195" s="81" t="n">
        <v>43975</v>
      </c>
      <c r="B2195" s="48" t="n">
        <v>0</v>
      </c>
      <c r="C2195" s="48" t="n">
        <v>0</v>
      </c>
      <c r="D2195" s="48" t="n">
        <v>0</v>
      </c>
      <c r="E2195" s="48" t="s">
        <v>112</v>
      </c>
      <c r="F2195" s="48" t="s">
        <v>72</v>
      </c>
      <c r="G2195" s="48" t="s">
        <v>599</v>
      </c>
      <c r="H2195" s="82" t="n">
        <f aca="false">DATE(YEAR(A2195),MONTH(A2195),1)</f>
        <v>43952</v>
      </c>
    </row>
    <row r="2196" customFormat="false" ht="15" hidden="false" customHeight="false" outlineLevel="0" collapsed="false">
      <c r="A2196" s="81" t="n">
        <v>43975</v>
      </c>
      <c r="B2196" s="48" t="n">
        <v>0</v>
      </c>
      <c r="C2196" s="48" t="n">
        <v>0</v>
      </c>
      <c r="D2196" s="48" t="n">
        <v>0</v>
      </c>
      <c r="E2196" s="48" t="s">
        <v>112</v>
      </c>
      <c r="F2196" s="48" t="s">
        <v>72</v>
      </c>
      <c r="G2196" s="48" t="s">
        <v>656</v>
      </c>
      <c r="H2196" s="82" t="n">
        <f aca="false">DATE(YEAR(A2196),MONTH(A2196),1)</f>
        <v>43952</v>
      </c>
    </row>
    <row r="2197" customFormat="false" ht="15" hidden="false" customHeight="false" outlineLevel="0" collapsed="false">
      <c r="A2197" s="81" t="n">
        <v>43975</v>
      </c>
      <c r="B2197" s="48" t="n">
        <v>21</v>
      </c>
      <c r="C2197" s="48" t="n">
        <v>1</v>
      </c>
      <c r="D2197" s="48" t="n">
        <v>1</v>
      </c>
      <c r="E2197" s="48" t="s">
        <v>112</v>
      </c>
      <c r="F2197" s="48" t="s">
        <v>72</v>
      </c>
      <c r="G2197" s="48" t="s">
        <v>102</v>
      </c>
      <c r="H2197" s="82" t="n">
        <f aca="false">DATE(YEAR(A2197),MONTH(A2197),1)</f>
        <v>43952</v>
      </c>
    </row>
    <row r="2198" customFormat="false" ht="15" hidden="false" customHeight="false" outlineLevel="0" collapsed="false">
      <c r="A2198" s="81" t="n">
        <v>43975</v>
      </c>
      <c r="B2198" s="48" t="n">
        <v>1</v>
      </c>
      <c r="C2198" s="48" t="n">
        <v>0</v>
      </c>
      <c r="D2198" s="48" t="n">
        <v>1</v>
      </c>
      <c r="E2198" s="48" t="s">
        <v>112</v>
      </c>
      <c r="F2198" s="48" t="s">
        <v>72</v>
      </c>
      <c r="G2198" s="48" t="s">
        <v>611</v>
      </c>
      <c r="H2198" s="82" t="n">
        <f aca="false">DATE(YEAR(A2198),MONTH(A2198),1)</f>
        <v>43952</v>
      </c>
    </row>
    <row r="2199" customFormat="false" ht="15" hidden="false" customHeight="false" outlineLevel="0" collapsed="false">
      <c r="A2199" s="81" t="n">
        <v>43975</v>
      </c>
      <c r="B2199" s="48" t="n">
        <v>18</v>
      </c>
      <c r="C2199" s="48" t="n">
        <v>0</v>
      </c>
      <c r="D2199" s="48" t="n">
        <v>17</v>
      </c>
      <c r="E2199" s="48" t="s">
        <v>112</v>
      </c>
      <c r="F2199" s="48" t="s">
        <v>72</v>
      </c>
      <c r="G2199" s="48" t="s">
        <v>96</v>
      </c>
      <c r="H2199" s="82" t="n">
        <f aca="false">DATE(YEAR(A2199),MONTH(A2199),1)</f>
        <v>43952</v>
      </c>
    </row>
    <row r="2200" customFormat="false" ht="15" hidden="false" customHeight="false" outlineLevel="0" collapsed="false">
      <c r="A2200" s="81" t="n">
        <v>43975</v>
      </c>
      <c r="B2200" s="48" t="n">
        <v>5</v>
      </c>
      <c r="C2200" s="48" t="n">
        <v>0</v>
      </c>
      <c r="D2200" s="48" t="n">
        <v>0</v>
      </c>
      <c r="E2200" s="48" t="s">
        <v>112</v>
      </c>
      <c r="F2200" s="48" t="s">
        <v>72</v>
      </c>
      <c r="G2200" s="48" t="s">
        <v>603</v>
      </c>
      <c r="H2200" s="82" t="n">
        <f aca="false">DATE(YEAR(A2200),MONTH(A2200),1)</f>
        <v>43952</v>
      </c>
    </row>
    <row r="2201" customFormat="false" ht="15" hidden="false" customHeight="false" outlineLevel="0" collapsed="false">
      <c r="A2201" s="81" t="n">
        <v>43975</v>
      </c>
      <c r="B2201" s="48" t="n">
        <v>0</v>
      </c>
      <c r="C2201" s="48" t="n">
        <v>0</v>
      </c>
      <c r="D2201" s="48" t="n">
        <v>0</v>
      </c>
      <c r="E2201" s="48" t="s">
        <v>112</v>
      </c>
      <c r="F2201" s="48" t="s">
        <v>72</v>
      </c>
      <c r="G2201" s="48" t="s">
        <v>591</v>
      </c>
      <c r="H2201" s="82" t="n">
        <f aca="false">DATE(YEAR(A2201),MONTH(A2201),1)</f>
        <v>43952</v>
      </c>
    </row>
    <row r="2202" customFormat="false" ht="15" hidden="false" customHeight="false" outlineLevel="0" collapsed="false">
      <c r="A2202" s="81" t="n">
        <v>43975</v>
      </c>
      <c r="B2202" s="48" t="n">
        <v>0</v>
      </c>
      <c r="C2202" s="48" t="n">
        <v>0</v>
      </c>
      <c r="D2202" s="48" t="n">
        <v>0</v>
      </c>
      <c r="E2202" s="48" t="s">
        <v>112</v>
      </c>
      <c r="F2202" s="48" t="s">
        <v>72</v>
      </c>
      <c r="G2202" s="48" t="s">
        <v>598</v>
      </c>
      <c r="H2202" s="82" t="n">
        <f aca="false">DATE(YEAR(A2202),MONTH(A2202),1)</f>
        <v>43952</v>
      </c>
    </row>
    <row r="2203" customFormat="false" ht="15" hidden="false" customHeight="false" outlineLevel="0" collapsed="false">
      <c r="A2203" s="81" t="n">
        <v>43975</v>
      </c>
      <c r="B2203" s="48" t="n">
        <v>0</v>
      </c>
      <c r="C2203" s="48" t="n">
        <v>0</v>
      </c>
      <c r="D2203" s="48" t="n">
        <v>2</v>
      </c>
      <c r="E2203" s="48" t="s">
        <v>112</v>
      </c>
      <c r="F2203" s="48" t="s">
        <v>72</v>
      </c>
      <c r="G2203" s="48" t="s">
        <v>609</v>
      </c>
      <c r="H2203" s="82" t="n">
        <f aca="false">DATE(YEAR(A2203),MONTH(A2203),1)</f>
        <v>43952</v>
      </c>
    </row>
    <row r="2204" customFormat="false" ht="15" hidden="false" customHeight="false" outlineLevel="0" collapsed="false">
      <c r="A2204" s="81" t="n">
        <v>43975</v>
      </c>
      <c r="B2204" s="48" t="n">
        <v>45</v>
      </c>
      <c r="C2204" s="48" t="n">
        <v>3</v>
      </c>
      <c r="D2204" s="48" t="n">
        <v>18</v>
      </c>
      <c r="E2204" s="48" t="s">
        <v>112</v>
      </c>
      <c r="F2204" s="48" t="s">
        <v>72</v>
      </c>
      <c r="G2204" s="48" t="s">
        <v>101</v>
      </c>
      <c r="H2204" s="82" t="n">
        <f aca="false">DATE(YEAR(A2204),MONTH(A2204),1)</f>
        <v>43952</v>
      </c>
    </row>
    <row r="2205" customFormat="false" ht="15" hidden="false" customHeight="false" outlineLevel="0" collapsed="false">
      <c r="A2205" s="81" t="n">
        <v>43975</v>
      </c>
      <c r="B2205" s="48" t="n">
        <v>0</v>
      </c>
      <c r="C2205" s="48" t="n">
        <v>0</v>
      </c>
      <c r="D2205" s="48" t="n">
        <v>0</v>
      </c>
      <c r="E2205" s="48" t="s">
        <v>112</v>
      </c>
      <c r="F2205" s="48" t="s">
        <v>72</v>
      </c>
      <c r="G2205" s="48" t="s">
        <v>643</v>
      </c>
      <c r="H2205" s="82" t="n">
        <f aca="false">DATE(YEAR(A2205),MONTH(A2205),1)</f>
        <v>43952</v>
      </c>
    </row>
    <row r="2206" customFormat="false" ht="15" hidden="false" customHeight="false" outlineLevel="0" collapsed="false">
      <c r="A2206" s="81" t="n">
        <v>43975</v>
      </c>
      <c r="B2206" s="48" t="n">
        <v>0</v>
      </c>
      <c r="C2206" s="48" t="n">
        <v>0</v>
      </c>
      <c r="D2206" s="48" t="n">
        <v>0</v>
      </c>
      <c r="E2206" s="48" t="s">
        <v>112</v>
      </c>
      <c r="F2206" s="48" t="s">
        <v>72</v>
      </c>
      <c r="G2206" s="48" t="s">
        <v>662</v>
      </c>
      <c r="H2206" s="82" t="n">
        <f aca="false">DATE(YEAR(A2206),MONTH(A2206),1)</f>
        <v>43952</v>
      </c>
    </row>
    <row r="2207" customFormat="false" ht="15" hidden="false" customHeight="false" outlineLevel="0" collapsed="false">
      <c r="A2207" s="81" t="n">
        <v>43975</v>
      </c>
      <c r="B2207" s="48" t="n">
        <v>10</v>
      </c>
      <c r="C2207" s="48" t="n">
        <v>0</v>
      </c>
      <c r="D2207" s="48" t="n">
        <v>2</v>
      </c>
      <c r="E2207" s="48" t="s">
        <v>112</v>
      </c>
      <c r="F2207" s="48" t="s">
        <v>72</v>
      </c>
      <c r="G2207" s="48" t="s">
        <v>600</v>
      </c>
      <c r="H2207" s="82" t="n">
        <f aca="false">DATE(YEAR(A2207),MONTH(A2207),1)</f>
        <v>43952</v>
      </c>
    </row>
    <row r="2208" customFormat="false" ht="15" hidden="false" customHeight="false" outlineLevel="0" collapsed="false">
      <c r="A2208" s="81" t="n">
        <v>43975</v>
      </c>
      <c r="B2208" s="48" t="n">
        <v>7</v>
      </c>
      <c r="C2208" s="48" t="n">
        <v>0</v>
      </c>
      <c r="D2208" s="48" t="n">
        <v>0</v>
      </c>
      <c r="E2208" s="48" t="s">
        <v>112</v>
      </c>
      <c r="F2208" s="48" t="s">
        <v>72</v>
      </c>
      <c r="G2208" s="48" t="s">
        <v>610</v>
      </c>
      <c r="H2208" s="82" t="n">
        <f aca="false">DATE(YEAR(A2208),MONTH(A2208),1)</f>
        <v>43952</v>
      </c>
    </row>
    <row r="2209" customFormat="false" ht="15" hidden="false" customHeight="false" outlineLevel="0" collapsed="false">
      <c r="A2209" s="81" t="n">
        <v>43975</v>
      </c>
      <c r="B2209" s="48" t="n">
        <v>26</v>
      </c>
      <c r="C2209" s="48" t="n">
        <v>1</v>
      </c>
      <c r="D2209" s="48" t="n">
        <v>3</v>
      </c>
      <c r="E2209" s="48" t="s">
        <v>112</v>
      </c>
      <c r="F2209" s="48" t="s">
        <v>72</v>
      </c>
      <c r="G2209" s="48" t="s">
        <v>593</v>
      </c>
      <c r="H2209" s="82" t="n">
        <f aca="false">DATE(YEAR(A2209),MONTH(A2209),1)</f>
        <v>43952</v>
      </c>
    </row>
    <row r="2210" customFormat="false" ht="15" hidden="false" customHeight="false" outlineLevel="0" collapsed="false">
      <c r="A2210" s="81" t="n">
        <v>43975</v>
      </c>
      <c r="B2210" s="48" t="n">
        <v>4</v>
      </c>
      <c r="C2210" s="48" t="n">
        <v>0</v>
      </c>
      <c r="D2210" s="48" t="n">
        <v>0</v>
      </c>
      <c r="E2210" s="48" t="s">
        <v>112</v>
      </c>
      <c r="F2210" s="48" t="s">
        <v>72</v>
      </c>
      <c r="G2210" s="48" t="s">
        <v>612</v>
      </c>
      <c r="H2210" s="82" t="n">
        <f aca="false">DATE(YEAR(A2210),MONTH(A2210),1)</f>
        <v>43952</v>
      </c>
    </row>
    <row r="2211" customFormat="false" ht="15" hidden="false" customHeight="false" outlineLevel="0" collapsed="false">
      <c r="A2211" s="81" t="n">
        <v>43975</v>
      </c>
      <c r="B2211" s="48" t="n">
        <v>0</v>
      </c>
      <c r="C2211" s="48" t="n">
        <v>0</v>
      </c>
      <c r="D2211" s="48" t="n">
        <v>0</v>
      </c>
      <c r="E2211" s="48" t="s">
        <v>112</v>
      </c>
      <c r="F2211" s="48" t="s">
        <v>72</v>
      </c>
      <c r="G2211" s="48" t="s">
        <v>685</v>
      </c>
      <c r="H2211" s="82" t="n">
        <f aca="false">DATE(YEAR(A2211),MONTH(A2211),1)</f>
        <v>43952</v>
      </c>
    </row>
    <row r="2212" customFormat="false" ht="15" hidden="false" customHeight="false" outlineLevel="0" collapsed="false">
      <c r="A2212" s="81" t="n">
        <v>43975</v>
      </c>
      <c r="B2212" s="48" t="n">
        <v>0</v>
      </c>
      <c r="C2212" s="48" t="n">
        <v>0</v>
      </c>
      <c r="D2212" s="48" t="n">
        <v>0</v>
      </c>
      <c r="E2212" s="48" t="s">
        <v>112</v>
      </c>
      <c r="F2212" s="48" t="s">
        <v>72</v>
      </c>
      <c r="G2212" s="48" t="s">
        <v>687</v>
      </c>
      <c r="H2212" s="82" t="n">
        <f aca="false">DATE(YEAR(A2212),MONTH(A2212),1)</f>
        <v>43952</v>
      </c>
    </row>
    <row r="2213" customFormat="false" ht="15" hidden="false" customHeight="false" outlineLevel="0" collapsed="false">
      <c r="A2213" s="81" t="n">
        <v>43975</v>
      </c>
      <c r="B2213" s="48" t="n">
        <v>0</v>
      </c>
      <c r="C2213" s="48" t="n">
        <v>0</v>
      </c>
      <c r="D2213" s="48" t="n">
        <v>0</v>
      </c>
      <c r="E2213" s="48" t="s">
        <v>112</v>
      </c>
      <c r="F2213" s="48" t="s">
        <v>72</v>
      </c>
      <c r="G2213" s="48" t="s">
        <v>682</v>
      </c>
      <c r="H2213" s="82" t="n">
        <f aca="false">DATE(YEAR(A2213),MONTH(A2213),1)</f>
        <v>43952</v>
      </c>
    </row>
    <row r="2214" customFormat="false" ht="15" hidden="false" customHeight="false" outlineLevel="0" collapsed="false">
      <c r="A2214" s="81" t="n">
        <v>43975</v>
      </c>
      <c r="B2214" s="48" t="n">
        <v>0</v>
      </c>
      <c r="C2214" s="48" t="n">
        <v>0</v>
      </c>
      <c r="D2214" s="48" t="n">
        <v>0</v>
      </c>
      <c r="E2214" s="48" t="s">
        <v>112</v>
      </c>
      <c r="F2214" s="48" t="s">
        <v>72</v>
      </c>
      <c r="G2214" s="48" t="s">
        <v>692</v>
      </c>
      <c r="H2214" s="82" t="n">
        <f aca="false">DATE(YEAR(A2214),MONTH(A2214),1)</f>
        <v>43952</v>
      </c>
    </row>
    <row r="2215" customFormat="false" ht="15" hidden="false" customHeight="false" outlineLevel="0" collapsed="false">
      <c r="A2215" s="81" t="n">
        <v>43975</v>
      </c>
      <c r="B2215" s="48" t="n">
        <v>5</v>
      </c>
      <c r="C2215" s="48" t="n">
        <v>0</v>
      </c>
      <c r="D2215" s="48" t="n">
        <v>4</v>
      </c>
      <c r="E2215" s="48" t="s">
        <v>112</v>
      </c>
      <c r="F2215" s="48" t="s">
        <v>72</v>
      </c>
      <c r="G2215" s="48" t="s">
        <v>613</v>
      </c>
      <c r="H2215" s="82" t="n">
        <f aca="false">DATE(YEAR(A2215),MONTH(A2215),1)</f>
        <v>43952</v>
      </c>
    </row>
    <row r="2216" customFormat="false" ht="15" hidden="false" customHeight="false" outlineLevel="0" collapsed="false">
      <c r="A2216" s="81" t="n">
        <v>43975</v>
      </c>
      <c r="B2216" s="48" t="n">
        <v>3</v>
      </c>
      <c r="C2216" s="48" t="n">
        <v>0</v>
      </c>
      <c r="D2216" s="48" t="n">
        <v>0</v>
      </c>
      <c r="E2216" s="48" t="s">
        <v>112</v>
      </c>
      <c r="F2216" s="48" t="s">
        <v>72</v>
      </c>
      <c r="G2216" s="48" t="s">
        <v>614</v>
      </c>
      <c r="H2216" s="82" t="n">
        <f aca="false">DATE(YEAR(A2216),MONTH(A2216),1)</f>
        <v>43952</v>
      </c>
    </row>
    <row r="2217" customFormat="false" ht="15" hidden="false" customHeight="false" outlineLevel="0" collapsed="false">
      <c r="A2217" s="81" t="n">
        <v>43975</v>
      </c>
      <c r="B2217" s="48" t="n">
        <v>0</v>
      </c>
      <c r="C2217" s="48" t="n">
        <v>0</v>
      </c>
      <c r="D2217" s="48" t="n">
        <v>0</v>
      </c>
      <c r="E2217" s="48" t="s">
        <v>112</v>
      </c>
      <c r="F2217" s="48" t="s">
        <v>72</v>
      </c>
      <c r="G2217" s="48" t="s">
        <v>655</v>
      </c>
      <c r="H2217" s="82" t="n">
        <f aca="false">DATE(YEAR(A2217),MONTH(A2217),1)</f>
        <v>43952</v>
      </c>
    </row>
    <row r="2218" customFormat="false" ht="15" hidden="false" customHeight="false" outlineLevel="0" collapsed="false">
      <c r="A2218" s="81" t="n">
        <v>43975</v>
      </c>
      <c r="B2218" s="48" t="n">
        <v>4</v>
      </c>
      <c r="C2218" s="48" t="n">
        <v>0</v>
      </c>
      <c r="D2218" s="48" t="n">
        <v>0</v>
      </c>
      <c r="E2218" s="48" t="s">
        <v>112</v>
      </c>
      <c r="F2218" s="48" t="s">
        <v>72</v>
      </c>
      <c r="G2218" s="48" t="s">
        <v>608</v>
      </c>
      <c r="H2218" s="82" t="n">
        <f aca="false">DATE(YEAR(A2218),MONTH(A2218),1)</f>
        <v>43952</v>
      </c>
    </row>
    <row r="2219" customFormat="false" ht="15" hidden="false" customHeight="false" outlineLevel="0" collapsed="false">
      <c r="A2219" s="81" t="n">
        <v>43975</v>
      </c>
      <c r="B2219" s="48" t="n">
        <v>7</v>
      </c>
      <c r="C2219" s="48" t="n">
        <v>0</v>
      </c>
      <c r="D2219" s="48" t="n">
        <v>0</v>
      </c>
      <c r="E2219" s="48" t="s">
        <v>112</v>
      </c>
      <c r="F2219" s="48" t="s">
        <v>72</v>
      </c>
      <c r="G2219" s="48" t="s">
        <v>615</v>
      </c>
      <c r="H2219" s="82" t="n">
        <f aca="false">DATE(YEAR(A2219),MONTH(A2219),1)</f>
        <v>43952</v>
      </c>
    </row>
    <row r="2220" customFormat="false" ht="15" hidden="false" customHeight="false" outlineLevel="0" collapsed="false">
      <c r="A2220" s="81" t="n">
        <v>43975</v>
      </c>
      <c r="B2220" s="48" t="n">
        <v>0</v>
      </c>
      <c r="C2220" s="48" t="n">
        <v>0</v>
      </c>
      <c r="D2220" s="48" t="n">
        <v>0</v>
      </c>
      <c r="E2220" s="48" t="s">
        <v>112</v>
      </c>
      <c r="F2220" s="48" t="s">
        <v>72</v>
      </c>
      <c r="G2220" s="48" t="s">
        <v>666</v>
      </c>
      <c r="H2220" s="82" t="n">
        <f aca="false">DATE(YEAR(A2220),MONTH(A2220),1)</f>
        <v>43952</v>
      </c>
    </row>
    <row r="2221" customFormat="false" ht="15" hidden="false" customHeight="false" outlineLevel="0" collapsed="false">
      <c r="A2221" s="81" t="n">
        <v>43975</v>
      </c>
      <c r="B2221" s="48" t="n">
        <v>0</v>
      </c>
      <c r="C2221" s="48" t="n">
        <v>0</v>
      </c>
      <c r="D2221" s="48" t="n">
        <v>4</v>
      </c>
      <c r="E2221" s="48" t="s">
        <v>112</v>
      </c>
      <c r="F2221" s="48" t="s">
        <v>72</v>
      </c>
      <c r="G2221" s="48" t="s">
        <v>621</v>
      </c>
      <c r="H2221" s="82" t="n">
        <f aca="false">DATE(YEAR(A2221),MONTH(A2221),1)</f>
        <v>43952</v>
      </c>
    </row>
    <row r="2222" customFormat="false" ht="15" hidden="false" customHeight="false" outlineLevel="0" collapsed="false">
      <c r="A2222" s="81" t="n">
        <v>43975</v>
      </c>
      <c r="B2222" s="48" t="n">
        <v>2</v>
      </c>
      <c r="C2222" s="48" t="n">
        <v>0</v>
      </c>
      <c r="D2222" s="48" t="n">
        <v>0</v>
      </c>
      <c r="E2222" s="48" t="s">
        <v>112</v>
      </c>
      <c r="F2222" s="48" t="s">
        <v>72</v>
      </c>
      <c r="G2222" s="48" t="s">
        <v>664</v>
      </c>
      <c r="H2222" s="82" t="n">
        <f aca="false">DATE(YEAR(A2222),MONTH(A2222),1)</f>
        <v>43952</v>
      </c>
    </row>
    <row r="2223" customFormat="false" ht="15" hidden="false" customHeight="false" outlineLevel="0" collapsed="false">
      <c r="A2223" s="81" t="n">
        <v>43975</v>
      </c>
      <c r="B2223" s="48" t="n">
        <v>0</v>
      </c>
      <c r="C2223" s="48" t="n">
        <v>0</v>
      </c>
      <c r="D2223" s="48" t="n">
        <v>0</v>
      </c>
      <c r="E2223" s="48" t="s">
        <v>112</v>
      </c>
      <c r="F2223" s="48" t="s">
        <v>72</v>
      </c>
      <c r="G2223" s="48" t="s">
        <v>667</v>
      </c>
      <c r="H2223" s="82" t="n">
        <f aca="false">DATE(YEAR(A2223),MONTH(A2223),1)</f>
        <v>43952</v>
      </c>
    </row>
    <row r="2224" customFormat="false" ht="15" hidden="false" customHeight="false" outlineLevel="0" collapsed="false">
      <c r="A2224" s="81" t="n">
        <v>43975</v>
      </c>
      <c r="B2224" s="48" t="n">
        <v>5</v>
      </c>
      <c r="C2224" s="48" t="n">
        <v>0</v>
      </c>
      <c r="D2224" s="48" t="n">
        <v>2</v>
      </c>
      <c r="E2224" s="48" t="s">
        <v>112</v>
      </c>
      <c r="F2224" s="48" t="s">
        <v>72</v>
      </c>
      <c r="G2224" s="48" t="s">
        <v>607</v>
      </c>
      <c r="H2224" s="82" t="n">
        <f aca="false">DATE(YEAR(A2224),MONTH(A2224),1)</f>
        <v>43952</v>
      </c>
    </row>
    <row r="2225" customFormat="false" ht="15" hidden="false" customHeight="false" outlineLevel="0" collapsed="false">
      <c r="A2225" s="81" t="n">
        <v>43975</v>
      </c>
      <c r="B2225" s="48" t="n">
        <v>0</v>
      </c>
      <c r="C2225" s="48" t="n">
        <v>0</v>
      </c>
      <c r="D2225" s="48" t="n">
        <v>1</v>
      </c>
      <c r="E2225" s="48" t="s">
        <v>112</v>
      </c>
      <c r="F2225" s="48" t="s">
        <v>72</v>
      </c>
      <c r="G2225" s="48" t="s">
        <v>673</v>
      </c>
      <c r="H2225" s="82" t="n">
        <f aca="false">DATE(YEAR(A2225),MONTH(A2225),1)</f>
        <v>43952</v>
      </c>
    </row>
    <row r="2226" customFormat="false" ht="15" hidden="false" customHeight="false" outlineLevel="0" collapsed="false">
      <c r="A2226" s="81" t="n">
        <v>43975</v>
      </c>
      <c r="B2226" s="48" t="n">
        <v>0</v>
      </c>
      <c r="C2226" s="48" t="n">
        <v>0</v>
      </c>
      <c r="D2226" s="48" t="n">
        <v>0</v>
      </c>
      <c r="E2226" s="48" t="s">
        <v>112</v>
      </c>
      <c r="F2226" s="48" t="s">
        <v>72</v>
      </c>
      <c r="G2226" s="48" t="s">
        <v>676</v>
      </c>
      <c r="H2226" s="82" t="n">
        <f aca="false">DATE(YEAR(A2226),MONTH(A2226),1)</f>
        <v>43952</v>
      </c>
    </row>
    <row r="2227" customFormat="false" ht="15" hidden="false" customHeight="false" outlineLevel="0" collapsed="false">
      <c r="A2227" s="81" t="n">
        <v>43975</v>
      </c>
      <c r="B2227" s="48" t="n">
        <v>846</v>
      </c>
      <c r="C2227" s="48" t="n">
        <v>13</v>
      </c>
      <c r="D2227" s="48" t="n">
        <v>146</v>
      </c>
      <c r="E2227" s="48" t="s">
        <v>112</v>
      </c>
      <c r="F2227" s="48" t="s">
        <v>70</v>
      </c>
      <c r="G2227" s="48" t="s">
        <v>91</v>
      </c>
      <c r="H2227" s="82" t="n">
        <f aca="false">DATE(YEAR(A2227),MONTH(A2227),1)</f>
        <v>43952</v>
      </c>
    </row>
    <row r="2228" customFormat="false" ht="15" hidden="false" customHeight="false" outlineLevel="0" collapsed="false">
      <c r="A2228" s="81" t="n">
        <v>43975</v>
      </c>
      <c r="B2228" s="48" t="n">
        <v>12</v>
      </c>
      <c r="C2228" s="48" t="n">
        <v>1</v>
      </c>
      <c r="D2228" s="48" t="n">
        <v>2</v>
      </c>
      <c r="E2228" s="48" t="s">
        <v>112</v>
      </c>
      <c r="F2228" s="48" t="s">
        <v>76</v>
      </c>
      <c r="G2228" s="48" t="s">
        <v>595</v>
      </c>
      <c r="H2228" s="82" t="n">
        <f aca="false">DATE(YEAR(A2228),MONTH(A2228),1)</f>
        <v>43952</v>
      </c>
    </row>
    <row r="2229" customFormat="false" ht="15" hidden="false" customHeight="false" outlineLevel="0" collapsed="false">
      <c r="A2229" s="81" t="n">
        <v>43975</v>
      </c>
      <c r="B2229" s="48" t="n">
        <v>101</v>
      </c>
      <c r="C2229" s="48" t="n">
        <v>1</v>
      </c>
      <c r="D2229" s="48" t="n">
        <v>15</v>
      </c>
      <c r="E2229" s="48" t="s">
        <v>112</v>
      </c>
      <c r="F2229" s="48" t="s">
        <v>73</v>
      </c>
      <c r="G2229" s="48" t="s">
        <v>93</v>
      </c>
      <c r="H2229" s="82" t="n">
        <f aca="false">DATE(YEAR(A2229),MONTH(A2229),1)</f>
        <v>43952</v>
      </c>
    </row>
    <row r="2230" customFormat="false" ht="15" hidden="false" customHeight="false" outlineLevel="0" collapsed="false">
      <c r="A2230" s="81" t="n">
        <v>43975</v>
      </c>
      <c r="B2230" s="48" t="n">
        <v>520</v>
      </c>
      <c r="C2230" s="48" t="n">
        <v>5</v>
      </c>
      <c r="D2230" s="48" t="n">
        <v>41</v>
      </c>
      <c r="E2230" s="48" t="s">
        <v>112</v>
      </c>
      <c r="F2230" s="48" t="s">
        <v>71</v>
      </c>
      <c r="G2230" s="48" t="s">
        <v>92</v>
      </c>
      <c r="H2230" s="82" t="n">
        <f aca="false">DATE(YEAR(A2230),MONTH(A2230),1)</f>
        <v>43952</v>
      </c>
    </row>
    <row r="2231" customFormat="false" ht="15" hidden="false" customHeight="false" outlineLevel="0" collapsed="false">
      <c r="A2231" s="81" t="n">
        <v>43976</v>
      </c>
      <c r="B2231" s="48" t="n">
        <v>87</v>
      </c>
      <c r="C2231" s="48" t="n">
        <v>1</v>
      </c>
      <c r="D2231" s="48" t="n">
        <v>0</v>
      </c>
      <c r="E2231" s="48" t="s">
        <v>112</v>
      </c>
      <c r="F2231" s="48" t="s">
        <v>74</v>
      </c>
      <c r="G2231" s="48" t="s">
        <v>95</v>
      </c>
      <c r="H2231" s="82" t="n">
        <f aca="false">DATE(YEAR(A2231),MONTH(A2231),1)</f>
        <v>43952</v>
      </c>
    </row>
    <row r="2232" customFormat="false" ht="15" hidden="false" customHeight="false" outlineLevel="0" collapsed="false">
      <c r="A2232" s="81" t="n">
        <v>43976</v>
      </c>
      <c r="B2232" s="48" t="n">
        <v>5</v>
      </c>
      <c r="C2232" s="48" t="n">
        <v>1</v>
      </c>
      <c r="D2232" s="48" t="n">
        <v>0</v>
      </c>
      <c r="E2232" s="48" t="s">
        <v>112</v>
      </c>
      <c r="F2232" s="48" t="s">
        <v>75</v>
      </c>
      <c r="G2232" s="48" t="s">
        <v>103</v>
      </c>
      <c r="H2232" s="82" t="n">
        <f aca="false">DATE(YEAR(A2232),MONTH(A2232),1)</f>
        <v>43952</v>
      </c>
    </row>
    <row r="2233" customFormat="false" ht="15" hidden="false" customHeight="false" outlineLevel="0" collapsed="false">
      <c r="A2233" s="81" t="n">
        <v>43976</v>
      </c>
      <c r="B2233" s="48" t="n">
        <v>5</v>
      </c>
      <c r="C2233" s="48" t="n">
        <v>0</v>
      </c>
      <c r="D2233" s="48" t="n">
        <v>0</v>
      </c>
      <c r="E2233" s="48" t="s">
        <v>112</v>
      </c>
      <c r="F2233" s="48" t="s">
        <v>75</v>
      </c>
      <c r="G2233" s="48" t="s">
        <v>650</v>
      </c>
      <c r="H2233" s="82" t="n">
        <f aca="false">DATE(YEAR(A2233),MONTH(A2233),1)</f>
        <v>43952</v>
      </c>
    </row>
    <row r="2234" customFormat="false" ht="15" hidden="false" customHeight="false" outlineLevel="0" collapsed="false">
      <c r="A2234" s="81" t="n">
        <v>43976</v>
      </c>
      <c r="B2234" s="48" t="n">
        <v>1</v>
      </c>
      <c r="C2234" s="48" t="n">
        <v>0</v>
      </c>
      <c r="D2234" s="48" t="n">
        <v>0</v>
      </c>
      <c r="E2234" s="48" t="s">
        <v>112</v>
      </c>
      <c r="F2234" s="48" t="s">
        <v>75</v>
      </c>
      <c r="G2234" s="48" t="s">
        <v>649</v>
      </c>
      <c r="H2234" s="82" t="n">
        <f aca="false">DATE(YEAR(A2234),MONTH(A2234),1)</f>
        <v>43952</v>
      </c>
    </row>
    <row r="2235" customFormat="false" ht="15" hidden="false" customHeight="false" outlineLevel="0" collapsed="false">
      <c r="A2235" s="81" t="n">
        <v>43976</v>
      </c>
      <c r="B2235" s="48" t="n">
        <v>0</v>
      </c>
      <c r="C2235" s="48" t="n">
        <v>0</v>
      </c>
      <c r="D2235" s="48" t="n">
        <v>2</v>
      </c>
      <c r="E2235" s="48" t="s">
        <v>112</v>
      </c>
      <c r="F2235" s="48" t="s">
        <v>75</v>
      </c>
      <c r="G2235" s="48" t="s">
        <v>654</v>
      </c>
      <c r="H2235" s="82" t="n">
        <f aca="false">DATE(YEAR(A2235),MONTH(A2235),1)</f>
        <v>43952</v>
      </c>
    </row>
    <row r="2236" customFormat="false" ht="15" hidden="false" customHeight="false" outlineLevel="0" collapsed="false">
      <c r="A2236" s="81" t="n">
        <v>43976</v>
      </c>
      <c r="B2236" s="48" t="n">
        <v>0</v>
      </c>
      <c r="C2236" s="48" t="n">
        <v>0</v>
      </c>
      <c r="D2236" s="48" t="n">
        <v>2</v>
      </c>
      <c r="E2236" s="48" t="s">
        <v>112</v>
      </c>
      <c r="F2236" s="48" t="s">
        <v>75</v>
      </c>
      <c r="G2236" s="48" t="s">
        <v>617</v>
      </c>
      <c r="H2236" s="82" t="n">
        <f aca="false">DATE(YEAR(A2236),MONTH(A2236),1)</f>
        <v>43952</v>
      </c>
    </row>
    <row r="2237" customFormat="false" ht="15" hidden="false" customHeight="false" outlineLevel="0" collapsed="false">
      <c r="A2237" s="81" t="n">
        <v>43976</v>
      </c>
      <c r="B2237" s="48" t="n">
        <v>0</v>
      </c>
      <c r="C2237" s="48" t="n">
        <v>0</v>
      </c>
      <c r="D2237" s="48" t="n">
        <v>1</v>
      </c>
      <c r="E2237" s="48" t="s">
        <v>112</v>
      </c>
      <c r="F2237" s="48" t="s">
        <v>75</v>
      </c>
      <c r="G2237" s="48" t="s">
        <v>629</v>
      </c>
      <c r="H2237" s="82" t="n">
        <f aca="false">DATE(YEAR(A2237),MONTH(A2237),1)</f>
        <v>43952</v>
      </c>
    </row>
    <row r="2238" customFormat="false" ht="15" hidden="false" customHeight="false" outlineLevel="0" collapsed="false">
      <c r="A2238" s="81" t="n">
        <v>43976</v>
      </c>
      <c r="B2238" s="48" t="n">
        <v>71</v>
      </c>
      <c r="C2238" s="48" t="n">
        <v>5</v>
      </c>
      <c r="D2238" s="48" t="n">
        <v>17</v>
      </c>
      <c r="E2238" s="48" t="s">
        <v>112</v>
      </c>
      <c r="F2238" s="48" t="s">
        <v>72</v>
      </c>
      <c r="G2238" s="48" t="s">
        <v>94</v>
      </c>
      <c r="H2238" s="82" t="n">
        <f aca="false">DATE(YEAR(A2238),MONTH(A2238),1)</f>
        <v>43952</v>
      </c>
    </row>
    <row r="2239" customFormat="false" ht="15" hidden="false" customHeight="false" outlineLevel="0" collapsed="false">
      <c r="A2239" s="81" t="n">
        <v>43976</v>
      </c>
      <c r="B2239" s="48" t="n">
        <v>1</v>
      </c>
      <c r="C2239" s="48" t="n">
        <v>0</v>
      </c>
      <c r="D2239" s="48" t="n">
        <v>0</v>
      </c>
      <c r="E2239" s="48" t="s">
        <v>112</v>
      </c>
      <c r="F2239" s="48" t="s">
        <v>72</v>
      </c>
      <c r="G2239" s="48" t="s">
        <v>597</v>
      </c>
      <c r="H2239" s="82" t="n">
        <f aca="false">DATE(YEAR(A2239),MONTH(A2239),1)</f>
        <v>43952</v>
      </c>
    </row>
    <row r="2240" customFormat="false" ht="15" hidden="false" customHeight="false" outlineLevel="0" collapsed="false">
      <c r="A2240" s="81" t="n">
        <v>43976</v>
      </c>
      <c r="B2240" s="48" t="n">
        <v>6</v>
      </c>
      <c r="C2240" s="48" t="n">
        <v>0</v>
      </c>
      <c r="D2240" s="48" t="n">
        <v>1</v>
      </c>
      <c r="E2240" s="48" t="s">
        <v>112</v>
      </c>
      <c r="F2240" s="48" t="s">
        <v>72</v>
      </c>
      <c r="G2240" s="48" t="s">
        <v>594</v>
      </c>
      <c r="H2240" s="82" t="n">
        <f aca="false">DATE(YEAR(A2240),MONTH(A2240),1)</f>
        <v>43952</v>
      </c>
    </row>
    <row r="2241" customFormat="false" ht="15" hidden="false" customHeight="false" outlineLevel="0" collapsed="false">
      <c r="A2241" s="81" t="n">
        <v>43976</v>
      </c>
      <c r="B2241" s="48" t="n">
        <v>0</v>
      </c>
      <c r="C2241" s="48" t="n">
        <v>1</v>
      </c>
      <c r="D2241" s="48" t="n">
        <v>1</v>
      </c>
      <c r="E2241" s="48" t="s">
        <v>112</v>
      </c>
      <c r="F2241" s="48" t="s">
        <v>72</v>
      </c>
      <c r="G2241" s="48" t="s">
        <v>599</v>
      </c>
      <c r="H2241" s="82" t="n">
        <f aca="false">DATE(YEAR(A2241),MONTH(A2241),1)</f>
        <v>43952</v>
      </c>
    </row>
    <row r="2242" customFormat="false" ht="15" hidden="false" customHeight="false" outlineLevel="0" collapsed="false">
      <c r="A2242" s="81" t="n">
        <v>43976</v>
      </c>
      <c r="B2242" s="48" t="n">
        <v>0</v>
      </c>
      <c r="C2242" s="48" t="n">
        <v>0</v>
      </c>
      <c r="D2242" s="48" t="n">
        <v>0</v>
      </c>
      <c r="E2242" s="48" t="s">
        <v>112</v>
      </c>
      <c r="F2242" s="48" t="s">
        <v>72</v>
      </c>
      <c r="G2242" s="48" t="s">
        <v>656</v>
      </c>
      <c r="H2242" s="82" t="n">
        <f aca="false">DATE(YEAR(A2242),MONTH(A2242),1)</f>
        <v>43952</v>
      </c>
    </row>
    <row r="2243" customFormat="false" ht="15" hidden="false" customHeight="false" outlineLevel="0" collapsed="false">
      <c r="A2243" s="81" t="n">
        <v>43976</v>
      </c>
      <c r="B2243" s="48" t="n">
        <v>13</v>
      </c>
      <c r="C2243" s="48" t="n">
        <v>0</v>
      </c>
      <c r="D2243" s="48" t="n">
        <v>3</v>
      </c>
      <c r="E2243" s="48" t="s">
        <v>112</v>
      </c>
      <c r="F2243" s="48" t="s">
        <v>72</v>
      </c>
      <c r="G2243" s="48" t="s">
        <v>102</v>
      </c>
      <c r="H2243" s="82" t="n">
        <f aca="false">DATE(YEAR(A2243),MONTH(A2243),1)</f>
        <v>43952</v>
      </c>
    </row>
    <row r="2244" customFormat="false" ht="15" hidden="false" customHeight="false" outlineLevel="0" collapsed="false">
      <c r="A2244" s="81" t="n">
        <v>43976</v>
      </c>
      <c r="B2244" s="48" t="n">
        <v>19</v>
      </c>
      <c r="C2244" s="48" t="n">
        <v>0</v>
      </c>
      <c r="D2244" s="48" t="n">
        <v>4</v>
      </c>
      <c r="E2244" s="48" t="s">
        <v>112</v>
      </c>
      <c r="F2244" s="48" t="s">
        <v>72</v>
      </c>
      <c r="G2244" s="48" t="s">
        <v>611</v>
      </c>
      <c r="H2244" s="82" t="n">
        <f aca="false">DATE(YEAR(A2244),MONTH(A2244),1)</f>
        <v>43952</v>
      </c>
    </row>
    <row r="2245" customFormat="false" ht="15" hidden="false" customHeight="false" outlineLevel="0" collapsed="false">
      <c r="A2245" s="81" t="n">
        <v>43976</v>
      </c>
      <c r="B2245" s="48" t="n">
        <v>20</v>
      </c>
      <c r="C2245" s="48" t="n">
        <v>1</v>
      </c>
      <c r="D2245" s="48" t="n">
        <v>6</v>
      </c>
      <c r="E2245" s="48" t="s">
        <v>112</v>
      </c>
      <c r="F2245" s="48" t="s">
        <v>72</v>
      </c>
      <c r="G2245" s="48" t="s">
        <v>96</v>
      </c>
      <c r="H2245" s="82" t="n">
        <f aca="false">DATE(YEAR(A2245),MONTH(A2245),1)</f>
        <v>43952</v>
      </c>
    </row>
    <row r="2246" customFormat="false" ht="15" hidden="false" customHeight="false" outlineLevel="0" collapsed="false">
      <c r="A2246" s="81" t="n">
        <v>43976</v>
      </c>
      <c r="B2246" s="48" t="n">
        <v>0</v>
      </c>
      <c r="C2246" s="48" t="n">
        <v>0</v>
      </c>
      <c r="D2246" s="48" t="n">
        <v>0</v>
      </c>
      <c r="E2246" s="48" t="s">
        <v>112</v>
      </c>
      <c r="F2246" s="48" t="s">
        <v>72</v>
      </c>
      <c r="G2246" s="48" t="s">
        <v>603</v>
      </c>
      <c r="H2246" s="82" t="n">
        <f aca="false">DATE(YEAR(A2246),MONTH(A2246),1)</f>
        <v>43952</v>
      </c>
    </row>
    <row r="2247" customFormat="false" ht="15" hidden="false" customHeight="false" outlineLevel="0" collapsed="false">
      <c r="A2247" s="81" t="n">
        <v>43976</v>
      </c>
      <c r="B2247" s="48" t="n">
        <v>7</v>
      </c>
      <c r="C2247" s="48" t="n">
        <v>0</v>
      </c>
      <c r="D2247" s="48" t="n">
        <v>1</v>
      </c>
      <c r="E2247" s="48" t="s">
        <v>112</v>
      </c>
      <c r="F2247" s="48" t="s">
        <v>72</v>
      </c>
      <c r="G2247" s="48" t="s">
        <v>591</v>
      </c>
      <c r="H2247" s="82" t="n">
        <f aca="false">DATE(YEAR(A2247),MONTH(A2247),1)</f>
        <v>43952</v>
      </c>
    </row>
    <row r="2248" customFormat="false" ht="15" hidden="false" customHeight="false" outlineLevel="0" collapsed="false">
      <c r="A2248" s="81" t="n">
        <v>43976</v>
      </c>
      <c r="B2248" s="48" t="n">
        <v>4</v>
      </c>
      <c r="C2248" s="48" t="n">
        <v>0</v>
      </c>
      <c r="D2248" s="48" t="n">
        <v>13</v>
      </c>
      <c r="E2248" s="48" t="s">
        <v>112</v>
      </c>
      <c r="F2248" s="48" t="s">
        <v>72</v>
      </c>
      <c r="G2248" s="48" t="s">
        <v>598</v>
      </c>
      <c r="H2248" s="82" t="n">
        <f aca="false">DATE(YEAR(A2248),MONTH(A2248),1)</f>
        <v>43952</v>
      </c>
    </row>
    <row r="2249" customFormat="false" ht="15" hidden="false" customHeight="false" outlineLevel="0" collapsed="false">
      <c r="A2249" s="81" t="n">
        <v>43976</v>
      </c>
      <c r="B2249" s="48" t="n">
        <v>0</v>
      </c>
      <c r="C2249" s="48" t="n">
        <v>0</v>
      </c>
      <c r="D2249" s="48" t="n">
        <v>0</v>
      </c>
      <c r="E2249" s="48" t="s">
        <v>112</v>
      </c>
      <c r="F2249" s="48" t="s">
        <v>72</v>
      </c>
      <c r="G2249" s="48" t="s">
        <v>609</v>
      </c>
      <c r="H2249" s="82" t="n">
        <f aca="false">DATE(YEAR(A2249),MONTH(A2249),1)</f>
        <v>43952</v>
      </c>
    </row>
    <row r="2250" customFormat="false" ht="15" hidden="false" customHeight="false" outlineLevel="0" collapsed="false">
      <c r="A2250" s="81" t="n">
        <v>43976</v>
      </c>
      <c r="B2250" s="48" t="n">
        <v>12</v>
      </c>
      <c r="C2250" s="48" t="n">
        <v>2</v>
      </c>
      <c r="D2250" s="48" t="n">
        <v>3</v>
      </c>
      <c r="E2250" s="48" t="s">
        <v>112</v>
      </c>
      <c r="F2250" s="48" t="s">
        <v>72</v>
      </c>
      <c r="G2250" s="48" t="s">
        <v>101</v>
      </c>
      <c r="H2250" s="82" t="n">
        <f aca="false">DATE(YEAR(A2250),MONTH(A2250),1)</f>
        <v>43952</v>
      </c>
    </row>
    <row r="2251" customFormat="false" ht="15" hidden="false" customHeight="false" outlineLevel="0" collapsed="false">
      <c r="A2251" s="81" t="n">
        <v>43976</v>
      </c>
      <c r="B2251" s="48" t="n">
        <v>1</v>
      </c>
      <c r="C2251" s="48" t="n">
        <v>0</v>
      </c>
      <c r="D2251" s="48" t="n">
        <v>0</v>
      </c>
      <c r="E2251" s="48" t="s">
        <v>112</v>
      </c>
      <c r="F2251" s="48" t="s">
        <v>72</v>
      </c>
      <c r="G2251" s="48" t="s">
        <v>643</v>
      </c>
      <c r="H2251" s="82" t="n">
        <f aca="false">DATE(YEAR(A2251),MONTH(A2251),1)</f>
        <v>43952</v>
      </c>
    </row>
    <row r="2252" customFormat="false" ht="15" hidden="false" customHeight="false" outlineLevel="0" collapsed="false">
      <c r="A2252" s="81" t="n">
        <v>43976</v>
      </c>
      <c r="B2252" s="48" t="n">
        <v>2</v>
      </c>
      <c r="C2252" s="48" t="n">
        <v>0</v>
      </c>
      <c r="D2252" s="48" t="n">
        <v>0</v>
      </c>
      <c r="E2252" s="48" t="s">
        <v>112</v>
      </c>
      <c r="F2252" s="48" t="s">
        <v>72</v>
      </c>
      <c r="G2252" s="48" t="s">
        <v>662</v>
      </c>
      <c r="H2252" s="82" t="n">
        <f aca="false">DATE(YEAR(A2252),MONTH(A2252),1)</f>
        <v>43952</v>
      </c>
    </row>
    <row r="2253" customFormat="false" ht="15" hidden="false" customHeight="false" outlineLevel="0" collapsed="false">
      <c r="A2253" s="81" t="n">
        <v>43976</v>
      </c>
      <c r="B2253" s="48" t="n">
        <v>5</v>
      </c>
      <c r="C2253" s="48" t="n">
        <v>1</v>
      </c>
      <c r="D2253" s="48" t="n">
        <v>5</v>
      </c>
      <c r="E2253" s="48" t="s">
        <v>112</v>
      </c>
      <c r="F2253" s="48" t="s">
        <v>72</v>
      </c>
      <c r="G2253" s="48" t="s">
        <v>600</v>
      </c>
      <c r="H2253" s="82" t="n">
        <f aca="false">DATE(YEAR(A2253),MONTH(A2253),1)</f>
        <v>43952</v>
      </c>
    </row>
    <row r="2254" customFormat="false" ht="15" hidden="false" customHeight="false" outlineLevel="0" collapsed="false">
      <c r="A2254" s="81" t="n">
        <v>43976</v>
      </c>
      <c r="B2254" s="48" t="n">
        <v>2</v>
      </c>
      <c r="C2254" s="48" t="n">
        <v>0</v>
      </c>
      <c r="D2254" s="48" t="n">
        <v>2</v>
      </c>
      <c r="E2254" s="48" t="s">
        <v>112</v>
      </c>
      <c r="F2254" s="48" t="s">
        <v>72</v>
      </c>
      <c r="G2254" s="48" t="s">
        <v>610</v>
      </c>
      <c r="H2254" s="82" t="n">
        <f aca="false">DATE(YEAR(A2254),MONTH(A2254),1)</f>
        <v>43952</v>
      </c>
    </row>
    <row r="2255" customFormat="false" ht="15" hidden="false" customHeight="false" outlineLevel="0" collapsed="false">
      <c r="A2255" s="81" t="n">
        <v>43976</v>
      </c>
      <c r="B2255" s="48" t="n">
        <v>9</v>
      </c>
      <c r="C2255" s="48" t="n">
        <v>0</v>
      </c>
      <c r="D2255" s="48" t="n">
        <v>3</v>
      </c>
      <c r="E2255" s="48" t="s">
        <v>112</v>
      </c>
      <c r="F2255" s="48" t="s">
        <v>72</v>
      </c>
      <c r="G2255" s="48" t="s">
        <v>593</v>
      </c>
      <c r="H2255" s="82" t="n">
        <f aca="false">DATE(YEAR(A2255),MONTH(A2255),1)</f>
        <v>43952</v>
      </c>
    </row>
    <row r="2256" customFormat="false" ht="15" hidden="false" customHeight="false" outlineLevel="0" collapsed="false">
      <c r="A2256" s="81" t="n">
        <v>43976</v>
      </c>
      <c r="B2256" s="48" t="n">
        <v>2</v>
      </c>
      <c r="C2256" s="48" t="n">
        <v>0</v>
      </c>
      <c r="D2256" s="48" t="n">
        <v>1</v>
      </c>
      <c r="E2256" s="48" t="s">
        <v>112</v>
      </c>
      <c r="F2256" s="48" t="s">
        <v>72</v>
      </c>
      <c r="G2256" s="48" t="s">
        <v>612</v>
      </c>
      <c r="H2256" s="82" t="n">
        <f aca="false">DATE(YEAR(A2256),MONTH(A2256),1)</f>
        <v>43952</v>
      </c>
    </row>
    <row r="2257" customFormat="false" ht="15" hidden="false" customHeight="false" outlineLevel="0" collapsed="false">
      <c r="A2257" s="81" t="n">
        <v>43976</v>
      </c>
      <c r="B2257" s="48" t="n">
        <v>0</v>
      </c>
      <c r="C2257" s="48" t="n">
        <v>0</v>
      </c>
      <c r="D2257" s="48" t="n">
        <v>0</v>
      </c>
      <c r="E2257" s="48" t="s">
        <v>112</v>
      </c>
      <c r="F2257" s="48" t="s">
        <v>72</v>
      </c>
      <c r="G2257" s="48" t="s">
        <v>685</v>
      </c>
      <c r="H2257" s="82" t="n">
        <f aca="false">DATE(YEAR(A2257),MONTH(A2257),1)</f>
        <v>43952</v>
      </c>
    </row>
    <row r="2258" customFormat="false" ht="15" hidden="false" customHeight="false" outlineLevel="0" collapsed="false">
      <c r="A2258" s="81" t="n">
        <v>43976</v>
      </c>
      <c r="B2258" s="48" t="n">
        <v>0</v>
      </c>
      <c r="C2258" s="48" t="n">
        <v>0</v>
      </c>
      <c r="D2258" s="48" t="n">
        <v>0</v>
      </c>
      <c r="E2258" s="48" t="s">
        <v>112</v>
      </c>
      <c r="F2258" s="48" t="s">
        <v>72</v>
      </c>
      <c r="G2258" s="48" t="s">
        <v>687</v>
      </c>
      <c r="H2258" s="82" t="n">
        <f aca="false">DATE(YEAR(A2258),MONTH(A2258),1)</f>
        <v>43952</v>
      </c>
    </row>
    <row r="2259" customFormat="false" ht="15" hidden="false" customHeight="false" outlineLevel="0" collapsed="false">
      <c r="A2259" s="81" t="n">
        <v>43976</v>
      </c>
      <c r="B2259" s="48" t="n">
        <v>0</v>
      </c>
      <c r="C2259" s="48" t="n">
        <v>0</v>
      </c>
      <c r="D2259" s="48" t="n">
        <v>0</v>
      </c>
      <c r="E2259" s="48" t="s">
        <v>112</v>
      </c>
      <c r="F2259" s="48" t="s">
        <v>72</v>
      </c>
      <c r="G2259" s="48" t="s">
        <v>682</v>
      </c>
      <c r="H2259" s="82" t="n">
        <f aca="false">DATE(YEAR(A2259),MONTH(A2259),1)</f>
        <v>43952</v>
      </c>
    </row>
    <row r="2260" customFormat="false" ht="15" hidden="false" customHeight="false" outlineLevel="0" collapsed="false">
      <c r="A2260" s="81" t="n">
        <v>43976</v>
      </c>
      <c r="B2260" s="48" t="n">
        <v>0</v>
      </c>
      <c r="C2260" s="48" t="n">
        <v>0</v>
      </c>
      <c r="D2260" s="48" t="n">
        <v>0</v>
      </c>
      <c r="E2260" s="48" t="s">
        <v>112</v>
      </c>
      <c r="F2260" s="48" t="s">
        <v>72</v>
      </c>
      <c r="G2260" s="48" t="s">
        <v>692</v>
      </c>
      <c r="H2260" s="82" t="n">
        <f aca="false">DATE(YEAR(A2260),MONTH(A2260),1)</f>
        <v>43952</v>
      </c>
    </row>
    <row r="2261" customFormat="false" ht="15" hidden="false" customHeight="false" outlineLevel="0" collapsed="false">
      <c r="A2261" s="81" t="n">
        <v>43976</v>
      </c>
      <c r="B2261" s="48" t="n">
        <v>0</v>
      </c>
      <c r="C2261" s="48" t="n">
        <v>0</v>
      </c>
      <c r="D2261" s="48" t="n">
        <v>0</v>
      </c>
      <c r="E2261" s="48" t="s">
        <v>112</v>
      </c>
      <c r="F2261" s="48" t="s">
        <v>72</v>
      </c>
      <c r="G2261" s="48" t="s">
        <v>613</v>
      </c>
      <c r="H2261" s="82" t="n">
        <f aca="false">DATE(YEAR(A2261),MONTH(A2261),1)</f>
        <v>43952</v>
      </c>
    </row>
    <row r="2262" customFormat="false" ht="15" hidden="false" customHeight="false" outlineLevel="0" collapsed="false">
      <c r="A2262" s="81" t="n">
        <v>43976</v>
      </c>
      <c r="B2262" s="48" t="n">
        <v>0</v>
      </c>
      <c r="C2262" s="48" t="n">
        <v>0</v>
      </c>
      <c r="D2262" s="48" t="n">
        <v>0</v>
      </c>
      <c r="E2262" s="48" t="s">
        <v>112</v>
      </c>
      <c r="F2262" s="48" t="s">
        <v>72</v>
      </c>
      <c r="G2262" s="48" t="s">
        <v>614</v>
      </c>
      <c r="H2262" s="82" t="n">
        <f aca="false">DATE(YEAR(A2262),MONTH(A2262),1)</f>
        <v>43952</v>
      </c>
    </row>
    <row r="2263" customFormat="false" ht="15" hidden="false" customHeight="false" outlineLevel="0" collapsed="false">
      <c r="A2263" s="81" t="n">
        <v>43976</v>
      </c>
      <c r="B2263" s="48" t="n">
        <v>0</v>
      </c>
      <c r="C2263" s="48" t="n">
        <v>0</v>
      </c>
      <c r="D2263" s="48" t="n">
        <v>0</v>
      </c>
      <c r="E2263" s="48" t="s">
        <v>112</v>
      </c>
      <c r="F2263" s="48" t="s">
        <v>72</v>
      </c>
      <c r="G2263" s="48" t="s">
        <v>655</v>
      </c>
      <c r="H2263" s="82" t="n">
        <f aca="false">DATE(YEAR(A2263),MONTH(A2263),1)</f>
        <v>43952</v>
      </c>
    </row>
    <row r="2264" customFormat="false" ht="15" hidden="false" customHeight="false" outlineLevel="0" collapsed="false">
      <c r="A2264" s="81" t="n">
        <v>43976</v>
      </c>
      <c r="B2264" s="48" t="n">
        <v>0</v>
      </c>
      <c r="C2264" s="48" t="n">
        <v>0</v>
      </c>
      <c r="D2264" s="48" t="n">
        <v>0</v>
      </c>
      <c r="E2264" s="48" t="s">
        <v>112</v>
      </c>
      <c r="F2264" s="48" t="s">
        <v>72</v>
      </c>
      <c r="G2264" s="48" t="s">
        <v>608</v>
      </c>
      <c r="H2264" s="82" t="n">
        <f aca="false">DATE(YEAR(A2264),MONTH(A2264),1)</f>
        <v>43952</v>
      </c>
    </row>
    <row r="2265" customFormat="false" ht="15" hidden="false" customHeight="false" outlineLevel="0" collapsed="false">
      <c r="A2265" s="81" t="n">
        <v>43976</v>
      </c>
      <c r="B2265" s="48" t="n">
        <v>0</v>
      </c>
      <c r="C2265" s="48" t="n">
        <v>0</v>
      </c>
      <c r="D2265" s="48" t="n">
        <v>0</v>
      </c>
      <c r="E2265" s="48" t="s">
        <v>112</v>
      </c>
      <c r="F2265" s="48" t="s">
        <v>72</v>
      </c>
      <c r="G2265" s="48" t="s">
        <v>615</v>
      </c>
      <c r="H2265" s="82" t="n">
        <f aca="false">DATE(YEAR(A2265),MONTH(A2265),1)</f>
        <v>43952</v>
      </c>
    </row>
    <row r="2266" customFormat="false" ht="15" hidden="false" customHeight="false" outlineLevel="0" collapsed="false">
      <c r="A2266" s="81" t="n">
        <v>43976</v>
      </c>
      <c r="B2266" s="48" t="n">
        <v>0</v>
      </c>
      <c r="C2266" s="48" t="n">
        <v>0</v>
      </c>
      <c r="D2266" s="48" t="n">
        <v>0</v>
      </c>
      <c r="E2266" s="48" t="s">
        <v>112</v>
      </c>
      <c r="F2266" s="48" t="s">
        <v>72</v>
      </c>
      <c r="G2266" s="48" t="s">
        <v>666</v>
      </c>
      <c r="H2266" s="82" t="n">
        <f aca="false">DATE(YEAR(A2266),MONTH(A2266),1)</f>
        <v>43952</v>
      </c>
    </row>
    <row r="2267" customFormat="false" ht="15" hidden="false" customHeight="false" outlineLevel="0" collapsed="false">
      <c r="A2267" s="81" t="n">
        <v>43976</v>
      </c>
      <c r="B2267" s="48" t="n">
        <v>0</v>
      </c>
      <c r="C2267" s="48" t="n">
        <v>0</v>
      </c>
      <c r="D2267" s="48" t="n">
        <v>0</v>
      </c>
      <c r="E2267" s="48" t="s">
        <v>112</v>
      </c>
      <c r="F2267" s="48" t="s">
        <v>72</v>
      </c>
      <c r="G2267" s="48" t="s">
        <v>621</v>
      </c>
      <c r="H2267" s="82" t="n">
        <f aca="false">DATE(YEAR(A2267),MONTH(A2267),1)</f>
        <v>43952</v>
      </c>
    </row>
    <row r="2268" customFormat="false" ht="15" hidden="false" customHeight="false" outlineLevel="0" collapsed="false">
      <c r="A2268" s="81" t="n">
        <v>43976</v>
      </c>
      <c r="B2268" s="48" t="n">
        <v>0</v>
      </c>
      <c r="C2268" s="48" t="n">
        <v>0</v>
      </c>
      <c r="D2268" s="48" t="n">
        <v>0</v>
      </c>
      <c r="E2268" s="48" t="s">
        <v>112</v>
      </c>
      <c r="F2268" s="48" t="s">
        <v>72</v>
      </c>
      <c r="G2268" s="48" t="s">
        <v>664</v>
      </c>
      <c r="H2268" s="82" t="n">
        <f aca="false">DATE(YEAR(A2268),MONTH(A2268),1)</f>
        <v>43952</v>
      </c>
    </row>
    <row r="2269" customFormat="false" ht="15" hidden="false" customHeight="false" outlineLevel="0" collapsed="false">
      <c r="A2269" s="81" t="n">
        <v>43976</v>
      </c>
      <c r="B2269" s="48" t="n">
        <v>1</v>
      </c>
      <c r="C2269" s="48" t="n">
        <v>0</v>
      </c>
      <c r="D2269" s="48" t="n">
        <v>0</v>
      </c>
      <c r="E2269" s="48" t="s">
        <v>112</v>
      </c>
      <c r="F2269" s="48" t="s">
        <v>72</v>
      </c>
      <c r="G2269" s="48" t="s">
        <v>667</v>
      </c>
      <c r="H2269" s="82" t="n">
        <f aca="false">DATE(YEAR(A2269),MONTH(A2269),1)</f>
        <v>43952</v>
      </c>
    </row>
    <row r="2270" customFormat="false" ht="15" hidden="false" customHeight="false" outlineLevel="0" collapsed="false">
      <c r="A2270" s="81" t="n">
        <v>43976</v>
      </c>
      <c r="B2270" s="48" t="n">
        <v>0</v>
      </c>
      <c r="C2270" s="48" t="n">
        <v>0</v>
      </c>
      <c r="D2270" s="48" t="n">
        <v>0</v>
      </c>
      <c r="E2270" s="48" t="s">
        <v>112</v>
      </c>
      <c r="F2270" s="48" t="s">
        <v>72</v>
      </c>
      <c r="G2270" s="48" t="s">
        <v>607</v>
      </c>
      <c r="H2270" s="82" t="n">
        <f aca="false">DATE(YEAR(A2270),MONTH(A2270),1)</f>
        <v>43952</v>
      </c>
    </row>
    <row r="2271" customFormat="false" ht="15" hidden="false" customHeight="false" outlineLevel="0" collapsed="false">
      <c r="A2271" s="81" t="n">
        <v>43976</v>
      </c>
      <c r="B2271" s="48" t="n">
        <v>0</v>
      </c>
      <c r="C2271" s="48" t="n">
        <v>0</v>
      </c>
      <c r="D2271" s="48" t="n">
        <v>0</v>
      </c>
      <c r="E2271" s="48" t="s">
        <v>112</v>
      </c>
      <c r="F2271" s="48" t="s">
        <v>72</v>
      </c>
      <c r="G2271" s="48" t="s">
        <v>673</v>
      </c>
      <c r="H2271" s="82" t="n">
        <f aca="false">DATE(YEAR(A2271),MONTH(A2271),1)</f>
        <v>43952</v>
      </c>
    </row>
    <row r="2272" customFormat="false" ht="15" hidden="false" customHeight="false" outlineLevel="0" collapsed="false">
      <c r="A2272" s="81" t="n">
        <v>43976</v>
      </c>
      <c r="B2272" s="48" t="n">
        <v>0</v>
      </c>
      <c r="C2272" s="48" t="n">
        <v>0</v>
      </c>
      <c r="D2272" s="48" t="n">
        <v>0</v>
      </c>
      <c r="E2272" s="48" t="s">
        <v>112</v>
      </c>
      <c r="F2272" s="48" t="s">
        <v>72</v>
      </c>
      <c r="G2272" s="48" t="s">
        <v>676</v>
      </c>
      <c r="H2272" s="82" t="n">
        <f aca="false">DATE(YEAR(A2272),MONTH(A2272),1)</f>
        <v>43952</v>
      </c>
    </row>
    <row r="2273" customFormat="false" ht="15" hidden="false" customHeight="false" outlineLevel="0" collapsed="false">
      <c r="A2273" s="81" t="n">
        <v>43976</v>
      </c>
      <c r="B2273" s="48" t="n">
        <v>443</v>
      </c>
      <c r="C2273" s="48" t="n">
        <v>2</v>
      </c>
      <c r="D2273" s="48" t="n">
        <v>614</v>
      </c>
      <c r="E2273" s="48" t="s">
        <v>112</v>
      </c>
      <c r="F2273" s="48" t="s">
        <v>70</v>
      </c>
      <c r="G2273" s="48" t="s">
        <v>91</v>
      </c>
      <c r="H2273" s="82" t="n">
        <f aca="false">DATE(YEAR(A2273),MONTH(A2273),1)</f>
        <v>43952</v>
      </c>
    </row>
    <row r="2274" customFormat="false" ht="15" hidden="false" customHeight="false" outlineLevel="0" collapsed="false">
      <c r="A2274" s="81" t="n">
        <v>43976</v>
      </c>
      <c r="B2274" s="48" t="n">
        <v>2</v>
      </c>
      <c r="C2274" s="48" t="n">
        <v>0</v>
      </c>
      <c r="D2274" s="48" t="n">
        <v>0</v>
      </c>
      <c r="E2274" s="48" t="s">
        <v>112</v>
      </c>
      <c r="F2274" s="48" t="s">
        <v>76</v>
      </c>
      <c r="G2274" s="48" t="s">
        <v>595</v>
      </c>
      <c r="H2274" s="82" t="n">
        <f aca="false">DATE(YEAR(A2274),MONTH(A2274),1)</f>
        <v>43952</v>
      </c>
    </row>
    <row r="2275" customFormat="false" ht="15" hidden="false" customHeight="false" outlineLevel="0" collapsed="false">
      <c r="A2275" s="81" t="n">
        <v>43976</v>
      </c>
      <c r="B2275" s="48" t="n">
        <v>61</v>
      </c>
      <c r="C2275" s="48" t="n">
        <v>1</v>
      </c>
      <c r="D2275" s="48" t="n">
        <v>118</v>
      </c>
      <c r="E2275" s="48" t="s">
        <v>112</v>
      </c>
      <c r="F2275" s="48" t="s">
        <v>73</v>
      </c>
      <c r="G2275" s="48" t="s">
        <v>93</v>
      </c>
      <c r="H2275" s="82" t="n">
        <f aca="false">DATE(YEAR(A2275),MONTH(A2275),1)</f>
        <v>43952</v>
      </c>
    </row>
    <row r="2276" customFormat="false" ht="15" hidden="false" customHeight="false" outlineLevel="0" collapsed="false">
      <c r="A2276" s="81" t="n">
        <v>43976</v>
      </c>
      <c r="B2276" s="48" t="n">
        <v>577</v>
      </c>
      <c r="C2276" s="48" t="n">
        <v>15</v>
      </c>
      <c r="D2276" s="48" t="n">
        <v>33</v>
      </c>
      <c r="E2276" s="48" t="s">
        <v>112</v>
      </c>
      <c r="F2276" s="48" t="s">
        <v>71</v>
      </c>
      <c r="G2276" s="48" t="s">
        <v>92</v>
      </c>
      <c r="H2276" s="82" t="n">
        <f aca="false">DATE(YEAR(A2276),MONTH(A2276),1)</f>
        <v>43952</v>
      </c>
    </row>
    <row r="2277" customFormat="false" ht="15" hidden="false" customHeight="false" outlineLevel="0" collapsed="false">
      <c r="A2277" s="81" t="n">
        <v>43977</v>
      </c>
      <c r="B2277" s="48" t="n">
        <v>151</v>
      </c>
      <c r="C2277" s="48" t="n">
        <v>1</v>
      </c>
      <c r="D2277" s="48" t="n">
        <v>0</v>
      </c>
      <c r="E2277" s="48" t="s">
        <v>112</v>
      </c>
      <c r="F2277" s="48" t="s">
        <v>74</v>
      </c>
      <c r="G2277" s="48" t="s">
        <v>95</v>
      </c>
      <c r="H2277" s="82" t="n">
        <f aca="false">DATE(YEAR(A2277),MONTH(A2277),1)</f>
        <v>43952</v>
      </c>
    </row>
    <row r="2278" customFormat="false" ht="15" hidden="false" customHeight="false" outlineLevel="0" collapsed="false">
      <c r="A2278" s="81" t="n">
        <v>43977</v>
      </c>
      <c r="B2278" s="48" t="n">
        <v>0</v>
      </c>
      <c r="C2278" s="48" t="n">
        <v>1</v>
      </c>
      <c r="D2278" s="48" t="n">
        <v>0</v>
      </c>
      <c r="E2278" s="48" t="s">
        <v>112</v>
      </c>
      <c r="F2278" s="48" t="s">
        <v>75</v>
      </c>
      <c r="G2278" s="48" t="s">
        <v>103</v>
      </c>
      <c r="H2278" s="82" t="n">
        <f aca="false">DATE(YEAR(A2278),MONTH(A2278),1)</f>
        <v>43952</v>
      </c>
    </row>
    <row r="2279" customFormat="false" ht="15" hidden="false" customHeight="false" outlineLevel="0" collapsed="false">
      <c r="A2279" s="81" t="n">
        <v>43977</v>
      </c>
      <c r="B2279" s="48" t="n">
        <v>1</v>
      </c>
      <c r="C2279" s="48" t="n">
        <v>0</v>
      </c>
      <c r="D2279" s="48" t="n">
        <v>0</v>
      </c>
      <c r="E2279" s="48" t="s">
        <v>112</v>
      </c>
      <c r="F2279" s="48" t="s">
        <v>75</v>
      </c>
      <c r="G2279" s="48" t="s">
        <v>646</v>
      </c>
      <c r="H2279" s="82" t="n">
        <f aca="false">DATE(YEAR(A2279),MONTH(A2279),1)</f>
        <v>43952</v>
      </c>
    </row>
    <row r="2280" customFormat="false" ht="15" hidden="false" customHeight="false" outlineLevel="0" collapsed="false">
      <c r="A2280" s="81" t="n">
        <v>43977</v>
      </c>
      <c r="B2280" s="48" t="n">
        <v>1</v>
      </c>
      <c r="C2280" s="48" t="n">
        <v>0</v>
      </c>
      <c r="D2280" s="48" t="n">
        <v>0</v>
      </c>
      <c r="E2280" s="48" t="s">
        <v>112</v>
      </c>
      <c r="F2280" s="48" t="s">
        <v>75</v>
      </c>
      <c r="G2280" s="48" t="s">
        <v>650</v>
      </c>
      <c r="H2280" s="82" t="n">
        <f aca="false">DATE(YEAR(A2280),MONTH(A2280),1)</f>
        <v>43952</v>
      </c>
    </row>
    <row r="2281" customFormat="false" ht="15" hidden="false" customHeight="false" outlineLevel="0" collapsed="false">
      <c r="A2281" s="81" t="n">
        <v>43977</v>
      </c>
      <c r="B2281" s="48" t="n">
        <v>0</v>
      </c>
      <c r="C2281" s="48" t="n">
        <v>0</v>
      </c>
      <c r="D2281" s="48" t="n">
        <v>1</v>
      </c>
      <c r="E2281" s="48" t="s">
        <v>112</v>
      </c>
      <c r="F2281" s="48" t="s">
        <v>75</v>
      </c>
      <c r="G2281" s="48" t="s">
        <v>658</v>
      </c>
      <c r="H2281" s="82" t="n">
        <f aca="false">DATE(YEAR(A2281),MONTH(A2281),1)</f>
        <v>43952</v>
      </c>
    </row>
    <row r="2282" customFormat="false" ht="15" hidden="false" customHeight="false" outlineLevel="0" collapsed="false">
      <c r="A2282" s="81" t="n">
        <v>43977</v>
      </c>
      <c r="B2282" s="48" t="n">
        <v>0</v>
      </c>
      <c r="C2282" s="48" t="n">
        <v>0</v>
      </c>
      <c r="D2282" s="48" t="n">
        <v>8</v>
      </c>
      <c r="E2282" s="48" t="s">
        <v>112</v>
      </c>
      <c r="F2282" s="48" t="s">
        <v>75</v>
      </c>
      <c r="G2282" s="48" t="s">
        <v>629</v>
      </c>
      <c r="H2282" s="82" t="n">
        <f aca="false">DATE(YEAR(A2282),MONTH(A2282),1)</f>
        <v>43952</v>
      </c>
    </row>
    <row r="2283" customFormat="false" ht="15" hidden="false" customHeight="false" outlineLevel="0" collapsed="false">
      <c r="A2283" s="81" t="n">
        <v>43977</v>
      </c>
      <c r="B2283" s="48" t="n">
        <v>60</v>
      </c>
      <c r="C2283" s="48" t="n">
        <v>2</v>
      </c>
      <c r="D2283" s="48" t="n">
        <v>19</v>
      </c>
      <c r="E2283" s="48" t="s">
        <v>112</v>
      </c>
      <c r="F2283" s="48" t="s">
        <v>72</v>
      </c>
      <c r="G2283" s="48" t="s">
        <v>94</v>
      </c>
      <c r="H2283" s="82" t="n">
        <f aca="false">DATE(YEAR(A2283),MONTH(A2283),1)</f>
        <v>43952</v>
      </c>
    </row>
    <row r="2284" customFormat="false" ht="15" hidden="false" customHeight="false" outlineLevel="0" collapsed="false">
      <c r="A2284" s="81" t="n">
        <v>43977</v>
      </c>
      <c r="B2284" s="48" t="n">
        <v>16</v>
      </c>
      <c r="C2284" s="48" t="n">
        <v>0</v>
      </c>
      <c r="D2284" s="48" t="n">
        <v>1</v>
      </c>
      <c r="E2284" s="48" t="s">
        <v>112</v>
      </c>
      <c r="F2284" s="48" t="s">
        <v>72</v>
      </c>
      <c r="G2284" s="48" t="s">
        <v>597</v>
      </c>
      <c r="H2284" s="82" t="n">
        <f aca="false">DATE(YEAR(A2284),MONTH(A2284),1)</f>
        <v>43952</v>
      </c>
    </row>
    <row r="2285" customFormat="false" ht="15" hidden="false" customHeight="false" outlineLevel="0" collapsed="false">
      <c r="A2285" s="81" t="n">
        <v>43977</v>
      </c>
      <c r="B2285" s="48" t="n">
        <v>0</v>
      </c>
      <c r="C2285" s="48" t="n">
        <v>0</v>
      </c>
      <c r="D2285" s="48" t="n">
        <v>0</v>
      </c>
      <c r="E2285" s="48" t="s">
        <v>112</v>
      </c>
      <c r="F2285" s="48" t="s">
        <v>72</v>
      </c>
      <c r="G2285" s="48" t="s">
        <v>594</v>
      </c>
      <c r="H2285" s="82" t="n">
        <f aca="false">DATE(YEAR(A2285),MONTH(A2285),1)</f>
        <v>43952</v>
      </c>
    </row>
    <row r="2286" customFormat="false" ht="15" hidden="false" customHeight="false" outlineLevel="0" collapsed="false">
      <c r="A2286" s="81" t="n">
        <v>43977</v>
      </c>
      <c r="B2286" s="48" t="n">
        <v>0</v>
      </c>
      <c r="C2286" s="48" t="n">
        <v>0</v>
      </c>
      <c r="D2286" s="48" t="n">
        <v>0</v>
      </c>
      <c r="E2286" s="48" t="s">
        <v>112</v>
      </c>
      <c r="F2286" s="48" t="s">
        <v>72</v>
      </c>
      <c r="G2286" s="48" t="s">
        <v>599</v>
      </c>
      <c r="H2286" s="82" t="n">
        <f aca="false">DATE(YEAR(A2286),MONTH(A2286),1)</f>
        <v>43952</v>
      </c>
    </row>
    <row r="2287" customFormat="false" ht="15" hidden="false" customHeight="false" outlineLevel="0" collapsed="false">
      <c r="A2287" s="81" t="n">
        <v>43977</v>
      </c>
      <c r="B2287" s="48" t="n">
        <v>0</v>
      </c>
      <c r="C2287" s="48" t="n">
        <v>0</v>
      </c>
      <c r="D2287" s="48" t="n">
        <v>0</v>
      </c>
      <c r="E2287" s="48" t="s">
        <v>112</v>
      </c>
      <c r="F2287" s="48" t="s">
        <v>72</v>
      </c>
      <c r="G2287" s="48" t="s">
        <v>656</v>
      </c>
      <c r="H2287" s="82" t="n">
        <f aca="false">DATE(YEAR(A2287),MONTH(A2287),1)</f>
        <v>43952</v>
      </c>
    </row>
    <row r="2288" customFormat="false" ht="15" hidden="false" customHeight="false" outlineLevel="0" collapsed="false">
      <c r="A2288" s="81" t="n">
        <v>43977</v>
      </c>
      <c r="B2288" s="48" t="n">
        <v>2</v>
      </c>
      <c r="C2288" s="48" t="n">
        <v>0</v>
      </c>
      <c r="D2288" s="48" t="n">
        <v>3</v>
      </c>
      <c r="E2288" s="48" t="s">
        <v>112</v>
      </c>
      <c r="F2288" s="48" t="s">
        <v>72</v>
      </c>
      <c r="G2288" s="48" t="s">
        <v>102</v>
      </c>
      <c r="H2288" s="82" t="n">
        <f aca="false">DATE(YEAR(A2288),MONTH(A2288),1)</f>
        <v>43952</v>
      </c>
    </row>
    <row r="2289" customFormat="false" ht="15" hidden="false" customHeight="false" outlineLevel="0" collapsed="false">
      <c r="A2289" s="81" t="n">
        <v>43977</v>
      </c>
      <c r="B2289" s="48" t="n">
        <v>4</v>
      </c>
      <c r="C2289" s="48" t="n">
        <v>0</v>
      </c>
      <c r="D2289" s="48" t="n">
        <v>0</v>
      </c>
      <c r="E2289" s="48" t="s">
        <v>112</v>
      </c>
      <c r="F2289" s="48" t="s">
        <v>72</v>
      </c>
      <c r="G2289" s="48" t="s">
        <v>611</v>
      </c>
      <c r="H2289" s="82" t="n">
        <f aca="false">DATE(YEAR(A2289),MONTH(A2289),1)</f>
        <v>43952</v>
      </c>
    </row>
    <row r="2290" customFormat="false" ht="15" hidden="false" customHeight="false" outlineLevel="0" collapsed="false">
      <c r="A2290" s="81" t="n">
        <v>43977</v>
      </c>
      <c r="B2290" s="48" t="n">
        <v>31</v>
      </c>
      <c r="C2290" s="48" t="n">
        <v>4</v>
      </c>
      <c r="D2290" s="48" t="n">
        <v>2</v>
      </c>
      <c r="E2290" s="48" t="s">
        <v>112</v>
      </c>
      <c r="F2290" s="48" t="s">
        <v>72</v>
      </c>
      <c r="G2290" s="48" t="s">
        <v>96</v>
      </c>
      <c r="H2290" s="82" t="n">
        <f aca="false">DATE(YEAR(A2290),MONTH(A2290),1)</f>
        <v>43952</v>
      </c>
    </row>
    <row r="2291" customFormat="false" ht="15" hidden="false" customHeight="false" outlineLevel="0" collapsed="false">
      <c r="A2291" s="81" t="n">
        <v>43977</v>
      </c>
      <c r="B2291" s="48" t="n">
        <v>2</v>
      </c>
      <c r="C2291" s="48" t="n">
        <v>0</v>
      </c>
      <c r="D2291" s="48" t="n">
        <v>5</v>
      </c>
      <c r="E2291" s="48" t="s">
        <v>112</v>
      </c>
      <c r="F2291" s="48" t="s">
        <v>72</v>
      </c>
      <c r="G2291" s="48" t="s">
        <v>603</v>
      </c>
      <c r="H2291" s="82" t="n">
        <f aca="false">DATE(YEAR(A2291),MONTH(A2291),1)</f>
        <v>43952</v>
      </c>
    </row>
    <row r="2292" customFormat="false" ht="15" hidden="false" customHeight="false" outlineLevel="0" collapsed="false">
      <c r="A2292" s="81" t="n">
        <v>43977</v>
      </c>
      <c r="B2292" s="48" t="n">
        <v>17</v>
      </c>
      <c r="C2292" s="48" t="n">
        <v>0</v>
      </c>
      <c r="D2292" s="48" t="n">
        <v>1</v>
      </c>
      <c r="E2292" s="48" t="s">
        <v>112</v>
      </c>
      <c r="F2292" s="48" t="s">
        <v>72</v>
      </c>
      <c r="G2292" s="48" t="s">
        <v>591</v>
      </c>
      <c r="H2292" s="82" t="n">
        <f aca="false">DATE(YEAR(A2292),MONTH(A2292),1)</f>
        <v>43952</v>
      </c>
    </row>
    <row r="2293" customFormat="false" ht="15" hidden="false" customHeight="false" outlineLevel="0" collapsed="false">
      <c r="A2293" s="81" t="n">
        <v>43977</v>
      </c>
      <c r="B2293" s="48" t="n">
        <v>3</v>
      </c>
      <c r="C2293" s="48" t="n">
        <v>0</v>
      </c>
      <c r="D2293" s="48" t="n">
        <v>2</v>
      </c>
      <c r="E2293" s="48" t="s">
        <v>112</v>
      </c>
      <c r="F2293" s="48" t="s">
        <v>72</v>
      </c>
      <c r="G2293" s="48" t="s">
        <v>598</v>
      </c>
      <c r="H2293" s="82" t="n">
        <f aca="false">DATE(YEAR(A2293),MONTH(A2293),1)</f>
        <v>43952</v>
      </c>
    </row>
    <row r="2294" customFormat="false" ht="15" hidden="false" customHeight="false" outlineLevel="0" collapsed="false">
      <c r="A2294" s="81" t="n">
        <v>43977</v>
      </c>
      <c r="B2294" s="48" t="n">
        <v>8</v>
      </c>
      <c r="C2294" s="48" t="n">
        <v>0</v>
      </c>
      <c r="D2294" s="48" t="n">
        <v>7</v>
      </c>
      <c r="E2294" s="48" t="s">
        <v>112</v>
      </c>
      <c r="F2294" s="48" t="s">
        <v>72</v>
      </c>
      <c r="G2294" s="48" t="s">
        <v>609</v>
      </c>
      <c r="H2294" s="82" t="n">
        <f aca="false">DATE(YEAR(A2294),MONTH(A2294),1)</f>
        <v>43952</v>
      </c>
    </row>
    <row r="2295" customFormat="false" ht="15" hidden="false" customHeight="false" outlineLevel="0" collapsed="false">
      <c r="A2295" s="81" t="n">
        <v>43977</v>
      </c>
      <c r="B2295" s="48" t="n">
        <v>4</v>
      </c>
      <c r="C2295" s="48" t="n">
        <v>1</v>
      </c>
      <c r="D2295" s="48" t="n">
        <v>4</v>
      </c>
      <c r="E2295" s="48" t="s">
        <v>112</v>
      </c>
      <c r="F2295" s="48" t="s">
        <v>72</v>
      </c>
      <c r="G2295" s="48" t="s">
        <v>101</v>
      </c>
      <c r="H2295" s="82" t="n">
        <f aca="false">DATE(YEAR(A2295),MONTH(A2295),1)</f>
        <v>43952</v>
      </c>
    </row>
    <row r="2296" customFormat="false" ht="15" hidden="false" customHeight="false" outlineLevel="0" collapsed="false">
      <c r="A2296" s="81" t="n">
        <v>43977</v>
      </c>
      <c r="B2296" s="48" t="n">
        <v>2</v>
      </c>
      <c r="C2296" s="48" t="n">
        <v>0</v>
      </c>
      <c r="D2296" s="48" t="n">
        <v>3</v>
      </c>
      <c r="E2296" s="48" t="s">
        <v>112</v>
      </c>
      <c r="F2296" s="48" t="s">
        <v>72</v>
      </c>
      <c r="G2296" s="48" t="s">
        <v>643</v>
      </c>
      <c r="H2296" s="82" t="n">
        <f aca="false">DATE(YEAR(A2296),MONTH(A2296),1)</f>
        <v>43952</v>
      </c>
    </row>
    <row r="2297" customFormat="false" ht="15" hidden="false" customHeight="false" outlineLevel="0" collapsed="false">
      <c r="A2297" s="81" t="n">
        <v>43977</v>
      </c>
      <c r="B2297" s="48" t="n">
        <v>0</v>
      </c>
      <c r="C2297" s="48" t="n">
        <v>0</v>
      </c>
      <c r="D2297" s="48" t="n">
        <v>0</v>
      </c>
      <c r="E2297" s="48" t="s">
        <v>112</v>
      </c>
      <c r="F2297" s="48" t="s">
        <v>72</v>
      </c>
      <c r="G2297" s="48" t="s">
        <v>662</v>
      </c>
      <c r="H2297" s="82" t="n">
        <f aca="false">DATE(YEAR(A2297),MONTH(A2297),1)</f>
        <v>43952</v>
      </c>
    </row>
    <row r="2298" customFormat="false" ht="15" hidden="false" customHeight="false" outlineLevel="0" collapsed="false">
      <c r="A2298" s="81" t="n">
        <v>43977</v>
      </c>
      <c r="B2298" s="48" t="n">
        <v>4</v>
      </c>
      <c r="C2298" s="48" t="n">
        <v>1</v>
      </c>
      <c r="D2298" s="48" t="n">
        <v>0</v>
      </c>
      <c r="E2298" s="48" t="s">
        <v>112</v>
      </c>
      <c r="F2298" s="48" t="s">
        <v>72</v>
      </c>
      <c r="G2298" s="48" t="s">
        <v>600</v>
      </c>
      <c r="H2298" s="82" t="n">
        <f aca="false">DATE(YEAR(A2298),MONTH(A2298),1)</f>
        <v>43952</v>
      </c>
    </row>
    <row r="2299" customFormat="false" ht="15" hidden="false" customHeight="false" outlineLevel="0" collapsed="false">
      <c r="A2299" s="81" t="n">
        <v>43977</v>
      </c>
      <c r="B2299" s="48" t="n">
        <v>0</v>
      </c>
      <c r="C2299" s="48" t="n">
        <v>0</v>
      </c>
      <c r="D2299" s="48" t="n">
        <v>0</v>
      </c>
      <c r="E2299" s="48" t="s">
        <v>112</v>
      </c>
      <c r="F2299" s="48" t="s">
        <v>72</v>
      </c>
      <c r="G2299" s="48" t="s">
        <v>610</v>
      </c>
      <c r="H2299" s="82" t="n">
        <f aca="false">DATE(YEAR(A2299),MONTH(A2299),1)</f>
        <v>43952</v>
      </c>
    </row>
    <row r="2300" customFormat="false" ht="15" hidden="false" customHeight="false" outlineLevel="0" collapsed="false">
      <c r="A2300" s="81" t="n">
        <v>43977</v>
      </c>
      <c r="B2300" s="48" t="n">
        <v>17</v>
      </c>
      <c r="C2300" s="48" t="n">
        <v>0</v>
      </c>
      <c r="D2300" s="48" t="n">
        <v>0</v>
      </c>
      <c r="E2300" s="48" t="s">
        <v>112</v>
      </c>
      <c r="F2300" s="48" t="s">
        <v>72</v>
      </c>
      <c r="G2300" s="48" t="s">
        <v>593</v>
      </c>
      <c r="H2300" s="82" t="n">
        <f aca="false">DATE(YEAR(A2300),MONTH(A2300),1)</f>
        <v>43952</v>
      </c>
    </row>
    <row r="2301" customFormat="false" ht="15" hidden="false" customHeight="false" outlineLevel="0" collapsed="false">
      <c r="A2301" s="81" t="n">
        <v>43977</v>
      </c>
      <c r="B2301" s="48" t="n">
        <v>3</v>
      </c>
      <c r="C2301" s="48" t="n">
        <v>0</v>
      </c>
      <c r="D2301" s="48" t="n">
        <v>0</v>
      </c>
      <c r="E2301" s="48" t="s">
        <v>112</v>
      </c>
      <c r="F2301" s="48" t="s">
        <v>72</v>
      </c>
      <c r="G2301" s="48" t="s">
        <v>612</v>
      </c>
      <c r="H2301" s="82" t="n">
        <f aca="false">DATE(YEAR(A2301),MONTH(A2301),1)</f>
        <v>43952</v>
      </c>
    </row>
    <row r="2302" customFormat="false" ht="15" hidden="false" customHeight="false" outlineLevel="0" collapsed="false">
      <c r="A2302" s="81" t="n">
        <v>43977</v>
      </c>
      <c r="B2302" s="48" t="n">
        <v>0</v>
      </c>
      <c r="C2302" s="48" t="n">
        <v>0</v>
      </c>
      <c r="D2302" s="48" t="n">
        <v>0</v>
      </c>
      <c r="E2302" s="48" t="s">
        <v>112</v>
      </c>
      <c r="F2302" s="48" t="s">
        <v>72</v>
      </c>
      <c r="G2302" s="48" t="s">
        <v>685</v>
      </c>
      <c r="H2302" s="82" t="n">
        <f aca="false">DATE(YEAR(A2302),MONTH(A2302),1)</f>
        <v>43952</v>
      </c>
    </row>
    <row r="2303" customFormat="false" ht="15" hidden="false" customHeight="false" outlineLevel="0" collapsed="false">
      <c r="A2303" s="81" t="n">
        <v>43977</v>
      </c>
      <c r="B2303" s="48" t="n">
        <v>0</v>
      </c>
      <c r="C2303" s="48" t="n">
        <v>0</v>
      </c>
      <c r="D2303" s="48" t="n">
        <v>0</v>
      </c>
      <c r="E2303" s="48" t="s">
        <v>112</v>
      </c>
      <c r="F2303" s="48" t="s">
        <v>72</v>
      </c>
      <c r="G2303" s="48" t="s">
        <v>687</v>
      </c>
      <c r="H2303" s="82" t="n">
        <f aca="false">DATE(YEAR(A2303),MONTH(A2303),1)</f>
        <v>43952</v>
      </c>
    </row>
    <row r="2304" customFormat="false" ht="15" hidden="false" customHeight="false" outlineLevel="0" collapsed="false">
      <c r="A2304" s="81" t="n">
        <v>43977</v>
      </c>
      <c r="B2304" s="48" t="n">
        <v>0</v>
      </c>
      <c r="C2304" s="48" t="n">
        <v>0</v>
      </c>
      <c r="D2304" s="48" t="n">
        <v>0</v>
      </c>
      <c r="E2304" s="48" t="s">
        <v>112</v>
      </c>
      <c r="F2304" s="48" t="s">
        <v>72</v>
      </c>
      <c r="G2304" s="48" t="s">
        <v>682</v>
      </c>
      <c r="H2304" s="82" t="n">
        <f aca="false">DATE(YEAR(A2304),MONTH(A2304),1)</f>
        <v>43952</v>
      </c>
    </row>
    <row r="2305" customFormat="false" ht="15" hidden="false" customHeight="false" outlineLevel="0" collapsed="false">
      <c r="A2305" s="81" t="n">
        <v>43977</v>
      </c>
      <c r="B2305" s="48" t="n">
        <v>0</v>
      </c>
      <c r="C2305" s="48" t="n">
        <v>0</v>
      </c>
      <c r="D2305" s="48" t="n">
        <v>0</v>
      </c>
      <c r="E2305" s="48" t="s">
        <v>112</v>
      </c>
      <c r="F2305" s="48" t="s">
        <v>72</v>
      </c>
      <c r="G2305" s="48" t="s">
        <v>692</v>
      </c>
      <c r="H2305" s="82" t="n">
        <f aca="false">DATE(YEAR(A2305),MONTH(A2305),1)</f>
        <v>43952</v>
      </c>
    </row>
    <row r="2306" customFormat="false" ht="15" hidden="false" customHeight="false" outlineLevel="0" collapsed="false">
      <c r="A2306" s="81" t="n">
        <v>43977</v>
      </c>
      <c r="B2306" s="48" t="n">
        <v>2</v>
      </c>
      <c r="C2306" s="48" t="n">
        <v>0</v>
      </c>
      <c r="D2306" s="48" t="n">
        <v>0</v>
      </c>
      <c r="E2306" s="48" t="s">
        <v>112</v>
      </c>
      <c r="F2306" s="48" t="s">
        <v>72</v>
      </c>
      <c r="G2306" s="48" t="s">
        <v>613</v>
      </c>
      <c r="H2306" s="82" t="n">
        <f aca="false">DATE(YEAR(A2306),MONTH(A2306),1)</f>
        <v>43952</v>
      </c>
    </row>
    <row r="2307" customFormat="false" ht="15" hidden="false" customHeight="false" outlineLevel="0" collapsed="false">
      <c r="A2307" s="81" t="n">
        <v>43977</v>
      </c>
      <c r="B2307" s="48" t="n">
        <v>0</v>
      </c>
      <c r="C2307" s="48" t="n">
        <v>0</v>
      </c>
      <c r="D2307" s="48" t="n">
        <v>2</v>
      </c>
      <c r="E2307" s="48" t="s">
        <v>112</v>
      </c>
      <c r="F2307" s="48" t="s">
        <v>72</v>
      </c>
      <c r="G2307" s="48" t="s">
        <v>614</v>
      </c>
      <c r="H2307" s="82" t="n">
        <f aca="false">DATE(YEAR(A2307),MONTH(A2307),1)</f>
        <v>43952</v>
      </c>
    </row>
    <row r="2308" customFormat="false" ht="15" hidden="false" customHeight="false" outlineLevel="0" collapsed="false">
      <c r="A2308" s="81" t="n">
        <v>43977</v>
      </c>
      <c r="B2308" s="48" t="n">
        <v>0</v>
      </c>
      <c r="C2308" s="48" t="n">
        <v>0</v>
      </c>
      <c r="D2308" s="48" t="n">
        <v>0</v>
      </c>
      <c r="E2308" s="48" t="s">
        <v>112</v>
      </c>
      <c r="F2308" s="48" t="s">
        <v>72</v>
      </c>
      <c r="G2308" s="48" t="s">
        <v>655</v>
      </c>
      <c r="H2308" s="82" t="n">
        <f aca="false">DATE(YEAR(A2308),MONTH(A2308),1)</f>
        <v>43952</v>
      </c>
    </row>
    <row r="2309" customFormat="false" ht="15" hidden="false" customHeight="false" outlineLevel="0" collapsed="false">
      <c r="A2309" s="81" t="n">
        <v>43977</v>
      </c>
      <c r="B2309" s="48" t="n">
        <v>4</v>
      </c>
      <c r="C2309" s="48" t="n">
        <v>0</v>
      </c>
      <c r="D2309" s="48" t="n">
        <v>0</v>
      </c>
      <c r="E2309" s="48" t="s">
        <v>112</v>
      </c>
      <c r="F2309" s="48" t="s">
        <v>72</v>
      </c>
      <c r="G2309" s="48" t="s">
        <v>608</v>
      </c>
      <c r="H2309" s="82" t="n">
        <f aca="false">DATE(YEAR(A2309),MONTH(A2309),1)</f>
        <v>43952</v>
      </c>
    </row>
    <row r="2310" customFormat="false" ht="15" hidden="false" customHeight="false" outlineLevel="0" collapsed="false">
      <c r="A2310" s="81" t="n">
        <v>43977</v>
      </c>
      <c r="B2310" s="48" t="n">
        <v>0</v>
      </c>
      <c r="C2310" s="48" t="n">
        <v>0</v>
      </c>
      <c r="D2310" s="48" t="n">
        <v>0</v>
      </c>
      <c r="E2310" s="48" t="s">
        <v>112</v>
      </c>
      <c r="F2310" s="48" t="s">
        <v>72</v>
      </c>
      <c r="G2310" s="48" t="s">
        <v>615</v>
      </c>
      <c r="H2310" s="82" t="n">
        <f aca="false">DATE(YEAR(A2310),MONTH(A2310),1)</f>
        <v>43952</v>
      </c>
    </row>
    <row r="2311" customFormat="false" ht="15" hidden="false" customHeight="false" outlineLevel="0" collapsed="false">
      <c r="A2311" s="81" t="n">
        <v>43977</v>
      </c>
      <c r="B2311" s="48" t="n">
        <v>0</v>
      </c>
      <c r="C2311" s="48" t="n">
        <v>0</v>
      </c>
      <c r="D2311" s="48" t="n">
        <v>0</v>
      </c>
      <c r="E2311" s="48" t="s">
        <v>112</v>
      </c>
      <c r="F2311" s="48" t="s">
        <v>72</v>
      </c>
      <c r="G2311" s="48" t="s">
        <v>666</v>
      </c>
      <c r="H2311" s="82" t="n">
        <f aca="false">DATE(YEAR(A2311),MONTH(A2311),1)</f>
        <v>43952</v>
      </c>
    </row>
    <row r="2312" customFormat="false" ht="15" hidden="false" customHeight="false" outlineLevel="0" collapsed="false">
      <c r="A2312" s="81" t="n">
        <v>43977</v>
      </c>
      <c r="B2312" s="48" t="n">
        <v>0</v>
      </c>
      <c r="C2312" s="48" t="n">
        <v>0</v>
      </c>
      <c r="D2312" s="48" t="n">
        <v>0</v>
      </c>
      <c r="E2312" s="48" t="s">
        <v>112</v>
      </c>
      <c r="F2312" s="48" t="s">
        <v>72</v>
      </c>
      <c r="G2312" s="48" t="s">
        <v>621</v>
      </c>
      <c r="H2312" s="82" t="n">
        <f aca="false">DATE(YEAR(A2312),MONTH(A2312),1)</f>
        <v>43952</v>
      </c>
    </row>
    <row r="2313" customFormat="false" ht="15" hidden="false" customHeight="false" outlineLevel="0" collapsed="false">
      <c r="A2313" s="81" t="n">
        <v>43977</v>
      </c>
      <c r="B2313" s="48" t="n">
        <v>0</v>
      </c>
      <c r="C2313" s="48" t="n">
        <v>0</v>
      </c>
      <c r="D2313" s="48" t="n">
        <v>0</v>
      </c>
      <c r="E2313" s="48" t="s">
        <v>112</v>
      </c>
      <c r="F2313" s="48" t="s">
        <v>72</v>
      </c>
      <c r="G2313" s="48" t="s">
        <v>664</v>
      </c>
      <c r="H2313" s="82" t="n">
        <f aca="false">DATE(YEAR(A2313),MONTH(A2313),1)</f>
        <v>43952</v>
      </c>
    </row>
    <row r="2314" customFormat="false" ht="15" hidden="false" customHeight="false" outlineLevel="0" collapsed="false">
      <c r="A2314" s="81" t="n">
        <v>43977</v>
      </c>
      <c r="B2314" s="48" t="n">
        <v>0</v>
      </c>
      <c r="C2314" s="48" t="n">
        <v>0</v>
      </c>
      <c r="D2314" s="48" t="n">
        <v>0</v>
      </c>
      <c r="E2314" s="48" t="s">
        <v>112</v>
      </c>
      <c r="F2314" s="48" t="s">
        <v>72</v>
      </c>
      <c r="G2314" s="48" t="s">
        <v>667</v>
      </c>
      <c r="H2314" s="82" t="n">
        <f aca="false">DATE(YEAR(A2314),MONTH(A2314),1)</f>
        <v>43952</v>
      </c>
    </row>
    <row r="2315" customFormat="false" ht="15" hidden="false" customHeight="false" outlineLevel="0" collapsed="false">
      <c r="A2315" s="81" t="n">
        <v>43977</v>
      </c>
      <c r="B2315" s="48" t="n">
        <v>0</v>
      </c>
      <c r="C2315" s="48" t="n">
        <v>0</v>
      </c>
      <c r="D2315" s="48" t="n">
        <v>0</v>
      </c>
      <c r="E2315" s="48" t="s">
        <v>112</v>
      </c>
      <c r="F2315" s="48" t="s">
        <v>72</v>
      </c>
      <c r="G2315" s="48" t="s">
        <v>607</v>
      </c>
      <c r="H2315" s="82" t="n">
        <f aca="false">DATE(YEAR(A2315),MONTH(A2315),1)</f>
        <v>43952</v>
      </c>
    </row>
    <row r="2316" customFormat="false" ht="15" hidden="false" customHeight="false" outlineLevel="0" collapsed="false">
      <c r="A2316" s="81" t="n">
        <v>43977</v>
      </c>
      <c r="B2316" s="48" t="n">
        <v>0</v>
      </c>
      <c r="C2316" s="48" t="n">
        <v>0</v>
      </c>
      <c r="D2316" s="48" t="n">
        <v>0</v>
      </c>
      <c r="E2316" s="48" t="s">
        <v>112</v>
      </c>
      <c r="F2316" s="48" t="s">
        <v>72</v>
      </c>
      <c r="G2316" s="48" t="s">
        <v>673</v>
      </c>
      <c r="H2316" s="82" t="n">
        <f aca="false">DATE(YEAR(A2316),MONTH(A2316),1)</f>
        <v>43952</v>
      </c>
    </row>
    <row r="2317" customFormat="false" ht="15" hidden="false" customHeight="false" outlineLevel="0" collapsed="false">
      <c r="A2317" s="81" t="n">
        <v>43977</v>
      </c>
      <c r="B2317" s="48" t="n">
        <v>0</v>
      </c>
      <c r="C2317" s="48" t="n">
        <v>0</v>
      </c>
      <c r="D2317" s="48" t="n">
        <v>0</v>
      </c>
      <c r="E2317" s="48" t="s">
        <v>112</v>
      </c>
      <c r="F2317" s="48" t="s">
        <v>72</v>
      </c>
      <c r="G2317" s="48" t="s">
        <v>676</v>
      </c>
      <c r="H2317" s="82" t="n">
        <f aca="false">DATE(YEAR(A2317),MONTH(A2317),1)</f>
        <v>43952</v>
      </c>
    </row>
    <row r="2318" customFormat="false" ht="15" hidden="false" customHeight="false" outlineLevel="0" collapsed="false">
      <c r="A2318" s="81" t="n">
        <v>43977</v>
      </c>
      <c r="B2318" s="48" t="n">
        <v>573</v>
      </c>
      <c r="C2318" s="48" t="n">
        <v>5</v>
      </c>
      <c r="D2318" s="48" t="n">
        <v>542</v>
      </c>
      <c r="E2318" s="48" t="s">
        <v>112</v>
      </c>
      <c r="F2318" s="48" t="s">
        <v>70</v>
      </c>
      <c r="G2318" s="48" t="s">
        <v>91</v>
      </c>
      <c r="H2318" s="82" t="n">
        <f aca="false">DATE(YEAR(A2318),MONTH(A2318),1)</f>
        <v>43952</v>
      </c>
    </row>
    <row r="2319" customFormat="false" ht="15" hidden="false" customHeight="false" outlineLevel="0" collapsed="false">
      <c r="A2319" s="81" t="n">
        <v>43977</v>
      </c>
      <c r="B2319" s="48" t="n">
        <v>3</v>
      </c>
      <c r="C2319" s="48" t="n">
        <v>2</v>
      </c>
      <c r="D2319" s="48" t="n">
        <v>0</v>
      </c>
      <c r="E2319" s="48" t="s">
        <v>112</v>
      </c>
      <c r="F2319" s="48" t="s">
        <v>76</v>
      </c>
      <c r="G2319" s="48" t="s">
        <v>595</v>
      </c>
      <c r="H2319" s="82" t="n">
        <f aca="false">DATE(YEAR(A2319),MONTH(A2319),1)</f>
        <v>43952</v>
      </c>
    </row>
    <row r="2320" customFormat="false" ht="15" hidden="false" customHeight="false" outlineLevel="0" collapsed="false">
      <c r="A2320" s="81" t="n">
        <v>43977</v>
      </c>
      <c r="B2320" s="48" t="n">
        <v>68</v>
      </c>
      <c r="C2320" s="48" t="n">
        <v>0</v>
      </c>
      <c r="D2320" s="48" t="n">
        <v>163</v>
      </c>
      <c r="E2320" s="48" t="s">
        <v>112</v>
      </c>
      <c r="F2320" s="48" t="s">
        <v>73</v>
      </c>
      <c r="G2320" s="48" t="s">
        <v>93</v>
      </c>
      <c r="H2320" s="82" t="n">
        <f aca="false">DATE(YEAR(A2320),MONTH(A2320),1)</f>
        <v>43952</v>
      </c>
    </row>
    <row r="2321" customFormat="false" ht="15" hidden="false" customHeight="false" outlineLevel="0" collapsed="false">
      <c r="A2321" s="81" t="n">
        <v>43977</v>
      </c>
      <c r="B2321" s="48" t="n">
        <v>464</v>
      </c>
      <c r="C2321" s="48" t="n">
        <v>10</v>
      </c>
      <c r="D2321" s="48" t="n">
        <v>61</v>
      </c>
      <c r="E2321" s="48" t="s">
        <v>112</v>
      </c>
      <c r="F2321" s="48" t="s">
        <v>71</v>
      </c>
      <c r="G2321" s="48" t="s">
        <v>92</v>
      </c>
      <c r="H2321" s="82" t="n">
        <f aca="false">DATE(YEAR(A2321),MONTH(A2321),1)</f>
        <v>43952</v>
      </c>
    </row>
    <row r="2322" customFormat="false" ht="15" hidden="false" customHeight="false" outlineLevel="0" collapsed="false">
      <c r="A2322" s="81" t="n">
        <v>43978</v>
      </c>
      <c r="B2322" s="48" t="n">
        <v>136</v>
      </c>
      <c r="C2322" s="48" t="n">
        <v>1</v>
      </c>
      <c r="D2322" s="48" t="n">
        <v>0</v>
      </c>
      <c r="E2322" s="48" t="s">
        <v>112</v>
      </c>
      <c r="F2322" s="48" t="s">
        <v>74</v>
      </c>
      <c r="G2322" s="48" t="s">
        <v>95</v>
      </c>
      <c r="H2322" s="82" t="n">
        <f aca="false">DATE(YEAR(A2322),MONTH(A2322),1)</f>
        <v>43952</v>
      </c>
    </row>
    <row r="2323" customFormat="false" ht="15" hidden="false" customHeight="false" outlineLevel="0" collapsed="false">
      <c r="A2323" s="81" t="n">
        <v>43978</v>
      </c>
      <c r="B2323" s="48" t="n">
        <v>699</v>
      </c>
      <c r="C2323" s="48" t="n">
        <v>6</v>
      </c>
      <c r="D2323" s="48" t="n">
        <v>755</v>
      </c>
      <c r="E2323" s="48" t="s">
        <v>112</v>
      </c>
      <c r="F2323" s="48" t="s">
        <v>70</v>
      </c>
      <c r="G2323" s="48" t="s">
        <v>91</v>
      </c>
      <c r="H2323" s="82" t="n">
        <f aca="false">DATE(YEAR(A2323),MONTH(A2323),1)</f>
        <v>43952</v>
      </c>
    </row>
    <row r="2324" customFormat="false" ht="15" hidden="false" customHeight="false" outlineLevel="0" collapsed="false">
      <c r="A2324" s="81" t="n">
        <v>43978</v>
      </c>
      <c r="B2324" s="48" t="n">
        <v>79</v>
      </c>
      <c r="C2324" s="48" t="n">
        <v>7</v>
      </c>
      <c r="D2324" s="48" t="n">
        <v>6</v>
      </c>
      <c r="E2324" s="48" t="s">
        <v>112</v>
      </c>
      <c r="F2324" s="48" t="s">
        <v>72</v>
      </c>
      <c r="G2324" s="48" t="s">
        <v>94</v>
      </c>
      <c r="H2324" s="82" t="n">
        <f aca="false">DATE(YEAR(A2324),MONTH(A2324),1)</f>
        <v>43952</v>
      </c>
    </row>
    <row r="2325" customFormat="false" ht="15" hidden="false" customHeight="false" outlineLevel="0" collapsed="false">
      <c r="A2325" s="81" t="n">
        <v>43978</v>
      </c>
      <c r="B2325" s="48" t="n">
        <v>2</v>
      </c>
      <c r="C2325" s="48" t="n">
        <v>0</v>
      </c>
      <c r="D2325" s="48" t="n">
        <v>0</v>
      </c>
      <c r="E2325" s="48" t="s">
        <v>112</v>
      </c>
      <c r="F2325" s="48" t="s">
        <v>72</v>
      </c>
      <c r="G2325" s="48" t="s">
        <v>597</v>
      </c>
      <c r="H2325" s="82" t="n">
        <f aca="false">DATE(YEAR(A2325),MONTH(A2325),1)</f>
        <v>43952</v>
      </c>
    </row>
    <row r="2326" customFormat="false" ht="15" hidden="false" customHeight="false" outlineLevel="0" collapsed="false">
      <c r="A2326" s="81" t="n">
        <v>43978</v>
      </c>
      <c r="B2326" s="48" t="n">
        <v>5</v>
      </c>
      <c r="C2326" s="48" t="n">
        <v>0</v>
      </c>
      <c r="D2326" s="48" t="n">
        <v>5</v>
      </c>
      <c r="E2326" s="48" t="s">
        <v>112</v>
      </c>
      <c r="F2326" s="48" t="s">
        <v>72</v>
      </c>
      <c r="G2326" s="48" t="s">
        <v>594</v>
      </c>
      <c r="H2326" s="82" t="n">
        <f aca="false">DATE(YEAR(A2326),MONTH(A2326),1)</f>
        <v>43952</v>
      </c>
    </row>
    <row r="2327" customFormat="false" ht="15" hidden="false" customHeight="false" outlineLevel="0" collapsed="false">
      <c r="A2327" s="81" t="n">
        <v>43978</v>
      </c>
      <c r="B2327" s="48" t="n">
        <v>1</v>
      </c>
      <c r="C2327" s="48" t="n">
        <v>0</v>
      </c>
      <c r="D2327" s="48" t="n">
        <v>3</v>
      </c>
      <c r="E2327" s="48" t="s">
        <v>112</v>
      </c>
      <c r="F2327" s="48" t="s">
        <v>72</v>
      </c>
      <c r="G2327" s="48" t="s">
        <v>599</v>
      </c>
      <c r="H2327" s="82" t="n">
        <f aca="false">DATE(YEAR(A2327),MONTH(A2327),1)</f>
        <v>43952</v>
      </c>
    </row>
    <row r="2328" customFormat="false" ht="15" hidden="false" customHeight="false" outlineLevel="0" collapsed="false">
      <c r="A2328" s="81" t="n">
        <v>43978</v>
      </c>
      <c r="B2328" s="48" t="n">
        <v>0</v>
      </c>
      <c r="C2328" s="48" t="n">
        <v>0</v>
      </c>
      <c r="D2328" s="48" t="n">
        <v>0</v>
      </c>
      <c r="E2328" s="48" t="s">
        <v>112</v>
      </c>
      <c r="F2328" s="48" t="s">
        <v>72</v>
      </c>
      <c r="G2328" s="48" t="s">
        <v>656</v>
      </c>
      <c r="H2328" s="82" t="n">
        <f aca="false">DATE(YEAR(A2328),MONTH(A2328),1)</f>
        <v>43952</v>
      </c>
    </row>
    <row r="2329" customFormat="false" ht="15" hidden="false" customHeight="false" outlineLevel="0" collapsed="false">
      <c r="A2329" s="81" t="n">
        <v>43978</v>
      </c>
      <c r="B2329" s="48" t="n">
        <v>7</v>
      </c>
      <c r="C2329" s="48" t="n">
        <v>0</v>
      </c>
      <c r="D2329" s="48" t="n">
        <v>12</v>
      </c>
      <c r="E2329" s="48" t="s">
        <v>112</v>
      </c>
      <c r="F2329" s="48" t="s">
        <v>72</v>
      </c>
      <c r="G2329" s="48" t="s">
        <v>102</v>
      </c>
      <c r="H2329" s="82" t="n">
        <f aca="false">DATE(YEAR(A2329),MONTH(A2329),1)</f>
        <v>43952</v>
      </c>
    </row>
    <row r="2330" customFormat="false" ht="15" hidden="false" customHeight="false" outlineLevel="0" collapsed="false">
      <c r="A2330" s="81" t="n">
        <v>43978</v>
      </c>
      <c r="B2330" s="48" t="n">
        <v>4</v>
      </c>
      <c r="C2330" s="48" t="n">
        <v>0</v>
      </c>
      <c r="D2330" s="48" t="n">
        <v>3</v>
      </c>
      <c r="E2330" s="48" t="s">
        <v>112</v>
      </c>
      <c r="F2330" s="48" t="s">
        <v>72</v>
      </c>
      <c r="G2330" s="48" t="s">
        <v>611</v>
      </c>
      <c r="H2330" s="82" t="n">
        <f aca="false">DATE(YEAR(A2330),MONTH(A2330),1)</f>
        <v>43952</v>
      </c>
    </row>
    <row r="2331" customFormat="false" ht="15" hidden="false" customHeight="false" outlineLevel="0" collapsed="false">
      <c r="A2331" s="81" t="n">
        <v>43978</v>
      </c>
      <c r="B2331" s="48" t="n">
        <v>1</v>
      </c>
      <c r="C2331" s="48" t="n">
        <v>1</v>
      </c>
      <c r="D2331" s="48" t="n">
        <v>0</v>
      </c>
      <c r="E2331" s="48" t="s">
        <v>112</v>
      </c>
      <c r="F2331" s="48" t="s">
        <v>72</v>
      </c>
      <c r="G2331" s="48" t="s">
        <v>96</v>
      </c>
      <c r="H2331" s="82" t="n">
        <f aca="false">DATE(YEAR(A2331),MONTH(A2331),1)</f>
        <v>43952</v>
      </c>
    </row>
    <row r="2332" customFormat="false" ht="15" hidden="false" customHeight="false" outlineLevel="0" collapsed="false">
      <c r="A2332" s="81" t="n">
        <v>43978</v>
      </c>
      <c r="B2332" s="48" t="n">
        <v>0</v>
      </c>
      <c r="C2332" s="48" t="n">
        <v>0</v>
      </c>
      <c r="D2332" s="48" t="n">
        <v>0</v>
      </c>
      <c r="E2332" s="48" t="s">
        <v>112</v>
      </c>
      <c r="F2332" s="48" t="s">
        <v>72</v>
      </c>
      <c r="G2332" s="48" t="s">
        <v>603</v>
      </c>
      <c r="H2332" s="82" t="n">
        <f aca="false">DATE(YEAR(A2332),MONTH(A2332),1)</f>
        <v>43952</v>
      </c>
    </row>
    <row r="2333" customFormat="false" ht="15" hidden="false" customHeight="false" outlineLevel="0" collapsed="false">
      <c r="A2333" s="81" t="n">
        <v>43978</v>
      </c>
      <c r="B2333" s="48" t="n">
        <v>10</v>
      </c>
      <c r="C2333" s="48" t="n">
        <v>0</v>
      </c>
      <c r="D2333" s="48" t="n">
        <v>1</v>
      </c>
      <c r="E2333" s="48" t="s">
        <v>112</v>
      </c>
      <c r="F2333" s="48" t="s">
        <v>72</v>
      </c>
      <c r="G2333" s="48" t="s">
        <v>591</v>
      </c>
      <c r="H2333" s="82" t="n">
        <f aca="false">DATE(YEAR(A2333),MONTH(A2333),1)</f>
        <v>43952</v>
      </c>
    </row>
    <row r="2334" customFormat="false" ht="15" hidden="false" customHeight="false" outlineLevel="0" collapsed="false">
      <c r="A2334" s="81" t="n">
        <v>43978</v>
      </c>
      <c r="B2334" s="48" t="n">
        <v>1</v>
      </c>
      <c r="C2334" s="48" t="n">
        <v>0</v>
      </c>
      <c r="D2334" s="48" t="n">
        <v>0</v>
      </c>
      <c r="E2334" s="48" t="s">
        <v>112</v>
      </c>
      <c r="F2334" s="48" t="s">
        <v>72</v>
      </c>
      <c r="G2334" s="48" t="s">
        <v>598</v>
      </c>
      <c r="H2334" s="82" t="n">
        <f aca="false">DATE(YEAR(A2334),MONTH(A2334),1)</f>
        <v>43952</v>
      </c>
    </row>
    <row r="2335" customFormat="false" ht="15" hidden="false" customHeight="false" outlineLevel="0" collapsed="false">
      <c r="A2335" s="81" t="n">
        <v>43978</v>
      </c>
      <c r="B2335" s="48" t="n">
        <v>0</v>
      </c>
      <c r="C2335" s="48" t="n">
        <v>0</v>
      </c>
      <c r="D2335" s="48" t="n">
        <v>0</v>
      </c>
      <c r="E2335" s="48" t="s">
        <v>112</v>
      </c>
      <c r="F2335" s="48" t="s">
        <v>72</v>
      </c>
      <c r="G2335" s="48" t="s">
        <v>609</v>
      </c>
      <c r="H2335" s="82" t="n">
        <f aca="false">DATE(YEAR(A2335),MONTH(A2335),1)</f>
        <v>43952</v>
      </c>
    </row>
    <row r="2336" customFormat="false" ht="15" hidden="false" customHeight="false" outlineLevel="0" collapsed="false">
      <c r="A2336" s="81" t="n">
        <v>43978</v>
      </c>
      <c r="B2336" s="48" t="n">
        <v>0</v>
      </c>
      <c r="C2336" s="48" t="n">
        <v>0</v>
      </c>
      <c r="D2336" s="48" t="n">
        <v>0</v>
      </c>
      <c r="E2336" s="48" t="s">
        <v>112</v>
      </c>
      <c r="F2336" s="48" t="s">
        <v>72</v>
      </c>
      <c r="G2336" s="48" t="s">
        <v>101</v>
      </c>
      <c r="H2336" s="82" t="n">
        <f aca="false">DATE(YEAR(A2336),MONTH(A2336),1)</f>
        <v>43952</v>
      </c>
    </row>
    <row r="2337" customFormat="false" ht="15" hidden="false" customHeight="false" outlineLevel="0" collapsed="false">
      <c r="A2337" s="81" t="n">
        <v>43978</v>
      </c>
      <c r="B2337" s="48" t="n">
        <v>0</v>
      </c>
      <c r="C2337" s="48" t="n">
        <v>0</v>
      </c>
      <c r="D2337" s="48" t="n">
        <v>0</v>
      </c>
      <c r="E2337" s="48" t="s">
        <v>112</v>
      </c>
      <c r="F2337" s="48" t="s">
        <v>72</v>
      </c>
      <c r="G2337" s="48" t="s">
        <v>643</v>
      </c>
      <c r="H2337" s="82" t="n">
        <f aca="false">DATE(YEAR(A2337),MONTH(A2337),1)</f>
        <v>43952</v>
      </c>
    </row>
    <row r="2338" customFormat="false" ht="15" hidden="false" customHeight="false" outlineLevel="0" collapsed="false">
      <c r="A2338" s="81" t="n">
        <v>43978</v>
      </c>
      <c r="B2338" s="48" t="n">
        <v>0</v>
      </c>
      <c r="C2338" s="48" t="n">
        <v>0</v>
      </c>
      <c r="D2338" s="48" t="n">
        <v>0</v>
      </c>
      <c r="E2338" s="48" t="s">
        <v>112</v>
      </c>
      <c r="F2338" s="48" t="s">
        <v>72</v>
      </c>
      <c r="G2338" s="48" t="s">
        <v>662</v>
      </c>
      <c r="H2338" s="82" t="n">
        <f aca="false">DATE(YEAR(A2338),MONTH(A2338),1)</f>
        <v>43952</v>
      </c>
    </row>
    <row r="2339" customFormat="false" ht="15" hidden="false" customHeight="false" outlineLevel="0" collapsed="false">
      <c r="A2339" s="81" t="n">
        <v>43978</v>
      </c>
      <c r="B2339" s="48" t="n">
        <v>14</v>
      </c>
      <c r="C2339" s="48" t="n">
        <v>0</v>
      </c>
      <c r="D2339" s="48" t="n">
        <v>0</v>
      </c>
      <c r="E2339" s="48" t="s">
        <v>112</v>
      </c>
      <c r="F2339" s="48" t="s">
        <v>72</v>
      </c>
      <c r="G2339" s="48" t="s">
        <v>600</v>
      </c>
      <c r="H2339" s="82" t="n">
        <f aca="false">DATE(YEAR(A2339),MONTH(A2339),1)</f>
        <v>43952</v>
      </c>
    </row>
    <row r="2340" customFormat="false" ht="15" hidden="false" customHeight="false" outlineLevel="0" collapsed="false">
      <c r="A2340" s="81" t="n">
        <v>43978</v>
      </c>
      <c r="B2340" s="48" t="n">
        <v>26</v>
      </c>
      <c r="C2340" s="48" t="n">
        <v>0</v>
      </c>
      <c r="D2340" s="48" t="n">
        <v>0</v>
      </c>
      <c r="E2340" s="48" t="s">
        <v>112</v>
      </c>
      <c r="F2340" s="48" t="s">
        <v>72</v>
      </c>
      <c r="G2340" s="48" t="s">
        <v>610</v>
      </c>
      <c r="H2340" s="82" t="n">
        <f aca="false">DATE(YEAR(A2340),MONTH(A2340),1)</f>
        <v>43952</v>
      </c>
    </row>
    <row r="2341" customFormat="false" ht="15" hidden="false" customHeight="false" outlineLevel="0" collapsed="false">
      <c r="A2341" s="81" t="n">
        <v>43978</v>
      </c>
      <c r="B2341" s="48" t="n">
        <v>6</v>
      </c>
      <c r="C2341" s="48" t="n">
        <v>0</v>
      </c>
      <c r="D2341" s="48" t="n">
        <v>0</v>
      </c>
      <c r="E2341" s="48" t="s">
        <v>112</v>
      </c>
      <c r="F2341" s="48" t="s">
        <v>72</v>
      </c>
      <c r="G2341" s="48" t="s">
        <v>593</v>
      </c>
      <c r="H2341" s="82" t="n">
        <f aca="false">DATE(YEAR(A2341),MONTH(A2341),1)</f>
        <v>43952</v>
      </c>
    </row>
    <row r="2342" customFormat="false" ht="15" hidden="false" customHeight="false" outlineLevel="0" collapsed="false">
      <c r="A2342" s="81" t="n">
        <v>43978</v>
      </c>
      <c r="B2342" s="48" t="n">
        <v>0</v>
      </c>
      <c r="C2342" s="48" t="n">
        <v>0</v>
      </c>
      <c r="D2342" s="48" t="n">
        <v>0</v>
      </c>
      <c r="E2342" s="48" t="s">
        <v>112</v>
      </c>
      <c r="F2342" s="48" t="s">
        <v>72</v>
      </c>
      <c r="G2342" s="48" t="s">
        <v>612</v>
      </c>
      <c r="H2342" s="82" t="n">
        <f aca="false">DATE(YEAR(A2342),MONTH(A2342),1)</f>
        <v>43952</v>
      </c>
    </row>
    <row r="2343" customFormat="false" ht="15" hidden="false" customHeight="false" outlineLevel="0" collapsed="false">
      <c r="A2343" s="81" t="n">
        <v>43978</v>
      </c>
      <c r="B2343" s="48" t="n">
        <v>0</v>
      </c>
      <c r="C2343" s="48" t="n">
        <v>0</v>
      </c>
      <c r="D2343" s="48" t="n">
        <v>0</v>
      </c>
      <c r="E2343" s="48" t="s">
        <v>112</v>
      </c>
      <c r="F2343" s="48" t="s">
        <v>72</v>
      </c>
      <c r="G2343" s="48" t="s">
        <v>685</v>
      </c>
      <c r="H2343" s="82" t="n">
        <f aca="false">DATE(YEAR(A2343),MONTH(A2343),1)</f>
        <v>43952</v>
      </c>
    </row>
    <row r="2344" customFormat="false" ht="15" hidden="false" customHeight="false" outlineLevel="0" collapsed="false">
      <c r="A2344" s="81" t="n">
        <v>43978</v>
      </c>
      <c r="B2344" s="48" t="n">
        <v>0</v>
      </c>
      <c r="C2344" s="48" t="n">
        <v>0</v>
      </c>
      <c r="D2344" s="48" t="n">
        <v>0</v>
      </c>
      <c r="E2344" s="48" t="s">
        <v>112</v>
      </c>
      <c r="F2344" s="48" t="s">
        <v>72</v>
      </c>
      <c r="G2344" s="48" t="s">
        <v>687</v>
      </c>
      <c r="H2344" s="82" t="n">
        <f aca="false">DATE(YEAR(A2344),MONTH(A2344),1)</f>
        <v>43952</v>
      </c>
    </row>
    <row r="2345" customFormat="false" ht="15" hidden="false" customHeight="false" outlineLevel="0" collapsed="false">
      <c r="A2345" s="81" t="n">
        <v>43978</v>
      </c>
      <c r="B2345" s="48" t="n">
        <v>0</v>
      </c>
      <c r="C2345" s="48" t="n">
        <v>0</v>
      </c>
      <c r="D2345" s="48" t="n">
        <v>0</v>
      </c>
      <c r="E2345" s="48" t="s">
        <v>112</v>
      </c>
      <c r="F2345" s="48" t="s">
        <v>72</v>
      </c>
      <c r="G2345" s="48" t="s">
        <v>682</v>
      </c>
      <c r="H2345" s="82" t="n">
        <f aca="false">DATE(YEAR(A2345),MONTH(A2345),1)</f>
        <v>43952</v>
      </c>
    </row>
    <row r="2346" customFormat="false" ht="15" hidden="false" customHeight="false" outlineLevel="0" collapsed="false">
      <c r="A2346" s="81" t="n">
        <v>43978</v>
      </c>
      <c r="B2346" s="48" t="n">
        <v>0</v>
      </c>
      <c r="C2346" s="48" t="n">
        <v>0</v>
      </c>
      <c r="D2346" s="48" t="n">
        <v>0</v>
      </c>
      <c r="E2346" s="48" t="s">
        <v>112</v>
      </c>
      <c r="F2346" s="48" t="s">
        <v>72</v>
      </c>
      <c r="G2346" s="48" t="s">
        <v>692</v>
      </c>
      <c r="H2346" s="82" t="n">
        <f aca="false">DATE(YEAR(A2346),MONTH(A2346),1)</f>
        <v>43952</v>
      </c>
    </row>
    <row r="2347" customFormat="false" ht="15" hidden="false" customHeight="false" outlineLevel="0" collapsed="false">
      <c r="A2347" s="81" t="n">
        <v>43978</v>
      </c>
      <c r="B2347" s="48" t="n">
        <v>3</v>
      </c>
      <c r="C2347" s="48" t="n">
        <v>0</v>
      </c>
      <c r="D2347" s="48" t="n">
        <v>0</v>
      </c>
      <c r="E2347" s="48" t="s">
        <v>112</v>
      </c>
      <c r="F2347" s="48" t="s">
        <v>72</v>
      </c>
      <c r="G2347" s="48" t="s">
        <v>613</v>
      </c>
      <c r="H2347" s="82" t="n">
        <f aca="false">DATE(YEAR(A2347),MONTH(A2347),1)</f>
        <v>43952</v>
      </c>
    </row>
    <row r="2348" customFormat="false" ht="15" hidden="false" customHeight="false" outlineLevel="0" collapsed="false">
      <c r="A2348" s="81" t="n">
        <v>43978</v>
      </c>
      <c r="B2348" s="48" t="n">
        <v>4</v>
      </c>
      <c r="C2348" s="48" t="n">
        <v>1</v>
      </c>
      <c r="D2348" s="48" t="n">
        <v>0</v>
      </c>
      <c r="E2348" s="48" t="s">
        <v>112</v>
      </c>
      <c r="F2348" s="48" t="s">
        <v>72</v>
      </c>
      <c r="G2348" s="48" t="s">
        <v>614</v>
      </c>
      <c r="H2348" s="82" t="n">
        <f aca="false">DATE(YEAR(A2348),MONTH(A2348),1)</f>
        <v>43952</v>
      </c>
    </row>
    <row r="2349" customFormat="false" ht="15" hidden="false" customHeight="false" outlineLevel="0" collapsed="false">
      <c r="A2349" s="81" t="n">
        <v>43978</v>
      </c>
      <c r="B2349" s="48" t="n">
        <v>0</v>
      </c>
      <c r="C2349" s="48" t="n">
        <v>0</v>
      </c>
      <c r="D2349" s="48" t="n">
        <v>0</v>
      </c>
      <c r="E2349" s="48" t="s">
        <v>112</v>
      </c>
      <c r="F2349" s="48" t="s">
        <v>72</v>
      </c>
      <c r="G2349" s="48" t="s">
        <v>655</v>
      </c>
      <c r="H2349" s="82" t="n">
        <f aca="false">DATE(YEAR(A2349),MONTH(A2349),1)</f>
        <v>43952</v>
      </c>
    </row>
    <row r="2350" customFormat="false" ht="15" hidden="false" customHeight="false" outlineLevel="0" collapsed="false">
      <c r="A2350" s="81" t="n">
        <v>43978</v>
      </c>
      <c r="B2350" s="48" t="n">
        <v>6</v>
      </c>
      <c r="C2350" s="48" t="n">
        <v>0</v>
      </c>
      <c r="D2350" s="48" t="n">
        <v>5</v>
      </c>
      <c r="E2350" s="48" t="s">
        <v>112</v>
      </c>
      <c r="F2350" s="48" t="s">
        <v>72</v>
      </c>
      <c r="G2350" s="48" t="s">
        <v>608</v>
      </c>
      <c r="H2350" s="82" t="n">
        <f aca="false">DATE(YEAR(A2350),MONTH(A2350),1)</f>
        <v>43952</v>
      </c>
    </row>
    <row r="2351" customFormat="false" ht="15" hidden="false" customHeight="false" outlineLevel="0" collapsed="false">
      <c r="A2351" s="81" t="n">
        <v>43978</v>
      </c>
      <c r="B2351" s="48" t="n">
        <v>0</v>
      </c>
      <c r="C2351" s="48" t="n">
        <v>0</v>
      </c>
      <c r="D2351" s="48" t="n">
        <v>0</v>
      </c>
      <c r="E2351" s="48" t="s">
        <v>112</v>
      </c>
      <c r="F2351" s="48" t="s">
        <v>72</v>
      </c>
      <c r="G2351" s="48" t="s">
        <v>615</v>
      </c>
      <c r="H2351" s="82" t="n">
        <f aca="false">DATE(YEAR(A2351),MONTH(A2351),1)</f>
        <v>43952</v>
      </c>
    </row>
    <row r="2352" customFormat="false" ht="15" hidden="false" customHeight="false" outlineLevel="0" collapsed="false">
      <c r="A2352" s="81" t="n">
        <v>43978</v>
      </c>
      <c r="B2352" s="48" t="n">
        <v>0</v>
      </c>
      <c r="C2352" s="48" t="n">
        <v>0</v>
      </c>
      <c r="D2352" s="48" t="n">
        <v>0</v>
      </c>
      <c r="E2352" s="48" t="s">
        <v>112</v>
      </c>
      <c r="F2352" s="48" t="s">
        <v>72</v>
      </c>
      <c r="G2352" s="48" t="s">
        <v>666</v>
      </c>
      <c r="H2352" s="82" t="n">
        <f aca="false">DATE(YEAR(A2352),MONTH(A2352),1)</f>
        <v>43952</v>
      </c>
    </row>
    <row r="2353" customFormat="false" ht="15" hidden="false" customHeight="false" outlineLevel="0" collapsed="false">
      <c r="A2353" s="81" t="n">
        <v>43978</v>
      </c>
      <c r="B2353" s="48" t="n">
        <v>0</v>
      </c>
      <c r="C2353" s="48" t="n">
        <v>0</v>
      </c>
      <c r="D2353" s="48" t="n">
        <v>0</v>
      </c>
      <c r="E2353" s="48" t="s">
        <v>112</v>
      </c>
      <c r="F2353" s="48" t="s">
        <v>72</v>
      </c>
      <c r="G2353" s="48" t="s">
        <v>621</v>
      </c>
      <c r="H2353" s="82" t="n">
        <f aca="false">DATE(YEAR(A2353),MONTH(A2353),1)</f>
        <v>43952</v>
      </c>
    </row>
    <row r="2354" customFormat="false" ht="15" hidden="false" customHeight="false" outlineLevel="0" collapsed="false">
      <c r="A2354" s="81" t="n">
        <v>43978</v>
      </c>
      <c r="B2354" s="48" t="n">
        <v>0</v>
      </c>
      <c r="C2354" s="48" t="n">
        <v>0</v>
      </c>
      <c r="D2354" s="48" t="n">
        <v>0</v>
      </c>
      <c r="E2354" s="48" t="s">
        <v>112</v>
      </c>
      <c r="F2354" s="48" t="s">
        <v>72</v>
      </c>
      <c r="G2354" s="48" t="s">
        <v>664</v>
      </c>
      <c r="H2354" s="82" t="n">
        <f aca="false">DATE(YEAR(A2354),MONTH(A2354),1)</f>
        <v>43952</v>
      </c>
    </row>
    <row r="2355" customFormat="false" ht="15" hidden="false" customHeight="false" outlineLevel="0" collapsed="false">
      <c r="A2355" s="81" t="n">
        <v>43978</v>
      </c>
      <c r="B2355" s="48" t="n">
        <v>0</v>
      </c>
      <c r="C2355" s="48" t="n">
        <v>0</v>
      </c>
      <c r="D2355" s="48" t="n">
        <v>0</v>
      </c>
      <c r="E2355" s="48" t="s">
        <v>112</v>
      </c>
      <c r="F2355" s="48" t="s">
        <v>72</v>
      </c>
      <c r="G2355" s="48" t="s">
        <v>667</v>
      </c>
      <c r="H2355" s="82" t="n">
        <f aca="false">DATE(YEAR(A2355),MONTH(A2355),1)</f>
        <v>43952</v>
      </c>
    </row>
    <row r="2356" customFormat="false" ht="15" hidden="false" customHeight="false" outlineLevel="0" collapsed="false">
      <c r="A2356" s="81" t="n">
        <v>43978</v>
      </c>
      <c r="B2356" s="48" t="n">
        <v>0</v>
      </c>
      <c r="C2356" s="48" t="n">
        <v>0</v>
      </c>
      <c r="D2356" s="48" t="n">
        <v>0</v>
      </c>
      <c r="E2356" s="48" t="s">
        <v>112</v>
      </c>
      <c r="F2356" s="48" t="s">
        <v>72</v>
      </c>
      <c r="G2356" s="48" t="s">
        <v>607</v>
      </c>
      <c r="H2356" s="82" t="n">
        <f aca="false">DATE(YEAR(A2356),MONTH(A2356),1)</f>
        <v>43952</v>
      </c>
    </row>
    <row r="2357" customFormat="false" ht="15" hidden="false" customHeight="false" outlineLevel="0" collapsed="false">
      <c r="A2357" s="81" t="n">
        <v>43978</v>
      </c>
      <c r="B2357" s="48" t="n">
        <v>0</v>
      </c>
      <c r="C2357" s="48" t="n">
        <v>0</v>
      </c>
      <c r="D2357" s="48" t="n">
        <v>1</v>
      </c>
      <c r="E2357" s="48" t="s">
        <v>112</v>
      </c>
      <c r="F2357" s="48" t="s">
        <v>72</v>
      </c>
      <c r="G2357" s="48" t="s">
        <v>673</v>
      </c>
      <c r="H2357" s="82" t="n">
        <f aca="false">DATE(YEAR(A2357),MONTH(A2357),1)</f>
        <v>43952</v>
      </c>
    </row>
    <row r="2358" customFormat="false" ht="15" hidden="false" customHeight="false" outlineLevel="0" collapsed="false">
      <c r="A2358" s="81" t="n">
        <v>43978</v>
      </c>
      <c r="B2358" s="48" t="n">
        <v>0</v>
      </c>
      <c r="C2358" s="48" t="n">
        <v>0</v>
      </c>
      <c r="D2358" s="48" t="n">
        <v>0</v>
      </c>
      <c r="E2358" s="48" t="s">
        <v>112</v>
      </c>
      <c r="F2358" s="48" t="s">
        <v>72</v>
      </c>
      <c r="G2358" s="48" t="s">
        <v>676</v>
      </c>
      <c r="H2358" s="82" t="n">
        <f aca="false">DATE(YEAR(A2358),MONTH(A2358),1)</f>
        <v>43952</v>
      </c>
    </row>
    <row r="2359" customFormat="false" ht="15" hidden="false" customHeight="false" outlineLevel="0" collapsed="false">
      <c r="A2359" s="81" t="n">
        <v>43978</v>
      </c>
      <c r="B2359" s="48" t="n">
        <v>5</v>
      </c>
      <c r="C2359" s="48" t="n">
        <v>1</v>
      </c>
      <c r="D2359" s="48" t="n">
        <v>0</v>
      </c>
      <c r="E2359" s="48" t="s">
        <v>112</v>
      </c>
      <c r="F2359" s="48" t="s">
        <v>76</v>
      </c>
      <c r="G2359" s="48" t="s">
        <v>595</v>
      </c>
      <c r="H2359" s="82" t="n">
        <f aca="false">DATE(YEAR(A2359),MONTH(A2359),1)</f>
        <v>43952</v>
      </c>
    </row>
    <row r="2360" customFormat="false" ht="15" hidden="false" customHeight="false" outlineLevel="0" collapsed="false">
      <c r="A2360" s="81" t="n">
        <v>43978</v>
      </c>
      <c r="B2360" s="48" t="n">
        <v>245</v>
      </c>
      <c r="C2360" s="48" t="n">
        <v>0</v>
      </c>
      <c r="D2360" s="48" t="n">
        <v>133</v>
      </c>
      <c r="E2360" s="48" t="s">
        <v>112</v>
      </c>
      <c r="F2360" s="48" t="s">
        <v>73</v>
      </c>
      <c r="G2360" s="48" t="s">
        <v>93</v>
      </c>
      <c r="H2360" s="82" t="n">
        <f aca="false">DATE(YEAR(A2360),MONTH(A2360),1)</f>
        <v>43952</v>
      </c>
    </row>
    <row r="2361" customFormat="false" ht="15" hidden="false" customHeight="false" outlineLevel="0" collapsed="false">
      <c r="A2361" s="81" t="n">
        <v>43978</v>
      </c>
      <c r="B2361" s="48" t="n">
        <v>919</v>
      </c>
      <c r="C2361" s="48" t="n">
        <v>19</v>
      </c>
      <c r="D2361" s="48" t="n">
        <v>141</v>
      </c>
      <c r="E2361" s="48" t="s">
        <v>112</v>
      </c>
      <c r="F2361" s="48" t="s">
        <v>71</v>
      </c>
      <c r="G2361" s="48" t="s">
        <v>92</v>
      </c>
      <c r="H2361" s="82" t="n">
        <f aca="false">DATE(YEAR(A2361),MONTH(A2361),1)</f>
        <v>43952</v>
      </c>
    </row>
    <row r="2362" customFormat="false" ht="15" hidden="false" customHeight="false" outlineLevel="0" collapsed="false">
      <c r="A2362" s="81" t="n">
        <v>43979</v>
      </c>
      <c r="B2362" s="48" t="n">
        <v>871</v>
      </c>
      <c r="C2362" s="48" t="n">
        <v>5</v>
      </c>
      <c r="D2362" s="48" t="n">
        <v>1278</v>
      </c>
      <c r="E2362" s="48" t="s">
        <v>112</v>
      </c>
      <c r="F2362" s="48" t="s">
        <v>70</v>
      </c>
      <c r="G2362" s="48" t="s">
        <v>91</v>
      </c>
      <c r="H2362" s="82" t="n">
        <f aca="false">DATE(YEAR(A2362),MONTH(A2362),1)</f>
        <v>43952</v>
      </c>
    </row>
    <row r="2363" customFormat="false" ht="15" hidden="false" customHeight="false" outlineLevel="0" collapsed="false">
      <c r="A2363" s="81" t="n">
        <v>43979</v>
      </c>
      <c r="B2363" s="48" t="n">
        <v>32</v>
      </c>
      <c r="C2363" s="48" t="n">
        <v>2</v>
      </c>
      <c r="D2363" s="48" t="n">
        <v>81</v>
      </c>
      <c r="E2363" s="48" t="s">
        <v>112</v>
      </c>
      <c r="F2363" s="48" t="s">
        <v>70</v>
      </c>
      <c r="G2363" s="48" t="s">
        <v>99</v>
      </c>
      <c r="H2363" s="82" t="n">
        <f aca="false">DATE(YEAR(A2363),MONTH(A2363),1)</f>
        <v>43952</v>
      </c>
    </row>
    <row r="2364" customFormat="false" ht="15" hidden="false" customHeight="false" outlineLevel="0" collapsed="false">
      <c r="A2364" s="81" t="n">
        <v>43979</v>
      </c>
      <c r="B2364" s="48" t="n">
        <v>7</v>
      </c>
      <c r="C2364" s="48" t="n">
        <v>0</v>
      </c>
      <c r="D2364" s="48" t="n">
        <v>7</v>
      </c>
      <c r="E2364" s="48" t="s">
        <v>112</v>
      </c>
      <c r="F2364" s="48" t="s">
        <v>70</v>
      </c>
      <c r="G2364" s="48" t="s">
        <v>619</v>
      </c>
      <c r="H2364" s="82" t="n">
        <f aca="false">DATE(YEAR(A2364),MONTH(A2364),1)</f>
        <v>43952</v>
      </c>
    </row>
    <row r="2365" customFormat="false" ht="15" hidden="false" customHeight="false" outlineLevel="0" collapsed="false">
      <c r="A2365" s="81" t="n">
        <v>43979</v>
      </c>
      <c r="B2365" s="48" t="n">
        <v>0</v>
      </c>
      <c r="C2365" s="48" t="n">
        <v>3</v>
      </c>
      <c r="D2365" s="48" t="n">
        <v>6</v>
      </c>
      <c r="E2365" s="48" t="s">
        <v>112</v>
      </c>
      <c r="F2365" s="48" t="s">
        <v>70</v>
      </c>
      <c r="G2365" s="48" t="s">
        <v>633</v>
      </c>
      <c r="H2365" s="82" t="n">
        <f aca="false">DATE(YEAR(A2365),MONTH(A2365),1)</f>
        <v>43952</v>
      </c>
    </row>
    <row r="2366" customFormat="false" ht="15" hidden="false" customHeight="false" outlineLevel="0" collapsed="false">
      <c r="A2366" s="81" t="n">
        <v>43979</v>
      </c>
      <c r="B2366" s="48" t="n">
        <v>1</v>
      </c>
      <c r="C2366" s="48" t="n">
        <v>0</v>
      </c>
      <c r="D2366" s="48" t="n">
        <v>14</v>
      </c>
      <c r="E2366" s="48" t="s">
        <v>112</v>
      </c>
      <c r="F2366" s="48" t="s">
        <v>70</v>
      </c>
      <c r="G2366" s="48" t="s">
        <v>605</v>
      </c>
      <c r="H2366" s="82" t="n">
        <f aca="false">DATE(YEAR(A2366),MONTH(A2366),1)</f>
        <v>43952</v>
      </c>
    </row>
    <row r="2367" customFormat="false" ht="15" hidden="false" customHeight="false" outlineLevel="0" collapsed="false">
      <c r="A2367" s="81" t="n">
        <v>43979</v>
      </c>
      <c r="B2367" s="48" t="n">
        <v>17</v>
      </c>
      <c r="C2367" s="48" t="n">
        <v>1</v>
      </c>
      <c r="D2367" s="48" t="n">
        <v>10</v>
      </c>
      <c r="E2367" s="48" t="s">
        <v>112</v>
      </c>
      <c r="F2367" s="48" t="s">
        <v>70</v>
      </c>
      <c r="G2367" s="48" t="s">
        <v>641</v>
      </c>
      <c r="H2367" s="82" t="n">
        <f aca="false">DATE(YEAR(A2367),MONTH(A2367),1)</f>
        <v>43952</v>
      </c>
    </row>
    <row r="2368" customFormat="false" ht="15" hidden="false" customHeight="false" outlineLevel="0" collapsed="false">
      <c r="A2368" s="81" t="n">
        <v>43979</v>
      </c>
      <c r="B2368" s="48" t="n">
        <v>0</v>
      </c>
      <c r="C2368" s="48" t="n">
        <v>0</v>
      </c>
      <c r="D2368" s="48" t="n">
        <v>2</v>
      </c>
      <c r="E2368" s="48" t="s">
        <v>112</v>
      </c>
      <c r="F2368" s="48" t="s">
        <v>70</v>
      </c>
      <c r="G2368" s="48" t="s">
        <v>644</v>
      </c>
      <c r="H2368" s="82" t="n">
        <f aca="false">DATE(YEAR(A2368),MONTH(A2368),1)</f>
        <v>43952</v>
      </c>
    </row>
    <row r="2369" customFormat="false" ht="15" hidden="false" customHeight="false" outlineLevel="0" collapsed="false">
      <c r="A2369" s="81" t="n">
        <v>43979</v>
      </c>
      <c r="B2369" s="48" t="n">
        <v>10</v>
      </c>
      <c r="C2369" s="48" t="n">
        <v>0</v>
      </c>
      <c r="D2369" s="48" t="n">
        <v>1</v>
      </c>
      <c r="E2369" s="48" t="s">
        <v>112</v>
      </c>
      <c r="F2369" s="48" t="s">
        <v>70</v>
      </c>
      <c r="G2369" s="48" t="s">
        <v>637</v>
      </c>
      <c r="H2369" s="82" t="n">
        <f aca="false">DATE(YEAR(A2369),MONTH(A2369),1)</f>
        <v>43952</v>
      </c>
    </row>
    <row r="2370" customFormat="false" ht="15" hidden="false" customHeight="false" outlineLevel="0" collapsed="false">
      <c r="A2370" s="81" t="n">
        <v>43979</v>
      </c>
      <c r="B2370" s="48" t="n">
        <v>4</v>
      </c>
      <c r="C2370" s="48" t="n">
        <v>1</v>
      </c>
      <c r="D2370" s="48" t="n">
        <v>17</v>
      </c>
      <c r="E2370" s="48" t="s">
        <v>112</v>
      </c>
      <c r="F2370" s="48" t="s">
        <v>70</v>
      </c>
      <c r="G2370" s="48" t="s">
        <v>630</v>
      </c>
      <c r="H2370" s="82" t="n">
        <f aca="false">DATE(YEAR(A2370),MONTH(A2370),1)</f>
        <v>43952</v>
      </c>
    </row>
    <row r="2371" customFormat="false" ht="15" hidden="false" customHeight="false" outlineLevel="0" collapsed="false">
      <c r="A2371" s="81" t="n">
        <v>43979</v>
      </c>
      <c r="B2371" s="48" t="n">
        <v>4</v>
      </c>
      <c r="C2371" s="48" t="n">
        <v>0</v>
      </c>
      <c r="D2371" s="48" t="n">
        <v>11</v>
      </c>
      <c r="E2371" s="48" t="s">
        <v>112</v>
      </c>
      <c r="F2371" s="48" t="s">
        <v>70</v>
      </c>
      <c r="G2371" s="48" t="s">
        <v>642</v>
      </c>
      <c r="H2371" s="82" t="n">
        <f aca="false">DATE(YEAR(A2371),MONTH(A2371),1)</f>
        <v>43952</v>
      </c>
    </row>
    <row r="2372" customFormat="false" ht="15" hidden="false" customHeight="false" outlineLevel="0" collapsed="false">
      <c r="A2372" s="81" t="n">
        <v>43979</v>
      </c>
      <c r="B2372" s="48" t="n">
        <v>0</v>
      </c>
      <c r="C2372" s="48" t="n">
        <v>0</v>
      </c>
      <c r="D2372" s="48" t="n">
        <v>2</v>
      </c>
      <c r="E2372" s="48" t="s">
        <v>112</v>
      </c>
      <c r="F2372" s="48" t="s">
        <v>70</v>
      </c>
      <c r="G2372" s="48" t="s">
        <v>671</v>
      </c>
      <c r="H2372" s="82" t="n">
        <f aca="false">DATE(YEAR(A2372),MONTH(A2372),1)</f>
        <v>43952</v>
      </c>
    </row>
    <row r="2373" customFormat="false" ht="15" hidden="false" customHeight="false" outlineLevel="0" collapsed="false">
      <c r="A2373" s="81" t="n">
        <v>43979</v>
      </c>
      <c r="B2373" s="48" t="n">
        <v>18</v>
      </c>
      <c r="C2373" s="48" t="n">
        <v>1</v>
      </c>
      <c r="D2373" s="48" t="n">
        <v>86</v>
      </c>
      <c r="E2373" s="48" t="s">
        <v>112</v>
      </c>
      <c r="F2373" s="48" t="s">
        <v>70</v>
      </c>
      <c r="G2373" s="48" t="s">
        <v>105</v>
      </c>
      <c r="H2373" s="82" t="n">
        <f aca="false">DATE(YEAR(A2373),MONTH(A2373),1)</f>
        <v>43952</v>
      </c>
    </row>
    <row r="2374" customFormat="false" ht="15" hidden="false" customHeight="false" outlineLevel="0" collapsed="false">
      <c r="A2374" s="81" t="n">
        <v>43979</v>
      </c>
      <c r="B2374" s="48" t="n">
        <v>19</v>
      </c>
      <c r="C2374" s="48" t="n">
        <v>0</v>
      </c>
      <c r="D2374" s="48" t="n">
        <v>57</v>
      </c>
      <c r="E2374" s="48" t="s">
        <v>112</v>
      </c>
      <c r="F2374" s="48" t="s">
        <v>70</v>
      </c>
      <c r="G2374" s="48" t="s">
        <v>98</v>
      </c>
      <c r="H2374" s="82" t="n">
        <f aca="false">DATE(YEAR(A2374),MONTH(A2374),1)</f>
        <v>43952</v>
      </c>
    </row>
    <row r="2375" customFormat="false" ht="15" hidden="false" customHeight="false" outlineLevel="0" collapsed="false">
      <c r="A2375" s="81" t="n">
        <v>43979</v>
      </c>
      <c r="B2375" s="48" t="n">
        <v>14</v>
      </c>
      <c r="C2375" s="48" t="n">
        <v>0</v>
      </c>
      <c r="D2375" s="48" t="n">
        <v>89</v>
      </c>
      <c r="E2375" s="48" t="s">
        <v>112</v>
      </c>
      <c r="F2375" s="48" t="s">
        <v>70</v>
      </c>
      <c r="G2375" s="48" t="s">
        <v>592</v>
      </c>
      <c r="H2375" s="82" t="n">
        <f aca="false">DATE(YEAR(A2375),MONTH(A2375),1)</f>
        <v>43952</v>
      </c>
    </row>
    <row r="2376" customFormat="false" ht="15" hidden="false" customHeight="false" outlineLevel="0" collapsed="false">
      <c r="A2376" s="81" t="n">
        <v>43979</v>
      </c>
      <c r="B2376" s="48" t="n">
        <v>20</v>
      </c>
      <c r="C2376" s="48" t="n">
        <v>0</v>
      </c>
      <c r="D2376" s="48" t="n">
        <v>73</v>
      </c>
      <c r="E2376" s="48" t="s">
        <v>112</v>
      </c>
      <c r="F2376" s="48" t="s">
        <v>70</v>
      </c>
      <c r="G2376" s="48" t="s">
        <v>104</v>
      </c>
      <c r="H2376" s="82" t="n">
        <f aca="false">DATE(YEAR(A2376),MONTH(A2376),1)</f>
        <v>43952</v>
      </c>
    </row>
    <row r="2377" customFormat="false" ht="15" hidden="false" customHeight="false" outlineLevel="0" collapsed="false">
      <c r="A2377" s="81" t="n">
        <v>43979</v>
      </c>
      <c r="B2377" s="48" t="n">
        <v>2</v>
      </c>
      <c r="C2377" s="48" t="n">
        <v>0</v>
      </c>
      <c r="D2377" s="48" t="n">
        <v>3</v>
      </c>
      <c r="E2377" s="48" t="s">
        <v>112</v>
      </c>
      <c r="F2377" s="48" t="s">
        <v>70</v>
      </c>
      <c r="G2377" s="48" t="s">
        <v>635</v>
      </c>
      <c r="H2377" s="82" t="n">
        <f aca="false">DATE(YEAR(A2377),MONTH(A2377),1)</f>
        <v>43952</v>
      </c>
    </row>
    <row r="2378" customFormat="false" ht="15" hidden="false" customHeight="false" outlineLevel="0" collapsed="false">
      <c r="A2378" s="81" t="n">
        <v>43979</v>
      </c>
      <c r="B2378" s="48" t="n">
        <v>31</v>
      </c>
      <c r="C2378" s="48" t="n">
        <v>0</v>
      </c>
      <c r="D2378" s="48" t="n">
        <v>37</v>
      </c>
      <c r="E2378" s="48" t="s">
        <v>112</v>
      </c>
      <c r="F2378" s="48" t="s">
        <v>70</v>
      </c>
      <c r="G2378" s="48" t="s">
        <v>616</v>
      </c>
      <c r="H2378" s="82" t="n">
        <f aca="false">DATE(YEAR(A2378),MONTH(A2378),1)</f>
        <v>43952</v>
      </c>
    </row>
    <row r="2379" customFormat="false" ht="15" hidden="false" customHeight="false" outlineLevel="0" collapsed="false">
      <c r="A2379" s="81" t="n">
        <v>43979</v>
      </c>
      <c r="B2379" s="48" t="n">
        <v>0</v>
      </c>
      <c r="C2379" s="48" t="n">
        <v>0</v>
      </c>
      <c r="D2379" s="48" t="n">
        <v>0</v>
      </c>
      <c r="E2379" s="48" t="s">
        <v>112</v>
      </c>
      <c r="F2379" s="48" t="s">
        <v>70</v>
      </c>
      <c r="G2379" s="48" t="s">
        <v>663</v>
      </c>
      <c r="H2379" s="82" t="n">
        <f aca="false">DATE(YEAR(A2379),MONTH(A2379),1)</f>
        <v>43952</v>
      </c>
    </row>
    <row r="2380" customFormat="false" ht="15" hidden="false" customHeight="false" outlineLevel="0" collapsed="false">
      <c r="A2380" s="81" t="n">
        <v>43979</v>
      </c>
      <c r="B2380" s="48" t="n">
        <v>3</v>
      </c>
      <c r="C2380" s="48" t="n">
        <v>0</v>
      </c>
      <c r="D2380" s="48" t="n">
        <v>19</v>
      </c>
      <c r="E2380" s="48" t="s">
        <v>112</v>
      </c>
      <c r="F2380" s="48" t="s">
        <v>70</v>
      </c>
      <c r="G2380" s="48" t="s">
        <v>640</v>
      </c>
      <c r="H2380" s="82" t="n">
        <f aca="false">DATE(YEAR(A2380),MONTH(A2380),1)</f>
        <v>43952</v>
      </c>
    </row>
    <row r="2381" customFormat="false" ht="15" hidden="false" customHeight="false" outlineLevel="0" collapsed="false">
      <c r="A2381" s="81" t="n">
        <v>43979</v>
      </c>
      <c r="B2381" s="48" t="n">
        <v>10</v>
      </c>
      <c r="C2381" s="48" t="n">
        <v>1</v>
      </c>
      <c r="D2381" s="48" t="n">
        <v>9</v>
      </c>
      <c r="E2381" s="48" t="s">
        <v>112</v>
      </c>
      <c r="F2381" s="48" t="s">
        <v>70</v>
      </c>
      <c r="G2381" s="48" t="s">
        <v>639</v>
      </c>
      <c r="H2381" s="82" t="n">
        <f aca="false">DATE(YEAR(A2381),MONTH(A2381),1)</f>
        <v>43952</v>
      </c>
    </row>
    <row r="2382" customFormat="false" ht="15" hidden="false" customHeight="false" outlineLevel="0" collapsed="false">
      <c r="A2382" s="81" t="n">
        <v>43979</v>
      </c>
      <c r="B2382" s="48" t="n">
        <v>0</v>
      </c>
      <c r="C2382" s="48" t="n">
        <v>0</v>
      </c>
      <c r="D2382" s="48" t="n">
        <v>1</v>
      </c>
      <c r="E2382" s="48" t="s">
        <v>112</v>
      </c>
      <c r="F2382" s="48" t="s">
        <v>70</v>
      </c>
      <c r="G2382" s="48" t="s">
        <v>670</v>
      </c>
      <c r="H2382" s="82" t="n">
        <f aca="false">DATE(YEAR(A2382),MONTH(A2382),1)</f>
        <v>43952</v>
      </c>
    </row>
    <row r="2383" customFormat="false" ht="15" hidden="false" customHeight="false" outlineLevel="0" collapsed="false">
      <c r="A2383" s="81" t="n">
        <v>43979</v>
      </c>
      <c r="B2383" s="48" t="n">
        <v>2</v>
      </c>
      <c r="C2383" s="48" t="n">
        <v>0</v>
      </c>
      <c r="D2383" s="48" t="n">
        <v>1</v>
      </c>
      <c r="E2383" s="48" t="s">
        <v>112</v>
      </c>
      <c r="F2383" s="48" t="s">
        <v>70</v>
      </c>
      <c r="G2383" s="48" t="s">
        <v>679</v>
      </c>
      <c r="H2383" s="82" t="n">
        <f aca="false">DATE(YEAR(A2383),MONTH(A2383),1)</f>
        <v>43952</v>
      </c>
    </row>
    <row r="2384" customFormat="false" ht="15" hidden="false" customHeight="false" outlineLevel="0" collapsed="false">
      <c r="A2384" s="81" t="n">
        <v>43979</v>
      </c>
      <c r="B2384" s="48" t="n">
        <v>25</v>
      </c>
      <c r="C2384" s="48" t="n">
        <v>2</v>
      </c>
      <c r="D2384" s="48" t="n">
        <v>57</v>
      </c>
      <c r="E2384" s="48" t="s">
        <v>112</v>
      </c>
      <c r="F2384" s="48" t="s">
        <v>70</v>
      </c>
      <c r="G2384" s="48" t="s">
        <v>601</v>
      </c>
      <c r="H2384" s="82" t="n">
        <f aca="false">DATE(YEAR(A2384),MONTH(A2384),1)</f>
        <v>43952</v>
      </c>
    </row>
    <row r="2385" customFormat="false" ht="15" hidden="false" customHeight="false" outlineLevel="0" collapsed="false">
      <c r="A2385" s="81" t="n">
        <v>43979</v>
      </c>
      <c r="B2385" s="48" t="n">
        <v>11</v>
      </c>
      <c r="C2385" s="48" t="n">
        <v>0</v>
      </c>
      <c r="D2385" s="48" t="n">
        <v>56</v>
      </c>
      <c r="E2385" s="48" t="s">
        <v>112</v>
      </c>
      <c r="F2385" s="48" t="s">
        <v>70</v>
      </c>
      <c r="G2385" s="48" t="s">
        <v>623</v>
      </c>
      <c r="H2385" s="82" t="n">
        <f aca="false">DATE(YEAR(A2385),MONTH(A2385),1)</f>
        <v>43952</v>
      </c>
    </row>
    <row r="2386" customFormat="false" ht="15" hidden="false" customHeight="false" outlineLevel="0" collapsed="false">
      <c r="A2386" s="81" t="n">
        <v>43979</v>
      </c>
      <c r="B2386" s="48" t="n">
        <v>2</v>
      </c>
      <c r="C2386" s="48" t="n">
        <v>2</v>
      </c>
      <c r="D2386" s="48" t="n">
        <v>7</v>
      </c>
      <c r="E2386" s="48" t="s">
        <v>112</v>
      </c>
      <c r="F2386" s="48" t="s">
        <v>70</v>
      </c>
      <c r="G2386" s="48" t="s">
        <v>636</v>
      </c>
      <c r="H2386" s="82" t="n">
        <f aca="false">DATE(YEAR(A2386),MONTH(A2386),1)</f>
        <v>43952</v>
      </c>
    </row>
    <row r="2387" customFormat="false" ht="15" hidden="false" customHeight="false" outlineLevel="0" collapsed="false">
      <c r="A2387" s="81" t="n">
        <v>43979</v>
      </c>
      <c r="B2387" s="48" t="n">
        <v>85</v>
      </c>
      <c r="C2387" s="48" t="n">
        <v>3</v>
      </c>
      <c r="D2387" s="48" t="n">
        <v>9</v>
      </c>
      <c r="E2387" s="48" t="s">
        <v>112</v>
      </c>
      <c r="F2387" s="48" t="s">
        <v>74</v>
      </c>
      <c r="G2387" s="48" t="s">
        <v>95</v>
      </c>
      <c r="H2387" s="82" t="n">
        <f aca="false">DATE(YEAR(A2387),MONTH(A2387),1)</f>
        <v>43952</v>
      </c>
    </row>
    <row r="2388" customFormat="false" ht="15" hidden="false" customHeight="false" outlineLevel="0" collapsed="false">
      <c r="A2388" s="81" t="n">
        <v>43979</v>
      </c>
      <c r="B2388" s="48" t="n">
        <v>114</v>
      </c>
      <c r="C2388" s="48" t="n">
        <v>2</v>
      </c>
      <c r="D2388" s="48" t="n">
        <v>8</v>
      </c>
      <c r="E2388" s="48" t="s">
        <v>112</v>
      </c>
      <c r="F2388" s="48" t="s">
        <v>72</v>
      </c>
      <c r="G2388" s="48" t="s">
        <v>94</v>
      </c>
      <c r="H2388" s="82" t="n">
        <f aca="false">DATE(YEAR(A2388),MONTH(A2388),1)</f>
        <v>43952</v>
      </c>
    </row>
    <row r="2389" customFormat="false" ht="15" hidden="false" customHeight="false" outlineLevel="0" collapsed="false">
      <c r="A2389" s="81" t="n">
        <v>43979</v>
      </c>
      <c r="B2389" s="48" t="n">
        <v>0</v>
      </c>
      <c r="C2389" s="48" t="n">
        <v>0</v>
      </c>
      <c r="D2389" s="48" t="n">
        <v>0</v>
      </c>
      <c r="E2389" s="48" t="s">
        <v>112</v>
      </c>
      <c r="F2389" s="48" t="s">
        <v>72</v>
      </c>
      <c r="G2389" s="48" t="s">
        <v>597</v>
      </c>
      <c r="H2389" s="82" t="n">
        <f aca="false">DATE(YEAR(A2389),MONTH(A2389),1)</f>
        <v>43952</v>
      </c>
    </row>
    <row r="2390" customFormat="false" ht="15" hidden="false" customHeight="false" outlineLevel="0" collapsed="false">
      <c r="A2390" s="81" t="n">
        <v>43979</v>
      </c>
      <c r="B2390" s="48" t="n">
        <v>3</v>
      </c>
      <c r="C2390" s="48" t="n">
        <v>0</v>
      </c>
      <c r="D2390" s="48" t="n">
        <v>13</v>
      </c>
      <c r="E2390" s="48" t="s">
        <v>112</v>
      </c>
      <c r="F2390" s="48" t="s">
        <v>72</v>
      </c>
      <c r="G2390" s="48" t="s">
        <v>594</v>
      </c>
      <c r="H2390" s="82" t="n">
        <f aca="false">DATE(YEAR(A2390),MONTH(A2390),1)</f>
        <v>43952</v>
      </c>
    </row>
    <row r="2391" customFormat="false" ht="15" hidden="false" customHeight="false" outlineLevel="0" collapsed="false">
      <c r="A2391" s="81" t="n">
        <v>43979</v>
      </c>
      <c r="B2391" s="48" t="n">
        <v>23</v>
      </c>
      <c r="C2391" s="48" t="n">
        <v>0</v>
      </c>
      <c r="D2391" s="48" t="n">
        <v>1</v>
      </c>
      <c r="E2391" s="48" t="s">
        <v>112</v>
      </c>
      <c r="F2391" s="48" t="s">
        <v>72</v>
      </c>
      <c r="G2391" s="48" t="s">
        <v>599</v>
      </c>
      <c r="H2391" s="82" t="n">
        <f aca="false">DATE(YEAR(A2391),MONTH(A2391),1)</f>
        <v>43952</v>
      </c>
    </row>
    <row r="2392" customFormat="false" ht="15" hidden="false" customHeight="false" outlineLevel="0" collapsed="false">
      <c r="A2392" s="81" t="n">
        <v>43979</v>
      </c>
      <c r="B2392" s="48" t="n">
        <v>0</v>
      </c>
      <c r="C2392" s="48" t="n">
        <v>0</v>
      </c>
      <c r="D2392" s="48" t="n">
        <v>0</v>
      </c>
      <c r="E2392" s="48" t="s">
        <v>112</v>
      </c>
      <c r="F2392" s="48" t="s">
        <v>72</v>
      </c>
      <c r="G2392" s="48" t="s">
        <v>656</v>
      </c>
      <c r="H2392" s="82" t="n">
        <f aca="false">DATE(YEAR(A2392),MONTH(A2392),1)</f>
        <v>43952</v>
      </c>
    </row>
    <row r="2393" customFormat="false" ht="15" hidden="false" customHeight="false" outlineLevel="0" collapsed="false">
      <c r="A2393" s="81" t="n">
        <v>43979</v>
      </c>
      <c r="B2393" s="48" t="n">
        <v>8</v>
      </c>
      <c r="C2393" s="48" t="n">
        <v>1</v>
      </c>
      <c r="D2393" s="48" t="n">
        <v>4</v>
      </c>
      <c r="E2393" s="48" t="s">
        <v>112</v>
      </c>
      <c r="F2393" s="48" t="s">
        <v>72</v>
      </c>
      <c r="G2393" s="48" t="s">
        <v>102</v>
      </c>
      <c r="H2393" s="82" t="n">
        <f aca="false">DATE(YEAR(A2393),MONTH(A2393),1)</f>
        <v>43952</v>
      </c>
    </row>
    <row r="2394" customFormat="false" ht="15" hidden="false" customHeight="false" outlineLevel="0" collapsed="false">
      <c r="A2394" s="81" t="n">
        <v>43979</v>
      </c>
      <c r="B2394" s="48" t="n">
        <v>1</v>
      </c>
      <c r="C2394" s="48" t="n">
        <v>0</v>
      </c>
      <c r="D2394" s="48" t="n">
        <v>2</v>
      </c>
      <c r="E2394" s="48" t="s">
        <v>112</v>
      </c>
      <c r="F2394" s="48" t="s">
        <v>72</v>
      </c>
      <c r="G2394" s="48" t="s">
        <v>611</v>
      </c>
      <c r="H2394" s="82" t="n">
        <f aca="false">DATE(YEAR(A2394),MONTH(A2394),1)</f>
        <v>43952</v>
      </c>
    </row>
    <row r="2395" customFormat="false" ht="15" hidden="false" customHeight="false" outlineLevel="0" collapsed="false">
      <c r="A2395" s="81" t="n">
        <v>43979</v>
      </c>
      <c r="B2395" s="48" t="n">
        <v>76</v>
      </c>
      <c r="C2395" s="48" t="n">
        <v>1</v>
      </c>
      <c r="D2395" s="48" t="n">
        <v>11</v>
      </c>
      <c r="E2395" s="48" t="s">
        <v>112</v>
      </c>
      <c r="F2395" s="48" t="s">
        <v>72</v>
      </c>
      <c r="G2395" s="48" t="s">
        <v>96</v>
      </c>
      <c r="H2395" s="82" t="n">
        <f aca="false">DATE(YEAR(A2395),MONTH(A2395),1)</f>
        <v>43952</v>
      </c>
    </row>
    <row r="2396" customFormat="false" ht="15" hidden="false" customHeight="false" outlineLevel="0" collapsed="false">
      <c r="A2396" s="81" t="n">
        <v>43979</v>
      </c>
      <c r="B2396" s="48" t="n">
        <v>6</v>
      </c>
      <c r="C2396" s="48" t="n">
        <v>0</v>
      </c>
      <c r="D2396" s="48" t="n">
        <v>3</v>
      </c>
      <c r="E2396" s="48" t="s">
        <v>112</v>
      </c>
      <c r="F2396" s="48" t="s">
        <v>72</v>
      </c>
      <c r="G2396" s="48" t="s">
        <v>603</v>
      </c>
      <c r="H2396" s="82" t="n">
        <f aca="false">DATE(YEAR(A2396),MONTH(A2396),1)</f>
        <v>43952</v>
      </c>
    </row>
    <row r="2397" customFormat="false" ht="15" hidden="false" customHeight="false" outlineLevel="0" collapsed="false">
      <c r="A2397" s="81" t="n">
        <v>43979</v>
      </c>
      <c r="B2397" s="48" t="n">
        <v>12</v>
      </c>
      <c r="C2397" s="48" t="n">
        <v>0</v>
      </c>
      <c r="D2397" s="48" t="n">
        <v>3</v>
      </c>
      <c r="E2397" s="48" t="s">
        <v>112</v>
      </c>
      <c r="F2397" s="48" t="s">
        <v>72</v>
      </c>
      <c r="G2397" s="48" t="s">
        <v>591</v>
      </c>
      <c r="H2397" s="82" t="n">
        <f aca="false">DATE(YEAR(A2397),MONTH(A2397),1)</f>
        <v>43952</v>
      </c>
    </row>
    <row r="2398" customFormat="false" ht="15" hidden="false" customHeight="false" outlineLevel="0" collapsed="false">
      <c r="A2398" s="81" t="n">
        <v>43979</v>
      </c>
      <c r="B2398" s="48" t="n">
        <v>1</v>
      </c>
      <c r="C2398" s="48" t="n">
        <v>0</v>
      </c>
      <c r="D2398" s="48" t="n">
        <v>0</v>
      </c>
      <c r="E2398" s="48" t="s">
        <v>112</v>
      </c>
      <c r="F2398" s="48" t="s">
        <v>72</v>
      </c>
      <c r="G2398" s="48" t="s">
        <v>598</v>
      </c>
      <c r="H2398" s="82" t="n">
        <f aca="false">DATE(YEAR(A2398),MONTH(A2398),1)</f>
        <v>43952</v>
      </c>
    </row>
    <row r="2399" customFormat="false" ht="15" hidden="false" customHeight="false" outlineLevel="0" collapsed="false">
      <c r="A2399" s="81" t="n">
        <v>43979</v>
      </c>
      <c r="B2399" s="48" t="n">
        <v>3</v>
      </c>
      <c r="C2399" s="48" t="n">
        <v>0</v>
      </c>
      <c r="D2399" s="48" t="n">
        <v>0</v>
      </c>
      <c r="E2399" s="48" t="s">
        <v>112</v>
      </c>
      <c r="F2399" s="48" t="s">
        <v>72</v>
      </c>
      <c r="G2399" s="48" t="s">
        <v>609</v>
      </c>
      <c r="H2399" s="82" t="n">
        <f aca="false">DATE(YEAR(A2399),MONTH(A2399),1)</f>
        <v>43952</v>
      </c>
    </row>
    <row r="2400" customFormat="false" ht="15" hidden="false" customHeight="false" outlineLevel="0" collapsed="false">
      <c r="A2400" s="81" t="n">
        <v>43979</v>
      </c>
      <c r="B2400" s="48" t="n">
        <v>20</v>
      </c>
      <c r="C2400" s="48" t="n">
        <v>1</v>
      </c>
      <c r="D2400" s="48" t="n">
        <v>4</v>
      </c>
      <c r="E2400" s="48" t="s">
        <v>112</v>
      </c>
      <c r="F2400" s="48" t="s">
        <v>72</v>
      </c>
      <c r="G2400" s="48" t="s">
        <v>101</v>
      </c>
      <c r="H2400" s="82" t="n">
        <f aca="false">DATE(YEAR(A2400),MONTH(A2400),1)</f>
        <v>43952</v>
      </c>
    </row>
    <row r="2401" customFormat="false" ht="15" hidden="false" customHeight="false" outlineLevel="0" collapsed="false">
      <c r="A2401" s="81" t="n">
        <v>43979</v>
      </c>
      <c r="B2401" s="48" t="n">
        <v>0</v>
      </c>
      <c r="C2401" s="48" t="n">
        <v>0</v>
      </c>
      <c r="D2401" s="48" t="n">
        <v>0</v>
      </c>
      <c r="E2401" s="48" t="s">
        <v>112</v>
      </c>
      <c r="F2401" s="48" t="s">
        <v>72</v>
      </c>
      <c r="G2401" s="48" t="s">
        <v>643</v>
      </c>
      <c r="H2401" s="82" t="n">
        <f aca="false">DATE(YEAR(A2401),MONTH(A2401),1)</f>
        <v>43952</v>
      </c>
    </row>
    <row r="2402" customFormat="false" ht="15" hidden="false" customHeight="false" outlineLevel="0" collapsed="false">
      <c r="A2402" s="81" t="n">
        <v>43979</v>
      </c>
      <c r="B2402" s="48" t="n">
        <v>0</v>
      </c>
      <c r="C2402" s="48" t="n">
        <v>0</v>
      </c>
      <c r="D2402" s="48" t="n">
        <v>0</v>
      </c>
      <c r="E2402" s="48" t="s">
        <v>112</v>
      </c>
      <c r="F2402" s="48" t="s">
        <v>72</v>
      </c>
      <c r="G2402" s="48" t="s">
        <v>662</v>
      </c>
      <c r="H2402" s="82" t="n">
        <f aca="false">DATE(YEAR(A2402),MONTH(A2402),1)</f>
        <v>43952</v>
      </c>
    </row>
    <row r="2403" customFormat="false" ht="15" hidden="false" customHeight="false" outlineLevel="0" collapsed="false">
      <c r="A2403" s="81" t="n">
        <v>43979</v>
      </c>
      <c r="B2403" s="48" t="n">
        <v>7</v>
      </c>
      <c r="C2403" s="48" t="n">
        <v>0</v>
      </c>
      <c r="D2403" s="48" t="n">
        <v>2</v>
      </c>
      <c r="E2403" s="48" t="s">
        <v>112</v>
      </c>
      <c r="F2403" s="48" t="s">
        <v>72</v>
      </c>
      <c r="G2403" s="48" t="s">
        <v>600</v>
      </c>
      <c r="H2403" s="82" t="n">
        <f aca="false">DATE(YEAR(A2403),MONTH(A2403),1)</f>
        <v>43952</v>
      </c>
    </row>
    <row r="2404" customFormat="false" ht="15" hidden="false" customHeight="false" outlineLevel="0" collapsed="false">
      <c r="A2404" s="81" t="n">
        <v>43979</v>
      </c>
      <c r="B2404" s="48" t="n">
        <v>3</v>
      </c>
      <c r="C2404" s="48" t="n">
        <v>0</v>
      </c>
      <c r="D2404" s="48" t="n">
        <v>2</v>
      </c>
      <c r="E2404" s="48" t="s">
        <v>112</v>
      </c>
      <c r="F2404" s="48" t="s">
        <v>72</v>
      </c>
      <c r="G2404" s="48" t="s">
        <v>610</v>
      </c>
      <c r="H2404" s="82" t="n">
        <f aca="false">DATE(YEAR(A2404),MONTH(A2404),1)</f>
        <v>43952</v>
      </c>
    </row>
    <row r="2405" customFormat="false" ht="15" hidden="false" customHeight="false" outlineLevel="0" collapsed="false">
      <c r="A2405" s="81" t="n">
        <v>43979</v>
      </c>
      <c r="B2405" s="48" t="n">
        <v>12</v>
      </c>
      <c r="C2405" s="48" t="n">
        <v>1</v>
      </c>
      <c r="D2405" s="48" t="n">
        <v>2</v>
      </c>
      <c r="E2405" s="48" t="s">
        <v>112</v>
      </c>
      <c r="F2405" s="48" t="s">
        <v>72</v>
      </c>
      <c r="G2405" s="48" t="s">
        <v>593</v>
      </c>
      <c r="H2405" s="82" t="n">
        <f aca="false">DATE(YEAR(A2405),MONTH(A2405),1)</f>
        <v>43952</v>
      </c>
    </row>
    <row r="2406" customFormat="false" ht="15" hidden="false" customHeight="false" outlineLevel="0" collapsed="false">
      <c r="A2406" s="81" t="n">
        <v>43979</v>
      </c>
      <c r="B2406" s="48" t="n">
        <v>1</v>
      </c>
      <c r="C2406" s="48" t="n">
        <v>0</v>
      </c>
      <c r="D2406" s="48" t="n">
        <v>0</v>
      </c>
      <c r="E2406" s="48" t="s">
        <v>112</v>
      </c>
      <c r="F2406" s="48" t="s">
        <v>72</v>
      </c>
      <c r="G2406" s="48" t="s">
        <v>612</v>
      </c>
      <c r="H2406" s="82" t="n">
        <f aca="false">DATE(YEAR(A2406),MONTH(A2406),1)</f>
        <v>43952</v>
      </c>
    </row>
    <row r="2407" customFormat="false" ht="15" hidden="false" customHeight="false" outlineLevel="0" collapsed="false">
      <c r="A2407" s="81" t="n">
        <v>43979</v>
      </c>
      <c r="B2407" s="48" t="n">
        <v>0</v>
      </c>
      <c r="C2407" s="48" t="n">
        <v>0</v>
      </c>
      <c r="D2407" s="48" t="n">
        <v>0</v>
      </c>
      <c r="E2407" s="48" t="s">
        <v>112</v>
      </c>
      <c r="F2407" s="48" t="s">
        <v>72</v>
      </c>
      <c r="G2407" s="48" t="s">
        <v>685</v>
      </c>
      <c r="H2407" s="82" t="n">
        <f aca="false">DATE(YEAR(A2407),MONTH(A2407),1)</f>
        <v>43952</v>
      </c>
    </row>
    <row r="2408" customFormat="false" ht="15" hidden="false" customHeight="false" outlineLevel="0" collapsed="false">
      <c r="A2408" s="81" t="n">
        <v>43979</v>
      </c>
      <c r="B2408" s="48" t="n">
        <v>0</v>
      </c>
      <c r="C2408" s="48" t="n">
        <v>0</v>
      </c>
      <c r="D2408" s="48" t="n">
        <v>0</v>
      </c>
      <c r="E2408" s="48" t="s">
        <v>112</v>
      </c>
      <c r="F2408" s="48" t="s">
        <v>72</v>
      </c>
      <c r="G2408" s="48" t="s">
        <v>687</v>
      </c>
      <c r="H2408" s="82" t="n">
        <f aca="false">DATE(YEAR(A2408),MONTH(A2408),1)</f>
        <v>43952</v>
      </c>
    </row>
    <row r="2409" customFormat="false" ht="15" hidden="false" customHeight="false" outlineLevel="0" collapsed="false">
      <c r="A2409" s="81" t="n">
        <v>43979</v>
      </c>
      <c r="B2409" s="48" t="n">
        <v>0</v>
      </c>
      <c r="C2409" s="48" t="n">
        <v>0</v>
      </c>
      <c r="D2409" s="48" t="n">
        <v>0</v>
      </c>
      <c r="E2409" s="48" t="s">
        <v>112</v>
      </c>
      <c r="F2409" s="48" t="s">
        <v>72</v>
      </c>
      <c r="G2409" s="48" t="s">
        <v>682</v>
      </c>
      <c r="H2409" s="82" t="n">
        <f aca="false">DATE(YEAR(A2409),MONTH(A2409),1)</f>
        <v>43952</v>
      </c>
    </row>
    <row r="2410" customFormat="false" ht="15" hidden="false" customHeight="false" outlineLevel="0" collapsed="false">
      <c r="A2410" s="81" t="n">
        <v>43979</v>
      </c>
      <c r="B2410" s="48" t="n">
        <v>0</v>
      </c>
      <c r="C2410" s="48" t="n">
        <v>0</v>
      </c>
      <c r="D2410" s="48" t="n">
        <v>0</v>
      </c>
      <c r="E2410" s="48" t="s">
        <v>112</v>
      </c>
      <c r="F2410" s="48" t="s">
        <v>72</v>
      </c>
      <c r="G2410" s="48" t="s">
        <v>692</v>
      </c>
      <c r="H2410" s="82" t="n">
        <f aca="false">DATE(YEAR(A2410),MONTH(A2410),1)</f>
        <v>43952</v>
      </c>
    </row>
    <row r="2411" customFormat="false" ht="15" hidden="false" customHeight="false" outlineLevel="0" collapsed="false">
      <c r="A2411" s="81" t="n">
        <v>43979</v>
      </c>
      <c r="B2411" s="48" t="n">
        <v>0</v>
      </c>
      <c r="C2411" s="48" t="n">
        <v>0</v>
      </c>
      <c r="D2411" s="48" t="n">
        <v>0</v>
      </c>
      <c r="E2411" s="48" t="s">
        <v>112</v>
      </c>
      <c r="F2411" s="48" t="s">
        <v>72</v>
      </c>
      <c r="G2411" s="48" t="s">
        <v>613</v>
      </c>
      <c r="H2411" s="82" t="n">
        <f aca="false">DATE(YEAR(A2411),MONTH(A2411),1)</f>
        <v>43952</v>
      </c>
    </row>
    <row r="2412" customFormat="false" ht="15" hidden="false" customHeight="false" outlineLevel="0" collapsed="false">
      <c r="A2412" s="81" t="n">
        <v>43979</v>
      </c>
      <c r="B2412" s="48" t="n">
        <v>1</v>
      </c>
      <c r="C2412" s="48" t="n">
        <v>1</v>
      </c>
      <c r="D2412" s="48" t="n">
        <v>0</v>
      </c>
      <c r="E2412" s="48" t="s">
        <v>112</v>
      </c>
      <c r="F2412" s="48" t="s">
        <v>72</v>
      </c>
      <c r="G2412" s="48" t="s">
        <v>614</v>
      </c>
      <c r="H2412" s="82" t="n">
        <f aca="false">DATE(YEAR(A2412),MONTH(A2412),1)</f>
        <v>43952</v>
      </c>
    </row>
    <row r="2413" customFormat="false" ht="15" hidden="false" customHeight="false" outlineLevel="0" collapsed="false">
      <c r="A2413" s="81" t="n">
        <v>43979</v>
      </c>
      <c r="B2413" s="48" t="n">
        <v>0</v>
      </c>
      <c r="C2413" s="48" t="n">
        <v>0</v>
      </c>
      <c r="D2413" s="48" t="n">
        <v>0</v>
      </c>
      <c r="E2413" s="48" t="s">
        <v>112</v>
      </c>
      <c r="F2413" s="48" t="s">
        <v>72</v>
      </c>
      <c r="G2413" s="48" t="s">
        <v>655</v>
      </c>
      <c r="H2413" s="82" t="n">
        <f aca="false">DATE(YEAR(A2413),MONTH(A2413),1)</f>
        <v>43952</v>
      </c>
    </row>
    <row r="2414" customFormat="false" ht="15" hidden="false" customHeight="false" outlineLevel="0" collapsed="false">
      <c r="A2414" s="81" t="n">
        <v>43979</v>
      </c>
      <c r="B2414" s="48" t="n">
        <v>1</v>
      </c>
      <c r="C2414" s="48" t="n">
        <v>0</v>
      </c>
      <c r="D2414" s="48" t="n">
        <v>1</v>
      </c>
      <c r="E2414" s="48" t="s">
        <v>112</v>
      </c>
      <c r="F2414" s="48" t="s">
        <v>72</v>
      </c>
      <c r="G2414" s="48" t="s">
        <v>608</v>
      </c>
      <c r="H2414" s="82" t="n">
        <f aca="false">DATE(YEAR(A2414),MONTH(A2414),1)</f>
        <v>43952</v>
      </c>
    </row>
    <row r="2415" customFormat="false" ht="15" hidden="false" customHeight="false" outlineLevel="0" collapsed="false">
      <c r="A2415" s="81" t="n">
        <v>43979</v>
      </c>
      <c r="B2415" s="48" t="n">
        <v>0</v>
      </c>
      <c r="C2415" s="48" t="n">
        <v>0</v>
      </c>
      <c r="D2415" s="48" t="n">
        <v>2</v>
      </c>
      <c r="E2415" s="48" t="s">
        <v>112</v>
      </c>
      <c r="F2415" s="48" t="s">
        <v>72</v>
      </c>
      <c r="G2415" s="48" t="s">
        <v>615</v>
      </c>
      <c r="H2415" s="82" t="n">
        <f aca="false">DATE(YEAR(A2415),MONTH(A2415),1)</f>
        <v>43952</v>
      </c>
    </row>
    <row r="2416" customFormat="false" ht="15" hidden="false" customHeight="false" outlineLevel="0" collapsed="false">
      <c r="A2416" s="81" t="n">
        <v>43979</v>
      </c>
      <c r="B2416" s="48" t="n">
        <v>0</v>
      </c>
      <c r="C2416" s="48" t="n">
        <v>0</v>
      </c>
      <c r="D2416" s="48" t="n">
        <v>0</v>
      </c>
      <c r="E2416" s="48" t="s">
        <v>112</v>
      </c>
      <c r="F2416" s="48" t="s">
        <v>72</v>
      </c>
      <c r="G2416" s="48" t="s">
        <v>666</v>
      </c>
      <c r="H2416" s="82" t="n">
        <f aca="false">DATE(YEAR(A2416),MONTH(A2416),1)</f>
        <v>43952</v>
      </c>
    </row>
    <row r="2417" customFormat="false" ht="15" hidden="false" customHeight="false" outlineLevel="0" collapsed="false">
      <c r="A2417" s="81" t="n">
        <v>43979</v>
      </c>
      <c r="B2417" s="48" t="n">
        <v>0</v>
      </c>
      <c r="C2417" s="48" t="n">
        <v>0</v>
      </c>
      <c r="D2417" s="48" t="n">
        <v>1</v>
      </c>
      <c r="E2417" s="48" t="s">
        <v>112</v>
      </c>
      <c r="F2417" s="48" t="s">
        <v>72</v>
      </c>
      <c r="G2417" s="48" t="s">
        <v>621</v>
      </c>
      <c r="H2417" s="82" t="n">
        <f aca="false">DATE(YEAR(A2417),MONTH(A2417),1)</f>
        <v>43952</v>
      </c>
    </row>
    <row r="2418" customFormat="false" ht="15" hidden="false" customHeight="false" outlineLevel="0" collapsed="false">
      <c r="A2418" s="81" t="n">
        <v>43979</v>
      </c>
      <c r="B2418" s="48" t="n">
        <v>0</v>
      </c>
      <c r="C2418" s="48" t="n">
        <v>0</v>
      </c>
      <c r="D2418" s="48" t="n">
        <v>0</v>
      </c>
      <c r="E2418" s="48" t="s">
        <v>112</v>
      </c>
      <c r="F2418" s="48" t="s">
        <v>72</v>
      </c>
      <c r="G2418" s="48" t="s">
        <v>664</v>
      </c>
      <c r="H2418" s="82" t="n">
        <f aca="false">DATE(YEAR(A2418),MONTH(A2418),1)</f>
        <v>43952</v>
      </c>
    </row>
    <row r="2419" customFormat="false" ht="15" hidden="false" customHeight="false" outlineLevel="0" collapsed="false">
      <c r="A2419" s="81" t="n">
        <v>43979</v>
      </c>
      <c r="B2419" s="48" t="n">
        <v>0</v>
      </c>
      <c r="C2419" s="48" t="n">
        <v>0</v>
      </c>
      <c r="D2419" s="48" t="n">
        <v>0</v>
      </c>
      <c r="E2419" s="48" t="s">
        <v>112</v>
      </c>
      <c r="F2419" s="48" t="s">
        <v>72</v>
      </c>
      <c r="G2419" s="48" t="s">
        <v>667</v>
      </c>
      <c r="H2419" s="82" t="n">
        <f aca="false">DATE(YEAR(A2419),MONTH(A2419),1)</f>
        <v>43952</v>
      </c>
    </row>
    <row r="2420" customFormat="false" ht="15" hidden="false" customHeight="false" outlineLevel="0" collapsed="false">
      <c r="A2420" s="81" t="n">
        <v>43979</v>
      </c>
      <c r="B2420" s="48" t="n">
        <v>0</v>
      </c>
      <c r="C2420" s="48" t="n">
        <v>0</v>
      </c>
      <c r="D2420" s="48" t="n">
        <v>3</v>
      </c>
      <c r="E2420" s="48" t="s">
        <v>112</v>
      </c>
      <c r="F2420" s="48" t="s">
        <v>72</v>
      </c>
      <c r="G2420" s="48" t="s">
        <v>607</v>
      </c>
      <c r="H2420" s="82" t="n">
        <f aca="false">DATE(YEAR(A2420),MONTH(A2420),1)</f>
        <v>43952</v>
      </c>
    </row>
    <row r="2421" customFormat="false" ht="15" hidden="false" customHeight="false" outlineLevel="0" collapsed="false">
      <c r="A2421" s="81" t="n">
        <v>43979</v>
      </c>
      <c r="B2421" s="48" t="n">
        <v>0</v>
      </c>
      <c r="C2421" s="48" t="n">
        <v>0</v>
      </c>
      <c r="D2421" s="48" t="n">
        <v>0</v>
      </c>
      <c r="E2421" s="48" t="s">
        <v>112</v>
      </c>
      <c r="F2421" s="48" t="s">
        <v>72</v>
      </c>
      <c r="G2421" s="48" t="s">
        <v>673</v>
      </c>
      <c r="H2421" s="82" t="n">
        <f aca="false">DATE(YEAR(A2421),MONTH(A2421),1)</f>
        <v>43952</v>
      </c>
    </row>
    <row r="2422" customFormat="false" ht="15" hidden="false" customHeight="false" outlineLevel="0" collapsed="false">
      <c r="A2422" s="81" t="n">
        <v>43979</v>
      </c>
      <c r="B2422" s="48" t="n">
        <v>0</v>
      </c>
      <c r="C2422" s="48" t="n">
        <v>0</v>
      </c>
      <c r="D2422" s="48" t="n">
        <v>0</v>
      </c>
      <c r="E2422" s="48" t="s">
        <v>112</v>
      </c>
      <c r="F2422" s="48" t="s">
        <v>72</v>
      </c>
      <c r="G2422" s="48" t="s">
        <v>676</v>
      </c>
      <c r="H2422" s="82" t="n">
        <f aca="false">DATE(YEAR(A2422),MONTH(A2422),1)</f>
        <v>43952</v>
      </c>
    </row>
    <row r="2423" customFormat="false" ht="15" hidden="false" customHeight="false" outlineLevel="0" collapsed="false">
      <c r="A2423" s="81" t="n">
        <v>43979</v>
      </c>
      <c r="B2423" s="48" t="n">
        <v>8</v>
      </c>
      <c r="C2423" s="48" t="n">
        <v>0</v>
      </c>
      <c r="D2423" s="48" t="n">
        <v>0</v>
      </c>
      <c r="E2423" s="48" t="s">
        <v>112</v>
      </c>
      <c r="F2423" s="48" t="s">
        <v>76</v>
      </c>
      <c r="G2423" s="48" t="s">
        <v>595</v>
      </c>
      <c r="H2423" s="82" t="n">
        <f aca="false">DATE(YEAR(A2423),MONTH(A2423),1)</f>
        <v>43952</v>
      </c>
    </row>
    <row r="2424" customFormat="false" ht="15" hidden="false" customHeight="false" outlineLevel="0" collapsed="false">
      <c r="A2424" s="81" t="n">
        <v>43979</v>
      </c>
      <c r="B2424" s="48" t="n">
        <v>147</v>
      </c>
      <c r="C2424" s="48" t="n">
        <v>2</v>
      </c>
      <c r="D2424" s="48" t="n">
        <v>65</v>
      </c>
      <c r="E2424" s="48" t="s">
        <v>112</v>
      </c>
      <c r="F2424" s="48" t="s">
        <v>73</v>
      </c>
      <c r="G2424" s="48" t="s">
        <v>93</v>
      </c>
      <c r="H2424" s="82" t="n">
        <f aca="false">DATE(YEAR(A2424),MONTH(A2424),1)</f>
        <v>43952</v>
      </c>
    </row>
    <row r="2425" customFormat="false" ht="15" hidden="false" customHeight="false" outlineLevel="0" collapsed="false">
      <c r="A2425" s="81" t="n">
        <v>43979</v>
      </c>
      <c r="B2425" s="48" t="n">
        <v>927</v>
      </c>
      <c r="C2425" s="48" t="n">
        <v>29</v>
      </c>
      <c r="D2425" s="48" t="n">
        <v>12</v>
      </c>
      <c r="E2425" s="48" t="s">
        <v>112</v>
      </c>
      <c r="F2425" s="48" t="s">
        <v>71</v>
      </c>
      <c r="G2425" s="48" t="s">
        <v>92</v>
      </c>
      <c r="H2425" s="82" t="n">
        <f aca="false">DATE(YEAR(A2425),MONTH(A2425),1)</f>
        <v>43952</v>
      </c>
    </row>
    <row r="2426" customFormat="false" ht="15" hidden="false" customHeight="false" outlineLevel="0" collapsed="false">
      <c r="A2426" s="81" t="n">
        <v>43980</v>
      </c>
      <c r="B2426" s="48" t="n">
        <v>92</v>
      </c>
      <c r="C2426" s="48" t="n">
        <v>1</v>
      </c>
      <c r="D2426" s="48" t="n">
        <v>0</v>
      </c>
      <c r="E2426" s="48" t="s">
        <v>112</v>
      </c>
      <c r="F2426" s="48" t="s">
        <v>74</v>
      </c>
      <c r="G2426" s="48" t="s">
        <v>95</v>
      </c>
      <c r="H2426" s="82" t="n">
        <f aca="false">DATE(YEAR(A2426),MONTH(A2426),1)</f>
        <v>43952</v>
      </c>
    </row>
    <row r="2427" customFormat="false" ht="15" hidden="false" customHeight="false" outlineLevel="0" collapsed="false">
      <c r="A2427" s="81" t="n">
        <v>43980</v>
      </c>
      <c r="B2427" s="48" t="n">
        <v>1</v>
      </c>
      <c r="C2427" s="48" t="n">
        <v>0</v>
      </c>
      <c r="D2427" s="48" t="n">
        <v>0</v>
      </c>
      <c r="E2427" s="48" t="s">
        <v>112</v>
      </c>
      <c r="F2427" s="48" t="s">
        <v>75</v>
      </c>
      <c r="G2427" s="48" t="s">
        <v>650</v>
      </c>
      <c r="H2427" s="82" t="n">
        <f aca="false">DATE(YEAR(A2427),MONTH(A2427),1)</f>
        <v>43952</v>
      </c>
    </row>
    <row r="2428" customFormat="false" ht="15" hidden="false" customHeight="false" outlineLevel="0" collapsed="false">
      <c r="A2428" s="81" t="n">
        <v>43980</v>
      </c>
      <c r="B2428" s="48" t="n">
        <v>1</v>
      </c>
      <c r="C2428" s="48" t="n">
        <v>0</v>
      </c>
      <c r="D2428" s="48" t="n">
        <v>0</v>
      </c>
      <c r="E2428" s="48" t="s">
        <v>112</v>
      </c>
      <c r="F2428" s="48" t="s">
        <v>75</v>
      </c>
      <c r="G2428" s="48" t="s">
        <v>617</v>
      </c>
      <c r="H2428" s="82" t="n">
        <f aca="false">DATE(YEAR(A2428),MONTH(A2428),1)</f>
        <v>43952</v>
      </c>
    </row>
    <row r="2429" customFormat="false" ht="15" hidden="false" customHeight="false" outlineLevel="0" collapsed="false">
      <c r="A2429" s="81" t="n">
        <v>43980</v>
      </c>
      <c r="B2429" s="48" t="n">
        <v>2</v>
      </c>
      <c r="C2429" s="48" t="n">
        <v>0</v>
      </c>
      <c r="D2429" s="48" t="n">
        <v>0</v>
      </c>
      <c r="E2429" s="48" t="s">
        <v>112</v>
      </c>
      <c r="F2429" s="48" t="s">
        <v>75</v>
      </c>
      <c r="G2429" s="48" t="s">
        <v>624</v>
      </c>
      <c r="H2429" s="82" t="n">
        <f aca="false">DATE(YEAR(A2429),MONTH(A2429),1)</f>
        <v>43952</v>
      </c>
    </row>
    <row r="2430" customFormat="false" ht="15" hidden="false" customHeight="false" outlineLevel="0" collapsed="false">
      <c r="A2430" s="81" t="n">
        <v>43980</v>
      </c>
      <c r="B2430" s="48" t="n">
        <v>0</v>
      </c>
      <c r="C2430" s="48" t="n">
        <v>0</v>
      </c>
      <c r="D2430" s="48" t="n">
        <v>4</v>
      </c>
      <c r="E2430" s="48" t="s">
        <v>112</v>
      </c>
      <c r="F2430" s="48" t="s">
        <v>75</v>
      </c>
      <c r="G2430" s="48" t="s">
        <v>629</v>
      </c>
      <c r="H2430" s="82" t="n">
        <f aca="false">DATE(YEAR(A2430),MONTH(A2430),1)</f>
        <v>43952</v>
      </c>
    </row>
    <row r="2431" customFormat="false" ht="15" hidden="false" customHeight="false" outlineLevel="0" collapsed="false">
      <c r="A2431" s="81" t="n">
        <v>43980</v>
      </c>
      <c r="B2431" s="48" t="n">
        <v>2</v>
      </c>
      <c r="C2431" s="48" t="n">
        <v>0</v>
      </c>
      <c r="D2431" s="48" t="n">
        <v>0</v>
      </c>
      <c r="E2431" s="48" t="s">
        <v>112</v>
      </c>
      <c r="F2431" s="48" t="s">
        <v>75</v>
      </c>
      <c r="G2431" s="48" t="s">
        <v>654</v>
      </c>
      <c r="H2431" s="82" t="n">
        <f aca="false">DATE(YEAR(A2431),MONTH(A2431),1)</f>
        <v>43952</v>
      </c>
    </row>
    <row r="2432" customFormat="false" ht="15" hidden="false" customHeight="false" outlineLevel="0" collapsed="false">
      <c r="A2432" s="81" t="n">
        <v>43980</v>
      </c>
      <c r="B2432" s="48" t="n">
        <v>83</v>
      </c>
      <c r="C2432" s="48" t="n">
        <v>5</v>
      </c>
      <c r="D2432" s="48" t="n">
        <v>8</v>
      </c>
      <c r="E2432" s="48" t="s">
        <v>112</v>
      </c>
      <c r="F2432" s="48" t="s">
        <v>72</v>
      </c>
      <c r="G2432" s="48" t="s">
        <v>94</v>
      </c>
      <c r="H2432" s="82" t="n">
        <f aca="false">DATE(YEAR(A2432),MONTH(A2432),1)</f>
        <v>43952</v>
      </c>
    </row>
    <row r="2433" customFormat="false" ht="15" hidden="false" customHeight="false" outlineLevel="0" collapsed="false">
      <c r="A2433" s="81" t="n">
        <v>43980</v>
      </c>
      <c r="B2433" s="48" t="n">
        <v>2</v>
      </c>
      <c r="C2433" s="48" t="n">
        <v>0</v>
      </c>
      <c r="D2433" s="48" t="n">
        <v>0</v>
      </c>
      <c r="E2433" s="48" t="s">
        <v>112</v>
      </c>
      <c r="F2433" s="48" t="s">
        <v>72</v>
      </c>
      <c r="G2433" s="48" t="s">
        <v>597</v>
      </c>
      <c r="H2433" s="82" t="n">
        <f aca="false">DATE(YEAR(A2433),MONTH(A2433),1)</f>
        <v>43952</v>
      </c>
    </row>
    <row r="2434" customFormat="false" ht="15" hidden="false" customHeight="false" outlineLevel="0" collapsed="false">
      <c r="A2434" s="81" t="n">
        <v>43980</v>
      </c>
      <c r="B2434" s="48" t="n">
        <v>7</v>
      </c>
      <c r="C2434" s="48" t="n">
        <v>0</v>
      </c>
      <c r="D2434" s="48" t="n">
        <v>0</v>
      </c>
      <c r="E2434" s="48" t="s">
        <v>112</v>
      </c>
      <c r="F2434" s="48" t="s">
        <v>72</v>
      </c>
      <c r="G2434" s="48" t="s">
        <v>594</v>
      </c>
      <c r="H2434" s="82" t="n">
        <f aca="false">DATE(YEAR(A2434),MONTH(A2434),1)</f>
        <v>43952</v>
      </c>
    </row>
    <row r="2435" customFormat="false" ht="15" hidden="false" customHeight="false" outlineLevel="0" collapsed="false">
      <c r="A2435" s="81" t="n">
        <v>43980</v>
      </c>
      <c r="B2435" s="48" t="n">
        <v>0</v>
      </c>
      <c r="C2435" s="48" t="n">
        <v>0</v>
      </c>
      <c r="D2435" s="48" t="n">
        <v>2</v>
      </c>
      <c r="E2435" s="48" t="s">
        <v>112</v>
      </c>
      <c r="F2435" s="48" t="s">
        <v>72</v>
      </c>
      <c r="G2435" s="48" t="s">
        <v>599</v>
      </c>
      <c r="H2435" s="82" t="n">
        <f aca="false">DATE(YEAR(A2435),MONTH(A2435),1)</f>
        <v>43952</v>
      </c>
    </row>
    <row r="2436" customFormat="false" ht="15" hidden="false" customHeight="false" outlineLevel="0" collapsed="false">
      <c r="A2436" s="81" t="n">
        <v>43980</v>
      </c>
      <c r="B2436" s="48" t="n">
        <v>0</v>
      </c>
      <c r="C2436" s="48" t="n">
        <v>0</v>
      </c>
      <c r="D2436" s="48" t="n">
        <v>0</v>
      </c>
      <c r="E2436" s="48" t="s">
        <v>112</v>
      </c>
      <c r="F2436" s="48" t="s">
        <v>72</v>
      </c>
      <c r="G2436" s="48" t="s">
        <v>656</v>
      </c>
      <c r="H2436" s="82" t="n">
        <f aca="false">DATE(YEAR(A2436),MONTH(A2436),1)</f>
        <v>43952</v>
      </c>
    </row>
    <row r="2437" customFormat="false" ht="15" hidden="false" customHeight="false" outlineLevel="0" collapsed="false">
      <c r="A2437" s="81" t="n">
        <v>43980</v>
      </c>
      <c r="B2437" s="48" t="n">
        <v>0</v>
      </c>
      <c r="C2437" s="48" t="n">
        <v>1</v>
      </c>
      <c r="D2437" s="48" t="n">
        <v>1</v>
      </c>
      <c r="E2437" s="48" t="s">
        <v>112</v>
      </c>
      <c r="F2437" s="48" t="s">
        <v>72</v>
      </c>
      <c r="G2437" s="48" t="s">
        <v>102</v>
      </c>
      <c r="H2437" s="82" t="n">
        <f aca="false">DATE(YEAR(A2437),MONTH(A2437),1)</f>
        <v>43952</v>
      </c>
    </row>
    <row r="2438" customFormat="false" ht="15" hidden="false" customHeight="false" outlineLevel="0" collapsed="false">
      <c r="A2438" s="81" t="n">
        <v>43980</v>
      </c>
      <c r="B2438" s="48" t="n">
        <v>0</v>
      </c>
      <c r="C2438" s="48" t="n">
        <v>0</v>
      </c>
      <c r="D2438" s="48" t="n">
        <v>1</v>
      </c>
      <c r="E2438" s="48" t="s">
        <v>112</v>
      </c>
      <c r="F2438" s="48" t="s">
        <v>72</v>
      </c>
      <c r="G2438" s="48" t="s">
        <v>611</v>
      </c>
      <c r="H2438" s="82" t="n">
        <f aca="false">DATE(YEAR(A2438),MONTH(A2438),1)</f>
        <v>43952</v>
      </c>
    </row>
    <row r="2439" customFormat="false" ht="15" hidden="false" customHeight="false" outlineLevel="0" collapsed="false">
      <c r="A2439" s="81" t="n">
        <v>43980</v>
      </c>
      <c r="B2439" s="48" t="n">
        <v>40</v>
      </c>
      <c r="C2439" s="48" t="n">
        <v>2</v>
      </c>
      <c r="D2439" s="48" t="n">
        <v>5</v>
      </c>
      <c r="E2439" s="48" t="s">
        <v>112</v>
      </c>
      <c r="F2439" s="48" t="s">
        <v>72</v>
      </c>
      <c r="G2439" s="48" t="s">
        <v>96</v>
      </c>
      <c r="H2439" s="82" t="n">
        <f aca="false">DATE(YEAR(A2439),MONTH(A2439),1)</f>
        <v>43952</v>
      </c>
    </row>
    <row r="2440" customFormat="false" ht="15" hidden="false" customHeight="false" outlineLevel="0" collapsed="false">
      <c r="A2440" s="81" t="n">
        <v>43980</v>
      </c>
      <c r="B2440" s="48" t="n">
        <v>0</v>
      </c>
      <c r="C2440" s="48" t="n">
        <v>0</v>
      </c>
      <c r="D2440" s="48" t="n">
        <v>0</v>
      </c>
      <c r="E2440" s="48" t="s">
        <v>112</v>
      </c>
      <c r="F2440" s="48" t="s">
        <v>72</v>
      </c>
      <c r="G2440" s="48" t="s">
        <v>603</v>
      </c>
      <c r="H2440" s="82" t="n">
        <f aca="false">DATE(YEAR(A2440),MONTH(A2440),1)</f>
        <v>43952</v>
      </c>
    </row>
    <row r="2441" customFormat="false" ht="15" hidden="false" customHeight="false" outlineLevel="0" collapsed="false">
      <c r="A2441" s="81" t="n">
        <v>43980</v>
      </c>
      <c r="B2441" s="48" t="n">
        <v>7</v>
      </c>
      <c r="C2441" s="48" t="n">
        <v>0</v>
      </c>
      <c r="D2441" s="48" t="n">
        <v>5</v>
      </c>
      <c r="E2441" s="48" t="s">
        <v>112</v>
      </c>
      <c r="F2441" s="48" t="s">
        <v>72</v>
      </c>
      <c r="G2441" s="48" t="s">
        <v>591</v>
      </c>
      <c r="H2441" s="82" t="n">
        <f aca="false">DATE(YEAR(A2441),MONTH(A2441),1)</f>
        <v>43952</v>
      </c>
    </row>
    <row r="2442" customFormat="false" ht="15" hidden="false" customHeight="false" outlineLevel="0" collapsed="false">
      <c r="A2442" s="81" t="n">
        <v>43980</v>
      </c>
      <c r="B2442" s="48" t="n">
        <v>0</v>
      </c>
      <c r="C2442" s="48" t="n">
        <v>0</v>
      </c>
      <c r="D2442" s="48" t="n">
        <v>0</v>
      </c>
      <c r="E2442" s="48" t="s">
        <v>112</v>
      </c>
      <c r="F2442" s="48" t="s">
        <v>72</v>
      </c>
      <c r="G2442" s="48" t="s">
        <v>598</v>
      </c>
      <c r="H2442" s="82" t="n">
        <f aca="false">DATE(YEAR(A2442),MONTH(A2442),1)</f>
        <v>43952</v>
      </c>
    </row>
    <row r="2443" customFormat="false" ht="15" hidden="false" customHeight="false" outlineLevel="0" collapsed="false">
      <c r="A2443" s="81" t="n">
        <v>43980</v>
      </c>
      <c r="B2443" s="48" t="n">
        <v>21</v>
      </c>
      <c r="C2443" s="48" t="n">
        <v>0</v>
      </c>
      <c r="D2443" s="48" t="n">
        <v>8</v>
      </c>
      <c r="E2443" s="48" t="s">
        <v>112</v>
      </c>
      <c r="F2443" s="48" t="s">
        <v>72</v>
      </c>
      <c r="G2443" s="48" t="s">
        <v>609</v>
      </c>
      <c r="H2443" s="82" t="n">
        <f aca="false">DATE(YEAR(A2443),MONTH(A2443),1)</f>
        <v>43952</v>
      </c>
    </row>
    <row r="2444" customFormat="false" ht="15" hidden="false" customHeight="false" outlineLevel="0" collapsed="false">
      <c r="A2444" s="81" t="n">
        <v>43980</v>
      </c>
      <c r="B2444" s="48" t="n">
        <v>0</v>
      </c>
      <c r="C2444" s="48" t="n">
        <v>1</v>
      </c>
      <c r="D2444" s="48" t="n">
        <v>0</v>
      </c>
      <c r="E2444" s="48" t="s">
        <v>112</v>
      </c>
      <c r="F2444" s="48" t="s">
        <v>72</v>
      </c>
      <c r="G2444" s="48" t="s">
        <v>101</v>
      </c>
      <c r="H2444" s="82" t="n">
        <f aca="false">DATE(YEAR(A2444),MONTH(A2444),1)</f>
        <v>43952</v>
      </c>
    </row>
    <row r="2445" customFormat="false" ht="15" hidden="false" customHeight="false" outlineLevel="0" collapsed="false">
      <c r="A2445" s="81" t="n">
        <v>43980</v>
      </c>
      <c r="B2445" s="48" t="n">
        <v>0</v>
      </c>
      <c r="C2445" s="48" t="n">
        <v>0</v>
      </c>
      <c r="D2445" s="48" t="n">
        <v>0</v>
      </c>
      <c r="E2445" s="48" t="s">
        <v>112</v>
      </c>
      <c r="F2445" s="48" t="s">
        <v>72</v>
      </c>
      <c r="G2445" s="48" t="s">
        <v>643</v>
      </c>
      <c r="H2445" s="82" t="n">
        <f aca="false">DATE(YEAR(A2445),MONTH(A2445),1)</f>
        <v>43952</v>
      </c>
    </row>
    <row r="2446" customFormat="false" ht="15" hidden="false" customHeight="false" outlineLevel="0" collapsed="false">
      <c r="A2446" s="81" t="n">
        <v>43980</v>
      </c>
      <c r="B2446" s="48" t="n">
        <v>0</v>
      </c>
      <c r="C2446" s="48" t="n">
        <v>0</v>
      </c>
      <c r="D2446" s="48" t="n">
        <v>0</v>
      </c>
      <c r="E2446" s="48" t="s">
        <v>112</v>
      </c>
      <c r="F2446" s="48" t="s">
        <v>72</v>
      </c>
      <c r="G2446" s="48" t="s">
        <v>662</v>
      </c>
      <c r="H2446" s="82" t="n">
        <f aca="false">DATE(YEAR(A2446),MONTH(A2446),1)</f>
        <v>43952</v>
      </c>
    </row>
    <row r="2447" customFormat="false" ht="15" hidden="false" customHeight="false" outlineLevel="0" collapsed="false">
      <c r="A2447" s="81" t="n">
        <v>43980</v>
      </c>
      <c r="B2447" s="48" t="n">
        <v>1</v>
      </c>
      <c r="C2447" s="48" t="n">
        <v>3</v>
      </c>
      <c r="D2447" s="48" t="n">
        <v>0</v>
      </c>
      <c r="E2447" s="48" t="s">
        <v>112</v>
      </c>
      <c r="F2447" s="48" t="s">
        <v>72</v>
      </c>
      <c r="G2447" s="48" t="s">
        <v>600</v>
      </c>
      <c r="H2447" s="82" t="n">
        <f aca="false">DATE(YEAR(A2447),MONTH(A2447),1)</f>
        <v>43952</v>
      </c>
    </row>
    <row r="2448" customFormat="false" ht="15" hidden="false" customHeight="false" outlineLevel="0" collapsed="false">
      <c r="A2448" s="81" t="n">
        <v>43980</v>
      </c>
      <c r="B2448" s="48" t="n">
        <v>1</v>
      </c>
      <c r="C2448" s="48" t="n">
        <v>0</v>
      </c>
      <c r="D2448" s="48" t="n">
        <v>0</v>
      </c>
      <c r="E2448" s="48" t="s">
        <v>112</v>
      </c>
      <c r="F2448" s="48" t="s">
        <v>72</v>
      </c>
      <c r="G2448" s="48" t="s">
        <v>610</v>
      </c>
      <c r="H2448" s="82" t="n">
        <f aca="false">DATE(YEAR(A2448),MONTH(A2448),1)</f>
        <v>43952</v>
      </c>
    </row>
    <row r="2449" customFormat="false" ht="15" hidden="false" customHeight="false" outlineLevel="0" collapsed="false">
      <c r="A2449" s="81" t="n">
        <v>43980</v>
      </c>
      <c r="B2449" s="48" t="n">
        <v>1</v>
      </c>
      <c r="C2449" s="48" t="n">
        <v>0</v>
      </c>
      <c r="D2449" s="48" t="n">
        <v>0</v>
      </c>
      <c r="E2449" s="48" t="s">
        <v>112</v>
      </c>
      <c r="F2449" s="48" t="s">
        <v>72</v>
      </c>
      <c r="G2449" s="48" t="s">
        <v>593</v>
      </c>
      <c r="H2449" s="82" t="n">
        <f aca="false">DATE(YEAR(A2449),MONTH(A2449),1)</f>
        <v>43952</v>
      </c>
    </row>
    <row r="2450" customFormat="false" ht="15" hidden="false" customHeight="false" outlineLevel="0" collapsed="false">
      <c r="A2450" s="81" t="n">
        <v>43980</v>
      </c>
      <c r="B2450" s="48" t="n">
        <v>0</v>
      </c>
      <c r="C2450" s="48" t="n">
        <v>0</v>
      </c>
      <c r="D2450" s="48" t="n">
        <v>0</v>
      </c>
      <c r="E2450" s="48" t="s">
        <v>112</v>
      </c>
      <c r="F2450" s="48" t="s">
        <v>72</v>
      </c>
      <c r="G2450" s="48" t="s">
        <v>612</v>
      </c>
      <c r="H2450" s="82" t="n">
        <f aca="false">DATE(YEAR(A2450),MONTH(A2450),1)</f>
        <v>43952</v>
      </c>
    </row>
    <row r="2451" customFormat="false" ht="15" hidden="false" customHeight="false" outlineLevel="0" collapsed="false">
      <c r="A2451" s="81" t="n">
        <v>43980</v>
      </c>
      <c r="B2451" s="48" t="n">
        <v>0</v>
      </c>
      <c r="C2451" s="48" t="n">
        <v>0</v>
      </c>
      <c r="D2451" s="48" t="n">
        <v>0</v>
      </c>
      <c r="E2451" s="48" t="s">
        <v>112</v>
      </c>
      <c r="F2451" s="48" t="s">
        <v>72</v>
      </c>
      <c r="G2451" s="48" t="s">
        <v>685</v>
      </c>
      <c r="H2451" s="82" t="n">
        <f aca="false">DATE(YEAR(A2451),MONTH(A2451),1)</f>
        <v>43952</v>
      </c>
    </row>
    <row r="2452" customFormat="false" ht="15" hidden="false" customHeight="false" outlineLevel="0" collapsed="false">
      <c r="A2452" s="81" t="n">
        <v>43980</v>
      </c>
      <c r="B2452" s="48" t="n">
        <v>0</v>
      </c>
      <c r="C2452" s="48" t="n">
        <v>0</v>
      </c>
      <c r="D2452" s="48" t="n">
        <v>0</v>
      </c>
      <c r="E2452" s="48" t="s">
        <v>112</v>
      </c>
      <c r="F2452" s="48" t="s">
        <v>72</v>
      </c>
      <c r="G2452" s="48" t="s">
        <v>687</v>
      </c>
      <c r="H2452" s="82" t="n">
        <f aca="false">DATE(YEAR(A2452),MONTH(A2452),1)</f>
        <v>43952</v>
      </c>
    </row>
    <row r="2453" customFormat="false" ht="15" hidden="false" customHeight="false" outlineLevel="0" collapsed="false">
      <c r="A2453" s="81" t="n">
        <v>43980</v>
      </c>
      <c r="B2453" s="48" t="n">
        <v>0</v>
      </c>
      <c r="C2453" s="48" t="n">
        <v>0</v>
      </c>
      <c r="D2453" s="48" t="n">
        <v>0</v>
      </c>
      <c r="E2453" s="48" t="s">
        <v>112</v>
      </c>
      <c r="F2453" s="48" t="s">
        <v>72</v>
      </c>
      <c r="G2453" s="48" t="s">
        <v>682</v>
      </c>
      <c r="H2453" s="82" t="n">
        <f aca="false">DATE(YEAR(A2453),MONTH(A2453),1)</f>
        <v>43952</v>
      </c>
    </row>
    <row r="2454" customFormat="false" ht="15" hidden="false" customHeight="false" outlineLevel="0" collapsed="false">
      <c r="A2454" s="81" t="n">
        <v>43980</v>
      </c>
      <c r="B2454" s="48" t="n">
        <v>0</v>
      </c>
      <c r="C2454" s="48" t="n">
        <v>0</v>
      </c>
      <c r="D2454" s="48" t="n">
        <v>0</v>
      </c>
      <c r="E2454" s="48" t="s">
        <v>112</v>
      </c>
      <c r="F2454" s="48" t="s">
        <v>72</v>
      </c>
      <c r="G2454" s="48" t="s">
        <v>692</v>
      </c>
      <c r="H2454" s="82" t="n">
        <f aca="false">DATE(YEAR(A2454),MONTH(A2454),1)</f>
        <v>43952</v>
      </c>
    </row>
    <row r="2455" customFormat="false" ht="15" hidden="false" customHeight="false" outlineLevel="0" collapsed="false">
      <c r="A2455" s="81" t="n">
        <v>43980</v>
      </c>
      <c r="B2455" s="48" t="n">
        <v>9</v>
      </c>
      <c r="C2455" s="48" t="n">
        <v>1</v>
      </c>
      <c r="D2455" s="48" t="n">
        <v>0</v>
      </c>
      <c r="E2455" s="48" t="s">
        <v>112</v>
      </c>
      <c r="F2455" s="48" t="s">
        <v>72</v>
      </c>
      <c r="G2455" s="48" t="s">
        <v>613</v>
      </c>
      <c r="H2455" s="82" t="n">
        <f aca="false">DATE(YEAR(A2455),MONTH(A2455),1)</f>
        <v>43952</v>
      </c>
    </row>
    <row r="2456" customFormat="false" ht="15" hidden="false" customHeight="false" outlineLevel="0" collapsed="false">
      <c r="A2456" s="81" t="n">
        <v>43980</v>
      </c>
      <c r="B2456" s="48" t="n">
        <v>0</v>
      </c>
      <c r="C2456" s="48" t="n">
        <v>0</v>
      </c>
      <c r="D2456" s="48" t="n">
        <v>0</v>
      </c>
      <c r="E2456" s="48" t="s">
        <v>112</v>
      </c>
      <c r="F2456" s="48" t="s">
        <v>72</v>
      </c>
      <c r="G2456" s="48" t="s">
        <v>614</v>
      </c>
      <c r="H2456" s="82" t="n">
        <f aca="false">DATE(YEAR(A2456),MONTH(A2456),1)</f>
        <v>43952</v>
      </c>
    </row>
    <row r="2457" customFormat="false" ht="15" hidden="false" customHeight="false" outlineLevel="0" collapsed="false">
      <c r="A2457" s="81" t="n">
        <v>43980</v>
      </c>
      <c r="B2457" s="48" t="n">
        <v>0</v>
      </c>
      <c r="C2457" s="48" t="n">
        <v>0</v>
      </c>
      <c r="D2457" s="48" t="n">
        <v>0</v>
      </c>
      <c r="E2457" s="48" t="s">
        <v>112</v>
      </c>
      <c r="F2457" s="48" t="s">
        <v>72</v>
      </c>
      <c r="G2457" s="48" t="s">
        <v>655</v>
      </c>
      <c r="H2457" s="82" t="n">
        <f aca="false">DATE(YEAR(A2457),MONTH(A2457),1)</f>
        <v>43952</v>
      </c>
    </row>
    <row r="2458" customFormat="false" ht="15" hidden="false" customHeight="false" outlineLevel="0" collapsed="false">
      <c r="A2458" s="81" t="n">
        <v>43980</v>
      </c>
      <c r="B2458" s="48" t="n">
        <v>1</v>
      </c>
      <c r="C2458" s="48" t="n">
        <v>0</v>
      </c>
      <c r="D2458" s="48" t="n">
        <v>1</v>
      </c>
      <c r="E2458" s="48" t="s">
        <v>112</v>
      </c>
      <c r="F2458" s="48" t="s">
        <v>72</v>
      </c>
      <c r="G2458" s="48" t="s">
        <v>608</v>
      </c>
      <c r="H2458" s="82" t="n">
        <f aca="false">DATE(YEAR(A2458),MONTH(A2458),1)</f>
        <v>43952</v>
      </c>
    </row>
    <row r="2459" customFormat="false" ht="15" hidden="false" customHeight="false" outlineLevel="0" collapsed="false">
      <c r="A2459" s="81" t="n">
        <v>43980</v>
      </c>
      <c r="B2459" s="48" t="n">
        <v>43</v>
      </c>
      <c r="C2459" s="48" t="n">
        <v>0</v>
      </c>
      <c r="D2459" s="48" t="n">
        <v>3</v>
      </c>
      <c r="E2459" s="48" t="s">
        <v>112</v>
      </c>
      <c r="F2459" s="48" t="s">
        <v>72</v>
      </c>
      <c r="G2459" s="48" t="s">
        <v>615</v>
      </c>
      <c r="H2459" s="82" t="n">
        <f aca="false">DATE(YEAR(A2459),MONTH(A2459),1)</f>
        <v>43952</v>
      </c>
    </row>
    <row r="2460" customFormat="false" ht="15" hidden="false" customHeight="false" outlineLevel="0" collapsed="false">
      <c r="A2460" s="81" t="n">
        <v>43980</v>
      </c>
      <c r="B2460" s="48" t="n">
        <v>0</v>
      </c>
      <c r="C2460" s="48" t="n">
        <v>0</v>
      </c>
      <c r="D2460" s="48" t="n">
        <v>0</v>
      </c>
      <c r="E2460" s="48" t="s">
        <v>112</v>
      </c>
      <c r="F2460" s="48" t="s">
        <v>72</v>
      </c>
      <c r="G2460" s="48" t="s">
        <v>666</v>
      </c>
      <c r="H2460" s="82" t="n">
        <f aca="false">DATE(YEAR(A2460),MONTH(A2460),1)</f>
        <v>43952</v>
      </c>
    </row>
    <row r="2461" customFormat="false" ht="15" hidden="false" customHeight="false" outlineLevel="0" collapsed="false">
      <c r="A2461" s="81" t="n">
        <v>43980</v>
      </c>
      <c r="B2461" s="48" t="n">
        <v>0</v>
      </c>
      <c r="C2461" s="48" t="n">
        <v>0</v>
      </c>
      <c r="D2461" s="48" t="n">
        <v>0</v>
      </c>
      <c r="E2461" s="48" t="s">
        <v>112</v>
      </c>
      <c r="F2461" s="48" t="s">
        <v>72</v>
      </c>
      <c r="G2461" s="48" t="s">
        <v>621</v>
      </c>
      <c r="H2461" s="82" t="n">
        <f aca="false">DATE(YEAR(A2461),MONTH(A2461),1)</f>
        <v>43952</v>
      </c>
    </row>
    <row r="2462" customFormat="false" ht="15" hidden="false" customHeight="false" outlineLevel="0" collapsed="false">
      <c r="A2462" s="81" t="n">
        <v>43980</v>
      </c>
      <c r="B2462" s="48" t="n">
        <v>0</v>
      </c>
      <c r="C2462" s="48" t="n">
        <v>0</v>
      </c>
      <c r="D2462" s="48" t="n">
        <v>0</v>
      </c>
      <c r="E2462" s="48" t="s">
        <v>112</v>
      </c>
      <c r="F2462" s="48" t="s">
        <v>72</v>
      </c>
      <c r="G2462" s="48" t="s">
        <v>664</v>
      </c>
      <c r="H2462" s="82" t="n">
        <f aca="false">DATE(YEAR(A2462),MONTH(A2462),1)</f>
        <v>43952</v>
      </c>
    </row>
    <row r="2463" customFormat="false" ht="15" hidden="false" customHeight="false" outlineLevel="0" collapsed="false">
      <c r="A2463" s="81" t="n">
        <v>43980</v>
      </c>
      <c r="B2463" s="48" t="n">
        <v>0</v>
      </c>
      <c r="C2463" s="48" t="n">
        <v>0</v>
      </c>
      <c r="D2463" s="48" t="n">
        <v>0</v>
      </c>
      <c r="E2463" s="48" t="s">
        <v>112</v>
      </c>
      <c r="F2463" s="48" t="s">
        <v>72</v>
      </c>
      <c r="G2463" s="48" t="s">
        <v>667</v>
      </c>
      <c r="H2463" s="82" t="n">
        <f aca="false">DATE(YEAR(A2463),MONTH(A2463),1)</f>
        <v>43952</v>
      </c>
    </row>
    <row r="2464" customFormat="false" ht="15" hidden="false" customHeight="false" outlineLevel="0" collapsed="false">
      <c r="A2464" s="81" t="n">
        <v>43980</v>
      </c>
      <c r="B2464" s="48" t="n">
        <v>2</v>
      </c>
      <c r="C2464" s="48" t="n">
        <v>0</v>
      </c>
      <c r="D2464" s="48" t="n">
        <v>5</v>
      </c>
      <c r="E2464" s="48" t="s">
        <v>112</v>
      </c>
      <c r="F2464" s="48" t="s">
        <v>72</v>
      </c>
      <c r="G2464" s="48" t="s">
        <v>607</v>
      </c>
      <c r="H2464" s="82" t="n">
        <f aca="false">DATE(YEAR(A2464),MONTH(A2464),1)</f>
        <v>43952</v>
      </c>
    </row>
    <row r="2465" customFormat="false" ht="15" hidden="false" customHeight="false" outlineLevel="0" collapsed="false">
      <c r="A2465" s="81" t="n">
        <v>43980</v>
      </c>
      <c r="B2465" s="48" t="n">
        <v>0</v>
      </c>
      <c r="C2465" s="48" t="n">
        <v>0</v>
      </c>
      <c r="D2465" s="48" t="n">
        <v>0</v>
      </c>
      <c r="E2465" s="48" t="s">
        <v>112</v>
      </c>
      <c r="F2465" s="48" t="s">
        <v>72</v>
      </c>
      <c r="G2465" s="48" t="s">
        <v>673</v>
      </c>
      <c r="H2465" s="82" t="n">
        <f aca="false">DATE(YEAR(A2465),MONTH(A2465),1)</f>
        <v>43952</v>
      </c>
    </row>
    <row r="2466" customFormat="false" ht="15" hidden="false" customHeight="false" outlineLevel="0" collapsed="false">
      <c r="A2466" s="81" t="n">
        <v>43980</v>
      </c>
      <c r="B2466" s="48" t="n">
        <v>0</v>
      </c>
      <c r="C2466" s="48" t="n">
        <v>0</v>
      </c>
      <c r="D2466" s="48" t="n">
        <v>0</v>
      </c>
      <c r="E2466" s="48" t="s">
        <v>112</v>
      </c>
      <c r="F2466" s="48" t="s">
        <v>72</v>
      </c>
      <c r="G2466" s="48" t="s">
        <v>676</v>
      </c>
      <c r="H2466" s="82" t="n">
        <f aca="false">DATE(YEAR(A2466),MONTH(A2466),1)</f>
        <v>43952</v>
      </c>
    </row>
    <row r="2467" customFormat="false" ht="15" hidden="false" customHeight="false" outlineLevel="0" collapsed="false">
      <c r="A2467" s="81" t="n">
        <v>43980</v>
      </c>
      <c r="B2467" s="48" t="n">
        <v>634</v>
      </c>
      <c r="C2467" s="48" t="n">
        <v>30</v>
      </c>
      <c r="D2467" s="48" t="n">
        <v>1431</v>
      </c>
      <c r="E2467" s="48" t="s">
        <v>112</v>
      </c>
      <c r="F2467" s="48" t="s">
        <v>70</v>
      </c>
      <c r="G2467" s="48" t="s">
        <v>91</v>
      </c>
      <c r="H2467" s="82" t="n">
        <f aca="false">DATE(YEAR(A2467),MONTH(A2467),1)</f>
        <v>43952</v>
      </c>
    </row>
    <row r="2468" customFormat="false" ht="15" hidden="false" customHeight="false" outlineLevel="0" collapsed="false">
      <c r="A2468" s="81" t="n">
        <v>43980</v>
      </c>
      <c r="B2468" s="48" t="n">
        <v>37</v>
      </c>
      <c r="C2468" s="48" t="n">
        <v>0</v>
      </c>
      <c r="D2468" s="48" t="n">
        <v>28</v>
      </c>
      <c r="E2468" s="48" t="s">
        <v>112</v>
      </c>
      <c r="F2468" s="48" t="s">
        <v>70</v>
      </c>
      <c r="G2468" s="48" t="s">
        <v>99</v>
      </c>
      <c r="H2468" s="82" t="n">
        <f aca="false">DATE(YEAR(A2468),MONTH(A2468),1)</f>
        <v>43952</v>
      </c>
    </row>
    <row r="2469" customFormat="false" ht="15" hidden="false" customHeight="false" outlineLevel="0" collapsed="false">
      <c r="A2469" s="81" t="n">
        <v>43980</v>
      </c>
      <c r="B2469" s="48" t="n">
        <v>10</v>
      </c>
      <c r="C2469" s="48" t="n">
        <v>0</v>
      </c>
      <c r="D2469" s="48" t="n">
        <v>6</v>
      </c>
      <c r="E2469" s="48" t="s">
        <v>112</v>
      </c>
      <c r="F2469" s="48" t="s">
        <v>70</v>
      </c>
      <c r="G2469" s="48" t="s">
        <v>619</v>
      </c>
      <c r="H2469" s="82" t="n">
        <f aca="false">DATE(YEAR(A2469),MONTH(A2469),1)</f>
        <v>43952</v>
      </c>
    </row>
    <row r="2470" customFormat="false" ht="15" hidden="false" customHeight="false" outlineLevel="0" collapsed="false">
      <c r="A2470" s="81" t="n">
        <v>43980</v>
      </c>
      <c r="B2470" s="48" t="n">
        <v>7</v>
      </c>
      <c r="C2470" s="48" t="n">
        <v>0</v>
      </c>
      <c r="D2470" s="48" t="n">
        <v>1</v>
      </c>
      <c r="E2470" s="48" t="s">
        <v>112</v>
      </c>
      <c r="F2470" s="48" t="s">
        <v>70</v>
      </c>
      <c r="G2470" s="48" t="s">
        <v>633</v>
      </c>
      <c r="H2470" s="82" t="n">
        <f aca="false">DATE(YEAR(A2470),MONTH(A2470),1)</f>
        <v>43952</v>
      </c>
    </row>
    <row r="2471" customFormat="false" ht="15" hidden="false" customHeight="false" outlineLevel="0" collapsed="false">
      <c r="A2471" s="81" t="n">
        <v>43980</v>
      </c>
      <c r="B2471" s="48" t="n">
        <v>1</v>
      </c>
      <c r="C2471" s="48" t="n">
        <v>0</v>
      </c>
      <c r="D2471" s="48" t="n">
        <v>2</v>
      </c>
      <c r="E2471" s="48" t="s">
        <v>112</v>
      </c>
      <c r="F2471" s="48" t="s">
        <v>70</v>
      </c>
      <c r="G2471" s="48" t="s">
        <v>605</v>
      </c>
      <c r="H2471" s="82" t="n">
        <f aca="false">DATE(YEAR(A2471),MONTH(A2471),1)</f>
        <v>43952</v>
      </c>
    </row>
    <row r="2472" customFormat="false" ht="15" hidden="false" customHeight="false" outlineLevel="0" collapsed="false">
      <c r="A2472" s="81" t="n">
        <v>43980</v>
      </c>
      <c r="B2472" s="48" t="n">
        <v>1</v>
      </c>
      <c r="C2472" s="48" t="n">
        <v>0</v>
      </c>
      <c r="D2472" s="48" t="n">
        <v>0</v>
      </c>
      <c r="E2472" s="48" t="s">
        <v>112</v>
      </c>
      <c r="F2472" s="48" t="s">
        <v>70</v>
      </c>
      <c r="G2472" s="48" t="s">
        <v>641</v>
      </c>
      <c r="H2472" s="82" t="n">
        <f aca="false">DATE(YEAR(A2472),MONTH(A2472),1)</f>
        <v>43952</v>
      </c>
    </row>
    <row r="2473" customFormat="false" ht="15" hidden="false" customHeight="false" outlineLevel="0" collapsed="false">
      <c r="A2473" s="81" t="n">
        <v>43980</v>
      </c>
      <c r="B2473" s="48" t="n">
        <v>0</v>
      </c>
      <c r="C2473" s="48" t="n">
        <v>0</v>
      </c>
      <c r="D2473" s="48" t="n">
        <v>0</v>
      </c>
      <c r="E2473" s="48" t="s">
        <v>112</v>
      </c>
      <c r="F2473" s="48" t="s">
        <v>70</v>
      </c>
      <c r="G2473" s="48" t="s">
        <v>644</v>
      </c>
      <c r="H2473" s="82" t="n">
        <f aca="false">DATE(YEAR(A2473),MONTH(A2473),1)</f>
        <v>43952</v>
      </c>
    </row>
    <row r="2474" customFormat="false" ht="15" hidden="false" customHeight="false" outlineLevel="0" collapsed="false">
      <c r="A2474" s="81" t="n">
        <v>43980</v>
      </c>
      <c r="B2474" s="48" t="n">
        <v>0</v>
      </c>
      <c r="C2474" s="48" t="n">
        <v>0</v>
      </c>
      <c r="D2474" s="48" t="n">
        <v>0</v>
      </c>
      <c r="E2474" s="48" t="s">
        <v>112</v>
      </c>
      <c r="F2474" s="48" t="s">
        <v>70</v>
      </c>
      <c r="G2474" s="48" t="s">
        <v>637</v>
      </c>
      <c r="H2474" s="82" t="n">
        <f aca="false">DATE(YEAR(A2474),MONTH(A2474),1)</f>
        <v>43952</v>
      </c>
    </row>
    <row r="2475" customFormat="false" ht="15" hidden="false" customHeight="false" outlineLevel="0" collapsed="false">
      <c r="A2475" s="81" t="n">
        <v>43980</v>
      </c>
      <c r="B2475" s="48" t="n">
        <v>2</v>
      </c>
      <c r="C2475" s="48" t="n">
        <v>0</v>
      </c>
      <c r="D2475" s="48" t="n">
        <v>1</v>
      </c>
      <c r="E2475" s="48" t="s">
        <v>112</v>
      </c>
      <c r="F2475" s="48" t="s">
        <v>70</v>
      </c>
      <c r="G2475" s="48" t="s">
        <v>630</v>
      </c>
      <c r="H2475" s="82" t="n">
        <f aca="false">DATE(YEAR(A2475),MONTH(A2475),1)</f>
        <v>43952</v>
      </c>
    </row>
    <row r="2476" customFormat="false" ht="15" hidden="false" customHeight="false" outlineLevel="0" collapsed="false">
      <c r="A2476" s="81" t="n">
        <v>43980</v>
      </c>
      <c r="B2476" s="48" t="n">
        <v>1</v>
      </c>
      <c r="C2476" s="48" t="n">
        <v>0</v>
      </c>
      <c r="D2476" s="48" t="n">
        <v>1</v>
      </c>
      <c r="E2476" s="48" t="s">
        <v>112</v>
      </c>
      <c r="F2476" s="48" t="s">
        <v>70</v>
      </c>
      <c r="G2476" s="48" t="s">
        <v>642</v>
      </c>
      <c r="H2476" s="82" t="n">
        <f aca="false">DATE(YEAR(A2476),MONTH(A2476),1)</f>
        <v>43952</v>
      </c>
    </row>
    <row r="2477" customFormat="false" ht="15" hidden="false" customHeight="false" outlineLevel="0" collapsed="false">
      <c r="A2477" s="81" t="n">
        <v>43980</v>
      </c>
      <c r="B2477" s="48" t="n">
        <v>0</v>
      </c>
      <c r="C2477" s="48" t="n">
        <v>0</v>
      </c>
      <c r="D2477" s="48" t="n">
        <v>-1</v>
      </c>
      <c r="E2477" s="48" t="s">
        <v>112</v>
      </c>
      <c r="F2477" s="48" t="s">
        <v>70</v>
      </c>
      <c r="G2477" s="48" t="s">
        <v>671</v>
      </c>
      <c r="H2477" s="82" t="n">
        <f aca="false">DATE(YEAR(A2477),MONTH(A2477),1)</f>
        <v>43952</v>
      </c>
    </row>
    <row r="2478" customFormat="false" ht="15" hidden="false" customHeight="false" outlineLevel="0" collapsed="false">
      <c r="A2478" s="81" t="n">
        <v>43980</v>
      </c>
      <c r="B2478" s="48" t="n">
        <v>24</v>
      </c>
      <c r="C2478" s="48" t="n">
        <v>0</v>
      </c>
      <c r="D2478" s="48" t="n">
        <v>8</v>
      </c>
      <c r="E2478" s="48" t="s">
        <v>112</v>
      </c>
      <c r="F2478" s="48" t="s">
        <v>70</v>
      </c>
      <c r="G2478" s="48" t="s">
        <v>105</v>
      </c>
      <c r="H2478" s="82" t="n">
        <f aca="false">DATE(YEAR(A2478),MONTH(A2478),1)</f>
        <v>43952</v>
      </c>
    </row>
    <row r="2479" customFormat="false" ht="15" hidden="false" customHeight="false" outlineLevel="0" collapsed="false">
      <c r="A2479" s="81" t="n">
        <v>43980</v>
      </c>
      <c r="B2479" s="48" t="n">
        <v>31</v>
      </c>
      <c r="C2479" s="48" t="n">
        <v>0</v>
      </c>
      <c r="D2479" s="48" t="n">
        <v>6</v>
      </c>
      <c r="E2479" s="48" t="s">
        <v>112</v>
      </c>
      <c r="F2479" s="48" t="s">
        <v>70</v>
      </c>
      <c r="G2479" s="48" t="s">
        <v>98</v>
      </c>
      <c r="H2479" s="82" t="n">
        <f aca="false">DATE(YEAR(A2479),MONTH(A2479),1)</f>
        <v>43952</v>
      </c>
    </row>
    <row r="2480" customFormat="false" ht="15" hidden="false" customHeight="false" outlineLevel="0" collapsed="false">
      <c r="A2480" s="81" t="n">
        <v>43980</v>
      </c>
      <c r="B2480" s="48" t="n">
        <v>1</v>
      </c>
      <c r="C2480" s="48" t="n">
        <v>0</v>
      </c>
      <c r="D2480" s="48" t="n">
        <v>0</v>
      </c>
      <c r="E2480" s="48" t="s">
        <v>112</v>
      </c>
      <c r="F2480" s="48" t="s">
        <v>70</v>
      </c>
      <c r="G2480" s="48" t="s">
        <v>592</v>
      </c>
      <c r="H2480" s="82" t="n">
        <f aca="false">DATE(YEAR(A2480),MONTH(A2480),1)</f>
        <v>43952</v>
      </c>
    </row>
    <row r="2481" customFormat="false" ht="15" hidden="false" customHeight="false" outlineLevel="0" collapsed="false">
      <c r="A2481" s="81" t="n">
        <v>43980</v>
      </c>
      <c r="B2481" s="48" t="n">
        <v>23</v>
      </c>
      <c r="C2481" s="48" t="n">
        <v>0</v>
      </c>
      <c r="D2481" s="48" t="n">
        <v>30</v>
      </c>
      <c r="E2481" s="48" t="s">
        <v>112</v>
      </c>
      <c r="F2481" s="48" t="s">
        <v>70</v>
      </c>
      <c r="G2481" s="48" t="s">
        <v>104</v>
      </c>
      <c r="H2481" s="82" t="n">
        <f aca="false">DATE(YEAR(A2481),MONTH(A2481),1)</f>
        <v>43952</v>
      </c>
    </row>
    <row r="2482" customFormat="false" ht="15" hidden="false" customHeight="false" outlineLevel="0" collapsed="false">
      <c r="A2482" s="81" t="n">
        <v>43980</v>
      </c>
      <c r="B2482" s="48" t="n">
        <v>4</v>
      </c>
      <c r="C2482" s="48" t="n">
        <v>0</v>
      </c>
      <c r="D2482" s="48" t="n">
        <v>1</v>
      </c>
      <c r="E2482" s="48" t="s">
        <v>112</v>
      </c>
      <c r="F2482" s="48" t="s">
        <v>70</v>
      </c>
      <c r="G2482" s="48" t="s">
        <v>635</v>
      </c>
      <c r="H2482" s="82" t="n">
        <f aca="false">DATE(YEAR(A2482),MONTH(A2482),1)</f>
        <v>43952</v>
      </c>
    </row>
    <row r="2483" customFormat="false" ht="15" hidden="false" customHeight="false" outlineLevel="0" collapsed="false">
      <c r="A2483" s="81" t="n">
        <v>43980</v>
      </c>
      <c r="B2483" s="48" t="n">
        <v>0</v>
      </c>
      <c r="C2483" s="48" t="n">
        <v>0</v>
      </c>
      <c r="D2483" s="48" t="n">
        <v>23</v>
      </c>
      <c r="E2483" s="48" t="s">
        <v>112</v>
      </c>
      <c r="F2483" s="48" t="s">
        <v>70</v>
      </c>
      <c r="G2483" s="48" t="s">
        <v>616</v>
      </c>
      <c r="H2483" s="82" t="n">
        <f aca="false">DATE(YEAR(A2483),MONTH(A2483),1)</f>
        <v>43952</v>
      </c>
    </row>
    <row r="2484" customFormat="false" ht="15" hidden="false" customHeight="false" outlineLevel="0" collapsed="false">
      <c r="A2484" s="81" t="n">
        <v>43980</v>
      </c>
      <c r="B2484" s="48" t="n">
        <v>4</v>
      </c>
      <c r="C2484" s="48" t="n">
        <v>0</v>
      </c>
      <c r="D2484" s="48" t="n">
        <v>11</v>
      </c>
      <c r="E2484" s="48" t="s">
        <v>112</v>
      </c>
      <c r="F2484" s="48" t="s">
        <v>70</v>
      </c>
      <c r="G2484" s="48" t="s">
        <v>663</v>
      </c>
      <c r="H2484" s="82" t="n">
        <f aca="false">DATE(YEAR(A2484),MONTH(A2484),1)</f>
        <v>43952</v>
      </c>
    </row>
    <row r="2485" customFormat="false" ht="15" hidden="false" customHeight="false" outlineLevel="0" collapsed="false">
      <c r="A2485" s="81" t="n">
        <v>43980</v>
      </c>
      <c r="B2485" s="48" t="n">
        <v>1</v>
      </c>
      <c r="C2485" s="48" t="n">
        <v>1</v>
      </c>
      <c r="D2485" s="48" t="n">
        <v>0</v>
      </c>
      <c r="E2485" s="48" t="s">
        <v>112</v>
      </c>
      <c r="F2485" s="48" t="s">
        <v>70</v>
      </c>
      <c r="G2485" s="48" t="s">
        <v>640</v>
      </c>
      <c r="H2485" s="82" t="n">
        <f aca="false">DATE(YEAR(A2485),MONTH(A2485),1)</f>
        <v>43952</v>
      </c>
    </row>
    <row r="2486" customFormat="false" ht="15" hidden="false" customHeight="false" outlineLevel="0" collapsed="false">
      <c r="A2486" s="81" t="n">
        <v>43980</v>
      </c>
      <c r="B2486" s="48" t="n">
        <v>2</v>
      </c>
      <c r="C2486" s="48" t="n">
        <v>0</v>
      </c>
      <c r="D2486" s="48" t="n">
        <v>2</v>
      </c>
      <c r="E2486" s="48" t="s">
        <v>112</v>
      </c>
      <c r="F2486" s="48" t="s">
        <v>70</v>
      </c>
      <c r="G2486" s="48" t="s">
        <v>639</v>
      </c>
      <c r="H2486" s="82" t="n">
        <f aca="false">DATE(YEAR(A2486),MONTH(A2486),1)</f>
        <v>43952</v>
      </c>
    </row>
    <row r="2487" customFormat="false" ht="15" hidden="false" customHeight="false" outlineLevel="0" collapsed="false">
      <c r="A2487" s="81" t="n">
        <v>43980</v>
      </c>
      <c r="B2487" s="48" t="n">
        <v>3</v>
      </c>
      <c r="C2487" s="48" t="n">
        <v>0</v>
      </c>
      <c r="D2487" s="48" t="n">
        <v>-1</v>
      </c>
      <c r="E2487" s="48" t="s">
        <v>112</v>
      </c>
      <c r="F2487" s="48" t="s">
        <v>70</v>
      </c>
      <c r="G2487" s="48" t="s">
        <v>670</v>
      </c>
      <c r="H2487" s="82" t="n">
        <f aca="false">DATE(YEAR(A2487),MONTH(A2487),1)</f>
        <v>43952</v>
      </c>
    </row>
    <row r="2488" customFormat="false" ht="15" hidden="false" customHeight="false" outlineLevel="0" collapsed="false">
      <c r="A2488" s="81" t="n">
        <v>43980</v>
      </c>
      <c r="B2488" s="48" t="n">
        <v>0</v>
      </c>
      <c r="C2488" s="48" t="n">
        <v>0</v>
      </c>
      <c r="D2488" s="48" t="n">
        <v>1</v>
      </c>
      <c r="E2488" s="48" t="s">
        <v>112</v>
      </c>
      <c r="F2488" s="48" t="s">
        <v>70</v>
      </c>
      <c r="G2488" s="48" t="s">
        <v>679</v>
      </c>
      <c r="H2488" s="82" t="n">
        <f aca="false">DATE(YEAR(A2488),MONTH(A2488),1)</f>
        <v>43952</v>
      </c>
    </row>
    <row r="2489" customFormat="false" ht="15" hidden="false" customHeight="false" outlineLevel="0" collapsed="false">
      <c r="A2489" s="81" t="n">
        <v>43980</v>
      </c>
      <c r="B2489" s="48" t="n">
        <v>7</v>
      </c>
      <c r="C2489" s="48" t="n">
        <v>0</v>
      </c>
      <c r="D2489" s="48" t="n">
        <v>8</v>
      </c>
      <c r="E2489" s="48" t="s">
        <v>112</v>
      </c>
      <c r="F2489" s="48" t="s">
        <v>70</v>
      </c>
      <c r="G2489" s="48" t="s">
        <v>601</v>
      </c>
      <c r="H2489" s="82" t="n">
        <f aca="false">DATE(YEAR(A2489),MONTH(A2489),1)</f>
        <v>43952</v>
      </c>
    </row>
    <row r="2490" customFormat="false" ht="15" hidden="false" customHeight="false" outlineLevel="0" collapsed="false">
      <c r="A2490" s="81" t="n">
        <v>43980</v>
      </c>
      <c r="B2490" s="48" t="n">
        <v>10</v>
      </c>
      <c r="C2490" s="48" t="n">
        <v>0</v>
      </c>
      <c r="D2490" s="48" t="n">
        <v>1</v>
      </c>
      <c r="E2490" s="48" t="s">
        <v>112</v>
      </c>
      <c r="F2490" s="48" t="s">
        <v>70</v>
      </c>
      <c r="G2490" s="48" t="s">
        <v>623</v>
      </c>
      <c r="H2490" s="82" t="n">
        <f aca="false">DATE(YEAR(A2490),MONTH(A2490),1)</f>
        <v>43952</v>
      </c>
    </row>
    <row r="2491" customFormat="false" ht="15" hidden="false" customHeight="false" outlineLevel="0" collapsed="false">
      <c r="A2491" s="81" t="n">
        <v>43980</v>
      </c>
      <c r="B2491" s="48" t="n">
        <v>1</v>
      </c>
      <c r="C2491" s="48" t="n">
        <v>0</v>
      </c>
      <c r="D2491" s="48" t="n">
        <v>1</v>
      </c>
      <c r="E2491" s="48" t="s">
        <v>112</v>
      </c>
      <c r="F2491" s="48" t="s">
        <v>70</v>
      </c>
      <c r="G2491" s="48" t="s">
        <v>636</v>
      </c>
      <c r="H2491" s="82" t="n">
        <f aca="false">DATE(YEAR(A2491),MONTH(A2491),1)</f>
        <v>43952</v>
      </c>
    </row>
    <row r="2492" customFormat="false" ht="15" hidden="false" customHeight="false" outlineLevel="0" collapsed="false">
      <c r="A2492" s="81" t="n">
        <v>43980</v>
      </c>
      <c r="B2492" s="48" t="n">
        <v>7</v>
      </c>
      <c r="C2492" s="48" t="n">
        <v>1</v>
      </c>
      <c r="D2492" s="48" t="n">
        <v>6</v>
      </c>
      <c r="E2492" s="48" t="s">
        <v>112</v>
      </c>
      <c r="F2492" s="48" t="s">
        <v>76</v>
      </c>
      <c r="G2492" s="48" t="s">
        <v>595</v>
      </c>
      <c r="H2492" s="82" t="n">
        <f aca="false">DATE(YEAR(A2492),MONTH(A2492),1)</f>
        <v>43952</v>
      </c>
    </row>
    <row r="2493" customFormat="false" ht="15" hidden="false" customHeight="false" outlineLevel="0" collapsed="false">
      <c r="A2493" s="81" t="n">
        <v>43980</v>
      </c>
      <c r="B2493" s="48" t="n">
        <v>159</v>
      </c>
      <c r="C2493" s="48" t="n">
        <v>3</v>
      </c>
      <c r="D2493" s="48" t="n">
        <v>46</v>
      </c>
      <c r="E2493" s="48" t="s">
        <v>112</v>
      </c>
      <c r="F2493" s="48" t="s">
        <v>73</v>
      </c>
      <c r="G2493" s="48" t="s">
        <v>93</v>
      </c>
      <c r="H2493" s="82" t="n">
        <f aca="false">DATE(YEAR(A2493),MONTH(A2493),1)</f>
        <v>43952</v>
      </c>
    </row>
    <row r="2494" customFormat="false" ht="15" hidden="false" customHeight="false" outlineLevel="0" collapsed="false">
      <c r="A2494" s="81" t="n">
        <v>43980</v>
      </c>
      <c r="B2494" s="48" t="n">
        <v>1140</v>
      </c>
      <c r="C2494" s="48" t="n">
        <v>29</v>
      </c>
      <c r="D2494" s="48" t="n">
        <v>169</v>
      </c>
      <c r="E2494" s="48" t="s">
        <v>112</v>
      </c>
      <c r="F2494" s="48" t="s">
        <v>71</v>
      </c>
      <c r="G2494" s="48" t="s">
        <v>92</v>
      </c>
      <c r="H2494" s="82" t="n">
        <f aca="false">DATE(YEAR(A2494),MONTH(A2494),1)</f>
        <v>43952</v>
      </c>
    </row>
    <row r="2495" customFormat="false" ht="15" hidden="false" customHeight="false" outlineLevel="0" collapsed="false">
      <c r="A2495" s="81" t="n">
        <v>43981</v>
      </c>
      <c r="B2495" s="48" t="n">
        <v>226</v>
      </c>
      <c r="C2495" s="48" t="n">
        <v>4</v>
      </c>
      <c r="D2495" s="48" t="n">
        <v>8</v>
      </c>
      <c r="E2495" s="48" t="s">
        <v>112</v>
      </c>
      <c r="F2495" s="48" t="s">
        <v>74</v>
      </c>
      <c r="G2495" s="48" t="s">
        <v>95</v>
      </c>
      <c r="H2495" s="82" t="n">
        <f aca="false">DATE(YEAR(A2495),MONTH(A2495),1)</f>
        <v>43952</v>
      </c>
    </row>
    <row r="2496" customFormat="false" ht="15" hidden="false" customHeight="false" outlineLevel="0" collapsed="false">
      <c r="A2496" s="81" t="n">
        <v>43981</v>
      </c>
      <c r="B2496" s="48" t="n">
        <v>0</v>
      </c>
      <c r="C2496" s="48" t="n">
        <v>1</v>
      </c>
      <c r="D2496" s="48" t="n">
        <v>0</v>
      </c>
      <c r="E2496" s="48" t="s">
        <v>112</v>
      </c>
      <c r="F2496" s="48" t="s">
        <v>75</v>
      </c>
      <c r="G2496" s="48" t="s">
        <v>103</v>
      </c>
      <c r="H2496" s="82" t="n">
        <f aca="false">DATE(YEAR(A2496),MONTH(A2496),1)</f>
        <v>43952</v>
      </c>
    </row>
    <row r="2497" customFormat="false" ht="15" hidden="false" customHeight="false" outlineLevel="0" collapsed="false">
      <c r="A2497" s="81" t="n">
        <v>43981</v>
      </c>
      <c r="B2497" s="48" t="n">
        <v>2</v>
      </c>
      <c r="C2497" s="48" t="n">
        <v>0</v>
      </c>
      <c r="D2497" s="48" t="n">
        <v>0</v>
      </c>
      <c r="E2497" s="48" t="s">
        <v>112</v>
      </c>
      <c r="F2497" s="48" t="s">
        <v>75</v>
      </c>
      <c r="G2497" s="48" t="s">
        <v>624</v>
      </c>
      <c r="H2497" s="82" t="n">
        <f aca="false">DATE(YEAR(A2497),MONTH(A2497),1)</f>
        <v>43952</v>
      </c>
    </row>
    <row r="2498" customFormat="false" ht="15" hidden="false" customHeight="false" outlineLevel="0" collapsed="false">
      <c r="A2498" s="81" t="n">
        <v>43981</v>
      </c>
      <c r="B2498" s="48" t="n">
        <v>3</v>
      </c>
      <c r="C2498" s="48" t="n">
        <v>0</v>
      </c>
      <c r="D2498" s="48" t="n">
        <v>0</v>
      </c>
      <c r="E2498" s="48" t="s">
        <v>112</v>
      </c>
      <c r="F2498" s="48" t="s">
        <v>75</v>
      </c>
      <c r="G2498" s="48" t="s">
        <v>649</v>
      </c>
      <c r="H2498" s="82" t="n">
        <f aca="false">DATE(YEAR(A2498),MONTH(A2498),1)</f>
        <v>43952</v>
      </c>
    </row>
    <row r="2499" customFormat="false" ht="15" hidden="false" customHeight="false" outlineLevel="0" collapsed="false">
      <c r="A2499" s="81" t="n">
        <v>43981</v>
      </c>
      <c r="B2499" s="48" t="n">
        <v>0</v>
      </c>
      <c r="C2499" s="48" t="n">
        <v>1</v>
      </c>
      <c r="D2499" s="48" t="n">
        <v>0</v>
      </c>
      <c r="E2499" s="48" t="s">
        <v>112</v>
      </c>
      <c r="F2499" s="48" t="s">
        <v>75</v>
      </c>
      <c r="G2499" s="48" t="s">
        <v>629</v>
      </c>
      <c r="H2499" s="82" t="n">
        <f aca="false">DATE(YEAR(A2499),MONTH(A2499),1)</f>
        <v>43952</v>
      </c>
    </row>
    <row r="2500" customFormat="false" ht="15" hidden="false" customHeight="false" outlineLevel="0" collapsed="false">
      <c r="A2500" s="81" t="n">
        <v>43981</v>
      </c>
      <c r="B2500" s="48" t="n">
        <v>0</v>
      </c>
      <c r="C2500" s="48" t="n">
        <v>0</v>
      </c>
      <c r="D2500" s="48" t="n">
        <v>4</v>
      </c>
      <c r="E2500" s="48" t="s">
        <v>112</v>
      </c>
      <c r="F2500" s="48" t="s">
        <v>75</v>
      </c>
      <c r="G2500" s="48" t="s">
        <v>654</v>
      </c>
      <c r="H2500" s="82" t="n">
        <f aca="false">DATE(YEAR(A2500),MONTH(A2500),1)</f>
        <v>43952</v>
      </c>
    </row>
    <row r="2501" customFormat="false" ht="15" hidden="false" customHeight="false" outlineLevel="0" collapsed="false">
      <c r="A2501" s="81" t="n">
        <v>43981</v>
      </c>
      <c r="B2501" s="48" t="n">
        <v>0</v>
      </c>
      <c r="C2501" s="48" t="n">
        <v>0</v>
      </c>
      <c r="D2501" s="48" t="n">
        <v>3</v>
      </c>
      <c r="E2501" s="48" t="s">
        <v>112</v>
      </c>
      <c r="F2501" s="48" t="s">
        <v>75</v>
      </c>
      <c r="G2501" s="48" t="s">
        <v>103</v>
      </c>
      <c r="H2501" s="82" t="n">
        <f aca="false">DATE(YEAR(A2501),MONTH(A2501),1)</f>
        <v>43952</v>
      </c>
    </row>
    <row r="2502" customFormat="false" ht="15" hidden="false" customHeight="false" outlineLevel="0" collapsed="false">
      <c r="A2502" s="81" t="n">
        <v>43981</v>
      </c>
      <c r="B2502" s="48" t="n">
        <v>6</v>
      </c>
      <c r="C2502" s="48" t="n">
        <v>0</v>
      </c>
      <c r="D2502" s="48" t="n">
        <v>0</v>
      </c>
      <c r="E2502" s="48" t="s">
        <v>112</v>
      </c>
      <c r="F2502" s="48" t="s">
        <v>75</v>
      </c>
      <c r="G2502" s="48" t="s">
        <v>617</v>
      </c>
      <c r="H2502" s="82" t="n">
        <f aca="false">DATE(YEAR(A2502),MONTH(A2502),1)</f>
        <v>43952</v>
      </c>
    </row>
    <row r="2503" customFormat="false" ht="15" hidden="false" customHeight="false" outlineLevel="0" collapsed="false">
      <c r="A2503" s="81" t="n">
        <v>43981</v>
      </c>
      <c r="B2503" s="48" t="n">
        <v>1</v>
      </c>
      <c r="C2503" s="48" t="n">
        <v>0</v>
      </c>
      <c r="D2503" s="48" t="n">
        <v>0</v>
      </c>
      <c r="E2503" s="48" t="s">
        <v>112</v>
      </c>
      <c r="F2503" s="48" t="s">
        <v>75</v>
      </c>
      <c r="G2503" s="48" t="s">
        <v>658</v>
      </c>
      <c r="H2503" s="82" t="n">
        <f aca="false">DATE(YEAR(A2503),MONTH(A2503),1)</f>
        <v>43952</v>
      </c>
    </row>
    <row r="2504" customFormat="false" ht="15" hidden="false" customHeight="false" outlineLevel="0" collapsed="false">
      <c r="A2504" s="81" t="n">
        <v>43981</v>
      </c>
      <c r="B2504" s="48" t="n">
        <v>157</v>
      </c>
      <c r="C2504" s="48" t="n">
        <v>4</v>
      </c>
      <c r="D2504" s="48" t="n">
        <v>21</v>
      </c>
      <c r="E2504" s="48" t="s">
        <v>112</v>
      </c>
      <c r="F2504" s="48" t="s">
        <v>72</v>
      </c>
      <c r="G2504" s="48" t="s">
        <v>94</v>
      </c>
      <c r="H2504" s="82" t="n">
        <f aca="false">DATE(YEAR(A2504),MONTH(A2504),1)</f>
        <v>43952</v>
      </c>
    </row>
    <row r="2505" customFormat="false" ht="15" hidden="false" customHeight="false" outlineLevel="0" collapsed="false">
      <c r="A2505" s="81" t="n">
        <v>43981</v>
      </c>
      <c r="B2505" s="48" t="n">
        <v>28</v>
      </c>
      <c r="C2505" s="48" t="n">
        <v>1</v>
      </c>
      <c r="D2505" s="48" t="n">
        <v>3</v>
      </c>
      <c r="E2505" s="48" t="s">
        <v>112</v>
      </c>
      <c r="F2505" s="48" t="s">
        <v>72</v>
      </c>
      <c r="G2505" s="48" t="s">
        <v>597</v>
      </c>
      <c r="H2505" s="82" t="n">
        <f aca="false">DATE(YEAR(A2505),MONTH(A2505),1)</f>
        <v>43952</v>
      </c>
    </row>
    <row r="2506" customFormat="false" ht="15" hidden="false" customHeight="false" outlineLevel="0" collapsed="false">
      <c r="A2506" s="81" t="n">
        <v>43981</v>
      </c>
      <c r="B2506" s="48" t="n">
        <v>13</v>
      </c>
      <c r="C2506" s="48" t="n">
        <v>0</v>
      </c>
      <c r="D2506" s="48" t="n">
        <v>3</v>
      </c>
      <c r="E2506" s="48" t="s">
        <v>112</v>
      </c>
      <c r="F2506" s="48" t="s">
        <v>72</v>
      </c>
      <c r="G2506" s="48" t="s">
        <v>594</v>
      </c>
      <c r="H2506" s="82" t="n">
        <f aca="false">DATE(YEAR(A2506),MONTH(A2506),1)</f>
        <v>43952</v>
      </c>
    </row>
    <row r="2507" customFormat="false" ht="15" hidden="false" customHeight="false" outlineLevel="0" collapsed="false">
      <c r="A2507" s="81" t="n">
        <v>43981</v>
      </c>
      <c r="B2507" s="48" t="n">
        <v>28</v>
      </c>
      <c r="C2507" s="48" t="n">
        <v>0</v>
      </c>
      <c r="D2507" s="48" t="n">
        <v>0</v>
      </c>
      <c r="E2507" s="48" t="s">
        <v>112</v>
      </c>
      <c r="F2507" s="48" t="s">
        <v>72</v>
      </c>
      <c r="G2507" s="48" t="s">
        <v>599</v>
      </c>
      <c r="H2507" s="82" t="n">
        <f aca="false">DATE(YEAR(A2507),MONTH(A2507),1)</f>
        <v>43952</v>
      </c>
    </row>
    <row r="2508" customFormat="false" ht="15" hidden="false" customHeight="false" outlineLevel="0" collapsed="false">
      <c r="A2508" s="81" t="n">
        <v>43981</v>
      </c>
      <c r="B2508" s="48" t="n">
        <v>0</v>
      </c>
      <c r="C2508" s="48" t="n">
        <v>0</v>
      </c>
      <c r="D2508" s="48" t="n">
        <v>0</v>
      </c>
      <c r="E2508" s="48" t="s">
        <v>112</v>
      </c>
      <c r="F2508" s="48" t="s">
        <v>72</v>
      </c>
      <c r="G2508" s="48" t="s">
        <v>656</v>
      </c>
      <c r="H2508" s="82" t="n">
        <f aca="false">DATE(YEAR(A2508),MONTH(A2508),1)</f>
        <v>43952</v>
      </c>
    </row>
    <row r="2509" customFormat="false" ht="15" hidden="false" customHeight="false" outlineLevel="0" collapsed="false">
      <c r="A2509" s="81" t="n">
        <v>43981</v>
      </c>
      <c r="B2509" s="48" t="n">
        <v>49</v>
      </c>
      <c r="C2509" s="48" t="n">
        <v>0</v>
      </c>
      <c r="D2509" s="48" t="n">
        <v>1</v>
      </c>
      <c r="E2509" s="48" t="s">
        <v>112</v>
      </c>
      <c r="F2509" s="48" t="s">
        <v>72</v>
      </c>
      <c r="G2509" s="48" t="s">
        <v>102</v>
      </c>
      <c r="H2509" s="82" t="n">
        <f aca="false">DATE(YEAR(A2509),MONTH(A2509),1)</f>
        <v>43952</v>
      </c>
    </row>
    <row r="2510" customFormat="false" ht="15" hidden="false" customHeight="false" outlineLevel="0" collapsed="false">
      <c r="A2510" s="81" t="n">
        <v>43981</v>
      </c>
      <c r="B2510" s="48" t="n">
        <v>0</v>
      </c>
      <c r="C2510" s="48" t="n">
        <v>0</v>
      </c>
      <c r="D2510" s="48" t="n">
        <v>7</v>
      </c>
      <c r="E2510" s="48" t="s">
        <v>112</v>
      </c>
      <c r="F2510" s="48" t="s">
        <v>72</v>
      </c>
      <c r="G2510" s="48" t="s">
        <v>611</v>
      </c>
      <c r="H2510" s="82" t="n">
        <f aca="false">DATE(YEAR(A2510),MONTH(A2510),1)</f>
        <v>43952</v>
      </c>
    </row>
    <row r="2511" customFormat="false" ht="15" hidden="false" customHeight="false" outlineLevel="0" collapsed="false">
      <c r="A2511" s="81" t="n">
        <v>43981</v>
      </c>
      <c r="B2511" s="48" t="n">
        <v>1</v>
      </c>
      <c r="C2511" s="48" t="n">
        <v>1</v>
      </c>
      <c r="D2511" s="48" t="n">
        <v>12</v>
      </c>
      <c r="E2511" s="48" t="s">
        <v>112</v>
      </c>
      <c r="F2511" s="48" t="s">
        <v>72</v>
      </c>
      <c r="G2511" s="48" t="s">
        <v>96</v>
      </c>
      <c r="H2511" s="82" t="n">
        <f aca="false">DATE(YEAR(A2511),MONTH(A2511),1)</f>
        <v>43952</v>
      </c>
    </row>
    <row r="2512" customFormat="false" ht="15" hidden="false" customHeight="false" outlineLevel="0" collapsed="false">
      <c r="A2512" s="81" t="n">
        <v>43981</v>
      </c>
      <c r="B2512" s="48" t="n">
        <v>1</v>
      </c>
      <c r="C2512" s="48" t="n">
        <v>1</v>
      </c>
      <c r="D2512" s="48" t="n">
        <v>0</v>
      </c>
      <c r="E2512" s="48" t="s">
        <v>112</v>
      </c>
      <c r="F2512" s="48" t="s">
        <v>72</v>
      </c>
      <c r="G2512" s="48" t="s">
        <v>603</v>
      </c>
      <c r="H2512" s="82" t="n">
        <f aca="false">DATE(YEAR(A2512),MONTH(A2512),1)</f>
        <v>43952</v>
      </c>
    </row>
    <row r="2513" customFormat="false" ht="15" hidden="false" customHeight="false" outlineLevel="0" collapsed="false">
      <c r="A2513" s="81" t="n">
        <v>43981</v>
      </c>
      <c r="B2513" s="48" t="n">
        <v>15</v>
      </c>
      <c r="C2513" s="48" t="n">
        <v>0</v>
      </c>
      <c r="D2513" s="48" t="n">
        <v>4</v>
      </c>
      <c r="E2513" s="48" t="s">
        <v>112</v>
      </c>
      <c r="F2513" s="48" t="s">
        <v>72</v>
      </c>
      <c r="G2513" s="48" t="s">
        <v>591</v>
      </c>
      <c r="H2513" s="82" t="n">
        <f aca="false">DATE(YEAR(A2513),MONTH(A2513),1)</f>
        <v>43952</v>
      </c>
    </row>
    <row r="2514" customFormat="false" ht="15" hidden="false" customHeight="false" outlineLevel="0" collapsed="false">
      <c r="A2514" s="81" t="n">
        <v>43981</v>
      </c>
      <c r="B2514" s="48" t="n">
        <v>20</v>
      </c>
      <c r="C2514" s="48" t="n">
        <v>0</v>
      </c>
      <c r="D2514" s="48" t="n">
        <v>10</v>
      </c>
      <c r="E2514" s="48" t="s">
        <v>112</v>
      </c>
      <c r="F2514" s="48" t="s">
        <v>72</v>
      </c>
      <c r="G2514" s="48" t="s">
        <v>598</v>
      </c>
      <c r="H2514" s="82" t="n">
        <f aca="false">DATE(YEAR(A2514),MONTH(A2514),1)</f>
        <v>43952</v>
      </c>
    </row>
    <row r="2515" customFormat="false" ht="15" hidden="false" customHeight="false" outlineLevel="0" collapsed="false">
      <c r="A2515" s="81" t="n">
        <v>43981</v>
      </c>
      <c r="B2515" s="48" t="n">
        <v>10</v>
      </c>
      <c r="C2515" s="48" t="n">
        <v>0</v>
      </c>
      <c r="D2515" s="48" t="n">
        <v>2</v>
      </c>
      <c r="E2515" s="48" t="s">
        <v>112</v>
      </c>
      <c r="F2515" s="48" t="s">
        <v>72</v>
      </c>
      <c r="G2515" s="48" t="s">
        <v>609</v>
      </c>
      <c r="H2515" s="82" t="n">
        <f aca="false">DATE(YEAR(A2515),MONTH(A2515),1)</f>
        <v>43952</v>
      </c>
    </row>
    <row r="2516" customFormat="false" ht="15" hidden="false" customHeight="false" outlineLevel="0" collapsed="false">
      <c r="A2516" s="81" t="n">
        <v>43981</v>
      </c>
      <c r="B2516" s="48" t="n">
        <v>16</v>
      </c>
      <c r="C2516" s="48" t="n">
        <v>0</v>
      </c>
      <c r="D2516" s="48" t="n">
        <v>1</v>
      </c>
      <c r="E2516" s="48" t="s">
        <v>112</v>
      </c>
      <c r="F2516" s="48" t="s">
        <v>72</v>
      </c>
      <c r="G2516" s="48" t="s">
        <v>101</v>
      </c>
      <c r="H2516" s="82" t="n">
        <f aca="false">DATE(YEAR(A2516),MONTH(A2516),1)</f>
        <v>43952</v>
      </c>
    </row>
    <row r="2517" customFormat="false" ht="15" hidden="false" customHeight="false" outlineLevel="0" collapsed="false">
      <c r="A2517" s="81" t="n">
        <v>43981</v>
      </c>
      <c r="B2517" s="48" t="n">
        <v>0</v>
      </c>
      <c r="C2517" s="48" t="n">
        <v>0</v>
      </c>
      <c r="D2517" s="48" t="n">
        <v>1</v>
      </c>
      <c r="E2517" s="48" t="s">
        <v>112</v>
      </c>
      <c r="F2517" s="48" t="s">
        <v>72</v>
      </c>
      <c r="G2517" s="48" t="s">
        <v>643</v>
      </c>
      <c r="H2517" s="82" t="n">
        <f aca="false">DATE(YEAR(A2517),MONTH(A2517),1)</f>
        <v>43952</v>
      </c>
    </row>
    <row r="2518" customFormat="false" ht="15" hidden="false" customHeight="false" outlineLevel="0" collapsed="false">
      <c r="A2518" s="81" t="n">
        <v>43981</v>
      </c>
      <c r="B2518" s="48" t="n">
        <v>1</v>
      </c>
      <c r="C2518" s="48" t="n">
        <v>0</v>
      </c>
      <c r="D2518" s="48" t="n">
        <v>1</v>
      </c>
      <c r="E2518" s="48" t="s">
        <v>112</v>
      </c>
      <c r="F2518" s="48" t="s">
        <v>72</v>
      </c>
      <c r="G2518" s="48" t="s">
        <v>662</v>
      </c>
      <c r="H2518" s="82" t="n">
        <f aca="false">DATE(YEAR(A2518),MONTH(A2518),1)</f>
        <v>43952</v>
      </c>
    </row>
    <row r="2519" customFormat="false" ht="15" hidden="false" customHeight="false" outlineLevel="0" collapsed="false">
      <c r="A2519" s="81" t="n">
        <v>43981</v>
      </c>
      <c r="B2519" s="48" t="n">
        <v>20</v>
      </c>
      <c r="C2519" s="48" t="n">
        <v>0</v>
      </c>
      <c r="D2519" s="48" t="n">
        <v>5</v>
      </c>
      <c r="E2519" s="48" t="s">
        <v>112</v>
      </c>
      <c r="F2519" s="48" t="s">
        <v>72</v>
      </c>
      <c r="G2519" s="48" t="s">
        <v>600</v>
      </c>
      <c r="H2519" s="82" t="n">
        <f aca="false">DATE(YEAR(A2519),MONTH(A2519),1)</f>
        <v>43952</v>
      </c>
    </row>
    <row r="2520" customFormat="false" ht="15" hidden="false" customHeight="false" outlineLevel="0" collapsed="false">
      <c r="A2520" s="81" t="n">
        <v>43981</v>
      </c>
      <c r="B2520" s="48" t="n">
        <v>0</v>
      </c>
      <c r="C2520" s="48" t="n">
        <v>0</v>
      </c>
      <c r="D2520" s="48" t="n">
        <v>0</v>
      </c>
      <c r="E2520" s="48" t="s">
        <v>112</v>
      </c>
      <c r="F2520" s="48" t="s">
        <v>72</v>
      </c>
      <c r="G2520" s="48" t="s">
        <v>610</v>
      </c>
      <c r="H2520" s="82" t="n">
        <f aca="false">DATE(YEAR(A2520),MONTH(A2520),1)</f>
        <v>43952</v>
      </c>
    </row>
    <row r="2521" customFormat="false" ht="15" hidden="false" customHeight="false" outlineLevel="0" collapsed="false">
      <c r="A2521" s="81" t="n">
        <v>43981</v>
      </c>
      <c r="B2521" s="48" t="n">
        <v>9</v>
      </c>
      <c r="C2521" s="48" t="n">
        <v>1</v>
      </c>
      <c r="D2521" s="48" t="n">
        <v>0</v>
      </c>
      <c r="E2521" s="48" t="s">
        <v>112</v>
      </c>
      <c r="F2521" s="48" t="s">
        <v>72</v>
      </c>
      <c r="G2521" s="48" t="s">
        <v>593</v>
      </c>
      <c r="H2521" s="82" t="n">
        <f aca="false">DATE(YEAR(A2521),MONTH(A2521),1)</f>
        <v>43952</v>
      </c>
    </row>
    <row r="2522" customFormat="false" ht="15" hidden="false" customHeight="false" outlineLevel="0" collapsed="false">
      <c r="A2522" s="81" t="n">
        <v>43981</v>
      </c>
      <c r="B2522" s="48" t="n">
        <v>7</v>
      </c>
      <c r="C2522" s="48" t="n">
        <v>0</v>
      </c>
      <c r="D2522" s="48" t="n">
        <v>4</v>
      </c>
      <c r="E2522" s="48" t="s">
        <v>112</v>
      </c>
      <c r="F2522" s="48" t="s">
        <v>72</v>
      </c>
      <c r="G2522" s="48" t="s">
        <v>612</v>
      </c>
      <c r="H2522" s="82" t="n">
        <f aca="false">DATE(YEAR(A2522),MONTH(A2522),1)</f>
        <v>43952</v>
      </c>
    </row>
    <row r="2523" customFormat="false" ht="15" hidden="false" customHeight="false" outlineLevel="0" collapsed="false">
      <c r="A2523" s="81" t="n">
        <v>43981</v>
      </c>
      <c r="B2523" s="48" t="n">
        <v>0</v>
      </c>
      <c r="C2523" s="48" t="n">
        <v>0</v>
      </c>
      <c r="D2523" s="48" t="n">
        <v>0</v>
      </c>
      <c r="E2523" s="48" t="s">
        <v>112</v>
      </c>
      <c r="F2523" s="48" t="s">
        <v>72</v>
      </c>
      <c r="G2523" s="48" t="s">
        <v>685</v>
      </c>
      <c r="H2523" s="82" t="n">
        <f aca="false">DATE(YEAR(A2523),MONTH(A2523),1)</f>
        <v>43952</v>
      </c>
    </row>
    <row r="2524" customFormat="false" ht="15" hidden="false" customHeight="false" outlineLevel="0" collapsed="false">
      <c r="A2524" s="81" t="n">
        <v>43981</v>
      </c>
      <c r="B2524" s="48" t="n">
        <v>0</v>
      </c>
      <c r="C2524" s="48" t="n">
        <v>0</v>
      </c>
      <c r="D2524" s="48" t="n">
        <v>0</v>
      </c>
      <c r="E2524" s="48" t="s">
        <v>112</v>
      </c>
      <c r="F2524" s="48" t="s">
        <v>72</v>
      </c>
      <c r="G2524" s="48" t="s">
        <v>687</v>
      </c>
      <c r="H2524" s="82" t="n">
        <f aca="false">DATE(YEAR(A2524),MONTH(A2524),1)</f>
        <v>43952</v>
      </c>
    </row>
    <row r="2525" customFormat="false" ht="15" hidden="false" customHeight="false" outlineLevel="0" collapsed="false">
      <c r="A2525" s="81" t="n">
        <v>43981</v>
      </c>
      <c r="B2525" s="48" t="n">
        <v>0</v>
      </c>
      <c r="C2525" s="48" t="n">
        <v>0</v>
      </c>
      <c r="D2525" s="48" t="n">
        <v>0</v>
      </c>
      <c r="E2525" s="48" t="s">
        <v>112</v>
      </c>
      <c r="F2525" s="48" t="s">
        <v>72</v>
      </c>
      <c r="G2525" s="48" t="s">
        <v>682</v>
      </c>
      <c r="H2525" s="82" t="n">
        <f aca="false">DATE(YEAR(A2525),MONTH(A2525),1)</f>
        <v>43952</v>
      </c>
    </row>
    <row r="2526" customFormat="false" ht="15" hidden="false" customHeight="false" outlineLevel="0" collapsed="false">
      <c r="A2526" s="81" t="n">
        <v>43981</v>
      </c>
      <c r="B2526" s="48" t="n">
        <v>0</v>
      </c>
      <c r="C2526" s="48" t="n">
        <v>0</v>
      </c>
      <c r="D2526" s="48" t="n">
        <v>0</v>
      </c>
      <c r="E2526" s="48" t="s">
        <v>112</v>
      </c>
      <c r="F2526" s="48" t="s">
        <v>72</v>
      </c>
      <c r="G2526" s="48" t="s">
        <v>692</v>
      </c>
      <c r="H2526" s="82" t="n">
        <f aca="false">DATE(YEAR(A2526),MONTH(A2526),1)</f>
        <v>43952</v>
      </c>
    </row>
    <row r="2527" customFormat="false" ht="15" hidden="false" customHeight="false" outlineLevel="0" collapsed="false">
      <c r="A2527" s="81" t="n">
        <v>43981</v>
      </c>
      <c r="B2527" s="48" t="n">
        <v>8</v>
      </c>
      <c r="C2527" s="48" t="n">
        <v>0</v>
      </c>
      <c r="D2527" s="48" t="n">
        <v>0</v>
      </c>
      <c r="E2527" s="48" t="s">
        <v>112</v>
      </c>
      <c r="F2527" s="48" t="s">
        <v>72</v>
      </c>
      <c r="G2527" s="48" t="s">
        <v>613</v>
      </c>
      <c r="H2527" s="82" t="n">
        <f aca="false">DATE(YEAR(A2527),MONTH(A2527),1)</f>
        <v>43952</v>
      </c>
    </row>
    <row r="2528" customFormat="false" ht="15" hidden="false" customHeight="false" outlineLevel="0" collapsed="false">
      <c r="A2528" s="81" t="n">
        <v>43981</v>
      </c>
      <c r="B2528" s="48" t="n">
        <v>7</v>
      </c>
      <c r="C2528" s="48" t="n">
        <v>0</v>
      </c>
      <c r="D2528" s="48" t="n">
        <v>1</v>
      </c>
      <c r="E2528" s="48" t="s">
        <v>112</v>
      </c>
      <c r="F2528" s="48" t="s">
        <v>72</v>
      </c>
      <c r="G2528" s="48" t="s">
        <v>614</v>
      </c>
      <c r="H2528" s="82" t="n">
        <f aca="false">DATE(YEAR(A2528),MONTH(A2528),1)</f>
        <v>43952</v>
      </c>
    </row>
    <row r="2529" customFormat="false" ht="15" hidden="false" customHeight="false" outlineLevel="0" collapsed="false">
      <c r="A2529" s="81" t="n">
        <v>43981</v>
      </c>
      <c r="B2529" s="48" t="n">
        <v>1</v>
      </c>
      <c r="C2529" s="48" t="n">
        <v>0</v>
      </c>
      <c r="D2529" s="48" t="n">
        <v>2</v>
      </c>
      <c r="E2529" s="48" t="s">
        <v>112</v>
      </c>
      <c r="F2529" s="48" t="s">
        <v>72</v>
      </c>
      <c r="G2529" s="48" t="s">
        <v>655</v>
      </c>
      <c r="H2529" s="82" t="n">
        <f aca="false">DATE(YEAR(A2529),MONTH(A2529),1)</f>
        <v>43952</v>
      </c>
    </row>
    <row r="2530" customFormat="false" ht="15" hidden="false" customHeight="false" outlineLevel="0" collapsed="false">
      <c r="A2530" s="81" t="n">
        <v>43981</v>
      </c>
      <c r="B2530" s="48" t="n">
        <v>5</v>
      </c>
      <c r="C2530" s="48" t="n">
        <v>0</v>
      </c>
      <c r="D2530" s="48" t="n">
        <v>0</v>
      </c>
      <c r="E2530" s="48" t="s">
        <v>112</v>
      </c>
      <c r="F2530" s="48" t="s">
        <v>72</v>
      </c>
      <c r="G2530" s="48" t="s">
        <v>608</v>
      </c>
      <c r="H2530" s="82" t="n">
        <f aca="false">DATE(YEAR(A2530),MONTH(A2530),1)</f>
        <v>43952</v>
      </c>
    </row>
    <row r="2531" customFormat="false" ht="15" hidden="false" customHeight="false" outlineLevel="0" collapsed="false">
      <c r="A2531" s="81" t="n">
        <v>43981</v>
      </c>
      <c r="B2531" s="48" t="n">
        <v>0</v>
      </c>
      <c r="C2531" s="48" t="n">
        <v>0</v>
      </c>
      <c r="D2531" s="48" t="n">
        <v>0</v>
      </c>
      <c r="E2531" s="48" t="s">
        <v>112</v>
      </c>
      <c r="F2531" s="48" t="s">
        <v>72</v>
      </c>
      <c r="G2531" s="48" t="s">
        <v>615</v>
      </c>
      <c r="H2531" s="82" t="n">
        <f aca="false">DATE(YEAR(A2531),MONTH(A2531),1)</f>
        <v>43952</v>
      </c>
    </row>
    <row r="2532" customFormat="false" ht="15" hidden="false" customHeight="false" outlineLevel="0" collapsed="false">
      <c r="A2532" s="81" t="n">
        <v>43981</v>
      </c>
      <c r="B2532" s="48" t="n">
        <v>0</v>
      </c>
      <c r="C2532" s="48" t="n">
        <v>0</v>
      </c>
      <c r="D2532" s="48" t="n">
        <v>0</v>
      </c>
      <c r="E2532" s="48" t="s">
        <v>112</v>
      </c>
      <c r="F2532" s="48" t="s">
        <v>72</v>
      </c>
      <c r="G2532" s="48" t="s">
        <v>666</v>
      </c>
      <c r="H2532" s="82" t="n">
        <f aca="false">DATE(YEAR(A2532),MONTH(A2532),1)</f>
        <v>43952</v>
      </c>
    </row>
    <row r="2533" customFormat="false" ht="15" hidden="false" customHeight="false" outlineLevel="0" collapsed="false">
      <c r="A2533" s="81" t="n">
        <v>43981</v>
      </c>
      <c r="B2533" s="48" t="n">
        <v>0</v>
      </c>
      <c r="C2533" s="48" t="n">
        <v>0</v>
      </c>
      <c r="D2533" s="48" t="n">
        <v>0</v>
      </c>
      <c r="E2533" s="48" t="s">
        <v>112</v>
      </c>
      <c r="F2533" s="48" t="s">
        <v>72</v>
      </c>
      <c r="G2533" s="48" t="s">
        <v>621</v>
      </c>
      <c r="H2533" s="82" t="n">
        <f aca="false">DATE(YEAR(A2533),MONTH(A2533),1)</f>
        <v>43952</v>
      </c>
    </row>
    <row r="2534" customFormat="false" ht="15" hidden="false" customHeight="false" outlineLevel="0" collapsed="false">
      <c r="A2534" s="81" t="n">
        <v>43981</v>
      </c>
      <c r="B2534" s="48" t="n">
        <v>0</v>
      </c>
      <c r="C2534" s="48" t="n">
        <v>0</v>
      </c>
      <c r="D2534" s="48" t="n">
        <v>0</v>
      </c>
      <c r="E2534" s="48" t="s">
        <v>112</v>
      </c>
      <c r="F2534" s="48" t="s">
        <v>72</v>
      </c>
      <c r="G2534" s="48" t="s">
        <v>664</v>
      </c>
      <c r="H2534" s="82" t="n">
        <f aca="false">DATE(YEAR(A2534),MONTH(A2534),1)</f>
        <v>43952</v>
      </c>
    </row>
    <row r="2535" customFormat="false" ht="15" hidden="false" customHeight="false" outlineLevel="0" collapsed="false">
      <c r="A2535" s="81" t="n">
        <v>43981</v>
      </c>
      <c r="B2535" s="48" t="n">
        <v>0</v>
      </c>
      <c r="C2535" s="48" t="n">
        <v>0</v>
      </c>
      <c r="D2535" s="48" t="n">
        <v>0</v>
      </c>
      <c r="E2535" s="48" t="s">
        <v>112</v>
      </c>
      <c r="F2535" s="48" t="s">
        <v>72</v>
      </c>
      <c r="G2535" s="48" t="s">
        <v>667</v>
      </c>
      <c r="H2535" s="82" t="n">
        <f aca="false">DATE(YEAR(A2535),MONTH(A2535),1)</f>
        <v>43952</v>
      </c>
    </row>
    <row r="2536" customFormat="false" ht="15" hidden="false" customHeight="false" outlineLevel="0" collapsed="false">
      <c r="A2536" s="81" t="n">
        <v>43981</v>
      </c>
      <c r="B2536" s="48" t="n">
        <v>0</v>
      </c>
      <c r="C2536" s="48" t="n">
        <v>0</v>
      </c>
      <c r="D2536" s="48" t="n">
        <v>0</v>
      </c>
      <c r="E2536" s="48" t="s">
        <v>112</v>
      </c>
      <c r="F2536" s="48" t="s">
        <v>72</v>
      </c>
      <c r="G2536" s="48" t="s">
        <v>607</v>
      </c>
      <c r="H2536" s="82" t="n">
        <f aca="false">DATE(YEAR(A2536),MONTH(A2536),1)</f>
        <v>43952</v>
      </c>
    </row>
    <row r="2537" customFormat="false" ht="15" hidden="false" customHeight="false" outlineLevel="0" collapsed="false">
      <c r="A2537" s="81" t="n">
        <v>43981</v>
      </c>
      <c r="B2537" s="48" t="n">
        <v>0</v>
      </c>
      <c r="C2537" s="48" t="n">
        <v>0</v>
      </c>
      <c r="D2537" s="48" t="n">
        <v>0</v>
      </c>
      <c r="E2537" s="48" t="s">
        <v>112</v>
      </c>
      <c r="F2537" s="48" t="s">
        <v>72</v>
      </c>
      <c r="G2537" s="48" t="s">
        <v>673</v>
      </c>
      <c r="H2537" s="82" t="n">
        <f aca="false">DATE(YEAR(A2537),MONTH(A2537),1)</f>
        <v>43952</v>
      </c>
    </row>
    <row r="2538" customFormat="false" ht="15" hidden="false" customHeight="false" outlineLevel="0" collapsed="false">
      <c r="A2538" s="81" t="n">
        <v>43981</v>
      </c>
      <c r="B2538" s="48" t="n">
        <v>0</v>
      </c>
      <c r="C2538" s="48" t="n">
        <v>0</v>
      </c>
      <c r="D2538" s="48" t="n">
        <v>0</v>
      </c>
      <c r="E2538" s="48" t="s">
        <v>112</v>
      </c>
      <c r="F2538" s="48" t="s">
        <v>72</v>
      </c>
      <c r="G2538" s="48" t="s">
        <v>676</v>
      </c>
      <c r="H2538" s="82" t="n">
        <f aca="false">DATE(YEAR(A2538),MONTH(A2538),1)</f>
        <v>43952</v>
      </c>
    </row>
    <row r="2539" customFormat="false" ht="15" hidden="false" customHeight="false" outlineLevel="0" collapsed="false">
      <c r="A2539" s="81" t="n">
        <v>43981</v>
      </c>
      <c r="B2539" s="48" t="n">
        <v>1043</v>
      </c>
      <c r="C2539" s="48" t="n">
        <v>35</v>
      </c>
      <c r="D2539" s="48" t="n">
        <v>454</v>
      </c>
      <c r="E2539" s="48" t="s">
        <v>112</v>
      </c>
      <c r="F2539" s="48" t="s">
        <v>70</v>
      </c>
      <c r="G2539" s="48" t="s">
        <v>91</v>
      </c>
      <c r="H2539" s="82" t="n">
        <f aca="false">DATE(YEAR(A2539),MONTH(A2539),1)</f>
        <v>43952</v>
      </c>
    </row>
    <row r="2540" customFormat="false" ht="15" hidden="false" customHeight="false" outlineLevel="0" collapsed="false">
      <c r="A2540" s="81" t="n">
        <v>43981</v>
      </c>
      <c r="B2540" s="48" t="n">
        <v>24</v>
      </c>
      <c r="C2540" s="48" t="n">
        <v>1</v>
      </c>
      <c r="D2540" s="48" t="n">
        <v>26</v>
      </c>
      <c r="E2540" s="48" t="s">
        <v>112</v>
      </c>
      <c r="F2540" s="48" t="s">
        <v>70</v>
      </c>
      <c r="G2540" s="48" t="s">
        <v>99</v>
      </c>
      <c r="H2540" s="82" t="n">
        <f aca="false">DATE(YEAR(A2540),MONTH(A2540),1)</f>
        <v>43952</v>
      </c>
    </row>
    <row r="2541" customFormat="false" ht="15" hidden="false" customHeight="false" outlineLevel="0" collapsed="false">
      <c r="A2541" s="81" t="n">
        <v>43981</v>
      </c>
      <c r="B2541" s="48" t="n">
        <v>14</v>
      </c>
      <c r="C2541" s="48" t="n">
        <v>0</v>
      </c>
      <c r="D2541" s="48" t="n">
        <v>2</v>
      </c>
      <c r="E2541" s="48" t="s">
        <v>112</v>
      </c>
      <c r="F2541" s="48" t="s">
        <v>70</v>
      </c>
      <c r="G2541" s="48" t="s">
        <v>619</v>
      </c>
      <c r="H2541" s="82" t="n">
        <f aca="false">DATE(YEAR(A2541),MONTH(A2541),1)</f>
        <v>43952</v>
      </c>
    </row>
    <row r="2542" customFormat="false" ht="15" hidden="false" customHeight="false" outlineLevel="0" collapsed="false">
      <c r="A2542" s="81" t="n">
        <v>43981</v>
      </c>
      <c r="B2542" s="48" t="n">
        <v>3</v>
      </c>
      <c r="C2542" s="48" t="n">
        <v>0</v>
      </c>
      <c r="D2542" s="48" t="n">
        <v>0</v>
      </c>
      <c r="E2542" s="48" t="s">
        <v>112</v>
      </c>
      <c r="F2542" s="48" t="s">
        <v>70</v>
      </c>
      <c r="G2542" s="48" t="s">
        <v>633</v>
      </c>
      <c r="H2542" s="82" t="n">
        <f aca="false">DATE(YEAR(A2542),MONTH(A2542),1)</f>
        <v>43952</v>
      </c>
    </row>
    <row r="2543" customFormat="false" ht="15" hidden="false" customHeight="false" outlineLevel="0" collapsed="false">
      <c r="A2543" s="81" t="n">
        <v>43981</v>
      </c>
      <c r="B2543" s="48" t="n">
        <v>8</v>
      </c>
      <c r="C2543" s="48" t="n">
        <v>0</v>
      </c>
      <c r="D2543" s="48" t="n">
        <v>0</v>
      </c>
      <c r="E2543" s="48" t="s">
        <v>112</v>
      </c>
      <c r="F2543" s="48" t="s">
        <v>70</v>
      </c>
      <c r="G2543" s="48" t="s">
        <v>605</v>
      </c>
      <c r="H2543" s="82" t="n">
        <f aca="false">DATE(YEAR(A2543),MONTH(A2543),1)</f>
        <v>43952</v>
      </c>
    </row>
    <row r="2544" customFormat="false" ht="15" hidden="false" customHeight="false" outlineLevel="0" collapsed="false">
      <c r="A2544" s="81" t="n">
        <v>43981</v>
      </c>
      <c r="B2544" s="48" t="n">
        <v>0</v>
      </c>
      <c r="C2544" s="48" t="n">
        <v>0</v>
      </c>
      <c r="D2544" s="48" t="n">
        <v>0</v>
      </c>
      <c r="E2544" s="48" t="s">
        <v>112</v>
      </c>
      <c r="F2544" s="48" t="s">
        <v>70</v>
      </c>
      <c r="G2544" s="48" t="s">
        <v>641</v>
      </c>
      <c r="H2544" s="82" t="n">
        <f aca="false">DATE(YEAR(A2544),MONTH(A2544),1)</f>
        <v>43952</v>
      </c>
    </row>
    <row r="2545" customFormat="false" ht="15" hidden="false" customHeight="false" outlineLevel="0" collapsed="false">
      <c r="A2545" s="81" t="n">
        <v>43981</v>
      </c>
      <c r="B2545" s="48" t="n">
        <v>8</v>
      </c>
      <c r="C2545" s="48" t="n">
        <v>0</v>
      </c>
      <c r="D2545" s="48" t="n">
        <v>0</v>
      </c>
      <c r="E2545" s="48" t="s">
        <v>112</v>
      </c>
      <c r="F2545" s="48" t="s">
        <v>70</v>
      </c>
      <c r="G2545" s="48" t="s">
        <v>644</v>
      </c>
      <c r="H2545" s="82" t="n">
        <f aca="false">DATE(YEAR(A2545),MONTH(A2545),1)</f>
        <v>43952</v>
      </c>
    </row>
    <row r="2546" customFormat="false" ht="15" hidden="false" customHeight="false" outlineLevel="0" collapsed="false">
      <c r="A2546" s="81" t="n">
        <v>43981</v>
      </c>
      <c r="B2546" s="48" t="n">
        <v>3</v>
      </c>
      <c r="C2546" s="48" t="n">
        <v>1</v>
      </c>
      <c r="D2546" s="48" t="n">
        <v>0</v>
      </c>
      <c r="E2546" s="48" t="s">
        <v>112</v>
      </c>
      <c r="F2546" s="48" t="s">
        <v>70</v>
      </c>
      <c r="G2546" s="48" t="s">
        <v>637</v>
      </c>
      <c r="H2546" s="82" t="n">
        <f aca="false">DATE(YEAR(A2546),MONTH(A2546),1)</f>
        <v>43952</v>
      </c>
    </row>
    <row r="2547" customFormat="false" ht="15" hidden="false" customHeight="false" outlineLevel="0" collapsed="false">
      <c r="A2547" s="81" t="n">
        <v>43981</v>
      </c>
      <c r="B2547" s="48" t="n">
        <v>1</v>
      </c>
      <c r="C2547" s="48" t="n">
        <v>0</v>
      </c>
      <c r="D2547" s="48" t="n">
        <v>0</v>
      </c>
      <c r="E2547" s="48" t="s">
        <v>112</v>
      </c>
      <c r="F2547" s="48" t="s">
        <v>70</v>
      </c>
      <c r="G2547" s="48" t="s">
        <v>630</v>
      </c>
      <c r="H2547" s="82" t="n">
        <f aca="false">DATE(YEAR(A2547),MONTH(A2547),1)</f>
        <v>43952</v>
      </c>
    </row>
    <row r="2548" customFormat="false" ht="15" hidden="false" customHeight="false" outlineLevel="0" collapsed="false">
      <c r="A2548" s="81" t="n">
        <v>43981</v>
      </c>
      <c r="B2548" s="48" t="n">
        <v>0</v>
      </c>
      <c r="C2548" s="48" t="n">
        <v>0</v>
      </c>
      <c r="D2548" s="48" t="n">
        <v>0</v>
      </c>
      <c r="E2548" s="48" t="s">
        <v>112</v>
      </c>
      <c r="F2548" s="48" t="s">
        <v>70</v>
      </c>
      <c r="G2548" s="48" t="s">
        <v>642</v>
      </c>
      <c r="H2548" s="82" t="n">
        <f aca="false">DATE(YEAR(A2548),MONTH(A2548),1)</f>
        <v>43952</v>
      </c>
    </row>
    <row r="2549" customFormat="false" ht="15" hidden="false" customHeight="false" outlineLevel="0" collapsed="false">
      <c r="A2549" s="81" t="n">
        <v>43981</v>
      </c>
      <c r="B2549" s="48" t="n">
        <v>0</v>
      </c>
      <c r="C2549" s="48" t="n">
        <v>0</v>
      </c>
      <c r="D2549" s="48" t="n">
        <v>0</v>
      </c>
      <c r="E2549" s="48" t="s">
        <v>112</v>
      </c>
      <c r="F2549" s="48" t="s">
        <v>70</v>
      </c>
      <c r="G2549" s="48" t="s">
        <v>671</v>
      </c>
      <c r="H2549" s="82" t="n">
        <f aca="false">DATE(YEAR(A2549),MONTH(A2549),1)</f>
        <v>43952</v>
      </c>
    </row>
    <row r="2550" customFormat="false" ht="15" hidden="false" customHeight="false" outlineLevel="0" collapsed="false">
      <c r="A2550" s="81" t="n">
        <v>43981</v>
      </c>
      <c r="B2550" s="48" t="n">
        <v>29</v>
      </c>
      <c r="C2550" s="48" t="n">
        <v>0</v>
      </c>
      <c r="D2550" s="48" t="n">
        <v>8</v>
      </c>
      <c r="E2550" s="48" t="s">
        <v>112</v>
      </c>
      <c r="F2550" s="48" t="s">
        <v>70</v>
      </c>
      <c r="G2550" s="48" t="s">
        <v>105</v>
      </c>
      <c r="H2550" s="82" t="n">
        <f aca="false">DATE(YEAR(A2550),MONTH(A2550),1)</f>
        <v>43952</v>
      </c>
    </row>
    <row r="2551" customFormat="false" ht="15" hidden="false" customHeight="false" outlineLevel="0" collapsed="false">
      <c r="A2551" s="81" t="n">
        <v>43981</v>
      </c>
      <c r="B2551" s="48" t="n">
        <v>21</v>
      </c>
      <c r="C2551" s="48" t="n">
        <v>1</v>
      </c>
      <c r="D2551" s="48" t="n">
        <v>7</v>
      </c>
      <c r="E2551" s="48" t="s">
        <v>112</v>
      </c>
      <c r="F2551" s="48" t="s">
        <v>70</v>
      </c>
      <c r="G2551" s="48" t="s">
        <v>98</v>
      </c>
      <c r="H2551" s="82" t="n">
        <f aca="false">DATE(YEAR(A2551),MONTH(A2551),1)</f>
        <v>43952</v>
      </c>
    </row>
    <row r="2552" customFormat="false" ht="15" hidden="false" customHeight="false" outlineLevel="0" collapsed="false">
      <c r="A2552" s="81" t="n">
        <v>43981</v>
      </c>
      <c r="B2552" s="48" t="n">
        <v>8</v>
      </c>
      <c r="C2552" s="48" t="n">
        <v>0</v>
      </c>
      <c r="D2552" s="48" t="n">
        <v>1</v>
      </c>
      <c r="E2552" s="48" t="s">
        <v>112</v>
      </c>
      <c r="F2552" s="48" t="s">
        <v>70</v>
      </c>
      <c r="G2552" s="48" t="s">
        <v>592</v>
      </c>
      <c r="H2552" s="82" t="n">
        <f aca="false">DATE(YEAR(A2552),MONTH(A2552),1)</f>
        <v>43952</v>
      </c>
    </row>
    <row r="2553" customFormat="false" ht="15" hidden="false" customHeight="false" outlineLevel="0" collapsed="false">
      <c r="A2553" s="81" t="n">
        <v>43981</v>
      </c>
      <c r="B2553" s="48" t="n">
        <v>23</v>
      </c>
      <c r="C2553" s="48" t="n">
        <v>0</v>
      </c>
      <c r="D2553" s="48" t="n">
        <v>2</v>
      </c>
      <c r="E2553" s="48" t="s">
        <v>112</v>
      </c>
      <c r="F2553" s="48" t="s">
        <v>70</v>
      </c>
      <c r="G2553" s="48" t="s">
        <v>104</v>
      </c>
      <c r="H2553" s="82" t="n">
        <f aca="false">DATE(YEAR(A2553),MONTH(A2553),1)</f>
        <v>43952</v>
      </c>
    </row>
    <row r="2554" customFormat="false" ht="15" hidden="false" customHeight="false" outlineLevel="0" collapsed="false">
      <c r="A2554" s="81" t="n">
        <v>43981</v>
      </c>
      <c r="B2554" s="48" t="n">
        <v>4</v>
      </c>
      <c r="C2554" s="48" t="n">
        <v>0</v>
      </c>
      <c r="D2554" s="48" t="n">
        <v>1</v>
      </c>
      <c r="E2554" s="48" t="s">
        <v>112</v>
      </c>
      <c r="F2554" s="48" t="s">
        <v>70</v>
      </c>
      <c r="G2554" s="48" t="s">
        <v>635</v>
      </c>
      <c r="H2554" s="82" t="n">
        <f aca="false">DATE(YEAR(A2554),MONTH(A2554),1)</f>
        <v>43952</v>
      </c>
    </row>
    <row r="2555" customFormat="false" ht="15" hidden="false" customHeight="false" outlineLevel="0" collapsed="false">
      <c r="A2555" s="81" t="n">
        <v>43981</v>
      </c>
      <c r="B2555" s="48" t="n">
        <v>5</v>
      </c>
      <c r="C2555" s="48" t="n">
        <v>0</v>
      </c>
      <c r="D2555" s="48" t="n">
        <v>9</v>
      </c>
      <c r="E2555" s="48" t="s">
        <v>112</v>
      </c>
      <c r="F2555" s="48" t="s">
        <v>70</v>
      </c>
      <c r="G2555" s="48" t="s">
        <v>616</v>
      </c>
      <c r="H2555" s="82" t="n">
        <f aca="false">DATE(YEAR(A2555),MONTH(A2555),1)</f>
        <v>43952</v>
      </c>
    </row>
    <row r="2556" customFormat="false" ht="15" hidden="false" customHeight="false" outlineLevel="0" collapsed="false">
      <c r="A2556" s="81" t="n">
        <v>43981</v>
      </c>
      <c r="B2556" s="48" t="n">
        <v>0</v>
      </c>
      <c r="C2556" s="48" t="n">
        <v>0</v>
      </c>
      <c r="D2556" s="48" t="n">
        <v>2</v>
      </c>
      <c r="E2556" s="48" t="s">
        <v>112</v>
      </c>
      <c r="F2556" s="48" t="s">
        <v>70</v>
      </c>
      <c r="G2556" s="48" t="s">
        <v>663</v>
      </c>
      <c r="H2556" s="82" t="n">
        <f aca="false">DATE(YEAR(A2556),MONTH(A2556),1)</f>
        <v>43952</v>
      </c>
    </row>
    <row r="2557" customFormat="false" ht="15" hidden="false" customHeight="false" outlineLevel="0" collapsed="false">
      <c r="A2557" s="81" t="n">
        <v>43981</v>
      </c>
      <c r="B2557" s="48" t="n">
        <v>5</v>
      </c>
      <c r="C2557" s="48" t="n">
        <v>0</v>
      </c>
      <c r="D2557" s="48" t="n">
        <v>0</v>
      </c>
      <c r="E2557" s="48" t="s">
        <v>112</v>
      </c>
      <c r="F2557" s="48" t="s">
        <v>70</v>
      </c>
      <c r="G2557" s="48" t="s">
        <v>640</v>
      </c>
      <c r="H2557" s="82" t="n">
        <f aca="false">DATE(YEAR(A2557),MONTH(A2557),1)</f>
        <v>43952</v>
      </c>
    </row>
    <row r="2558" customFormat="false" ht="15" hidden="false" customHeight="false" outlineLevel="0" collapsed="false">
      <c r="A2558" s="81" t="n">
        <v>43981</v>
      </c>
      <c r="B2558" s="48" t="n">
        <v>5</v>
      </c>
      <c r="C2558" s="48" t="n">
        <v>0</v>
      </c>
      <c r="D2558" s="48" t="n">
        <v>3</v>
      </c>
      <c r="E2558" s="48" t="s">
        <v>112</v>
      </c>
      <c r="F2558" s="48" t="s">
        <v>70</v>
      </c>
      <c r="G2558" s="48" t="s">
        <v>639</v>
      </c>
      <c r="H2558" s="82" t="n">
        <f aca="false">DATE(YEAR(A2558),MONTH(A2558),1)</f>
        <v>43952</v>
      </c>
    </row>
    <row r="2559" customFormat="false" ht="15" hidden="false" customHeight="false" outlineLevel="0" collapsed="false">
      <c r="A2559" s="81" t="n">
        <v>43981</v>
      </c>
      <c r="B2559" s="48" t="n">
        <v>0</v>
      </c>
      <c r="C2559" s="48" t="n">
        <v>0</v>
      </c>
      <c r="D2559" s="48" t="n">
        <v>0</v>
      </c>
      <c r="E2559" s="48" t="s">
        <v>112</v>
      </c>
      <c r="F2559" s="48" t="s">
        <v>70</v>
      </c>
      <c r="G2559" s="48" t="s">
        <v>670</v>
      </c>
      <c r="H2559" s="82" t="n">
        <f aca="false">DATE(YEAR(A2559),MONTH(A2559),1)</f>
        <v>43952</v>
      </c>
    </row>
    <row r="2560" customFormat="false" ht="15" hidden="false" customHeight="false" outlineLevel="0" collapsed="false">
      <c r="A2560" s="81" t="n">
        <v>43981</v>
      </c>
      <c r="B2560" s="48" t="n">
        <v>0</v>
      </c>
      <c r="C2560" s="48" t="n">
        <v>0</v>
      </c>
      <c r="D2560" s="48" t="n">
        <v>0</v>
      </c>
      <c r="E2560" s="48" t="s">
        <v>112</v>
      </c>
      <c r="F2560" s="48" t="s">
        <v>70</v>
      </c>
      <c r="G2560" s="48" t="s">
        <v>679</v>
      </c>
      <c r="H2560" s="82" t="n">
        <f aca="false">DATE(YEAR(A2560),MONTH(A2560),1)</f>
        <v>43952</v>
      </c>
    </row>
    <row r="2561" customFormat="false" ht="15" hidden="false" customHeight="false" outlineLevel="0" collapsed="false">
      <c r="A2561" s="81" t="n">
        <v>43981</v>
      </c>
      <c r="B2561" s="48" t="n">
        <v>21</v>
      </c>
      <c r="C2561" s="48" t="n">
        <v>0</v>
      </c>
      <c r="D2561" s="48" t="n">
        <v>8</v>
      </c>
      <c r="E2561" s="48" t="s">
        <v>112</v>
      </c>
      <c r="F2561" s="48" t="s">
        <v>70</v>
      </c>
      <c r="G2561" s="48" t="s">
        <v>601</v>
      </c>
      <c r="H2561" s="82" t="n">
        <f aca="false">DATE(YEAR(A2561),MONTH(A2561),1)</f>
        <v>43952</v>
      </c>
    </row>
    <row r="2562" customFormat="false" ht="15" hidden="false" customHeight="false" outlineLevel="0" collapsed="false">
      <c r="A2562" s="81" t="n">
        <v>43981</v>
      </c>
      <c r="B2562" s="48" t="n">
        <v>22</v>
      </c>
      <c r="C2562" s="48" t="n">
        <v>0</v>
      </c>
      <c r="D2562" s="48" t="n">
        <v>1</v>
      </c>
      <c r="E2562" s="48" t="s">
        <v>112</v>
      </c>
      <c r="F2562" s="48" t="s">
        <v>70</v>
      </c>
      <c r="G2562" s="48" t="s">
        <v>623</v>
      </c>
      <c r="H2562" s="82" t="n">
        <f aca="false">DATE(YEAR(A2562),MONTH(A2562),1)</f>
        <v>43952</v>
      </c>
    </row>
    <row r="2563" customFormat="false" ht="15" hidden="false" customHeight="false" outlineLevel="0" collapsed="false">
      <c r="A2563" s="81" t="n">
        <v>43981</v>
      </c>
      <c r="B2563" s="48" t="n">
        <v>0</v>
      </c>
      <c r="C2563" s="48" t="n">
        <v>0</v>
      </c>
      <c r="D2563" s="48" t="n">
        <v>2</v>
      </c>
      <c r="E2563" s="48" t="s">
        <v>112</v>
      </c>
      <c r="F2563" s="48" t="s">
        <v>70</v>
      </c>
      <c r="G2563" s="48" t="s">
        <v>636</v>
      </c>
      <c r="H2563" s="82" t="n">
        <f aca="false">DATE(YEAR(A2563),MONTH(A2563),1)</f>
        <v>43952</v>
      </c>
    </row>
    <row r="2564" customFormat="false" ht="15" hidden="false" customHeight="false" outlineLevel="0" collapsed="false">
      <c r="A2564" s="81" t="n">
        <v>43981</v>
      </c>
      <c r="B2564" s="48" t="n">
        <v>17</v>
      </c>
      <c r="C2564" s="48" t="n">
        <v>0</v>
      </c>
      <c r="D2564" s="48" t="n">
        <v>54</v>
      </c>
      <c r="E2564" s="48" t="s">
        <v>112</v>
      </c>
      <c r="F2564" s="48" t="s">
        <v>76</v>
      </c>
      <c r="G2564" s="48" t="s">
        <v>595</v>
      </c>
      <c r="H2564" s="82" t="n">
        <f aca="false">DATE(YEAR(A2564),MONTH(A2564),1)</f>
        <v>43952</v>
      </c>
    </row>
    <row r="2565" customFormat="false" ht="15" hidden="false" customHeight="false" outlineLevel="0" collapsed="false">
      <c r="A2565" s="81" t="n">
        <v>43981</v>
      </c>
      <c r="B2565" s="48" t="n">
        <v>106</v>
      </c>
      <c r="C2565" s="48" t="n">
        <v>0</v>
      </c>
      <c r="D2565" s="48" t="n">
        <v>71</v>
      </c>
      <c r="E2565" s="48" t="s">
        <v>112</v>
      </c>
      <c r="F2565" s="48" t="s">
        <v>73</v>
      </c>
      <c r="G2565" s="48" t="s">
        <v>93</v>
      </c>
      <c r="H2565" s="82" t="n">
        <f aca="false">DATE(YEAR(A2565),MONTH(A2565),1)</f>
        <v>43952</v>
      </c>
    </row>
    <row r="2566" customFormat="false" ht="15" hidden="false" customHeight="false" outlineLevel="0" collapsed="false">
      <c r="A2566" s="81" t="n">
        <v>43981</v>
      </c>
      <c r="B2566" s="48" t="n">
        <v>952</v>
      </c>
      <c r="C2566" s="48" t="n">
        <v>36</v>
      </c>
      <c r="D2566" s="48" t="n">
        <v>394</v>
      </c>
      <c r="E2566" s="48" t="s">
        <v>112</v>
      </c>
      <c r="F2566" s="48" t="s">
        <v>71</v>
      </c>
      <c r="G2566" s="48" t="s">
        <v>92</v>
      </c>
      <c r="H2566" s="82" t="n">
        <f aca="false">DATE(YEAR(A2566),MONTH(A2566),1)</f>
        <v>43952</v>
      </c>
    </row>
    <row r="2567" customFormat="false" ht="15" hidden="false" customHeight="false" outlineLevel="0" collapsed="false">
      <c r="A2567" s="81" t="n">
        <v>43982</v>
      </c>
      <c r="B2567" s="48" t="n">
        <v>171</v>
      </c>
      <c r="C2567" s="48" t="n">
        <v>1</v>
      </c>
      <c r="D2567" s="48" t="n">
        <v>0</v>
      </c>
      <c r="E2567" s="48" t="s">
        <v>112</v>
      </c>
      <c r="F2567" s="48" t="s">
        <v>74</v>
      </c>
      <c r="G2567" s="48" t="s">
        <v>95</v>
      </c>
      <c r="H2567" s="82" t="n">
        <f aca="false">DATE(YEAR(A2567),MONTH(A2567),1)</f>
        <v>43952</v>
      </c>
    </row>
    <row r="2568" customFormat="false" ht="15" hidden="false" customHeight="false" outlineLevel="0" collapsed="false">
      <c r="A2568" s="81" t="n">
        <v>43982</v>
      </c>
      <c r="B2568" s="48" t="n">
        <v>11</v>
      </c>
      <c r="C2568" s="48" t="n">
        <v>0</v>
      </c>
      <c r="D2568" s="48" t="n">
        <v>0</v>
      </c>
      <c r="E2568" s="48" t="s">
        <v>112</v>
      </c>
      <c r="F2568" s="48" t="s">
        <v>75</v>
      </c>
      <c r="G2568" s="48" t="s">
        <v>624</v>
      </c>
      <c r="H2568" s="82" t="n">
        <f aca="false">DATE(YEAR(A2568),MONTH(A2568),1)</f>
        <v>43952</v>
      </c>
    </row>
    <row r="2569" customFormat="false" ht="15" hidden="false" customHeight="false" outlineLevel="0" collapsed="false">
      <c r="A2569" s="81" t="n">
        <v>43982</v>
      </c>
      <c r="B2569" s="48" t="n">
        <v>0</v>
      </c>
      <c r="C2569" s="48" t="n">
        <v>0</v>
      </c>
      <c r="D2569" s="48" t="n">
        <v>3</v>
      </c>
      <c r="E2569" s="48" t="s">
        <v>112</v>
      </c>
      <c r="F2569" s="48" t="s">
        <v>75</v>
      </c>
      <c r="G2569" s="48" t="s">
        <v>629</v>
      </c>
      <c r="H2569" s="82" t="n">
        <f aca="false">DATE(YEAR(A2569),MONTH(A2569),1)</f>
        <v>43952</v>
      </c>
    </row>
    <row r="2570" customFormat="false" ht="15" hidden="false" customHeight="false" outlineLevel="0" collapsed="false">
      <c r="A2570" s="81" t="n">
        <v>43982</v>
      </c>
      <c r="B2570" s="48" t="n">
        <v>3</v>
      </c>
      <c r="C2570" s="48" t="n">
        <v>0</v>
      </c>
      <c r="D2570" s="48" t="n">
        <v>0</v>
      </c>
      <c r="E2570" s="48" t="s">
        <v>112</v>
      </c>
      <c r="F2570" s="48" t="s">
        <v>75</v>
      </c>
      <c r="G2570" s="48" t="s">
        <v>617</v>
      </c>
      <c r="H2570" s="82" t="n">
        <f aca="false">DATE(YEAR(A2570),MONTH(A2570),1)</f>
        <v>43952</v>
      </c>
    </row>
    <row r="2571" customFormat="false" ht="15" hidden="false" customHeight="false" outlineLevel="0" collapsed="false">
      <c r="A2571" s="81" t="n">
        <v>43982</v>
      </c>
      <c r="B2571" s="48" t="n">
        <v>16</v>
      </c>
      <c r="C2571" s="48" t="n">
        <v>0</v>
      </c>
      <c r="D2571" s="48" t="n">
        <v>0</v>
      </c>
      <c r="E2571" s="48" t="s">
        <v>112</v>
      </c>
      <c r="F2571" s="48" t="s">
        <v>75</v>
      </c>
      <c r="G2571" s="48" t="s">
        <v>103</v>
      </c>
      <c r="H2571" s="82" t="n">
        <f aca="false">DATE(YEAR(A2571),MONTH(A2571),1)</f>
        <v>43952</v>
      </c>
    </row>
    <row r="2572" customFormat="false" ht="15" hidden="false" customHeight="false" outlineLevel="0" collapsed="false">
      <c r="A2572" s="81" t="n">
        <v>43982</v>
      </c>
      <c r="B2572" s="48" t="n">
        <v>184</v>
      </c>
      <c r="C2572" s="48" t="n">
        <v>8</v>
      </c>
      <c r="D2572" s="48" t="n">
        <v>13</v>
      </c>
      <c r="E2572" s="48" t="s">
        <v>112</v>
      </c>
      <c r="F2572" s="48" t="s">
        <v>72</v>
      </c>
      <c r="G2572" s="48" t="s">
        <v>94</v>
      </c>
      <c r="H2572" s="82" t="n">
        <f aca="false">DATE(YEAR(A2572),MONTH(A2572),1)</f>
        <v>43952</v>
      </c>
    </row>
    <row r="2573" customFormat="false" ht="15" hidden="false" customHeight="false" outlineLevel="0" collapsed="false">
      <c r="A2573" s="81" t="n">
        <v>43982</v>
      </c>
      <c r="B2573" s="48" t="n">
        <v>3</v>
      </c>
      <c r="C2573" s="48" t="n">
        <v>0</v>
      </c>
      <c r="D2573" s="48" t="n">
        <v>5</v>
      </c>
      <c r="E2573" s="48" t="s">
        <v>112</v>
      </c>
      <c r="F2573" s="48" t="s">
        <v>72</v>
      </c>
      <c r="G2573" s="48" t="s">
        <v>597</v>
      </c>
      <c r="H2573" s="82" t="n">
        <f aca="false">DATE(YEAR(A2573),MONTH(A2573),1)</f>
        <v>43952</v>
      </c>
    </row>
    <row r="2574" customFormat="false" ht="15" hidden="false" customHeight="false" outlineLevel="0" collapsed="false">
      <c r="A2574" s="81" t="n">
        <v>43982</v>
      </c>
      <c r="B2574" s="48" t="n">
        <v>19</v>
      </c>
      <c r="C2574" s="48" t="n">
        <v>0</v>
      </c>
      <c r="D2574" s="48" t="n">
        <v>16</v>
      </c>
      <c r="E2574" s="48" t="s">
        <v>112</v>
      </c>
      <c r="F2574" s="48" t="s">
        <v>72</v>
      </c>
      <c r="G2574" s="48" t="s">
        <v>594</v>
      </c>
      <c r="H2574" s="82" t="n">
        <f aca="false">DATE(YEAR(A2574),MONTH(A2574),1)</f>
        <v>43952</v>
      </c>
    </row>
    <row r="2575" customFormat="false" ht="15" hidden="false" customHeight="false" outlineLevel="0" collapsed="false">
      <c r="A2575" s="81" t="n">
        <v>43982</v>
      </c>
      <c r="B2575" s="48" t="n">
        <v>24</v>
      </c>
      <c r="C2575" s="48" t="n">
        <v>0</v>
      </c>
      <c r="D2575" s="48" t="n">
        <v>0</v>
      </c>
      <c r="E2575" s="48" t="s">
        <v>112</v>
      </c>
      <c r="F2575" s="48" t="s">
        <v>72</v>
      </c>
      <c r="G2575" s="48" t="s">
        <v>599</v>
      </c>
      <c r="H2575" s="82" t="n">
        <f aca="false">DATE(YEAR(A2575),MONTH(A2575),1)</f>
        <v>43952</v>
      </c>
    </row>
    <row r="2576" customFormat="false" ht="15" hidden="false" customHeight="false" outlineLevel="0" collapsed="false">
      <c r="A2576" s="81" t="n">
        <v>43982</v>
      </c>
      <c r="B2576" s="48" t="n">
        <v>4</v>
      </c>
      <c r="C2576" s="48" t="n">
        <v>0</v>
      </c>
      <c r="D2576" s="48" t="n">
        <v>0</v>
      </c>
      <c r="E2576" s="48" t="s">
        <v>112</v>
      </c>
      <c r="F2576" s="48" t="s">
        <v>72</v>
      </c>
      <c r="G2576" s="48" t="s">
        <v>656</v>
      </c>
      <c r="H2576" s="82" t="n">
        <f aca="false">DATE(YEAR(A2576),MONTH(A2576),1)</f>
        <v>43952</v>
      </c>
    </row>
    <row r="2577" customFormat="false" ht="15" hidden="false" customHeight="false" outlineLevel="0" collapsed="false">
      <c r="A2577" s="81" t="n">
        <v>43982</v>
      </c>
      <c r="B2577" s="48" t="n">
        <v>8</v>
      </c>
      <c r="C2577" s="48" t="n">
        <v>1</v>
      </c>
      <c r="D2577" s="48" t="n">
        <v>12</v>
      </c>
      <c r="E2577" s="48" t="s">
        <v>112</v>
      </c>
      <c r="F2577" s="48" t="s">
        <v>72</v>
      </c>
      <c r="G2577" s="48" t="s">
        <v>102</v>
      </c>
      <c r="H2577" s="82" t="n">
        <f aca="false">DATE(YEAR(A2577),MONTH(A2577),1)</f>
        <v>43952</v>
      </c>
    </row>
    <row r="2578" customFormat="false" ht="15" hidden="false" customHeight="false" outlineLevel="0" collapsed="false">
      <c r="A2578" s="81" t="n">
        <v>43982</v>
      </c>
      <c r="B2578" s="48" t="n">
        <v>1</v>
      </c>
      <c r="C2578" s="48" t="n">
        <v>0</v>
      </c>
      <c r="D2578" s="48" t="n">
        <v>4</v>
      </c>
      <c r="E2578" s="48" t="s">
        <v>112</v>
      </c>
      <c r="F2578" s="48" t="s">
        <v>72</v>
      </c>
      <c r="G2578" s="48" t="s">
        <v>611</v>
      </c>
      <c r="H2578" s="82" t="n">
        <f aca="false">DATE(YEAR(A2578),MONTH(A2578),1)</f>
        <v>43952</v>
      </c>
    </row>
    <row r="2579" customFormat="false" ht="15" hidden="false" customHeight="false" outlineLevel="0" collapsed="false">
      <c r="A2579" s="81" t="n">
        <v>43982</v>
      </c>
      <c r="B2579" s="48" t="n">
        <v>36</v>
      </c>
      <c r="C2579" s="48" t="n">
        <v>4</v>
      </c>
      <c r="D2579" s="48" t="n">
        <v>16</v>
      </c>
      <c r="E2579" s="48" t="s">
        <v>112</v>
      </c>
      <c r="F2579" s="48" t="s">
        <v>72</v>
      </c>
      <c r="G2579" s="48" t="s">
        <v>96</v>
      </c>
      <c r="H2579" s="82" t="n">
        <f aca="false">DATE(YEAR(A2579),MONTH(A2579),1)</f>
        <v>43952</v>
      </c>
    </row>
    <row r="2580" customFormat="false" ht="15" hidden="false" customHeight="false" outlineLevel="0" collapsed="false">
      <c r="A2580" s="81" t="n">
        <v>43982</v>
      </c>
      <c r="B2580" s="48" t="n">
        <v>5</v>
      </c>
      <c r="C2580" s="48" t="n">
        <v>0</v>
      </c>
      <c r="D2580" s="48" t="n">
        <v>2</v>
      </c>
      <c r="E2580" s="48" t="s">
        <v>112</v>
      </c>
      <c r="F2580" s="48" t="s">
        <v>72</v>
      </c>
      <c r="G2580" s="48" t="s">
        <v>603</v>
      </c>
      <c r="H2580" s="82" t="n">
        <f aca="false">DATE(YEAR(A2580),MONTH(A2580),1)</f>
        <v>43952</v>
      </c>
    </row>
    <row r="2581" customFormat="false" ht="15" hidden="false" customHeight="false" outlineLevel="0" collapsed="false">
      <c r="A2581" s="81" t="n">
        <v>43982</v>
      </c>
      <c r="B2581" s="48" t="n">
        <v>31</v>
      </c>
      <c r="C2581" s="48" t="n">
        <v>1</v>
      </c>
      <c r="D2581" s="48" t="n">
        <v>5</v>
      </c>
      <c r="E2581" s="48" t="s">
        <v>112</v>
      </c>
      <c r="F2581" s="48" t="s">
        <v>72</v>
      </c>
      <c r="G2581" s="48" t="s">
        <v>591</v>
      </c>
      <c r="H2581" s="82" t="n">
        <f aca="false">DATE(YEAR(A2581),MONTH(A2581),1)</f>
        <v>43952</v>
      </c>
    </row>
    <row r="2582" customFormat="false" ht="15" hidden="false" customHeight="false" outlineLevel="0" collapsed="false">
      <c r="A2582" s="81" t="n">
        <v>43982</v>
      </c>
      <c r="B2582" s="48" t="n">
        <v>8</v>
      </c>
      <c r="C2582" s="48" t="n">
        <v>1</v>
      </c>
      <c r="D2582" s="48" t="n">
        <v>1</v>
      </c>
      <c r="E2582" s="48" t="s">
        <v>112</v>
      </c>
      <c r="F2582" s="48" t="s">
        <v>72</v>
      </c>
      <c r="G2582" s="48" t="s">
        <v>598</v>
      </c>
      <c r="H2582" s="82" t="n">
        <f aca="false">DATE(YEAR(A2582),MONTH(A2582),1)</f>
        <v>43952</v>
      </c>
    </row>
    <row r="2583" customFormat="false" ht="15" hidden="false" customHeight="false" outlineLevel="0" collapsed="false">
      <c r="A2583" s="81" t="n">
        <v>43982</v>
      </c>
      <c r="B2583" s="48" t="n">
        <v>5</v>
      </c>
      <c r="C2583" s="48" t="n">
        <v>0</v>
      </c>
      <c r="D2583" s="48" t="n">
        <v>3</v>
      </c>
      <c r="E2583" s="48" t="s">
        <v>112</v>
      </c>
      <c r="F2583" s="48" t="s">
        <v>72</v>
      </c>
      <c r="G2583" s="48" t="s">
        <v>609</v>
      </c>
      <c r="H2583" s="82" t="n">
        <f aca="false">DATE(YEAR(A2583),MONTH(A2583),1)</f>
        <v>43952</v>
      </c>
    </row>
    <row r="2584" customFormat="false" ht="15" hidden="false" customHeight="false" outlineLevel="0" collapsed="false">
      <c r="A2584" s="81" t="n">
        <v>43982</v>
      </c>
      <c r="B2584" s="48" t="n">
        <v>34</v>
      </c>
      <c r="C2584" s="48" t="n">
        <v>0</v>
      </c>
      <c r="D2584" s="48" t="n">
        <v>6</v>
      </c>
      <c r="E2584" s="48" t="s">
        <v>112</v>
      </c>
      <c r="F2584" s="48" t="s">
        <v>72</v>
      </c>
      <c r="G2584" s="48" t="s">
        <v>101</v>
      </c>
      <c r="H2584" s="82" t="n">
        <f aca="false">DATE(YEAR(A2584),MONTH(A2584),1)</f>
        <v>43952</v>
      </c>
    </row>
    <row r="2585" customFormat="false" ht="15" hidden="false" customHeight="false" outlineLevel="0" collapsed="false">
      <c r="A2585" s="81" t="n">
        <v>43982</v>
      </c>
      <c r="B2585" s="48" t="n">
        <v>3</v>
      </c>
      <c r="C2585" s="48" t="n">
        <v>0</v>
      </c>
      <c r="D2585" s="48" t="n">
        <v>2</v>
      </c>
      <c r="E2585" s="48" t="s">
        <v>112</v>
      </c>
      <c r="F2585" s="48" t="s">
        <v>72</v>
      </c>
      <c r="G2585" s="48" t="s">
        <v>643</v>
      </c>
      <c r="H2585" s="82" t="n">
        <f aca="false">DATE(YEAR(A2585),MONTH(A2585),1)</f>
        <v>43952</v>
      </c>
    </row>
    <row r="2586" customFormat="false" ht="15" hidden="false" customHeight="false" outlineLevel="0" collapsed="false">
      <c r="A2586" s="81" t="n">
        <v>43982</v>
      </c>
      <c r="B2586" s="48" t="n">
        <v>0</v>
      </c>
      <c r="C2586" s="48" t="n">
        <v>0</v>
      </c>
      <c r="D2586" s="48" t="n">
        <v>1</v>
      </c>
      <c r="E2586" s="48" t="s">
        <v>112</v>
      </c>
      <c r="F2586" s="48" t="s">
        <v>72</v>
      </c>
      <c r="G2586" s="48" t="s">
        <v>662</v>
      </c>
      <c r="H2586" s="82" t="n">
        <f aca="false">DATE(YEAR(A2586),MONTH(A2586),1)</f>
        <v>43952</v>
      </c>
    </row>
    <row r="2587" customFormat="false" ht="15" hidden="false" customHeight="false" outlineLevel="0" collapsed="false">
      <c r="A2587" s="81" t="n">
        <v>43982</v>
      </c>
      <c r="B2587" s="48" t="n">
        <v>9</v>
      </c>
      <c r="C2587" s="48" t="n">
        <v>1</v>
      </c>
      <c r="D2587" s="48" t="n">
        <v>7</v>
      </c>
      <c r="E2587" s="48" t="s">
        <v>112</v>
      </c>
      <c r="F2587" s="48" t="s">
        <v>72</v>
      </c>
      <c r="G2587" s="48" t="s">
        <v>600</v>
      </c>
      <c r="H2587" s="82" t="n">
        <f aca="false">DATE(YEAR(A2587),MONTH(A2587),1)</f>
        <v>43952</v>
      </c>
    </row>
    <row r="2588" customFormat="false" ht="15" hidden="false" customHeight="false" outlineLevel="0" collapsed="false">
      <c r="A2588" s="81" t="n">
        <v>43982</v>
      </c>
      <c r="B2588" s="48" t="n">
        <v>2</v>
      </c>
      <c r="C2588" s="48" t="n">
        <v>0</v>
      </c>
      <c r="D2588" s="48" t="n">
        <v>0</v>
      </c>
      <c r="E2588" s="48" t="s">
        <v>112</v>
      </c>
      <c r="F2588" s="48" t="s">
        <v>72</v>
      </c>
      <c r="G2588" s="48" t="s">
        <v>610</v>
      </c>
      <c r="H2588" s="82" t="n">
        <f aca="false">DATE(YEAR(A2588),MONTH(A2588),1)</f>
        <v>43952</v>
      </c>
    </row>
    <row r="2589" customFormat="false" ht="15" hidden="false" customHeight="false" outlineLevel="0" collapsed="false">
      <c r="A2589" s="81" t="n">
        <v>43982</v>
      </c>
      <c r="B2589" s="48" t="n">
        <v>6</v>
      </c>
      <c r="C2589" s="48" t="n">
        <v>0</v>
      </c>
      <c r="D2589" s="48" t="n">
        <v>0</v>
      </c>
      <c r="E2589" s="48" t="s">
        <v>112</v>
      </c>
      <c r="F2589" s="48" t="s">
        <v>72</v>
      </c>
      <c r="G2589" s="48" t="s">
        <v>593</v>
      </c>
      <c r="H2589" s="82" t="n">
        <f aca="false">DATE(YEAR(A2589),MONTH(A2589),1)</f>
        <v>43952</v>
      </c>
    </row>
    <row r="2590" customFormat="false" ht="15" hidden="false" customHeight="false" outlineLevel="0" collapsed="false">
      <c r="A2590" s="81" t="n">
        <v>43982</v>
      </c>
      <c r="B2590" s="48" t="n">
        <v>6</v>
      </c>
      <c r="C2590" s="48" t="n">
        <v>2</v>
      </c>
      <c r="D2590" s="48" t="n">
        <v>0</v>
      </c>
      <c r="E2590" s="48" t="s">
        <v>112</v>
      </c>
      <c r="F2590" s="48" t="s">
        <v>72</v>
      </c>
      <c r="G2590" s="48" t="s">
        <v>612</v>
      </c>
      <c r="H2590" s="82" t="n">
        <f aca="false">DATE(YEAR(A2590),MONTH(A2590),1)</f>
        <v>43952</v>
      </c>
    </row>
    <row r="2591" customFormat="false" ht="15" hidden="false" customHeight="false" outlineLevel="0" collapsed="false">
      <c r="A2591" s="81" t="n">
        <v>43982</v>
      </c>
      <c r="B2591" s="48" t="n">
        <v>0</v>
      </c>
      <c r="C2591" s="48" t="n">
        <v>0</v>
      </c>
      <c r="D2591" s="48" t="n">
        <v>0</v>
      </c>
      <c r="E2591" s="48" t="s">
        <v>112</v>
      </c>
      <c r="F2591" s="48" t="s">
        <v>72</v>
      </c>
      <c r="G2591" s="48" t="s">
        <v>685</v>
      </c>
      <c r="H2591" s="82" t="n">
        <f aca="false">DATE(YEAR(A2591),MONTH(A2591),1)</f>
        <v>43952</v>
      </c>
    </row>
    <row r="2592" customFormat="false" ht="15" hidden="false" customHeight="false" outlineLevel="0" collapsed="false">
      <c r="A2592" s="81" t="n">
        <v>43982</v>
      </c>
      <c r="B2592" s="48" t="n">
        <v>0</v>
      </c>
      <c r="C2592" s="48" t="n">
        <v>0</v>
      </c>
      <c r="D2592" s="48" t="n">
        <v>0</v>
      </c>
      <c r="E2592" s="48" t="s">
        <v>112</v>
      </c>
      <c r="F2592" s="48" t="s">
        <v>72</v>
      </c>
      <c r="G2592" s="48" t="s">
        <v>687</v>
      </c>
      <c r="H2592" s="82" t="n">
        <f aca="false">DATE(YEAR(A2592),MONTH(A2592),1)</f>
        <v>43952</v>
      </c>
    </row>
    <row r="2593" customFormat="false" ht="15" hidden="false" customHeight="false" outlineLevel="0" collapsed="false">
      <c r="A2593" s="81" t="n">
        <v>43982</v>
      </c>
      <c r="B2593" s="48" t="n">
        <v>0</v>
      </c>
      <c r="C2593" s="48" t="n">
        <v>0</v>
      </c>
      <c r="D2593" s="48" t="n">
        <v>0</v>
      </c>
      <c r="E2593" s="48" t="s">
        <v>112</v>
      </c>
      <c r="F2593" s="48" t="s">
        <v>72</v>
      </c>
      <c r="G2593" s="48" t="s">
        <v>682</v>
      </c>
      <c r="H2593" s="82" t="n">
        <f aca="false">DATE(YEAR(A2593),MONTH(A2593),1)</f>
        <v>43952</v>
      </c>
    </row>
    <row r="2594" customFormat="false" ht="15" hidden="false" customHeight="false" outlineLevel="0" collapsed="false">
      <c r="A2594" s="81" t="n">
        <v>43982</v>
      </c>
      <c r="B2594" s="48" t="n">
        <v>0</v>
      </c>
      <c r="C2594" s="48" t="n">
        <v>0</v>
      </c>
      <c r="D2594" s="48" t="n">
        <v>0</v>
      </c>
      <c r="E2594" s="48" t="s">
        <v>112</v>
      </c>
      <c r="F2594" s="48" t="s">
        <v>72</v>
      </c>
      <c r="G2594" s="48" t="s">
        <v>692</v>
      </c>
      <c r="H2594" s="82" t="n">
        <f aca="false">DATE(YEAR(A2594),MONTH(A2594),1)</f>
        <v>43952</v>
      </c>
    </row>
    <row r="2595" customFormat="false" ht="15" hidden="false" customHeight="false" outlineLevel="0" collapsed="false">
      <c r="A2595" s="81" t="n">
        <v>43982</v>
      </c>
      <c r="B2595" s="48" t="n">
        <v>13</v>
      </c>
      <c r="C2595" s="48" t="n">
        <v>1</v>
      </c>
      <c r="D2595" s="48" t="n">
        <v>1</v>
      </c>
      <c r="E2595" s="48" t="s">
        <v>112</v>
      </c>
      <c r="F2595" s="48" t="s">
        <v>72</v>
      </c>
      <c r="G2595" s="48" t="s">
        <v>613</v>
      </c>
      <c r="H2595" s="82" t="n">
        <f aca="false">DATE(YEAR(A2595),MONTH(A2595),1)</f>
        <v>43952</v>
      </c>
    </row>
    <row r="2596" customFormat="false" ht="15" hidden="false" customHeight="false" outlineLevel="0" collapsed="false">
      <c r="A2596" s="81" t="n">
        <v>43982</v>
      </c>
      <c r="B2596" s="48" t="n">
        <v>1</v>
      </c>
      <c r="C2596" s="48" t="n">
        <v>0</v>
      </c>
      <c r="D2596" s="48" t="n">
        <v>0</v>
      </c>
      <c r="E2596" s="48" t="s">
        <v>112</v>
      </c>
      <c r="F2596" s="48" t="s">
        <v>72</v>
      </c>
      <c r="G2596" s="48" t="s">
        <v>614</v>
      </c>
      <c r="H2596" s="82" t="n">
        <f aca="false">DATE(YEAR(A2596),MONTH(A2596),1)</f>
        <v>43952</v>
      </c>
    </row>
    <row r="2597" customFormat="false" ht="15" hidden="false" customHeight="false" outlineLevel="0" collapsed="false">
      <c r="A2597" s="81" t="n">
        <v>43982</v>
      </c>
      <c r="B2597" s="48" t="n">
        <v>0</v>
      </c>
      <c r="C2597" s="48" t="n">
        <v>0</v>
      </c>
      <c r="D2597" s="48" t="n">
        <v>0</v>
      </c>
      <c r="E2597" s="48" t="s">
        <v>112</v>
      </c>
      <c r="F2597" s="48" t="s">
        <v>72</v>
      </c>
      <c r="G2597" s="48" t="s">
        <v>655</v>
      </c>
      <c r="H2597" s="82" t="n">
        <f aca="false">DATE(YEAR(A2597),MONTH(A2597),1)</f>
        <v>43952</v>
      </c>
    </row>
    <row r="2598" customFormat="false" ht="15" hidden="false" customHeight="false" outlineLevel="0" collapsed="false">
      <c r="A2598" s="81" t="n">
        <v>43982</v>
      </c>
      <c r="B2598" s="48" t="n">
        <v>0</v>
      </c>
      <c r="C2598" s="48" t="n">
        <v>0</v>
      </c>
      <c r="D2598" s="48" t="n">
        <v>5</v>
      </c>
      <c r="E2598" s="48" t="s">
        <v>112</v>
      </c>
      <c r="F2598" s="48" t="s">
        <v>72</v>
      </c>
      <c r="G2598" s="48" t="s">
        <v>608</v>
      </c>
      <c r="H2598" s="82" t="n">
        <f aca="false">DATE(YEAR(A2598),MONTH(A2598),1)</f>
        <v>43952</v>
      </c>
    </row>
    <row r="2599" customFormat="false" ht="15" hidden="false" customHeight="false" outlineLevel="0" collapsed="false">
      <c r="A2599" s="81" t="n">
        <v>43982</v>
      </c>
      <c r="B2599" s="48" t="n">
        <v>0</v>
      </c>
      <c r="C2599" s="48" t="n">
        <v>0</v>
      </c>
      <c r="D2599" s="48" t="n">
        <v>0</v>
      </c>
      <c r="E2599" s="48" t="s">
        <v>112</v>
      </c>
      <c r="F2599" s="48" t="s">
        <v>72</v>
      </c>
      <c r="G2599" s="48" t="s">
        <v>615</v>
      </c>
      <c r="H2599" s="82" t="n">
        <f aca="false">DATE(YEAR(A2599),MONTH(A2599),1)</f>
        <v>43952</v>
      </c>
    </row>
    <row r="2600" customFormat="false" ht="15" hidden="false" customHeight="false" outlineLevel="0" collapsed="false">
      <c r="A2600" s="81" t="n">
        <v>43982</v>
      </c>
      <c r="B2600" s="48" t="n">
        <v>1</v>
      </c>
      <c r="C2600" s="48" t="n">
        <v>0</v>
      </c>
      <c r="D2600" s="48" t="n">
        <v>0</v>
      </c>
      <c r="E2600" s="48" t="s">
        <v>112</v>
      </c>
      <c r="F2600" s="48" t="s">
        <v>72</v>
      </c>
      <c r="G2600" s="48" t="s">
        <v>666</v>
      </c>
      <c r="H2600" s="82" t="n">
        <f aca="false">DATE(YEAR(A2600),MONTH(A2600),1)</f>
        <v>43952</v>
      </c>
    </row>
    <row r="2601" customFormat="false" ht="15" hidden="false" customHeight="false" outlineLevel="0" collapsed="false">
      <c r="A2601" s="81" t="n">
        <v>43982</v>
      </c>
      <c r="B2601" s="48" t="n">
        <v>2</v>
      </c>
      <c r="C2601" s="48" t="n">
        <v>0</v>
      </c>
      <c r="D2601" s="48" t="n">
        <v>0</v>
      </c>
      <c r="E2601" s="48" t="s">
        <v>112</v>
      </c>
      <c r="F2601" s="48" t="s">
        <v>72</v>
      </c>
      <c r="G2601" s="48" t="s">
        <v>621</v>
      </c>
      <c r="H2601" s="82" t="n">
        <f aca="false">DATE(YEAR(A2601),MONTH(A2601),1)</f>
        <v>43952</v>
      </c>
    </row>
    <row r="2602" customFormat="false" ht="15" hidden="false" customHeight="false" outlineLevel="0" collapsed="false">
      <c r="A2602" s="81" t="n">
        <v>43982</v>
      </c>
      <c r="B2602" s="48" t="n">
        <v>0</v>
      </c>
      <c r="C2602" s="48" t="n">
        <v>0</v>
      </c>
      <c r="D2602" s="48" t="n">
        <v>0</v>
      </c>
      <c r="E2602" s="48" t="s">
        <v>112</v>
      </c>
      <c r="F2602" s="48" t="s">
        <v>72</v>
      </c>
      <c r="G2602" s="48" t="s">
        <v>664</v>
      </c>
      <c r="H2602" s="82" t="n">
        <f aca="false">DATE(YEAR(A2602),MONTH(A2602),1)</f>
        <v>43952</v>
      </c>
    </row>
    <row r="2603" customFormat="false" ht="15" hidden="false" customHeight="false" outlineLevel="0" collapsed="false">
      <c r="A2603" s="81" t="n">
        <v>43982</v>
      </c>
      <c r="B2603" s="48" t="n">
        <v>0</v>
      </c>
      <c r="C2603" s="48" t="n">
        <v>0</v>
      </c>
      <c r="D2603" s="48" t="n">
        <v>0</v>
      </c>
      <c r="E2603" s="48" t="s">
        <v>112</v>
      </c>
      <c r="F2603" s="48" t="s">
        <v>72</v>
      </c>
      <c r="G2603" s="48" t="s">
        <v>667</v>
      </c>
      <c r="H2603" s="82" t="n">
        <f aca="false">DATE(YEAR(A2603),MONTH(A2603),1)</f>
        <v>43952</v>
      </c>
    </row>
    <row r="2604" customFormat="false" ht="15" hidden="false" customHeight="false" outlineLevel="0" collapsed="false">
      <c r="A2604" s="81" t="n">
        <v>43982</v>
      </c>
      <c r="B2604" s="48" t="n">
        <v>4</v>
      </c>
      <c r="C2604" s="48" t="n">
        <v>1</v>
      </c>
      <c r="D2604" s="48" t="n">
        <v>4</v>
      </c>
      <c r="E2604" s="48" t="s">
        <v>112</v>
      </c>
      <c r="F2604" s="48" t="s">
        <v>72</v>
      </c>
      <c r="G2604" s="48" t="s">
        <v>607</v>
      </c>
      <c r="H2604" s="82" t="n">
        <f aca="false">DATE(YEAR(A2604),MONTH(A2604),1)</f>
        <v>43952</v>
      </c>
    </row>
    <row r="2605" customFormat="false" ht="15" hidden="false" customHeight="false" outlineLevel="0" collapsed="false">
      <c r="A2605" s="81" t="n">
        <v>43982</v>
      </c>
      <c r="B2605" s="48" t="n">
        <v>0</v>
      </c>
      <c r="C2605" s="48" t="n">
        <v>0</v>
      </c>
      <c r="D2605" s="48" t="n">
        <v>0</v>
      </c>
      <c r="E2605" s="48" t="s">
        <v>112</v>
      </c>
      <c r="F2605" s="48" t="s">
        <v>72</v>
      </c>
      <c r="G2605" s="48" t="s">
        <v>673</v>
      </c>
      <c r="H2605" s="82" t="n">
        <f aca="false">DATE(YEAR(A2605),MONTH(A2605),1)</f>
        <v>43952</v>
      </c>
    </row>
    <row r="2606" customFormat="false" ht="15" hidden="false" customHeight="false" outlineLevel="0" collapsed="false">
      <c r="A2606" s="81" t="n">
        <v>43982</v>
      </c>
      <c r="B2606" s="48" t="n">
        <v>0</v>
      </c>
      <c r="C2606" s="48" t="n">
        <v>0</v>
      </c>
      <c r="D2606" s="48" t="n">
        <v>0</v>
      </c>
      <c r="E2606" s="48" t="s">
        <v>112</v>
      </c>
      <c r="F2606" s="48" t="s">
        <v>72</v>
      </c>
      <c r="G2606" s="48" t="s">
        <v>676</v>
      </c>
      <c r="H2606" s="82" t="n">
        <f aca="false">DATE(YEAR(A2606),MONTH(A2606),1)</f>
        <v>43952</v>
      </c>
    </row>
    <row r="2607" customFormat="false" ht="15" hidden="false" customHeight="false" outlineLevel="0" collapsed="false">
      <c r="A2607" s="81" t="n">
        <v>43982</v>
      </c>
      <c r="B2607" s="48" t="n">
        <v>885</v>
      </c>
      <c r="C2607" s="48" t="n">
        <v>16</v>
      </c>
      <c r="D2607" s="48" t="n">
        <v>538</v>
      </c>
      <c r="E2607" s="48" t="s">
        <v>112</v>
      </c>
      <c r="F2607" s="48" t="s">
        <v>70</v>
      </c>
      <c r="G2607" s="48" t="s">
        <v>91</v>
      </c>
      <c r="H2607" s="82" t="n">
        <f aca="false">DATE(YEAR(A2607),MONTH(A2607),1)</f>
        <v>43952</v>
      </c>
    </row>
    <row r="2608" customFormat="false" ht="15" hidden="false" customHeight="false" outlineLevel="0" collapsed="false">
      <c r="A2608" s="81" t="n">
        <v>43982</v>
      </c>
      <c r="B2608" s="48" t="n">
        <v>4</v>
      </c>
      <c r="C2608" s="48" t="n">
        <v>0</v>
      </c>
      <c r="D2608" s="48" t="n">
        <v>9</v>
      </c>
      <c r="E2608" s="48" t="s">
        <v>112</v>
      </c>
      <c r="F2608" s="48" t="s">
        <v>76</v>
      </c>
      <c r="G2608" s="48" t="s">
        <v>595</v>
      </c>
      <c r="H2608" s="82" t="n">
        <f aca="false">DATE(YEAR(A2608),MONTH(A2608),1)</f>
        <v>43952</v>
      </c>
    </row>
    <row r="2609" customFormat="false" ht="15" hidden="false" customHeight="false" outlineLevel="0" collapsed="false">
      <c r="A2609" s="81" t="n">
        <v>43982</v>
      </c>
      <c r="B2609" s="48" t="n">
        <v>200</v>
      </c>
      <c r="C2609" s="48" t="n">
        <v>1</v>
      </c>
      <c r="D2609" s="48" t="n">
        <v>36</v>
      </c>
      <c r="E2609" s="48" t="s">
        <v>112</v>
      </c>
      <c r="F2609" s="48" t="s">
        <v>73</v>
      </c>
      <c r="G2609" s="48" t="s">
        <v>93</v>
      </c>
      <c r="H2609" s="82" t="n">
        <f aca="false">DATE(YEAR(A2609),MONTH(A2609),1)</f>
        <v>43952</v>
      </c>
    </row>
    <row r="2610" customFormat="false" ht="15" hidden="false" customHeight="false" outlineLevel="0" collapsed="false">
      <c r="A2610" s="81" t="n">
        <v>43982</v>
      </c>
      <c r="B2610" s="48" t="n">
        <v>1184</v>
      </c>
      <c r="C2610" s="48" t="n">
        <v>22</v>
      </c>
      <c r="D2610" s="48" t="n">
        <v>120</v>
      </c>
      <c r="E2610" s="48" t="s">
        <v>112</v>
      </c>
      <c r="F2610" s="48" t="s">
        <v>71</v>
      </c>
      <c r="G2610" s="48" t="s">
        <v>92</v>
      </c>
      <c r="H2610" s="82" t="n">
        <f aca="false">DATE(YEAR(A2610),MONTH(A2610),1)</f>
        <v>43952</v>
      </c>
    </row>
    <row r="2611" customFormat="false" ht="15" hidden="false" customHeight="false" outlineLevel="0" collapsed="false">
      <c r="A2611" s="81" t="n">
        <v>43983</v>
      </c>
      <c r="B2611" s="48" t="n">
        <v>304</v>
      </c>
      <c r="C2611" s="48" t="n">
        <v>2</v>
      </c>
      <c r="D2611" s="48" t="n">
        <v>0</v>
      </c>
      <c r="E2611" s="48" t="s">
        <v>112</v>
      </c>
      <c r="F2611" s="48" t="s">
        <v>74</v>
      </c>
      <c r="G2611" s="48" t="s">
        <v>95</v>
      </c>
      <c r="H2611" s="82" t="n">
        <f aca="false">DATE(YEAR(A2611),MONTH(A2611),1)</f>
        <v>43983</v>
      </c>
    </row>
    <row r="2612" customFormat="false" ht="15" hidden="false" customHeight="false" outlineLevel="0" collapsed="false">
      <c r="A2612" s="81" t="n">
        <v>43983</v>
      </c>
      <c r="B2612" s="48" t="n">
        <v>2</v>
      </c>
      <c r="C2612" s="48" t="n">
        <v>0</v>
      </c>
      <c r="D2612" s="48" t="n">
        <v>25</v>
      </c>
      <c r="E2612" s="48" t="s">
        <v>112</v>
      </c>
      <c r="F2612" s="48" t="s">
        <v>75</v>
      </c>
      <c r="G2612" s="48" t="s">
        <v>103</v>
      </c>
      <c r="H2612" s="82" t="n">
        <f aca="false">DATE(YEAR(A2612),MONTH(A2612),1)</f>
        <v>43983</v>
      </c>
    </row>
    <row r="2613" customFormat="false" ht="15" hidden="false" customHeight="false" outlineLevel="0" collapsed="false">
      <c r="A2613" s="81" t="n">
        <v>43983</v>
      </c>
      <c r="B2613" s="48" t="n">
        <v>2</v>
      </c>
      <c r="C2613" s="48" t="n">
        <v>0</v>
      </c>
      <c r="D2613" s="48" t="n">
        <v>0</v>
      </c>
      <c r="E2613" s="48" t="s">
        <v>112</v>
      </c>
      <c r="F2613" s="48" t="s">
        <v>75</v>
      </c>
      <c r="G2613" s="48" t="s">
        <v>658</v>
      </c>
      <c r="H2613" s="82" t="n">
        <f aca="false">DATE(YEAR(A2613),MONTH(A2613),1)</f>
        <v>43983</v>
      </c>
    </row>
    <row r="2614" customFormat="false" ht="15" hidden="false" customHeight="false" outlineLevel="0" collapsed="false">
      <c r="A2614" s="81" t="n">
        <v>43983</v>
      </c>
      <c r="B2614" s="48" t="n">
        <v>5</v>
      </c>
      <c r="C2614" s="48" t="n">
        <v>0</v>
      </c>
      <c r="D2614" s="48" t="n">
        <v>1</v>
      </c>
      <c r="E2614" s="48" t="s">
        <v>112</v>
      </c>
      <c r="F2614" s="48" t="s">
        <v>75</v>
      </c>
      <c r="G2614" s="48" t="s">
        <v>649</v>
      </c>
      <c r="H2614" s="82" t="n">
        <f aca="false">DATE(YEAR(A2614),MONTH(A2614),1)</f>
        <v>43983</v>
      </c>
    </row>
    <row r="2615" customFormat="false" ht="15" hidden="false" customHeight="false" outlineLevel="0" collapsed="false">
      <c r="A2615" s="81" t="n">
        <v>43983</v>
      </c>
      <c r="B2615" s="48" t="n">
        <v>1</v>
      </c>
      <c r="C2615" s="48" t="n">
        <v>0</v>
      </c>
      <c r="D2615" s="48" t="n">
        <v>0</v>
      </c>
      <c r="E2615" s="48" t="s">
        <v>112</v>
      </c>
      <c r="F2615" s="48" t="s">
        <v>75</v>
      </c>
      <c r="G2615" s="48" t="s">
        <v>660</v>
      </c>
      <c r="H2615" s="82" t="n">
        <f aca="false">DATE(YEAR(A2615),MONTH(A2615),1)</f>
        <v>43983</v>
      </c>
    </row>
    <row r="2616" customFormat="false" ht="15" hidden="false" customHeight="false" outlineLevel="0" collapsed="false">
      <c r="A2616" s="81" t="n">
        <v>43983</v>
      </c>
      <c r="B2616" s="48" t="n">
        <v>8</v>
      </c>
      <c r="C2616" s="48" t="n">
        <v>0</v>
      </c>
      <c r="D2616" s="48" t="n">
        <v>0</v>
      </c>
      <c r="E2616" s="48" t="s">
        <v>112</v>
      </c>
      <c r="F2616" s="48" t="s">
        <v>75</v>
      </c>
      <c r="G2616" s="48" t="s">
        <v>654</v>
      </c>
      <c r="H2616" s="82" t="n">
        <f aca="false">DATE(YEAR(A2616),MONTH(A2616),1)</f>
        <v>43983</v>
      </c>
    </row>
    <row r="2617" customFormat="false" ht="15" hidden="false" customHeight="false" outlineLevel="0" collapsed="false">
      <c r="A2617" s="81" t="n">
        <v>43983</v>
      </c>
      <c r="B2617" s="48" t="n">
        <v>9</v>
      </c>
      <c r="C2617" s="48" t="n">
        <v>0</v>
      </c>
      <c r="D2617" s="48" t="n">
        <v>5</v>
      </c>
      <c r="E2617" s="48" t="s">
        <v>112</v>
      </c>
      <c r="F2617" s="48" t="s">
        <v>75</v>
      </c>
      <c r="G2617" s="48" t="s">
        <v>629</v>
      </c>
      <c r="H2617" s="82" t="n">
        <f aca="false">DATE(YEAR(A2617),MONTH(A2617),1)</f>
        <v>43983</v>
      </c>
    </row>
    <row r="2618" customFormat="false" ht="15" hidden="false" customHeight="false" outlineLevel="0" collapsed="false">
      <c r="A2618" s="81" t="n">
        <v>43983</v>
      </c>
      <c r="B2618" s="48" t="n">
        <v>168</v>
      </c>
      <c r="C2618" s="48" t="n">
        <v>2</v>
      </c>
      <c r="D2618" s="48" t="n">
        <v>7</v>
      </c>
      <c r="E2618" s="48" t="s">
        <v>112</v>
      </c>
      <c r="F2618" s="48" t="s">
        <v>72</v>
      </c>
      <c r="G2618" s="48" t="s">
        <v>94</v>
      </c>
      <c r="H2618" s="82" t="n">
        <f aca="false">DATE(YEAR(A2618),MONTH(A2618),1)</f>
        <v>43983</v>
      </c>
    </row>
    <row r="2619" customFormat="false" ht="15" hidden="false" customHeight="false" outlineLevel="0" collapsed="false">
      <c r="A2619" s="81" t="n">
        <v>43983</v>
      </c>
      <c r="B2619" s="48" t="n">
        <v>1</v>
      </c>
      <c r="C2619" s="48" t="n">
        <v>0</v>
      </c>
      <c r="D2619" s="48" t="n">
        <v>0</v>
      </c>
      <c r="E2619" s="48" t="s">
        <v>112</v>
      </c>
      <c r="F2619" s="48" t="s">
        <v>72</v>
      </c>
      <c r="G2619" s="48" t="s">
        <v>597</v>
      </c>
      <c r="H2619" s="82" t="n">
        <f aca="false">DATE(YEAR(A2619),MONTH(A2619),1)</f>
        <v>43983</v>
      </c>
    </row>
    <row r="2620" customFormat="false" ht="15" hidden="false" customHeight="false" outlineLevel="0" collapsed="false">
      <c r="A2620" s="81" t="n">
        <v>43983</v>
      </c>
      <c r="B2620" s="48" t="n">
        <v>4</v>
      </c>
      <c r="C2620" s="48" t="n">
        <v>0</v>
      </c>
      <c r="D2620" s="48" t="n">
        <v>0</v>
      </c>
      <c r="E2620" s="48" t="s">
        <v>112</v>
      </c>
      <c r="F2620" s="48" t="s">
        <v>72</v>
      </c>
      <c r="G2620" s="48" t="s">
        <v>594</v>
      </c>
      <c r="H2620" s="82" t="n">
        <f aca="false">DATE(YEAR(A2620),MONTH(A2620),1)</f>
        <v>43983</v>
      </c>
    </row>
    <row r="2621" customFormat="false" ht="15" hidden="false" customHeight="false" outlineLevel="0" collapsed="false">
      <c r="A2621" s="81" t="n">
        <v>43983</v>
      </c>
      <c r="B2621" s="48" t="n">
        <v>11</v>
      </c>
      <c r="C2621" s="48" t="n">
        <v>0</v>
      </c>
      <c r="D2621" s="48" t="n">
        <v>2</v>
      </c>
      <c r="E2621" s="48" t="s">
        <v>112</v>
      </c>
      <c r="F2621" s="48" t="s">
        <v>72</v>
      </c>
      <c r="G2621" s="48" t="s">
        <v>599</v>
      </c>
      <c r="H2621" s="82" t="n">
        <f aca="false">DATE(YEAR(A2621),MONTH(A2621),1)</f>
        <v>43983</v>
      </c>
    </row>
    <row r="2622" customFormat="false" ht="15" hidden="false" customHeight="false" outlineLevel="0" collapsed="false">
      <c r="A2622" s="81" t="n">
        <v>43983</v>
      </c>
      <c r="B2622" s="48" t="n">
        <v>1</v>
      </c>
      <c r="C2622" s="48" t="n">
        <v>0</v>
      </c>
      <c r="D2622" s="48" t="n">
        <v>0</v>
      </c>
      <c r="E2622" s="48" t="s">
        <v>112</v>
      </c>
      <c r="F2622" s="48" t="s">
        <v>72</v>
      </c>
      <c r="G2622" s="48" t="s">
        <v>656</v>
      </c>
      <c r="H2622" s="82" t="n">
        <f aca="false">DATE(YEAR(A2622),MONTH(A2622),1)</f>
        <v>43983</v>
      </c>
    </row>
    <row r="2623" customFormat="false" ht="15" hidden="false" customHeight="false" outlineLevel="0" collapsed="false">
      <c r="A2623" s="81" t="n">
        <v>43983</v>
      </c>
      <c r="B2623" s="48" t="n">
        <v>3</v>
      </c>
      <c r="C2623" s="48" t="n">
        <v>0</v>
      </c>
      <c r="D2623" s="48" t="n">
        <v>6</v>
      </c>
      <c r="E2623" s="48" t="s">
        <v>112</v>
      </c>
      <c r="F2623" s="48" t="s">
        <v>72</v>
      </c>
      <c r="G2623" s="48" t="s">
        <v>102</v>
      </c>
      <c r="H2623" s="82" t="n">
        <f aca="false">DATE(YEAR(A2623),MONTH(A2623),1)</f>
        <v>43983</v>
      </c>
    </row>
    <row r="2624" customFormat="false" ht="15" hidden="false" customHeight="false" outlineLevel="0" collapsed="false">
      <c r="A2624" s="81" t="n">
        <v>43983</v>
      </c>
      <c r="B2624" s="48" t="n">
        <v>3</v>
      </c>
      <c r="C2624" s="48" t="n">
        <v>0</v>
      </c>
      <c r="D2624" s="48" t="n">
        <v>6</v>
      </c>
      <c r="E2624" s="48" t="s">
        <v>112</v>
      </c>
      <c r="F2624" s="48" t="s">
        <v>72</v>
      </c>
      <c r="G2624" s="48" t="s">
        <v>611</v>
      </c>
      <c r="H2624" s="82" t="n">
        <f aca="false">DATE(YEAR(A2624),MONTH(A2624),1)</f>
        <v>43983</v>
      </c>
    </row>
    <row r="2625" customFormat="false" ht="15" hidden="false" customHeight="false" outlineLevel="0" collapsed="false">
      <c r="A2625" s="81" t="n">
        <v>43983</v>
      </c>
      <c r="B2625" s="48" t="n">
        <v>60</v>
      </c>
      <c r="C2625" s="48" t="n">
        <v>1</v>
      </c>
      <c r="D2625" s="48" t="n">
        <v>5</v>
      </c>
      <c r="E2625" s="48" t="s">
        <v>112</v>
      </c>
      <c r="F2625" s="48" t="s">
        <v>72</v>
      </c>
      <c r="G2625" s="48" t="s">
        <v>96</v>
      </c>
      <c r="H2625" s="82" t="n">
        <f aca="false">DATE(YEAR(A2625),MONTH(A2625),1)</f>
        <v>43983</v>
      </c>
    </row>
    <row r="2626" customFormat="false" ht="15" hidden="false" customHeight="false" outlineLevel="0" collapsed="false">
      <c r="A2626" s="81" t="n">
        <v>43983</v>
      </c>
      <c r="B2626" s="48" t="n">
        <v>10</v>
      </c>
      <c r="C2626" s="48" t="n">
        <v>1</v>
      </c>
      <c r="D2626" s="48" t="n">
        <v>0</v>
      </c>
      <c r="E2626" s="48" t="s">
        <v>112</v>
      </c>
      <c r="F2626" s="48" t="s">
        <v>72</v>
      </c>
      <c r="G2626" s="48" t="s">
        <v>603</v>
      </c>
      <c r="H2626" s="82" t="n">
        <f aca="false">DATE(YEAR(A2626),MONTH(A2626),1)</f>
        <v>43983</v>
      </c>
    </row>
    <row r="2627" customFormat="false" ht="15" hidden="false" customHeight="false" outlineLevel="0" collapsed="false">
      <c r="A2627" s="81" t="n">
        <v>43983</v>
      </c>
      <c r="B2627" s="48" t="n">
        <v>44</v>
      </c>
      <c r="C2627" s="48" t="n">
        <v>1</v>
      </c>
      <c r="D2627" s="48" t="n">
        <v>4</v>
      </c>
      <c r="E2627" s="48" t="s">
        <v>112</v>
      </c>
      <c r="F2627" s="48" t="s">
        <v>72</v>
      </c>
      <c r="G2627" s="48" t="s">
        <v>591</v>
      </c>
      <c r="H2627" s="82" t="n">
        <f aca="false">DATE(YEAR(A2627),MONTH(A2627),1)</f>
        <v>43983</v>
      </c>
    </row>
    <row r="2628" customFormat="false" ht="15" hidden="false" customHeight="false" outlineLevel="0" collapsed="false">
      <c r="A2628" s="81" t="n">
        <v>43983</v>
      </c>
      <c r="B2628" s="48" t="n">
        <v>12</v>
      </c>
      <c r="C2628" s="48" t="n">
        <v>0</v>
      </c>
      <c r="D2628" s="48" t="n">
        <v>0</v>
      </c>
      <c r="E2628" s="48" t="s">
        <v>112</v>
      </c>
      <c r="F2628" s="48" t="s">
        <v>72</v>
      </c>
      <c r="G2628" s="48" t="s">
        <v>598</v>
      </c>
      <c r="H2628" s="82" t="n">
        <f aca="false">DATE(YEAR(A2628),MONTH(A2628),1)</f>
        <v>43983</v>
      </c>
    </row>
    <row r="2629" customFormat="false" ht="15" hidden="false" customHeight="false" outlineLevel="0" collapsed="false">
      <c r="A2629" s="81" t="n">
        <v>43983</v>
      </c>
      <c r="B2629" s="48" t="n">
        <v>13</v>
      </c>
      <c r="C2629" s="48" t="n">
        <v>0</v>
      </c>
      <c r="D2629" s="48" t="n">
        <v>0</v>
      </c>
      <c r="E2629" s="48" t="s">
        <v>112</v>
      </c>
      <c r="F2629" s="48" t="s">
        <v>72</v>
      </c>
      <c r="G2629" s="48" t="s">
        <v>609</v>
      </c>
      <c r="H2629" s="82" t="n">
        <f aca="false">DATE(YEAR(A2629),MONTH(A2629),1)</f>
        <v>43983</v>
      </c>
    </row>
    <row r="2630" customFormat="false" ht="15" hidden="false" customHeight="false" outlineLevel="0" collapsed="false">
      <c r="A2630" s="81" t="n">
        <v>43983</v>
      </c>
      <c r="B2630" s="48" t="n">
        <v>32</v>
      </c>
      <c r="C2630" s="48" t="n">
        <v>1</v>
      </c>
      <c r="D2630" s="48" t="n">
        <v>16</v>
      </c>
      <c r="E2630" s="48" t="s">
        <v>112</v>
      </c>
      <c r="F2630" s="48" t="s">
        <v>72</v>
      </c>
      <c r="G2630" s="48" t="s">
        <v>101</v>
      </c>
      <c r="H2630" s="82" t="n">
        <f aca="false">DATE(YEAR(A2630),MONTH(A2630),1)</f>
        <v>43983</v>
      </c>
    </row>
    <row r="2631" customFormat="false" ht="15" hidden="false" customHeight="false" outlineLevel="0" collapsed="false">
      <c r="A2631" s="81" t="n">
        <v>43983</v>
      </c>
      <c r="B2631" s="48" t="n">
        <v>0</v>
      </c>
      <c r="C2631" s="48" t="n">
        <v>0</v>
      </c>
      <c r="D2631" s="48" t="n">
        <v>0</v>
      </c>
      <c r="E2631" s="48" t="s">
        <v>112</v>
      </c>
      <c r="F2631" s="48" t="s">
        <v>72</v>
      </c>
      <c r="G2631" s="48" t="s">
        <v>643</v>
      </c>
      <c r="H2631" s="82" t="n">
        <f aca="false">DATE(YEAR(A2631),MONTH(A2631),1)</f>
        <v>43983</v>
      </c>
    </row>
    <row r="2632" customFormat="false" ht="15" hidden="false" customHeight="false" outlineLevel="0" collapsed="false">
      <c r="A2632" s="81" t="n">
        <v>43983</v>
      </c>
      <c r="B2632" s="48" t="n">
        <v>0</v>
      </c>
      <c r="C2632" s="48" t="n">
        <v>0</v>
      </c>
      <c r="D2632" s="48" t="n">
        <v>0</v>
      </c>
      <c r="E2632" s="48" t="s">
        <v>112</v>
      </c>
      <c r="F2632" s="48" t="s">
        <v>72</v>
      </c>
      <c r="G2632" s="48" t="s">
        <v>662</v>
      </c>
      <c r="H2632" s="82" t="n">
        <f aca="false">DATE(YEAR(A2632),MONTH(A2632),1)</f>
        <v>43983</v>
      </c>
    </row>
    <row r="2633" customFormat="false" ht="15" hidden="false" customHeight="false" outlineLevel="0" collapsed="false">
      <c r="A2633" s="81" t="n">
        <v>43983</v>
      </c>
      <c r="B2633" s="48" t="n">
        <v>18</v>
      </c>
      <c r="C2633" s="48" t="n">
        <v>2</v>
      </c>
      <c r="D2633" s="48" t="n">
        <v>4</v>
      </c>
      <c r="E2633" s="48" t="s">
        <v>112</v>
      </c>
      <c r="F2633" s="48" t="s">
        <v>72</v>
      </c>
      <c r="G2633" s="48" t="s">
        <v>600</v>
      </c>
      <c r="H2633" s="82" t="n">
        <f aca="false">DATE(YEAR(A2633),MONTH(A2633),1)</f>
        <v>43983</v>
      </c>
    </row>
    <row r="2634" customFormat="false" ht="15" hidden="false" customHeight="false" outlineLevel="0" collapsed="false">
      <c r="A2634" s="81" t="n">
        <v>43983</v>
      </c>
      <c r="B2634" s="48" t="n">
        <v>14</v>
      </c>
      <c r="C2634" s="48" t="n">
        <v>0</v>
      </c>
      <c r="D2634" s="48" t="n">
        <v>1</v>
      </c>
      <c r="E2634" s="48" t="s">
        <v>112</v>
      </c>
      <c r="F2634" s="48" t="s">
        <v>72</v>
      </c>
      <c r="G2634" s="48" t="s">
        <v>610</v>
      </c>
      <c r="H2634" s="82" t="n">
        <f aca="false">DATE(YEAR(A2634),MONTH(A2634),1)</f>
        <v>43983</v>
      </c>
    </row>
    <row r="2635" customFormat="false" ht="15" hidden="false" customHeight="false" outlineLevel="0" collapsed="false">
      <c r="A2635" s="81" t="n">
        <v>43983</v>
      </c>
      <c r="B2635" s="48" t="n">
        <v>32</v>
      </c>
      <c r="C2635" s="48" t="n">
        <v>0</v>
      </c>
      <c r="D2635" s="48" t="n">
        <v>2</v>
      </c>
      <c r="E2635" s="48" t="s">
        <v>112</v>
      </c>
      <c r="F2635" s="48" t="s">
        <v>72</v>
      </c>
      <c r="G2635" s="48" t="s">
        <v>593</v>
      </c>
      <c r="H2635" s="82" t="n">
        <f aca="false">DATE(YEAR(A2635),MONTH(A2635),1)</f>
        <v>43983</v>
      </c>
    </row>
    <row r="2636" customFormat="false" ht="15" hidden="false" customHeight="false" outlineLevel="0" collapsed="false">
      <c r="A2636" s="81" t="n">
        <v>43983</v>
      </c>
      <c r="B2636" s="48" t="n">
        <v>10</v>
      </c>
      <c r="C2636" s="48" t="n">
        <v>0</v>
      </c>
      <c r="D2636" s="48" t="n">
        <v>2</v>
      </c>
      <c r="E2636" s="48" t="s">
        <v>112</v>
      </c>
      <c r="F2636" s="48" t="s">
        <v>72</v>
      </c>
      <c r="G2636" s="48" t="s">
        <v>612</v>
      </c>
      <c r="H2636" s="82" t="n">
        <f aca="false">DATE(YEAR(A2636),MONTH(A2636),1)</f>
        <v>43983</v>
      </c>
    </row>
    <row r="2637" customFormat="false" ht="15" hidden="false" customHeight="false" outlineLevel="0" collapsed="false">
      <c r="A2637" s="81" t="n">
        <v>43983</v>
      </c>
      <c r="B2637" s="48" t="n">
        <v>0</v>
      </c>
      <c r="C2637" s="48" t="n">
        <v>0</v>
      </c>
      <c r="D2637" s="48" t="n">
        <v>0</v>
      </c>
      <c r="E2637" s="48" t="s">
        <v>112</v>
      </c>
      <c r="F2637" s="48" t="s">
        <v>72</v>
      </c>
      <c r="G2637" s="48" t="s">
        <v>685</v>
      </c>
      <c r="H2637" s="82" t="n">
        <f aca="false">DATE(YEAR(A2637),MONTH(A2637),1)</f>
        <v>43983</v>
      </c>
    </row>
    <row r="2638" customFormat="false" ht="15" hidden="false" customHeight="false" outlineLevel="0" collapsed="false">
      <c r="A2638" s="81" t="n">
        <v>43983</v>
      </c>
      <c r="B2638" s="48" t="n">
        <v>0</v>
      </c>
      <c r="C2638" s="48" t="n">
        <v>0</v>
      </c>
      <c r="D2638" s="48" t="n">
        <v>0</v>
      </c>
      <c r="E2638" s="48" t="s">
        <v>112</v>
      </c>
      <c r="F2638" s="48" t="s">
        <v>72</v>
      </c>
      <c r="G2638" s="48" t="s">
        <v>687</v>
      </c>
      <c r="H2638" s="82" t="n">
        <f aca="false">DATE(YEAR(A2638),MONTH(A2638),1)</f>
        <v>43983</v>
      </c>
    </row>
    <row r="2639" customFormat="false" ht="15" hidden="false" customHeight="false" outlineLevel="0" collapsed="false">
      <c r="A2639" s="81" t="n">
        <v>43983</v>
      </c>
      <c r="B2639" s="48" t="n">
        <v>1</v>
      </c>
      <c r="C2639" s="48" t="n">
        <v>0</v>
      </c>
      <c r="D2639" s="48" t="n">
        <v>0</v>
      </c>
      <c r="E2639" s="48" t="s">
        <v>112</v>
      </c>
      <c r="F2639" s="48" t="s">
        <v>72</v>
      </c>
      <c r="G2639" s="48" t="s">
        <v>682</v>
      </c>
      <c r="H2639" s="82" t="n">
        <f aca="false">DATE(YEAR(A2639),MONTH(A2639),1)</f>
        <v>43983</v>
      </c>
    </row>
    <row r="2640" customFormat="false" ht="15" hidden="false" customHeight="false" outlineLevel="0" collapsed="false">
      <c r="A2640" s="81" t="n">
        <v>43983</v>
      </c>
      <c r="B2640" s="48" t="n">
        <v>0</v>
      </c>
      <c r="C2640" s="48" t="n">
        <v>0</v>
      </c>
      <c r="D2640" s="48" t="n">
        <v>0</v>
      </c>
      <c r="E2640" s="48" t="s">
        <v>112</v>
      </c>
      <c r="F2640" s="48" t="s">
        <v>72</v>
      </c>
      <c r="G2640" s="48" t="s">
        <v>692</v>
      </c>
      <c r="H2640" s="82" t="n">
        <f aca="false">DATE(YEAR(A2640),MONTH(A2640),1)</f>
        <v>43983</v>
      </c>
    </row>
    <row r="2641" customFormat="false" ht="15" hidden="false" customHeight="false" outlineLevel="0" collapsed="false">
      <c r="A2641" s="81" t="n">
        <v>43983</v>
      </c>
      <c r="B2641" s="48" t="n">
        <v>0</v>
      </c>
      <c r="C2641" s="48" t="n">
        <v>0</v>
      </c>
      <c r="D2641" s="48" t="n">
        <v>1</v>
      </c>
      <c r="E2641" s="48" t="s">
        <v>112</v>
      </c>
      <c r="F2641" s="48" t="s">
        <v>72</v>
      </c>
      <c r="G2641" s="48" t="s">
        <v>613</v>
      </c>
      <c r="H2641" s="82" t="n">
        <f aca="false">DATE(YEAR(A2641),MONTH(A2641),1)</f>
        <v>43983</v>
      </c>
    </row>
    <row r="2642" customFormat="false" ht="15" hidden="false" customHeight="false" outlineLevel="0" collapsed="false">
      <c r="A2642" s="81" t="n">
        <v>43983</v>
      </c>
      <c r="B2642" s="48" t="n">
        <v>1</v>
      </c>
      <c r="C2642" s="48" t="n">
        <v>1</v>
      </c>
      <c r="D2642" s="48" t="n">
        <v>0</v>
      </c>
      <c r="E2642" s="48" t="s">
        <v>112</v>
      </c>
      <c r="F2642" s="48" t="s">
        <v>72</v>
      </c>
      <c r="G2642" s="48" t="s">
        <v>614</v>
      </c>
      <c r="H2642" s="82" t="n">
        <f aca="false">DATE(YEAR(A2642),MONTH(A2642),1)</f>
        <v>43983</v>
      </c>
    </row>
    <row r="2643" customFormat="false" ht="15" hidden="false" customHeight="false" outlineLevel="0" collapsed="false">
      <c r="A2643" s="81" t="n">
        <v>43983</v>
      </c>
      <c r="B2643" s="48" t="n">
        <v>1</v>
      </c>
      <c r="C2643" s="48" t="n">
        <v>0</v>
      </c>
      <c r="D2643" s="48" t="n">
        <v>0</v>
      </c>
      <c r="E2643" s="48" t="s">
        <v>112</v>
      </c>
      <c r="F2643" s="48" t="s">
        <v>72</v>
      </c>
      <c r="G2643" s="48" t="s">
        <v>655</v>
      </c>
      <c r="H2643" s="82" t="n">
        <f aca="false">DATE(YEAR(A2643),MONTH(A2643),1)</f>
        <v>43983</v>
      </c>
    </row>
    <row r="2644" customFormat="false" ht="15" hidden="false" customHeight="false" outlineLevel="0" collapsed="false">
      <c r="A2644" s="81" t="n">
        <v>43983</v>
      </c>
      <c r="B2644" s="48" t="n">
        <v>14</v>
      </c>
      <c r="C2644" s="48" t="n">
        <v>0</v>
      </c>
      <c r="D2644" s="48" t="n">
        <v>3</v>
      </c>
      <c r="E2644" s="48" t="s">
        <v>112</v>
      </c>
      <c r="F2644" s="48" t="s">
        <v>72</v>
      </c>
      <c r="G2644" s="48" t="s">
        <v>608</v>
      </c>
      <c r="H2644" s="82" t="n">
        <f aca="false">DATE(YEAR(A2644),MONTH(A2644),1)</f>
        <v>43983</v>
      </c>
    </row>
    <row r="2645" customFormat="false" ht="15" hidden="false" customHeight="false" outlineLevel="0" collapsed="false">
      <c r="A2645" s="81" t="n">
        <v>43983</v>
      </c>
      <c r="B2645" s="48" t="n">
        <v>0</v>
      </c>
      <c r="C2645" s="48" t="n">
        <v>0</v>
      </c>
      <c r="D2645" s="48" t="n">
        <v>0</v>
      </c>
      <c r="E2645" s="48" t="s">
        <v>112</v>
      </c>
      <c r="F2645" s="48" t="s">
        <v>72</v>
      </c>
      <c r="G2645" s="48" t="s">
        <v>615</v>
      </c>
      <c r="H2645" s="82" t="n">
        <f aca="false">DATE(YEAR(A2645),MONTH(A2645),1)</f>
        <v>43983</v>
      </c>
    </row>
    <row r="2646" customFormat="false" ht="15" hidden="false" customHeight="false" outlineLevel="0" collapsed="false">
      <c r="A2646" s="81" t="n">
        <v>43983</v>
      </c>
      <c r="B2646" s="48" t="n">
        <v>0</v>
      </c>
      <c r="C2646" s="48" t="n">
        <v>0</v>
      </c>
      <c r="D2646" s="48" t="n">
        <v>0</v>
      </c>
      <c r="E2646" s="48" t="s">
        <v>112</v>
      </c>
      <c r="F2646" s="48" t="s">
        <v>72</v>
      </c>
      <c r="G2646" s="48" t="s">
        <v>666</v>
      </c>
      <c r="H2646" s="82" t="n">
        <f aca="false">DATE(YEAR(A2646),MONTH(A2646),1)</f>
        <v>43983</v>
      </c>
    </row>
    <row r="2647" customFormat="false" ht="15" hidden="false" customHeight="false" outlineLevel="0" collapsed="false">
      <c r="A2647" s="81" t="n">
        <v>43983</v>
      </c>
      <c r="B2647" s="48" t="n">
        <v>1</v>
      </c>
      <c r="C2647" s="48" t="n">
        <v>0</v>
      </c>
      <c r="D2647" s="48" t="n">
        <v>0</v>
      </c>
      <c r="E2647" s="48" t="s">
        <v>112</v>
      </c>
      <c r="F2647" s="48" t="s">
        <v>72</v>
      </c>
      <c r="G2647" s="48" t="s">
        <v>621</v>
      </c>
      <c r="H2647" s="82" t="n">
        <f aca="false">DATE(YEAR(A2647),MONTH(A2647),1)</f>
        <v>43983</v>
      </c>
    </row>
    <row r="2648" customFormat="false" ht="15" hidden="false" customHeight="false" outlineLevel="0" collapsed="false">
      <c r="A2648" s="81" t="n">
        <v>43983</v>
      </c>
      <c r="B2648" s="48" t="n">
        <v>4</v>
      </c>
      <c r="C2648" s="48" t="n">
        <v>0</v>
      </c>
      <c r="D2648" s="48" t="n">
        <v>2</v>
      </c>
      <c r="E2648" s="48" t="s">
        <v>112</v>
      </c>
      <c r="F2648" s="48" t="s">
        <v>72</v>
      </c>
      <c r="G2648" s="48" t="s">
        <v>664</v>
      </c>
      <c r="H2648" s="82" t="n">
        <f aca="false">DATE(YEAR(A2648),MONTH(A2648),1)</f>
        <v>43983</v>
      </c>
    </row>
    <row r="2649" customFormat="false" ht="15" hidden="false" customHeight="false" outlineLevel="0" collapsed="false">
      <c r="A2649" s="81" t="n">
        <v>43983</v>
      </c>
      <c r="B2649" s="48" t="n">
        <v>0</v>
      </c>
      <c r="C2649" s="48" t="n">
        <v>0</v>
      </c>
      <c r="D2649" s="48" t="n">
        <v>0</v>
      </c>
      <c r="E2649" s="48" t="s">
        <v>112</v>
      </c>
      <c r="F2649" s="48" t="s">
        <v>72</v>
      </c>
      <c r="G2649" s="48" t="s">
        <v>667</v>
      </c>
      <c r="H2649" s="82" t="n">
        <f aca="false">DATE(YEAR(A2649),MONTH(A2649),1)</f>
        <v>43983</v>
      </c>
    </row>
    <row r="2650" customFormat="false" ht="15" hidden="false" customHeight="false" outlineLevel="0" collapsed="false">
      <c r="A2650" s="81" t="n">
        <v>43983</v>
      </c>
      <c r="B2650" s="48" t="n">
        <v>0</v>
      </c>
      <c r="C2650" s="48" t="n">
        <v>0</v>
      </c>
      <c r="D2650" s="48" t="n">
        <v>0</v>
      </c>
      <c r="E2650" s="48" t="s">
        <v>112</v>
      </c>
      <c r="F2650" s="48" t="s">
        <v>72</v>
      </c>
      <c r="G2650" s="48" t="s">
        <v>607</v>
      </c>
      <c r="H2650" s="82" t="n">
        <f aca="false">DATE(YEAR(A2650),MONTH(A2650),1)</f>
        <v>43983</v>
      </c>
    </row>
    <row r="2651" customFormat="false" ht="15" hidden="false" customHeight="false" outlineLevel="0" collapsed="false">
      <c r="A2651" s="81" t="n">
        <v>43983</v>
      </c>
      <c r="B2651" s="48" t="n">
        <v>0</v>
      </c>
      <c r="C2651" s="48" t="n">
        <v>0</v>
      </c>
      <c r="D2651" s="48" t="n">
        <v>0</v>
      </c>
      <c r="E2651" s="48" t="s">
        <v>112</v>
      </c>
      <c r="F2651" s="48" t="s">
        <v>72</v>
      </c>
      <c r="G2651" s="48" t="s">
        <v>673</v>
      </c>
      <c r="H2651" s="82" t="n">
        <f aca="false">DATE(YEAR(A2651),MONTH(A2651),1)</f>
        <v>43983</v>
      </c>
    </row>
    <row r="2652" customFormat="false" ht="15" hidden="false" customHeight="false" outlineLevel="0" collapsed="false">
      <c r="A2652" s="81" t="n">
        <v>43983</v>
      </c>
      <c r="B2652" s="48" t="n">
        <v>0</v>
      </c>
      <c r="C2652" s="48" t="n">
        <v>0</v>
      </c>
      <c r="D2652" s="48" t="n">
        <v>0</v>
      </c>
      <c r="E2652" s="48" t="s">
        <v>112</v>
      </c>
      <c r="F2652" s="48" t="s">
        <v>72</v>
      </c>
      <c r="G2652" s="48" t="s">
        <v>676</v>
      </c>
      <c r="H2652" s="82" t="n">
        <f aca="false">DATE(YEAR(A2652),MONTH(A2652),1)</f>
        <v>43983</v>
      </c>
    </row>
    <row r="2653" customFormat="false" ht="15" hidden="false" customHeight="false" outlineLevel="0" collapsed="false">
      <c r="A2653" s="81" t="n">
        <v>43983</v>
      </c>
      <c r="B2653" s="48" t="n">
        <v>1402</v>
      </c>
      <c r="C2653" s="48" t="n">
        <v>22</v>
      </c>
      <c r="D2653" s="48" t="n">
        <v>780</v>
      </c>
      <c r="E2653" s="48" t="s">
        <v>112</v>
      </c>
      <c r="F2653" s="48" t="s">
        <v>70</v>
      </c>
      <c r="G2653" s="48" t="s">
        <v>91</v>
      </c>
      <c r="H2653" s="82" t="n">
        <f aca="false">DATE(YEAR(A2653),MONTH(A2653),1)</f>
        <v>43983</v>
      </c>
    </row>
    <row r="2654" customFormat="false" ht="15" hidden="false" customHeight="false" outlineLevel="0" collapsed="false">
      <c r="A2654" s="81" t="n">
        <v>43983</v>
      </c>
      <c r="B2654" s="48" t="n">
        <v>16</v>
      </c>
      <c r="C2654" s="48" t="n">
        <v>0</v>
      </c>
      <c r="D2654" s="48" t="n">
        <v>2</v>
      </c>
      <c r="E2654" s="48" t="s">
        <v>112</v>
      </c>
      <c r="F2654" s="48" t="s">
        <v>76</v>
      </c>
      <c r="G2654" s="48" t="s">
        <v>595</v>
      </c>
      <c r="H2654" s="82" t="n">
        <f aca="false">DATE(YEAR(A2654),MONTH(A2654),1)</f>
        <v>43983</v>
      </c>
    </row>
    <row r="2655" customFormat="false" ht="15" hidden="false" customHeight="false" outlineLevel="0" collapsed="false">
      <c r="A2655" s="81" t="n">
        <v>43983</v>
      </c>
      <c r="B2655" s="48" t="n">
        <v>55</v>
      </c>
      <c r="C2655" s="48" t="n">
        <v>2</v>
      </c>
      <c r="D2655" s="48" t="n">
        <v>58</v>
      </c>
      <c r="E2655" s="48" t="s">
        <v>112</v>
      </c>
      <c r="F2655" s="48" t="s">
        <v>73</v>
      </c>
      <c r="G2655" s="48" t="s">
        <v>93</v>
      </c>
      <c r="H2655" s="82" t="n">
        <f aca="false">DATE(YEAR(A2655),MONTH(A2655),1)</f>
        <v>43983</v>
      </c>
    </row>
    <row r="2656" customFormat="false" ht="15" hidden="false" customHeight="false" outlineLevel="0" collapsed="false">
      <c r="A2656" s="81" t="n">
        <v>43983</v>
      </c>
      <c r="B2656" s="48" t="n">
        <v>1610</v>
      </c>
      <c r="C2656" s="48" t="n">
        <v>43</v>
      </c>
      <c r="D2656" s="48" t="n">
        <v>95</v>
      </c>
      <c r="E2656" s="48" t="s">
        <v>112</v>
      </c>
      <c r="F2656" s="48" t="s">
        <v>71</v>
      </c>
      <c r="G2656" s="48" t="s">
        <v>92</v>
      </c>
      <c r="H2656" s="82" t="n">
        <f aca="false">DATE(YEAR(A2656),MONTH(A2656),1)</f>
        <v>43983</v>
      </c>
    </row>
    <row r="2657" customFormat="false" ht="15" hidden="false" customHeight="false" outlineLevel="0" collapsed="false">
      <c r="A2657" s="81" t="n">
        <v>43984</v>
      </c>
      <c r="B2657" s="48" t="n">
        <v>295</v>
      </c>
      <c r="C2657" s="48" t="n">
        <v>4</v>
      </c>
      <c r="D2657" s="48" t="n">
        <v>230</v>
      </c>
      <c r="E2657" s="48" t="s">
        <v>112</v>
      </c>
      <c r="F2657" s="48" t="s">
        <v>74</v>
      </c>
      <c r="G2657" s="48" t="s">
        <v>95</v>
      </c>
      <c r="H2657" s="82" t="n">
        <f aca="false">DATE(YEAR(A2657),MONTH(A2657),1)</f>
        <v>43983</v>
      </c>
    </row>
    <row r="2658" customFormat="false" ht="15" hidden="false" customHeight="false" outlineLevel="0" collapsed="false">
      <c r="A2658" s="81" t="n">
        <v>43984</v>
      </c>
      <c r="B2658" s="48" t="n">
        <v>2</v>
      </c>
      <c r="C2658" s="48" t="n">
        <v>0</v>
      </c>
      <c r="D2658" s="48" t="n">
        <v>0</v>
      </c>
      <c r="E2658" s="48" t="s">
        <v>112</v>
      </c>
      <c r="F2658" s="48" t="s">
        <v>75</v>
      </c>
      <c r="G2658" s="48" t="s">
        <v>658</v>
      </c>
      <c r="H2658" s="82" t="n">
        <f aca="false">DATE(YEAR(A2658),MONTH(A2658),1)</f>
        <v>43983</v>
      </c>
    </row>
    <row r="2659" customFormat="false" ht="15" hidden="false" customHeight="false" outlineLevel="0" collapsed="false">
      <c r="A2659" s="81" t="n">
        <v>43984</v>
      </c>
      <c r="B2659" s="48" t="n">
        <v>2</v>
      </c>
      <c r="C2659" s="48" t="n">
        <v>0</v>
      </c>
      <c r="D2659" s="48" t="n">
        <v>0</v>
      </c>
      <c r="E2659" s="48" t="s">
        <v>112</v>
      </c>
      <c r="F2659" s="48" t="s">
        <v>75</v>
      </c>
      <c r="G2659" s="48" t="s">
        <v>650</v>
      </c>
      <c r="H2659" s="82" t="n">
        <f aca="false">DATE(YEAR(A2659),MONTH(A2659),1)</f>
        <v>43983</v>
      </c>
    </row>
    <row r="2660" customFormat="false" ht="15" hidden="false" customHeight="false" outlineLevel="0" collapsed="false">
      <c r="A2660" s="81" t="n">
        <v>43984</v>
      </c>
      <c r="B2660" s="48" t="n">
        <v>1</v>
      </c>
      <c r="C2660" s="48" t="n">
        <v>0</v>
      </c>
      <c r="D2660" s="48" t="n">
        <v>0</v>
      </c>
      <c r="E2660" s="48" t="s">
        <v>112</v>
      </c>
      <c r="F2660" s="48" t="s">
        <v>75</v>
      </c>
      <c r="G2660" s="48" t="s">
        <v>646</v>
      </c>
      <c r="H2660" s="82" t="n">
        <f aca="false">DATE(YEAR(A2660),MONTH(A2660),1)</f>
        <v>43983</v>
      </c>
    </row>
    <row r="2661" customFormat="false" ht="15" hidden="false" customHeight="false" outlineLevel="0" collapsed="false">
      <c r="A2661" s="81" t="n">
        <v>43984</v>
      </c>
      <c r="B2661" s="48" t="n">
        <v>15</v>
      </c>
      <c r="C2661" s="48" t="n">
        <v>0</v>
      </c>
      <c r="D2661" s="48" t="n">
        <v>0</v>
      </c>
      <c r="E2661" s="48" t="s">
        <v>112</v>
      </c>
      <c r="F2661" s="48" t="s">
        <v>75</v>
      </c>
      <c r="G2661" s="48" t="s">
        <v>629</v>
      </c>
      <c r="H2661" s="82" t="n">
        <f aca="false">DATE(YEAR(A2661),MONTH(A2661),1)</f>
        <v>43983</v>
      </c>
    </row>
    <row r="2662" customFormat="false" ht="15" hidden="false" customHeight="false" outlineLevel="0" collapsed="false">
      <c r="A2662" s="81" t="n">
        <v>43984</v>
      </c>
      <c r="B2662" s="48" t="n">
        <v>1</v>
      </c>
      <c r="C2662" s="48" t="n">
        <v>0</v>
      </c>
      <c r="D2662" s="48" t="n">
        <v>0</v>
      </c>
      <c r="E2662" s="48" t="s">
        <v>112</v>
      </c>
      <c r="F2662" s="48" t="s">
        <v>75</v>
      </c>
      <c r="G2662" s="48" t="s">
        <v>660</v>
      </c>
      <c r="H2662" s="82" t="n">
        <f aca="false">DATE(YEAR(A2662),MONTH(A2662),1)</f>
        <v>43983</v>
      </c>
    </row>
    <row r="2663" customFormat="false" ht="15" hidden="false" customHeight="false" outlineLevel="0" collapsed="false">
      <c r="A2663" s="81" t="n">
        <v>43984</v>
      </c>
      <c r="B2663" s="48" t="n">
        <v>6</v>
      </c>
      <c r="C2663" s="48" t="n">
        <v>0</v>
      </c>
      <c r="D2663" s="48" t="n">
        <v>0</v>
      </c>
      <c r="E2663" s="48" t="s">
        <v>112</v>
      </c>
      <c r="F2663" s="48" t="s">
        <v>75</v>
      </c>
      <c r="G2663" s="48" t="s">
        <v>649</v>
      </c>
      <c r="H2663" s="82" t="n">
        <f aca="false">DATE(YEAR(A2663),MONTH(A2663),1)</f>
        <v>43983</v>
      </c>
    </row>
    <row r="2664" customFormat="false" ht="15" hidden="false" customHeight="false" outlineLevel="0" collapsed="false">
      <c r="A2664" s="81" t="n">
        <v>43984</v>
      </c>
      <c r="B2664" s="48" t="n">
        <v>16</v>
      </c>
      <c r="C2664" s="48" t="n">
        <v>1</v>
      </c>
      <c r="D2664" s="48" t="n">
        <v>0</v>
      </c>
      <c r="E2664" s="48" t="s">
        <v>112</v>
      </c>
      <c r="F2664" s="48" t="s">
        <v>75</v>
      </c>
      <c r="G2664" s="48" t="s">
        <v>103</v>
      </c>
      <c r="H2664" s="82" t="n">
        <f aca="false">DATE(YEAR(A2664),MONTH(A2664),1)</f>
        <v>43983</v>
      </c>
    </row>
    <row r="2665" customFormat="false" ht="15" hidden="false" customHeight="false" outlineLevel="0" collapsed="false">
      <c r="A2665" s="81" t="n">
        <v>43984</v>
      </c>
      <c r="B2665" s="48" t="n">
        <v>174</v>
      </c>
      <c r="C2665" s="48" t="n">
        <v>3</v>
      </c>
      <c r="D2665" s="48" t="n">
        <v>13</v>
      </c>
      <c r="E2665" s="48" t="s">
        <v>112</v>
      </c>
      <c r="F2665" s="48" t="s">
        <v>72</v>
      </c>
      <c r="G2665" s="48" t="s">
        <v>94</v>
      </c>
      <c r="H2665" s="82" t="n">
        <f aca="false">DATE(YEAR(A2665),MONTH(A2665),1)</f>
        <v>43983</v>
      </c>
    </row>
    <row r="2666" customFormat="false" ht="15" hidden="false" customHeight="false" outlineLevel="0" collapsed="false">
      <c r="A2666" s="81" t="n">
        <v>43984</v>
      </c>
      <c r="B2666" s="48" t="n">
        <v>33</v>
      </c>
      <c r="C2666" s="48" t="n">
        <v>0</v>
      </c>
      <c r="D2666" s="48" t="n">
        <v>1</v>
      </c>
      <c r="E2666" s="48" t="s">
        <v>112</v>
      </c>
      <c r="F2666" s="48" t="s">
        <v>72</v>
      </c>
      <c r="G2666" s="48" t="s">
        <v>597</v>
      </c>
      <c r="H2666" s="82" t="n">
        <f aca="false">DATE(YEAR(A2666),MONTH(A2666),1)</f>
        <v>43983</v>
      </c>
    </row>
    <row r="2667" customFormat="false" ht="15" hidden="false" customHeight="false" outlineLevel="0" collapsed="false">
      <c r="A2667" s="81" t="n">
        <v>43984</v>
      </c>
      <c r="B2667" s="48" t="n">
        <v>6</v>
      </c>
      <c r="C2667" s="48" t="n">
        <v>0</v>
      </c>
      <c r="D2667" s="48" t="n">
        <v>4</v>
      </c>
      <c r="E2667" s="48" t="s">
        <v>112</v>
      </c>
      <c r="F2667" s="48" t="s">
        <v>72</v>
      </c>
      <c r="G2667" s="48" t="s">
        <v>594</v>
      </c>
      <c r="H2667" s="82" t="n">
        <f aca="false">DATE(YEAR(A2667),MONTH(A2667),1)</f>
        <v>43983</v>
      </c>
    </row>
    <row r="2668" customFormat="false" ht="15" hidden="false" customHeight="false" outlineLevel="0" collapsed="false">
      <c r="A2668" s="81" t="n">
        <v>43984</v>
      </c>
      <c r="B2668" s="48" t="n">
        <v>0</v>
      </c>
      <c r="C2668" s="48" t="n">
        <v>0</v>
      </c>
      <c r="D2668" s="48" t="n">
        <v>1</v>
      </c>
      <c r="E2668" s="48" t="s">
        <v>112</v>
      </c>
      <c r="F2668" s="48" t="s">
        <v>72</v>
      </c>
      <c r="G2668" s="48" t="s">
        <v>599</v>
      </c>
      <c r="H2668" s="82" t="n">
        <f aca="false">DATE(YEAR(A2668),MONTH(A2668),1)</f>
        <v>43983</v>
      </c>
    </row>
    <row r="2669" customFormat="false" ht="15" hidden="false" customHeight="false" outlineLevel="0" collapsed="false">
      <c r="A2669" s="81" t="n">
        <v>43984</v>
      </c>
      <c r="B2669" s="48" t="n">
        <v>4</v>
      </c>
      <c r="C2669" s="48" t="n">
        <v>0</v>
      </c>
      <c r="D2669" s="48" t="n">
        <v>0</v>
      </c>
      <c r="E2669" s="48" t="s">
        <v>112</v>
      </c>
      <c r="F2669" s="48" t="s">
        <v>72</v>
      </c>
      <c r="G2669" s="48" t="s">
        <v>656</v>
      </c>
      <c r="H2669" s="82" t="n">
        <f aca="false">DATE(YEAR(A2669),MONTH(A2669),1)</f>
        <v>43983</v>
      </c>
    </row>
    <row r="2670" customFormat="false" ht="15" hidden="false" customHeight="false" outlineLevel="0" collapsed="false">
      <c r="A2670" s="81" t="n">
        <v>43984</v>
      </c>
      <c r="B2670" s="48" t="n">
        <v>12</v>
      </c>
      <c r="C2670" s="48" t="n">
        <v>1</v>
      </c>
      <c r="D2670" s="48" t="n">
        <v>8</v>
      </c>
      <c r="E2670" s="48" t="s">
        <v>112</v>
      </c>
      <c r="F2670" s="48" t="s">
        <v>72</v>
      </c>
      <c r="G2670" s="48" t="s">
        <v>102</v>
      </c>
      <c r="H2670" s="82" t="n">
        <f aca="false">DATE(YEAR(A2670),MONTH(A2670),1)</f>
        <v>43983</v>
      </c>
    </row>
    <row r="2671" customFormat="false" ht="15" hidden="false" customHeight="false" outlineLevel="0" collapsed="false">
      <c r="A2671" s="81" t="n">
        <v>43984</v>
      </c>
      <c r="B2671" s="48" t="n">
        <v>4</v>
      </c>
      <c r="C2671" s="48" t="n">
        <v>0</v>
      </c>
      <c r="D2671" s="48" t="n">
        <v>1</v>
      </c>
      <c r="E2671" s="48" t="s">
        <v>112</v>
      </c>
      <c r="F2671" s="48" t="s">
        <v>72</v>
      </c>
      <c r="G2671" s="48" t="s">
        <v>611</v>
      </c>
      <c r="H2671" s="82" t="n">
        <f aca="false">DATE(YEAR(A2671),MONTH(A2671),1)</f>
        <v>43983</v>
      </c>
    </row>
    <row r="2672" customFormat="false" ht="15" hidden="false" customHeight="false" outlineLevel="0" collapsed="false">
      <c r="A2672" s="81" t="n">
        <v>43984</v>
      </c>
      <c r="B2672" s="48" t="n">
        <v>60</v>
      </c>
      <c r="C2672" s="48" t="n">
        <v>1</v>
      </c>
      <c r="D2672" s="48" t="n">
        <v>23</v>
      </c>
      <c r="E2672" s="48" t="s">
        <v>112</v>
      </c>
      <c r="F2672" s="48" t="s">
        <v>72</v>
      </c>
      <c r="G2672" s="48" t="s">
        <v>96</v>
      </c>
      <c r="H2672" s="82" t="n">
        <f aca="false">DATE(YEAR(A2672),MONTH(A2672),1)</f>
        <v>43983</v>
      </c>
    </row>
    <row r="2673" customFormat="false" ht="15" hidden="false" customHeight="false" outlineLevel="0" collapsed="false">
      <c r="A2673" s="81" t="n">
        <v>43984</v>
      </c>
      <c r="B2673" s="48" t="n">
        <v>4</v>
      </c>
      <c r="C2673" s="48" t="n">
        <v>0</v>
      </c>
      <c r="D2673" s="48" t="n">
        <v>9</v>
      </c>
      <c r="E2673" s="48" t="s">
        <v>112</v>
      </c>
      <c r="F2673" s="48" t="s">
        <v>72</v>
      </c>
      <c r="G2673" s="48" t="s">
        <v>603</v>
      </c>
      <c r="H2673" s="82" t="n">
        <f aca="false">DATE(YEAR(A2673),MONTH(A2673),1)</f>
        <v>43983</v>
      </c>
    </row>
    <row r="2674" customFormat="false" ht="15" hidden="false" customHeight="false" outlineLevel="0" collapsed="false">
      <c r="A2674" s="81" t="n">
        <v>43984</v>
      </c>
      <c r="B2674" s="48" t="n">
        <v>33</v>
      </c>
      <c r="C2674" s="48" t="n">
        <v>1</v>
      </c>
      <c r="D2674" s="48" t="n">
        <v>2</v>
      </c>
      <c r="E2674" s="48" t="s">
        <v>112</v>
      </c>
      <c r="F2674" s="48" t="s">
        <v>72</v>
      </c>
      <c r="G2674" s="48" t="s">
        <v>591</v>
      </c>
      <c r="H2674" s="82" t="n">
        <f aca="false">DATE(YEAR(A2674),MONTH(A2674),1)</f>
        <v>43983</v>
      </c>
    </row>
    <row r="2675" customFormat="false" ht="15" hidden="false" customHeight="false" outlineLevel="0" collapsed="false">
      <c r="A2675" s="81" t="n">
        <v>43984</v>
      </c>
      <c r="B2675" s="48" t="n">
        <v>21</v>
      </c>
      <c r="C2675" s="48" t="n">
        <v>0</v>
      </c>
      <c r="D2675" s="48" t="n">
        <v>1</v>
      </c>
      <c r="E2675" s="48" t="s">
        <v>112</v>
      </c>
      <c r="F2675" s="48" t="s">
        <v>72</v>
      </c>
      <c r="G2675" s="48" t="s">
        <v>598</v>
      </c>
      <c r="H2675" s="82" t="n">
        <f aca="false">DATE(YEAR(A2675),MONTH(A2675),1)</f>
        <v>43983</v>
      </c>
    </row>
    <row r="2676" customFormat="false" ht="15" hidden="false" customHeight="false" outlineLevel="0" collapsed="false">
      <c r="A2676" s="81" t="n">
        <v>43984</v>
      </c>
      <c r="B2676" s="48" t="n">
        <v>6</v>
      </c>
      <c r="C2676" s="48" t="n">
        <v>0</v>
      </c>
      <c r="D2676" s="48" t="n">
        <v>4</v>
      </c>
      <c r="E2676" s="48" t="s">
        <v>112</v>
      </c>
      <c r="F2676" s="48" t="s">
        <v>72</v>
      </c>
      <c r="G2676" s="48" t="s">
        <v>609</v>
      </c>
      <c r="H2676" s="82" t="n">
        <f aca="false">DATE(YEAR(A2676),MONTH(A2676),1)</f>
        <v>43983</v>
      </c>
    </row>
    <row r="2677" customFormat="false" ht="15" hidden="false" customHeight="false" outlineLevel="0" collapsed="false">
      <c r="A2677" s="81" t="n">
        <v>43984</v>
      </c>
      <c r="B2677" s="48" t="n">
        <v>19</v>
      </c>
      <c r="C2677" s="48" t="n">
        <v>0</v>
      </c>
      <c r="D2677" s="48" t="n">
        <v>28</v>
      </c>
      <c r="E2677" s="48" t="s">
        <v>112</v>
      </c>
      <c r="F2677" s="48" t="s">
        <v>72</v>
      </c>
      <c r="G2677" s="48" t="s">
        <v>101</v>
      </c>
      <c r="H2677" s="82" t="n">
        <f aca="false">DATE(YEAR(A2677),MONTH(A2677),1)</f>
        <v>43983</v>
      </c>
    </row>
    <row r="2678" customFormat="false" ht="15" hidden="false" customHeight="false" outlineLevel="0" collapsed="false">
      <c r="A2678" s="81" t="n">
        <v>43984</v>
      </c>
      <c r="B2678" s="48" t="n">
        <v>2</v>
      </c>
      <c r="C2678" s="48" t="n">
        <v>0</v>
      </c>
      <c r="D2678" s="48" t="n">
        <v>0</v>
      </c>
      <c r="E2678" s="48" t="s">
        <v>112</v>
      </c>
      <c r="F2678" s="48" t="s">
        <v>72</v>
      </c>
      <c r="G2678" s="48" t="s">
        <v>643</v>
      </c>
      <c r="H2678" s="82" t="n">
        <f aca="false">DATE(YEAR(A2678),MONTH(A2678),1)</f>
        <v>43983</v>
      </c>
    </row>
    <row r="2679" customFormat="false" ht="15" hidden="false" customHeight="false" outlineLevel="0" collapsed="false">
      <c r="A2679" s="81" t="n">
        <v>43984</v>
      </c>
      <c r="B2679" s="48" t="n">
        <v>0</v>
      </c>
      <c r="C2679" s="48" t="n">
        <v>0</v>
      </c>
      <c r="D2679" s="48" t="n">
        <v>0</v>
      </c>
      <c r="E2679" s="48" t="s">
        <v>112</v>
      </c>
      <c r="F2679" s="48" t="s">
        <v>72</v>
      </c>
      <c r="G2679" s="48" t="s">
        <v>662</v>
      </c>
      <c r="H2679" s="82" t="n">
        <f aca="false">DATE(YEAR(A2679),MONTH(A2679),1)</f>
        <v>43983</v>
      </c>
    </row>
    <row r="2680" customFormat="false" ht="15" hidden="false" customHeight="false" outlineLevel="0" collapsed="false">
      <c r="A2680" s="81" t="n">
        <v>43984</v>
      </c>
      <c r="B2680" s="48" t="n">
        <v>0</v>
      </c>
      <c r="C2680" s="48" t="n">
        <v>0</v>
      </c>
      <c r="D2680" s="48" t="n">
        <v>0</v>
      </c>
      <c r="E2680" s="48" t="s">
        <v>112</v>
      </c>
      <c r="F2680" s="48" t="s">
        <v>72</v>
      </c>
      <c r="G2680" s="48" t="s">
        <v>600</v>
      </c>
      <c r="H2680" s="82" t="n">
        <f aca="false">DATE(YEAR(A2680),MONTH(A2680),1)</f>
        <v>43983</v>
      </c>
    </row>
    <row r="2681" customFormat="false" ht="15" hidden="false" customHeight="false" outlineLevel="0" collapsed="false">
      <c r="A2681" s="81" t="n">
        <v>43984</v>
      </c>
      <c r="B2681" s="48" t="n">
        <v>0</v>
      </c>
      <c r="C2681" s="48" t="n">
        <v>0</v>
      </c>
      <c r="D2681" s="48" t="n">
        <v>0</v>
      </c>
      <c r="E2681" s="48" t="s">
        <v>112</v>
      </c>
      <c r="F2681" s="48" t="s">
        <v>72</v>
      </c>
      <c r="G2681" s="48" t="s">
        <v>610</v>
      </c>
      <c r="H2681" s="82" t="n">
        <f aca="false">DATE(YEAR(A2681),MONTH(A2681),1)</f>
        <v>43983</v>
      </c>
    </row>
    <row r="2682" customFormat="false" ht="15" hidden="false" customHeight="false" outlineLevel="0" collapsed="false">
      <c r="A2682" s="81" t="n">
        <v>43984</v>
      </c>
      <c r="B2682" s="48" t="n">
        <v>8</v>
      </c>
      <c r="C2682" s="48" t="n">
        <v>1</v>
      </c>
      <c r="D2682" s="48" t="n">
        <v>6</v>
      </c>
      <c r="E2682" s="48" t="s">
        <v>112</v>
      </c>
      <c r="F2682" s="48" t="s">
        <v>72</v>
      </c>
      <c r="G2682" s="48" t="s">
        <v>593</v>
      </c>
      <c r="H2682" s="82" t="n">
        <f aca="false">DATE(YEAR(A2682),MONTH(A2682),1)</f>
        <v>43983</v>
      </c>
    </row>
    <row r="2683" customFormat="false" ht="15" hidden="false" customHeight="false" outlineLevel="0" collapsed="false">
      <c r="A2683" s="81" t="n">
        <v>43984</v>
      </c>
      <c r="B2683" s="48" t="n">
        <v>10</v>
      </c>
      <c r="C2683" s="48" t="n">
        <v>0</v>
      </c>
      <c r="D2683" s="48" t="n">
        <v>3</v>
      </c>
      <c r="E2683" s="48" t="s">
        <v>112</v>
      </c>
      <c r="F2683" s="48" t="s">
        <v>72</v>
      </c>
      <c r="G2683" s="48" t="s">
        <v>612</v>
      </c>
      <c r="H2683" s="82" t="n">
        <f aca="false">DATE(YEAR(A2683),MONTH(A2683),1)</f>
        <v>43983</v>
      </c>
    </row>
    <row r="2684" customFormat="false" ht="15" hidden="false" customHeight="false" outlineLevel="0" collapsed="false">
      <c r="A2684" s="81" t="n">
        <v>43984</v>
      </c>
      <c r="B2684" s="48" t="n">
        <v>0</v>
      </c>
      <c r="C2684" s="48" t="n">
        <v>0</v>
      </c>
      <c r="D2684" s="48" t="n">
        <v>0</v>
      </c>
      <c r="E2684" s="48" t="s">
        <v>112</v>
      </c>
      <c r="F2684" s="48" t="s">
        <v>72</v>
      </c>
      <c r="G2684" s="48" t="s">
        <v>685</v>
      </c>
      <c r="H2684" s="82" t="n">
        <f aca="false">DATE(YEAR(A2684),MONTH(A2684),1)</f>
        <v>43983</v>
      </c>
    </row>
    <row r="2685" customFormat="false" ht="15" hidden="false" customHeight="false" outlineLevel="0" collapsed="false">
      <c r="A2685" s="81" t="n">
        <v>43984</v>
      </c>
      <c r="B2685" s="48" t="n">
        <v>0</v>
      </c>
      <c r="C2685" s="48" t="n">
        <v>0</v>
      </c>
      <c r="D2685" s="48" t="n">
        <v>0</v>
      </c>
      <c r="E2685" s="48" t="s">
        <v>112</v>
      </c>
      <c r="F2685" s="48" t="s">
        <v>72</v>
      </c>
      <c r="G2685" s="48" t="s">
        <v>687</v>
      </c>
      <c r="H2685" s="82" t="n">
        <f aca="false">DATE(YEAR(A2685),MONTH(A2685),1)</f>
        <v>43983</v>
      </c>
    </row>
    <row r="2686" customFormat="false" ht="15" hidden="false" customHeight="false" outlineLevel="0" collapsed="false">
      <c r="A2686" s="81" t="n">
        <v>43984</v>
      </c>
      <c r="B2686" s="48" t="n">
        <v>1</v>
      </c>
      <c r="C2686" s="48" t="n">
        <v>0</v>
      </c>
      <c r="D2686" s="48" t="n">
        <v>0</v>
      </c>
      <c r="E2686" s="48" t="s">
        <v>112</v>
      </c>
      <c r="F2686" s="48" t="s">
        <v>72</v>
      </c>
      <c r="G2686" s="48" t="s">
        <v>682</v>
      </c>
      <c r="H2686" s="82" t="n">
        <f aca="false">DATE(YEAR(A2686),MONTH(A2686),1)</f>
        <v>43983</v>
      </c>
    </row>
    <row r="2687" customFormat="false" ht="15" hidden="false" customHeight="false" outlineLevel="0" collapsed="false">
      <c r="A2687" s="81" t="n">
        <v>43984</v>
      </c>
      <c r="B2687" s="48" t="n">
        <v>0</v>
      </c>
      <c r="C2687" s="48" t="n">
        <v>0</v>
      </c>
      <c r="D2687" s="48" t="n">
        <v>0</v>
      </c>
      <c r="E2687" s="48" t="s">
        <v>112</v>
      </c>
      <c r="F2687" s="48" t="s">
        <v>72</v>
      </c>
      <c r="G2687" s="48" t="s">
        <v>692</v>
      </c>
      <c r="H2687" s="82" t="n">
        <f aca="false">DATE(YEAR(A2687),MONTH(A2687),1)</f>
        <v>43983</v>
      </c>
    </row>
    <row r="2688" customFormat="false" ht="15" hidden="false" customHeight="false" outlineLevel="0" collapsed="false">
      <c r="A2688" s="81" t="n">
        <v>43984</v>
      </c>
      <c r="B2688" s="48" t="n">
        <v>0</v>
      </c>
      <c r="C2688" s="48" t="n">
        <v>0</v>
      </c>
      <c r="D2688" s="48" t="n">
        <v>0</v>
      </c>
      <c r="E2688" s="48" t="s">
        <v>112</v>
      </c>
      <c r="F2688" s="48" t="s">
        <v>72</v>
      </c>
      <c r="G2688" s="48" t="s">
        <v>613</v>
      </c>
      <c r="H2688" s="82" t="n">
        <f aca="false">DATE(YEAR(A2688),MONTH(A2688),1)</f>
        <v>43983</v>
      </c>
    </row>
    <row r="2689" customFormat="false" ht="15" hidden="false" customHeight="false" outlineLevel="0" collapsed="false">
      <c r="A2689" s="81" t="n">
        <v>43984</v>
      </c>
      <c r="B2689" s="48" t="n">
        <v>2</v>
      </c>
      <c r="C2689" s="48" t="n">
        <v>1</v>
      </c>
      <c r="D2689" s="48" t="n">
        <v>1</v>
      </c>
      <c r="E2689" s="48" t="s">
        <v>112</v>
      </c>
      <c r="F2689" s="48" t="s">
        <v>72</v>
      </c>
      <c r="G2689" s="48" t="s">
        <v>614</v>
      </c>
      <c r="H2689" s="82" t="n">
        <f aca="false">DATE(YEAR(A2689),MONTH(A2689),1)</f>
        <v>43983</v>
      </c>
    </row>
    <row r="2690" customFormat="false" ht="15" hidden="false" customHeight="false" outlineLevel="0" collapsed="false">
      <c r="A2690" s="81" t="n">
        <v>43984</v>
      </c>
      <c r="B2690" s="48" t="n">
        <v>0</v>
      </c>
      <c r="C2690" s="48" t="n">
        <v>0</v>
      </c>
      <c r="D2690" s="48" t="n">
        <v>0</v>
      </c>
      <c r="E2690" s="48" t="s">
        <v>112</v>
      </c>
      <c r="F2690" s="48" t="s">
        <v>72</v>
      </c>
      <c r="G2690" s="48" t="s">
        <v>655</v>
      </c>
      <c r="H2690" s="82" t="n">
        <f aca="false">DATE(YEAR(A2690),MONTH(A2690),1)</f>
        <v>43983</v>
      </c>
    </row>
    <row r="2691" customFormat="false" ht="15" hidden="false" customHeight="false" outlineLevel="0" collapsed="false">
      <c r="A2691" s="81" t="n">
        <v>43984</v>
      </c>
      <c r="B2691" s="48" t="n">
        <v>2</v>
      </c>
      <c r="C2691" s="48" t="n">
        <v>0</v>
      </c>
      <c r="D2691" s="48" t="n">
        <v>1</v>
      </c>
      <c r="E2691" s="48" t="s">
        <v>112</v>
      </c>
      <c r="F2691" s="48" t="s">
        <v>72</v>
      </c>
      <c r="G2691" s="48" t="s">
        <v>608</v>
      </c>
      <c r="H2691" s="82" t="n">
        <f aca="false">DATE(YEAR(A2691),MONTH(A2691),1)</f>
        <v>43983</v>
      </c>
    </row>
    <row r="2692" customFormat="false" ht="15" hidden="false" customHeight="false" outlineLevel="0" collapsed="false">
      <c r="A2692" s="81" t="n">
        <v>43984</v>
      </c>
      <c r="B2692" s="48" t="n">
        <v>0</v>
      </c>
      <c r="C2692" s="48" t="n">
        <v>0</v>
      </c>
      <c r="D2692" s="48" t="n">
        <v>0</v>
      </c>
      <c r="E2692" s="48" t="s">
        <v>112</v>
      </c>
      <c r="F2692" s="48" t="s">
        <v>72</v>
      </c>
      <c r="G2692" s="48" t="s">
        <v>615</v>
      </c>
      <c r="H2692" s="82" t="n">
        <f aca="false">DATE(YEAR(A2692),MONTH(A2692),1)</f>
        <v>43983</v>
      </c>
    </row>
    <row r="2693" customFormat="false" ht="15" hidden="false" customHeight="false" outlineLevel="0" collapsed="false">
      <c r="A2693" s="81" t="n">
        <v>43984</v>
      </c>
      <c r="B2693" s="48" t="n">
        <v>1</v>
      </c>
      <c r="C2693" s="48" t="n">
        <v>0</v>
      </c>
      <c r="D2693" s="48" t="n">
        <v>0</v>
      </c>
      <c r="E2693" s="48" t="s">
        <v>112</v>
      </c>
      <c r="F2693" s="48" t="s">
        <v>72</v>
      </c>
      <c r="G2693" s="48" t="s">
        <v>666</v>
      </c>
      <c r="H2693" s="82" t="n">
        <f aca="false">DATE(YEAR(A2693),MONTH(A2693),1)</f>
        <v>43983</v>
      </c>
    </row>
    <row r="2694" customFormat="false" ht="15" hidden="false" customHeight="false" outlineLevel="0" collapsed="false">
      <c r="A2694" s="81" t="n">
        <v>43984</v>
      </c>
      <c r="B2694" s="48" t="n">
        <v>0</v>
      </c>
      <c r="C2694" s="48" t="n">
        <v>0</v>
      </c>
      <c r="D2694" s="48" t="n">
        <v>0</v>
      </c>
      <c r="E2694" s="48" t="s">
        <v>112</v>
      </c>
      <c r="F2694" s="48" t="s">
        <v>72</v>
      </c>
      <c r="G2694" s="48" t="s">
        <v>621</v>
      </c>
      <c r="H2694" s="82" t="n">
        <f aca="false">DATE(YEAR(A2694),MONTH(A2694),1)</f>
        <v>43983</v>
      </c>
    </row>
    <row r="2695" customFormat="false" ht="15" hidden="false" customHeight="false" outlineLevel="0" collapsed="false">
      <c r="A2695" s="81" t="n">
        <v>43984</v>
      </c>
      <c r="B2695" s="48" t="n">
        <v>0</v>
      </c>
      <c r="C2695" s="48" t="n">
        <v>0</v>
      </c>
      <c r="D2695" s="48" t="n">
        <v>0</v>
      </c>
      <c r="E2695" s="48" t="s">
        <v>112</v>
      </c>
      <c r="F2695" s="48" t="s">
        <v>72</v>
      </c>
      <c r="G2695" s="48" t="s">
        <v>664</v>
      </c>
      <c r="H2695" s="82" t="n">
        <f aca="false">DATE(YEAR(A2695),MONTH(A2695),1)</f>
        <v>43983</v>
      </c>
    </row>
    <row r="2696" customFormat="false" ht="15" hidden="false" customHeight="false" outlineLevel="0" collapsed="false">
      <c r="A2696" s="81" t="n">
        <v>43984</v>
      </c>
      <c r="B2696" s="48" t="n">
        <v>0</v>
      </c>
      <c r="C2696" s="48" t="n">
        <v>0</v>
      </c>
      <c r="D2696" s="48" t="n">
        <v>0</v>
      </c>
      <c r="E2696" s="48" t="s">
        <v>112</v>
      </c>
      <c r="F2696" s="48" t="s">
        <v>72</v>
      </c>
      <c r="G2696" s="48" t="s">
        <v>667</v>
      </c>
      <c r="H2696" s="82" t="n">
        <f aca="false">DATE(YEAR(A2696),MONTH(A2696),1)</f>
        <v>43983</v>
      </c>
    </row>
    <row r="2697" customFormat="false" ht="15" hidden="false" customHeight="false" outlineLevel="0" collapsed="false">
      <c r="A2697" s="81" t="n">
        <v>43984</v>
      </c>
      <c r="B2697" s="48" t="n">
        <v>6</v>
      </c>
      <c r="C2697" s="48" t="n">
        <v>0</v>
      </c>
      <c r="D2697" s="48" t="n">
        <v>6</v>
      </c>
      <c r="E2697" s="48" t="s">
        <v>112</v>
      </c>
      <c r="F2697" s="48" t="s">
        <v>72</v>
      </c>
      <c r="G2697" s="48" t="s">
        <v>607</v>
      </c>
      <c r="H2697" s="82" t="n">
        <f aca="false">DATE(YEAR(A2697),MONTH(A2697),1)</f>
        <v>43983</v>
      </c>
    </row>
    <row r="2698" customFormat="false" ht="15" hidden="false" customHeight="false" outlineLevel="0" collapsed="false">
      <c r="A2698" s="81" t="n">
        <v>43984</v>
      </c>
      <c r="B2698" s="48" t="n">
        <v>0</v>
      </c>
      <c r="C2698" s="48" t="n">
        <v>0</v>
      </c>
      <c r="D2698" s="48" t="n">
        <v>0</v>
      </c>
      <c r="E2698" s="48" t="s">
        <v>112</v>
      </c>
      <c r="F2698" s="48" t="s">
        <v>72</v>
      </c>
      <c r="G2698" s="48" t="s">
        <v>673</v>
      </c>
      <c r="H2698" s="82" t="n">
        <f aca="false">DATE(YEAR(A2698),MONTH(A2698),1)</f>
        <v>43983</v>
      </c>
    </row>
    <row r="2699" customFormat="false" ht="15" hidden="false" customHeight="false" outlineLevel="0" collapsed="false">
      <c r="A2699" s="81" t="n">
        <v>43984</v>
      </c>
      <c r="B2699" s="48" t="n">
        <v>0</v>
      </c>
      <c r="C2699" s="48" t="n">
        <v>0</v>
      </c>
      <c r="D2699" s="48" t="n">
        <v>0</v>
      </c>
      <c r="E2699" s="48" t="s">
        <v>112</v>
      </c>
      <c r="F2699" s="48" t="s">
        <v>72</v>
      </c>
      <c r="G2699" s="48" t="s">
        <v>676</v>
      </c>
      <c r="H2699" s="82" t="n">
        <f aca="false">DATE(YEAR(A2699),MONTH(A2699),1)</f>
        <v>43983</v>
      </c>
    </row>
    <row r="2700" customFormat="false" ht="15" hidden="false" customHeight="false" outlineLevel="0" collapsed="false">
      <c r="A2700" s="81" t="n">
        <v>43984</v>
      </c>
      <c r="B2700" s="48" t="n">
        <v>1149</v>
      </c>
      <c r="C2700" s="48" t="n">
        <v>23</v>
      </c>
      <c r="D2700" s="48" t="n">
        <v>948</v>
      </c>
      <c r="E2700" s="48" t="s">
        <v>112</v>
      </c>
      <c r="F2700" s="48" t="s">
        <v>70</v>
      </c>
      <c r="G2700" s="48" t="s">
        <v>91</v>
      </c>
      <c r="H2700" s="82" t="n">
        <f aca="false">DATE(YEAR(A2700),MONTH(A2700),1)</f>
        <v>43983</v>
      </c>
    </row>
    <row r="2701" customFormat="false" ht="15" hidden="false" customHeight="false" outlineLevel="0" collapsed="false">
      <c r="A2701" s="81" t="n">
        <v>43984</v>
      </c>
      <c r="B2701" s="48" t="n">
        <v>47</v>
      </c>
      <c r="C2701" s="48" t="n">
        <v>0</v>
      </c>
      <c r="D2701" s="48" t="n">
        <v>44</v>
      </c>
      <c r="E2701" s="48" t="s">
        <v>112</v>
      </c>
      <c r="F2701" s="48" t="s">
        <v>70</v>
      </c>
      <c r="G2701" s="48" t="s">
        <v>99</v>
      </c>
      <c r="H2701" s="82" t="n">
        <f aca="false">DATE(YEAR(A2701),MONTH(A2701),1)</f>
        <v>43983</v>
      </c>
    </row>
    <row r="2702" customFormat="false" ht="15" hidden="false" customHeight="false" outlineLevel="0" collapsed="false">
      <c r="A2702" s="81" t="n">
        <v>43984</v>
      </c>
      <c r="B2702" s="48" t="n">
        <v>10</v>
      </c>
      <c r="C2702" s="48" t="n">
        <v>0</v>
      </c>
      <c r="D2702" s="48" t="n">
        <v>0</v>
      </c>
      <c r="E2702" s="48" t="s">
        <v>112</v>
      </c>
      <c r="F2702" s="48" t="s">
        <v>70</v>
      </c>
      <c r="G2702" s="48" t="s">
        <v>619</v>
      </c>
      <c r="H2702" s="82" t="n">
        <f aca="false">DATE(YEAR(A2702),MONTH(A2702),1)</f>
        <v>43983</v>
      </c>
    </row>
    <row r="2703" customFormat="false" ht="15" hidden="false" customHeight="false" outlineLevel="0" collapsed="false">
      <c r="A2703" s="81" t="n">
        <v>43984</v>
      </c>
      <c r="B2703" s="48" t="n">
        <v>16</v>
      </c>
      <c r="C2703" s="48" t="n">
        <v>0</v>
      </c>
      <c r="D2703" s="48" t="n">
        <v>0</v>
      </c>
      <c r="E2703" s="48" t="s">
        <v>112</v>
      </c>
      <c r="F2703" s="48" t="s">
        <v>70</v>
      </c>
      <c r="G2703" s="48" t="s">
        <v>633</v>
      </c>
      <c r="H2703" s="82" t="n">
        <f aca="false">DATE(YEAR(A2703),MONTH(A2703),1)</f>
        <v>43983</v>
      </c>
    </row>
    <row r="2704" customFormat="false" ht="15" hidden="false" customHeight="false" outlineLevel="0" collapsed="false">
      <c r="A2704" s="81" t="n">
        <v>43984</v>
      </c>
      <c r="B2704" s="48" t="n">
        <v>17</v>
      </c>
      <c r="C2704" s="48" t="n">
        <v>0</v>
      </c>
      <c r="D2704" s="48" t="n">
        <v>1</v>
      </c>
      <c r="E2704" s="48" t="s">
        <v>112</v>
      </c>
      <c r="F2704" s="48" t="s">
        <v>70</v>
      </c>
      <c r="G2704" s="48" t="s">
        <v>605</v>
      </c>
      <c r="H2704" s="82" t="n">
        <f aca="false">DATE(YEAR(A2704),MONTH(A2704),1)</f>
        <v>43983</v>
      </c>
    </row>
    <row r="2705" customFormat="false" ht="15" hidden="false" customHeight="false" outlineLevel="0" collapsed="false">
      <c r="A2705" s="81" t="n">
        <v>43984</v>
      </c>
      <c r="B2705" s="48" t="n">
        <v>0</v>
      </c>
      <c r="C2705" s="48" t="n">
        <v>0</v>
      </c>
      <c r="D2705" s="48" t="n">
        <v>0</v>
      </c>
      <c r="E2705" s="48" t="s">
        <v>112</v>
      </c>
      <c r="F2705" s="48" t="s">
        <v>70</v>
      </c>
      <c r="G2705" s="48" t="s">
        <v>641</v>
      </c>
      <c r="H2705" s="82" t="n">
        <f aca="false">DATE(YEAR(A2705),MONTH(A2705),1)</f>
        <v>43983</v>
      </c>
    </row>
    <row r="2706" customFormat="false" ht="15" hidden="false" customHeight="false" outlineLevel="0" collapsed="false">
      <c r="A2706" s="81" t="n">
        <v>43984</v>
      </c>
      <c r="B2706" s="48" t="n">
        <v>5</v>
      </c>
      <c r="C2706" s="48" t="n">
        <v>0</v>
      </c>
      <c r="D2706" s="48" t="n">
        <v>0</v>
      </c>
      <c r="E2706" s="48" t="s">
        <v>112</v>
      </c>
      <c r="F2706" s="48" t="s">
        <v>70</v>
      </c>
      <c r="G2706" s="48" t="s">
        <v>644</v>
      </c>
      <c r="H2706" s="82" t="n">
        <f aca="false">DATE(YEAR(A2706),MONTH(A2706),1)</f>
        <v>43983</v>
      </c>
    </row>
    <row r="2707" customFormat="false" ht="15" hidden="false" customHeight="false" outlineLevel="0" collapsed="false">
      <c r="A2707" s="81" t="n">
        <v>43984</v>
      </c>
      <c r="B2707" s="48" t="n">
        <v>2</v>
      </c>
      <c r="C2707" s="48" t="n">
        <v>0</v>
      </c>
      <c r="D2707" s="48" t="n">
        <v>1</v>
      </c>
      <c r="E2707" s="48" t="s">
        <v>112</v>
      </c>
      <c r="F2707" s="48" t="s">
        <v>70</v>
      </c>
      <c r="G2707" s="48" t="s">
        <v>637</v>
      </c>
      <c r="H2707" s="82" t="n">
        <f aca="false">DATE(YEAR(A2707),MONTH(A2707),1)</f>
        <v>43983</v>
      </c>
    </row>
    <row r="2708" customFormat="false" ht="15" hidden="false" customHeight="false" outlineLevel="0" collapsed="false">
      <c r="A2708" s="81" t="n">
        <v>43984</v>
      </c>
      <c r="B2708" s="48" t="n">
        <v>13</v>
      </c>
      <c r="C2708" s="48" t="n">
        <v>0</v>
      </c>
      <c r="D2708" s="48" t="n">
        <v>0</v>
      </c>
      <c r="E2708" s="48" t="s">
        <v>112</v>
      </c>
      <c r="F2708" s="48" t="s">
        <v>70</v>
      </c>
      <c r="G2708" s="48" t="s">
        <v>630</v>
      </c>
      <c r="H2708" s="82" t="n">
        <f aca="false">DATE(YEAR(A2708),MONTH(A2708),1)</f>
        <v>43983</v>
      </c>
    </row>
    <row r="2709" customFormat="false" ht="15" hidden="false" customHeight="false" outlineLevel="0" collapsed="false">
      <c r="A2709" s="81" t="n">
        <v>43984</v>
      </c>
      <c r="B2709" s="48" t="n">
        <v>1</v>
      </c>
      <c r="C2709" s="48" t="n">
        <v>0</v>
      </c>
      <c r="D2709" s="48" t="n">
        <v>0</v>
      </c>
      <c r="E2709" s="48" t="s">
        <v>112</v>
      </c>
      <c r="F2709" s="48" t="s">
        <v>70</v>
      </c>
      <c r="G2709" s="48" t="s">
        <v>642</v>
      </c>
      <c r="H2709" s="82" t="n">
        <f aca="false">DATE(YEAR(A2709),MONTH(A2709),1)</f>
        <v>43983</v>
      </c>
    </row>
    <row r="2710" customFormat="false" ht="15" hidden="false" customHeight="false" outlineLevel="0" collapsed="false">
      <c r="A2710" s="81" t="n">
        <v>43984</v>
      </c>
      <c r="B2710" s="48" t="n">
        <v>0</v>
      </c>
      <c r="C2710" s="48" t="n">
        <v>0</v>
      </c>
      <c r="D2710" s="48" t="n">
        <v>0</v>
      </c>
      <c r="E2710" s="48" t="s">
        <v>112</v>
      </c>
      <c r="F2710" s="48" t="s">
        <v>70</v>
      </c>
      <c r="G2710" s="48" t="s">
        <v>671</v>
      </c>
      <c r="H2710" s="82" t="n">
        <f aca="false">DATE(YEAR(A2710),MONTH(A2710),1)</f>
        <v>43983</v>
      </c>
    </row>
    <row r="2711" customFormat="false" ht="15" hidden="false" customHeight="false" outlineLevel="0" collapsed="false">
      <c r="A2711" s="81" t="n">
        <v>43984</v>
      </c>
      <c r="B2711" s="48" t="n">
        <v>27</v>
      </c>
      <c r="C2711" s="48" t="n">
        <v>0</v>
      </c>
      <c r="D2711" s="48" t="n">
        <v>9</v>
      </c>
      <c r="E2711" s="48" t="s">
        <v>112</v>
      </c>
      <c r="F2711" s="48" t="s">
        <v>70</v>
      </c>
      <c r="G2711" s="48" t="s">
        <v>105</v>
      </c>
      <c r="H2711" s="82" t="n">
        <f aca="false">DATE(YEAR(A2711),MONTH(A2711),1)</f>
        <v>43983</v>
      </c>
    </row>
    <row r="2712" customFormat="false" ht="15" hidden="false" customHeight="false" outlineLevel="0" collapsed="false">
      <c r="A2712" s="81" t="n">
        <v>43984</v>
      </c>
      <c r="B2712" s="48" t="n">
        <v>40</v>
      </c>
      <c r="C2712" s="48" t="n">
        <v>0</v>
      </c>
      <c r="D2712" s="48" t="n">
        <v>31</v>
      </c>
      <c r="E2712" s="48" t="s">
        <v>112</v>
      </c>
      <c r="F2712" s="48" t="s">
        <v>70</v>
      </c>
      <c r="G2712" s="48" t="s">
        <v>98</v>
      </c>
      <c r="H2712" s="82" t="n">
        <f aca="false">DATE(YEAR(A2712),MONTH(A2712),1)</f>
        <v>43983</v>
      </c>
    </row>
    <row r="2713" customFormat="false" ht="15" hidden="false" customHeight="false" outlineLevel="0" collapsed="false">
      <c r="A2713" s="81" t="n">
        <v>43984</v>
      </c>
      <c r="B2713" s="48" t="n">
        <v>33</v>
      </c>
      <c r="C2713" s="48" t="n">
        <v>1</v>
      </c>
      <c r="D2713" s="48" t="n">
        <v>3</v>
      </c>
      <c r="E2713" s="48" t="s">
        <v>112</v>
      </c>
      <c r="F2713" s="48" t="s">
        <v>70</v>
      </c>
      <c r="G2713" s="48" t="s">
        <v>592</v>
      </c>
      <c r="H2713" s="82" t="n">
        <f aca="false">DATE(YEAR(A2713),MONTH(A2713),1)</f>
        <v>43983</v>
      </c>
    </row>
    <row r="2714" customFormat="false" ht="15" hidden="false" customHeight="false" outlineLevel="0" collapsed="false">
      <c r="A2714" s="81" t="n">
        <v>43984</v>
      </c>
      <c r="B2714" s="48" t="n">
        <v>50</v>
      </c>
      <c r="C2714" s="48" t="n">
        <v>0</v>
      </c>
      <c r="D2714" s="48" t="n">
        <v>7</v>
      </c>
      <c r="E2714" s="48" t="s">
        <v>112</v>
      </c>
      <c r="F2714" s="48" t="s">
        <v>70</v>
      </c>
      <c r="G2714" s="48" t="s">
        <v>104</v>
      </c>
      <c r="H2714" s="82" t="n">
        <f aca="false">DATE(YEAR(A2714),MONTH(A2714),1)</f>
        <v>43983</v>
      </c>
    </row>
    <row r="2715" customFormat="false" ht="15" hidden="false" customHeight="false" outlineLevel="0" collapsed="false">
      <c r="A2715" s="81" t="n">
        <v>43984</v>
      </c>
      <c r="B2715" s="48" t="n">
        <v>3</v>
      </c>
      <c r="C2715" s="48" t="n">
        <v>0</v>
      </c>
      <c r="D2715" s="48" t="n">
        <v>3</v>
      </c>
      <c r="E2715" s="48" t="s">
        <v>112</v>
      </c>
      <c r="F2715" s="48" t="s">
        <v>70</v>
      </c>
      <c r="G2715" s="48" t="s">
        <v>635</v>
      </c>
      <c r="H2715" s="82" t="n">
        <f aca="false">DATE(YEAR(A2715),MONTH(A2715),1)</f>
        <v>43983</v>
      </c>
    </row>
    <row r="2716" customFormat="false" ht="15" hidden="false" customHeight="false" outlineLevel="0" collapsed="false">
      <c r="A2716" s="81" t="n">
        <v>43984</v>
      </c>
      <c r="B2716" s="48" t="n">
        <v>6</v>
      </c>
      <c r="C2716" s="48" t="n">
        <v>0</v>
      </c>
      <c r="D2716" s="48" t="n">
        <v>6</v>
      </c>
      <c r="E2716" s="48" t="s">
        <v>112</v>
      </c>
      <c r="F2716" s="48" t="s">
        <v>70</v>
      </c>
      <c r="G2716" s="48" t="s">
        <v>616</v>
      </c>
      <c r="H2716" s="82" t="n">
        <f aca="false">DATE(YEAR(A2716),MONTH(A2716),1)</f>
        <v>43983</v>
      </c>
    </row>
    <row r="2717" customFormat="false" ht="15" hidden="false" customHeight="false" outlineLevel="0" collapsed="false">
      <c r="A2717" s="81" t="n">
        <v>43984</v>
      </c>
      <c r="B2717" s="48" t="n">
        <v>1</v>
      </c>
      <c r="C2717" s="48" t="n">
        <v>0</v>
      </c>
      <c r="D2717" s="48" t="n">
        <v>0</v>
      </c>
      <c r="E2717" s="48" t="s">
        <v>112</v>
      </c>
      <c r="F2717" s="48" t="s">
        <v>70</v>
      </c>
      <c r="G2717" s="48" t="s">
        <v>663</v>
      </c>
      <c r="H2717" s="82" t="n">
        <f aca="false">DATE(YEAR(A2717),MONTH(A2717),1)</f>
        <v>43983</v>
      </c>
    </row>
    <row r="2718" customFormat="false" ht="15" hidden="false" customHeight="false" outlineLevel="0" collapsed="false">
      <c r="A2718" s="81" t="n">
        <v>43984</v>
      </c>
      <c r="B2718" s="48" t="n">
        <v>2</v>
      </c>
      <c r="C2718" s="48" t="n">
        <v>0</v>
      </c>
      <c r="D2718" s="48" t="n">
        <v>0</v>
      </c>
      <c r="E2718" s="48" t="s">
        <v>112</v>
      </c>
      <c r="F2718" s="48" t="s">
        <v>70</v>
      </c>
      <c r="G2718" s="48" t="s">
        <v>640</v>
      </c>
      <c r="H2718" s="82" t="n">
        <f aca="false">DATE(YEAR(A2718),MONTH(A2718),1)</f>
        <v>43983</v>
      </c>
    </row>
    <row r="2719" customFormat="false" ht="15" hidden="false" customHeight="false" outlineLevel="0" collapsed="false">
      <c r="A2719" s="81" t="n">
        <v>43984</v>
      </c>
      <c r="B2719" s="48" t="n">
        <v>0</v>
      </c>
      <c r="C2719" s="48" t="n">
        <v>0</v>
      </c>
      <c r="D2719" s="48" t="n">
        <v>2</v>
      </c>
      <c r="E2719" s="48" t="s">
        <v>112</v>
      </c>
      <c r="F2719" s="48" t="s">
        <v>70</v>
      </c>
      <c r="G2719" s="48" t="s">
        <v>639</v>
      </c>
      <c r="H2719" s="82" t="n">
        <f aca="false">DATE(YEAR(A2719),MONTH(A2719),1)</f>
        <v>43983</v>
      </c>
    </row>
    <row r="2720" customFormat="false" ht="15" hidden="false" customHeight="false" outlineLevel="0" collapsed="false">
      <c r="A2720" s="81" t="n">
        <v>43984</v>
      </c>
      <c r="B2720" s="48" t="n">
        <v>1</v>
      </c>
      <c r="C2720" s="48" t="n">
        <v>0</v>
      </c>
      <c r="D2720" s="48" t="n">
        <v>0</v>
      </c>
      <c r="E2720" s="48" t="s">
        <v>112</v>
      </c>
      <c r="F2720" s="48" t="s">
        <v>70</v>
      </c>
      <c r="G2720" s="48" t="s">
        <v>670</v>
      </c>
      <c r="H2720" s="82" t="n">
        <f aca="false">DATE(YEAR(A2720),MONTH(A2720),1)</f>
        <v>43983</v>
      </c>
    </row>
    <row r="2721" customFormat="false" ht="15" hidden="false" customHeight="false" outlineLevel="0" collapsed="false">
      <c r="A2721" s="81" t="n">
        <v>43984</v>
      </c>
      <c r="B2721" s="48" t="n">
        <v>0</v>
      </c>
      <c r="C2721" s="48" t="n">
        <v>0</v>
      </c>
      <c r="D2721" s="48" t="n">
        <v>0</v>
      </c>
      <c r="E2721" s="48" t="s">
        <v>112</v>
      </c>
      <c r="F2721" s="48" t="s">
        <v>70</v>
      </c>
      <c r="G2721" s="48" t="s">
        <v>679</v>
      </c>
      <c r="H2721" s="82" t="n">
        <f aca="false">DATE(YEAR(A2721),MONTH(A2721),1)</f>
        <v>43983</v>
      </c>
    </row>
    <row r="2722" customFormat="false" ht="15" hidden="false" customHeight="false" outlineLevel="0" collapsed="false">
      <c r="A2722" s="81" t="n">
        <v>43984</v>
      </c>
      <c r="B2722" s="48" t="n">
        <v>6</v>
      </c>
      <c r="C2722" s="48" t="n">
        <v>1</v>
      </c>
      <c r="D2722" s="48" t="n">
        <v>9</v>
      </c>
      <c r="E2722" s="48" t="s">
        <v>112</v>
      </c>
      <c r="F2722" s="48" t="s">
        <v>70</v>
      </c>
      <c r="G2722" s="48" t="s">
        <v>601</v>
      </c>
      <c r="H2722" s="82" t="n">
        <f aca="false">DATE(YEAR(A2722),MONTH(A2722),1)</f>
        <v>43983</v>
      </c>
    </row>
    <row r="2723" customFormat="false" ht="15" hidden="false" customHeight="false" outlineLevel="0" collapsed="false">
      <c r="A2723" s="81" t="n">
        <v>43984</v>
      </c>
      <c r="B2723" s="48" t="n">
        <v>3</v>
      </c>
      <c r="C2723" s="48" t="n">
        <v>0</v>
      </c>
      <c r="D2723" s="48" t="n">
        <v>4</v>
      </c>
      <c r="E2723" s="48" t="s">
        <v>112</v>
      </c>
      <c r="F2723" s="48" t="s">
        <v>70</v>
      </c>
      <c r="G2723" s="48" t="s">
        <v>623</v>
      </c>
      <c r="H2723" s="82" t="n">
        <f aca="false">DATE(YEAR(A2723),MONTH(A2723),1)</f>
        <v>43983</v>
      </c>
    </row>
    <row r="2724" customFormat="false" ht="15" hidden="false" customHeight="false" outlineLevel="0" collapsed="false">
      <c r="A2724" s="81" t="n">
        <v>43984</v>
      </c>
      <c r="B2724" s="48" t="n">
        <v>7</v>
      </c>
      <c r="C2724" s="48" t="n">
        <v>0</v>
      </c>
      <c r="D2724" s="48" t="n">
        <v>0</v>
      </c>
      <c r="E2724" s="48" t="s">
        <v>112</v>
      </c>
      <c r="F2724" s="48" t="s">
        <v>70</v>
      </c>
      <c r="G2724" s="48" t="s">
        <v>636</v>
      </c>
      <c r="H2724" s="82" t="n">
        <f aca="false">DATE(YEAR(A2724),MONTH(A2724),1)</f>
        <v>43983</v>
      </c>
    </row>
    <row r="2725" customFormat="false" ht="15" hidden="false" customHeight="false" outlineLevel="0" collapsed="false">
      <c r="A2725" s="81" t="n">
        <v>43984</v>
      </c>
      <c r="B2725" s="48" t="n">
        <v>13</v>
      </c>
      <c r="C2725" s="48" t="n">
        <v>1</v>
      </c>
      <c r="D2725" s="48" t="n">
        <v>0</v>
      </c>
      <c r="E2725" s="48" t="s">
        <v>112</v>
      </c>
      <c r="F2725" s="48" t="s">
        <v>76</v>
      </c>
      <c r="G2725" s="48" t="s">
        <v>595</v>
      </c>
      <c r="H2725" s="82" t="n">
        <f aca="false">DATE(YEAR(A2725),MONTH(A2725),1)</f>
        <v>43983</v>
      </c>
    </row>
    <row r="2726" customFormat="false" ht="15" hidden="false" customHeight="false" outlineLevel="0" collapsed="false">
      <c r="A2726" s="81" t="n">
        <v>43984</v>
      </c>
      <c r="B2726" s="48" t="n">
        <v>405</v>
      </c>
      <c r="C2726" s="48" t="n">
        <v>0</v>
      </c>
      <c r="D2726" s="48" t="n">
        <v>168</v>
      </c>
      <c r="E2726" s="48" t="s">
        <v>112</v>
      </c>
      <c r="F2726" s="48" t="s">
        <v>73</v>
      </c>
      <c r="G2726" s="48" t="s">
        <v>93</v>
      </c>
      <c r="H2726" s="82" t="n">
        <f aca="false">DATE(YEAR(A2726),MONTH(A2726),1)</f>
        <v>43983</v>
      </c>
    </row>
    <row r="2727" customFormat="false" ht="15" hidden="false" customHeight="false" outlineLevel="0" collapsed="false">
      <c r="A2727" s="81" t="n">
        <v>43984</v>
      </c>
      <c r="B2727" s="48" t="n">
        <v>1639</v>
      </c>
      <c r="C2727" s="48" t="n">
        <v>30</v>
      </c>
      <c r="D2727" s="48" t="n">
        <v>353</v>
      </c>
      <c r="E2727" s="48" t="s">
        <v>112</v>
      </c>
      <c r="F2727" s="48" t="s">
        <v>71</v>
      </c>
      <c r="G2727" s="48" t="s">
        <v>92</v>
      </c>
      <c r="H2727" s="82" t="n">
        <f aca="false">DATE(YEAR(A2727),MONTH(A2727),1)</f>
        <v>43983</v>
      </c>
    </row>
    <row r="2728" customFormat="false" ht="15" hidden="false" customHeight="false" outlineLevel="0" collapsed="false">
      <c r="A2728" s="81" t="n">
        <v>43985</v>
      </c>
      <c r="B2728" s="48" t="n">
        <v>356</v>
      </c>
      <c r="C2728" s="48" t="n">
        <v>4</v>
      </c>
      <c r="D2728" s="48" t="n">
        <v>119</v>
      </c>
      <c r="E2728" s="48" t="s">
        <v>112</v>
      </c>
      <c r="F2728" s="48" t="s">
        <v>74</v>
      </c>
      <c r="G2728" s="48" t="s">
        <v>95</v>
      </c>
      <c r="H2728" s="82" t="n">
        <f aca="false">DATE(YEAR(A2728),MONTH(A2728),1)</f>
        <v>43983</v>
      </c>
    </row>
    <row r="2729" customFormat="false" ht="15" hidden="false" customHeight="false" outlineLevel="0" collapsed="false">
      <c r="A2729" s="81" t="n">
        <v>43985</v>
      </c>
      <c r="B2729" s="48" t="n">
        <v>3</v>
      </c>
      <c r="C2729" s="48" t="n">
        <v>0</v>
      </c>
      <c r="D2729" s="48" t="n">
        <v>0</v>
      </c>
      <c r="E2729" s="48" t="s">
        <v>112</v>
      </c>
      <c r="F2729" s="48" t="s">
        <v>75</v>
      </c>
      <c r="G2729" s="48" t="s">
        <v>617</v>
      </c>
      <c r="H2729" s="82" t="n">
        <f aca="false">DATE(YEAR(A2729),MONTH(A2729),1)</f>
        <v>43983</v>
      </c>
    </row>
    <row r="2730" customFormat="false" ht="15" hidden="false" customHeight="false" outlineLevel="0" collapsed="false">
      <c r="A2730" s="81" t="n">
        <v>43985</v>
      </c>
      <c r="B2730" s="48" t="n">
        <v>7</v>
      </c>
      <c r="C2730" s="48" t="n">
        <v>0</v>
      </c>
      <c r="D2730" s="48" t="n">
        <v>0</v>
      </c>
      <c r="E2730" s="48" t="s">
        <v>112</v>
      </c>
      <c r="F2730" s="48" t="s">
        <v>75</v>
      </c>
      <c r="G2730" s="48" t="s">
        <v>650</v>
      </c>
      <c r="H2730" s="82" t="n">
        <f aca="false">DATE(YEAR(A2730),MONTH(A2730),1)</f>
        <v>43983</v>
      </c>
    </row>
    <row r="2731" customFormat="false" ht="15" hidden="false" customHeight="false" outlineLevel="0" collapsed="false">
      <c r="A2731" s="81" t="n">
        <v>43985</v>
      </c>
      <c r="B2731" s="48" t="n">
        <v>22</v>
      </c>
      <c r="C2731" s="48" t="n">
        <v>0</v>
      </c>
      <c r="D2731" s="48" t="n">
        <v>0</v>
      </c>
      <c r="E2731" s="48" t="s">
        <v>112</v>
      </c>
      <c r="F2731" s="48" t="s">
        <v>75</v>
      </c>
      <c r="G2731" s="48" t="s">
        <v>103</v>
      </c>
      <c r="H2731" s="82" t="n">
        <f aca="false">DATE(YEAR(A2731),MONTH(A2731),1)</f>
        <v>43983</v>
      </c>
    </row>
    <row r="2732" customFormat="false" ht="15" hidden="false" customHeight="false" outlineLevel="0" collapsed="false">
      <c r="A2732" s="81" t="n">
        <v>43985</v>
      </c>
      <c r="B2732" s="48" t="n">
        <v>3</v>
      </c>
      <c r="C2732" s="48" t="n">
        <v>0</v>
      </c>
      <c r="D2732" s="48" t="n">
        <v>0</v>
      </c>
      <c r="E2732" s="48" t="s">
        <v>112</v>
      </c>
      <c r="F2732" s="48" t="s">
        <v>75</v>
      </c>
      <c r="G2732" s="48" t="s">
        <v>654</v>
      </c>
      <c r="H2732" s="82" t="n">
        <f aca="false">DATE(YEAR(A2732),MONTH(A2732),1)</f>
        <v>43983</v>
      </c>
    </row>
    <row r="2733" customFormat="false" ht="15" hidden="false" customHeight="false" outlineLevel="0" collapsed="false">
      <c r="A2733" s="81" t="n">
        <v>43985</v>
      </c>
      <c r="B2733" s="48" t="n">
        <v>11</v>
      </c>
      <c r="C2733" s="48" t="n">
        <v>0</v>
      </c>
      <c r="D2733" s="48" t="n">
        <v>0</v>
      </c>
      <c r="E2733" s="48" t="s">
        <v>112</v>
      </c>
      <c r="F2733" s="48" t="s">
        <v>75</v>
      </c>
      <c r="G2733" s="48" t="s">
        <v>624</v>
      </c>
      <c r="H2733" s="82" t="n">
        <f aca="false">DATE(YEAR(A2733),MONTH(A2733),1)</f>
        <v>43983</v>
      </c>
    </row>
    <row r="2734" customFormat="false" ht="15" hidden="false" customHeight="false" outlineLevel="0" collapsed="false">
      <c r="A2734" s="81" t="n">
        <v>43985</v>
      </c>
      <c r="B2734" s="48" t="n">
        <v>0</v>
      </c>
      <c r="C2734" s="48" t="n">
        <v>0</v>
      </c>
      <c r="D2734" s="48" t="n">
        <v>3</v>
      </c>
      <c r="E2734" s="48" t="s">
        <v>112</v>
      </c>
      <c r="F2734" s="48" t="s">
        <v>75</v>
      </c>
      <c r="G2734" s="48" t="s">
        <v>629</v>
      </c>
      <c r="H2734" s="82" t="n">
        <f aca="false">DATE(YEAR(A2734),MONTH(A2734),1)</f>
        <v>43983</v>
      </c>
    </row>
    <row r="2735" customFormat="false" ht="15" hidden="false" customHeight="false" outlineLevel="0" collapsed="false">
      <c r="A2735" s="81" t="n">
        <v>43985</v>
      </c>
      <c r="B2735" s="48" t="n">
        <v>145</v>
      </c>
      <c r="C2735" s="48" t="n">
        <v>6</v>
      </c>
      <c r="D2735" s="48" t="n">
        <v>11</v>
      </c>
      <c r="E2735" s="48" t="s">
        <v>112</v>
      </c>
      <c r="F2735" s="48" t="s">
        <v>72</v>
      </c>
      <c r="G2735" s="48" t="s">
        <v>94</v>
      </c>
      <c r="H2735" s="82" t="n">
        <f aca="false">DATE(YEAR(A2735),MONTH(A2735),1)</f>
        <v>43983</v>
      </c>
    </row>
    <row r="2736" customFormat="false" ht="15" hidden="false" customHeight="false" outlineLevel="0" collapsed="false">
      <c r="A2736" s="81" t="n">
        <v>43985</v>
      </c>
      <c r="B2736" s="48" t="n">
        <v>6</v>
      </c>
      <c r="C2736" s="48" t="n">
        <v>0</v>
      </c>
      <c r="D2736" s="48" t="n">
        <v>7</v>
      </c>
      <c r="E2736" s="48" t="s">
        <v>112</v>
      </c>
      <c r="F2736" s="48" t="s">
        <v>72</v>
      </c>
      <c r="G2736" s="48" t="s">
        <v>597</v>
      </c>
      <c r="H2736" s="82" t="n">
        <f aca="false">DATE(YEAR(A2736),MONTH(A2736),1)</f>
        <v>43983</v>
      </c>
    </row>
    <row r="2737" customFormat="false" ht="15" hidden="false" customHeight="false" outlineLevel="0" collapsed="false">
      <c r="A2737" s="81" t="n">
        <v>43985</v>
      </c>
      <c r="B2737" s="48" t="n">
        <v>24</v>
      </c>
      <c r="C2737" s="48" t="n">
        <v>2</v>
      </c>
      <c r="D2737" s="48" t="n">
        <v>9</v>
      </c>
      <c r="E2737" s="48" t="s">
        <v>112</v>
      </c>
      <c r="F2737" s="48" t="s">
        <v>72</v>
      </c>
      <c r="G2737" s="48" t="s">
        <v>594</v>
      </c>
      <c r="H2737" s="82" t="n">
        <f aca="false">DATE(YEAR(A2737),MONTH(A2737),1)</f>
        <v>43983</v>
      </c>
    </row>
    <row r="2738" customFormat="false" ht="15" hidden="false" customHeight="false" outlineLevel="0" collapsed="false">
      <c r="A2738" s="81" t="n">
        <v>43985</v>
      </c>
      <c r="B2738" s="48" t="n">
        <v>23</v>
      </c>
      <c r="C2738" s="48" t="n">
        <v>1</v>
      </c>
      <c r="D2738" s="48" t="n">
        <v>6</v>
      </c>
      <c r="E2738" s="48" t="s">
        <v>112</v>
      </c>
      <c r="F2738" s="48" t="s">
        <v>72</v>
      </c>
      <c r="G2738" s="48" t="s">
        <v>599</v>
      </c>
      <c r="H2738" s="82" t="n">
        <f aca="false">DATE(YEAR(A2738),MONTH(A2738),1)</f>
        <v>43983</v>
      </c>
    </row>
    <row r="2739" customFormat="false" ht="15" hidden="false" customHeight="false" outlineLevel="0" collapsed="false">
      <c r="A2739" s="81" t="n">
        <v>43985</v>
      </c>
      <c r="B2739" s="48" t="n">
        <v>0</v>
      </c>
      <c r="C2739" s="48" t="n">
        <v>0</v>
      </c>
      <c r="D2739" s="48" t="n">
        <v>0</v>
      </c>
      <c r="E2739" s="48" t="s">
        <v>112</v>
      </c>
      <c r="F2739" s="48" t="s">
        <v>72</v>
      </c>
      <c r="G2739" s="48" t="s">
        <v>656</v>
      </c>
      <c r="H2739" s="82" t="n">
        <f aca="false">DATE(YEAR(A2739),MONTH(A2739),1)</f>
        <v>43983</v>
      </c>
    </row>
    <row r="2740" customFormat="false" ht="15" hidden="false" customHeight="false" outlineLevel="0" collapsed="false">
      <c r="A2740" s="81" t="n">
        <v>43985</v>
      </c>
      <c r="B2740" s="48" t="n">
        <v>11</v>
      </c>
      <c r="C2740" s="48" t="n">
        <v>0</v>
      </c>
      <c r="D2740" s="48" t="n">
        <v>3</v>
      </c>
      <c r="E2740" s="48" t="s">
        <v>112</v>
      </c>
      <c r="F2740" s="48" t="s">
        <v>72</v>
      </c>
      <c r="G2740" s="48" t="s">
        <v>102</v>
      </c>
      <c r="H2740" s="82" t="n">
        <f aca="false">DATE(YEAR(A2740),MONTH(A2740),1)</f>
        <v>43983</v>
      </c>
    </row>
    <row r="2741" customFormat="false" ht="15" hidden="false" customHeight="false" outlineLevel="0" collapsed="false">
      <c r="A2741" s="81" t="n">
        <v>43985</v>
      </c>
      <c r="B2741" s="48" t="n">
        <v>8</v>
      </c>
      <c r="C2741" s="48" t="n">
        <v>0</v>
      </c>
      <c r="D2741" s="48" t="n">
        <v>0</v>
      </c>
      <c r="E2741" s="48" t="s">
        <v>112</v>
      </c>
      <c r="F2741" s="48" t="s">
        <v>72</v>
      </c>
      <c r="G2741" s="48" t="s">
        <v>611</v>
      </c>
      <c r="H2741" s="82" t="n">
        <f aca="false">DATE(YEAR(A2741),MONTH(A2741),1)</f>
        <v>43983</v>
      </c>
    </row>
    <row r="2742" customFormat="false" ht="15" hidden="false" customHeight="false" outlineLevel="0" collapsed="false">
      <c r="A2742" s="81" t="n">
        <v>43985</v>
      </c>
      <c r="B2742" s="48" t="n">
        <v>53</v>
      </c>
      <c r="C2742" s="48" t="n">
        <v>0</v>
      </c>
      <c r="D2742" s="48" t="n">
        <v>8</v>
      </c>
      <c r="E2742" s="48" t="s">
        <v>112</v>
      </c>
      <c r="F2742" s="48" t="s">
        <v>72</v>
      </c>
      <c r="G2742" s="48" t="s">
        <v>96</v>
      </c>
      <c r="H2742" s="82" t="n">
        <f aca="false">DATE(YEAR(A2742),MONTH(A2742),1)</f>
        <v>43983</v>
      </c>
    </row>
    <row r="2743" customFormat="false" ht="15" hidden="false" customHeight="false" outlineLevel="0" collapsed="false">
      <c r="A2743" s="81" t="n">
        <v>43985</v>
      </c>
      <c r="B2743" s="48" t="n">
        <v>7</v>
      </c>
      <c r="C2743" s="48" t="n">
        <v>0</v>
      </c>
      <c r="D2743" s="48" t="n">
        <v>1</v>
      </c>
      <c r="E2743" s="48" t="s">
        <v>112</v>
      </c>
      <c r="F2743" s="48" t="s">
        <v>72</v>
      </c>
      <c r="G2743" s="48" t="s">
        <v>603</v>
      </c>
      <c r="H2743" s="82" t="n">
        <f aca="false">DATE(YEAR(A2743),MONTH(A2743),1)</f>
        <v>43983</v>
      </c>
    </row>
    <row r="2744" customFormat="false" ht="15" hidden="false" customHeight="false" outlineLevel="0" collapsed="false">
      <c r="A2744" s="81" t="n">
        <v>43985</v>
      </c>
      <c r="B2744" s="48" t="n">
        <v>2</v>
      </c>
      <c r="C2744" s="48" t="n">
        <v>0</v>
      </c>
      <c r="D2744" s="48" t="n">
        <v>0</v>
      </c>
      <c r="E2744" s="48" t="s">
        <v>112</v>
      </c>
      <c r="F2744" s="48" t="s">
        <v>72</v>
      </c>
      <c r="G2744" s="48" t="s">
        <v>591</v>
      </c>
      <c r="H2744" s="82" t="n">
        <f aca="false">DATE(YEAR(A2744),MONTH(A2744),1)</f>
        <v>43983</v>
      </c>
    </row>
    <row r="2745" customFormat="false" ht="15" hidden="false" customHeight="false" outlineLevel="0" collapsed="false">
      <c r="A2745" s="81" t="n">
        <v>43985</v>
      </c>
      <c r="B2745" s="48" t="n">
        <v>44</v>
      </c>
      <c r="C2745" s="48" t="n">
        <v>0</v>
      </c>
      <c r="D2745" s="48" t="n">
        <v>3</v>
      </c>
      <c r="E2745" s="48" t="s">
        <v>112</v>
      </c>
      <c r="F2745" s="48" t="s">
        <v>72</v>
      </c>
      <c r="G2745" s="48" t="s">
        <v>598</v>
      </c>
      <c r="H2745" s="82" t="n">
        <f aca="false">DATE(YEAR(A2745),MONTH(A2745),1)</f>
        <v>43983</v>
      </c>
    </row>
    <row r="2746" customFormat="false" ht="15" hidden="false" customHeight="false" outlineLevel="0" collapsed="false">
      <c r="A2746" s="81" t="n">
        <v>43985</v>
      </c>
      <c r="B2746" s="48" t="n">
        <v>0</v>
      </c>
      <c r="C2746" s="48" t="n">
        <v>0</v>
      </c>
      <c r="D2746" s="48" t="n">
        <v>0</v>
      </c>
      <c r="E2746" s="48" t="s">
        <v>112</v>
      </c>
      <c r="F2746" s="48" t="s">
        <v>72</v>
      </c>
      <c r="G2746" s="48" t="s">
        <v>609</v>
      </c>
      <c r="H2746" s="82" t="n">
        <f aca="false">DATE(YEAR(A2746),MONTH(A2746),1)</f>
        <v>43983</v>
      </c>
    </row>
    <row r="2747" customFormat="false" ht="15" hidden="false" customHeight="false" outlineLevel="0" collapsed="false">
      <c r="A2747" s="81" t="n">
        <v>43985</v>
      </c>
      <c r="B2747" s="48" t="n">
        <v>33</v>
      </c>
      <c r="C2747" s="48" t="n">
        <v>0</v>
      </c>
      <c r="D2747" s="48" t="n">
        <v>6</v>
      </c>
      <c r="E2747" s="48" t="s">
        <v>112</v>
      </c>
      <c r="F2747" s="48" t="s">
        <v>72</v>
      </c>
      <c r="G2747" s="48" t="s">
        <v>101</v>
      </c>
      <c r="H2747" s="82" t="n">
        <f aca="false">DATE(YEAR(A2747),MONTH(A2747),1)</f>
        <v>43983</v>
      </c>
    </row>
    <row r="2748" customFormat="false" ht="15" hidden="false" customHeight="false" outlineLevel="0" collapsed="false">
      <c r="A2748" s="81" t="n">
        <v>43985</v>
      </c>
      <c r="B2748" s="48" t="n">
        <v>2</v>
      </c>
      <c r="C2748" s="48" t="n">
        <v>0</v>
      </c>
      <c r="D2748" s="48" t="n">
        <v>1</v>
      </c>
      <c r="E2748" s="48" t="s">
        <v>112</v>
      </c>
      <c r="F2748" s="48" t="s">
        <v>72</v>
      </c>
      <c r="G2748" s="48" t="s">
        <v>643</v>
      </c>
      <c r="H2748" s="82" t="n">
        <f aca="false">DATE(YEAR(A2748),MONTH(A2748),1)</f>
        <v>43983</v>
      </c>
    </row>
    <row r="2749" customFormat="false" ht="15" hidden="false" customHeight="false" outlineLevel="0" collapsed="false">
      <c r="A2749" s="81" t="n">
        <v>43985</v>
      </c>
      <c r="B2749" s="48" t="n">
        <v>5</v>
      </c>
      <c r="C2749" s="48" t="n">
        <v>0</v>
      </c>
      <c r="D2749" s="48" t="n">
        <v>2</v>
      </c>
      <c r="E2749" s="48" t="s">
        <v>112</v>
      </c>
      <c r="F2749" s="48" t="s">
        <v>72</v>
      </c>
      <c r="G2749" s="48" t="s">
        <v>662</v>
      </c>
      <c r="H2749" s="82" t="n">
        <f aca="false">DATE(YEAR(A2749),MONTH(A2749),1)</f>
        <v>43983</v>
      </c>
    </row>
    <row r="2750" customFormat="false" ht="15" hidden="false" customHeight="false" outlineLevel="0" collapsed="false">
      <c r="A2750" s="81" t="n">
        <v>43985</v>
      </c>
      <c r="B2750" s="48" t="n">
        <v>24</v>
      </c>
      <c r="C2750" s="48" t="n">
        <v>0</v>
      </c>
      <c r="D2750" s="48" t="n">
        <v>0</v>
      </c>
      <c r="E2750" s="48" t="s">
        <v>112</v>
      </c>
      <c r="F2750" s="48" t="s">
        <v>72</v>
      </c>
      <c r="G2750" s="48" t="s">
        <v>600</v>
      </c>
      <c r="H2750" s="82" t="n">
        <f aca="false">DATE(YEAR(A2750),MONTH(A2750),1)</f>
        <v>43983</v>
      </c>
    </row>
    <row r="2751" customFormat="false" ht="15" hidden="false" customHeight="false" outlineLevel="0" collapsed="false">
      <c r="A2751" s="81" t="n">
        <v>43985</v>
      </c>
      <c r="B2751" s="48" t="n">
        <v>0</v>
      </c>
      <c r="C2751" s="48" t="n">
        <v>0</v>
      </c>
      <c r="D2751" s="48" t="n">
        <v>0</v>
      </c>
      <c r="E2751" s="48" t="s">
        <v>112</v>
      </c>
      <c r="F2751" s="48" t="s">
        <v>72</v>
      </c>
      <c r="G2751" s="48" t="s">
        <v>610</v>
      </c>
      <c r="H2751" s="82" t="n">
        <f aca="false">DATE(YEAR(A2751),MONTH(A2751),1)</f>
        <v>43983</v>
      </c>
    </row>
    <row r="2752" customFormat="false" ht="15" hidden="false" customHeight="false" outlineLevel="0" collapsed="false">
      <c r="A2752" s="81" t="n">
        <v>43985</v>
      </c>
      <c r="B2752" s="48" t="n">
        <v>7</v>
      </c>
      <c r="C2752" s="48" t="n">
        <v>1</v>
      </c>
      <c r="D2752" s="48" t="n">
        <v>0</v>
      </c>
      <c r="E2752" s="48" t="s">
        <v>112</v>
      </c>
      <c r="F2752" s="48" t="s">
        <v>72</v>
      </c>
      <c r="G2752" s="48" t="s">
        <v>593</v>
      </c>
      <c r="H2752" s="82" t="n">
        <f aca="false">DATE(YEAR(A2752),MONTH(A2752),1)</f>
        <v>43983</v>
      </c>
    </row>
    <row r="2753" customFormat="false" ht="15" hidden="false" customHeight="false" outlineLevel="0" collapsed="false">
      <c r="A2753" s="81" t="n">
        <v>43985</v>
      </c>
      <c r="B2753" s="48" t="n">
        <v>19</v>
      </c>
      <c r="C2753" s="48" t="n">
        <v>0</v>
      </c>
      <c r="D2753" s="48" t="n">
        <v>0</v>
      </c>
      <c r="E2753" s="48" t="s">
        <v>112</v>
      </c>
      <c r="F2753" s="48" t="s">
        <v>72</v>
      </c>
      <c r="G2753" s="48" t="s">
        <v>612</v>
      </c>
      <c r="H2753" s="82" t="n">
        <f aca="false">DATE(YEAR(A2753),MONTH(A2753),1)</f>
        <v>43983</v>
      </c>
    </row>
    <row r="2754" customFormat="false" ht="15" hidden="false" customHeight="false" outlineLevel="0" collapsed="false">
      <c r="A2754" s="81" t="n">
        <v>43985</v>
      </c>
      <c r="B2754" s="48" t="n">
        <v>0</v>
      </c>
      <c r="C2754" s="48" t="n">
        <v>0</v>
      </c>
      <c r="D2754" s="48" t="n">
        <v>0</v>
      </c>
      <c r="E2754" s="48" t="s">
        <v>112</v>
      </c>
      <c r="F2754" s="48" t="s">
        <v>72</v>
      </c>
      <c r="G2754" s="48" t="s">
        <v>685</v>
      </c>
      <c r="H2754" s="82" t="n">
        <f aca="false">DATE(YEAR(A2754),MONTH(A2754),1)</f>
        <v>43983</v>
      </c>
    </row>
    <row r="2755" customFormat="false" ht="15" hidden="false" customHeight="false" outlineLevel="0" collapsed="false">
      <c r="A2755" s="81" t="n">
        <v>43985</v>
      </c>
      <c r="B2755" s="48" t="n">
        <v>0</v>
      </c>
      <c r="C2755" s="48" t="n">
        <v>0</v>
      </c>
      <c r="D2755" s="48" t="n">
        <v>0</v>
      </c>
      <c r="E2755" s="48" t="s">
        <v>112</v>
      </c>
      <c r="F2755" s="48" t="s">
        <v>72</v>
      </c>
      <c r="G2755" s="48" t="s">
        <v>687</v>
      </c>
      <c r="H2755" s="82" t="n">
        <f aca="false">DATE(YEAR(A2755),MONTH(A2755),1)</f>
        <v>43983</v>
      </c>
    </row>
    <row r="2756" customFormat="false" ht="15" hidden="false" customHeight="false" outlineLevel="0" collapsed="false">
      <c r="A2756" s="81" t="n">
        <v>43985</v>
      </c>
      <c r="B2756" s="48" t="n">
        <v>0</v>
      </c>
      <c r="C2756" s="48" t="n">
        <v>0</v>
      </c>
      <c r="D2756" s="48" t="n">
        <v>0</v>
      </c>
      <c r="E2756" s="48" t="s">
        <v>112</v>
      </c>
      <c r="F2756" s="48" t="s">
        <v>72</v>
      </c>
      <c r="G2756" s="48" t="s">
        <v>682</v>
      </c>
      <c r="H2756" s="82" t="n">
        <f aca="false">DATE(YEAR(A2756),MONTH(A2756),1)</f>
        <v>43983</v>
      </c>
    </row>
    <row r="2757" customFormat="false" ht="15" hidden="false" customHeight="false" outlineLevel="0" collapsed="false">
      <c r="A2757" s="81" t="n">
        <v>43985</v>
      </c>
      <c r="B2757" s="48" t="n">
        <v>0</v>
      </c>
      <c r="C2757" s="48" t="n">
        <v>0</v>
      </c>
      <c r="D2757" s="48" t="n">
        <v>0</v>
      </c>
      <c r="E2757" s="48" t="s">
        <v>112</v>
      </c>
      <c r="F2757" s="48" t="s">
        <v>72</v>
      </c>
      <c r="G2757" s="48" t="s">
        <v>692</v>
      </c>
      <c r="H2757" s="82" t="n">
        <f aca="false">DATE(YEAR(A2757),MONTH(A2757),1)</f>
        <v>43983</v>
      </c>
    </row>
    <row r="2758" customFormat="false" ht="15" hidden="false" customHeight="false" outlineLevel="0" collapsed="false">
      <c r="A2758" s="81" t="n">
        <v>43985</v>
      </c>
      <c r="B2758" s="48" t="n">
        <v>17</v>
      </c>
      <c r="C2758" s="48" t="n">
        <v>0</v>
      </c>
      <c r="D2758" s="48" t="n">
        <v>1</v>
      </c>
      <c r="E2758" s="48" t="s">
        <v>112</v>
      </c>
      <c r="F2758" s="48" t="s">
        <v>72</v>
      </c>
      <c r="G2758" s="48" t="s">
        <v>613</v>
      </c>
      <c r="H2758" s="82" t="n">
        <f aca="false">DATE(YEAR(A2758),MONTH(A2758),1)</f>
        <v>43983</v>
      </c>
    </row>
    <row r="2759" customFormat="false" ht="15" hidden="false" customHeight="false" outlineLevel="0" collapsed="false">
      <c r="A2759" s="81" t="n">
        <v>43985</v>
      </c>
      <c r="B2759" s="48" t="n">
        <v>1</v>
      </c>
      <c r="C2759" s="48" t="n">
        <v>0</v>
      </c>
      <c r="D2759" s="48" t="n">
        <v>0</v>
      </c>
      <c r="E2759" s="48" t="s">
        <v>112</v>
      </c>
      <c r="F2759" s="48" t="s">
        <v>72</v>
      </c>
      <c r="G2759" s="48" t="s">
        <v>614</v>
      </c>
      <c r="H2759" s="82" t="n">
        <f aca="false">DATE(YEAR(A2759),MONTH(A2759),1)</f>
        <v>43983</v>
      </c>
    </row>
    <row r="2760" customFormat="false" ht="15" hidden="false" customHeight="false" outlineLevel="0" collapsed="false">
      <c r="A2760" s="81" t="n">
        <v>43985</v>
      </c>
      <c r="B2760" s="48" t="n">
        <v>0</v>
      </c>
      <c r="C2760" s="48" t="n">
        <v>0</v>
      </c>
      <c r="D2760" s="48" t="n">
        <v>0</v>
      </c>
      <c r="E2760" s="48" t="s">
        <v>112</v>
      </c>
      <c r="F2760" s="48" t="s">
        <v>72</v>
      </c>
      <c r="G2760" s="48" t="s">
        <v>655</v>
      </c>
      <c r="H2760" s="82" t="n">
        <f aca="false">DATE(YEAR(A2760),MONTH(A2760),1)</f>
        <v>43983</v>
      </c>
    </row>
    <row r="2761" customFormat="false" ht="15" hidden="false" customHeight="false" outlineLevel="0" collapsed="false">
      <c r="A2761" s="81" t="n">
        <v>43985</v>
      </c>
      <c r="B2761" s="48" t="n">
        <v>0</v>
      </c>
      <c r="C2761" s="48" t="n">
        <v>0</v>
      </c>
      <c r="D2761" s="48" t="n">
        <v>0</v>
      </c>
      <c r="E2761" s="48" t="s">
        <v>112</v>
      </c>
      <c r="F2761" s="48" t="s">
        <v>72</v>
      </c>
      <c r="G2761" s="48" t="s">
        <v>608</v>
      </c>
      <c r="H2761" s="82" t="n">
        <f aca="false">DATE(YEAR(A2761),MONTH(A2761),1)</f>
        <v>43983</v>
      </c>
    </row>
    <row r="2762" customFormat="false" ht="15" hidden="false" customHeight="false" outlineLevel="0" collapsed="false">
      <c r="A2762" s="81" t="n">
        <v>43985</v>
      </c>
      <c r="B2762" s="48" t="n">
        <v>23</v>
      </c>
      <c r="C2762" s="48" t="n">
        <v>0</v>
      </c>
      <c r="D2762" s="48" t="n">
        <v>2</v>
      </c>
      <c r="E2762" s="48" t="s">
        <v>112</v>
      </c>
      <c r="F2762" s="48" t="s">
        <v>72</v>
      </c>
      <c r="G2762" s="48" t="s">
        <v>615</v>
      </c>
      <c r="H2762" s="82" t="n">
        <f aca="false">DATE(YEAR(A2762),MONTH(A2762),1)</f>
        <v>43983</v>
      </c>
    </row>
    <row r="2763" customFormat="false" ht="15" hidden="false" customHeight="false" outlineLevel="0" collapsed="false">
      <c r="A2763" s="81" t="n">
        <v>43985</v>
      </c>
      <c r="B2763" s="48" t="n">
        <v>0</v>
      </c>
      <c r="C2763" s="48" t="n">
        <v>0</v>
      </c>
      <c r="D2763" s="48" t="n">
        <v>0</v>
      </c>
      <c r="E2763" s="48" t="s">
        <v>112</v>
      </c>
      <c r="F2763" s="48" t="s">
        <v>72</v>
      </c>
      <c r="G2763" s="48" t="s">
        <v>666</v>
      </c>
      <c r="H2763" s="82" t="n">
        <f aca="false">DATE(YEAR(A2763),MONTH(A2763),1)</f>
        <v>43983</v>
      </c>
    </row>
    <row r="2764" customFormat="false" ht="15" hidden="false" customHeight="false" outlineLevel="0" collapsed="false">
      <c r="A2764" s="81" t="n">
        <v>43985</v>
      </c>
      <c r="B2764" s="48" t="n">
        <v>0</v>
      </c>
      <c r="C2764" s="48" t="n">
        <v>0</v>
      </c>
      <c r="D2764" s="48" t="n">
        <v>0</v>
      </c>
      <c r="E2764" s="48" t="s">
        <v>112</v>
      </c>
      <c r="F2764" s="48" t="s">
        <v>72</v>
      </c>
      <c r="G2764" s="48" t="s">
        <v>621</v>
      </c>
      <c r="H2764" s="82" t="n">
        <f aca="false">DATE(YEAR(A2764),MONTH(A2764),1)</f>
        <v>43983</v>
      </c>
    </row>
    <row r="2765" customFormat="false" ht="15" hidden="false" customHeight="false" outlineLevel="0" collapsed="false">
      <c r="A2765" s="81" t="n">
        <v>43985</v>
      </c>
      <c r="B2765" s="48" t="n">
        <v>0</v>
      </c>
      <c r="C2765" s="48" t="n">
        <v>0</v>
      </c>
      <c r="D2765" s="48" t="n">
        <v>1</v>
      </c>
      <c r="E2765" s="48" t="s">
        <v>112</v>
      </c>
      <c r="F2765" s="48" t="s">
        <v>72</v>
      </c>
      <c r="G2765" s="48" t="s">
        <v>664</v>
      </c>
      <c r="H2765" s="82" t="n">
        <f aca="false">DATE(YEAR(A2765),MONTH(A2765),1)</f>
        <v>43983</v>
      </c>
    </row>
    <row r="2766" customFormat="false" ht="15" hidden="false" customHeight="false" outlineLevel="0" collapsed="false">
      <c r="A2766" s="81" t="n">
        <v>43985</v>
      </c>
      <c r="B2766" s="48" t="n">
        <v>0</v>
      </c>
      <c r="C2766" s="48" t="n">
        <v>0</v>
      </c>
      <c r="D2766" s="48" t="n">
        <v>0</v>
      </c>
      <c r="E2766" s="48" t="s">
        <v>112</v>
      </c>
      <c r="F2766" s="48" t="s">
        <v>72</v>
      </c>
      <c r="G2766" s="48" t="s">
        <v>667</v>
      </c>
      <c r="H2766" s="82" t="n">
        <f aca="false">DATE(YEAR(A2766),MONTH(A2766),1)</f>
        <v>43983</v>
      </c>
    </row>
    <row r="2767" customFormat="false" ht="15" hidden="false" customHeight="false" outlineLevel="0" collapsed="false">
      <c r="A2767" s="81" t="n">
        <v>43985</v>
      </c>
      <c r="B2767" s="48" t="n">
        <v>6</v>
      </c>
      <c r="C2767" s="48" t="n">
        <v>0</v>
      </c>
      <c r="D2767" s="48" t="n">
        <v>4</v>
      </c>
      <c r="E2767" s="48" t="s">
        <v>112</v>
      </c>
      <c r="F2767" s="48" t="s">
        <v>72</v>
      </c>
      <c r="G2767" s="48" t="s">
        <v>607</v>
      </c>
      <c r="H2767" s="82" t="n">
        <f aca="false">DATE(YEAR(A2767),MONTH(A2767),1)</f>
        <v>43983</v>
      </c>
    </row>
    <row r="2768" customFormat="false" ht="15" hidden="false" customHeight="false" outlineLevel="0" collapsed="false">
      <c r="A2768" s="81" t="n">
        <v>43985</v>
      </c>
      <c r="B2768" s="48" t="n">
        <v>0</v>
      </c>
      <c r="C2768" s="48" t="n">
        <v>0</v>
      </c>
      <c r="D2768" s="48" t="n">
        <v>0</v>
      </c>
      <c r="E2768" s="48" t="s">
        <v>112</v>
      </c>
      <c r="F2768" s="48" t="s">
        <v>72</v>
      </c>
      <c r="G2768" s="48" t="s">
        <v>673</v>
      </c>
      <c r="H2768" s="82" t="n">
        <f aca="false">DATE(YEAR(A2768),MONTH(A2768),1)</f>
        <v>43983</v>
      </c>
    </row>
    <row r="2769" customFormat="false" ht="15" hidden="false" customHeight="false" outlineLevel="0" collapsed="false">
      <c r="A2769" s="81" t="n">
        <v>43985</v>
      </c>
      <c r="B2769" s="48" t="n">
        <v>4</v>
      </c>
      <c r="C2769" s="48" t="n">
        <v>0</v>
      </c>
      <c r="D2769" s="48" t="n">
        <v>0</v>
      </c>
      <c r="E2769" s="48" t="s">
        <v>112</v>
      </c>
      <c r="F2769" s="48" t="s">
        <v>72</v>
      </c>
      <c r="G2769" s="48" t="s">
        <v>676</v>
      </c>
      <c r="H2769" s="82" t="n">
        <f aca="false">DATE(YEAR(A2769),MONTH(A2769),1)</f>
        <v>43983</v>
      </c>
    </row>
    <row r="2770" customFormat="false" ht="15" hidden="false" customHeight="false" outlineLevel="0" collapsed="false">
      <c r="A2770" s="81" t="n">
        <v>43985</v>
      </c>
      <c r="B2770" s="48" t="n">
        <v>1487</v>
      </c>
      <c r="C2770" s="48" t="n">
        <v>27</v>
      </c>
      <c r="D2770" s="48" t="n">
        <v>364</v>
      </c>
      <c r="E2770" s="48" t="s">
        <v>112</v>
      </c>
      <c r="F2770" s="48" t="s">
        <v>70</v>
      </c>
      <c r="G2770" s="48" t="s">
        <v>91</v>
      </c>
      <c r="H2770" s="82" t="n">
        <f aca="false">DATE(YEAR(A2770),MONTH(A2770),1)</f>
        <v>43983</v>
      </c>
    </row>
    <row r="2771" customFormat="false" ht="15" hidden="false" customHeight="false" outlineLevel="0" collapsed="false">
      <c r="A2771" s="81" t="n">
        <v>43985</v>
      </c>
      <c r="B2771" s="48" t="n">
        <v>73</v>
      </c>
      <c r="C2771" s="48" t="n">
        <v>0</v>
      </c>
      <c r="D2771" s="48" t="n">
        <v>44</v>
      </c>
      <c r="E2771" s="48" t="s">
        <v>112</v>
      </c>
      <c r="F2771" s="48" t="s">
        <v>70</v>
      </c>
      <c r="G2771" s="48" t="s">
        <v>99</v>
      </c>
      <c r="H2771" s="82" t="n">
        <f aca="false">DATE(YEAR(A2771),MONTH(A2771),1)</f>
        <v>43983</v>
      </c>
    </row>
    <row r="2772" customFormat="false" ht="15" hidden="false" customHeight="false" outlineLevel="0" collapsed="false">
      <c r="A2772" s="81" t="n">
        <v>43985</v>
      </c>
      <c r="B2772" s="48" t="n">
        <v>13</v>
      </c>
      <c r="C2772" s="48" t="n">
        <v>0</v>
      </c>
      <c r="D2772" s="48" t="n">
        <v>0</v>
      </c>
      <c r="E2772" s="48" t="s">
        <v>112</v>
      </c>
      <c r="F2772" s="48" t="s">
        <v>70</v>
      </c>
      <c r="G2772" s="48" t="s">
        <v>619</v>
      </c>
      <c r="H2772" s="82" t="n">
        <f aca="false">DATE(YEAR(A2772),MONTH(A2772),1)</f>
        <v>43983</v>
      </c>
    </row>
    <row r="2773" customFormat="false" ht="15" hidden="false" customHeight="false" outlineLevel="0" collapsed="false">
      <c r="A2773" s="81" t="n">
        <v>43985</v>
      </c>
      <c r="B2773" s="48" t="n">
        <v>4</v>
      </c>
      <c r="C2773" s="48" t="n">
        <v>0</v>
      </c>
      <c r="D2773" s="48" t="n">
        <v>0</v>
      </c>
      <c r="E2773" s="48" t="s">
        <v>112</v>
      </c>
      <c r="F2773" s="48" t="s">
        <v>70</v>
      </c>
      <c r="G2773" s="48" t="s">
        <v>633</v>
      </c>
      <c r="H2773" s="82" t="n">
        <f aca="false">DATE(YEAR(A2773),MONTH(A2773),1)</f>
        <v>43983</v>
      </c>
    </row>
    <row r="2774" customFormat="false" ht="15" hidden="false" customHeight="false" outlineLevel="0" collapsed="false">
      <c r="A2774" s="81" t="n">
        <v>43985</v>
      </c>
      <c r="B2774" s="48" t="n">
        <v>4</v>
      </c>
      <c r="C2774" s="48" t="n">
        <v>0</v>
      </c>
      <c r="D2774" s="48" t="n">
        <v>1</v>
      </c>
      <c r="E2774" s="48" t="s">
        <v>112</v>
      </c>
      <c r="F2774" s="48" t="s">
        <v>70</v>
      </c>
      <c r="G2774" s="48" t="s">
        <v>605</v>
      </c>
      <c r="H2774" s="82" t="n">
        <f aca="false">DATE(YEAR(A2774),MONTH(A2774),1)</f>
        <v>43983</v>
      </c>
    </row>
    <row r="2775" customFormat="false" ht="15" hidden="false" customHeight="false" outlineLevel="0" collapsed="false">
      <c r="A2775" s="81" t="n">
        <v>43985</v>
      </c>
      <c r="B2775" s="48" t="n">
        <v>0</v>
      </c>
      <c r="C2775" s="48" t="n">
        <v>0</v>
      </c>
      <c r="D2775" s="48" t="n">
        <v>0</v>
      </c>
      <c r="E2775" s="48" t="s">
        <v>112</v>
      </c>
      <c r="F2775" s="48" t="s">
        <v>70</v>
      </c>
      <c r="G2775" s="48" t="s">
        <v>641</v>
      </c>
      <c r="H2775" s="82" t="n">
        <f aca="false">DATE(YEAR(A2775),MONTH(A2775),1)</f>
        <v>43983</v>
      </c>
    </row>
    <row r="2776" customFormat="false" ht="15" hidden="false" customHeight="false" outlineLevel="0" collapsed="false">
      <c r="A2776" s="81" t="n">
        <v>43985</v>
      </c>
      <c r="B2776" s="48" t="n">
        <v>8</v>
      </c>
      <c r="C2776" s="48" t="n">
        <v>0</v>
      </c>
      <c r="D2776" s="48" t="n">
        <v>0</v>
      </c>
      <c r="E2776" s="48" t="s">
        <v>112</v>
      </c>
      <c r="F2776" s="48" t="s">
        <v>70</v>
      </c>
      <c r="G2776" s="48" t="s">
        <v>644</v>
      </c>
      <c r="H2776" s="82" t="n">
        <f aca="false">DATE(YEAR(A2776),MONTH(A2776),1)</f>
        <v>43983</v>
      </c>
    </row>
    <row r="2777" customFormat="false" ht="15" hidden="false" customHeight="false" outlineLevel="0" collapsed="false">
      <c r="A2777" s="81" t="n">
        <v>43985</v>
      </c>
      <c r="B2777" s="48" t="n">
        <v>0</v>
      </c>
      <c r="C2777" s="48" t="n">
        <v>0</v>
      </c>
      <c r="D2777" s="48" t="n">
        <v>1</v>
      </c>
      <c r="E2777" s="48" t="s">
        <v>112</v>
      </c>
      <c r="F2777" s="48" t="s">
        <v>70</v>
      </c>
      <c r="G2777" s="48" t="s">
        <v>637</v>
      </c>
      <c r="H2777" s="82" t="n">
        <f aca="false">DATE(YEAR(A2777),MONTH(A2777),1)</f>
        <v>43983</v>
      </c>
    </row>
    <row r="2778" customFormat="false" ht="15" hidden="false" customHeight="false" outlineLevel="0" collapsed="false">
      <c r="A2778" s="81" t="n">
        <v>43985</v>
      </c>
      <c r="B2778" s="48" t="n">
        <v>3</v>
      </c>
      <c r="C2778" s="48" t="n">
        <v>0</v>
      </c>
      <c r="D2778" s="48" t="n">
        <v>0</v>
      </c>
      <c r="E2778" s="48" t="s">
        <v>112</v>
      </c>
      <c r="F2778" s="48" t="s">
        <v>70</v>
      </c>
      <c r="G2778" s="48" t="s">
        <v>630</v>
      </c>
      <c r="H2778" s="82" t="n">
        <f aca="false">DATE(YEAR(A2778),MONTH(A2778),1)</f>
        <v>43983</v>
      </c>
    </row>
    <row r="2779" customFormat="false" ht="15" hidden="false" customHeight="false" outlineLevel="0" collapsed="false">
      <c r="A2779" s="81" t="n">
        <v>43985</v>
      </c>
      <c r="B2779" s="48" t="n">
        <v>0</v>
      </c>
      <c r="C2779" s="48" t="n">
        <v>0</v>
      </c>
      <c r="D2779" s="48" t="n">
        <v>0</v>
      </c>
      <c r="E2779" s="48" t="s">
        <v>112</v>
      </c>
      <c r="F2779" s="48" t="s">
        <v>70</v>
      </c>
      <c r="G2779" s="48" t="s">
        <v>642</v>
      </c>
      <c r="H2779" s="82" t="n">
        <f aca="false">DATE(YEAR(A2779),MONTH(A2779),1)</f>
        <v>43983</v>
      </c>
    </row>
    <row r="2780" customFormat="false" ht="15" hidden="false" customHeight="false" outlineLevel="0" collapsed="false">
      <c r="A2780" s="81" t="n">
        <v>43985</v>
      </c>
      <c r="B2780" s="48" t="n">
        <v>0</v>
      </c>
      <c r="C2780" s="48" t="n">
        <v>0</v>
      </c>
      <c r="D2780" s="48" t="n">
        <v>0</v>
      </c>
      <c r="E2780" s="48" t="s">
        <v>112</v>
      </c>
      <c r="F2780" s="48" t="s">
        <v>70</v>
      </c>
      <c r="G2780" s="48" t="s">
        <v>671</v>
      </c>
      <c r="H2780" s="82" t="n">
        <f aca="false">DATE(YEAR(A2780),MONTH(A2780),1)</f>
        <v>43983</v>
      </c>
    </row>
    <row r="2781" customFormat="false" ht="15" hidden="false" customHeight="false" outlineLevel="0" collapsed="false">
      <c r="A2781" s="81" t="n">
        <v>43985</v>
      </c>
      <c r="B2781" s="48" t="n">
        <v>36</v>
      </c>
      <c r="C2781" s="48" t="n">
        <v>0</v>
      </c>
      <c r="D2781" s="48" t="n">
        <v>9</v>
      </c>
      <c r="E2781" s="48" t="s">
        <v>112</v>
      </c>
      <c r="F2781" s="48" t="s">
        <v>70</v>
      </c>
      <c r="G2781" s="48" t="s">
        <v>105</v>
      </c>
      <c r="H2781" s="82" t="n">
        <f aca="false">DATE(YEAR(A2781),MONTH(A2781),1)</f>
        <v>43983</v>
      </c>
    </row>
    <row r="2782" customFormat="false" ht="15" hidden="false" customHeight="false" outlineLevel="0" collapsed="false">
      <c r="A2782" s="81" t="n">
        <v>43985</v>
      </c>
      <c r="B2782" s="48" t="n">
        <v>62</v>
      </c>
      <c r="C2782" s="48" t="n">
        <v>0</v>
      </c>
      <c r="D2782" s="48" t="n">
        <v>31</v>
      </c>
      <c r="E2782" s="48" t="s">
        <v>112</v>
      </c>
      <c r="F2782" s="48" t="s">
        <v>70</v>
      </c>
      <c r="G2782" s="48" t="s">
        <v>98</v>
      </c>
      <c r="H2782" s="82" t="n">
        <f aca="false">DATE(YEAR(A2782),MONTH(A2782),1)</f>
        <v>43983</v>
      </c>
    </row>
    <row r="2783" customFormat="false" ht="15" hidden="false" customHeight="false" outlineLevel="0" collapsed="false">
      <c r="A2783" s="81" t="n">
        <v>43985</v>
      </c>
      <c r="B2783" s="48" t="n">
        <v>9</v>
      </c>
      <c r="C2783" s="48" t="n">
        <v>1</v>
      </c>
      <c r="D2783" s="48" t="n">
        <v>3</v>
      </c>
      <c r="E2783" s="48" t="s">
        <v>112</v>
      </c>
      <c r="F2783" s="48" t="s">
        <v>70</v>
      </c>
      <c r="G2783" s="48" t="s">
        <v>592</v>
      </c>
      <c r="H2783" s="82" t="n">
        <f aca="false">DATE(YEAR(A2783),MONTH(A2783),1)</f>
        <v>43983</v>
      </c>
    </row>
    <row r="2784" customFormat="false" ht="15" hidden="false" customHeight="false" outlineLevel="0" collapsed="false">
      <c r="A2784" s="81" t="n">
        <v>43985</v>
      </c>
      <c r="B2784" s="48" t="n">
        <v>49</v>
      </c>
      <c r="C2784" s="48" t="n">
        <v>0</v>
      </c>
      <c r="D2784" s="48" t="n">
        <v>7</v>
      </c>
      <c r="E2784" s="48" t="s">
        <v>112</v>
      </c>
      <c r="F2784" s="48" t="s">
        <v>70</v>
      </c>
      <c r="G2784" s="48" t="s">
        <v>104</v>
      </c>
      <c r="H2784" s="82" t="n">
        <f aca="false">DATE(YEAR(A2784),MONTH(A2784),1)</f>
        <v>43983</v>
      </c>
    </row>
    <row r="2785" customFormat="false" ht="15" hidden="false" customHeight="false" outlineLevel="0" collapsed="false">
      <c r="A2785" s="81" t="n">
        <v>43985</v>
      </c>
      <c r="B2785" s="48" t="n">
        <v>9</v>
      </c>
      <c r="C2785" s="48" t="n">
        <v>0</v>
      </c>
      <c r="D2785" s="48" t="n">
        <v>3</v>
      </c>
      <c r="E2785" s="48" t="s">
        <v>112</v>
      </c>
      <c r="F2785" s="48" t="s">
        <v>70</v>
      </c>
      <c r="G2785" s="48" t="s">
        <v>635</v>
      </c>
      <c r="H2785" s="82" t="n">
        <f aca="false">DATE(YEAR(A2785),MONTH(A2785),1)</f>
        <v>43983</v>
      </c>
    </row>
    <row r="2786" customFormat="false" ht="15" hidden="false" customHeight="false" outlineLevel="0" collapsed="false">
      <c r="A2786" s="81" t="n">
        <v>43985</v>
      </c>
      <c r="B2786" s="48" t="n">
        <v>10</v>
      </c>
      <c r="C2786" s="48" t="n">
        <v>0</v>
      </c>
      <c r="D2786" s="48" t="n">
        <v>6</v>
      </c>
      <c r="E2786" s="48" t="s">
        <v>112</v>
      </c>
      <c r="F2786" s="48" t="s">
        <v>70</v>
      </c>
      <c r="G2786" s="48" t="s">
        <v>616</v>
      </c>
      <c r="H2786" s="82" t="n">
        <f aca="false">DATE(YEAR(A2786),MONTH(A2786),1)</f>
        <v>43983</v>
      </c>
    </row>
    <row r="2787" customFormat="false" ht="15" hidden="false" customHeight="false" outlineLevel="0" collapsed="false">
      <c r="A2787" s="81" t="n">
        <v>43985</v>
      </c>
      <c r="B2787" s="48" t="n">
        <v>0</v>
      </c>
      <c r="C2787" s="48" t="n">
        <v>0</v>
      </c>
      <c r="D2787" s="48" t="n">
        <v>0</v>
      </c>
      <c r="E2787" s="48" t="s">
        <v>112</v>
      </c>
      <c r="F2787" s="48" t="s">
        <v>70</v>
      </c>
      <c r="G2787" s="48" t="s">
        <v>663</v>
      </c>
      <c r="H2787" s="82" t="n">
        <f aca="false">DATE(YEAR(A2787),MONTH(A2787),1)</f>
        <v>43983</v>
      </c>
    </row>
    <row r="2788" customFormat="false" ht="15" hidden="false" customHeight="false" outlineLevel="0" collapsed="false">
      <c r="A2788" s="81" t="n">
        <v>43985</v>
      </c>
      <c r="B2788" s="48" t="n">
        <v>13</v>
      </c>
      <c r="C2788" s="48" t="n">
        <v>0</v>
      </c>
      <c r="D2788" s="48" t="n">
        <v>0</v>
      </c>
      <c r="E2788" s="48" t="s">
        <v>112</v>
      </c>
      <c r="F2788" s="48" t="s">
        <v>70</v>
      </c>
      <c r="G2788" s="48" t="s">
        <v>640</v>
      </c>
      <c r="H2788" s="82" t="n">
        <f aca="false">DATE(YEAR(A2788),MONTH(A2788),1)</f>
        <v>43983</v>
      </c>
    </row>
    <row r="2789" customFormat="false" ht="15" hidden="false" customHeight="false" outlineLevel="0" collapsed="false">
      <c r="A2789" s="81" t="n">
        <v>43985</v>
      </c>
      <c r="B2789" s="48" t="n">
        <v>8</v>
      </c>
      <c r="C2789" s="48" t="n">
        <v>0</v>
      </c>
      <c r="D2789" s="48" t="n">
        <v>2</v>
      </c>
      <c r="E2789" s="48" t="s">
        <v>112</v>
      </c>
      <c r="F2789" s="48" t="s">
        <v>70</v>
      </c>
      <c r="G2789" s="48" t="s">
        <v>639</v>
      </c>
      <c r="H2789" s="82" t="n">
        <f aca="false">DATE(YEAR(A2789),MONTH(A2789),1)</f>
        <v>43983</v>
      </c>
    </row>
    <row r="2790" customFormat="false" ht="15" hidden="false" customHeight="false" outlineLevel="0" collapsed="false">
      <c r="A2790" s="81" t="n">
        <v>43985</v>
      </c>
      <c r="B2790" s="48" t="n">
        <v>0</v>
      </c>
      <c r="C2790" s="48" t="n">
        <v>0</v>
      </c>
      <c r="D2790" s="48" t="n">
        <v>0</v>
      </c>
      <c r="E2790" s="48" t="s">
        <v>112</v>
      </c>
      <c r="F2790" s="48" t="s">
        <v>70</v>
      </c>
      <c r="G2790" s="48" t="s">
        <v>670</v>
      </c>
      <c r="H2790" s="82" t="n">
        <f aca="false">DATE(YEAR(A2790),MONTH(A2790),1)</f>
        <v>43983</v>
      </c>
    </row>
    <row r="2791" customFormat="false" ht="15" hidden="false" customHeight="false" outlineLevel="0" collapsed="false">
      <c r="A2791" s="81" t="n">
        <v>43985</v>
      </c>
      <c r="B2791" s="48" t="n">
        <v>0</v>
      </c>
      <c r="C2791" s="48" t="n">
        <v>0</v>
      </c>
      <c r="D2791" s="48" t="n">
        <v>0</v>
      </c>
      <c r="E2791" s="48" t="s">
        <v>112</v>
      </c>
      <c r="F2791" s="48" t="s">
        <v>70</v>
      </c>
      <c r="G2791" s="48" t="s">
        <v>679</v>
      </c>
      <c r="H2791" s="82" t="n">
        <f aca="false">DATE(YEAR(A2791),MONTH(A2791),1)</f>
        <v>43983</v>
      </c>
    </row>
    <row r="2792" customFormat="false" ht="15" hidden="false" customHeight="false" outlineLevel="0" collapsed="false">
      <c r="A2792" s="81" t="n">
        <v>43985</v>
      </c>
      <c r="B2792" s="48" t="n">
        <v>24</v>
      </c>
      <c r="C2792" s="48" t="n">
        <v>1</v>
      </c>
      <c r="D2792" s="48" t="n">
        <v>9</v>
      </c>
      <c r="E2792" s="48" t="s">
        <v>112</v>
      </c>
      <c r="F2792" s="48" t="s">
        <v>70</v>
      </c>
      <c r="G2792" s="48" t="s">
        <v>601</v>
      </c>
      <c r="H2792" s="82" t="n">
        <f aca="false">DATE(YEAR(A2792),MONTH(A2792),1)</f>
        <v>43983</v>
      </c>
    </row>
    <row r="2793" customFormat="false" ht="15" hidden="false" customHeight="false" outlineLevel="0" collapsed="false">
      <c r="A2793" s="81" t="n">
        <v>43985</v>
      </c>
      <c r="B2793" s="48" t="n">
        <v>7</v>
      </c>
      <c r="C2793" s="48" t="n">
        <v>0</v>
      </c>
      <c r="D2793" s="48" t="n">
        <v>4</v>
      </c>
      <c r="E2793" s="48" t="s">
        <v>112</v>
      </c>
      <c r="F2793" s="48" t="s">
        <v>70</v>
      </c>
      <c r="G2793" s="48" t="s">
        <v>623</v>
      </c>
      <c r="H2793" s="82" t="n">
        <f aca="false">DATE(YEAR(A2793),MONTH(A2793),1)</f>
        <v>43983</v>
      </c>
    </row>
    <row r="2794" customFormat="false" ht="15" hidden="false" customHeight="false" outlineLevel="0" collapsed="false">
      <c r="A2794" s="81" t="n">
        <v>43985</v>
      </c>
      <c r="B2794" s="48" t="n">
        <v>5</v>
      </c>
      <c r="C2794" s="48" t="n">
        <v>0</v>
      </c>
      <c r="D2794" s="48" t="n">
        <v>0</v>
      </c>
      <c r="E2794" s="48" t="s">
        <v>112</v>
      </c>
      <c r="F2794" s="48" t="s">
        <v>70</v>
      </c>
      <c r="G2794" s="48" t="s">
        <v>636</v>
      </c>
      <c r="H2794" s="82" t="n">
        <f aca="false">DATE(YEAR(A2794),MONTH(A2794),1)</f>
        <v>43983</v>
      </c>
    </row>
    <row r="2795" customFormat="false" ht="15" hidden="false" customHeight="false" outlineLevel="0" collapsed="false">
      <c r="A2795" s="81" t="n">
        <v>43985</v>
      </c>
      <c r="B2795" s="48" t="n">
        <v>1</v>
      </c>
      <c r="C2795" s="48" t="n">
        <v>0</v>
      </c>
      <c r="D2795" s="48" t="n">
        <v>3</v>
      </c>
      <c r="E2795" s="48" t="s">
        <v>112</v>
      </c>
      <c r="F2795" s="48" t="s">
        <v>76</v>
      </c>
      <c r="G2795" s="48" t="s">
        <v>595</v>
      </c>
      <c r="H2795" s="82" t="n">
        <f aca="false">DATE(YEAR(A2795),MONTH(A2795),1)</f>
        <v>43983</v>
      </c>
    </row>
    <row r="2796" customFormat="false" ht="15" hidden="false" customHeight="false" outlineLevel="0" collapsed="false">
      <c r="A2796" s="81" t="n">
        <v>43985</v>
      </c>
      <c r="B2796" s="48" t="n">
        <v>371</v>
      </c>
      <c r="C2796" s="48" t="n">
        <v>2</v>
      </c>
      <c r="D2796" s="48" t="n">
        <v>288</v>
      </c>
      <c r="E2796" s="48" t="s">
        <v>112</v>
      </c>
      <c r="F2796" s="48" t="s">
        <v>73</v>
      </c>
      <c r="G2796" s="48" t="s">
        <v>93</v>
      </c>
      <c r="H2796" s="82" t="n">
        <f aca="false">DATE(YEAR(A2796),MONTH(A2796),1)</f>
        <v>43983</v>
      </c>
    </row>
    <row r="2797" customFormat="false" ht="15" hidden="false" customHeight="false" outlineLevel="0" collapsed="false">
      <c r="A2797" s="81" t="n">
        <v>43985</v>
      </c>
      <c r="B2797" s="48" t="n">
        <v>1615</v>
      </c>
      <c r="C2797" s="48" t="n">
        <v>37</v>
      </c>
      <c r="D2797" s="48" t="n">
        <v>243</v>
      </c>
      <c r="E2797" s="48" t="s">
        <v>112</v>
      </c>
      <c r="F2797" s="48" t="s">
        <v>71</v>
      </c>
      <c r="G2797" s="48" t="s">
        <v>92</v>
      </c>
      <c r="H2797" s="82" t="n">
        <f aca="false">DATE(YEAR(A2797),MONTH(A2797),1)</f>
        <v>43983</v>
      </c>
    </row>
  </sheetData>
  <autoFilter ref="A1:H279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2026-10-23T04:06:58Z</dcterms:created>
  <dc:creator>openpyxl</dc:creator>
  <dc:description/>
  <dc:language>en-US</dc:language>
  <cp:lastModifiedBy/>
  <dcterms:modified xsi:type="dcterms:W3CDTF">2026-10-23T09:07:12Z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